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TUAN-LINH\Desktop\SynchronousProjects\BIMS\BIMS\BIMS\Resources\"/>
    </mc:Choice>
  </mc:AlternateContent>
  <bookViews>
    <workbookView xWindow="0" yWindow="0" windowWidth="14970" windowHeight="8265" tabRatio="787"/>
  </bookViews>
  <sheets>
    <sheet name="実績" sheetId="5" r:id="rId1"/>
    <sheet name="設計案件状況" sheetId="33" r:id="rId2"/>
    <sheet name="設計ｽｹｼﾞｭｰﾙ(営業会議用)" sheetId="28" r:id="rId3"/>
    <sheet name="設計ｽｹｼﾞｭｰﾙ(営業会議用) (2)" sheetId="35" r:id="rId4"/>
    <sheet name="←入力  集計→" sheetId="9" r:id="rId5"/>
    <sheet name="土間厚200超" sheetId="27" r:id="rId6"/>
    <sheet name="審査機関" sheetId="11" r:id="rId7"/>
    <sheet name="設計事務所" sheetId="13" r:id="rId8"/>
    <sheet name="2020.04.17着工時期確認" sheetId="34" r:id="rId9"/>
  </sheets>
  <definedNames>
    <definedName name="_xlnm._FilterDatabase" localSheetId="8" hidden="1">'2020.04.17着工時期確認'!$A$203:$EU$204</definedName>
    <definedName name="_xlnm._FilterDatabase" localSheetId="0" hidden="1">実績!$B$4:$HL$1482</definedName>
    <definedName name="_xlnm._FilterDatabase" localSheetId="2" hidden="1">'設計ｽｹｼﾞｭｰﾙ(営業会議用)'!$A$230:$EU$231</definedName>
    <definedName name="_xlnm._FilterDatabase" localSheetId="3" hidden="1">'設計ｽｹｼﾞｭｰﾙ(営業会議用) (2)'!$A$34:$GK$34</definedName>
    <definedName name="_xlnm._FilterDatabase" localSheetId="7" hidden="1">設計事務所!$A$2:$H$999</definedName>
    <definedName name="_xlnm.Print_Area" localSheetId="8">'2020.04.17着工時期確認'!$A$1:$EU$268</definedName>
    <definedName name="_xlnm.Print_Area" localSheetId="0">実績!$B$1:$BY$1488</definedName>
    <definedName name="_xlnm.Print_Area" localSheetId="6">審査機関!$A$1:$BT$59</definedName>
    <definedName name="_xlnm.Print_Area" localSheetId="2">'設計ｽｹｼﾞｭｰﾙ(営業会議用)'!$A$1:$GQ$371</definedName>
    <definedName name="_xlnm.Print_Area" localSheetId="3">'設計ｽｹｼﾞｭｰﾙ(営業会議用) (2)'!$A$1:$FJ$80</definedName>
    <definedName name="_xlnm.Print_Area" localSheetId="1">設計案件状況!$A$2:$CB$146</definedName>
    <definedName name="_xlnm.Print_Titles" localSheetId="0">実績!$3:$4</definedName>
  </definedNames>
  <calcPr calcId="162913"/>
</workbook>
</file>

<file path=xl/calcChain.xml><?xml version="1.0" encoding="utf-8"?>
<calcChain xmlns="http://schemas.openxmlformats.org/spreadsheetml/2006/main">
  <c r="H146" i="33" l="1"/>
  <c r="P1447" i="5" l="1"/>
  <c r="AR1444" i="5" l="1"/>
  <c r="H145" i="33"/>
  <c r="H144" i="33" l="1"/>
  <c r="H143" i="33" l="1"/>
  <c r="D320" i="28" l="1"/>
  <c r="F83" i="33"/>
  <c r="CG83" i="33"/>
  <c r="CF83" i="33"/>
  <c r="Q1447" i="5"/>
  <c r="F84" i="33" l="1"/>
  <c r="AB142" i="33"/>
  <c r="CD83" i="33"/>
  <c r="I83" i="33"/>
  <c r="AM84" i="33" s="1"/>
  <c r="F85" i="33"/>
  <c r="CD85" i="33" s="1"/>
  <c r="Q1446" i="5"/>
  <c r="AB1488" i="5"/>
  <c r="D321" i="28"/>
  <c r="CG85" i="33"/>
  <c r="CF85" i="33"/>
  <c r="BA83" i="33" l="1"/>
  <c r="CE83" i="33"/>
  <c r="AW83" i="33"/>
  <c r="W83" i="33"/>
  <c r="AQ83" i="33"/>
  <c r="U83" i="33"/>
  <c r="BA84" i="33"/>
  <c r="AY83" i="33"/>
  <c r="AH83" i="33"/>
  <c r="BV83" i="33"/>
  <c r="BW83" i="33"/>
  <c r="AU83" i="33"/>
  <c r="Y84" i="33"/>
  <c r="AB83" i="33"/>
  <c r="BU83" i="33"/>
  <c r="AS83" i="33"/>
  <c r="AM83" i="33"/>
  <c r="AJ83" i="33"/>
  <c r="BT83" i="33"/>
  <c r="BX83" i="33"/>
  <c r="Y83" i="33"/>
  <c r="AE83" i="33"/>
  <c r="I85" i="33"/>
  <c r="AJ85" i="33" s="1"/>
  <c r="BX85" i="33" l="1"/>
  <c r="BT85" i="33"/>
  <c r="BA85" i="33"/>
  <c r="BV85" i="33"/>
  <c r="AU85" i="33"/>
  <c r="U85" i="33"/>
  <c r="Y86" i="33"/>
  <c r="CE85" i="33"/>
  <c r="AE85" i="33"/>
  <c r="W85" i="33"/>
  <c r="AB85" i="33"/>
  <c r="BU85" i="33"/>
  <c r="Y85" i="33"/>
  <c r="BA86" i="33"/>
  <c r="AM85" i="33"/>
  <c r="AW85" i="33"/>
  <c r="AS85" i="33"/>
  <c r="AM86" i="33"/>
  <c r="BW85" i="33"/>
  <c r="AY85" i="33"/>
  <c r="AQ85" i="33"/>
  <c r="F86" i="33"/>
  <c r="AH85" i="33"/>
  <c r="D330" i="28"/>
  <c r="I105" i="33"/>
  <c r="CE105" i="33" s="1"/>
  <c r="CG105" i="33"/>
  <c r="CF105" i="33"/>
  <c r="CD105" i="33"/>
  <c r="AJ105" i="33" l="1"/>
  <c r="BA106" i="33"/>
  <c r="Y105" i="33"/>
  <c r="AB105" i="33"/>
  <c r="AE105" i="33"/>
  <c r="AU105" i="33"/>
  <c r="AW105" i="33"/>
  <c r="AM106" i="33"/>
  <c r="AY105" i="33"/>
  <c r="BA105" i="33"/>
  <c r="BX105" i="33"/>
  <c r="AH105" i="33"/>
  <c r="BT105" i="33"/>
  <c r="F106" i="33"/>
  <c r="AM105" i="33"/>
  <c r="BU105" i="33"/>
  <c r="U105" i="33"/>
  <c r="AQ105" i="33"/>
  <c r="BV105" i="33"/>
  <c r="Y106" i="33"/>
  <c r="W105" i="33"/>
  <c r="AS105" i="33"/>
  <c r="BW105" i="33"/>
  <c r="AK1441" i="5" l="1"/>
  <c r="D339" i="28" l="1"/>
  <c r="D335" i="28"/>
  <c r="I115" i="33"/>
  <c r="AE115" i="33" s="1"/>
  <c r="CG115" i="33"/>
  <c r="CF115" i="33"/>
  <c r="CD115" i="33"/>
  <c r="AU115" i="33" l="1"/>
  <c r="BA116" i="33"/>
  <c r="AW115" i="33"/>
  <c r="Y115" i="33"/>
  <c r="AY115" i="33"/>
  <c r="BX115" i="33"/>
  <c r="AM116" i="33"/>
  <c r="CE115" i="33"/>
  <c r="AB115" i="33"/>
  <c r="BA115" i="33"/>
  <c r="AJ115" i="33"/>
  <c r="BT115" i="33"/>
  <c r="F116" i="33"/>
  <c r="AH115" i="33"/>
  <c r="Y116" i="33"/>
  <c r="AM115" i="33"/>
  <c r="BU115" i="33"/>
  <c r="U115" i="33"/>
  <c r="AQ115" i="33"/>
  <c r="BV115" i="33"/>
  <c r="W115" i="33"/>
  <c r="AS115" i="33"/>
  <c r="BW115" i="33"/>
  <c r="I124" i="33"/>
  <c r="Y125" i="33" s="1"/>
  <c r="CG124" i="33"/>
  <c r="CF124" i="33"/>
  <c r="CD124" i="33"/>
  <c r="AS124" i="33" l="1"/>
  <c r="AM125" i="33"/>
  <c r="AU124" i="33"/>
  <c r="BA125" i="33"/>
  <c r="AB124" i="33"/>
  <c r="AW124" i="33"/>
  <c r="AJ124" i="33"/>
  <c r="BT124" i="33"/>
  <c r="W124" i="33"/>
  <c r="BW124" i="33"/>
  <c r="Y124" i="33"/>
  <c r="BX124" i="33"/>
  <c r="AE124" i="33"/>
  <c r="AY124" i="33"/>
  <c r="CE124" i="33"/>
  <c r="AH124" i="33"/>
  <c r="BA124" i="33"/>
  <c r="AM124" i="33"/>
  <c r="BU124" i="33"/>
  <c r="F125" i="33"/>
  <c r="U124" i="33"/>
  <c r="AQ124" i="33"/>
  <c r="BV124" i="33"/>
  <c r="H142" i="33"/>
  <c r="AK1439" i="5" l="1"/>
  <c r="P1445" i="5" l="1"/>
  <c r="I126" i="33"/>
  <c r="F127" i="33" s="1"/>
  <c r="D342" i="28" l="1"/>
  <c r="I130" i="33"/>
  <c r="AU130" i="33" s="1"/>
  <c r="CG130" i="33"/>
  <c r="CF130" i="33"/>
  <c r="CD130" i="33"/>
  <c r="B992" i="13"/>
  <c r="C992" i="13"/>
  <c r="D992" i="13"/>
  <c r="B993" i="13"/>
  <c r="C993" i="13"/>
  <c r="D993" i="13"/>
  <c r="B994" i="13"/>
  <c r="C994" i="13"/>
  <c r="D994" i="13"/>
  <c r="B995" i="13"/>
  <c r="C995" i="13"/>
  <c r="D995" i="13"/>
  <c r="B996" i="13"/>
  <c r="C996" i="13"/>
  <c r="D996" i="13"/>
  <c r="B997" i="13"/>
  <c r="C997" i="13"/>
  <c r="D997" i="13"/>
  <c r="B998" i="13"/>
  <c r="C998" i="13"/>
  <c r="D998" i="13"/>
  <c r="F131" i="33" l="1"/>
  <c r="Y131" i="33"/>
  <c r="AW130" i="33"/>
  <c r="W130" i="33"/>
  <c r="AY130" i="33"/>
  <c r="AM131" i="33"/>
  <c r="Y130" i="33"/>
  <c r="BA130" i="33"/>
  <c r="BA131" i="33"/>
  <c r="AB130" i="33"/>
  <c r="BX130" i="33"/>
  <c r="BW130" i="33"/>
  <c r="AE130" i="33"/>
  <c r="AH130" i="33"/>
  <c r="AS130" i="33"/>
  <c r="CE130" i="33"/>
  <c r="AM130" i="33"/>
  <c r="BU130" i="33"/>
  <c r="AJ130" i="33"/>
  <c r="BT130" i="33"/>
  <c r="U130" i="33"/>
  <c r="AQ130" i="33"/>
  <c r="BV130" i="33"/>
  <c r="D338" i="28" l="1"/>
  <c r="I122" i="33"/>
  <c r="AM123" i="33" s="1"/>
  <c r="CG122" i="33"/>
  <c r="CF122" i="33"/>
  <c r="CD122" i="33"/>
  <c r="F123" i="33" l="1"/>
  <c r="BX122" i="33"/>
  <c r="AS122" i="33"/>
  <c r="Y123" i="33"/>
  <c r="AU122" i="33"/>
  <c r="AB122" i="33"/>
  <c r="BT122" i="33"/>
  <c r="BA123" i="33"/>
  <c r="AE122" i="33"/>
  <c r="BW122" i="33"/>
  <c r="AH122" i="33"/>
  <c r="AJ122" i="33"/>
  <c r="CE122" i="33"/>
  <c r="W122" i="33"/>
  <c r="AY122" i="33"/>
  <c r="Y122" i="33"/>
  <c r="BA122" i="33"/>
  <c r="AW122" i="33"/>
  <c r="AM122" i="33"/>
  <c r="BU122" i="33"/>
  <c r="U122" i="33"/>
  <c r="AQ122" i="33"/>
  <c r="BV122" i="33"/>
  <c r="D343" i="28" l="1"/>
  <c r="D322" i="28"/>
  <c r="F87" i="33"/>
  <c r="I87" i="33" s="1"/>
  <c r="F88" i="33" s="1"/>
  <c r="I132" i="33"/>
  <c r="AM133" i="33" s="1"/>
  <c r="CG132" i="33"/>
  <c r="CF132" i="33"/>
  <c r="CD132" i="33"/>
  <c r="F133" i="33" l="1"/>
  <c r="W132" i="33"/>
  <c r="BA133" i="33"/>
  <c r="Y132" i="33"/>
  <c r="BA132" i="33"/>
  <c r="BT132" i="33"/>
  <c r="AB132" i="33"/>
  <c r="BW132" i="33"/>
  <c r="AH132" i="33"/>
  <c r="BX132" i="33"/>
  <c r="AJ132" i="33"/>
  <c r="AS132" i="33"/>
  <c r="AU132" i="33"/>
  <c r="Y133" i="33"/>
  <c r="AW132" i="33"/>
  <c r="AE132" i="33"/>
  <c r="AY132" i="33"/>
  <c r="CE132" i="33"/>
  <c r="AM132" i="33"/>
  <c r="BU132" i="33"/>
  <c r="U132" i="33"/>
  <c r="AQ132" i="33"/>
  <c r="BV132" i="33"/>
  <c r="CG87" i="33"/>
  <c r="CF87" i="33"/>
  <c r="CD87" i="33"/>
  <c r="Y88" i="33" l="1"/>
  <c r="AS87" i="33"/>
  <c r="BT87" i="33"/>
  <c r="W87" i="33"/>
  <c r="BW87" i="33"/>
  <c r="AM88" i="33"/>
  <c r="AJ87" i="33"/>
  <c r="Y87" i="33"/>
  <c r="AU87" i="33"/>
  <c r="BX87" i="33"/>
  <c r="AB87" i="33"/>
  <c r="AW87" i="33"/>
  <c r="AE87" i="33"/>
  <c r="AY87" i="33"/>
  <c r="CE87" i="33"/>
  <c r="BA88" i="33"/>
  <c r="AH87" i="33"/>
  <c r="BA87" i="33"/>
  <c r="AM87" i="33"/>
  <c r="BU87" i="33"/>
  <c r="U87" i="33"/>
  <c r="AQ87" i="33"/>
  <c r="BV87" i="33"/>
  <c r="AY41" i="11" l="1"/>
  <c r="BA41" i="11"/>
  <c r="D333" i="28" l="1"/>
  <c r="D332" i="28" l="1"/>
  <c r="D331" i="28"/>
  <c r="I107" i="33"/>
  <c r="BA108" i="33" s="1"/>
  <c r="I109" i="33"/>
  <c r="BW109" i="33" s="1"/>
  <c r="CG107" i="33"/>
  <c r="CF107" i="33"/>
  <c r="CD107" i="33"/>
  <c r="CG109" i="33"/>
  <c r="CF109" i="33"/>
  <c r="CD109" i="33"/>
  <c r="F108" i="33" l="1"/>
  <c r="F110" i="33"/>
  <c r="AB107" i="33"/>
  <c r="BT107" i="33"/>
  <c r="BW107" i="33"/>
  <c r="AE107" i="33"/>
  <c r="AH107" i="33"/>
  <c r="BX107" i="33"/>
  <c r="AJ107" i="33"/>
  <c r="AS107" i="33"/>
  <c r="Y108" i="33"/>
  <c r="AU107" i="33"/>
  <c r="W107" i="33"/>
  <c r="AW107" i="33"/>
  <c r="AM108" i="33"/>
  <c r="Y107" i="33"/>
  <c r="AY107" i="33"/>
  <c r="Y109" i="33"/>
  <c r="AM110" i="33"/>
  <c r="BX109" i="33"/>
  <c r="AB109" i="33"/>
  <c r="AJ109" i="33"/>
  <c r="AS109" i="33"/>
  <c r="AU109" i="33"/>
  <c r="AW109" i="33"/>
  <c r="BA110" i="33"/>
  <c r="Y110" i="33"/>
  <c r="BT109" i="33"/>
  <c r="W109" i="33"/>
  <c r="CE107" i="33"/>
  <c r="BA107" i="33"/>
  <c r="AM107" i="33"/>
  <c r="BU107" i="33"/>
  <c r="U107" i="33"/>
  <c r="AQ107" i="33"/>
  <c r="BV107" i="33"/>
  <c r="AE109" i="33"/>
  <c r="AY109" i="33"/>
  <c r="CE109" i="33"/>
  <c r="AH109" i="33"/>
  <c r="BA109" i="33"/>
  <c r="AM109" i="33"/>
  <c r="BU109" i="33"/>
  <c r="U109" i="33"/>
  <c r="AQ109" i="33"/>
  <c r="BV109" i="33"/>
  <c r="P1443" i="5"/>
  <c r="F91" i="33"/>
  <c r="I91" i="33" s="1"/>
  <c r="F92" i="33" s="1"/>
  <c r="F81" i="33" l="1"/>
  <c r="I81" i="33" s="1"/>
  <c r="F46" i="33"/>
  <c r="I46" i="33" s="1"/>
  <c r="F47" i="33" s="1"/>
  <c r="D71" i="28" l="1"/>
  <c r="F76" i="33"/>
  <c r="CD76" i="33" s="1"/>
  <c r="CG76" i="33"/>
  <c r="CF76" i="33"/>
  <c r="Q1441" i="5"/>
  <c r="F77" i="33" l="1"/>
  <c r="I76" i="33"/>
  <c r="Y77" i="33" s="1"/>
  <c r="Q1439" i="5"/>
  <c r="Q1440" i="5"/>
  <c r="AU76" i="33" l="1"/>
  <c r="W76" i="33"/>
  <c r="AJ76" i="33"/>
  <c r="Y76" i="33"/>
  <c r="BV76" i="33"/>
  <c r="AM77" i="33"/>
  <c r="AQ76" i="33"/>
  <c r="BW76" i="33"/>
  <c r="U76" i="33"/>
  <c r="AS76" i="33"/>
  <c r="AB76" i="33"/>
  <c r="AH76" i="33"/>
  <c r="BA77" i="33"/>
  <c r="BU76" i="33"/>
  <c r="CE76" i="33"/>
  <c r="AY76" i="33"/>
  <c r="AE76" i="33"/>
  <c r="AW76" i="33"/>
  <c r="BA76" i="33"/>
  <c r="BT76" i="33"/>
  <c r="BX76" i="33"/>
  <c r="AM76" i="33"/>
  <c r="F89" i="33"/>
  <c r="I89" i="33" s="1"/>
  <c r="D324" i="28"/>
  <c r="AU91" i="33"/>
  <c r="CG91" i="33"/>
  <c r="CF91" i="33"/>
  <c r="CD91" i="33"/>
  <c r="D317" i="28"/>
  <c r="AW91" i="33" l="1"/>
  <c r="BA92" i="33"/>
  <c r="AY91" i="33"/>
  <c r="AM92" i="33"/>
  <c r="BA91" i="33"/>
  <c r="Y91" i="33"/>
  <c r="BX91" i="33"/>
  <c r="AB91" i="33"/>
  <c r="AE91" i="33"/>
  <c r="CE91" i="33"/>
  <c r="AH91" i="33"/>
  <c r="BU91" i="33"/>
  <c r="U91" i="33"/>
  <c r="AQ91" i="33"/>
  <c r="BV91" i="33"/>
  <c r="Y92" i="33"/>
  <c r="AJ91" i="33"/>
  <c r="BT91" i="33"/>
  <c r="AM91" i="33"/>
  <c r="W91" i="33"/>
  <c r="AS91" i="33"/>
  <c r="BW91" i="33"/>
  <c r="AM47" i="33"/>
  <c r="CG46" i="33"/>
  <c r="CF46" i="33"/>
  <c r="CD46" i="33"/>
  <c r="AU46" i="33" l="1"/>
  <c r="BA47" i="33"/>
  <c r="AW46" i="33"/>
  <c r="AE46" i="33"/>
  <c r="BA46" i="33"/>
  <c r="Y46" i="33"/>
  <c r="AY46" i="33"/>
  <c r="U46" i="33"/>
  <c r="AQ46" i="33"/>
  <c r="BV46" i="33"/>
  <c r="Y47" i="33"/>
  <c r="BX46" i="33"/>
  <c r="AB46" i="33"/>
  <c r="CE46" i="33"/>
  <c r="AH46" i="33"/>
  <c r="BT46" i="33"/>
  <c r="AM46" i="33"/>
  <c r="BU46" i="33"/>
  <c r="W46" i="33"/>
  <c r="AS46" i="33"/>
  <c r="BW46" i="33"/>
  <c r="D319" i="28" l="1"/>
  <c r="AS81" i="33"/>
  <c r="CG81" i="33"/>
  <c r="CF81" i="33"/>
  <c r="CD81" i="33"/>
  <c r="W81" i="33" l="1"/>
  <c r="F82" i="33"/>
  <c r="BT81" i="33"/>
  <c r="AM82" i="33"/>
  <c r="Y81" i="33"/>
  <c r="BV81" i="33"/>
  <c r="BA82" i="33"/>
  <c r="AB81" i="33"/>
  <c r="BW81" i="33"/>
  <c r="AJ81" i="33"/>
  <c r="BX81" i="33"/>
  <c r="AQ81" i="33"/>
  <c r="AU81" i="33"/>
  <c r="U81" i="33"/>
  <c r="AW81" i="33"/>
  <c r="Y82" i="33"/>
  <c r="AE81" i="33"/>
  <c r="AY81" i="33"/>
  <c r="CE81" i="33"/>
  <c r="AH81" i="33"/>
  <c r="BA81" i="33"/>
  <c r="AM81" i="33"/>
  <c r="BU81" i="33"/>
  <c r="I111" i="33"/>
  <c r="F112" i="33" s="1"/>
  <c r="CG111" i="33"/>
  <c r="CF111" i="33"/>
  <c r="CD111" i="33"/>
  <c r="AM112" i="33" l="1"/>
  <c r="AB111" i="33"/>
  <c r="AE111" i="33"/>
  <c r="BA111" i="33"/>
  <c r="BA112" i="33"/>
  <c r="BW111" i="33"/>
  <c r="AH111" i="33"/>
  <c r="BX111" i="33"/>
  <c r="AJ111" i="33"/>
  <c r="AS111" i="33"/>
  <c r="CE111" i="33"/>
  <c r="Y112" i="33"/>
  <c r="AU111" i="33"/>
  <c r="W111" i="33"/>
  <c r="AW111" i="33"/>
  <c r="Y111" i="33"/>
  <c r="AY111" i="33"/>
  <c r="BT111" i="33"/>
  <c r="AM111" i="33"/>
  <c r="BU111" i="33"/>
  <c r="U111" i="33"/>
  <c r="AQ111" i="33"/>
  <c r="BV111" i="33"/>
  <c r="I117" i="33"/>
  <c r="F118" i="33" s="1"/>
  <c r="BA71" i="33" l="1"/>
  <c r="AR1435" i="5" l="1"/>
  <c r="F66" i="33" l="1"/>
  <c r="F67" i="33" l="1"/>
  <c r="AT142" i="33"/>
  <c r="I66" i="33"/>
  <c r="D336" i="28"/>
  <c r="CG117" i="33"/>
  <c r="CF117" i="33"/>
  <c r="CD117" i="33"/>
  <c r="D69" i="28"/>
  <c r="CG66" i="33"/>
  <c r="CF66" i="33"/>
  <c r="CD66" i="33"/>
  <c r="BA118" i="33" l="1"/>
  <c r="BA117" i="33"/>
  <c r="BA67" i="33"/>
  <c r="BA66" i="33"/>
  <c r="AM118" i="33"/>
  <c r="AW117" i="33"/>
  <c r="AE117" i="33"/>
  <c r="AH117" i="33"/>
  <c r="CE117" i="33"/>
  <c r="BT117" i="33"/>
  <c r="AB117" i="33"/>
  <c r="BX117" i="33"/>
  <c r="AY117" i="33"/>
  <c r="AJ117" i="33"/>
  <c r="AM117" i="33"/>
  <c r="U117" i="33"/>
  <c r="AQ117" i="33"/>
  <c r="BU117" i="33"/>
  <c r="W117" i="33"/>
  <c r="AS117" i="33"/>
  <c r="BV117" i="33"/>
  <c r="Y118" i="33"/>
  <c r="Y117" i="33"/>
  <c r="AU117" i="33"/>
  <c r="BW117" i="33"/>
  <c r="AM66" i="33"/>
  <c r="BV66" i="33"/>
  <c r="Y66" i="33"/>
  <c r="AU66" i="33"/>
  <c r="BW66" i="33"/>
  <c r="AM67" i="33"/>
  <c r="BT66" i="33"/>
  <c r="U66" i="33"/>
  <c r="BU66" i="33"/>
  <c r="W66" i="33"/>
  <c r="Y67" i="33"/>
  <c r="AB66" i="33"/>
  <c r="AW66" i="33"/>
  <c r="BX66" i="33"/>
  <c r="AH66" i="33"/>
  <c r="CE66" i="33"/>
  <c r="AJ66" i="33"/>
  <c r="AQ66" i="33"/>
  <c r="AS66" i="33"/>
  <c r="AE66" i="33"/>
  <c r="AY66" i="33"/>
  <c r="F21" i="33" l="1"/>
  <c r="I21" i="33" s="1"/>
  <c r="BL1436" i="5"/>
  <c r="BA22" i="33" l="1"/>
  <c r="BA21" i="33"/>
  <c r="D345" i="28"/>
  <c r="I136" i="33"/>
  <c r="CG136" i="33"/>
  <c r="CF136" i="33"/>
  <c r="CD136" i="33"/>
  <c r="BA137" i="33" l="1"/>
  <c r="BA136" i="33"/>
  <c r="AM137" i="33"/>
  <c r="AW136" i="33"/>
  <c r="AJ136" i="33"/>
  <c r="AM136" i="33"/>
  <c r="BT136" i="33"/>
  <c r="F137" i="33"/>
  <c r="AB136" i="33"/>
  <c r="BX136" i="33"/>
  <c r="AE136" i="33"/>
  <c r="AY136" i="33"/>
  <c r="AH136" i="33"/>
  <c r="CE136" i="33"/>
  <c r="U136" i="33"/>
  <c r="AQ136" i="33"/>
  <c r="BU136" i="33"/>
  <c r="W136" i="33"/>
  <c r="AS136" i="33"/>
  <c r="BV136" i="33"/>
  <c r="Y137" i="33"/>
  <c r="Y136" i="33"/>
  <c r="AU136" i="33"/>
  <c r="BW136" i="33"/>
  <c r="F25" i="33"/>
  <c r="I25" i="33" l="1"/>
  <c r="D309" i="28"/>
  <c r="BA26" i="33" l="1"/>
  <c r="BA25" i="33"/>
  <c r="F26" i="33"/>
  <c r="D340" i="28"/>
  <c r="D323" i="28"/>
  <c r="CG126" i="33"/>
  <c r="CF126" i="33"/>
  <c r="CD126" i="33"/>
  <c r="CG89" i="33"/>
  <c r="CF89" i="33"/>
  <c r="CD89" i="33"/>
  <c r="BA89" i="33" l="1"/>
  <c r="BA90" i="33"/>
  <c r="BA127" i="33"/>
  <c r="BA126" i="33"/>
  <c r="F90" i="33"/>
  <c r="AM127" i="33"/>
  <c r="AM90" i="33"/>
  <c r="AJ126" i="33"/>
  <c r="AB126" i="33"/>
  <c r="AW126" i="33"/>
  <c r="BX126" i="33"/>
  <c r="AE126" i="33"/>
  <c r="AY126" i="33"/>
  <c r="AH126" i="33"/>
  <c r="CE126" i="33"/>
  <c r="AM126" i="33"/>
  <c r="BT126" i="33"/>
  <c r="U126" i="33"/>
  <c r="AQ126" i="33"/>
  <c r="BU126" i="33"/>
  <c r="W126" i="33"/>
  <c r="AS126" i="33"/>
  <c r="BV126" i="33"/>
  <c r="Y127" i="33"/>
  <c r="Y126" i="33"/>
  <c r="AU126" i="33"/>
  <c r="BW126" i="33"/>
  <c r="AJ89" i="33"/>
  <c r="AB89" i="33"/>
  <c r="AW89" i="33"/>
  <c r="BX89" i="33"/>
  <c r="AE89" i="33"/>
  <c r="AY89" i="33"/>
  <c r="AH89" i="33"/>
  <c r="CE89" i="33"/>
  <c r="AM89" i="33"/>
  <c r="BT89" i="33"/>
  <c r="U89" i="33"/>
  <c r="AQ89" i="33"/>
  <c r="BU89" i="33"/>
  <c r="W89" i="33"/>
  <c r="AS89" i="33"/>
  <c r="BV89" i="33"/>
  <c r="Y90" i="33"/>
  <c r="Y89" i="33"/>
  <c r="AU89" i="33"/>
  <c r="BW89" i="33"/>
  <c r="Q1435" i="5" l="1"/>
  <c r="P1435" i="5" s="1"/>
  <c r="F54" i="33" l="1"/>
  <c r="I54" i="33" s="1"/>
  <c r="BA54" i="33" l="1"/>
  <c r="BA55" i="33"/>
  <c r="F55" i="33"/>
  <c r="D307" i="28"/>
  <c r="F42" i="33"/>
  <c r="CG42" i="33"/>
  <c r="CF42" i="33"/>
  <c r="Q1434" i="5"/>
  <c r="F43" i="33" l="1"/>
  <c r="I42" i="33"/>
  <c r="CD42" i="33"/>
  <c r="BA43" i="33" l="1"/>
  <c r="BA42" i="33"/>
  <c r="AY42" i="33"/>
  <c r="BV42" i="33"/>
  <c r="AH42" i="33"/>
  <c r="AU42" i="33"/>
  <c r="Y42" i="33"/>
  <c r="AQ42" i="33"/>
  <c r="U42" i="33"/>
  <c r="AJ42" i="33"/>
  <c r="AM42" i="33"/>
  <c r="AM43" i="33"/>
  <c r="BW42" i="33"/>
  <c r="AS42" i="33"/>
  <c r="W42" i="33"/>
  <c r="AE42" i="33"/>
  <c r="BU42" i="33"/>
  <c r="BX42" i="33"/>
  <c r="AW42" i="33"/>
  <c r="BT42" i="33"/>
  <c r="AB42" i="33"/>
  <c r="CE42" i="33"/>
  <c r="Y43" i="33"/>
  <c r="Q1433" i="5" l="1"/>
  <c r="F17" i="33"/>
  <c r="I17" i="33" l="1"/>
  <c r="BL1432" i="5"/>
  <c r="AR1432" i="5"/>
  <c r="BA18" i="33" l="1"/>
  <c r="BA17" i="33"/>
  <c r="Q1432" i="5"/>
  <c r="D305" i="28" l="1"/>
  <c r="F52" i="33"/>
  <c r="F53" i="33" s="1"/>
  <c r="CG52" i="33"/>
  <c r="CF52" i="33"/>
  <c r="I52" i="33" l="1"/>
  <c r="CD52" i="33"/>
  <c r="BA53" i="33" l="1"/>
  <c r="BA52" i="33"/>
  <c r="AE52" i="33"/>
  <c r="BW52" i="33"/>
  <c r="BU52" i="33"/>
  <c r="U52" i="33"/>
  <c r="AU52" i="33"/>
  <c r="BT52" i="33"/>
  <c r="AM52" i="33"/>
  <c r="Y52" i="33"/>
  <c r="AJ52" i="33"/>
  <c r="BV52" i="33"/>
  <c r="BX52" i="33"/>
  <c r="AS52" i="33"/>
  <c r="AH52" i="33"/>
  <c r="AW52" i="33"/>
  <c r="W52" i="33"/>
  <c r="AB52" i="33"/>
  <c r="AQ52" i="33"/>
  <c r="CE52" i="33"/>
  <c r="AY52" i="33"/>
  <c r="AM53" i="33"/>
  <c r="Y53" i="33"/>
  <c r="F72" i="33"/>
  <c r="F73" i="33" s="1"/>
  <c r="I72" i="33" l="1"/>
  <c r="D314" i="28"/>
  <c r="Y25" i="33"/>
  <c r="CG25" i="33"/>
  <c r="CF25" i="33"/>
  <c r="CD25" i="33"/>
  <c r="BA73" i="33" l="1"/>
  <c r="BA72" i="33"/>
  <c r="U25" i="33"/>
  <c r="AQ25" i="33"/>
  <c r="BU25" i="33"/>
  <c r="W25" i="33"/>
  <c r="BV25" i="33"/>
  <c r="AU25" i="33"/>
  <c r="BW25" i="33"/>
  <c r="AB25" i="33"/>
  <c r="AW25" i="33"/>
  <c r="BX25" i="33"/>
  <c r="AE25" i="33"/>
  <c r="AY25" i="33"/>
  <c r="AH25" i="33"/>
  <c r="CE25" i="33"/>
  <c r="AJ25" i="33"/>
  <c r="AM25" i="33"/>
  <c r="BT25" i="33"/>
  <c r="Y26" i="33"/>
  <c r="AM26" i="33"/>
  <c r="AS25" i="33"/>
  <c r="AR1429" i="5" l="1"/>
  <c r="D346" i="28" l="1"/>
  <c r="I138" i="33"/>
  <c r="CG138" i="33"/>
  <c r="CF138" i="33"/>
  <c r="CD138" i="33"/>
  <c r="BA139" i="33" l="1"/>
  <c r="BA138" i="33"/>
  <c r="F139" i="33"/>
  <c r="AE138" i="33"/>
  <c r="AY138" i="33"/>
  <c r="AH138" i="33"/>
  <c r="CE138" i="33"/>
  <c r="AW138" i="33"/>
  <c r="AM138" i="33"/>
  <c r="BT138" i="33"/>
  <c r="AB138" i="33"/>
  <c r="BX138" i="33"/>
  <c r="AJ138" i="33"/>
  <c r="U138" i="33"/>
  <c r="AQ138" i="33"/>
  <c r="BU138" i="33"/>
  <c r="W138" i="33"/>
  <c r="AS138" i="33"/>
  <c r="BV138" i="33"/>
  <c r="Y139" i="33"/>
  <c r="Y138" i="33"/>
  <c r="AU138" i="33"/>
  <c r="BW138" i="33"/>
  <c r="AM139" i="33"/>
  <c r="B985" i="13"/>
  <c r="C985" i="13"/>
  <c r="D985" i="13"/>
  <c r="B986" i="13"/>
  <c r="C986" i="13"/>
  <c r="D986" i="13"/>
  <c r="B987" i="13"/>
  <c r="C987" i="13"/>
  <c r="D987" i="13"/>
  <c r="B988" i="13"/>
  <c r="C988" i="13"/>
  <c r="D988" i="13"/>
  <c r="B989" i="13"/>
  <c r="C989" i="13"/>
  <c r="D989" i="13"/>
  <c r="B990" i="13"/>
  <c r="C990" i="13"/>
  <c r="D990" i="13"/>
  <c r="B991" i="13"/>
  <c r="C991" i="13"/>
  <c r="D991" i="13"/>
  <c r="D313" i="28"/>
  <c r="D316" i="28" l="1"/>
  <c r="CG21" i="33"/>
  <c r="CF21" i="33"/>
  <c r="CD21" i="33"/>
  <c r="F22" i="33" l="1"/>
  <c r="CE21" i="33"/>
  <c r="U21" i="33"/>
  <c r="AQ21" i="33"/>
  <c r="BU21" i="33"/>
  <c r="W21" i="33"/>
  <c r="AS21" i="33"/>
  <c r="BV21" i="33"/>
  <c r="Y21" i="33"/>
  <c r="AU21" i="33"/>
  <c r="BW21" i="33"/>
  <c r="AB21" i="33"/>
  <c r="AW21" i="33"/>
  <c r="BX21" i="33"/>
  <c r="AE21" i="33"/>
  <c r="AY21" i="33"/>
  <c r="AH21" i="33"/>
  <c r="BT21" i="33"/>
  <c r="Y22" i="33"/>
  <c r="AM22" i="33"/>
  <c r="AM21" i="33"/>
  <c r="D303" i="28"/>
  <c r="F29" i="33"/>
  <c r="F30" i="33" s="1"/>
  <c r="CG29" i="33"/>
  <c r="CF29" i="33"/>
  <c r="Q1430" i="5"/>
  <c r="CD29" i="33" l="1"/>
  <c r="I29" i="33"/>
  <c r="BA30" i="33" l="1"/>
  <c r="BA29" i="33"/>
  <c r="AM30" i="33"/>
  <c r="AQ29" i="33"/>
  <c r="AU29" i="33"/>
  <c r="U29" i="33"/>
  <c r="Y30" i="33"/>
  <c r="BX29" i="33"/>
  <c r="BV29" i="33"/>
  <c r="CE29" i="33"/>
  <c r="AW29" i="33"/>
  <c r="Y29" i="33"/>
  <c r="AB29" i="33"/>
  <c r="BW29" i="33"/>
  <c r="BT29" i="33"/>
  <c r="AM29" i="33"/>
  <c r="W29" i="33"/>
  <c r="AH29" i="33"/>
  <c r="AY29" i="33"/>
  <c r="AE29" i="33"/>
  <c r="AS29" i="33"/>
  <c r="BU29" i="33"/>
  <c r="AJ29" i="33"/>
  <c r="AR1375" i="5"/>
  <c r="P1375" i="5"/>
  <c r="Q1375" i="5" s="1"/>
  <c r="D344" i="28" l="1"/>
  <c r="I134" i="33"/>
  <c r="CG134" i="33"/>
  <c r="CF134" i="33"/>
  <c r="CD134" i="33"/>
  <c r="D341" i="28"/>
  <c r="I128" i="33"/>
  <c r="CG128" i="33"/>
  <c r="CF128" i="33"/>
  <c r="CD128" i="33"/>
  <c r="AR1425" i="5"/>
  <c r="BA129" i="33" l="1"/>
  <c r="BA128" i="33"/>
  <c r="BA135" i="33"/>
  <c r="BA134" i="33"/>
  <c r="F129" i="33"/>
  <c r="AM129" i="33"/>
  <c r="AY134" i="33"/>
  <c r="F135" i="33"/>
  <c r="AE134" i="33"/>
  <c r="AH134" i="33"/>
  <c r="CE134" i="33"/>
  <c r="AJ134" i="33"/>
  <c r="AQ134" i="33"/>
  <c r="AS134" i="33"/>
  <c r="BW134" i="33"/>
  <c r="AM135" i="33"/>
  <c r="AM134" i="33"/>
  <c r="BT134" i="33"/>
  <c r="U134" i="33"/>
  <c r="BU134" i="33"/>
  <c r="W134" i="33"/>
  <c r="BV134" i="33"/>
  <c r="Y135" i="33"/>
  <c r="Y134" i="33"/>
  <c r="AU134" i="33"/>
  <c r="AB134" i="33"/>
  <c r="AW134" i="33"/>
  <c r="BX134" i="33"/>
  <c r="U128" i="33"/>
  <c r="AQ128" i="33"/>
  <c r="BU128" i="33"/>
  <c r="AB128" i="33"/>
  <c r="AW128" i="33"/>
  <c r="BX128" i="33"/>
  <c r="AE128" i="33"/>
  <c r="AY128" i="33"/>
  <c r="AH128" i="33"/>
  <c r="CE128" i="33"/>
  <c r="AJ128" i="33"/>
  <c r="AM128" i="33"/>
  <c r="BT128" i="33"/>
  <c r="W128" i="33"/>
  <c r="AS128" i="33"/>
  <c r="BV128" i="33"/>
  <c r="Y129" i="33"/>
  <c r="Y128" i="33"/>
  <c r="AU128" i="33"/>
  <c r="BW128" i="33"/>
  <c r="AK1409" i="5"/>
  <c r="I77" i="35" l="1"/>
  <c r="AR1424" i="5" l="1"/>
  <c r="AI57" i="11" l="1"/>
  <c r="AG57" i="11"/>
  <c r="BW71" i="33" l="1"/>
  <c r="BT70" i="33"/>
  <c r="BT71" i="33"/>
  <c r="D70" i="28" l="1"/>
  <c r="D310" i="28" l="1"/>
  <c r="D325" i="28"/>
  <c r="D302" i="28"/>
  <c r="D306" i="28"/>
  <c r="BW17" i="33"/>
  <c r="CG17" i="33"/>
  <c r="CF17" i="33"/>
  <c r="CD17" i="33"/>
  <c r="BT17" i="33" l="1"/>
  <c r="F18" i="33"/>
  <c r="AH17" i="33"/>
  <c r="CE17" i="33"/>
  <c r="AJ17" i="33"/>
  <c r="AQ17" i="33"/>
  <c r="W17" i="33"/>
  <c r="BV17" i="33"/>
  <c r="AM18" i="33"/>
  <c r="AS17" i="33"/>
  <c r="Y18" i="33"/>
  <c r="Y17" i="33"/>
  <c r="AU17" i="33"/>
  <c r="AB17" i="33"/>
  <c r="AW17" i="33"/>
  <c r="BX17" i="33"/>
  <c r="AM17" i="33"/>
  <c r="U17" i="33"/>
  <c r="BU17" i="33"/>
  <c r="AE17" i="33"/>
  <c r="AY17" i="33"/>
  <c r="C40" i="35"/>
  <c r="D40" i="35" s="1"/>
  <c r="O40" i="35" s="1"/>
  <c r="G40" i="35" l="1"/>
  <c r="H40" i="35"/>
  <c r="I40" i="35"/>
  <c r="J40" i="35"/>
  <c r="K40" i="35"/>
  <c r="L40" i="35"/>
  <c r="E40" i="35"/>
  <c r="M40" i="35"/>
  <c r="F40" i="35"/>
  <c r="N40" i="35"/>
  <c r="C61" i="35" l="1"/>
  <c r="D61" i="35" s="1"/>
  <c r="M61" i="35" s="1"/>
  <c r="F64" i="33"/>
  <c r="CD64" i="33" s="1"/>
  <c r="CG64" i="33"/>
  <c r="CF64" i="33"/>
  <c r="Q1428" i="5"/>
  <c r="F65" i="33" l="1"/>
  <c r="F61" i="35"/>
  <c r="N61" i="35"/>
  <c r="G61" i="35"/>
  <c r="O61" i="35"/>
  <c r="H61" i="35"/>
  <c r="I61" i="35"/>
  <c r="J61" i="35"/>
  <c r="K61" i="35"/>
  <c r="L61" i="35"/>
  <c r="E61" i="35"/>
  <c r="I64" i="33"/>
  <c r="BA64" i="33" l="1"/>
  <c r="BA65" i="33"/>
  <c r="BW64" i="33"/>
  <c r="Y64" i="33"/>
  <c r="BT64" i="33"/>
  <c r="BV64" i="33"/>
  <c r="AH64" i="33"/>
  <c r="AU64" i="33"/>
  <c r="AM65" i="33"/>
  <c r="Y65" i="33"/>
  <c r="AY64" i="33"/>
  <c r="AS64" i="33"/>
  <c r="AJ64" i="33"/>
  <c r="AE64" i="33"/>
  <c r="W64" i="33"/>
  <c r="BX64" i="33"/>
  <c r="BU64" i="33"/>
  <c r="AW64" i="33"/>
  <c r="AQ64" i="33"/>
  <c r="CE64" i="33"/>
  <c r="AB64" i="33"/>
  <c r="U64" i="33"/>
  <c r="AM64" i="33"/>
  <c r="EY38" i="35" l="1"/>
  <c r="FE38" i="35"/>
  <c r="FK38" i="35"/>
  <c r="FQ38" i="35"/>
  <c r="FW38" i="35"/>
  <c r="GC38" i="35"/>
  <c r="ES38" i="35"/>
  <c r="FF37" i="35"/>
  <c r="C59" i="35"/>
  <c r="D59" i="35" s="1"/>
  <c r="E59" i="35" s="1"/>
  <c r="C64" i="35"/>
  <c r="D64" i="35" s="1"/>
  <c r="M64" i="35" s="1"/>
  <c r="W77" i="35" l="1"/>
  <c r="F64" i="35"/>
  <c r="F59" i="35"/>
  <c r="E64" i="35"/>
  <c r="G59" i="35"/>
  <c r="H59" i="35"/>
  <c r="I59" i="35"/>
  <c r="O59" i="35"/>
  <c r="M59" i="35"/>
  <c r="L59" i="35"/>
  <c r="N59" i="35"/>
  <c r="K59" i="35"/>
  <c r="J59" i="35"/>
  <c r="G64" i="35"/>
  <c r="N64" i="35"/>
  <c r="L64" i="35"/>
  <c r="O64" i="35"/>
  <c r="H64" i="35"/>
  <c r="I64" i="35"/>
  <c r="J64" i="35"/>
  <c r="K64" i="35"/>
  <c r="B981" i="13"/>
  <c r="C981" i="13"/>
  <c r="D981" i="13"/>
  <c r="B982" i="13"/>
  <c r="C982" i="13"/>
  <c r="D982" i="13"/>
  <c r="B983" i="13"/>
  <c r="C983" i="13"/>
  <c r="D983" i="13"/>
  <c r="B984" i="13"/>
  <c r="C984" i="13"/>
  <c r="D984" i="13"/>
  <c r="F93" i="33"/>
  <c r="CD93" i="33" s="1"/>
  <c r="CG93" i="33"/>
  <c r="CF93" i="33"/>
  <c r="L77" i="35" l="1"/>
  <c r="Q77" i="35"/>
  <c r="N77" i="35"/>
  <c r="F94" i="33"/>
  <c r="I93" i="33"/>
  <c r="C17" i="35"/>
  <c r="D17" i="35" s="1"/>
  <c r="C16" i="35"/>
  <c r="D16" i="35" s="1"/>
  <c r="C11" i="35"/>
  <c r="D11" i="35" s="1"/>
  <c r="C12" i="35"/>
  <c r="D12" i="35" s="1"/>
  <c r="C10" i="35"/>
  <c r="D10" i="35" s="1"/>
  <c r="C18" i="35"/>
  <c r="D18" i="35" s="1"/>
  <c r="C15" i="35"/>
  <c r="D15" i="35" s="1"/>
  <c r="C13" i="35"/>
  <c r="D13" i="35" s="1"/>
  <c r="C14" i="35"/>
  <c r="D14" i="35" s="1"/>
  <c r="C28" i="35"/>
  <c r="D28" i="35" s="1"/>
  <c r="G28" i="35" s="1"/>
  <c r="C26" i="35"/>
  <c r="D26" i="35" s="1"/>
  <c r="C25" i="35"/>
  <c r="D25" i="35" s="1"/>
  <c r="C27" i="35"/>
  <c r="D27" i="35" s="1"/>
  <c r="C20" i="35"/>
  <c r="D20" i="35" s="1"/>
  <c r="C29" i="35"/>
  <c r="D29" i="35" s="1"/>
  <c r="C23" i="35"/>
  <c r="D23" i="35" s="1"/>
  <c r="C30" i="35"/>
  <c r="D30" i="35" s="1"/>
  <c r="C19" i="35"/>
  <c r="D19" i="35" s="1"/>
  <c r="C21" i="35"/>
  <c r="D21" i="35" s="1"/>
  <c r="C31" i="35"/>
  <c r="D31" i="35" s="1"/>
  <c r="C32" i="35"/>
  <c r="D32" i="35" s="1"/>
  <c r="C33" i="35"/>
  <c r="D33" i="35" s="1"/>
  <c r="C24" i="35"/>
  <c r="D24" i="35" s="1"/>
  <c r="C22" i="35"/>
  <c r="D22" i="35" s="1"/>
  <c r="BA94" i="33" l="1"/>
  <c r="BA93" i="33"/>
  <c r="BW93" i="33"/>
  <c r="BT93" i="33"/>
  <c r="G27" i="35"/>
  <c r="E27" i="35"/>
  <c r="F27" i="35"/>
  <c r="E31" i="35"/>
  <c r="F31" i="35"/>
  <c r="E25" i="35"/>
  <c r="F25" i="35"/>
  <c r="E21" i="35"/>
  <c r="F21" i="35"/>
  <c r="E26" i="35"/>
  <c r="F26" i="35"/>
  <c r="G10" i="35"/>
  <c r="E10" i="35"/>
  <c r="F10" i="35"/>
  <c r="G19" i="35"/>
  <c r="E19" i="35"/>
  <c r="F19" i="35"/>
  <c r="F28" i="35"/>
  <c r="E28" i="35"/>
  <c r="G12" i="35"/>
  <c r="E12" i="35"/>
  <c r="F12" i="35"/>
  <c r="G32" i="35"/>
  <c r="E32" i="35"/>
  <c r="F32" i="35"/>
  <c r="G30" i="35"/>
  <c r="E30" i="35"/>
  <c r="F30" i="35"/>
  <c r="M14" i="35"/>
  <c r="E14" i="35"/>
  <c r="F14" i="35"/>
  <c r="M11" i="35"/>
  <c r="F11" i="35"/>
  <c r="E11" i="35"/>
  <c r="G18" i="35"/>
  <c r="E18" i="35"/>
  <c r="F18" i="35"/>
  <c r="N22" i="35"/>
  <c r="E22" i="35"/>
  <c r="F22" i="35"/>
  <c r="G23" i="35"/>
  <c r="E23" i="35"/>
  <c r="F23" i="35"/>
  <c r="G13" i="35"/>
  <c r="F13" i="35"/>
  <c r="E13" i="35"/>
  <c r="E16" i="35"/>
  <c r="F16" i="35"/>
  <c r="G24" i="35"/>
  <c r="E24" i="35"/>
  <c r="F24" i="35"/>
  <c r="E29" i="35"/>
  <c r="F29" i="35"/>
  <c r="G17" i="35"/>
  <c r="F17" i="35"/>
  <c r="E17" i="35"/>
  <c r="G33" i="35"/>
  <c r="E33" i="35"/>
  <c r="F33" i="35"/>
  <c r="G20" i="35"/>
  <c r="E20" i="35"/>
  <c r="F20" i="35"/>
  <c r="M15" i="35"/>
  <c r="E15" i="35"/>
  <c r="F15" i="35"/>
  <c r="D77" i="35"/>
  <c r="BU93" i="33"/>
  <c r="AB93" i="33"/>
  <c r="AS93" i="33"/>
  <c r="BV93" i="33"/>
  <c r="AW93" i="33"/>
  <c r="W93" i="33"/>
  <c r="AM93" i="33"/>
  <c r="AM94" i="33"/>
  <c r="AH93" i="33"/>
  <c r="AY93" i="33"/>
  <c r="BX93" i="33"/>
  <c r="AU93" i="33"/>
  <c r="Y93" i="33"/>
  <c r="AQ93" i="33"/>
  <c r="U93" i="33"/>
  <c r="AJ93" i="33"/>
  <c r="CE93" i="33"/>
  <c r="Y94" i="33"/>
  <c r="AE93" i="33"/>
  <c r="O17" i="35"/>
  <c r="L17" i="35"/>
  <c r="J17" i="35"/>
  <c r="N17" i="35"/>
  <c r="M17" i="35"/>
  <c r="I17" i="35"/>
  <c r="H17" i="35"/>
  <c r="K17" i="35"/>
  <c r="O16" i="35"/>
  <c r="G16" i="35"/>
  <c r="H16" i="35"/>
  <c r="N16" i="35"/>
  <c r="J16" i="35"/>
  <c r="I16" i="35"/>
  <c r="M16" i="35"/>
  <c r="L16" i="35"/>
  <c r="N11" i="35"/>
  <c r="O11" i="35"/>
  <c r="I11" i="35"/>
  <c r="J11" i="35"/>
  <c r="K11" i="35"/>
  <c r="L11" i="35"/>
  <c r="G11" i="35"/>
  <c r="H11" i="35"/>
  <c r="N12" i="35"/>
  <c r="L12" i="35"/>
  <c r="J12" i="35"/>
  <c r="M12" i="35"/>
  <c r="O12" i="35"/>
  <c r="K12" i="35"/>
  <c r="I12" i="35"/>
  <c r="H12" i="35"/>
  <c r="O10" i="35"/>
  <c r="M10" i="35"/>
  <c r="J10" i="35"/>
  <c r="N10" i="35"/>
  <c r="L10" i="35"/>
  <c r="I10" i="35"/>
  <c r="H10" i="35"/>
  <c r="O18" i="35"/>
  <c r="I18" i="35"/>
  <c r="N18" i="35"/>
  <c r="L18" i="35"/>
  <c r="K18" i="35"/>
  <c r="J18" i="35"/>
  <c r="H18" i="35"/>
  <c r="M18" i="35"/>
  <c r="G15" i="35"/>
  <c r="N15" i="35"/>
  <c r="H15" i="35"/>
  <c r="I15" i="35"/>
  <c r="O15" i="35"/>
  <c r="J15" i="35"/>
  <c r="K15" i="35"/>
  <c r="L15" i="35"/>
  <c r="N13" i="35"/>
  <c r="M13" i="35"/>
  <c r="L13" i="35"/>
  <c r="J13" i="35"/>
  <c r="I13" i="35"/>
  <c r="H13" i="35"/>
  <c r="O13" i="35"/>
  <c r="N14" i="35"/>
  <c r="G14" i="35"/>
  <c r="O14" i="35"/>
  <c r="H14" i="35"/>
  <c r="I14" i="35"/>
  <c r="J14" i="35"/>
  <c r="K14" i="35"/>
  <c r="L14" i="35"/>
  <c r="N28" i="35"/>
  <c r="M28" i="35"/>
  <c r="L28" i="35"/>
  <c r="K28" i="35"/>
  <c r="J28" i="35"/>
  <c r="I28" i="35"/>
  <c r="H28" i="35"/>
  <c r="O28" i="35"/>
  <c r="N26" i="35"/>
  <c r="L26" i="35"/>
  <c r="H26" i="35"/>
  <c r="M26" i="35"/>
  <c r="O26" i="35"/>
  <c r="K26" i="35"/>
  <c r="J26" i="35"/>
  <c r="I26" i="35"/>
  <c r="G26" i="35"/>
  <c r="O25" i="35"/>
  <c r="G25" i="35"/>
  <c r="L25" i="35"/>
  <c r="J25" i="35"/>
  <c r="H25" i="35"/>
  <c r="N25" i="35"/>
  <c r="M25" i="35"/>
  <c r="I25" i="35"/>
  <c r="O27" i="35"/>
  <c r="L27" i="35"/>
  <c r="I27" i="35"/>
  <c r="H27" i="35"/>
  <c r="N27" i="35"/>
  <c r="M27" i="35"/>
  <c r="J27" i="35"/>
  <c r="N20" i="35"/>
  <c r="L20" i="35"/>
  <c r="H20" i="35"/>
  <c r="M20" i="35"/>
  <c r="J20" i="35"/>
  <c r="I20" i="35"/>
  <c r="O20" i="35"/>
  <c r="O29" i="35"/>
  <c r="G29" i="35"/>
  <c r="N29" i="35"/>
  <c r="K29" i="35"/>
  <c r="I29" i="35"/>
  <c r="M29" i="35"/>
  <c r="L29" i="35"/>
  <c r="J29" i="35"/>
  <c r="H29" i="35"/>
  <c r="N23" i="35"/>
  <c r="L23" i="35"/>
  <c r="K23" i="35"/>
  <c r="J23" i="35"/>
  <c r="I23" i="35"/>
  <c r="H23" i="35"/>
  <c r="O23" i="35"/>
  <c r="M23" i="35"/>
  <c r="O30" i="35"/>
  <c r="N30" i="35"/>
  <c r="L30" i="35"/>
  <c r="I30" i="35"/>
  <c r="M30" i="35"/>
  <c r="K30" i="35"/>
  <c r="J30" i="35"/>
  <c r="H30" i="35"/>
  <c r="N19" i="35"/>
  <c r="L19" i="35"/>
  <c r="K19" i="35"/>
  <c r="J19" i="35"/>
  <c r="I19" i="35"/>
  <c r="M19" i="35"/>
  <c r="H19" i="35"/>
  <c r="O19" i="35"/>
  <c r="N21" i="35"/>
  <c r="L21" i="35"/>
  <c r="J21" i="35"/>
  <c r="M21" i="35"/>
  <c r="H21" i="35"/>
  <c r="O21" i="35"/>
  <c r="I21" i="35"/>
  <c r="G21" i="35"/>
  <c r="N31" i="35"/>
  <c r="J31" i="35"/>
  <c r="M31" i="35"/>
  <c r="O31" i="35"/>
  <c r="L31" i="35"/>
  <c r="I31" i="35"/>
  <c r="H31" i="35"/>
  <c r="G31" i="35"/>
  <c r="N32" i="35"/>
  <c r="K32" i="35"/>
  <c r="I32" i="35"/>
  <c r="O32" i="35"/>
  <c r="M32" i="35"/>
  <c r="H32" i="35"/>
  <c r="L32" i="35"/>
  <c r="J32" i="35"/>
  <c r="N33" i="35"/>
  <c r="L33" i="35"/>
  <c r="K33" i="35"/>
  <c r="J33" i="35"/>
  <c r="I33" i="35"/>
  <c r="H33" i="35"/>
  <c r="O33" i="35"/>
  <c r="M33" i="35"/>
  <c r="N24" i="35"/>
  <c r="L24" i="35"/>
  <c r="K24" i="35"/>
  <c r="J24" i="35"/>
  <c r="I24" i="35"/>
  <c r="H24" i="35"/>
  <c r="O24" i="35"/>
  <c r="M24" i="35"/>
  <c r="H22" i="35"/>
  <c r="J22" i="35"/>
  <c r="O22" i="35"/>
  <c r="K22" i="35"/>
  <c r="G22" i="35"/>
  <c r="I22" i="35"/>
  <c r="L22" i="35"/>
  <c r="M22" i="35"/>
  <c r="F31" i="33"/>
  <c r="I31" i="33" s="1"/>
  <c r="BA32" i="33" l="1"/>
  <c r="BA31" i="33"/>
  <c r="BT31" i="33"/>
  <c r="BW31" i="33"/>
  <c r="F32" i="33"/>
  <c r="D82" i="35"/>
  <c r="AK142" i="33" l="1"/>
  <c r="O82" i="35"/>
  <c r="M82" i="35"/>
  <c r="K82" i="35"/>
  <c r="J82" i="35"/>
  <c r="I82" i="35"/>
  <c r="H82" i="35"/>
  <c r="E82" i="35"/>
  <c r="G82" i="35"/>
  <c r="F82" i="35"/>
  <c r="N82" i="35"/>
  <c r="L82" i="35"/>
  <c r="AG77" i="35"/>
  <c r="D74" i="35" l="1"/>
  <c r="D73" i="35"/>
  <c r="D72" i="35"/>
  <c r="D71" i="35"/>
  <c r="D70" i="35"/>
  <c r="D69" i="35"/>
  <c r="D68" i="35"/>
  <c r="D47" i="35"/>
  <c r="D67" i="35"/>
  <c r="D66" i="35"/>
  <c r="D63" i="35"/>
  <c r="D62" i="35"/>
  <c r="D60" i="35"/>
  <c r="D58" i="35"/>
  <c r="D57" i="35"/>
  <c r="D56" i="35"/>
  <c r="D54" i="35"/>
  <c r="D52" i="35"/>
  <c r="D55" i="35"/>
  <c r="D53" i="35"/>
  <c r="D65" i="35"/>
  <c r="D49" i="35"/>
  <c r="D51" i="35"/>
  <c r="D50" i="35"/>
  <c r="D48" i="35"/>
  <c r="D46" i="35"/>
  <c r="D45" i="35"/>
  <c r="D44" i="35"/>
  <c r="D43" i="35"/>
  <c r="D42" i="35"/>
  <c r="D41" i="35"/>
  <c r="D8" i="35"/>
  <c r="D7" i="35"/>
  <c r="D102" i="35"/>
  <c r="FF3" i="35"/>
  <c r="E47" i="35" l="1"/>
  <c r="F47" i="35"/>
  <c r="F41" i="35"/>
  <c r="E41" i="35"/>
  <c r="E51" i="35"/>
  <c r="F51" i="35"/>
  <c r="E57" i="35"/>
  <c r="F57" i="35"/>
  <c r="E68" i="35"/>
  <c r="F68" i="35"/>
  <c r="E50" i="35"/>
  <c r="F50" i="35"/>
  <c r="E42" i="35"/>
  <c r="F42" i="35"/>
  <c r="E49" i="35"/>
  <c r="F49" i="35"/>
  <c r="E58" i="35"/>
  <c r="F58" i="35"/>
  <c r="F69" i="35"/>
  <c r="E69" i="35"/>
  <c r="E56" i="35"/>
  <c r="F56" i="35"/>
  <c r="E43" i="35"/>
  <c r="F43" i="35"/>
  <c r="E65" i="35"/>
  <c r="F65" i="35"/>
  <c r="E60" i="35"/>
  <c r="F60" i="35"/>
  <c r="E70" i="35"/>
  <c r="F70" i="35"/>
  <c r="E44" i="35"/>
  <c r="F44" i="35"/>
  <c r="E53" i="35"/>
  <c r="F53" i="35"/>
  <c r="E62" i="35"/>
  <c r="F62" i="35"/>
  <c r="E71" i="35"/>
  <c r="F71" i="35"/>
  <c r="F7" i="35"/>
  <c r="E7" i="35"/>
  <c r="E45" i="35"/>
  <c r="F45" i="35"/>
  <c r="E55" i="35"/>
  <c r="F55" i="35"/>
  <c r="F63" i="35"/>
  <c r="E63" i="35"/>
  <c r="E72" i="35"/>
  <c r="F72" i="35"/>
  <c r="E8" i="35"/>
  <c r="F8" i="35"/>
  <c r="E46" i="35"/>
  <c r="F46" i="35"/>
  <c r="E52" i="35"/>
  <c r="F52" i="35"/>
  <c r="E66" i="35"/>
  <c r="F66" i="35"/>
  <c r="E73" i="35"/>
  <c r="F73" i="35"/>
  <c r="E48" i="35"/>
  <c r="F48" i="35"/>
  <c r="F54" i="35"/>
  <c r="E54" i="35"/>
  <c r="E67" i="35"/>
  <c r="F67" i="35"/>
  <c r="E74" i="35"/>
  <c r="F74" i="35"/>
  <c r="J41" i="35"/>
  <c r="I41" i="35"/>
  <c r="H41" i="35"/>
  <c r="J42" i="35"/>
  <c r="I42" i="35"/>
  <c r="H42" i="35"/>
  <c r="J49" i="35"/>
  <c r="I49" i="35"/>
  <c r="H49" i="35"/>
  <c r="J58" i="35"/>
  <c r="I58" i="35"/>
  <c r="H58" i="35"/>
  <c r="J69" i="35"/>
  <c r="I69" i="35"/>
  <c r="H69" i="35"/>
  <c r="J57" i="35"/>
  <c r="I57" i="35"/>
  <c r="H57" i="35"/>
  <c r="I43" i="35"/>
  <c r="H43" i="35"/>
  <c r="J43" i="35"/>
  <c r="I65" i="35"/>
  <c r="H65" i="35"/>
  <c r="J65" i="35"/>
  <c r="I60" i="35"/>
  <c r="H60" i="35"/>
  <c r="J60" i="35"/>
  <c r="I70" i="35"/>
  <c r="H70" i="35"/>
  <c r="J70" i="35"/>
  <c r="J68" i="35"/>
  <c r="H68" i="35"/>
  <c r="I68" i="35"/>
  <c r="J44" i="35"/>
  <c r="I44" i="35"/>
  <c r="H44" i="35"/>
  <c r="J53" i="35"/>
  <c r="I53" i="35"/>
  <c r="H53" i="35"/>
  <c r="J62" i="35"/>
  <c r="I62" i="35"/>
  <c r="H62" i="35"/>
  <c r="J71" i="35"/>
  <c r="I71" i="35"/>
  <c r="H71" i="35"/>
  <c r="J51" i="35"/>
  <c r="H51" i="35"/>
  <c r="I51" i="35"/>
  <c r="J45" i="35"/>
  <c r="I45" i="35"/>
  <c r="H45" i="35"/>
  <c r="J55" i="35"/>
  <c r="I55" i="35"/>
  <c r="H55" i="35"/>
  <c r="J63" i="35"/>
  <c r="I63" i="35"/>
  <c r="H63" i="35"/>
  <c r="J72" i="35"/>
  <c r="I72" i="35"/>
  <c r="H72" i="35"/>
  <c r="H46" i="35"/>
  <c r="J46" i="35"/>
  <c r="I46" i="35"/>
  <c r="H52" i="35"/>
  <c r="I52" i="35"/>
  <c r="J52" i="35"/>
  <c r="H66" i="35"/>
  <c r="J66" i="35"/>
  <c r="I66" i="35"/>
  <c r="H73" i="35"/>
  <c r="J73" i="35"/>
  <c r="I73" i="35"/>
  <c r="J48" i="35"/>
  <c r="I48" i="35"/>
  <c r="H48" i="35"/>
  <c r="J54" i="35"/>
  <c r="I54" i="35"/>
  <c r="H54" i="35"/>
  <c r="J67" i="35"/>
  <c r="I67" i="35"/>
  <c r="H67" i="35"/>
  <c r="J50" i="35"/>
  <c r="I50" i="35"/>
  <c r="H50" i="35"/>
  <c r="J56" i="35"/>
  <c r="I56" i="35"/>
  <c r="H56" i="35"/>
  <c r="J47" i="35"/>
  <c r="I47" i="35"/>
  <c r="H47" i="35"/>
  <c r="J74" i="35"/>
  <c r="I74" i="35"/>
  <c r="H74" i="35"/>
  <c r="N41" i="35"/>
  <c r="M41" i="35"/>
  <c r="M51" i="35"/>
  <c r="N51" i="35"/>
  <c r="K57" i="35"/>
  <c r="M57" i="35"/>
  <c r="N57" i="35"/>
  <c r="K68" i="35"/>
  <c r="M68" i="35"/>
  <c r="N68" i="35"/>
  <c r="K42" i="35"/>
  <c r="N42" i="35"/>
  <c r="M42" i="35"/>
  <c r="N49" i="35"/>
  <c r="M49" i="35"/>
  <c r="M58" i="35"/>
  <c r="N58" i="35"/>
  <c r="K69" i="35"/>
  <c r="N69" i="35"/>
  <c r="M69" i="35"/>
  <c r="K43" i="35"/>
  <c r="N43" i="35"/>
  <c r="M43" i="35"/>
  <c r="K65" i="35"/>
  <c r="N65" i="35"/>
  <c r="M65" i="35"/>
  <c r="N60" i="35"/>
  <c r="M60" i="35"/>
  <c r="K70" i="35"/>
  <c r="N70" i="35"/>
  <c r="M70" i="35"/>
  <c r="M44" i="35"/>
  <c r="N44" i="35"/>
  <c r="K53" i="35"/>
  <c r="M53" i="35"/>
  <c r="N53" i="35"/>
  <c r="K62" i="35"/>
  <c r="N62" i="35"/>
  <c r="M62" i="35"/>
  <c r="K71" i="35"/>
  <c r="M71" i="35"/>
  <c r="N71" i="35"/>
  <c r="M7" i="35"/>
  <c r="L7" i="35"/>
  <c r="N7" i="35"/>
  <c r="K45" i="35"/>
  <c r="M45" i="35"/>
  <c r="N45" i="35"/>
  <c r="K55" i="35"/>
  <c r="M55" i="35"/>
  <c r="N55" i="35"/>
  <c r="K63" i="35"/>
  <c r="M63" i="35"/>
  <c r="N63" i="35"/>
  <c r="K72" i="35"/>
  <c r="N72" i="35"/>
  <c r="M72" i="35"/>
  <c r="N8" i="35"/>
  <c r="M8" i="35"/>
  <c r="K46" i="35"/>
  <c r="N46" i="35"/>
  <c r="M46" i="35"/>
  <c r="K52" i="35"/>
  <c r="M52" i="35"/>
  <c r="N52" i="35"/>
  <c r="M66" i="35"/>
  <c r="N66" i="35"/>
  <c r="K73" i="35"/>
  <c r="M73" i="35"/>
  <c r="N73" i="35"/>
  <c r="K48" i="35"/>
  <c r="N48" i="35"/>
  <c r="M48" i="35"/>
  <c r="K54" i="35"/>
  <c r="N54" i="35"/>
  <c r="M54" i="35"/>
  <c r="K67" i="35"/>
  <c r="N67" i="35"/>
  <c r="M67" i="35"/>
  <c r="N50" i="35"/>
  <c r="M50" i="35"/>
  <c r="K56" i="35"/>
  <c r="M56" i="35"/>
  <c r="N56" i="35"/>
  <c r="K47" i="35"/>
  <c r="N47" i="35"/>
  <c r="M47" i="35"/>
  <c r="K74" i="35"/>
  <c r="M74" i="35"/>
  <c r="N74" i="35"/>
  <c r="K41" i="35"/>
  <c r="L41" i="35"/>
  <c r="G42" i="35"/>
  <c r="O42" i="35"/>
  <c r="L42" i="35"/>
  <c r="G49" i="35"/>
  <c r="O49" i="35"/>
  <c r="L49" i="35"/>
  <c r="G58" i="35"/>
  <c r="O58" i="35"/>
  <c r="L58" i="35"/>
  <c r="G69" i="35"/>
  <c r="O69" i="35"/>
  <c r="L69" i="35"/>
  <c r="O41" i="35"/>
  <c r="G41" i="35"/>
  <c r="G51" i="35"/>
  <c r="O51" i="35"/>
  <c r="L51" i="35"/>
  <c r="G68" i="35"/>
  <c r="O68" i="35"/>
  <c r="L68" i="35"/>
  <c r="G43" i="35"/>
  <c r="O43" i="35"/>
  <c r="L43" i="35"/>
  <c r="G65" i="35"/>
  <c r="O65" i="35"/>
  <c r="L65" i="35"/>
  <c r="G60" i="35"/>
  <c r="O60" i="35"/>
  <c r="L60" i="35"/>
  <c r="G70" i="35"/>
  <c r="O70" i="35"/>
  <c r="L70" i="35"/>
  <c r="G57" i="35"/>
  <c r="O57" i="35"/>
  <c r="L57" i="35"/>
  <c r="G44" i="35"/>
  <c r="O44" i="35"/>
  <c r="L44" i="35"/>
  <c r="G53" i="35"/>
  <c r="L53" i="35"/>
  <c r="O53" i="35"/>
  <c r="G62" i="35"/>
  <c r="L62" i="35"/>
  <c r="O62" i="35"/>
  <c r="G71" i="35"/>
  <c r="L71" i="35"/>
  <c r="O71" i="35"/>
  <c r="H7" i="35"/>
  <c r="O7" i="35"/>
  <c r="G45" i="35"/>
  <c r="L45" i="35"/>
  <c r="O45" i="35"/>
  <c r="G55" i="35"/>
  <c r="L55" i="35"/>
  <c r="O55" i="35"/>
  <c r="G63" i="35"/>
  <c r="O63" i="35"/>
  <c r="L63" i="35"/>
  <c r="G72" i="35"/>
  <c r="L72" i="35"/>
  <c r="O72" i="35"/>
  <c r="G8" i="35"/>
  <c r="O8" i="35"/>
  <c r="G46" i="35"/>
  <c r="L46" i="35"/>
  <c r="O46" i="35"/>
  <c r="G52" i="35"/>
  <c r="L52" i="35"/>
  <c r="O52" i="35"/>
  <c r="G66" i="35"/>
  <c r="L66" i="35"/>
  <c r="O66" i="35"/>
  <c r="G73" i="35"/>
  <c r="L73" i="35"/>
  <c r="O73" i="35"/>
  <c r="G48" i="35"/>
  <c r="O48" i="35"/>
  <c r="L48" i="35"/>
  <c r="G54" i="35"/>
  <c r="O54" i="35"/>
  <c r="L54" i="35"/>
  <c r="G67" i="35"/>
  <c r="O67" i="35"/>
  <c r="L67" i="35"/>
  <c r="G50" i="35"/>
  <c r="O50" i="35"/>
  <c r="L50" i="35"/>
  <c r="G56" i="35"/>
  <c r="O56" i="35"/>
  <c r="L56" i="35"/>
  <c r="G47" i="35"/>
  <c r="O47" i="35"/>
  <c r="L47" i="35"/>
  <c r="G74" i="35"/>
  <c r="O74" i="35"/>
  <c r="L74" i="35"/>
  <c r="H8" i="35"/>
  <c r="I8" i="35"/>
  <c r="J7" i="35"/>
  <c r="K8" i="35"/>
  <c r="G7" i="35"/>
  <c r="I7" i="35"/>
  <c r="J8" i="35"/>
  <c r="AK1376" i="5"/>
  <c r="AK1393" i="5"/>
  <c r="AK1388" i="5"/>
  <c r="D328" i="28" l="1"/>
  <c r="P1425" i="5" l="1"/>
  <c r="D299" i="28" l="1"/>
  <c r="Q1424" i="5"/>
  <c r="K58" i="35" s="1"/>
  <c r="BW72" i="33" l="1"/>
  <c r="CG72" i="33"/>
  <c r="CF72" i="33"/>
  <c r="CD72" i="33"/>
  <c r="BT72" i="33" l="1"/>
  <c r="AM72" i="33"/>
  <c r="U72" i="33"/>
  <c r="AQ72" i="33"/>
  <c r="BU72" i="33"/>
  <c r="BV72" i="33"/>
  <c r="Y73" i="33"/>
  <c r="AE72" i="33"/>
  <c r="AY72" i="33"/>
  <c r="CE72" i="33"/>
  <c r="AJ72" i="33"/>
  <c r="AM73" i="33"/>
  <c r="AH72" i="33"/>
  <c r="W72" i="33"/>
  <c r="AS72" i="33"/>
  <c r="Y72" i="33"/>
  <c r="AU72" i="33"/>
  <c r="AB72" i="33"/>
  <c r="AW72" i="33"/>
  <c r="BX72" i="33"/>
  <c r="AR1417" i="5"/>
  <c r="D300" i="28"/>
  <c r="F44" i="33"/>
  <c r="F45" i="33" s="1"/>
  <c r="CG44" i="33"/>
  <c r="CF44" i="33"/>
  <c r="B976" i="13"/>
  <c r="C976" i="13"/>
  <c r="D976" i="13"/>
  <c r="B977" i="13"/>
  <c r="C977" i="13"/>
  <c r="D977" i="13"/>
  <c r="B978" i="13"/>
  <c r="C978" i="13"/>
  <c r="D978" i="13"/>
  <c r="B979" i="13"/>
  <c r="C979" i="13"/>
  <c r="D979" i="13"/>
  <c r="B980" i="13"/>
  <c r="C980" i="13"/>
  <c r="D980" i="13"/>
  <c r="CD44" i="33" l="1"/>
  <c r="I44" i="33"/>
  <c r="AK669" i="5"/>
  <c r="BA45" i="33" l="1"/>
  <c r="BA44" i="33"/>
  <c r="BW44" i="33"/>
  <c r="AY44" i="33"/>
  <c r="BT44" i="33"/>
  <c r="AW44" i="33"/>
  <c r="AM44" i="33"/>
  <c r="BU44" i="33"/>
  <c r="U44" i="33"/>
  <c r="AB44" i="33"/>
  <c r="CE44" i="33"/>
  <c r="BV44" i="33"/>
  <c r="AS44" i="33"/>
  <c r="W44" i="33"/>
  <c r="Y44" i="33"/>
  <c r="BX44" i="33"/>
  <c r="Y45" i="33"/>
  <c r="AQ44" i="33"/>
  <c r="AM45" i="33"/>
  <c r="AH44" i="33"/>
  <c r="AU44" i="33"/>
  <c r="AE44" i="33"/>
  <c r="Q1399" i="5"/>
  <c r="P1399" i="5" l="1"/>
  <c r="K51" i="35"/>
  <c r="F39" i="33"/>
  <c r="I39" i="33" s="1"/>
  <c r="BA39" i="33" l="1"/>
  <c r="BA40" i="33"/>
  <c r="BW39" i="33"/>
  <c r="F40" i="33"/>
  <c r="BT39" i="33"/>
  <c r="D292" i="28"/>
  <c r="D295" i="28"/>
  <c r="F19" i="33" l="1"/>
  <c r="I19" i="33" s="1"/>
  <c r="BA20" i="33" l="1"/>
  <c r="BA19" i="33"/>
  <c r="BW19" i="33"/>
  <c r="F20" i="33"/>
  <c r="BT19" i="33"/>
  <c r="BY1378" i="5"/>
  <c r="BY1377" i="5"/>
  <c r="F97" i="33"/>
  <c r="I97" i="33" s="1"/>
  <c r="P1419" i="5"/>
  <c r="BA98" i="33" l="1"/>
  <c r="BA97" i="33"/>
  <c r="BT97" i="33"/>
  <c r="BW97" i="33"/>
  <c r="F98" i="33"/>
  <c r="AR1376" i="5"/>
  <c r="AE37" i="33" s="1"/>
  <c r="Q1418" i="5" l="1"/>
  <c r="K49" i="35" s="1"/>
  <c r="D327" i="28"/>
  <c r="CG97" i="33"/>
  <c r="CF97" i="33"/>
  <c r="CD97" i="33"/>
  <c r="CE97" i="33" l="1"/>
  <c r="AM98" i="33"/>
  <c r="AH97" i="33"/>
  <c r="AJ97" i="33"/>
  <c r="AM97" i="33"/>
  <c r="U97" i="33"/>
  <c r="AQ97" i="33"/>
  <c r="BU97" i="33"/>
  <c r="W97" i="33"/>
  <c r="AS97" i="33"/>
  <c r="BV97" i="33"/>
  <c r="Y98" i="33"/>
  <c r="Y97" i="33"/>
  <c r="AU97" i="33"/>
  <c r="AB97" i="33"/>
  <c r="AW97" i="33"/>
  <c r="BX97" i="33"/>
  <c r="AE97" i="33"/>
  <c r="AY97" i="33"/>
  <c r="D287" i="28" l="1"/>
  <c r="GL3" i="28" l="1"/>
  <c r="Q1417" i="5" l="1"/>
  <c r="K60" i="35" s="1"/>
  <c r="F95" i="33"/>
  <c r="F96" i="33" s="1"/>
  <c r="I95" i="33" l="1"/>
  <c r="BW54" i="33"/>
  <c r="BA96" i="33" l="1"/>
  <c r="BA95" i="33"/>
  <c r="BT95" i="33"/>
  <c r="BW95" i="33"/>
  <c r="BT54" i="33"/>
  <c r="B971" i="13"/>
  <c r="C971" i="13"/>
  <c r="D971" i="13"/>
  <c r="B972" i="13"/>
  <c r="C972" i="13"/>
  <c r="D972" i="13"/>
  <c r="B973" i="13"/>
  <c r="C973" i="13"/>
  <c r="D973" i="13"/>
  <c r="B974" i="13"/>
  <c r="C974" i="13"/>
  <c r="D974" i="13"/>
  <c r="B975" i="13"/>
  <c r="C975" i="13"/>
  <c r="D975" i="13"/>
  <c r="D970" i="13"/>
  <c r="C970" i="13"/>
  <c r="B970" i="13"/>
  <c r="D288" i="28" l="1"/>
  <c r="P1416" i="5"/>
  <c r="D293" i="28" l="1"/>
  <c r="CG39" i="33" l="1"/>
  <c r="CF39" i="33"/>
  <c r="CD39" i="33"/>
  <c r="D311" i="28"/>
  <c r="AE39" i="33" l="1"/>
  <c r="AY39" i="33"/>
  <c r="CE39" i="33"/>
  <c r="AJ39" i="33"/>
  <c r="AH39" i="33"/>
  <c r="AM39" i="33"/>
  <c r="U39" i="33"/>
  <c r="AQ39" i="33"/>
  <c r="BU39" i="33"/>
  <c r="W39" i="33"/>
  <c r="Y40" i="33"/>
  <c r="Y39" i="33"/>
  <c r="AU39" i="33"/>
  <c r="AM40" i="33"/>
  <c r="AS39" i="33"/>
  <c r="BV39" i="33"/>
  <c r="AB39" i="33"/>
  <c r="AW39" i="33"/>
  <c r="BX39" i="33"/>
  <c r="F99" i="33"/>
  <c r="I99" i="33" l="1"/>
  <c r="F100" i="33"/>
  <c r="D298" i="28"/>
  <c r="B964" i="13"/>
  <c r="C964" i="13"/>
  <c r="D964" i="13"/>
  <c r="B965" i="13"/>
  <c r="C965" i="13"/>
  <c r="D965" i="13"/>
  <c r="B966" i="13"/>
  <c r="C966" i="13"/>
  <c r="D966" i="13"/>
  <c r="B967" i="13"/>
  <c r="C967" i="13"/>
  <c r="D967" i="13"/>
  <c r="B968" i="13"/>
  <c r="C968" i="13"/>
  <c r="D968" i="13"/>
  <c r="B969" i="13"/>
  <c r="C969" i="13"/>
  <c r="D969" i="13"/>
  <c r="BA99" i="33" l="1"/>
  <c r="BA100" i="33"/>
  <c r="BT99" i="33"/>
  <c r="BW99" i="33"/>
  <c r="Q1404" i="5"/>
  <c r="K13" i="35" s="1"/>
  <c r="F35" i="33" l="1"/>
  <c r="I35" i="33" s="1"/>
  <c r="BA36" i="33" l="1"/>
  <c r="BA35" i="33"/>
  <c r="BW35" i="33"/>
  <c r="F36" i="33"/>
  <c r="BT35" i="33"/>
  <c r="F10" i="33"/>
  <c r="I10" i="33" s="1"/>
  <c r="BA11" i="33" l="1"/>
  <c r="BA10" i="33"/>
  <c r="BW10" i="33"/>
  <c r="F11" i="33"/>
  <c r="BT10" i="33"/>
  <c r="CG19" i="33"/>
  <c r="CF19" i="33"/>
  <c r="CD19" i="33"/>
  <c r="AM20" i="33" l="1"/>
  <c r="AW19" i="33"/>
  <c r="BX19" i="33"/>
  <c r="AE19" i="33"/>
  <c r="AY19" i="33"/>
  <c r="AH19" i="33"/>
  <c r="CE19" i="33"/>
  <c r="AM19" i="33"/>
  <c r="AB19" i="33"/>
  <c r="AJ19" i="33"/>
  <c r="U19" i="33"/>
  <c r="AQ19" i="33"/>
  <c r="BU19" i="33"/>
  <c r="W19" i="33"/>
  <c r="AS19" i="33"/>
  <c r="BV19" i="33"/>
  <c r="Y20" i="33"/>
  <c r="Y19" i="33"/>
  <c r="AU19" i="33"/>
  <c r="D289" i="28"/>
  <c r="BL1404" i="5" l="1"/>
  <c r="F8" i="33" l="1"/>
  <c r="I8" i="33" l="1"/>
  <c r="F9" i="33"/>
  <c r="AK1378" i="5"/>
  <c r="BA9" i="33" l="1"/>
  <c r="BA8" i="33"/>
  <c r="BT8" i="33"/>
  <c r="BW8" i="33"/>
  <c r="BS21" i="11" l="1"/>
  <c r="BQ21" i="11"/>
  <c r="BS22" i="11"/>
  <c r="BQ22" i="11"/>
  <c r="AR1383" i="5" l="1"/>
  <c r="D283" i="28" l="1"/>
  <c r="Q1397" i="5"/>
  <c r="D308" i="28" l="1"/>
  <c r="CG31" i="33"/>
  <c r="CF31" i="33"/>
  <c r="CD31" i="33"/>
  <c r="AE31" i="33" l="1"/>
  <c r="AY31" i="33"/>
  <c r="AH31" i="33"/>
  <c r="CE31" i="33"/>
  <c r="AJ31" i="33"/>
  <c r="BU31" i="33"/>
  <c r="AM31" i="33"/>
  <c r="U31" i="33"/>
  <c r="AQ31" i="33"/>
  <c r="AM32" i="33"/>
  <c r="W31" i="33"/>
  <c r="AS31" i="33"/>
  <c r="BV31" i="33"/>
  <c r="Y32" i="33"/>
  <c r="Y31" i="33"/>
  <c r="AU31" i="33"/>
  <c r="AB31" i="33"/>
  <c r="AW31" i="33"/>
  <c r="BX31" i="33"/>
  <c r="D280" i="28" l="1"/>
  <c r="D281" i="28" l="1"/>
  <c r="D282" i="28" l="1"/>
  <c r="D296" i="28" l="1"/>
  <c r="Q1401" i="5" l="1"/>
  <c r="K50" i="35" s="1"/>
  <c r="F12" i="33"/>
  <c r="F13" i="33" s="1"/>
  <c r="I12" i="33" l="1"/>
  <c r="D286" i="28"/>
  <c r="BA13" i="33" l="1"/>
  <c r="BA12" i="33"/>
  <c r="BT12" i="33"/>
  <c r="BW12" i="33"/>
  <c r="Q1387" i="5"/>
  <c r="Q1386" i="5"/>
  <c r="Q1385" i="5"/>
  <c r="B959" i="13" l="1"/>
  <c r="C959" i="13"/>
  <c r="D959" i="13"/>
  <c r="B960" i="13"/>
  <c r="C960" i="13"/>
  <c r="D960" i="13"/>
  <c r="B961" i="13"/>
  <c r="C961" i="13"/>
  <c r="D961" i="13"/>
  <c r="B962" i="13"/>
  <c r="C962" i="13"/>
  <c r="D962" i="13"/>
  <c r="B963" i="13"/>
  <c r="C963" i="13"/>
  <c r="D963" i="13"/>
  <c r="D958" i="13"/>
  <c r="C958" i="13"/>
  <c r="B958" i="13"/>
  <c r="P1400" i="5"/>
  <c r="Q1400" i="5"/>
  <c r="K21" i="35" s="1"/>
  <c r="D284" i="28"/>
  <c r="D297" i="28" l="1"/>
  <c r="CG12" i="33"/>
  <c r="CF12" i="33"/>
  <c r="CD12" i="33"/>
  <c r="AM13" i="33" l="1"/>
  <c r="U12" i="33"/>
  <c r="AQ12" i="33"/>
  <c r="BU12" i="33"/>
  <c r="AB12" i="33"/>
  <c r="AW12" i="33"/>
  <c r="BX12" i="33"/>
  <c r="AE12" i="33"/>
  <c r="AY12" i="33"/>
  <c r="AH12" i="33"/>
  <c r="CE12" i="33"/>
  <c r="AJ12" i="33"/>
  <c r="AM12" i="33"/>
  <c r="W12" i="33"/>
  <c r="AS12" i="33"/>
  <c r="BV12" i="33"/>
  <c r="Y13" i="33"/>
  <c r="Y12" i="33"/>
  <c r="AU12" i="33"/>
  <c r="AM55" i="33"/>
  <c r="CG54" i="33"/>
  <c r="CF54" i="33"/>
  <c r="CD54" i="33"/>
  <c r="D315" i="28"/>
  <c r="AB54" i="33" l="1"/>
  <c r="BX54" i="33"/>
  <c r="AW54" i="33"/>
  <c r="AY54" i="33"/>
  <c r="CE54" i="33"/>
  <c r="AJ54" i="33"/>
  <c r="AM54" i="33"/>
  <c r="W54" i="33"/>
  <c r="AS54" i="33"/>
  <c r="BV54" i="33"/>
  <c r="Y55" i="33"/>
  <c r="AE54" i="33"/>
  <c r="AH54" i="33"/>
  <c r="U54" i="33"/>
  <c r="AQ54" i="33"/>
  <c r="BU54" i="33"/>
  <c r="Y54" i="33"/>
  <c r="AU54" i="33"/>
  <c r="AY8" i="33" l="1"/>
  <c r="CG8" i="33"/>
  <c r="CF8" i="33"/>
  <c r="CD8" i="33"/>
  <c r="AH8" i="33" l="1"/>
  <c r="CE8" i="33"/>
  <c r="AE8" i="33"/>
  <c r="AM8" i="33"/>
  <c r="Y9" i="33"/>
  <c r="AJ8" i="33"/>
  <c r="U8" i="33"/>
  <c r="AQ8" i="33"/>
  <c r="BU8" i="33"/>
  <c r="W8" i="33"/>
  <c r="AS8" i="33"/>
  <c r="BV8" i="33"/>
  <c r="Y8" i="33"/>
  <c r="AU8" i="33"/>
  <c r="AM9" i="33"/>
  <c r="AB8" i="33"/>
  <c r="AW8" i="33"/>
  <c r="BX8" i="33"/>
  <c r="Q1365" i="5"/>
  <c r="D277" i="28" l="1"/>
  <c r="D312" i="28" l="1"/>
  <c r="B955" i="13" l="1"/>
  <c r="C955" i="13"/>
  <c r="D955" i="13"/>
  <c r="B956" i="13"/>
  <c r="C956" i="13"/>
  <c r="D956" i="13"/>
  <c r="B957" i="13"/>
  <c r="C957" i="13"/>
  <c r="D957" i="13"/>
  <c r="CG99" i="33" l="1"/>
  <c r="CF99" i="33"/>
  <c r="CD99" i="33"/>
  <c r="AH99" i="33" l="1"/>
  <c r="AM99" i="33"/>
  <c r="BU99" i="33"/>
  <c r="AE99" i="33"/>
  <c r="AY99" i="33"/>
  <c r="CE99" i="33"/>
  <c r="AJ99" i="33"/>
  <c r="U99" i="33"/>
  <c r="AQ99" i="33"/>
  <c r="W99" i="33"/>
  <c r="AS99" i="33"/>
  <c r="BV99" i="33"/>
  <c r="Y100" i="33"/>
  <c r="Y99" i="33"/>
  <c r="AU99" i="33"/>
  <c r="AM100" i="33"/>
  <c r="AB99" i="33"/>
  <c r="AW99" i="33"/>
  <c r="BX99" i="33"/>
  <c r="D278" i="28" l="1"/>
  <c r="D276" i="28"/>
  <c r="P1396" i="5"/>
  <c r="BL1392" i="5" l="1"/>
  <c r="D290" i="28" l="1"/>
  <c r="BL1370" i="5" l="1"/>
  <c r="Q1394" i="5" l="1"/>
  <c r="K66" i="35" s="1"/>
  <c r="D72" i="28" l="1"/>
  <c r="F78" i="33"/>
  <c r="CD78" i="33" s="1"/>
  <c r="CG78" i="33"/>
  <c r="CF78" i="33"/>
  <c r="Q1393" i="5"/>
  <c r="K44" i="35" s="1"/>
  <c r="F79" i="33" l="1"/>
  <c r="I78" i="33"/>
  <c r="D273" i="28"/>
  <c r="Q1392" i="5"/>
  <c r="K20" i="35" s="1"/>
  <c r="BA79" i="33" l="1"/>
  <c r="BA78" i="33"/>
  <c r="BW78" i="33"/>
  <c r="BT78" i="33"/>
  <c r="AS78" i="33"/>
  <c r="AW78" i="33"/>
  <c r="AB78" i="33"/>
  <c r="AY78" i="33"/>
  <c r="Y79" i="33"/>
  <c r="BV78" i="33"/>
  <c r="BX78" i="33"/>
  <c r="W78" i="33"/>
  <c r="CE78" i="33"/>
  <c r="BU78" i="33"/>
  <c r="U78" i="33"/>
  <c r="AH78" i="33"/>
  <c r="AU78" i="33"/>
  <c r="AM78" i="33"/>
  <c r="Y78" i="33"/>
  <c r="AM79" i="33"/>
  <c r="AE78" i="33"/>
  <c r="AQ78" i="33"/>
  <c r="D25" i="28" l="1"/>
  <c r="B950" i="13" l="1"/>
  <c r="C950" i="13"/>
  <c r="D950" i="13"/>
  <c r="B951" i="13"/>
  <c r="C951" i="13"/>
  <c r="D951" i="13"/>
  <c r="B952" i="13"/>
  <c r="C952" i="13"/>
  <c r="D952" i="13"/>
  <c r="B953" i="13"/>
  <c r="C953" i="13"/>
  <c r="D953" i="13"/>
  <c r="B954" i="13"/>
  <c r="C954" i="13"/>
  <c r="D954" i="13"/>
  <c r="P1390" i="5" l="1"/>
  <c r="F6" i="33" l="1"/>
  <c r="I6" i="33" l="1"/>
  <c r="F7" i="33"/>
  <c r="F23" i="33"/>
  <c r="CG23" i="33"/>
  <c r="CF23" i="33"/>
  <c r="BA6" i="33" l="1"/>
  <c r="BA7" i="33"/>
  <c r="BT6" i="33"/>
  <c r="BW6" i="33"/>
  <c r="CD23" i="33"/>
  <c r="F24" i="33"/>
  <c r="AH142" i="33"/>
  <c r="I23" i="33"/>
  <c r="D291" i="28"/>
  <c r="F14" i="33"/>
  <c r="CD14" i="33" s="1"/>
  <c r="CG14" i="33"/>
  <c r="CF14" i="33"/>
  <c r="BA24" i="33" l="1"/>
  <c r="BA23" i="33"/>
  <c r="BW23" i="33"/>
  <c r="AJ23" i="33"/>
  <c r="BT23" i="33"/>
  <c r="AM23" i="33"/>
  <c r="AQ23" i="33"/>
  <c r="AY23" i="33"/>
  <c r="AE23" i="33"/>
  <c r="AM24" i="33"/>
  <c r="Y23" i="33"/>
  <c r="BX23" i="33"/>
  <c r="AW23" i="33"/>
  <c r="U23" i="33"/>
  <c r="AB23" i="33"/>
  <c r="W23" i="33"/>
  <c r="BU23" i="33"/>
  <c r="Y24" i="33"/>
  <c r="AU23" i="33"/>
  <c r="BV23" i="33"/>
  <c r="CE23" i="33"/>
  <c r="AS23" i="33"/>
  <c r="AH23" i="33"/>
  <c r="F15" i="33"/>
  <c r="I14" i="33"/>
  <c r="D301" i="28"/>
  <c r="F33" i="33"/>
  <c r="CD33" i="33" s="1"/>
  <c r="CG33" i="33"/>
  <c r="CF33" i="33"/>
  <c r="BA14" i="33" l="1"/>
  <c r="BA15" i="33"/>
  <c r="BW14" i="33"/>
  <c r="BT14" i="33"/>
  <c r="BX14" i="33"/>
  <c r="CE14" i="33"/>
  <c r="AW14" i="33"/>
  <c r="Y15" i="33"/>
  <c r="AM15" i="33"/>
  <c r="AY14" i="33"/>
  <c r="AM14" i="33"/>
  <c r="Y14" i="33"/>
  <c r="AQ14" i="33"/>
  <c r="AS14" i="33"/>
  <c r="W14" i="33"/>
  <c r="AB14" i="33"/>
  <c r="AH14" i="33"/>
  <c r="BU14" i="33"/>
  <c r="AU14" i="33"/>
  <c r="AE14" i="33"/>
  <c r="BV14" i="33"/>
  <c r="AJ14" i="33"/>
  <c r="U14" i="33"/>
  <c r="F34" i="33"/>
  <c r="I33" i="33"/>
  <c r="BA34" i="33" l="1"/>
  <c r="BA33" i="33"/>
  <c r="BW33" i="33"/>
  <c r="BT33" i="33"/>
  <c r="CE33" i="33"/>
  <c r="AW33" i="33"/>
  <c r="AB33" i="33"/>
  <c r="AH33" i="33"/>
  <c r="BU33" i="33"/>
  <c r="AY33" i="33"/>
  <c r="AM33" i="33"/>
  <c r="BX33" i="33"/>
  <c r="AU33" i="33"/>
  <c r="Y33" i="33"/>
  <c r="AS33" i="33"/>
  <c r="Y34" i="33"/>
  <c r="BV33" i="33"/>
  <c r="U33" i="33"/>
  <c r="W33" i="33"/>
  <c r="AE33" i="33"/>
  <c r="AQ33" i="33"/>
  <c r="AM34" i="33"/>
  <c r="AR1381" i="5" l="1"/>
  <c r="D279" i="28" l="1"/>
  <c r="CG6" i="33"/>
  <c r="CF6" i="33"/>
  <c r="CD6" i="33"/>
  <c r="CE6" i="33" l="1"/>
  <c r="BU6" i="33"/>
  <c r="AE6" i="33"/>
  <c r="AY6" i="33"/>
  <c r="AH6" i="33"/>
  <c r="AJ6" i="33"/>
  <c r="Y7" i="33"/>
  <c r="W6" i="33"/>
  <c r="AS6" i="33"/>
  <c r="BV6" i="33"/>
  <c r="Y6" i="33"/>
  <c r="AU6" i="33"/>
  <c r="AM7" i="33"/>
  <c r="AM6" i="33"/>
  <c r="U6" i="33"/>
  <c r="AQ6" i="33"/>
  <c r="AB6" i="33"/>
  <c r="AW6" i="33"/>
  <c r="BX6" i="33"/>
  <c r="B946" i="13" l="1"/>
  <c r="C946" i="13"/>
  <c r="D946" i="13"/>
  <c r="B947" i="13"/>
  <c r="C947" i="13"/>
  <c r="D947" i="13"/>
  <c r="B948" i="13"/>
  <c r="C948" i="13"/>
  <c r="D948" i="13"/>
  <c r="B949" i="13"/>
  <c r="C949" i="13"/>
  <c r="D949" i="13"/>
  <c r="D66" i="28" l="1"/>
  <c r="B944" i="13"/>
  <c r="R1488" i="5"/>
  <c r="Q1383" i="5" l="1"/>
  <c r="K31" i="35" s="1"/>
  <c r="BL1379" i="5" l="1"/>
  <c r="D22" i="28" l="1"/>
  <c r="D27" i="28"/>
  <c r="D67" i="28"/>
  <c r="P1345" i="5" l="1"/>
  <c r="P1382" i="5" l="1"/>
  <c r="D285" i="28" l="1"/>
  <c r="D272" i="28" l="1"/>
  <c r="D304" i="28" l="1"/>
  <c r="AG53" i="11" l="1"/>
  <c r="AI53" i="11"/>
  <c r="D334" i="28" l="1"/>
  <c r="D268" i="28" l="1"/>
  <c r="AY35" i="11" l="1"/>
  <c r="BA35" i="11"/>
  <c r="W1488" i="5"/>
  <c r="B941" i="13"/>
  <c r="C941" i="13"/>
  <c r="D941" i="13"/>
  <c r="B942" i="13"/>
  <c r="C942" i="13"/>
  <c r="D942" i="13"/>
  <c r="B943" i="13"/>
  <c r="C943" i="13"/>
  <c r="D943" i="13"/>
  <c r="C944" i="13"/>
  <c r="D944" i="13"/>
  <c r="B945" i="13"/>
  <c r="C945" i="13"/>
  <c r="D945" i="13"/>
  <c r="F62" i="33" l="1"/>
  <c r="I62" i="33" s="1"/>
  <c r="BA63" i="33" l="1"/>
  <c r="BA62" i="33"/>
  <c r="BT62" i="33"/>
  <c r="BW62" i="33"/>
  <c r="D267" i="28"/>
  <c r="F37" i="33"/>
  <c r="I37" i="33" s="1"/>
  <c r="BA38" i="33" l="1"/>
  <c r="BA37" i="33"/>
  <c r="BW37" i="33"/>
  <c r="F38" i="33"/>
  <c r="BT37" i="33"/>
  <c r="I113" i="33"/>
  <c r="F50" i="33"/>
  <c r="I50" i="33" s="1"/>
  <c r="B938" i="13"/>
  <c r="C938" i="13"/>
  <c r="D938" i="13"/>
  <c r="B939" i="13"/>
  <c r="C939" i="13"/>
  <c r="D939" i="13"/>
  <c r="B940" i="13"/>
  <c r="C940" i="13"/>
  <c r="D940" i="13"/>
  <c r="BA114" i="33" l="1"/>
  <c r="BA113" i="33"/>
  <c r="BA51" i="33"/>
  <c r="BA50" i="33"/>
  <c r="BW113" i="33"/>
  <c r="BT50" i="33"/>
  <c r="BW50" i="33"/>
  <c r="F114" i="33"/>
  <c r="BT113" i="33"/>
  <c r="AR1369" i="5"/>
  <c r="Q1369" i="5"/>
  <c r="P1369" i="5" s="1"/>
  <c r="F74" i="33" l="1"/>
  <c r="I74" i="33" s="1"/>
  <c r="BA75" i="33" l="1"/>
  <c r="BA74" i="33"/>
  <c r="BW74" i="33"/>
  <c r="F75" i="33"/>
  <c r="BT74" i="33"/>
  <c r="EI349" i="28"/>
  <c r="F27" i="33" l="1"/>
  <c r="I27" i="33" s="1"/>
  <c r="U27" i="33" s="1"/>
  <c r="BT27" i="33" l="1"/>
  <c r="BW27" i="33"/>
  <c r="Q1373" i="5"/>
  <c r="P1373" i="5" l="1"/>
  <c r="K10" i="35"/>
  <c r="D266" i="28"/>
  <c r="CG35" i="33" l="1"/>
  <c r="CF35" i="33"/>
  <c r="CD35" i="33"/>
  <c r="Y63" i="33"/>
  <c r="CG62" i="33"/>
  <c r="CF62" i="33"/>
  <c r="CD62" i="33"/>
  <c r="CG95" i="33"/>
  <c r="CF95" i="33"/>
  <c r="CD95" i="33"/>
  <c r="CE50" i="33"/>
  <c r="CG27" i="33"/>
  <c r="CF27" i="33"/>
  <c r="CD27" i="33"/>
  <c r="CG50" i="33"/>
  <c r="CF50" i="33"/>
  <c r="CD50" i="33"/>
  <c r="AW113" i="33"/>
  <c r="AY37" i="33"/>
  <c r="I119" i="33"/>
  <c r="I102" i="33"/>
  <c r="CG113" i="33"/>
  <c r="CF113" i="33"/>
  <c r="CD113" i="33"/>
  <c r="CG37" i="33"/>
  <c r="CF37" i="33"/>
  <c r="CD37" i="33"/>
  <c r="CG119" i="33"/>
  <c r="CF119" i="33"/>
  <c r="CD119" i="33"/>
  <c r="CG10" i="33"/>
  <c r="CF10" i="33"/>
  <c r="CD10" i="33"/>
  <c r="CG102" i="33"/>
  <c r="CF102" i="33"/>
  <c r="CD102" i="33"/>
  <c r="CG74" i="33"/>
  <c r="CF74" i="33"/>
  <c r="CD74" i="33"/>
  <c r="BA103" i="33" l="1"/>
  <c r="BA102" i="33"/>
  <c r="BA119" i="33"/>
  <c r="BA120" i="33"/>
  <c r="BW119" i="33"/>
  <c r="BT102" i="33"/>
  <c r="BW102" i="33"/>
  <c r="Y120" i="33"/>
  <c r="BT119" i="33"/>
  <c r="U35" i="33"/>
  <c r="F103" i="33"/>
  <c r="AY27" i="33"/>
  <c r="F28" i="33"/>
  <c r="BU50" i="33"/>
  <c r="F51" i="33"/>
  <c r="F63" i="33"/>
  <c r="F120" i="33"/>
  <c r="AW27" i="33"/>
  <c r="BU35" i="33"/>
  <c r="CE35" i="33"/>
  <c r="AH35" i="33"/>
  <c r="AQ35" i="33"/>
  <c r="AJ35" i="33"/>
  <c r="AM35" i="33"/>
  <c r="W35" i="33"/>
  <c r="AS35" i="33"/>
  <c r="BV35" i="33"/>
  <c r="Y36" i="33"/>
  <c r="Y35" i="33"/>
  <c r="AU35" i="33"/>
  <c r="AM36" i="33"/>
  <c r="AB35" i="33"/>
  <c r="AW35" i="33"/>
  <c r="BX35" i="33"/>
  <c r="AE35" i="33"/>
  <c r="AY35" i="33"/>
  <c r="AQ62" i="33"/>
  <c r="CE62" i="33"/>
  <c r="BV62" i="33"/>
  <c r="AB62" i="33"/>
  <c r="AH62" i="33"/>
  <c r="AS62" i="33"/>
  <c r="W62" i="33"/>
  <c r="BX62" i="33"/>
  <c r="AW62" i="33"/>
  <c r="U62" i="33"/>
  <c r="BU62" i="33"/>
  <c r="AJ62" i="33"/>
  <c r="AM62" i="33"/>
  <c r="Y62" i="33"/>
  <c r="AU62" i="33"/>
  <c r="AM63" i="33"/>
  <c r="AE62" i="33"/>
  <c r="AY62" i="33"/>
  <c r="AM28" i="33"/>
  <c r="AS27" i="33"/>
  <c r="Y28" i="33"/>
  <c r="BA27" i="33"/>
  <c r="AU95" i="33"/>
  <c r="CE95" i="33"/>
  <c r="Y96" i="33"/>
  <c r="AW95" i="33"/>
  <c r="AY95" i="33"/>
  <c r="AH95" i="33"/>
  <c r="BX95" i="33"/>
  <c r="AQ95" i="33"/>
  <c r="U95" i="33"/>
  <c r="Y95" i="33"/>
  <c r="AB95" i="33"/>
  <c r="BU95" i="33"/>
  <c r="AM96" i="33"/>
  <c r="AE95" i="33"/>
  <c r="BU27" i="33"/>
  <c r="AJ95" i="33"/>
  <c r="W27" i="33"/>
  <c r="AM95" i="33"/>
  <c r="AB27" i="33"/>
  <c r="CE27" i="33"/>
  <c r="AQ27" i="33"/>
  <c r="W95" i="33"/>
  <c r="AS95" i="33"/>
  <c r="BV95" i="33"/>
  <c r="AE27" i="33"/>
  <c r="BV27" i="33"/>
  <c r="AH27" i="33"/>
  <c r="BX27" i="33"/>
  <c r="AH50" i="33"/>
  <c r="AJ27" i="33"/>
  <c r="BA28" i="33"/>
  <c r="U50" i="33"/>
  <c r="AQ50" i="33"/>
  <c r="AM27" i="33"/>
  <c r="Y27" i="33"/>
  <c r="AU27" i="33"/>
  <c r="AJ50" i="33"/>
  <c r="AM50" i="33"/>
  <c r="W50" i="33"/>
  <c r="AS50" i="33"/>
  <c r="BV50" i="33"/>
  <c r="Y51" i="33"/>
  <c r="Y50" i="33"/>
  <c r="AU50" i="33"/>
  <c r="AM51" i="33"/>
  <c r="AB50" i="33"/>
  <c r="AW50" i="33"/>
  <c r="BX50" i="33"/>
  <c r="AE50" i="33"/>
  <c r="AY50" i="33"/>
  <c r="AS113" i="33"/>
  <c r="AH37" i="33"/>
  <c r="AB37" i="33"/>
  <c r="Y38" i="33"/>
  <c r="BV37" i="33"/>
  <c r="W113" i="33"/>
  <c r="BV113" i="33"/>
  <c r="AB113" i="33"/>
  <c r="BX113" i="33"/>
  <c r="U113" i="33"/>
  <c r="BU113" i="33"/>
  <c r="Y114" i="33"/>
  <c r="AH113" i="33"/>
  <c r="Y37" i="33"/>
  <c r="AQ113" i="33"/>
  <c r="CE113" i="33"/>
  <c r="AS37" i="33"/>
  <c r="BX37" i="33"/>
  <c r="U37" i="33"/>
  <c r="AU37" i="33"/>
  <c r="AJ113" i="33"/>
  <c r="W37" i="33"/>
  <c r="AW37" i="33"/>
  <c r="CE37" i="33"/>
  <c r="AM113" i="33"/>
  <c r="BU37" i="33"/>
  <c r="Y113" i="33"/>
  <c r="AU113" i="33"/>
  <c r="AM114" i="33"/>
  <c r="AQ37" i="33"/>
  <c r="AM38" i="33"/>
  <c r="AE113" i="33"/>
  <c r="AY113" i="33"/>
  <c r="AJ37" i="33"/>
  <c r="AM37" i="33"/>
  <c r="AB119" i="33"/>
  <c r="BU119" i="33"/>
  <c r="AM120" i="33"/>
  <c r="AE119" i="33"/>
  <c r="AH119" i="33"/>
  <c r="BX119" i="33"/>
  <c r="AQ119" i="33"/>
  <c r="AU119" i="33"/>
  <c r="CE119" i="33"/>
  <c r="Y119" i="33"/>
  <c r="AW119" i="33"/>
  <c r="U119" i="33"/>
  <c r="AY119" i="33"/>
  <c r="AJ119" i="33"/>
  <c r="AM119" i="33"/>
  <c r="W119" i="33"/>
  <c r="AS119" i="33"/>
  <c r="BV119" i="33"/>
  <c r="AH10" i="33"/>
  <c r="AE10" i="33"/>
  <c r="AY10" i="33"/>
  <c r="CE10" i="33"/>
  <c r="AJ10" i="33"/>
  <c r="AM10" i="33"/>
  <c r="U10" i="33"/>
  <c r="AQ10" i="33"/>
  <c r="BU10" i="33"/>
  <c r="AS10" i="33"/>
  <c r="Y11" i="33"/>
  <c r="Y10" i="33"/>
  <c r="AU10" i="33"/>
  <c r="AM11" i="33"/>
  <c r="W10" i="33"/>
  <c r="BV10" i="33"/>
  <c r="AB10" i="33"/>
  <c r="AW10" i="33"/>
  <c r="BX10" i="33"/>
  <c r="AJ102" i="33"/>
  <c r="AE102" i="33"/>
  <c r="AY102" i="33"/>
  <c r="AH102" i="33"/>
  <c r="CE102" i="33"/>
  <c r="AQ102" i="33"/>
  <c r="W102" i="33"/>
  <c r="Y103" i="33"/>
  <c r="AM102" i="33"/>
  <c r="U102" i="33"/>
  <c r="BU102" i="33"/>
  <c r="AS102" i="33"/>
  <c r="Y102" i="33"/>
  <c r="AU102" i="33"/>
  <c r="AM103" i="33"/>
  <c r="BV102" i="33"/>
  <c r="AB102" i="33"/>
  <c r="AW102" i="33"/>
  <c r="BX102" i="33"/>
  <c r="AM74" i="33"/>
  <c r="U74" i="33"/>
  <c r="AQ74" i="33"/>
  <c r="BU74" i="33"/>
  <c r="W74" i="33"/>
  <c r="AS74" i="33"/>
  <c r="BV74" i="33"/>
  <c r="Y75" i="33"/>
  <c r="Y74" i="33"/>
  <c r="AU74" i="33"/>
  <c r="AM75" i="33"/>
  <c r="AB74" i="33"/>
  <c r="AW74" i="33"/>
  <c r="BX74" i="33"/>
  <c r="AE74" i="33"/>
  <c r="AY74" i="33"/>
  <c r="AH74" i="33"/>
  <c r="CE74" i="33"/>
  <c r="AJ74" i="33"/>
  <c r="D294" i="28" l="1"/>
  <c r="D326" i="28" l="1"/>
  <c r="AR1368" i="5" l="1"/>
  <c r="D68" i="28" l="1"/>
  <c r="AR1367" i="5" l="1"/>
  <c r="D269" i="28" l="1"/>
  <c r="D64" i="28" l="1"/>
  <c r="AY9" i="11"/>
  <c r="BA9" i="11"/>
  <c r="D265" i="28" l="1"/>
  <c r="D318" i="28" l="1"/>
  <c r="D264" i="28" l="1"/>
  <c r="P1366" i="5"/>
  <c r="Q1366" i="5"/>
  <c r="B932" i="13" l="1"/>
  <c r="C932" i="13"/>
  <c r="D932" i="13"/>
  <c r="B933" i="13"/>
  <c r="C933" i="13"/>
  <c r="D933" i="13"/>
  <c r="B934" i="13"/>
  <c r="C934" i="13"/>
  <c r="D934" i="13"/>
  <c r="B935" i="13"/>
  <c r="C935" i="13"/>
  <c r="D935" i="13"/>
  <c r="B936" i="13"/>
  <c r="C936" i="13"/>
  <c r="D936" i="13"/>
  <c r="B937" i="13"/>
  <c r="C937" i="13"/>
  <c r="D937" i="13"/>
  <c r="D270" i="28"/>
  <c r="P1380" i="5" l="1"/>
  <c r="D23" i="28" l="1"/>
  <c r="D275" i="28" l="1"/>
  <c r="D259" i="28" l="1"/>
  <c r="Q1368" i="5"/>
  <c r="Q1367" i="5" l="1"/>
  <c r="AK1326" i="5" l="1"/>
  <c r="D261" i="28"/>
  <c r="EC349" i="28" l="1"/>
  <c r="DW349" i="28"/>
  <c r="D65" i="28" l="1"/>
  <c r="D329" i="28"/>
  <c r="D263" i="28" l="1"/>
  <c r="Q1364" i="5" l="1"/>
  <c r="P1364" i="5" l="1"/>
  <c r="K16" i="35"/>
  <c r="Q1358" i="5"/>
  <c r="P1358" i="5" s="1"/>
  <c r="Q1357" i="5"/>
  <c r="D274" i="28" l="1"/>
  <c r="D251" i="34" l="1"/>
  <c r="D252" i="34"/>
  <c r="D225" i="34"/>
  <c r="D268" i="34"/>
  <c r="D267" i="34"/>
  <c r="D266" i="34"/>
  <c r="D265" i="34"/>
  <c r="D264" i="34"/>
  <c r="D263" i="34"/>
  <c r="D260" i="34"/>
  <c r="D262" i="34"/>
  <c r="D254" i="34"/>
  <c r="D258" i="34"/>
  <c r="D259" i="34"/>
  <c r="D257" i="34"/>
  <c r="D261" i="34"/>
  <c r="D256" i="34"/>
  <c r="D253" i="34"/>
  <c r="D241" i="34"/>
  <c r="D237" i="34"/>
  <c r="D248" i="34"/>
  <c r="D244" i="34"/>
  <c r="D230" i="34"/>
  <c r="D234" i="34"/>
  <c r="D216" i="34"/>
  <c r="D223" i="34"/>
  <c r="D243" i="34"/>
  <c r="D245" i="34"/>
  <c r="D228" i="34"/>
  <c r="D246" i="34"/>
  <c r="D235" i="34"/>
  <c r="D231" i="34"/>
  <c r="D250" i="34"/>
  <c r="D226" i="34"/>
  <c r="D249" i="34"/>
  <c r="D205" i="34"/>
  <c r="D204" i="34"/>
  <c r="D240" i="34"/>
  <c r="D227" i="34"/>
  <c r="D201" i="34"/>
  <c r="D200" i="34"/>
  <c r="D220" i="34"/>
  <c r="D242" i="34"/>
  <c r="D197" i="34"/>
  <c r="D238" i="34"/>
  <c r="D236" i="34"/>
  <c r="D194" i="34"/>
  <c r="D193" i="34"/>
  <c r="D247" i="34"/>
  <c r="D191" i="34"/>
  <c r="D190" i="34"/>
  <c r="D189" i="34"/>
  <c r="D188" i="34"/>
  <c r="D229" i="34"/>
  <c r="D186" i="34"/>
  <c r="D185" i="34"/>
  <c r="D239" i="34"/>
  <c r="D183" i="34"/>
  <c r="D232" i="34"/>
  <c r="D181" i="34"/>
  <c r="D180" i="34"/>
  <c r="D179" i="34"/>
  <c r="D178" i="34"/>
  <c r="D177" i="34"/>
  <c r="D176" i="34"/>
  <c r="D233" i="34"/>
  <c r="D174" i="34"/>
  <c r="D173" i="34"/>
  <c r="D172" i="34"/>
  <c r="D171" i="34"/>
  <c r="D170" i="34"/>
  <c r="D169" i="34"/>
  <c r="D168" i="34"/>
  <c r="D167" i="34"/>
  <c r="D166" i="34"/>
  <c r="D165" i="34"/>
  <c r="D164" i="34"/>
  <c r="D163" i="34"/>
  <c r="D162" i="34"/>
  <c r="D161" i="34"/>
  <c r="D160" i="34"/>
  <c r="D159" i="34"/>
  <c r="D158" i="34"/>
  <c r="D157" i="34"/>
  <c r="D156" i="34"/>
  <c r="D155" i="34"/>
  <c r="D154" i="34"/>
  <c r="D153" i="34"/>
  <c r="D152" i="34"/>
  <c r="D151" i="34"/>
  <c r="D150" i="34"/>
  <c r="D149" i="34"/>
  <c r="D148" i="34"/>
  <c r="D147" i="34"/>
  <c r="D146" i="34"/>
  <c r="D145" i="34"/>
  <c r="D144" i="34"/>
  <c r="D143" i="34"/>
  <c r="D142" i="34"/>
  <c r="D141" i="34"/>
  <c r="D140" i="34"/>
  <c r="D139" i="34"/>
  <c r="D138" i="34"/>
  <c r="D137" i="34"/>
  <c r="D136" i="34"/>
  <c r="D135" i="34"/>
  <c r="D134" i="34"/>
  <c r="D133" i="34"/>
  <c r="D132" i="34"/>
  <c r="D131" i="34"/>
  <c r="D130" i="34"/>
  <c r="D129" i="34"/>
  <c r="D128" i="34"/>
  <c r="D127" i="34"/>
  <c r="D126" i="34"/>
  <c r="D125" i="34"/>
  <c r="D123" i="34"/>
  <c r="D122" i="34"/>
  <c r="D121" i="34"/>
  <c r="D120" i="34"/>
  <c r="D118" i="34"/>
  <c r="D117" i="34"/>
  <c r="D116" i="34"/>
  <c r="D115" i="34"/>
  <c r="D114" i="34"/>
  <c r="D113" i="34"/>
  <c r="D112" i="34"/>
  <c r="D111" i="34"/>
  <c r="D110" i="34"/>
  <c r="D109" i="34"/>
  <c r="D108" i="34"/>
  <c r="D107" i="34"/>
  <c r="D106" i="34"/>
  <c r="D105" i="34"/>
  <c r="D104" i="34"/>
  <c r="D103" i="34"/>
  <c r="D102" i="34"/>
  <c r="D101" i="34"/>
  <c r="D100" i="34"/>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255" i="34"/>
  <c r="D224" i="34"/>
  <c r="D57" i="34"/>
  <c r="D55" i="34"/>
  <c r="D222" i="34"/>
  <c r="D53" i="34"/>
  <c r="D52" i="34"/>
  <c r="D51" i="34"/>
  <c r="D50" i="34"/>
  <c r="D221" i="34"/>
  <c r="D47" i="34"/>
  <c r="D46" i="34"/>
  <c r="D45" i="34"/>
  <c r="D44" i="34"/>
  <c r="D43" i="34"/>
  <c r="D42" i="34"/>
  <c r="D40" i="34"/>
  <c r="D39" i="34"/>
  <c r="D38" i="34"/>
  <c r="D37" i="34"/>
  <c r="D36" i="34"/>
  <c r="D35" i="34"/>
  <c r="D34" i="34"/>
  <c r="D33" i="34"/>
  <c r="D32" i="34"/>
  <c r="D31" i="34"/>
  <c r="D30" i="34"/>
  <c r="D29" i="34"/>
  <c r="D28" i="34"/>
  <c r="D27" i="34"/>
  <c r="D24" i="34"/>
  <c r="D22" i="34"/>
  <c r="D21" i="34"/>
  <c r="D19" i="34"/>
  <c r="D17" i="34"/>
  <c r="D16" i="34"/>
  <c r="D14" i="34"/>
  <c r="D13" i="34"/>
  <c r="D7" i="34"/>
  <c r="EP3" i="34"/>
  <c r="D250" i="28" l="1"/>
  <c r="B514" i="13" l="1"/>
  <c r="C514" i="13"/>
  <c r="D514" i="13"/>
  <c r="B927" i="13"/>
  <c r="C927" i="13"/>
  <c r="D927" i="13"/>
  <c r="B928" i="13"/>
  <c r="C928" i="13"/>
  <c r="D928" i="13"/>
  <c r="B929" i="13"/>
  <c r="C929" i="13"/>
  <c r="D929" i="13"/>
  <c r="B930" i="13"/>
  <c r="C930" i="13"/>
  <c r="D930" i="13"/>
  <c r="B931" i="13"/>
  <c r="C931" i="13"/>
  <c r="D931" i="13"/>
  <c r="P1359" i="5" l="1"/>
  <c r="D256" i="28" l="1"/>
  <c r="F58" i="33" l="1"/>
  <c r="F59" i="33" s="1"/>
  <c r="CG58" i="33"/>
  <c r="CF58" i="33"/>
  <c r="Q1362" i="5"/>
  <c r="K27" i="35" s="1"/>
  <c r="I58" i="33" l="1"/>
  <c r="CD58" i="33"/>
  <c r="BA58" i="33" l="1"/>
  <c r="BA59" i="33"/>
  <c r="BW58" i="33"/>
  <c r="BT58" i="33"/>
  <c r="Y58" i="33"/>
  <c r="BX58" i="33"/>
  <c r="AW58" i="33"/>
  <c r="AM58" i="33"/>
  <c r="W58" i="33"/>
  <c r="AY58" i="33"/>
  <c r="BU58" i="33"/>
  <c r="Y59" i="33"/>
  <c r="AH58" i="33"/>
  <c r="BV58" i="33"/>
  <c r="AU58" i="33"/>
  <c r="CE58" i="33"/>
  <c r="AQ58" i="33"/>
  <c r="U58" i="33"/>
  <c r="AS58" i="33"/>
  <c r="AE58" i="33"/>
  <c r="AB58" i="33"/>
  <c r="AM59" i="33"/>
  <c r="P1361" i="5"/>
  <c r="Q1361" i="5"/>
  <c r="D257" i="28" l="1"/>
  <c r="BL1356" i="5" l="1"/>
  <c r="P1360" i="5" l="1"/>
  <c r="D258" i="28" l="1"/>
  <c r="B176" i="13"/>
  <c r="C176" i="13"/>
  <c r="D176" i="13"/>
  <c r="B248" i="13"/>
  <c r="C248" i="13"/>
  <c r="D248" i="13"/>
  <c r="B758" i="13"/>
  <c r="C758" i="13"/>
  <c r="D758" i="13"/>
  <c r="B586" i="13"/>
  <c r="C586" i="13"/>
  <c r="D586" i="13"/>
  <c r="D516" i="13"/>
  <c r="C516" i="13"/>
  <c r="B516" i="13"/>
  <c r="BL1355" i="5" l="1"/>
  <c r="D255" i="28" l="1"/>
  <c r="AR1353" i="5" l="1"/>
  <c r="Q1353" i="5"/>
  <c r="P1353" i="5" s="1"/>
  <c r="D247" i="28" l="1"/>
  <c r="F60" i="33"/>
  <c r="F61" i="33" s="1"/>
  <c r="CG60" i="33"/>
  <c r="CF60" i="33"/>
  <c r="P1356" i="5"/>
  <c r="CD60" i="33" l="1"/>
  <c r="I60" i="33"/>
  <c r="P1354" i="5"/>
  <c r="BA61" i="33" l="1"/>
  <c r="BA60" i="33"/>
  <c r="BW60" i="33"/>
  <c r="BT60" i="33"/>
  <c r="BX60" i="33"/>
  <c r="AM60" i="33"/>
  <c r="Y60" i="33"/>
  <c r="AH60" i="33"/>
  <c r="AB60" i="33"/>
  <c r="U60" i="33"/>
  <c r="AY60" i="33"/>
  <c r="AQ60" i="33"/>
  <c r="Y61" i="33"/>
  <c r="BV60" i="33"/>
  <c r="AM61" i="33"/>
  <c r="AJ60" i="33"/>
  <c r="AS60" i="33"/>
  <c r="CE60" i="33"/>
  <c r="W60" i="33"/>
  <c r="AU60" i="33"/>
  <c r="AE60" i="33"/>
  <c r="AW60" i="33"/>
  <c r="BU60" i="33"/>
  <c r="D254" i="28" l="1"/>
  <c r="D337" i="28" l="1"/>
  <c r="AR1352" i="5" l="1"/>
  <c r="Q1350" i="5" l="1"/>
  <c r="D244" i="28" l="1"/>
  <c r="AK1342" i="5" l="1"/>
  <c r="O35" i="11"/>
  <c r="AG12" i="11" l="1"/>
  <c r="AI12" i="11"/>
  <c r="BL1348" i="5" l="1"/>
  <c r="D246" i="28" l="1"/>
  <c r="DQ349" i="28"/>
  <c r="D251" i="28"/>
  <c r="D245" i="28" l="1"/>
  <c r="AR1344" i="5" l="1"/>
  <c r="BL1349" i="5" l="1"/>
  <c r="D378" i="28" l="1"/>
  <c r="AR1351" i="5" l="1"/>
  <c r="AK1329" i="5" l="1"/>
  <c r="AK337" i="5"/>
  <c r="D248" i="28" l="1"/>
  <c r="D242" i="28" l="1"/>
  <c r="D232" i="28" l="1"/>
  <c r="D236" i="28" l="1"/>
  <c r="Q1340" i="5" l="1"/>
  <c r="AR1341" i="5" l="1"/>
  <c r="D239" i="28" l="1"/>
  <c r="D241" i="28" l="1"/>
  <c r="B462" i="13"/>
  <c r="C462" i="13"/>
  <c r="D462" i="13"/>
  <c r="B102" i="13"/>
  <c r="C102" i="13"/>
  <c r="D102" i="13"/>
  <c r="B227" i="13"/>
  <c r="C227" i="13"/>
  <c r="D227" i="13"/>
  <c r="B19" i="13"/>
  <c r="C19" i="13"/>
  <c r="D19" i="13"/>
  <c r="B265" i="13"/>
  <c r="C265" i="13"/>
  <c r="D265" i="13"/>
  <c r="BL1335" i="5" l="1"/>
  <c r="D243" i="28" l="1"/>
  <c r="P1340" i="5" l="1"/>
  <c r="Q1341" i="5" l="1"/>
  <c r="P1344" i="5"/>
  <c r="D19" i="28" l="1"/>
  <c r="D235" i="28" l="1"/>
  <c r="D260" i="28" l="1"/>
  <c r="F159" i="33" l="1"/>
  <c r="D238" i="28"/>
  <c r="D262" i="28" l="1"/>
  <c r="D271" i="28"/>
  <c r="D237" i="28" l="1"/>
  <c r="D60" i="28" l="1"/>
  <c r="BX70" i="33" l="1"/>
  <c r="BU71" i="33"/>
  <c r="BV71" i="33"/>
  <c r="BP70" i="33"/>
  <c r="BL70" i="33"/>
  <c r="BG70" i="33"/>
  <c r="BF70" i="33"/>
  <c r="BD70" i="33"/>
  <c r="BA70" i="33"/>
  <c r="AY70" i="33"/>
  <c r="AS70" i="33"/>
  <c r="AU70" i="33"/>
  <c r="AW70" i="33"/>
  <c r="AQ70" i="33"/>
  <c r="AM70" i="33"/>
  <c r="AJ70" i="33"/>
  <c r="AH70" i="33"/>
  <c r="AE70" i="33"/>
  <c r="AB70" i="33"/>
  <c r="Y70" i="33"/>
  <c r="W70" i="33"/>
  <c r="U70" i="33"/>
  <c r="B70" i="33"/>
  <c r="B700" i="13"/>
  <c r="C700" i="13"/>
  <c r="D700" i="13"/>
  <c r="B556" i="13"/>
  <c r="C556" i="13"/>
  <c r="D556" i="13"/>
  <c r="B348" i="13"/>
  <c r="C348" i="13"/>
  <c r="D348" i="13"/>
  <c r="B181" i="13"/>
  <c r="C181" i="13"/>
  <c r="D181" i="13"/>
  <c r="B20" i="13"/>
  <c r="C20" i="13"/>
  <c r="D20" i="13"/>
  <c r="AR1333" i="5" l="1"/>
  <c r="D228" i="28" l="1"/>
  <c r="P1336" i="5" l="1"/>
  <c r="Q1334" i="5" l="1"/>
  <c r="D229" i="28" l="1"/>
  <c r="D233" i="28" l="1"/>
  <c r="AK1324" i="5" l="1"/>
  <c r="AR1300" i="5" l="1"/>
  <c r="AK1281" i="5" l="1"/>
  <c r="P1333" i="5" l="1"/>
  <c r="D225" i="28"/>
  <c r="D231" i="28"/>
  <c r="F150" i="33"/>
  <c r="CG150" i="33"/>
  <c r="CF150" i="33"/>
  <c r="D58" i="28"/>
  <c r="CD150" i="33" l="1"/>
  <c r="F151" i="33"/>
  <c r="I150" i="33"/>
  <c r="BA151" i="33" l="1"/>
  <c r="BA150" i="33"/>
  <c r="BT150" i="33"/>
  <c r="BW150" i="33"/>
  <c r="AS150" i="33"/>
  <c r="AH150" i="33"/>
  <c r="BU150" i="33"/>
  <c r="W150" i="33"/>
  <c r="AQ150" i="33"/>
  <c r="AM150" i="33"/>
  <c r="AE150" i="33"/>
  <c r="AU150" i="33"/>
  <c r="Y150" i="33"/>
  <c r="AJ150" i="33"/>
  <c r="BX150" i="33"/>
  <c r="Y151" i="33"/>
  <c r="CE150" i="33"/>
  <c r="AW150" i="33"/>
  <c r="BV150" i="33"/>
  <c r="AB150" i="33"/>
  <c r="AY150" i="33"/>
  <c r="U150" i="33"/>
  <c r="B323" i="13" l="1"/>
  <c r="C323" i="13"/>
  <c r="D323" i="13"/>
  <c r="B747" i="13"/>
  <c r="C747" i="13"/>
  <c r="D747" i="13"/>
  <c r="B726" i="13"/>
  <c r="C726" i="13"/>
  <c r="D726" i="13"/>
  <c r="B426" i="13"/>
  <c r="C426" i="13"/>
  <c r="D426" i="13"/>
  <c r="B302" i="13"/>
  <c r="C302" i="13"/>
  <c r="D302" i="13"/>
  <c r="D234" i="28" l="1"/>
  <c r="AR1328" i="5" l="1"/>
  <c r="B92" i="13"/>
  <c r="C92" i="13"/>
  <c r="D92" i="13"/>
  <c r="B633" i="13"/>
  <c r="C633" i="13"/>
  <c r="D633" i="13"/>
  <c r="B378" i="13"/>
  <c r="C378" i="13"/>
  <c r="D378" i="13"/>
  <c r="D224" i="28" l="1"/>
  <c r="D223" i="28"/>
  <c r="Q1330" i="5" l="1"/>
  <c r="P1328" i="5" l="1"/>
  <c r="Q1328" i="5" s="1"/>
  <c r="Q1326" i="5"/>
  <c r="DK349" i="28" l="1"/>
  <c r="BL1326" i="5" l="1"/>
  <c r="B849" i="13" l="1"/>
  <c r="C849" i="13"/>
  <c r="D849" i="13"/>
  <c r="B427" i="13"/>
  <c r="C427" i="13"/>
  <c r="D427" i="13"/>
  <c r="B160" i="13"/>
  <c r="C160" i="13"/>
  <c r="D160" i="13"/>
  <c r="B270" i="13"/>
  <c r="C270" i="13"/>
  <c r="D270" i="13"/>
  <c r="B152" i="13"/>
  <c r="C152" i="13"/>
  <c r="D152" i="13"/>
  <c r="B655" i="13"/>
  <c r="C655" i="13"/>
  <c r="D655" i="13"/>
  <c r="AR1323" i="5" l="1"/>
  <c r="B364" i="13" l="1"/>
  <c r="C364" i="13"/>
  <c r="D364" i="13"/>
  <c r="B719" i="13"/>
  <c r="C719" i="13"/>
  <c r="D719" i="13"/>
  <c r="B51" i="13"/>
  <c r="C51" i="13"/>
  <c r="D51" i="13"/>
  <c r="B858" i="13"/>
  <c r="C858" i="13"/>
  <c r="D858" i="13"/>
  <c r="D226" i="28" l="1"/>
  <c r="D220" i="28" l="1"/>
  <c r="Q58" i="11" l="1"/>
  <c r="O58" i="11"/>
  <c r="BL1317" i="5" l="1"/>
  <c r="BL1315" i="5" l="1"/>
  <c r="BL1314" i="5" l="1"/>
  <c r="AK1315" i="5"/>
  <c r="AK1314" i="5"/>
  <c r="Q1327" i="5" l="1"/>
  <c r="Q1331" i="5"/>
  <c r="Q1317" i="5" l="1"/>
  <c r="K25" i="35" s="1"/>
  <c r="P1322" i="5" l="1"/>
  <c r="D214" i="28"/>
  <c r="D240" i="28"/>
  <c r="B552" i="13"/>
  <c r="C552" i="13"/>
  <c r="D552" i="13"/>
  <c r="B383" i="13"/>
  <c r="C383" i="13"/>
  <c r="D383" i="13"/>
  <c r="B417" i="13"/>
  <c r="C417" i="13"/>
  <c r="D417" i="13"/>
  <c r="B96" i="13"/>
  <c r="C96" i="13"/>
  <c r="D96" i="13"/>
  <c r="B805" i="13"/>
  <c r="C805" i="13"/>
  <c r="D805" i="13"/>
  <c r="B343" i="13"/>
  <c r="C343" i="13"/>
  <c r="D343" i="13"/>
  <c r="Q1321" i="5" l="1"/>
  <c r="D215" i="28"/>
  <c r="D216" i="28" l="1"/>
  <c r="D213" i="28"/>
  <c r="AD1488" i="5" l="1"/>
  <c r="AE1488" i="5"/>
  <c r="D217" i="28" l="1"/>
  <c r="D227" i="28" l="1"/>
  <c r="D218" i="28" l="1"/>
  <c r="D221" i="28"/>
  <c r="D219" i="28" l="1"/>
  <c r="F48" i="33"/>
  <c r="CD48" i="33" s="1"/>
  <c r="CG48" i="33"/>
  <c r="CF48" i="33"/>
  <c r="F49" i="33" l="1"/>
  <c r="I48" i="33"/>
  <c r="BA49" i="33" l="1"/>
  <c r="BA48" i="33"/>
  <c r="BT48" i="33"/>
  <c r="BW48" i="33"/>
  <c r="AM49" i="33"/>
  <c r="U48" i="33"/>
  <c r="AS48" i="33"/>
  <c r="AH48" i="33"/>
  <c r="Y49" i="33"/>
  <c r="AY48" i="33"/>
  <c r="AM48" i="33"/>
  <c r="BV48" i="33"/>
  <c r="AE48" i="33"/>
  <c r="W48" i="33"/>
  <c r="BX48" i="33"/>
  <c r="AQ48" i="33"/>
  <c r="AW48" i="33"/>
  <c r="AJ48" i="33"/>
  <c r="AB48" i="33"/>
  <c r="AU48" i="33"/>
  <c r="CE48" i="33"/>
  <c r="BU48" i="33"/>
  <c r="Y48" i="33"/>
  <c r="B504" i="13"/>
  <c r="D62" i="28" l="1"/>
  <c r="DE349" i="28" l="1"/>
  <c r="BL1312" i="5" l="1"/>
  <c r="AR1312" i="5"/>
  <c r="P1316" i="5" l="1"/>
  <c r="AR1306" i="5" l="1"/>
  <c r="D211" i="28" l="1"/>
  <c r="B111" i="13"/>
  <c r="C111" i="13"/>
  <c r="D111" i="13"/>
  <c r="B21" i="13"/>
  <c r="C21" i="13"/>
  <c r="D21" i="13"/>
  <c r="B4" i="13"/>
  <c r="C4" i="13"/>
  <c r="D4" i="13"/>
  <c r="C504" i="13"/>
  <c r="D504" i="13"/>
  <c r="B405" i="13"/>
  <c r="C405" i="13"/>
  <c r="D405" i="13"/>
  <c r="B11" i="13"/>
  <c r="C11" i="13"/>
  <c r="D11" i="13"/>
  <c r="AK1307" i="5" l="1"/>
  <c r="P1312" i="5" l="1"/>
  <c r="P1311" i="5"/>
  <c r="P1320" i="5" l="1"/>
  <c r="Q1320" i="5"/>
  <c r="D209" i="28" l="1"/>
  <c r="BL1282" i="5" l="1"/>
  <c r="AM151" i="33" s="1"/>
  <c r="D207" i="28" l="1"/>
  <c r="D212" i="28" l="1"/>
  <c r="D210" i="28" l="1"/>
  <c r="Q1308" i="5" l="1"/>
  <c r="P1309" i="5"/>
  <c r="D252" i="28" l="1"/>
  <c r="D205" i="28"/>
  <c r="Q1306" i="5" l="1"/>
  <c r="P1306" i="5"/>
  <c r="D208" i="28" l="1"/>
  <c r="B310" i="13" l="1"/>
  <c r="C310" i="13"/>
  <c r="D310" i="13"/>
  <c r="B596" i="13"/>
  <c r="C596" i="13"/>
  <c r="D596" i="13"/>
  <c r="B373" i="13"/>
  <c r="C373" i="13"/>
  <c r="D373" i="13"/>
  <c r="B690" i="13"/>
  <c r="C690" i="13"/>
  <c r="D690" i="13"/>
  <c r="B543" i="13"/>
  <c r="C543" i="13"/>
  <c r="D543" i="13"/>
  <c r="B236" i="13"/>
  <c r="C236" i="13"/>
  <c r="D236" i="13"/>
  <c r="B165" i="13"/>
  <c r="C165" i="13"/>
  <c r="D165" i="13"/>
  <c r="B123" i="13"/>
  <c r="C123" i="13"/>
  <c r="D123" i="13"/>
  <c r="Q1304" i="5" l="1"/>
  <c r="D206" i="28" l="1"/>
  <c r="AR1299" i="5" l="1"/>
  <c r="AK944" i="5" l="1"/>
  <c r="AK1145" i="5"/>
  <c r="AK1143" i="5"/>
  <c r="AK1135" i="5"/>
  <c r="AK1138" i="5"/>
  <c r="AK1156" i="5"/>
  <c r="AK1158" i="5"/>
  <c r="AK1195" i="5"/>
  <c r="P1278" i="5"/>
  <c r="D204" i="28" l="1"/>
  <c r="D222" i="28"/>
  <c r="B864" i="13"/>
  <c r="C864" i="13"/>
  <c r="D864" i="13"/>
  <c r="B226" i="13"/>
  <c r="C226" i="13"/>
  <c r="D226" i="13"/>
  <c r="B37" i="13"/>
  <c r="C37" i="13"/>
  <c r="D37" i="13"/>
  <c r="B471" i="13"/>
  <c r="C471" i="13"/>
  <c r="D471" i="13"/>
  <c r="AG10" i="11" l="1"/>
  <c r="AI10" i="11"/>
  <c r="D202" i="28" l="1"/>
  <c r="CS349" i="28" l="1"/>
  <c r="CY349" i="28"/>
  <c r="CM349" i="28"/>
  <c r="AK1255" i="5" l="1"/>
  <c r="AR1294" i="5" l="1"/>
  <c r="Q1301" i="5" l="1"/>
  <c r="F56" i="33" l="1"/>
  <c r="CG56" i="33"/>
  <c r="CF56" i="33"/>
  <c r="P1299" i="5"/>
  <c r="CD56" i="33" l="1"/>
  <c r="F57" i="33"/>
  <c r="I56" i="33"/>
  <c r="BA57" i="33" l="1"/>
  <c r="BA56" i="33"/>
  <c r="AM57" i="33"/>
  <c r="BW56" i="33"/>
  <c r="AJ56" i="33"/>
  <c r="AY56" i="33"/>
  <c r="AE56" i="33"/>
  <c r="BU56" i="33"/>
  <c r="AU56" i="33"/>
  <c r="Y56" i="33"/>
  <c r="AS56" i="33"/>
  <c r="W56" i="33"/>
  <c r="BX56" i="33"/>
  <c r="AH56" i="33"/>
  <c r="BV56" i="33"/>
  <c r="AB56" i="33"/>
  <c r="U56" i="33"/>
  <c r="Y57" i="33"/>
  <c r="AW56" i="33"/>
  <c r="AQ56" i="33"/>
  <c r="AM56" i="33"/>
  <c r="CE56" i="33"/>
  <c r="P1295" i="5" l="1"/>
  <c r="B686" i="13" l="1"/>
  <c r="C686" i="13"/>
  <c r="B687" i="13"/>
  <c r="C687" i="13"/>
  <c r="B688" i="13"/>
  <c r="C688" i="13"/>
  <c r="B689" i="13"/>
  <c r="C689" i="13"/>
  <c r="D686" i="13"/>
  <c r="D5" i="13"/>
  <c r="D6" i="13"/>
  <c r="D7" i="13"/>
  <c r="D8" i="13"/>
  <c r="D9" i="13"/>
  <c r="D10" i="13"/>
  <c r="D12" i="13"/>
  <c r="D13" i="13"/>
  <c r="D14" i="13"/>
  <c r="D15" i="13"/>
  <c r="D16" i="13"/>
  <c r="D17" i="13"/>
  <c r="D18" i="13"/>
  <c r="D22" i="13"/>
  <c r="D23" i="13"/>
  <c r="D24" i="13"/>
  <c r="D25" i="13"/>
  <c r="D26" i="13"/>
  <c r="D27" i="13"/>
  <c r="D28" i="13"/>
  <c r="D29" i="13"/>
  <c r="D30" i="13"/>
  <c r="D31" i="13"/>
  <c r="D32" i="13"/>
  <c r="D33" i="13"/>
  <c r="D34" i="13"/>
  <c r="D35" i="13"/>
  <c r="D36" i="13"/>
  <c r="D38" i="13"/>
  <c r="D40" i="13"/>
  <c r="D41" i="13"/>
  <c r="D42" i="13"/>
  <c r="D43" i="13"/>
  <c r="D44" i="13"/>
  <c r="D45" i="13"/>
  <c r="D46" i="13"/>
  <c r="D47" i="13"/>
  <c r="D48" i="13"/>
  <c r="D49" i="13"/>
  <c r="D50"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9" i="13"/>
  <c r="D90" i="13"/>
  <c r="D91" i="13"/>
  <c r="D93" i="13"/>
  <c r="D94" i="13"/>
  <c r="D95" i="13"/>
  <c r="D97" i="13"/>
  <c r="D98" i="13"/>
  <c r="D99" i="13"/>
  <c r="D100" i="13"/>
  <c r="D101" i="13"/>
  <c r="D103" i="13"/>
  <c r="D104" i="13"/>
  <c r="D105" i="13"/>
  <c r="D106" i="13"/>
  <c r="D107" i="13"/>
  <c r="D108" i="13"/>
  <c r="D109" i="13"/>
  <c r="D110" i="13"/>
  <c r="D112" i="13"/>
  <c r="D113" i="13"/>
  <c r="D114" i="13"/>
  <c r="D115" i="13"/>
  <c r="D116" i="13"/>
  <c r="D117" i="13"/>
  <c r="D118" i="13"/>
  <c r="D119" i="13"/>
  <c r="D120" i="13"/>
  <c r="D121" i="13"/>
  <c r="D122"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3" i="13"/>
  <c r="D154" i="13"/>
  <c r="D155" i="13"/>
  <c r="D156" i="13"/>
  <c r="D157" i="13"/>
  <c r="D158" i="13"/>
  <c r="D159" i="13"/>
  <c r="D161" i="13"/>
  <c r="D162" i="13"/>
  <c r="D163" i="13"/>
  <c r="D164" i="13"/>
  <c r="D166" i="13"/>
  <c r="D167" i="13"/>
  <c r="D168" i="13"/>
  <c r="D169" i="13"/>
  <c r="D170" i="13"/>
  <c r="D171" i="13"/>
  <c r="D172" i="13"/>
  <c r="D173" i="13"/>
  <c r="D174" i="13"/>
  <c r="D175" i="13"/>
  <c r="D177" i="13"/>
  <c r="D178" i="13"/>
  <c r="D179" i="13"/>
  <c r="D180"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6" i="13"/>
  <c r="D217" i="13"/>
  <c r="D218" i="13"/>
  <c r="D219" i="13"/>
  <c r="D220" i="13"/>
  <c r="D221" i="13"/>
  <c r="D222" i="13"/>
  <c r="D223" i="13"/>
  <c r="D224" i="13"/>
  <c r="D225" i="13"/>
  <c r="D228" i="13"/>
  <c r="D229" i="13"/>
  <c r="D230" i="13"/>
  <c r="D231" i="13"/>
  <c r="D232" i="13"/>
  <c r="D234" i="13"/>
  <c r="D235" i="13"/>
  <c r="D237" i="13"/>
  <c r="D238" i="13"/>
  <c r="D239" i="13"/>
  <c r="D240" i="13"/>
  <c r="D241" i="13"/>
  <c r="D242" i="13"/>
  <c r="D243" i="13"/>
  <c r="D244" i="13"/>
  <c r="D245" i="13"/>
  <c r="D246" i="13"/>
  <c r="D247" i="13"/>
  <c r="D250" i="13"/>
  <c r="D251" i="13"/>
  <c r="D252" i="13"/>
  <c r="D253" i="13"/>
  <c r="D254" i="13"/>
  <c r="D255" i="13"/>
  <c r="D256" i="13"/>
  <c r="D257" i="13"/>
  <c r="D258" i="13"/>
  <c r="D259" i="13"/>
  <c r="D260" i="13"/>
  <c r="D261" i="13"/>
  <c r="D262" i="13"/>
  <c r="D263" i="13"/>
  <c r="D264" i="13"/>
  <c r="D266" i="13"/>
  <c r="D267" i="13"/>
  <c r="D268" i="13"/>
  <c r="D269"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3" i="13"/>
  <c r="D304" i="13"/>
  <c r="D305" i="13"/>
  <c r="D306" i="13"/>
  <c r="D307" i="13"/>
  <c r="D308" i="13"/>
  <c r="D309" i="13"/>
  <c r="D311" i="13"/>
  <c r="D312" i="13"/>
  <c r="D313" i="13"/>
  <c r="D314" i="13"/>
  <c r="D315" i="13"/>
  <c r="D316" i="13"/>
  <c r="D317" i="13"/>
  <c r="D318" i="13"/>
  <c r="D319" i="13"/>
  <c r="D320" i="13"/>
  <c r="D321" i="13"/>
  <c r="D322" i="13"/>
  <c r="D324" i="13"/>
  <c r="D325" i="13"/>
  <c r="D326" i="13"/>
  <c r="D327" i="13"/>
  <c r="D328" i="13"/>
  <c r="D329" i="13"/>
  <c r="D330" i="13"/>
  <c r="D331" i="13"/>
  <c r="D332" i="13"/>
  <c r="D333" i="13"/>
  <c r="D334" i="13"/>
  <c r="D335" i="13"/>
  <c r="D336" i="13"/>
  <c r="D337" i="13"/>
  <c r="D338" i="13"/>
  <c r="D339" i="13"/>
  <c r="D340" i="13"/>
  <c r="D341" i="13"/>
  <c r="D342" i="13"/>
  <c r="D344" i="13"/>
  <c r="D345" i="13"/>
  <c r="D347" i="13"/>
  <c r="D349" i="13"/>
  <c r="D350" i="13"/>
  <c r="D351" i="13"/>
  <c r="D352" i="13"/>
  <c r="D353" i="13"/>
  <c r="D354" i="13"/>
  <c r="D355" i="13"/>
  <c r="D356" i="13"/>
  <c r="D357" i="13"/>
  <c r="D358" i="13"/>
  <c r="D359" i="13"/>
  <c r="D360" i="13"/>
  <c r="D361" i="13"/>
  <c r="D362" i="13"/>
  <c r="D363" i="13"/>
  <c r="D365" i="13"/>
  <c r="D366" i="13"/>
  <c r="D367" i="13"/>
  <c r="D368" i="13"/>
  <c r="D369" i="13"/>
  <c r="D370" i="13"/>
  <c r="D371" i="13"/>
  <c r="D372" i="13"/>
  <c r="D374" i="13"/>
  <c r="D375" i="13"/>
  <c r="D376" i="13"/>
  <c r="D377" i="13"/>
  <c r="D379" i="13"/>
  <c r="D380" i="13"/>
  <c r="D381" i="13"/>
  <c r="D382" i="13"/>
  <c r="D384" i="13"/>
  <c r="D385" i="13"/>
  <c r="D386" i="13"/>
  <c r="D387" i="13"/>
  <c r="D388" i="13"/>
  <c r="D389" i="13"/>
  <c r="D390" i="13"/>
  <c r="D391" i="13"/>
  <c r="D392" i="13"/>
  <c r="D393" i="13"/>
  <c r="D394" i="13"/>
  <c r="D395" i="13"/>
  <c r="D396" i="13"/>
  <c r="D398" i="13"/>
  <c r="D399" i="13"/>
  <c r="D400" i="13"/>
  <c r="D401" i="13"/>
  <c r="D402" i="13"/>
  <c r="D403" i="13"/>
  <c r="D404" i="13"/>
  <c r="D406" i="13"/>
  <c r="D407" i="13"/>
  <c r="D408" i="13"/>
  <c r="D409" i="13"/>
  <c r="D410" i="13"/>
  <c r="D411" i="13"/>
  <c r="D412" i="13"/>
  <c r="D413" i="13"/>
  <c r="D414" i="13"/>
  <c r="D415" i="13"/>
  <c r="D416" i="13"/>
  <c r="D418" i="13"/>
  <c r="D419" i="13"/>
  <c r="D420" i="13"/>
  <c r="D421" i="13"/>
  <c r="D422" i="13"/>
  <c r="D423" i="13"/>
  <c r="D424" i="13"/>
  <c r="D425"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3" i="13"/>
  <c r="D464" i="13"/>
  <c r="D465" i="13"/>
  <c r="D466" i="13"/>
  <c r="D467" i="13"/>
  <c r="D468" i="13"/>
  <c r="D469" i="13"/>
  <c r="D470" i="13"/>
  <c r="D472" i="13"/>
  <c r="D473" i="13"/>
  <c r="D474" i="13"/>
  <c r="D475" i="13"/>
  <c r="D476" i="13"/>
  <c r="D477" i="13"/>
  <c r="D478" i="13"/>
  <c r="D479" i="13"/>
  <c r="D480" i="13"/>
  <c r="D481" i="13"/>
  <c r="D482" i="13"/>
  <c r="D483" i="13"/>
  <c r="D484" i="13"/>
  <c r="D485" i="13"/>
  <c r="D486" i="13"/>
  <c r="D487" i="13"/>
  <c r="D488" i="13"/>
  <c r="D489" i="13"/>
  <c r="D490" i="13"/>
  <c r="D491" i="13"/>
  <c r="D492" i="13"/>
  <c r="D494" i="13"/>
  <c r="D495" i="13"/>
  <c r="D496" i="13"/>
  <c r="D497" i="13"/>
  <c r="D498" i="13"/>
  <c r="D499" i="13"/>
  <c r="D500" i="13"/>
  <c r="D501" i="13"/>
  <c r="D502" i="13"/>
  <c r="D503" i="13"/>
  <c r="D505" i="13"/>
  <c r="D506" i="13"/>
  <c r="D507" i="13"/>
  <c r="D508" i="13"/>
  <c r="D509" i="13"/>
  <c r="D510" i="13"/>
  <c r="D511" i="13"/>
  <c r="D512" i="13"/>
  <c r="D513" i="13"/>
  <c r="D515"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4" i="13"/>
  <c r="D545" i="13"/>
  <c r="D546" i="13"/>
  <c r="D547" i="13"/>
  <c r="D548" i="13"/>
  <c r="D549" i="13"/>
  <c r="D550" i="13"/>
  <c r="D551" i="13"/>
  <c r="D553" i="13"/>
  <c r="D554" i="13"/>
  <c r="D555"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7" i="13"/>
  <c r="D588" i="13"/>
  <c r="D589" i="13"/>
  <c r="D590" i="13"/>
  <c r="D591" i="13"/>
  <c r="D592" i="13"/>
  <c r="D593" i="13"/>
  <c r="D594" i="13"/>
  <c r="D595"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1" i="13"/>
  <c r="D622" i="13"/>
  <c r="D623" i="13"/>
  <c r="D624" i="13"/>
  <c r="D625" i="13"/>
  <c r="D626" i="13"/>
  <c r="D627" i="13"/>
  <c r="D628" i="13"/>
  <c r="D629" i="13"/>
  <c r="D630" i="13"/>
  <c r="D631" i="13"/>
  <c r="D632" i="13"/>
  <c r="D634" i="13"/>
  <c r="D635" i="13"/>
  <c r="D636" i="13"/>
  <c r="D637" i="13"/>
  <c r="D638" i="13"/>
  <c r="D639" i="13"/>
  <c r="D640" i="13"/>
  <c r="D641" i="13"/>
  <c r="D642" i="13"/>
  <c r="D643" i="13"/>
  <c r="D644" i="13"/>
  <c r="D645" i="13"/>
  <c r="D646" i="13"/>
  <c r="D647" i="13"/>
  <c r="D648" i="13"/>
  <c r="D649" i="13"/>
  <c r="D650" i="13"/>
  <c r="D651" i="13"/>
  <c r="D652" i="13"/>
  <c r="D654" i="13"/>
  <c r="D656" i="13"/>
  <c r="D657" i="13"/>
  <c r="D658" i="13"/>
  <c r="D659" i="13"/>
  <c r="D660" i="13"/>
  <c r="D661" i="13"/>
  <c r="D662" i="13"/>
  <c r="D663" i="13"/>
  <c r="D664" i="13"/>
  <c r="D665" i="13"/>
  <c r="D666" i="13"/>
  <c r="D667" i="13"/>
  <c r="D668" i="13"/>
  <c r="D669" i="13"/>
  <c r="D670" i="13"/>
  <c r="D672" i="13"/>
  <c r="D673" i="13"/>
  <c r="D674" i="13"/>
  <c r="D675" i="13"/>
  <c r="D676" i="13"/>
  <c r="D677" i="13"/>
  <c r="D678" i="13"/>
  <c r="D679" i="13"/>
  <c r="D680" i="13"/>
  <c r="D681" i="13"/>
  <c r="D683" i="13"/>
  <c r="D684" i="13"/>
  <c r="D685" i="13"/>
  <c r="D687" i="13"/>
  <c r="D688" i="13"/>
  <c r="D689" i="13"/>
  <c r="D691" i="13"/>
  <c r="D692" i="13"/>
  <c r="D693" i="13"/>
  <c r="D694" i="13"/>
  <c r="D695" i="13"/>
  <c r="D696" i="13"/>
  <c r="D697" i="13"/>
  <c r="D698" i="13"/>
  <c r="D699" i="13"/>
  <c r="D701" i="13"/>
  <c r="D702" i="13"/>
  <c r="D703" i="13"/>
  <c r="D704" i="13"/>
  <c r="D705" i="13"/>
  <c r="D706" i="13"/>
  <c r="D707" i="13"/>
  <c r="D708" i="13"/>
  <c r="D709" i="13"/>
  <c r="D710" i="13"/>
  <c r="D711" i="13"/>
  <c r="D712" i="13"/>
  <c r="D713" i="13"/>
  <c r="D714" i="13"/>
  <c r="D715" i="13"/>
  <c r="D716" i="13"/>
  <c r="D717" i="13"/>
  <c r="D718" i="13"/>
  <c r="D720" i="13"/>
  <c r="D721" i="13"/>
  <c r="D722" i="13"/>
  <c r="D723" i="13"/>
  <c r="D724" i="13"/>
  <c r="D725" i="13"/>
  <c r="D727" i="13"/>
  <c r="D728" i="13"/>
  <c r="D729" i="13"/>
  <c r="D730" i="13"/>
  <c r="D731" i="13"/>
  <c r="D732" i="13"/>
  <c r="D733" i="13"/>
  <c r="D734" i="13"/>
  <c r="D735" i="13"/>
  <c r="D736" i="13"/>
  <c r="D737" i="13"/>
  <c r="D738" i="13"/>
  <c r="D739" i="13"/>
  <c r="D740" i="13"/>
  <c r="D741" i="13"/>
  <c r="D742" i="13"/>
  <c r="D743" i="13"/>
  <c r="D744" i="13"/>
  <c r="D745" i="13"/>
  <c r="D746" i="13"/>
  <c r="D748" i="13"/>
  <c r="D749" i="13"/>
  <c r="D750" i="13"/>
  <c r="D751" i="13"/>
  <c r="D752" i="13"/>
  <c r="D753" i="13"/>
  <c r="D754" i="13"/>
  <c r="D755" i="13"/>
  <c r="D756" i="13"/>
  <c r="D757"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50" i="13"/>
  <c r="D851" i="13"/>
  <c r="D852" i="13"/>
  <c r="D853" i="13"/>
  <c r="D854" i="13"/>
  <c r="D855" i="13"/>
  <c r="D856" i="13"/>
  <c r="D857" i="13"/>
  <c r="D859" i="13"/>
  <c r="D860" i="13"/>
  <c r="D861" i="13"/>
  <c r="D862" i="13"/>
  <c r="D863"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346" i="13"/>
  <c r="D88" i="13"/>
  <c r="D215" i="13"/>
  <c r="D653" i="13"/>
  <c r="D39" i="13"/>
  <c r="D493" i="13"/>
  <c r="D895" i="13"/>
  <c r="D671" i="13"/>
  <c r="D620" i="13"/>
  <c r="D682" i="13"/>
  <c r="D233" i="13"/>
  <c r="D249" i="13"/>
  <c r="D428" i="13"/>
  <c r="D397" i="13"/>
  <c r="D3" i="13"/>
  <c r="B233" i="13"/>
  <c r="D57" i="28"/>
  <c r="D51" i="28"/>
  <c r="D999" i="13" l="1"/>
  <c r="D61" i="28"/>
  <c r="B620" i="13" l="1"/>
  <c r="C620" i="13"/>
  <c r="B682" i="13"/>
  <c r="C682" i="13"/>
  <c r="C233" i="13"/>
  <c r="B249" i="13"/>
  <c r="C249" i="13"/>
  <c r="B428" i="13"/>
  <c r="C428" i="13"/>
  <c r="B397" i="13"/>
  <c r="C397" i="13"/>
  <c r="D59" i="28"/>
  <c r="AR1296" i="5" l="1"/>
  <c r="D201" i="28" l="1"/>
  <c r="AK1290" i="5" l="1"/>
  <c r="AK1285" i="5" l="1"/>
  <c r="Q1285" i="5"/>
  <c r="AR1287" i="5" l="1"/>
  <c r="D195" i="28" l="1"/>
  <c r="D17" i="28" l="1"/>
  <c r="D196" i="28" l="1"/>
  <c r="D197" i="28" l="1"/>
  <c r="D199" i="28" l="1"/>
  <c r="P1279" i="5" l="1"/>
  <c r="P1280" i="5"/>
  <c r="D200" i="28" l="1"/>
  <c r="AR1288" i="5" l="1"/>
  <c r="D21" i="28" l="1"/>
  <c r="AY34" i="11" l="1"/>
  <c r="BA34" i="11"/>
  <c r="B215" i="13" l="1"/>
  <c r="C215" i="13"/>
  <c r="B653" i="13"/>
  <c r="C653" i="13"/>
  <c r="B39" i="13"/>
  <c r="C39" i="13"/>
  <c r="B493" i="13"/>
  <c r="C493" i="13"/>
  <c r="B895" i="13"/>
  <c r="C895" i="13"/>
  <c r="B671" i="13"/>
  <c r="C671" i="13"/>
  <c r="D49" i="28" l="1"/>
  <c r="AR1284" i="5" l="1"/>
  <c r="AR1283" i="5"/>
  <c r="D63" i="28" l="1"/>
  <c r="P1255" i="5" l="1"/>
  <c r="Q1287" i="5" l="1"/>
  <c r="D194" i="28" l="1"/>
  <c r="D50" i="28" l="1"/>
  <c r="AR1277" i="5" l="1"/>
  <c r="D249" i="28" l="1"/>
  <c r="D193" i="28" l="1"/>
  <c r="Q1284" i="5" l="1"/>
  <c r="Q1283" i="5"/>
  <c r="Q1276" i="5" l="1"/>
  <c r="D47" i="28" l="1"/>
  <c r="D189" i="28"/>
  <c r="Q1282" i="5" l="1"/>
  <c r="AK1261" i="5" l="1"/>
  <c r="P1277" i="5" l="1"/>
  <c r="Q1277" i="5" s="1"/>
  <c r="D192" i="28" l="1"/>
  <c r="B86" i="13"/>
  <c r="C86" i="13"/>
  <c r="B737" i="13"/>
  <c r="C737" i="13"/>
  <c r="B629" i="13"/>
  <c r="C629" i="13"/>
  <c r="B502" i="13"/>
  <c r="C502" i="13"/>
  <c r="B331" i="13"/>
  <c r="C331" i="13"/>
  <c r="B395" i="13"/>
  <c r="C395" i="13"/>
  <c r="B548" i="13"/>
  <c r="C548" i="13"/>
  <c r="B346" i="13"/>
  <c r="C346" i="13"/>
  <c r="B88" i="13"/>
  <c r="C88" i="13"/>
  <c r="D191" i="28" l="1"/>
  <c r="D190" i="28" l="1"/>
  <c r="D230" i="28" l="1"/>
  <c r="D53" i="28" l="1"/>
  <c r="D54" i="28"/>
  <c r="D55" i="28"/>
  <c r="D56" i="28"/>
  <c r="D188" i="28" l="1"/>
  <c r="Q1275" i="5"/>
  <c r="Q1274" i="5"/>
  <c r="Q1273" i="5"/>
  <c r="D187" i="28" l="1"/>
  <c r="Q1271" i="5"/>
  <c r="Q1270" i="5" l="1"/>
  <c r="D186" i="28" l="1"/>
  <c r="B852" i="13" l="1"/>
  <c r="C852" i="13"/>
  <c r="B749" i="13"/>
  <c r="C749" i="13"/>
  <c r="B663" i="13"/>
  <c r="C663" i="13"/>
  <c r="B801" i="13"/>
  <c r="C801" i="13"/>
  <c r="B917" i="13"/>
  <c r="C917" i="13"/>
  <c r="AY40" i="11" l="1"/>
  <c r="BA40" i="11"/>
  <c r="D183" i="28" l="1"/>
  <c r="D178" i="28"/>
  <c r="D179" i="28" l="1"/>
  <c r="BL1258" i="5" l="1"/>
  <c r="AG33" i="11" l="1"/>
  <c r="AI33" i="11"/>
  <c r="BL1231" i="5" l="1"/>
  <c r="Q1231" i="5"/>
  <c r="BL1260" i="5" l="1"/>
  <c r="BL1259" i="5"/>
  <c r="Q1260" i="5"/>
  <c r="D171" i="28" l="1"/>
  <c r="BL1267" i="5"/>
  <c r="Q1267" i="5"/>
  <c r="D181" i="28" l="1"/>
  <c r="AR1256" i="5" l="1"/>
  <c r="D198" i="28" l="1"/>
  <c r="D176" i="28" l="1"/>
  <c r="P1264" i="5" l="1"/>
  <c r="Q1264" i="5" s="1"/>
  <c r="P1263" i="5" l="1"/>
  <c r="Q1263" i="5" s="1"/>
  <c r="Q1262" i="5" l="1"/>
  <c r="D45" i="28" l="1"/>
  <c r="D173" i="28" l="1"/>
  <c r="Q1259" i="5"/>
  <c r="Q1258" i="5" l="1"/>
  <c r="D172" i="28" l="1"/>
  <c r="Q1257" i="5"/>
  <c r="D170" i="28" l="1"/>
  <c r="BL1232" i="5" l="1"/>
  <c r="AR1232" i="5"/>
  <c r="AK1251" i="5" l="1"/>
  <c r="Q1251" i="5"/>
  <c r="D46" i="28" l="1"/>
  <c r="I158" i="33" l="1"/>
  <c r="CD158" i="33"/>
  <c r="CF158" i="33"/>
  <c r="CG158" i="33"/>
  <c r="D177" i="28"/>
  <c r="BW158" i="33" l="1"/>
  <c r="BA158" i="33"/>
  <c r="BA159" i="33"/>
  <c r="AM159" i="33"/>
  <c r="BT158" i="33"/>
  <c r="AJ158" i="33"/>
  <c r="AH158" i="33"/>
  <c r="Y159" i="33"/>
  <c r="AY158" i="33"/>
  <c r="AE158" i="33"/>
  <c r="BX158" i="33"/>
  <c r="AW158" i="33"/>
  <c r="AB158" i="33"/>
  <c r="BV158" i="33"/>
  <c r="AS158" i="33"/>
  <c r="W158" i="33"/>
  <c r="BU158" i="33"/>
  <c r="AQ158" i="33"/>
  <c r="U158" i="33"/>
  <c r="Y158" i="33"/>
  <c r="AU158" i="33"/>
  <c r="AM158" i="33"/>
  <c r="CE158" i="33"/>
  <c r="B64" i="13" l="1"/>
  <c r="C64" i="13"/>
  <c r="B370" i="13"/>
  <c r="C370" i="13"/>
  <c r="B472" i="13"/>
  <c r="C472" i="13"/>
  <c r="B167" i="13"/>
  <c r="C167" i="13"/>
  <c r="B551" i="13"/>
  <c r="C551" i="13"/>
  <c r="B272" i="13"/>
  <c r="C272" i="13"/>
  <c r="B709" i="13"/>
  <c r="C709" i="13"/>
  <c r="D174" i="28" l="1"/>
  <c r="D168" i="28" l="1"/>
  <c r="D180" i="28" l="1"/>
  <c r="Q1253" i="5" l="1"/>
  <c r="D185" i="28" l="1"/>
  <c r="Q1207" i="5" l="1"/>
  <c r="BL1237" i="5" l="1"/>
  <c r="D182" i="28" l="1"/>
  <c r="D162" i="28" l="1"/>
  <c r="AR1248" i="5" l="1"/>
  <c r="AK1220" i="5" l="1"/>
  <c r="BL1235" i="5" l="1"/>
  <c r="D175" i="28" l="1"/>
  <c r="Q1250" i="5"/>
  <c r="Q1248" i="5" l="1"/>
  <c r="Q1249" i="5"/>
  <c r="D164" i="28" l="1"/>
  <c r="D160" i="28"/>
  <c r="D161" i="28"/>
  <c r="AR1228" i="5" l="1"/>
  <c r="P1228" i="5"/>
  <c r="Q1228" i="5" s="1"/>
  <c r="B134" i="13" l="1"/>
  <c r="C134" i="13"/>
  <c r="B48" i="13"/>
  <c r="C48" i="13"/>
  <c r="B770" i="13"/>
  <c r="C770" i="13"/>
  <c r="B916" i="13"/>
  <c r="C916" i="13"/>
  <c r="B790" i="13"/>
  <c r="C790" i="13"/>
  <c r="B555" i="13"/>
  <c r="C555" i="13"/>
  <c r="B135" i="13"/>
  <c r="C135" i="13"/>
  <c r="BL1238" i="5"/>
  <c r="AR1223" i="5"/>
  <c r="Q1223" i="5"/>
  <c r="P1223" i="5"/>
  <c r="BL1208" i="5"/>
  <c r="BL1203" i="5"/>
  <c r="BL1194" i="5"/>
  <c r="BL1193" i="5"/>
  <c r="BL1189" i="5"/>
  <c r="BJ1181" i="5"/>
  <c r="BL1171" i="5"/>
  <c r="BL1170" i="5"/>
  <c r="BJ1151" i="5"/>
  <c r="P1147" i="5"/>
  <c r="BL1145" i="5"/>
  <c r="P1143" i="5"/>
  <c r="BL1132" i="5"/>
  <c r="BL1121" i="5"/>
  <c r="AR1121" i="5"/>
  <c r="BL1116" i="5"/>
  <c r="AR1099" i="5"/>
  <c r="AR1088" i="5"/>
  <c r="P1084" i="5"/>
  <c r="AR1083" i="5"/>
  <c r="BL1080" i="5"/>
  <c r="AR1068" i="5"/>
  <c r="AR1064" i="5"/>
  <c r="Q1060" i="5"/>
  <c r="Q1059" i="5"/>
  <c r="AR1055" i="5"/>
  <c r="Q1041" i="5"/>
  <c r="P1006" i="5"/>
  <c r="AR999" i="5"/>
  <c r="P940" i="5"/>
  <c r="Q911" i="5"/>
  <c r="AR904" i="5"/>
  <c r="P904" i="5"/>
  <c r="P900" i="5"/>
  <c r="P895" i="5"/>
  <c r="Q884" i="5"/>
  <c r="P884" i="5"/>
  <c r="AR860" i="5"/>
  <c r="P858" i="5"/>
  <c r="Q850" i="5"/>
  <c r="P850" i="5"/>
  <c r="AR834" i="5"/>
  <c r="D159" i="28" l="1"/>
  <c r="D163" i="28" l="1"/>
  <c r="D165" i="28"/>
  <c r="D166" i="28" l="1"/>
  <c r="Q1245" i="5" l="1"/>
  <c r="P1235" i="5" l="1"/>
  <c r="D150" i="28" l="1"/>
  <c r="Q1239" i="5"/>
  <c r="D154" i="28" l="1"/>
  <c r="D184" i="28"/>
  <c r="D153" i="28"/>
  <c r="Q1242" i="5" l="1"/>
  <c r="AR1230" i="5" l="1"/>
  <c r="AR1234" i="5" l="1"/>
  <c r="B332" i="13" l="1"/>
  <c r="C332" i="13"/>
  <c r="B174" i="13"/>
  <c r="C174" i="13"/>
  <c r="B674" i="13"/>
  <c r="C674" i="13"/>
  <c r="B65" i="13"/>
  <c r="C65" i="13"/>
  <c r="B313" i="13"/>
  <c r="C313" i="13"/>
  <c r="B449" i="13"/>
  <c r="C449" i="13"/>
  <c r="B630" i="13"/>
  <c r="C630" i="13"/>
  <c r="D151" i="28" l="1"/>
  <c r="D158" i="28"/>
  <c r="D152" i="28"/>
  <c r="D156" i="28"/>
  <c r="P1238" i="5" l="1"/>
  <c r="B412" i="13" l="1"/>
  <c r="C412" i="13"/>
  <c r="B70" i="13"/>
  <c r="C70" i="13"/>
  <c r="B614" i="13"/>
  <c r="C614" i="13"/>
  <c r="B766" i="13"/>
  <c r="C766" i="13"/>
  <c r="B595" i="13"/>
  <c r="C595" i="13"/>
  <c r="B827" i="13"/>
  <c r="C827" i="13"/>
  <c r="D167" i="28" l="1"/>
  <c r="D149" i="28"/>
  <c r="D169" i="28"/>
  <c r="P1234" i="5" l="1"/>
  <c r="Q1234" i="5" s="1"/>
  <c r="AR1218" i="5" l="1"/>
  <c r="D13" i="28" l="1"/>
  <c r="D16" i="28"/>
  <c r="D155" i="28" l="1"/>
  <c r="P1230" i="5"/>
  <c r="D148" i="28" l="1"/>
  <c r="AR1221" i="5" l="1"/>
  <c r="AR1226" i="5" l="1"/>
  <c r="Q1229" i="5" l="1"/>
  <c r="B27" i="13" l="1"/>
  <c r="C27" i="13"/>
  <c r="B914" i="13"/>
  <c r="C914" i="13"/>
  <c r="B74" i="13"/>
  <c r="C74" i="13"/>
  <c r="B920" i="13"/>
  <c r="C920" i="13"/>
  <c r="B320" i="13"/>
  <c r="C320" i="13"/>
  <c r="B29" i="13"/>
  <c r="C29" i="13"/>
  <c r="D48" i="28" l="1"/>
  <c r="D157" i="28" l="1"/>
  <c r="D143" i="28"/>
  <c r="D144" i="28"/>
  <c r="D142" i="28" l="1"/>
  <c r="D146" i="28"/>
  <c r="D145" i="28"/>
  <c r="P1221" i="5" l="1"/>
  <c r="D147" i="28" l="1"/>
  <c r="D139" i="28"/>
  <c r="D43" i="28"/>
  <c r="P1219" i="5" l="1"/>
  <c r="Q1219" i="5" s="1"/>
  <c r="P1218" i="5" l="1"/>
  <c r="Q1218" i="5" s="1"/>
  <c r="P1210" i="5" l="1"/>
  <c r="D137" i="28" l="1"/>
  <c r="D140" i="28" l="1"/>
  <c r="D133" i="28" l="1"/>
  <c r="D141" i="28" l="1"/>
  <c r="D135" i="28"/>
  <c r="D134" i="28" l="1"/>
  <c r="D130" i="28"/>
  <c r="D129" i="28"/>
  <c r="AR1203" i="5" l="1"/>
  <c r="Q1209" i="5" l="1"/>
  <c r="P1209" i="5" s="1"/>
  <c r="D127" i="28" l="1"/>
  <c r="AK1191" i="5" l="1"/>
  <c r="D40" i="28" l="1"/>
  <c r="D203" i="28"/>
  <c r="B720" i="13"/>
  <c r="C720" i="13"/>
  <c r="B679" i="13"/>
  <c r="C679" i="13"/>
  <c r="B18" i="13"/>
  <c r="C18" i="13"/>
  <c r="B267" i="13"/>
  <c r="C267" i="13"/>
  <c r="B791" i="13"/>
  <c r="C791" i="13"/>
  <c r="B567" i="13"/>
  <c r="C567" i="13"/>
  <c r="B912" i="13"/>
  <c r="C912" i="13"/>
  <c r="B900" i="13"/>
  <c r="C900" i="13"/>
  <c r="B531" i="13"/>
  <c r="C531" i="13"/>
  <c r="D42" i="28" l="1"/>
  <c r="D132" i="28"/>
  <c r="AR1193" i="5" l="1"/>
  <c r="D123" i="28" l="1"/>
  <c r="D126" i="28"/>
  <c r="D121" i="28" l="1"/>
  <c r="D122" i="28"/>
  <c r="AK1187" i="5" l="1"/>
  <c r="P1199" i="5" l="1"/>
  <c r="D138" i="28" l="1"/>
  <c r="D118" i="28" l="1"/>
  <c r="D119" i="28"/>
  <c r="BS28" i="11" l="1"/>
  <c r="BQ28" i="11"/>
  <c r="D39" i="28" l="1"/>
  <c r="D38" i="28" l="1"/>
  <c r="D125" i="28"/>
  <c r="P1189" i="5" l="1"/>
  <c r="D116" i="28" l="1"/>
  <c r="D117" i="28"/>
  <c r="D35" i="28" l="1"/>
  <c r="D36" i="28"/>
  <c r="AR1186" i="5" l="1"/>
  <c r="P1186" i="5"/>
  <c r="Q1186" i="5" s="1"/>
  <c r="D114" i="28"/>
  <c r="AG51" i="11"/>
  <c r="AI51" i="11"/>
  <c r="AG52" i="11"/>
  <c r="AI52" i="11"/>
  <c r="D115" i="28"/>
  <c r="D253" i="28"/>
  <c r="D112" i="28"/>
  <c r="D128" i="28"/>
  <c r="D110" i="28"/>
  <c r="D37" i="28"/>
  <c r="D111" i="28"/>
  <c r="BX3" i="33"/>
  <c r="BX69" i="33" s="1"/>
  <c r="BL1141" i="5"/>
  <c r="BL1140" i="5"/>
  <c r="BL1139" i="5"/>
  <c r="BP3" i="11"/>
  <c r="B651" i="13"/>
  <c r="C651" i="13"/>
  <c r="B132" i="13"/>
  <c r="C132" i="13"/>
  <c r="B783" i="13"/>
  <c r="C783" i="13"/>
  <c r="B189" i="13"/>
  <c r="C189" i="13"/>
  <c r="B82" i="13"/>
  <c r="C82" i="13"/>
  <c r="B56" i="13"/>
  <c r="C56" i="13"/>
  <c r="B767" i="13"/>
  <c r="C767" i="13"/>
  <c r="B108" i="13"/>
  <c r="C108" i="13"/>
  <c r="B389" i="13"/>
  <c r="C389" i="13"/>
  <c r="B33" i="13"/>
  <c r="C33" i="13"/>
  <c r="B13" i="13"/>
  <c r="C13" i="13"/>
  <c r="B804" i="13"/>
  <c r="C804" i="13"/>
  <c r="B707" i="13"/>
  <c r="C707" i="13"/>
  <c r="B321" i="13"/>
  <c r="C321" i="13"/>
  <c r="D113" i="28"/>
  <c r="BA20" i="11"/>
  <c r="AY20" i="11"/>
  <c r="AR1182" i="5"/>
  <c r="AG39" i="11"/>
  <c r="D106" i="28"/>
  <c r="D107" i="28"/>
  <c r="D109" i="28"/>
  <c r="D108" i="28"/>
  <c r="Q35" i="11"/>
  <c r="Q34" i="11"/>
  <c r="O34" i="11"/>
  <c r="D7" i="28"/>
  <c r="AR1180" i="5"/>
  <c r="B503" i="13"/>
  <c r="C503" i="13"/>
  <c r="B476" i="13"/>
  <c r="C476" i="13"/>
  <c r="B813" i="13"/>
  <c r="C813" i="13"/>
  <c r="B419" i="13"/>
  <c r="C419" i="13"/>
  <c r="B141" i="13"/>
  <c r="C141" i="13"/>
  <c r="AR1178" i="5"/>
  <c r="D103" i="28"/>
  <c r="AR1151" i="5"/>
  <c r="D104" i="28"/>
  <c r="B3" i="13"/>
  <c r="C3" i="13"/>
  <c r="B5" i="13"/>
  <c r="C5" i="13"/>
  <c r="B6" i="13"/>
  <c r="C6" i="13"/>
  <c r="B7" i="13"/>
  <c r="C7" i="13"/>
  <c r="B8" i="13"/>
  <c r="C8" i="13"/>
  <c r="B9" i="13"/>
  <c r="C9" i="13"/>
  <c r="B10" i="13"/>
  <c r="C10" i="13"/>
  <c r="B12" i="13"/>
  <c r="C12" i="13"/>
  <c r="B15" i="13"/>
  <c r="C15" i="13"/>
  <c r="B16" i="13"/>
  <c r="C16" i="13"/>
  <c r="B17" i="13"/>
  <c r="C17" i="13"/>
  <c r="B22" i="13"/>
  <c r="C22" i="13"/>
  <c r="B23" i="13"/>
  <c r="C23" i="13"/>
  <c r="B25" i="13"/>
  <c r="C25" i="13"/>
  <c r="B26" i="13"/>
  <c r="C26" i="13"/>
  <c r="B28" i="13"/>
  <c r="C28" i="13"/>
  <c r="B30" i="13"/>
  <c r="C30" i="13"/>
  <c r="B31" i="13"/>
  <c r="C31" i="13"/>
  <c r="B32" i="13"/>
  <c r="C32" i="13"/>
  <c r="B34" i="13"/>
  <c r="C34" i="13"/>
  <c r="B35" i="13"/>
  <c r="C35" i="13"/>
  <c r="B36" i="13"/>
  <c r="C36" i="13"/>
  <c r="B38" i="13"/>
  <c r="C38" i="13"/>
  <c r="B40" i="13"/>
  <c r="C40" i="13"/>
  <c r="B41" i="13"/>
  <c r="C41" i="13"/>
  <c r="B42" i="13"/>
  <c r="C42" i="13"/>
  <c r="B43" i="13"/>
  <c r="C43" i="13"/>
  <c r="B44" i="13"/>
  <c r="C44" i="13"/>
  <c r="B45" i="13"/>
  <c r="C45" i="13"/>
  <c r="B47" i="13"/>
  <c r="C47" i="13"/>
  <c r="B49" i="13"/>
  <c r="C49" i="13"/>
  <c r="B50" i="13"/>
  <c r="C50" i="13"/>
  <c r="B52" i="13"/>
  <c r="C52" i="13"/>
  <c r="B53" i="13"/>
  <c r="C53" i="13"/>
  <c r="B54" i="13"/>
  <c r="C54" i="13"/>
  <c r="B55" i="13"/>
  <c r="C55" i="13"/>
  <c r="B57" i="13"/>
  <c r="C57" i="13"/>
  <c r="B59" i="13"/>
  <c r="C59" i="13"/>
  <c r="B60" i="13"/>
  <c r="C60" i="13"/>
  <c r="B61" i="13"/>
  <c r="C61" i="13"/>
  <c r="B62" i="13"/>
  <c r="C62" i="13"/>
  <c r="B63" i="13"/>
  <c r="C63" i="13"/>
  <c r="B66" i="13"/>
  <c r="C66" i="13"/>
  <c r="B67" i="13"/>
  <c r="C67" i="13"/>
  <c r="B68" i="13"/>
  <c r="C68" i="13"/>
  <c r="B69" i="13"/>
  <c r="C69" i="13"/>
  <c r="B71" i="13"/>
  <c r="C71" i="13"/>
  <c r="B72" i="13"/>
  <c r="C72" i="13"/>
  <c r="B73" i="13"/>
  <c r="C73" i="13"/>
  <c r="B75" i="13"/>
  <c r="C75" i="13"/>
  <c r="B76" i="13"/>
  <c r="C76" i="13"/>
  <c r="B77" i="13"/>
  <c r="C77" i="13"/>
  <c r="B78" i="13"/>
  <c r="C78" i="13"/>
  <c r="B79" i="13"/>
  <c r="C79" i="13"/>
  <c r="B80" i="13"/>
  <c r="C80" i="13"/>
  <c r="B81" i="13"/>
  <c r="C81" i="13"/>
  <c r="B83" i="13"/>
  <c r="C83" i="13"/>
  <c r="B84" i="13"/>
  <c r="C84" i="13"/>
  <c r="B85" i="13"/>
  <c r="C85" i="13"/>
  <c r="B87" i="13"/>
  <c r="C87" i="13"/>
  <c r="B89" i="13"/>
  <c r="C89" i="13"/>
  <c r="B90" i="13"/>
  <c r="C90" i="13"/>
  <c r="B91" i="13"/>
  <c r="C91" i="13"/>
  <c r="B94" i="13"/>
  <c r="C94" i="13"/>
  <c r="B95" i="13"/>
  <c r="C95" i="13"/>
  <c r="B97" i="13"/>
  <c r="C97" i="13"/>
  <c r="B99" i="13"/>
  <c r="C99" i="13"/>
  <c r="B100" i="13"/>
  <c r="C100" i="13"/>
  <c r="B101" i="13"/>
  <c r="C101" i="13"/>
  <c r="B103" i="13"/>
  <c r="C103" i="13"/>
  <c r="B104" i="13"/>
  <c r="C104" i="13"/>
  <c r="B106" i="13"/>
  <c r="C106" i="13"/>
  <c r="B107" i="13"/>
  <c r="C107" i="13"/>
  <c r="B109" i="13"/>
  <c r="C109" i="13"/>
  <c r="B110" i="13"/>
  <c r="C110" i="13"/>
  <c r="B112" i="13"/>
  <c r="C112" i="13"/>
  <c r="B113" i="13"/>
  <c r="C113" i="13"/>
  <c r="B114" i="13"/>
  <c r="C114" i="13"/>
  <c r="B115" i="13"/>
  <c r="C115" i="13"/>
  <c r="B117" i="13"/>
  <c r="C117" i="13"/>
  <c r="B118" i="13"/>
  <c r="C118" i="13"/>
  <c r="B119" i="13"/>
  <c r="C119" i="13"/>
  <c r="B120" i="13"/>
  <c r="C120" i="13"/>
  <c r="B121" i="13"/>
  <c r="C121" i="13"/>
  <c r="B122" i="13"/>
  <c r="C122" i="13"/>
  <c r="B124" i="13"/>
  <c r="C124" i="13"/>
  <c r="B125" i="13"/>
  <c r="C125" i="13"/>
  <c r="B126" i="13"/>
  <c r="C126" i="13"/>
  <c r="B127" i="13"/>
  <c r="C127" i="13"/>
  <c r="B128" i="13"/>
  <c r="C128" i="13"/>
  <c r="B129" i="13"/>
  <c r="C129" i="13"/>
  <c r="B130" i="13"/>
  <c r="C130" i="13"/>
  <c r="B131" i="13"/>
  <c r="C131" i="13"/>
  <c r="B133" i="13"/>
  <c r="C133" i="13"/>
  <c r="B136" i="13"/>
  <c r="C136" i="13"/>
  <c r="B137" i="13"/>
  <c r="C137" i="13"/>
  <c r="B138" i="13"/>
  <c r="C138" i="13"/>
  <c r="B140" i="13"/>
  <c r="C140" i="13"/>
  <c r="B142" i="13"/>
  <c r="C142" i="13"/>
  <c r="B143" i="13"/>
  <c r="C143" i="13"/>
  <c r="B145" i="13"/>
  <c r="C145" i="13"/>
  <c r="B146" i="13"/>
  <c r="C146" i="13"/>
  <c r="B147" i="13"/>
  <c r="C147" i="13"/>
  <c r="B148" i="13"/>
  <c r="C148" i="13"/>
  <c r="B149" i="13"/>
  <c r="C149" i="13"/>
  <c r="B150" i="13"/>
  <c r="C150" i="13"/>
  <c r="B151" i="13"/>
  <c r="C151" i="13"/>
  <c r="B153" i="13"/>
  <c r="C153" i="13"/>
  <c r="B154" i="13"/>
  <c r="C154" i="13"/>
  <c r="B155" i="13"/>
  <c r="C155" i="13"/>
  <c r="B156" i="13"/>
  <c r="C156" i="13"/>
  <c r="B158" i="13"/>
  <c r="C158" i="13"/>
  <c r="B159" i="13"/>
  <c r="C159" i="13"/>
  <c r="B161" i="13"/>
  <c r="C161" i="13"/>
  <c r="B162" i="13"/>
  <c r="C162" i="13"/>
  <c r="B164" i="13"/>
  <c r="C164" i="13"/>
  <c r="B168" i="13"/>
  <c r="C168" i="13"/>
  <c r="B169" i="13"/>
  <c r="C169" i="13"/>
  <c r="B170" i="13"/>
  <c r="C170" i="13"/>
  <c r="B171" i="13"/>
  <c r="C171" i="13"/>
  <c r="B172" i="13"/>
  <c r="C172" i="13"/>
  <c r="B173" i="13"/>
  <c r="C173" i="13"/>
  <c r="B175" i="13"/>
  <c r="C175" i="13"/>
  <c r="B177" i="13"/>
  <c r="C177" i="13"/>
  <c r="B178" i="13"/>
  <c r="C178" i="13"/>
  <c r="B179" i="13"/>
  <c r="C179" i="13"/>
  <c r="B180" i="13"/>
  <c r="C180" i="13"/>
  <c r="B182" i="13"/>
  <c r="C182" i="13"/>
  <c r="B183" i="13"/>
  <c r="C183" i="13"/>
  <c r="B184" i="13"/>
  <c r="C184" i="13"/>
  <c r="B186" i="13"/>
  <c r="C186" i="13"/>
  <c r="B187" i="13"/>
  <c r="C187" i="13"/>
  <c r="B188" i="13"/>
  <c r="C188" i="13"/>
  <c r="B190" i="13"/>
  <c r="C190" i="13"/>
  <c r="B191" i="13"/>
  <c r="C191" i="13"/>
  <c r="B192" i="13"/>
  <c r="C192" i="13"/>
  <c r="B193" i="13"/>
  <c r="C193" i="13"/>
  <c r="B194" i="13"/>
  <c r="C194" i="13"/>
  <c r="B195" i="13"/>
  <c r="C195" i="13"/>
  <c r="B196" i="13"/>
  <c r="C196" i="13"/>
  <c r="B198" i="13"/>
  <c r="C198" i="13"/>
  <c r="B199" i="13"/>
  <c r="C199" i="13"/>
  <c r="B200" i="13"/>
  <c r="C200" i="13"/>
  <c r="B201" i="13"/>
  <c r="C201" i="13"/>
  <c r="B202" i="13"/>
  <c r="C202" i="13"/>
  <c r="B203" i="13"/>
  <c r="C203" i="13"/>
  <c r="B204" i="13"/>
  <c r="C204" i="13"/>
  <c r="B205" i="13"/>
  <c r="C205" i="13"/>
  <c r="B206" i="13"/>
  <c r="C206" i="13"/>
  <c r="B208" i="13"/>
  <c r="C208" i="13"/>
  <c r="B209" i="13"/>
  <c r="C209" i="13"/>
  <c r="B210" i="13"/>
  <c r="C210" i="13"/>
  <c r="B211" i="13"/>
  <c r="C211" i="13"/>
  <c r="B212" i="13"/>
  <c r="C212" i="13"/>
  <c r="B213" i="13"/>
  <c r="C213" i="13"/>
  <c r="B214" i="13"/>
  <c r="C214" i="13"/>
  <c r="B216" i="13"/>
  <c r="C216" i="13"/>
  <c r="B217" i="13"/>
  <c r="C217" i="13"/>
  <c r="B218" i="13"/>
  <c r="C218" i="13"/>
  <c r="B219" i="13"/>
  <c r="C219" i="13"/>
  <c r="B220" i="13"/>
  <c r="C220" i="13"/>
  <c r="B221" i="13"/>
  <c r="C221" i="13"/>
  <c r="B222" i="13"/>
  <c r="C222" i="13"/>
  <c r="B223" i="13"/>
  <c r="C223" i="13"/>
  <c r="B224" i="13"/>
  <c r="C224" i="13"/>
  <c r="B225" i="13"/>
  <c r="C225" i="13"/>
  <c r="B228" i="13"/>
  <c r="C228" i="13"/>
  <c r="B229" i="13"/>
  <c r="C229" i="13"/>
  <c r="B230" i="13"/>
  <c r="C230" i="13"/>
  <c r="B231" i="13"/>
  <c r="C231" i="13"/>
  <c r="B232" i="13"/>
  <c r="C232" i="13"/>
  <c r="B234" i="13"/>
  <c r="C234" i="13"/>
  <c r="B235" i="13"/>
  <c r="C235" i="13"/>
  <c r="B237" i="13"/>
  <c r="C237" i="13"/>
  <c r="B238" i="13"/>
  <c r="C238" i="13"/>
  <c r="B239" i="13"/>
  <c r="C239" i="13"/>
  <c r="B240" i="13"/>
  <c r="C240" i="13"/>
  <c r="B241" i="13"/>
  <c r="C241" i="13"/>
  <c r="B242" i="13"/>
  <c r="C242" i="13"/>
  <c r="B243" i="13"/>
  <c r="C243" i="13"/>
  <c r="B244" i="13"/>
  <c r="C244" i="13"/>
  <c r="B245" i="13"/>
  <c r="C245" i="13"/>
  <c r="B246" i="13"/>
  <c r="C246" i="13"/>
  <c r="B247" i="13"/>
  <c r="C247" i="13"/>
  <c r="B250" i="13"/>
  <c r="C250" i="13"/>
  <c r="B251" i="13"/>
  <c r="C251" i="13"/>
  <c r="B252" i="13"/>
  <c r="C252" i="13"/>
  <c r="B253" i="13"/>
  <c r="C253" i="13"/>
  <c r="B254" i="13"/>
  <c r="C254" i="13"/>
  <c r="B255" i="13"/>
  <c r="C255" i="13"/>
  <c r="B256" i="13"/>
  <c r="C256" i="13"/>
  <c r="B257" i="13"/>
  <c r="C257" i="13"/>
  <c r="B258" i="13"/>
  <c r="C258" i="13"/>
  <c r="B259" i="13"/>
  <c r="C259" i="13"/>
  <c r="B260" i="13"/>
  <c r="C260" i="13"/>
  <c r="B261" i="13"/>
  <c r="C261" i="13"/>
  <c r="B262" i="13"/>
  <c r="C262" i="13"/>
  <c r="B263" i="13"/>
  <c r="C263" i="13"/>
  <c r="B264" i="13"/>
  <c r="C264" i="13"/>
  <c r="B266" i="13"/>
  <c r="C266" i="13"/>
  <c r="B268" i="13"/>
  <c r="C268" i="13"/>
  <c r="B271" i="13"/>
  <c r="C271" i="13"/>
  <c r="B273" i="13"/>
  <c r="C273" i="13"/>
  <c r="B274" i="13"/>
  <c r="C274" i="13"/>
  <c r="B275" i="13"/>
  <c r="C275" i="13"/>
  <c r="B277" i="13"/>
  <c r="C277" i="13"/>
  <c r="B278" i="13"/>
  <c r="C278" i="13"/>
  <c r="B279" i="13"/>
  <c r="C279" i="13"/>
  <c r="B280" i="13"/>
  <c r="C280" i="13"/>
  <c r="B281" i="13"/>
  <c r="C281" i="13"/>
  <c r="B282" i="13"/>
  <c r="C282" i="13"/>
  <c r="B283" i="13"/>
  <c r="C283" i="13"/>
  <c r="B284" i="13"/>
  <c r="C284" i="13"/>
  <c r="B285" i="13"/>
  <c r="C285" i="13"/>
  <c r="B286" i="13"/>
  <c r="C286" i="13"/>
  <c r="B287" i="13"/>
  <c r="C287" i="13"/>
  <c r="B288" i="13"/>
  <c r="C288" i="13"/>
  <c r="B289" i="13"/>
  <c r="C289" i="13"/>
  <c r="B290" i="13"/>
  <c r="C290" i="13"/>
  <c r="B291" i="13"/>
  <c r="C291" i="13"/>
  <c r="B292" i="13"/>
  <c r="C292" i="13"/>
  <c r="B293" i="13"/>
  <c r="C293" i="13"/>
  <c r="B294" i="13"/>
  <c r="C294" i="13"/>
  <c r="B295" i="13"/>
  <c r="C295" i="13"/>
  <c r="B296" i="13"/>
  <c r="C296" i="13"/>
  <c r="B297" i="13"/>
  <c r="C297" i="13"/>
  <c r="B298" i="13"/>
  <c r="C298" i="13"/>
  <c r="B299" i="13"/>
  <c r="C299" i="13"/>
  <c r="B300" i="13"/>
  <c r="C300" i="13"/>
  <c r="B301" i="13"/>
  <c r="C301" i="13"/>
  <c r="B303" i="13"/>
  <c r="C303" i="13"/>
  <c r="B305" i="13"/>
  <c r="C305" i="13"/>
  <c r="B306" i="13"/>
  <c r="C306" i="13"/>
  <c r="B307" i="13"/>
  <c r="C307" i="13"/>
  <c r="B308" i="13"/>
  <c r="C308" i="13"/>
  <c r="B309" i="13"/>
  <c r="C309" i="13"/>
  <c r="B311" i="13"/>
  <c r="C311" i="13"/>
  <c r="B312" i="13"/>
  <c r="C312" i="13"/>
  <c r="B314" i="13"/>
  <c r="C314" i="13"/>
  <c r="B315" i="13"/>
  <c r="C315" i="13"/>
  <c r="B316" i="13"/>
  <c r="C316" i="13"/>
  <c r="B318" i="13"/>
  <c r="C318" i="13"/>
  <c r="B319" i="13"/>
  <c r="C319" i="13"/>
  <c r="B322" i="13"/>
  <c r="C322" i="13"/>
  <c r="B324" i="13"/>
  <c r="C324" i="13"/>
  <c r="B325" i="13"/>
  <c r="C325" i="13"/>
  <c r="B326" i="13"/>
  <c r="C326" i="13"/>
  <c r="B327" i="13"/>
  <c r="C327" i="13"/>
  <c r="B328" i="13"/>
  <c r="C328" i="13"/>
  <c r="B329" i="13"/>
  <c r="C329" i="13"/>
  <c r="B330" i="13"/>
  <c r="C330" i="13"/>
  <c r="B333" i="13"/>
  <c r="C333" i="13"/>
  <c r="B334" i="13"/>
  <c r="C334" i="13"/>
  <c r="B335" i="13"/>
  <c r="C335" i="13"/>
  <c r="B336" i="13"/>
  <c r="C336" i="13"/>
  <c r="B337" i="13"/>
  <c r="C337" i="13"/>
  <c r="B338" i="13"/>
  <c r="C338" i="13"/>
  <c r="B339" i="13"/>
  <c r="C339" i="13"/>
  <c r="B340" i="13"/>
  <c r="C340" i="13"/>
  <c r="B341" i="13"/>
  <c r="C341" i="13"/>
  <c r="B342" i="13"/>
  <c r="C342" i="13"/>
  <c r="B344" i="13"/>
  <c r="C344" i="13"/>
  <c r="B345" i="13"/>
  <c r="C345" i="13"/>
  <c r="B347" i="13"/>
  <c r="C347" i="13"/>
  <c r="B349" i="13"/>
  <c r="C349" i="13"/>
  <c r="B350" i="13"/>
  <c r="C350" i="13"/>
  <c r="B351" i="13"/>
  <c r="C351" i="13"/>
  <c r="B352" i="13"/>
  <c r="C352" i="13"/>
  <c r="B353" i="13"/>
  <c r="C353" i="13"/>
  <c r="B354" i="13"/>
  <c r="C354" i="13"/>
  <c r="B355" i="13"/>
  <c r="C355" i="13"/>
  <c r="B356" i="13"/>
  <c r="C356" i="13"/>
  <c r="B357" i="13"/>
  <c r="C357" i="13"/>
  <c r="B358" i="13"/>
  <c r="C358" i="13"/>
  <c r="B359" i="13"/>
  <c r="C359" i="13"/>
  <c r="B360" i="13"/>
  <c r="C360" i="13"/>
  <c r="B361" i="13"/>
  <c r="C361" i="13"/>
  <c r="B362" i="13"/>
  <c r="C362" i="13"/>
  <c r="B363" i="13"/>
  <c r="C363" i="13"/>
  <c r="B365" i="13"/>
  <c r="C365" i="13"/>
  <c r="B366" i="13"/>
  <c r="C366" i="13"/>
  <c r="B367" i="13"/>
  <c r="C367" i="13"/>
  <c r="B368" i="13"/>
  <c r="C368" i="13"/>
  <c r="B371" i="13"/>
  <c r="C371" i="13"/>
  <c r="B372" i="13"/>
  <c r="C372" i="13"/>
  <c r="B374" i="13"/>
  <c r="C374" i="13"/>
  <c r="B375" i="13"/>
  <c r="C375" i="13"/>
  <c r="B376" i="13"/>
  <c r="C376" i="13"/>
  <c r="B377" i="13"/>
  <c r="C377" i="13"/>
  <c r="B379" i="13"/>
  <c r="C379" i="13"/>
  <c r="B380" i="13"/>
  <c r="C380" i="13"/>
  <c r="B381" i="13"/>
  <c r="C381" i="13"/>
  <c r="B382" i="13"/>
  <c r="C382" i="13"/>
  <c r="B384" i="13"/>
  <c r="C384" i="13"/>
  <c r="B385" i="13"/>
  <c r="C385" i="13"/>
  <c r="B386" i="13"/>
  <c r="C386" i="13"/>
  <c r="B387" i="13"/>
  <c r="C387" i="13"/>
  <c r="B388" i="13"/>
  <c r="C388" i="13"/>
  <c r="B390" i="13"/>
  <c r="C390" i="13"/>
  <c r="B391" i="13"/>
  <c r="C391" i="13"/>
  <c r="B392" i="13"/>
  <c r="C392" i="13"/>
  <c r="B393" i="13"/>
  <c r="C393" i="13"/>
  <c r="B396" i="13"/>
  <c r="C396" i="13"/>
  <c r="B398" i="13"/>
  <c r="C398" i="13"/>
  <c r="B399" i="13"/>
  <c r="C399" i="13"/>
  <c r="B400" i="13"/>
  <c r="C400" i="13"/>
  <c r="B401" i="13"/>
  <c r="C401" i="13"/>
  <c r="B402" i="13"/>
  <c r="C402" i="13"/>
  <c r="B403" i="13"/>
  <c r="C403" i="13"/>
  <c r="B404" i="13"/>
  <c r="C404" i="13"/>
  <c r="B406" i="13"/>
  <c r="C406" i="13"/>
  <c r="B407" i="13"/>
  <c r="C407" i="13"/>
  <c r="B408" i="13"/>
  <c r="C408" i="13"/>
  <c r="B409" i="13"/>
  <c r="C409" i="13"/>
  <c r="B410" i="13"/>
  <c r="C410" i="13"/>
  <c r="B411" i="13"/>
  <c r="C411" i="13"/>
  <c r="B413" i="13"/>
  <c r="C413" i="13"/>
  <c r="B414" i="13"/>
  <c r="C414" i="13"/>
  <c r="B416" i="13"/>
  <c r="C416" i="13"/>
  <c r="B418" i="13"/>
  <c r="C418" i="13"/>
  <c r="B420" i="13"/>
  <c r="C420" i="13"/>
  <c r="B421" i="13"/>
  <c r="C421" i="13"/>
  <c r="B422" i="13"/>
  <c r="C422" i="13"/>
  <c r="B423" i="13"/>
  <c r="C423" i="13"/>
  <c r="B424" i="13"/>
  <c r="C424" i="13"/>
  <c r="B425" i="13"/>
  <c r="C425" i="13"/>
  <c r="B429" i="13"/>
  <c r="C429" i="13"/>
  <c r="B430" i="13"/>
  <c r="C430" i="13"/>
  <c r="B431" i="13"/>
  <c r="C431" i="13"/>
  <c r="B432" i="13"/>
  <c r="C432" i="13"/>
  <c r="B434" i="13"/>
  <c r="C434" i="13"/>
  <c r="B435" i="13"/>
  <c r="C435" i="13"/>
  <c r="B436" i="13"/>
  <c r="C436" i="13"/>
  <c r="B437" i="13"/>
  <c r="C437" i="13"/>
  <c r="B438" i="13"/>
  <c r="C438" i="13"/>
  <c r="B439" i="13"/>
  <c r="C439" i="13"/>
  <c r="B440" i="13"/>
  <c r="C440" i="13"/>
  <c r="B441" i="13"/>
  <c r="C441" i="13"/>
  <c r="B442" i="13"/>
  <c r="C442" i="13"/>
  <c r="B443" i="13"/>
  <c r="C443" i="13"/>
  <c r="B444" i="13"/>
  <c r="C444" i="13"/>
  <c r="B445" i="13"/>
  <c r="C445" i="13"/>
  <c r="B446" i="13"/>
  <c r="C446" i="13"/>
  <c r="B447" i="13"/>
  <c r="C447" i="13"/>
  <c r="B448" i="13"/>
  <c r="C448" i="13"/>
  <c r="B450" i="13"/>
  <c r="C450" i="13"/>
  <c r="B451" i="13"/>
  <c r="C451" i="13"/>
  <c r="B452" i="13"/>
  <c r="C452" i="13"/>
  <c r="B453" i="13"/>
  <c r="C453" i="13"/>
  <c r="B454" i="13"/>
  <c r="C454" i="13"/>
  <c r="B455" i="13"/>
  <c r="C455" i="13"/>
  <c r="B456" i="13"/>
  <c r="C456" i="13"/>
  <c r="B457" i="13"/>
  <c r="C457" i="13"/>
  <c r="B458" i="13"/>
  <c r="C458" i="13"/>
  <c r="B459" i="13"/>
  <c r="C459" i="13"/>
  <c r="B460" i="13"/>
  <c r="C460" i="13"/>
  <c r="B461" i="13"/>
  <c r="C461" i="13"/>
  <c r="B463" i="13"/>
  <c r="C463" i="13"/>
  <c r="B464" i="13"/>
  <c r="C464" i="13"/>
  <c r="B465" i="13"/>
  <c r="C465" i="13"/>
  <c r="B466" i="13"/>
  <c r="C466" i="13"/>
  <c r="B467" i="13"/>
  <c r="C467" i="13"/>
  <c r="B468" i="13"/>
  <c r="C468" i="13"/>
  <c r="B470" i="13"/>
  <c r="C470" i="13"/>
  <c r="B473" i="13"/>
  <c r="C473" i="13"/>
  <c r="B474" i="13"/>
  <c r="C474" i="13"/>
  <c r="B475" i="13"/>
  <c r="C475" i="13"/>
  <c r="B477" i="13"/>
  <c r="C477" i="13"/>
  <c r="B478" i="13"/>
  <c r="C478" i="13"/>
  <c r="B479" i="13"/>
  <c r="C479" i="13"/>
  <c r="B480" i="13"/>
  <c r="C480" i="13"/>
  <c r="B481" i="13"/>
  <c r="C481" i="13"/>
  <c r="B482" i="13"/>
  <c r="C482" i="13"/>
  <c r="B483" i="13"/>
  <c r="C483" i="13"/>
  <c r="B484" i="13"/>
  <c r="C484" i="13"/>
  <c r="B485" i="13"/>
  <c r="C485" i="13"/>
  <c r="B486" i="13"/>
  <c r="C486" i="13"/>
  <c r="B487" i="13"/>
  <c r="C487" i="13"/>
  <c r="B488" i="13"/>
  <c r="C488" i="13"/>
  <c r="B489" i="13"/>
  <c r="C489" i="13"/>
  <c r="B490" i="13"/>
  <c r="C490" i="13"/>
  <c r="B491" i="13"/>
  <c r="C491" i="13"/>
  <c r="B492" i="13"/>
  <c r="C492" i="13"/>
  <c r="B494" i="13"/>
  <c r="C494" i="13"/>
  <c r="B495" i="13"/>
  <c r="C495" i="13"/>
  <c r="B496" i="13"/>
  <c r="C496" i="13"/>
  <c r="B497" i="13"/>
  <c r="C497" i="13"/>
  <c r="B498" i="13"/>
  <c r="C498" i="13"/>
  <c r="B499" i="13"/>
  <c r="C499" i="13"/>
  <c r="B500" i="13"/>
  <c r="C500" i="13"/>
  <c r="B501" i="13"/>
  <c r="C501" i="13"/>
  <c r="B505" i="13"/>
  <c r="C505" i="13"/>
  <c r="B506" i="13"/>
  <c r="C506" i="13"/>
  <c r="B507" i="13"/>
  <c r="C507" i="13"/>
  <c r="B508" i="13"/>
  <c r="C508" i="13"/>
  <c r="B509" i="13"/>
  <c r="C509" i="13"/>
  <c r="B510" i="13"/>
  <c r="C510" i="13"/>
  <c r="B511" i="13"/>
  <c r="C511" i="13"/>
  <c r="B512" i="13"/>
  <c r="C512" i="13"/>
  <c r="B513" i="13"/>
  <c r="C513" i="13"/>
  <c r="B515" i="13"/>
  <c r="C515" i="13"/>
  <c r="B517" i="13"/>
  <c r="C517" i="13"/>
  <c r="B518" i="13"/>
  <c r="C518" i="13"/>
  <c r="B519" i="13"/>
  <c r="C519" i="13"/>
  <c r="B520" i="13"/>
  <c r="C520" i="13"/>
  <c r="B521" i="13"/>
  <c r="C521" i="13"/>
  <c r="B522" i="13"/>
  <c r="C522" i="13"/>
  <c r="B523" i="13"/>
  <c r="C523" i="13"/>
  <c r="B524" i="13"/>
  <c r="C524" i="13"/>
  <c r="B525" i="13"/>
  <c r="C525" i="13"/>
  <c r="B526" i="13"/>
  <c r="C526" i="13"/>
  <c r="B527" i="13"/>
  <c r="C527" i="13"/>
  <c r="B528" i="13"/>
  <c r="C528" i="13"/>
  <c r="B529" i="13"/>
  <c r="C529" i="13"/>
  <c r="B530" i="13"/>
  <c r="C530" i="13"/>
  <c r="B532" i="13"/>
  <c r="C532" i="13"/>
  <c r="B533" i="13"/>
  <c r="C533" i="13"/>
  <c r="B534" i="13"/>
  <c r="C534" i="13"/>
  <c r="B535" i="13"/>
  <c r="C535" i="13"/>
  <c r="B536" i="13"/>
  <c r="C536" i="13"/>
  <c r="B537" i="13"/>
  <c r="C537" i="13"/>
  <c r="B538" i="13"/>
  <c r="C538" i="13"/>
  <c r="B539" i="13"/>
  <c r="C539" i="13"/>
  <c r="B540" i="13"/>
  <c r="C540" i="13"/>
  <c r="B541" i="13"/>
  <c r="C541" i="13"/>
  <c r="B542" i="13"/>
  <c r="C542" i="13"/>
  <c r="B544" i="13"/>
  <c r="C544" i="13"/>
  <c r="B545" i="13"/>
  <c r="C545" i="13"/>
  <c r="B546" i="13"/>
  <c r="C546" i="13"/>
  <c r="B547" i="13"/>
  <c r="C547" i="13"/>
  <c r="B549" i="13"/>
  <c r="C549" i="13"/>
  <c r="B550" i="13"/>
  <c r="C550" i="13"/>
  <c r="B553" i="13"/>
  <c r="C553" i="13"/>
  <c r="B554" i="13"/>
  <c r="C554" i="13"/>
  <c r="B557" i="13"/>
  <c r="C557" i="13"/>
  <c r="B558" i="13"/>
  <c r="C558" i="13"/>
  <c r="B560" i="13"/>
  <c r="C560" i="13"/>
  <c r="B561" i="13"/>
  <c r="C561" i="13"/>
  <c r="B562" i="13"/>
  <c r="C562" i="13"/>
  <c r="B563" i="13"/>
  <c r="C563" i="13"/>
  <c r="B564" i="13"/>
  <c r="C564" i="13"/>
  <c r="B565" i="13"/>
  <c r="C565" i="13"/>
  <c r="B566" i="13"/>
  <c r="C566" i="13"/>
  <c r="B568" i="13"/>
  <c r="C568" i="13"/>
  <c r="B570" i="13"/>
  <c r="C570" i="13"/>
  <c r="B571" i="13"/>
  <c r="C571" i="13"/>
  <c r="B572" i="13"/>
  <c r="C572" i="13"/>
  <c r="B573" i="13"/>
  <c r="C573" i="13"/>
  <c r="B574" i="13"/>
  <c r="C574" i="13"/>
  <c r="B575" i="13"/>
  <c r="C575" i="13"/>
  <c r="B576" i="13"/>
  <c r="C576" i="13"/>
  <c r="B577" i="13"/>
  <c r="C577" i="13"/>
  <c r="B578" i="13"/>
  <c r="C578" i="13"/>
  <c r="B579" i="13"/>
  <c r="C579" i="13"/>
  <c r="B580" i="13"/>
  <c r="C580" i="13"/>
  <c r="B581" i="13"/>
  <c r="C581" i="13"/>
  <c r="B582" i="13"/>
  <c r="C582" i="13"/>
  <c r="B583" i="13"/>
  <c r="C583" i="13"/>
  <c r="B585" i="13"/>
  <c r="C585" i="13"/>
  <c r="B587" i="13"/>
  <c r="C587" i="13"/>
  <c r="B588" i="13"/>
  <c r="C588" i="13"/>
  <c r="B589" i="13"/>
  <c r="C589" i="13"/>
  <c r="B590" i="13"/>
  <c r="C590" i="13"/>
  <c r="B591" i="13"/>
  <c r="C591" i="13"/>
  <c r="B592" i="13"/>
  <c r="C592" i="13"/>
  <c r="B593" i="13"/>
  <c r="C593" i="13"/>
  <c r="B594" i="13"/>
  <c r="C594" i="13"/>
  <c r="B597" i="13"/>
  <c r="C597" i="13"/>
  <c r="B598" i="13"/>
  <c r="C598" i="13"/>
  <c r="B599" i="13"/>
  <c r="C599" i="13"/>
  <c r="B600" i="13"/>
  <c r="C600" i="13"/>
  <c r="B601" i="13"/>
  <c r="C601" i="13"/>
  <c r="B602" i="13"/>
  <c r="C602" i="13"/>
  <c r="B603" i="13"/>
  <c r="C603" i="13"/>
  <c r="B604" i="13"/>
  <c r="C604" i="13"/>
  <c r="B605" i="13"/>
  <c r="C605" i="13"/>
  <c r="B606" i="13"/>
  <c r="C606" i="13"/>
  <c r="B607" i="13"/>
  <c r="C607" i="13"/>
  <c r="B608" i="13"/>
  <c r="C608" i="13"/>
  <c r="B609" i="13"/>
  <c r="C609" i="13"/>
  <c r="B610" i="13"/>
  <c r="C610" i="13"/>
  <c r="B611" i="13"/>
  <c r="C611" i="13"/>
  <c r="B612" i="13"/>
  <c r="C612" i="13"/>
  <c r="B613" i="13"/>
  <c r="C613" i="13"/>
  <c r="B615" i="13"/>
  <c r="C615" i="13"/>
  <c r="B616" i="13"/>
  <c r="C616" i="13"/>
  <c r="B617" i="13"/>
  <c r="C617" i="13"/>
  <c r="B618" i="13"/>
  <c r="C618" i="13"/>
  <c r="B621" i="13"/>
  <c r="C621" i="13"/>
  <c r="B622" i="13"/>
  <c r="C622" i="13"/>
  <c r="B623" i="13"/>
  <c r="C623" i="13"/>
  <c r="B624" i="13"/>
  <c r="C624" i="13"/>
  <c r="B625" i="13"/>
  <c r="C625" i="13"/>
  <c r="B626" i="13"/>
  <c r="C626" i="13"/>
  <c r="B627" i="13"/>
  <c r="C627" i="13"/>
  <c r="B631" i="13"/>
  <c r="C631" i="13"/>
  <c r="B632" i="13"/>
  <c r="C632" i="13"/>
  <c r="B634" i="13"/>
  <c r="C634" i="13"/>
  <c r="B635" i="13"/>
  <c r="C635" i="13"/>
  <c r="B636" i="13"/>
  <c r="C636" i="13"/>
  <c r="B637" i="13"/>
  <c r="C637" i="13"/>
  <c r="B638" i="13"/>
  <c r="C638" i="13"/>
  <c r="B639" i="13"/>
  <c r="C639" i="13"/>
  <c r="B640" i="13"/>
  <c r="C640" i="13"/>
  <c r="B641" i="13"/>
  <c r="C641" i="13"/>
  <c r="B642" i="13"/>
  <c r="C642" i="13"/>
  <c r="B643" i="13"/>
  <c r="C643" i="13"/>
  <c r="B644" i="13"/>
  <c r="C644" i="13"/>
  <c r="B645" i="13"/>
  <c r="C645" i="13"/>
  <c r="B646" i="13"/>
  <c r="C646" i="13"/>
  <c r="B647" i="13"/>
  <c r="C647" i="13"/>
  <c r="B648" i="13"/>
  <c r="C648" i="13"/>
  <c r="B649" i="13"/>
  <c r="C649" i="13"/>
  <c r="B650" i="13"/>
  <c r="C650" i="13"/>
  <c r="B652" i="13"/>
  <c r="C652" i="13"/>
  <c r="B654" i="13"/>
  <c r="C654" i="13"/>
  <c r="B656" i="13"/>
  <c r="C656" i="13"/>
  <c r="B657" i="13"/>
  <c r="C657" i="13"/>
  <c r="B658" i="13"/>
  <c r="C658" i="13"/>
  <c r="B659" i="13"/>
  <c r="C659" i="13"/>
  <c r="B660" i="13"/>
  <c r="C660" i="13"/>
  <c r="B661" i="13"/>
  <c r="C661" i="13"/>
  <c r="B662" i="13"/>
  <c r="C662" i="13"/>
  <c r="B665" i="13"/>
  <c r="C665" i="13"/>
  <c r="B666" i="13"/>
  <c r="C666" i="13"/>
  <c r="B667" i="13"/>
  <c r="C667" i="13"/>
  <c r="B668" i="13"/>
  <c r="C668" i="13"/>
  <c r="B669" i="13"/>
  <c r="C669" i="13"/>
  <c r="B670" i="13"/>
  <c r="C670" i="13"/>
  <c r="B672" i="13"/>
  <c r="C672" i="13"/>
  <c r="B673" i="13"/>
  <c r="C673" i="13"/>
  <c r="B675" i="13"/>
  <c r="C675" i="13"/>
  <c r="B676" i="13"/>
  <c r="C676" i="13"/>
  <c r="B677" i="13"/>
  <c r="C677" i="13"/>
  <c r="B678" i="13"/>
  <c r="C678" i="13"/>
  <c r="B680" i="13"/>
  <c r="C680" i="13"/>
  <c r="B681" i="13"/>
  <c r="C681" i="13"/>
  <c r="B683" i="13"/>
  <c r="C683" i="13"/>
  <c r="B684" i="13"/>
  <c r="C684" i="13"/>
  <c r="B685" i="13"/>
  <c r="C685" i="13"/>
  <c r="B691" i="13"/>
  <c r="C691" i="13"/>
  <c r="B692" i="13"/>
  <c r="C692" i="13"/>
  <c r="B693" i="13"/>
  <c r="C693" i="13"/>
  <c r="B694" i="13"/>
  <c r="C694" i="13"/>
  <c r="B695" i="13"/>
  <c r="C695" i="13"/>
  <c r="B696" i="13"/>
  <c r="C696" i="13"/>
  <c r="B697" i="13"/>
  <c r="C697" i="13"/>
  <c r="B698" i="13"/>
  <c r="C698" i="13"/>
  <c r="B699" i="13"/>
  <c r="C699" i="13"/>
  <c r="B702" i="13"/>
  <c r="C702" i="13"/>
  <c r="B703" i="13"/>
  <c r="C703" i="13"/>
  <c r="B704" i="13"/>
  <c r="C704" i="13"/>
  <c r="B705" i="13"/>
  <c r="C705" i="13"/>
  <c r="B706" i="13"/>
  <c r="C706" i="13"/>
  <c r="B708" i="13"/>
  <c r="C708" i="13"/>
  <c r="B710" i="13"/>
  <c r="C710" i="13"/>
  <c r="B711" i="13"/>
  <c r="C711" i="13"/>
  <c r="B712" i="13"/>
  <c r="C712" i="13"/>
  <c r="B713" i="13"/>
  <c r="C713" i="13"/>
  <c r="B714" i="13"/>
  <c r="C714" i="13"/>
  <c r="B715" i="13"/>
  <c r="C715" i="13"/>
  <c r="B716" i="13"/>
  <c r="C716" i="13"/>
  <c r="B717" i="13"/>
  <c r="C717" i="13"/>
  <c r="B718" i="13"/>
  <c r="C718" i="13"/>
  <c r="B721" i="13"/>
  <c r="C721" i="13"/>
  <c r="B722" i="13"/>
  <c r="C722" i="13"/>
  <c r="B723" i="13"/>
  <c r="C723" i="13"/>
  <c r="B725" i="13"/>
  <c r="C725" i="13"/>
  <c r="B727" i="13"/>
  <c r="C727" i="13"/>
  <c r="B728" i="13"/>
  <c r="C728" i="13"/>
  <c r="B729" i="13"/>
  <c r="C729" i="13"/>
  <c r="B730" i="13"/>
  <c r="C730" i="13"/>
  <c r="B731" i="13"/>
  <c r="C731" i="13"/>
  <c r="B732" i="13"/>
  <c r="C732" i="13"/>
  <c r="B734" i="13"/>
  <c r="C734" i="13"/>
  <c r="B735" i="13"/>
  <c r="C735" i="13"/>
  <c r="B736" i="13"/>
  <c r="C736" i="13"/>
  <c r="B738" i="13"/>
  <c r="C738" i="13"/>
  <c r="B739" i="13"/>
  <c r="C739" i="13"/>
  <c r="B740" i="13"/>
  <c r="C740" i="13"/>
  <c r="B742" i="13"/>
  <c r="C742" i="13"/>
  <c r="B743" i="13"/>
  <c r="C743" i="13"/>
  <c r="B878" i="13"/>
  <c r="C878" i="13"/>
  <c r="B744" i="13"/>
  <c r="C744" i="13"/>
  <c r="B745" i="13"/>
  <c r="C745" i="13"/>
  <c r="B746" i="13"/>
  <c r="C746" i="13"/>
  <c r="B748" i="13"/>
  <c r="C748" i="13"/>
  <c r="B750" i="13"/>
  <c r="C750" i="13"/>
  <c r="B751" i="13"/>
  <c r="C751" i="13"/>
  <c r="B752" i="13"/>
  <c r="C752" i="13"/>
  <c r="B753" i="13"/>
  <c r="C753" i="13"/>
  <c r="B754" i="13"/>
  <c r="C754" i="13"/>
  <c r="B755" i="13"/>
  <c r="C755" i="13"/>
  <c r="B756" i="13"/>
  <c r="C756" i="13"/>
  <c r="B757" i="13"/>
  <c r="C757" i="13"/>
  <c r="B759" i="13"/>
  <c r="C759" i="13"/>
  <c r="B761" i="13"/>
  <c r="C761" i="13"/>
  <c r="B762" i="13"/>
  <c r="C762" i="13"/>
  <c r="B763" i="13"/>
  <c r="C763" i="13"/>
  <c r="B764" i="13"/>
  <c r="C764" i="13"/>
  <c r="B765" i="13"/>
  <c r="C765" i="13"/>
  <c r="B771" i="13"/>
  <c r="C771" i="13"/>
  <c r="B772" i="13"/>
  <c r="C772" i="13"/>
  <c r="B773" i="13"/>
  <c r="C773" i="13"/>
  <c r="B774" i="13"/>
  <c r="C774" i="13"/>
  <c r="B775" i="13"/>
  <c r="C775" i="13"/>
  <c r="B776" i="13"/>
  <c r="C776" i="13"/>
  <c r="B777" i="13"/>
  <c r="C777" i="13"/>
  <c r="B778" i="13"/>
  <c r="C778" i="13"/>
  <c r="B779" i="13"/>
  <c r="C779" i="13"/>
  <c r="B780" i="13"/>
  <c r="C780" i="13"/>
  <c r="B781" i="13"/>
  <c r="C781" i="13"/>
  <c r="B782" i="13"/>
  <c r="C782" i="13"/>
  <c r="B784" i="13"/>
  <c r="C784" i="13"/>
  <c r="B785" i="13"/>
  <c r="C785" i="13"/>
  <c r="B786" i="13"/>
  <c r="C786" i="13"/>
  <c r="B787" i="13"/>
  <c r="C787" i="13"/>
  <c r="B788" i="13"/>
  <c r="C788" i="13"/>
  <c r="B789" i="13"/>
  <c r="C789" i="13"/>
  <c r="B792" i="13"/>
  <c r="C792" i="13"/>
  <c r="B793" i="13"/>
  <c r="C793" i="13"/>
  <c r="B794" i="13"/>
  <c r="C794" i="13"/>
  <c r="B795" i="13"/>
  <c r="C795" i="13"/>
  <c r="B796" i="13"/>
  <c r="C796" i="13"/>
  <c r="B797" i="13"/>
  <c r="C797" i="13"/>
  <c r="B798" i="13"/>
  <c r="C798" i="13"/>
  <c r="B799" i="13"/>
  <c r="C799" i="13"/>
  <c r="B800" i="13"/>
  <c r="C800" i="13"/>
  <c r="B802" i="13"/>
  <c r="C802" i="13"/>
  <c r="B803" i="13"/>
  <c r="C803" i="13"/>
  <c r="B806" i="13"/>
  <c r="C806" i="13"/>
  <c r="B807" i="13"/>
  <c r="C807" i="13"/>
  <c r="B808" i="13"/>
  <c r="C808" i="13"/>
  <c r="B809" i="13"/>
  <c r="C809" i="13"/>
  <c r="B810" i="13"/>
  <c r="C810" i="13"/>
  <c r="B811" i="13"/>
  <c r="C811" i="13"/>
  <c r="B812" i="13"/>
  <c r="C812" i="13"/>
  <c r="B814" i="13"/>
  <c r="C814" i="13"/>
  <c r="B815" i="13"/>
  <c r="C815" i="13"/>
  <c r="B816" i="13"/>
  <c r="C816" i="13"/>
  <c r="B817" i="13"/>
  <c r="C817" i="13"/>
  <c r="B818" i="13"/>
  <c r="C818" i="13"/>
  <c r="B819" i="13"/>
  <c r="C819" i="13"/>
  <c r="B820" i="13"/>
  <c r="C820" i="13"/>
  <c r="B821" i="13"/>
  <c r="C821" i="13"/>
  <c r="B822" i="13"/>
  <c r="C822" i="13"/>
  <c r="B823" i="13"/>
  <c r="C823" i="13"/>
  <c r="B824" i="13"/>
  <c r="C824" i="13"/>
  <c r="B825" i="13"/>
  <c r="C825" i="13"/>
  <c r="B826" i="13"/>
  <c r="C826" i="13"/>
  <c r="B828" i="13"/>
  <c r="C828" i="13"/>
  <c r="B829" i="13"/>
  <c r="C829" i="13"/>
  <c r="B831" i="13"/>
  <c r="C831" i="13"/>
  <c r="B832" i="13"/>
  <c r="C832" i="13"/>
  <c r="B833" i="13"/>
  <c r="C833" i="13"/>
  <c r="B834" i="13"/>
  <c r="C834" i="13"/>
  <c r="B835" i="13"/>
  <c r="C835" i="13"/>
  <c r="B836" i="13"/>
  <c r="C836" i="13"/>
  <c r="B837" i="13"/>
  <c r="C837" i="13"/>
  <c r="B838" i="13"/>
  <c r="C838" i="13"/>
  <c r="B839" i="13"/>
  <c r="C839" i="13"/>
  <c r="B840" i="13"/>
  <c r="C840" i="13"/>
  <c r="B841" i="13"/>
  <c r="C841" i="13"/>
  <c r="B842" i="13"/>
  <c r="C842" i="13"/>
  <c r="B843" i="13"/>
  <c r="C843" i="13"/>
  <c r="B844" i="13"/>
  <c r="C844" i="13"/>
  <c r="B845" i="13"/>
  <c r="C845" i="13"/>
  <c r="B846" i="13"/>
  <c r="C846" i="13"/>
  <c r="B847" i="13"/>
  <c r="C847" i="13"/>
  <c r="B848" i="13"/>
  <c r="C848" i="13"/>
  <c r="B850" i="13"/>
  <c r="C850" i="13"/>
  <c r="B851" i="13"/>
  <c r="C851" i="13"/>
  <c r="B853" i="13"/>
  <c r="C853" i="13"/>
  <c r="B854" i="13"/>
  <c r="C854" i="13"/>
  <c r="B855" i="13"/>
  <c r="C855" i="13"/>
  <c r="B856" i="13"/>
  <c r="C856" i="13"/>
  <c r="B857" i="13"/>
  <c r="C857" i="13"/>
  <c r="B859" i="13"/>
  <c r="C859" i="13"/>
  <c r="B860" i="13"/>
  <c r="C860" i="13"/>
  <c r="B861" i="13"/>
  <c r="C861" i="13"/>
  <c r="B862" i="13"/>
  <c r="C862" i="13"/>
  <c r="B863" i="13"/>
  <c r="C863" i="13"/>
  <c r="B865" i="13"/>
  <c r="C865" i="13"/>
  <c r="B866" i="13"/>
  <c r="C866" i="13"/>
  <c r="B867" i="13"/>
  <c r="C867" i="13"/>
  <c r="B868" i="13"/>
  <c r="C868" i="13"/>
  <c r="B869" i="13"/>
  <c r="C869" i="13"/>
  <c r="B871" i="13"/>
  <c r="C871" i="13"/>
  <c r="B872" i="13"/>
  <c r="C872" i="13"/>
  <c r="B873" i="13"/>
  <c r="C873" i="13"/>
  <c r="B874" i="13"/>
  <c r="C874" i="13"/>
  <c r="B876" i="13"/>
  <c r="C876" i="13"/>
  <c r="B877" i="13"/>
  <c r="C877" i="13"/>
  <c r="B879" i="13"/>
  <c r="C879" i="13"/>
  <c r="B880" i="13"/>
  <c r="C880" i="13"/>
  <c r="B881" i="13"/>
  <c r="C881" i="13"/>
  <c r="B882" i="13"/>
  <c r="C882" i="13"/>
  <c r="B883" i="13"/>
  <c r="C883" i="13"/>
  <c r="B884" i="13"/>
  <c r="C884" i="13"/>
  <c r="B885" i="13"/>
  <c r="C885" i="13"/>
  <c r="B886" i="13"/>
  <c r="C886" i="13"/>
  <c r="B887" i="13"/>
  <c r="C887" i="13"/>
  <c r="B888" i="13"/>
  <c r="C888" i="13"/>
  <c r="B889" i="13"/>
  <c r="C889" i="13"/>
  <c r="B890" i="13"/>
  <c r="C890" i="13"/>
  <c r="B891" i="13"/>
  <c r="C891" i="13"/>
  <c r="B892" i="13"/>
  <c r="C892" i="13"/>
  <c r="B893" i="13"/>
  <c r="C893" i="13"/>
  <c r="B894" i="13"/>
  <c r="C894" i="13"/>
  <c r="B896" i="13"/>
  <c r="C896" i="13"/>
  <c r="B897" i="13"/>
  <c r="C897" i="13"/>
  <c r="B898" i="13"/>
  <c r="C898" i="13"/>
  <c r="B899" i="13"/>
  <c r="C899" i="13"/>
  <c r="B901" i="13"/>
  <c r="C901" i="13"/>
  <c r="B902" i="13"/>
  <c r="C902" i="13"/>
  <c r="B903" i="13"/>
  <c r="C903" i="13"/>
  <c r="B904" i="13"/>
  <c r="C904" i="13"/>
  <c r="B905" i="13"/>
  <c r="C905" i="13"/>
  <c r="B906" i="13"/>
  <c r="C906" i="13"/>
  <c r="B907" i="13"/>
  <c r="C907" i="13"/>
  <c r="B909" i="13"/>
  <c r="C909" i="13"/>
  <c r="B910" i="13"/>
  <c r="C910" i="13"/>
  <c r="B911" i="13"/>
  <c r="C911" i="13"/>
  <c r="B913" i="13"/>
  <c r="C913" i="13"/>
  <c r="B915" i="13"/>
  <c r="C915" i="13"/>
  <c r="B918" i="13"/>
  <c r="C918" i="13"/>
  <c r="B921" i="13"/>
  <c r="C921" i="13"/>
  <c r="B922" i="13"/>
  <c r="C922" i="13"/>
  <c r="B923" i="13"/>
  <c r="C923" i="13"/>
  <c r="B924" i="13"/>
  <c r="C924" i="13"/>
  <c r="B925" i="13"/>
  <c r="C925" i="13"/>
  <c r="B926" i="13"/>
  <c r="C926" i="13"/>
  <c r="B269" i="13"/>
  <c r="C269" i="13"/>
  <c r="B207" i="13"/>
  <c r="C207" i="13"/>
  <c r="B908" i="13"/>
  <c r="C908" i="13"/>
  <c r="B58" i="13"/>
  <c r="C58" i="13"/>
  <c r="B197" i="13"/>
  <c r="C197" i="13"/>
  <c r="B163" i="13"/>
  <c r="C163" i="13"/>
  <c r="B870" i="13"/>
  <c r="C870" i="13"/>
  <c r="B98" i="13"/>
  <c r="C98" i="13"/>
  <c r="B185" i="13"/>
  <c r="C185" i="13"/>
  <c r="B144" i="13"/>
  <c r="C144" i="13"/>
  <c r="B569" i="13"/>
  <c r="C569" i="13"/>
  <c r="B701" i="13"/>
  <c r="C701" i="13"/>
  <c r="B304" i="13"/>
  <c r="C304" i="13"/>
  <c r="B741" i="13"/>
  <c r="C741" i="13"/>
  <c r="B830" i="13"/>
  <c r="C830" i="13"/>
  <c r="B733" i="13"/>
  <c r="C733" i="13"/>
  <c r="B317" i="13"/>
  <c r="C317" i="13"/>
  <c r="B24" i="13"/>
  <c r="C24" i="13"/>
  <c r="B559" i="13"/>
  <c r="C559" i="13"/>
  <c r="B14" i="13"/>
  <c r="C14" i="13"/>
  <c r="B664" i="13"/>
  <c r="C664" i="13"/>
  <c r="B93" i="13"/>
  <c r="C93" i="13"/>
  <c r="B724" i="13"/>
  <c r="C724" i="13"/>
  <c r="B875" i="13"/>
  <c r="C875" i="13"/>
  <c r="B760" i="13"/>
  <c r="C760" i="13"/>
  <c r="B768" i="13"/>
  <c r="C768" i="13"/>
  <c r="B433" i="13"/>
  <c r="C433" i="13"/>
  <c r="B116" i="13"/>
  <c r="C116" i="13"/>
  <c r="B628" i="13"/>
  <c r="C628" i="13"/>
  <c r="B769" i="13"/>
  <c r="C769" i="13"/>
  <c r="B369" i="13"/>
  <c r="C369" i="13"/>
  <c r="B469" i="13"/>
  <c r="C469" i="13"/>
  <c r="B584" i="13"/>
  <c r="C584" i="13"/>
  <c r="B919" i="13"/>
  <c r="C919" i="13"/>
  <c r="B46" i="13"/>
  <c r="C46" i="13"/>
  <c r="B105" i="13"/>
  <c r="C105" i="13"/>
  <c r="B157" i="13"/>
  <c r="C157" i="13"/>
  <c r="B415" i="13"/>
  <c r="C415" i="13"/>
  <c r="B139" i="13"/>
  <c r="C139" i="13"/>
  <c r="B394" i="13"/>
  <c r="C394" i="13"/>
  <c r="B276" i="13"/>
  <c r="C276" i="13"/>
  <c r="B166" i="13"/>
  <c r="C166" i="13"/>
  <c r="B619" i="13"/>
  <c r="C619" i="13"/>
  <c r="O5" i="11"/>
  <c r="Q5" i="11"/>
  <c r="AG11" i="11"/>
  <c r="AI11" i="11"/>
  <c r="AY5" i="11"/>
  <c r="BA5" i="11"/>
  <c r="BQ5" i="11"/>
  <c r="BS5" i="11"/>
  <c r="O6" i="11"/>
  <c r="Q6" i="11"/>
  <c r="AY6" i="11"/>
  <c r="BA6" i="11"/>
  <c r="BQ6" i="11"/>
  <c r="BS6" i="11"/>
  <c r="O7" i="11"/>
  <c r="Q7" i="11"/>
  <c r="AG13" i="11"/>
  <c r="AI13" i="11"/>
  <c r="AY7" i="11"/>
  <c r="BA7" i="11"/>
  <c r="BQ7" i="11"/>
  <c r="BS7" i="11"/>
  <c r="O8" i="11"/>
  <c r="Q8" i="11"/>
  <c r="AG14" i="11"/>
  <c r="AI14" i="11"/>
  <c r="AY8" i="11"/>
  <c r="BA8" i="11"/>
  <c r="BQ8" i="11"/>
  <c r="BS8" i="11"/>
  <c r="O9" i="11"/>
  <c r="Q9" i="11"/>
  <c r="AG15" i="11"/>
  <c r="AI15" i="11"/>
  <c r="BQ9" i="11"/>
  <c r="BS9" i="11"/>
  <c r="O10" i="11"/>
  <c r="Q10" i="11"/>
  <c r="AG16" i="11"/>
  <c r="AI16" i="11"/>
  <c r="BQ10" i="11"/>
  <c r="BS10" i="11"/>
  <c r="O11" i="11"/>
  <c r="Q11" i="11"/>
  <c r="AG17" i="11"/>
  <c r="AI17" i="11"/>
  <c r="AY11" i="11"/>
  <c r="BA11" i="11"/>
  <c r="BQ11" i="11"/>
  <c r="BS11" i="11"/>
  <c r="O12" i="11"/>
  <c r="Q12" i="11"/>
  <c r="AG18" i="11"/>
  <c r="AI18" i="11"/>
  <c r="AY12" i="11"/>
  <c r="BA12" i="11"/>
  <c r="BQ12" i="11"/>
  <c r="BS12" i="11"/>
  <c r="O13" i="11"/>
  <c r="Q13" i="11"/>
  <c r="AG19" i="11"/>
  <c r="AI19" i="11"/>
  <c r="AY13" i="11"/>
  <c r="BA13" i="11"/>
  <c r="BQ13" i="11"/>
  <c r="BS13" i="11"/>
  <c r="O14" i="11"/>
  <c r="Q14" i="11"/>
  <c r="AG20" i="11"/>
  <c r="AI20" i="11"/>
  <c r="AY14" i="11"/>
  <c r="BA14" i="11"/>
  <c r="BQ14" i="11"/>
  <c r="BS14" i="11"/>
  <c r="O15" i="11"/>
  <c r="Q15" i="11"/>
  <c r="AG21" i="11"/>
  <c r="AI21" i="11"/>
  <c r="AY15" i="11"/>
  <c r="BA15" i="11"/>
  <c r="BQ15" i="11"/>
  <c r="BS15" i="11"/>
  <c r="O16" i="11"/>
  <c r="Q16" i="11"/>
  <c r="AG22" i="11"/>
  <c r="AI22" i="11"/>
  <c r="AY16" i="11"/>
  <c r="BA16" i="11"/>
  <c r="BQ16" i="11"/>
  <c r="BS16" i="11"/>
  <c r="O17" i="11"/>
  <c r="Q17" i="11"/>
  <c r="AY17" i="11"/>
  <c r="BA17" i="11"/>
  <c r="O18" i="11"/>
  <c r="Q18" i="11"/>
  <c r="AY18" i="11"/>
  <c r="BA18" i="11"/>
  <c r="BQ19" i="11"/>
  <c r="BS19" i="11"/>
  <c r="O19" i="11"/>
  <c r="Q19" i="11"/>
  <c r="AG23" i="11"/>
  <c r="AI23" i="11"/>
  <c r="AY19" i="11"/>
  <c r="BA19" i="11"/>
  <c r="BQ20" i="11"/>
  <c r="BS20" i="11"/>
  <c r="O20" i="11"/>
  <c r="Q20" i="11"/>
  <c r="AG24" i="11"/>
  <c r="AI24" i="11"/>
  <c r="AY21" i="11"/>
  <c r="BA21" i="11"/>
  <c r="O21" i="11"/>
  <c r="Q21" i="11"/>
  <c r="AG25" i="11"/>
  <c r="AI25" i="11"/>
  <c r="AY22" i="11"/>
  <c r="BA22" i="11"/>
  <c r="O22" i="11"/>
  <c r="Q22" i="11"/>
  <c r="AG26" i="11"/>
  <c r="AI26" i="11"/>
  <c r="AY23" i="11"/>
  <c r="BA23" i="11"/>
  <c r="O23" i="11"/>
  <c r="Q23" i="11"/>
  <c r="AG27" i="11"/>
  <c r="AI27" i="11"/>
  <c r="AY24" i="11"/>
  <c r="BA24" i="11"/>
  <c r="O24" i="11"/>
  <c r="Q24" i="11"/>
  <c r="AG28" i="11"/>
  <c r="AI28" i="11"/>
  <c r="AY25" i="11"/>
  <c r="BA25" i="11"/>
  <c r="BQ24" i="11"/>
  <c r="BS24" i="11"/>
  <c r="O25" i="11"/>
  <c r="Q25" i="11"/>
  <c r="AG29" i="11"/>
  <c r="AI29" i="11"/>
  <c r="AY26" i="11"/>
  <c r="BA26" i="11"/>
  <c r="BQ25" i="11"/>
  <c r="BS25" i="11"/>
  <c r="O26" i="11"/>
  <c r="Q26" i="11"/>
  <c r="AG30" i="11"/>
  <c r="AI30" i="11"/>
  <c r="AY27" i="11"/>
  <c r="BA27" i="11"/>
  <c r="BQ26" i="11"/>
  <c r="BS26" i="11"/>
  <c r="O27" i="11"/>
  <c r="Q27" i="11"/>
  <c r="AG31" i="11"/>
  <c r="AI31" i="11"/>
  <c r="AY28" i="11"/>
  <c r="BA28" i="11"/>
  <c r="BQ27" i="11"/>
  <c r="BS27" i="11"/>
  <c r="O28" i="11"/>
  <c r="Q28" i="11"/>
  <c r="AG32" i="11"/>
  <c r="AI32" i="11"/>
  <c r="O29" i="11"/>
  <c r="Q29" i="11"/>
  <c r="AG34" i="11"/>
  <c r="AI34" i="11"/>
  <c r="AY31" i="11"/>
  <c r="BA31" i="11"/>
  <c r="O30" i="11"/>
  <c r="Q30" i="11"/>
  <c r="AG35" i="11"/>
  <c r="AI35" i="11"/>
  <c r="AY32" i="11"/>
  <c r="BA32" i="11"/>
  <c r="O31" i="11"/>
  <c r="Q31" i="11"/>
  <c r="AG36" i="11"/>
  <c r="AI36" i="11"/>
  <c r="AY33" i="11"/>
  <c r="BA33" i="11"/>
  <c r="O36" i="11"/>
  <c r="Q36" i="11"/>
  <c r="AG37" i="11"/>
  <c r="AI37" i="11"/>
  <c r="O37" i="11"/>
  <c r="Q37" i="11"/>
  <c r="AG38" i="11"/>
  <c r="AI38" i="11"/>
  <c r="O38" i="11"/>
  <c r="Q38" i="11"/>
  <c r="AI39" i="11"/>
  <c r="AY36" i="11"/>
  <c r="BA36" i="11"/>
  <c r="O39" i="11"/>
  <c r="Q39" i="11"/>
  <c r="AG40" i="11"/>
  <c r="AI40" i="11"/>
  <c r="AY37" i="11"/>
  <c r="BA37" i="11"/>
  <c r="O40" i="11"/>
  <c r="Q40" i="11"/>
  <c r="AG41" i="11"/>
  <c r="AI41" i="11"/>
  <c r="AY38" i="11"/>
  <c r="BA38" i="11"/>
  <c r="O41" i="11"/>
  <c r="Q41" i="11"/>
  <c r="AG42" i="11"/>
  <c r="AI42" i="11"/>
  <c r="AY39" i="11"/>
  <c r="BA39" i="11"/>
  <c r="O42" i="11"/>
  <c r="Q42" i="11"/>
  <c r="AG43" i="11"/>
  <c r="AI43" i="11"/>
  <c r="O43" i="11"/>
  <c r="Q43" i="11"/>
  <c r="AG44" i="11"/>
  <c r="AI44" i="11"/>
  <c r="O44" i="11"/>
  <c r="Q44" i="11"/>
  <c r="AG45" i="11"/>
  <c r="AI45" i="11"/>
  <c r="AY43" i="11"/>
  <c r="BA43" i="11"/>
  <c r="O45" i="11"/>
  <c r="Q45" i="11"/>
  <c r="AG46" i="11"/>
  <c r="AI46" i="11"/>
  <c r="AY44" i="11"/>
  <c r="BA44" i="11"/>
  <c r="O46" i="11"/>
  <c r="Q46" i="11"/>
  <c r="AY45" i="11"/>
  <c r="BA45" i="11"/>
  <c r="O47" i="11"/>
  <c r="Q47" i="11"/>
  <c r="AG48" i="11"/>
  <c r="AI48" i="11"/>
  <c r="AY46" i="11"/>
  <c r="BA46" i="11"/>
  <c r="O48" i="11"/>
  <c r="Q48" i="11"/>
  <c r="AG49" i="11"/>
  <c r="AI49" i="11"/>
  <c r="AY47" i="11"/>
  <c r="BA47" i="11"/>
  <c r="O49" i="11"/>
  <c r="Q49" i="11"/>
  <c r="AG50" i="11"/>
  <c r="AI50" i="11"/>
  <c r="AY48" i="11"/>
  <c r="BA48" i="11"/>
  <c r="O51" i="11"/>
  <c r="Q51" i="11"/>
  <c r="AY49" i="11"/>
  <c r="BA49" i="11"/>
  <c r="O52" i="11"/>
  <c r="Q52" i="11"/>
  <c r="AG54" i="11"/>
  <c r="AI54" i="11"/>
  <c r="AY50" i="11"/>
  <c r="BA50" i="11"/>
  <c r="O53" i="11"/>
  <c r="Q53" i="11"/>
  <c r="AG55" i="11"/>
  <c r="AI55" i="11"/>
  <c r="AY51" i="11"/>
  <c r="BA51" i="11"/>
  <c r="O54" i="11"/>
  <c r="Q54" i="11"/>
  <c r="AG56" i="11"/>
  <c r="AI56" i="11"/>
  <c r="O55" i="11"/>
  <c r="Q55" i="11"/>
  <c r="AG58" i="11"/>
  <c r="AI58" i="11"/>
  <c r="O56" i="11"/>
  <c r="Q56" i="11"/>
  <c r="AG59" i="11"/>
  <c r="AI59" i="11"/>
  <c r="O57" i="11"/>
  <c r="Q57" i="11"/>
  <c r="AG5" i="11"/>
  <c r="AI5" i="11"/>
  <c r="AG6" i="11"/>
  <c r="AI6" i="11"/>
  <c r="AG7" i="11"/>
  <c r="AI7" i="11"/>
  <c r="AG8" i="11"/>
  <c r="AI8" i="11"/>
  <c r="AG9" i="11"/>
  <c r="AI9" i="11"/>
  <c r="D14" i="28"/>
  <c r="D30" i="28"/>
  <c r="D31" i="28"/>
  <c r="D32" i="28"/>
  <c r="D41" i="28"/>
  <c r="D33" i="28"/>
  <c r="D34"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20" i="28"/>
  <c r="D124" i="28"/>
  <c r="D105" i="28"/>
  <c r="D101" i="28"/>
  <c r="D102" i="28"/>
  <c r="B3" i="27"/>
  <c r="G3" i="27"/>
  <c r="G4" i="27"/>
  <c r="G5" i="27"/>
  <c r="G6" i="27"/>
  <c r="B7" i="27"/>
  <c r="C7" i="27" s="1"/>
  <c r="C8" i="27"/>
  <c r="C9" i="27"/>
  <c r="D9" i="27"/>
  <c r="C10" i="27"/>
  <c r="C11" i="27"/>
  <c r="C12" i="27"/>
  <c r="C13" i="27"/>
  <c r="C14" i="27"/>
  <c r="AK5" i="5"/>
  <c r="AK6" i="5"/>
  <c r="AK7" i="5"/>
  <c r="AK9" i="5"/>
  <c r="AK10" i="5"/>
  <c r="AK11" i="5"/>
  <c r="AK12" i="5"/>
  <c r="AK20" i="5"/>
  <c r="AK21" i="5"/>
  <c r="AK26" i="5"/>
  <c r="AK27" i="5"/>
  <c r="AK32" i="5"/>
  <c r="AK33" i="5"/>
  <c r="AK34" i="5"/>
  <c r="AK35" i="5"/>
  <c r="AK44" i="5"/>
  <c r="AK46" i="5"/>
  <c r="AK47" i="5"/>
  <c r="AK48" i="5"/>
  <c r="AK49" i="5"/>
  <c r="AK50" i="5"/>
  <c r="AK56" i="5"/>
  <c r="AK58" i="5"/>
  <c r="AK64" i="5"/>
  <c r="AK67" i="5"/>
  <c r="AK76" i="5"/>
  <c r="AK80" i="5"/>
  <c r="AK82" i="5"/>
  <c r="AK83" i="5"/>
  <c r="AK88" i="5"/>
  <c r="AK89" i="5"/>
  <c r="AK98" i="5"/>
  <c r="AK103" i="5"/>
  <c r="AK105" i="5"/>
  <c r="AK110" i="5"/>
  <c r="AK111" i="5"/>
  <c r="AK114" i="5"/>
  <c r="AK115" i="5"/>
  <c r="AK116" i="5"/>
  <c r="AK124" i="5"/>
  <c r="AK125" i="5"/>
  <c r="AK127" i="5"/>
  <c r="AK152" i="5"/>
  <c r="AK156" i="5"/>
  <c r="AK170" i="5"/>
  <c r="AK171" i="5"/>
  <c r="AK173" i="5"/>
  <c r="AK176" i="5"/>
  <c r="AK181" i="5"/>
  <c r="AK182" i="5"/>
  <c r="AK183" i="5"/>
  <c r="AK191" i="5"/>
  <c r="AK192" i="5"/>
  <c r="AK196" i="5"/>
  <c r="AK197" i="5"/>
  <c r="AK200" i="5"/>
  <c r="AK201" i="5"/>
  <c r="AK203" i="5"/>
  <c r="AK213" i="5"/>
  <c r="AK217" i="5"/>
  <c r="AK222" i="5"/>
  <c r="AK225" i="5"/>
  <c r="AK231" i="5"/>
  <c r="AK232" i="5"/>
  <c r="AK233" i="5"/>
  <c r="AK235" i="5"/>
  <c r="AK236" i="5"/>
  <c r="AK249" i="5"/>
  <c r="AK250" i="5"/>
  <c r="AK251" i="5"/>
  <c r="AK255" i="5"/>
  <c r="AK256" i="5"/>
  <c r="AK260" i="5"/>
  <c r="AK264" i="5"/>
  <c r="AK271" i="5"/>
  <c r="AK273" i="5"/>
  <c r="AK275" i="5"/>
  <c r="AK276" i="5"/>
  <c r="AK285" i="5"/>
  <c r="AK288" i="5"/>
  <c r="AK304" i="5"/>
  <c r="AR305" i="5"/>
  <c r="AK316" i="5"/>
  <c r="AK320" i="5"/>
  <c r="AK324" i="5"/>
  <c r="AK331" i="5"/>
  <c r="AK335" i="5"/>
  <c r="AK349" i="5"/>
  <c r="AK352" i="5"/>
  <c r="AK356" i="5"/>
  <c r="AK357" i="5"/>
  <c r="AK358" i="5"/>
  <c r="AK359" i="5"/>
  <c r="AK360" i="5"/>
  <c r="AK361" i="5"/>
  <c r="AK362" i="5"/>
  <c r="AK364" i="5"/>
  <c r="AK365" i="5"/>
  <c r="AK366" i="5"/>
  <c r="AK367" i="5"/>
  <c r="AK368" i="5"/>
  <c r="AK369" i="5"/>
  <c r="BY369" i="5"/>
  <c r="AK371" i="5"/>
  <c r="AK376" i="5"/>
  <c r="AK377" i="5"/>
  <c r="AK386" i="5"/>
  <c r="AK387" i="5"/>
  <c r="AK402" i="5"/>
  <c r="AK405" i="5"/>
  <c r="AK406" i="5"/>
  <c r="AK408" i="5"/>
  <c r="AK412" i="5"/>
  <c r="AK413" i="5"/>
  <c r="AK415" i="5"/>
  <c r="AR416" i="5"/>
  <c r="AK420" i="5"/>
  <c r="AR423" i="5"/>
  <c r="AK426" i="5"/>
  <c r="AK427" i="5"/>
  <c r="AK447" i="5"/>
  <c r="AK449" i="5"/>
  <c r="AK465" i="5"/>
  <c r="AK466" i="5"/>
  <c r="AK467" i="5"/>
  <c r="AK502" i="5"/>
  <c r="AR512" i="5"/>
  <c r="AK521" i="5"/>
  <c r="AR521" i="5"/>
  <c r="AK533" i="5"/>
  <c r="AK535" i="5"/>
  <c r="AK537" i="5"/>
  <c r="AR557" i="5"/>
  <c r="AK560" i="5"/>
  <c r="AK574" i="5"/>
  <c r="AK576" i="5"/>
  <c r="AK586" i="5"/>
  <c r="AK587" i="5"/>
  <c r="AK601" i="5"/>
  <c r="AK613" i="5"/>
  <c r="AR644" i="5"/>
  <c r="AR645" i="5"/>
  <c r="AK654" i="5"/>
  <c r="AK655" i="5"/>
  <c r="AK667" i="5"/>
  <c r="AR669" i="5"/>
  <c r="AK670" i="5"/>
  <c r="AK671" i="5"/>
  <c r="AK681" i="5"/>
  <c r="AK682" i="5"/>
  <c r="AK683" i="5"/>
  <c r="AK686" i="5"/>
  <c r="AK708" i="5"/>
  <c r="AK734" i="5"/>
  <c r="AK744" i="5"/>
  <c r="AK747" i="5"/>
  <c r="AK772" i="5"/>
  <c r="AK773" i="5"/>
  <c r="AK776" i="5"/>
  <c r="AK779" i="5"/>
  <c r="AK780" i="5"/>
  <c r="AR787" i="5"/>
  <c r="AK791" i="5"/>
  <c r="AK800" i="5"/>
  <c r="AK803" i="5"/>
  <c r="AK804" i="5"/>
  <c r="AK806" i="5"/>
  <c r="AR808" i="5"/>
  <c r="AK812" i="5"/>
  <c r="P814" i="5"/>
  <c r="Q814" i="5" s="1"/>
  <c r="AK814" i="5"/>
  <c r="AK829" i="5"/>
  <c r="AR836" i="5"/>
  <c r="Q858" i="5"/>
  <c r="AR858" i="5"/>
  <c r="Q859" i="5"/>
  <c r="Q861" i="5"/>
  <c r="P864" i="5"/>
  <c r="Q864" i="5" s="1"/>
  <c r="Q865" i="5"/>
  <c r="P868" i="5"/>
  <c r="Q868" i="5" s="1"/>
  <c r="Q895" i="5"/>
  <c r="AR899" i="5"/>
  <c r="Q900" i="5"/>
  <c r="AR901" i="5"/>
  <c r="Q904" i="5"/>
  <c r="P911" i="5"/>
  <c r="AR935" i="5"/>
  <c r="AK943" i="5"/>
  <c r="Q953" i="5"/>
  <c r="P953" i="5" s="1"/>
  <c r="F955" i="5"/>
  <c r="G955" i="5"/>
  <c r="H955" i="5"/>
  <c r="P956" i="5"/>
  <c r="P961" i="5"/>
  <c r="P962" i="5"/>
  <c r="AK968" i="5"/>
  <c r="P969" i="5"/>
  <c r="Q969" i="5" s="1"/>
  <c r="AK969" i="5"/>
  <c r="AR973" i="5"/>
  <c r="P983" i="5"/>
  <c r="P985" i="5"/>
  <c r="Q985" i="5" s="1"/>
  <c r="AR985" i="5"/>
  <c r="P987" i="5"/>
  <c r="AK990" i="5"/>
  <c r="AK991" i="5"/>
  <c r="AR991" i="5"/>
  <c r="AK992" i="5"/>
  <c r="AR995" i="5"/>
  <c r="Q996" i="5"/>
  <c r="P996" i="5" s="1"/>
  <c r="AR996" i="5"/>
  <c r="AK1004" i="5"/>
  <c r="AR1010" i="5"/>
  <c r="AR1016" i="5"/>
  <c r="Q1018" i="5"/>
  <c r="P1023" i="5"/>
  <c r="BY1032" i="5"/>
  <c r="BY1033" i="5"/>
  <c r="AK1035" i="5"/>
  <c r="AR1035" i="5"/>
  <c r="P1037" i="5"/>
  <c r="P1038" i="5"/>
  <c r="Q1038" i="5" s="1"/>
  <c r="Q1040" i="5"/>
  <c r="P1041" i="5"/>
  <c r="P1044" i="5"/>
  <c r="P1045" i="5"/>
  <c r="AR1050" i="5"/>
  <c r="AR1051" i="5"/>
  <c r="P1059" i="5"/>
  <c r="P1060" i="5"/>
  <c r="P1062" i="5"/>
  <c r="P1063" i="5"/>
  <c r="AR1074" i="5"/>
  <c r="AR1076" i="5"/>
  <c r="AR1081" i="5"/>
  <c r="Q1082" i="5"/>
  <c r="Q1084" i="5"/>
  <c r="O1085" i="5"/>
  <c r="Q1089" i="5"/>
  <c r="AR1090" i="5"/>
  <c r="Q1091" i="5"/>
  <c r="AK1092" i="5"/>
  <c r="AR1093" i="5"/>
  <c r="AR1095" i="5"/>
  <c r="AK1096" i="5"/>
  <c r="AR1101" i="5"/>
  <c r="P1103" i="5"/>
  <c r="Q1104" i="5"/>
  <c r="P1108" i="5"/>
  <c r="AK1112" i="5"/>
  <c r="P1114" i="5"/>
  <c r="Q1116" i="5"/>
  <c r="P1118" i="5"/>
  <c r="AR1124" i="5"/>
  <c r="P1129" i="5"/>
  <c r="AR1132" i="5"/>
  <c r="Q1139" i="5"/>
  <c r="Q1140" i="5"/>
  <c r="AR1147" i="5"/>
  <c r="AR1148" i="5"/>
  <c r="P1149" i="5"/>
  <c r="P1154" i="5"/>
  <c r="P1156" i="5"/>
  <c r="Q1156" i="5" s="1"/>
  <c r="Q1157" i="5"/>
  <c r="Q1158" i="5"/>
  <c r="AR1159" i="5"/>
  <c r="Q1161" i="5"/>
  <c r="P1161" i="5" s="1"/>
  <c r="AR1161" i="5"/>
  <c r="Q1164" i="5"/>
  <c r="AR1167" i="5"/>
  <c r="AR1174" i="5"/>
  <c r="AK1477" i="5"/>
  <c r="AK1478" i="5"/>
  <c r="AK1479" i="5"/>
  <c r="AK1480" i="5"/>
  <c r="AK1481" i="5"/>
  <c r="AK1482" i="5"/>
  <c r="B999" i="13" l="1"/>
  <c r="O63" i="11"/>
  <c r="C999" i="13"/>
  <c r="Q63" i="11"/>
  <c r="B4" i="27"/>
  <c r="C4" i="27" s="1"/>
  <c r="C3" i="27"/>
  <c r="B5" i="27"/>
  <c r="C5" i="27" s="1"/>
  <c r="B6" i="27"/>
  <c r="C6" i="27" s="1"/>
  <c r="Q1006" i="5"/>
  <c r="Q940" i="5"/>
</calcChain>
</file>

<file path=xl/comments1.xml><?xml version="1.0" encoding="utf-8"?>
<comments xmlns="http://schemas.openxmlformats.org/spreadsheetml/2006/main">
  <authors>
    <author>FJ-USER</author>
    <author>murakami</author>
    <author>user</author>
  </authors>
  <commentList>
    <comment ref="C1" authorId="0" shapeId="0">
      <text>
        <r>
          <rPr>
            <b/>
            <sz val="16"/>
            <color indexed="81"/>
            <rFont val="ＭＳ Ｐゴシック"/>
            <family val="3"/>
            <charset val="128"/>
          </rPr>
          <t>「校閲」「シートの解除」で編集可能となります。
再度保護するには
「校閲」「シートの保護」でオートフィルターの使用のみチェックしてOKを押してください。</t>
        </r>
      </text>
    </comment>
    <comment ref="BJ3" authorId="1" shapeId="0">
      <text>
        <r>
          <rPr>
            <b/>
            <sz val="11"/>
            <color indexed="81"/>
            <rFont val="MS P ゴシック"/>
            <family val="3"/>
            <charset val="128"/>
          </rPr>
          <t>過圧密：-
圧密未了、正規圧密：状態とOCRを記載</t>
        </r>
      </text>
    </comment>
    <comment ref="AB521" authorId="2" shapeId="0">
      <text>
        <r>
          <rPr>
            <b/>
            <sz val="16"/>
            <color indexed="81"/>
            <rFont val="MS P ゴシック"/>
            <family val="3"/>
            <charset val="128"/>
          </rPr>
          <t>鉄詳のみ</t>
        </r>
        <r>
          <rPr>
            <sz val="16"/>
            <color indexed="81"/>
            <rFont val="MS P ゴシック"/>
            <family val="3"/>
            <charset val="128"/>
          </rPr>
          <t xml:space="preserve">
</t>
        </r>
      </text>
    </comment>
    <comment ref="AH991" authorId="1" shapeId="0">
      <text>
        <r>
          <rPr>
            <b/>
            <sz val="12"/>
            <color indexed="81"/>
            <rFont val="MS P ゴシック"/>
            <family val="3"/>
            <charset val="128"/>
          </rPr>
          <t>食堂部</t>
        </r>
      </text>
    </comment>
    <comment ref="AH1156" authorId="2" shapeId="0">
      <text>
        <r>
          <rPr>
            <b/>
            <sz val="11"/>
            <color indexed="81"/>
            <rFont val="MS P ゴシック"/>
            <family val="3"/>
            <charset val="128"/>
          </rPr>
          <t>階高9.8mと高い</t>
        </r>
      </text>
    </comment>
    <comment ref="AR1341" authorId="1" shapeId="0">
      <text>
        <r>
          <rPr>
            <b/>
            <sz val="12"/>
            <color indexed="81"/>
            <rFont val="MS P ゴシック"/>
            <family val="3"/>
            <charset val="128"/>
          </rPr>
          <t>事務所棟 未考慮</t>
        </r>
      </text>
    </comment>
  </commentList>
</comments>
</file>

<file path=xl/comments2.xml><?xml version="1.0" encoding="utf-8"?>
<comments xmlns="http://schemas.openxmlformats.org/spreadsheetml/2006/main">
  <authors>
    <author>murakami</author>
  </authors>
  <commentList>
    <comment ref="BD4" authorId="0" shapeId="0">
      <text>
        <r>
          <rPr>
            <b/>
            <sz val="26"/>
            <color indexed="81"/>
            <rFont val="MS P ゴシック"/>
            <family val="3"/>
            <charset val="128"/>
          </rPr>
          <t>【毎週末】下記案件の状況確認を行う。
　　　　 ・確認申請提出から1～1.5ヶ月程度たって動きがない案件
　　　　 ・着工時期あと2週間程度と迫り、動きがない案件
　　　　 ・着工時期不明案件(定期的に)</t>
        </r>
      </text>
    </comment>
  </commentList>
</comments>
</file>

<file path=xl/comments3.xml><?xml version="1.0" encoding="utf-8"?>
<comments xmlns="http://schemas.openxmlformats.org/spreadsheetml/2006/main">
  <authors>
    <author>murakami</author>
  </authors>
  <commentList>
    <comment ref="Q10" authorId="0" shapeId="0">
      <text>
        <r>
          <rPr>
            <b/>
            <sz val="9"/>
            <color indexed="81"/>
            <rFont val="MS P ゴシック"/>
            <family val="3"/>
            <charset val="128"/>
          </rPr>
          <t>倉2021/7/1</t>
        </r>
        <r>
          <rPr>
            <sz val="9"/>
            <color indexed="81"/>
            <rFont val="MS P ゴシック"/>
            <family val="3"/>
            <charset val="128"/>
          </rPr>
          <t xml:space="preserve">
</t>
        </r>
      </text>
    </comment>
  </commentList>
</comments>
</file>

<file path=xl/comments4.xml><?xml version="1.0" encoding="utf-8"?>
<comments xmlns="http://schemas.openxmlformats.org/spreadsheetml/2006/main">
  <authors>
    <author>user</author>
    <author>murakami</author>
  </authors>
  <commentList>
    <comment ref="AC2" authorId="0" shapeId="0">
      <text>
        <r>
          <rPr>
            <b/>
            <sz val="20"/>
            <color indexed="13"/>
            <rFont val="MS P ゴシック"/>
            <family val="3"/>
            <charset val="128"/>
          </rPr>
          <t>■■</t>
        </r>
        <r>
          <rPr>
            <b/>
            <sz val="20"/>
            <color indexed="81"/>
            <rFont val="MS P ゴシック"/>
            <family val="3"/>
            <charset val="128"/>
          </rPr>
          <t>：審査提出を避けるべき審査機関</t>
        </r>
        <r>
          <rPr>
            <b/>
            <sz val="20"/>
            <color indexed="49"/>
            <rFont val="MS P ゴシック"/>
            <family val="3"/>
            <charset val="128"/>
          </rPr>
          <t xml:space="preserve">
■■</t>
        </r>
        <r>
          <rPr>
            <b/>
            <sz val="20"/>
            <color indexed="81"/>
            <rFont val="MS P ゴシック"/>
            <family val="3"/>
            <charset val="128"/>
          </rPr>
          <t>:対応に若干手間がかかる審査機関</t>
        </r>
      </text>
    </comment>
    <comment ref="U12" authorId="1" shapeId="0">
      <text>
        <r>
          <rPr>
            <b/>
            <sz val="11"/>
            <color indexed="81"/>
            <rFont val="MS P ゴシック"/>
            <family val="3"/>
            <charset val="128"/>
          </rPr>
          <t>2020.03.25 沖本部長打合せ
支点固定のモデル化を認めない</t>
        </r>
      </text>
    </comment>
    <comment ref="C34" authorId="0" shapeId="0">
      <text>
        <r>
          <rPr>
            <b/>
            <sz val="11"/>
            <color indexed="81"/>
            <rFont val="MS P ゴシック"/>
            <family val="3"/>
            <charset val="128"/>
          </rPr>
          <t>2019.10 浅層改良の規模、D基礎で細かい指摘受け、審査取り下げとした経緯あり。できれば避ける。</t>
        </r>
      </text>
    </comment>
  </commentList>
</comments>
</file>

<file path=xl/sharedStrings.xml><?xml version="1.0" encoding="utf-8"?>
<sst xmlns="http://schemas.openxmlformats.org/spreadsheetml/2006/main" count="68150" uniqueCount="18142">
  <si>
    <t>用途</t>
  </si>
  <si>
    <t>構造
種別</t>
  </si>
  <si>
    <t>規模</t>
  </si>
  <si>
    <t>建設地</t>
  </si>
  <si>
    <t>地盤改良
目標強度
[kN/㎡]</t>
  </si>
  <si>
    <t>液状化</t>
  </si>
  <si>
    <t>圧密
沈下</t>
  </si>
  <si>
    <t>確認審査機関</t>
  </si>
  <si>
    <t>適合性判定審査機関</t>
  </si>
  <si>
    <t>ハローズ西大寺店</t>
  </si>
  <si>
    <t>店舗</t>
  </si>
  <si>
    <t>S造</t>
  </si>
  <si>
    <t>平屋建</t>
  </si>
  <si>
    <t>岡山県</t>
  </si>
  <si>
    <t>○</t>
  </si>
  <si>
    <t>-</t>
  </si>
  <si>
    <t>財団法人 日本建築総合試験所</t>
  </si>
  <si>
    <t>ウォンツ西大寺店</t>
  </si>
  <si>
    <t>ハローズ西大寺店テナント棟</t>
  </si>
  <si>
    <t>財団法人 岡山県住宅建築総合センター</t>
  </si>
  <si>
    <t>アイスタ矢野</t>
  </si>
  <si>
    <t>2F建</t>
  </si>
  <si>
    <t>広島県</t>
  </si>
  <si>
    <t>工場</t>
  </si>
  <si>
    <t>3F建</t>
  </si>
  <si>
    <t>兵庫県</t>
  </si>
  <si>
    <t>財団法人 兵庫県住宅建築総合センター</t>
  </si>
  <si>
    <t>日本ERI株式会社</t>
  </si>
  <si>
    <t>ハピッシュ国府市場店</t>
  </si>
  <si>
    <t>ハローズ乙島店テナント棟</t>
  </si>
  <si>
    <t>東武運輸 一般倉庫棟</t>
  </si>
  <si>
    <t>倉庫</t>
  </si>
  <si>
    <t>新潟県</t>
  </si>
  <si>
    <t>株式会社 新潟建築確認検査機構</t>
  </si>
  <si>
    <t>財団法人 日本建築センター</t>
  </si>
  <si>
    <t>コスモス薬品西大寺</t>
  </si>
  <si>
    <t>ジュンテンドー南岩国</t>
  </si>
  <si>
    <t>田中種苗社屋建設 事務所棟</t>
  </si>
  <si>
    <t>事務所</t>
  </si>
  <si>
    <t>島根県</t>
  </si>
  <si>
    <t>ジュンテンドー廿日市</t>
  </si>
  <si>
    <t>静岡県</t>
  </si>
  <si>
    <t>ビューローベリタスジャパン株式会社</t>
  </si>
  <si>
    <t>静岡県建築技術安心支援センター</t>
  </si>
  <si>
    <t>カインズモール大利根（カインズ棟）</t>
  </si>
  <si>
    <t>埼玉県</t>
  </si>
  <si>
    <t>カインズモール大利根（ベイシア棟）</t>
  </si>
  <si>
    <t>ハローズ十日市店</t>
  </si>
  <si>
    <t>山口県</t>
  </si>
  <si>
    <t>ハローズ花尻 テナント棟</t>
  </si>
  <si>
    <t>ハローズ花尻店</t>
  </si>
  <si>
    <t>ジュンテンドー中庄</t>
  </si>
  <si>
    <t>百済駅</t>
  </si>
  <si>
    <t>大阪府</t>
  </si>
  <si>
    <t>カインズモール大利根（ベイシア電器棟）</t>
  </si>
  <si>
    <t>カインズモール大利根（オートアールズ棟）</t>
  </si>
  <si>
    <t>カインズ玉造</t>
  </si>
  <si>
    <t>茨城県</t>
  </si>
  <si>
    <t>バロー高浜</t>
  </si>
  <si>
    <t>愛知県</t>
  </si>
  <si>
    <t>バロー碧南</t>
  </si>
  <si>
    <t>あかのれん碧南</t>
  </si>
  <si>
    <t>ワンダーグー玉造</t>
  </si>
  <si>
    <t>タチヤ木曽岬</t>
  </si>
  <si>
    <t>三重県</t>
  </si>
  <si>
    <t>ケーズデンキ仙台太白</t>
  </si>
  <si>
    <t>宮城県</t>
  </si>
  <si>
    <t>ニトリ大崎</t>
  </si>
  <si>
    <t>ニトリ木更津</t>
  </si>
  <si>
    <t>千葉県</t>
  </si>
  <si>
    <t>ニトリ上越</t>
  </si>
  <si>
    <t>ニトリ大仙</t>
  </si>
  <si>
    <t>秋田県</t>
  </si>
  <si>
    <t>財団法人 秋田県建築住宅センター</t>
  </si>
  <si>
    <t>バロー静波</t>
  </si>
  <si>
    <t>ファミリーマート和田岬</t>
  </si>
  <si>
    <t>JRB矢賀ハイツ</t>
  </si>
  <si>
    <t>共同住宅</t>
  </si>
  <si>
    <t>RC造</t>
  </si>
  <si>
    <t>オリンピック西尾久</t>
  </si>
  <si>
    <t>東京都</t>
  </si>
  <si>
    <t>バロー堀越</t>
  </si>
  <si>
    <t>ケーズデンキ本巣</t>
  </si>
  <si>
    <t>岐阜県</t>
  </si>
  <si>
    <t>あかのれん東海名和</t>
  </si>
  <si>
    <t>河内永和</t>
  </si>
  <si>
    <t>民間検査機構 オーネックス</t>
  </si>
  <si>
    <t>バロー東海名和</t>
  </si>
  <si>
    <t>共立クリニック</t>
  </si>
  <si>
    <t>診療所</t>
  </si>
  <si>
    <t>財団法人 三重県建設技術センター</t>
  </si>
  <si>
    <t>JR阪和線長居駅北高架下店舗開発</t>
  </si>
  <si>
    <t>ウエルシア薬局川口峯</t>
  </si>
  <si>
    <t>長野県</t>
  </si>
  <si>
    <t>財団法人 長野県建築住宅センター</t>
  </si>
  <si>
    <t>ニトリ仙台新港</t>
  </si>
  <si>
    <t>財団法人 宮城県建築住宅センター</t>
  </si>
  <si>
    <t>奈良県</t>
  </si>
  <si>
    <t>財団法人 なら建築住宅センター</t>
  </si>
  <si>
    <t>ナルス上越インター</t>
  </si>
  <si>
    <t>バロー常滑陶郷店</t>
  </si>
  <si>
    <t>寺島薬局下妻田下店</t>
  </si>
  <si>
    <t>寺島薬局土浦田中店</t>
  </si>
  <si>
    <t>ジャンボエンチョー豊橋店</t>
  </si>
  <si>
    <t>財団法人 愛知県建築住宅センター</t>
  </si>
  <si>
    <t>吹田(信)荷捌上屋他建築設計</t>
  </si>
  <si>
    <t>秋田物流倉庫</t>
  </si>
  <si>
    <t>株式会社 国際確認検査センター</t>
  </si>
  <si>
    <t>カインズ宇都宮</t>
  </si>
  <si>
    <t>栃木県</t>
  </si>
  <si>
    <t>財団法人 住宅金融普及協会</t>
  </si>
  <si>
    <t>ウインク倉庫</t>
  </si>
  <si>
    <t>株式会社 ビルディングナビゲーション 確認評価機構</t>
  </si>
  <si>
    <t>ウインク事務所</t>
  </si>
  <si>
    <t>北川精機スライシング工場</t>
  </si>
  <si>
    <t>ロジネットサポート藤枝倉庫</t>
  </si>
  <si>
    <t>フォレストモール河口湖A</t>
  </si>
  <si>
    <t>山梨県</t>
  </si>
  <si>
    <t>財団法人 日本建築設備・昇降機センター</t>
  </si>
  <si>
    <t>フォレストモール河口湖B</t>
  </si>
  <si>
    <t>フォレストモール河口湖C</t>
  </si>
  <si>
    <t>フォレストモール河口湖D</t>
  </si>
  <si>
    <t>河辺モール 本棟</t>
  </si>
  <si>
    <t>河辺モール B棟</t>
  </si>
  <si>
    <t>清水駒越SC</t>
  </si>
  <si>
    <t>株式会社 確認サービス</t>
  </si>
  <si>
    <t>株式会社 住宅性能評価センター</t>
  </si>
  <si>
    <t>三洋堂書店　当知店</t>
  </si>
  <si>
    <t>鳩山鉄工</t>
  </si>
  <si>
    <t>ひまわり第一保育園</t>
  </si>
  <si>
    <t>木造</t>
  </si>
  <si>
    <t>ベリー藤里</t>
  </si>
  <si>
    <t>クレストホール印田</t>
  </si>
  <si>
    <t>集会場</t>
  </si>
  <si>
    <t>ジュンテンドー熊野</t>
  </si>
  <si>
    <t>ハローズ高松春日</t>
  </si>
  <si>
    <t>ZAGZAG高松春日店</t>
  </si>
  <si>
    <t>配送センター冷凍庫等</t>
  </si>
  <si>
    <t>杉山テスター</t>
  </si>
  <si>
    <t>株式会社 ぎふ建築住宅センター</t>
  </si>
  <si>
    <t>洋服の青山亜松井山手店</t>
  </si>
  <si>
    <t>京都府</t>
  </si>
  <si>
    <t>株式会社 近畿建築確認検査機構</t>
  </si>
  <si>
    <t>カメラのキタムラ 松井山手店</t>
  </si>
  <si>
    <t>いちやまマート諏訪</t>
  </si>
  <si>
    <t>とりせん新井</t>
  </si>
  <si>
    <t>群馬県</t>
  </si>
  <si>
    <t>琉球大学</t>
  </si>
  <si>
    <t>駐車場</t>
  </si>
  <si>
    <t>沖縄県</t>
  </si>
  <si>
    <t>バロー飯田</t>
  </si>
  <si>
    <t>ウィズ諏訪</t>
  </si>
  <si>
    <t>神宮寺公民館</t>
  </si>
  <si>
    <t>協和エクシオ</t>
  </si>
  <si>
    <t>財団法人 さいたま住宅検査センター</t>
  </si>
  <si>
    <t>ケーズデンキ幸手</t>
  </si>
  <si>
    <t>ユース北日野</t>
  </si>
  <si>
    <t>福井県</t>
  </si>
  <si>
    <t>財団法人 福井県建築住宅センター</t>
  </si>
  <si>
    <t>柿崎セレモニーホールへいあん</t>
  </si>
  <si>
    <t>九州児湯フーズ大分支店　建替計画</t>
  </si>
  <si>
    <t>大分県</t>
  </si>
  <si>
    <t>滋賀県</t>
  </si>
  <si>
    <t>天王南SC</t>
  </si>
  <si>
    <t>愛媛県</t>
  </si>
  <si>
    <t>東亜紙業㈱三郷工場計画</t>
  </si>
  <si>
    <t>新加美駅</t>
  </si>
  <si>
    <t>ケーズデンキ鷹巣</t>
  </si>
  <si>
    <t>株式会社 総合確認検査機構</t>
  </si>
  <si>
    <t>AO京都白川</t>
  </si>
  <si>
    <t>日本建築検査協会 株式会社</t>
  </si>
  <si>
    <t>和歌山県</t>
  </si>
  <si>
    <t>ゴルフクラブ大樹・大府</t>
  </si>
  <si>
    <t>WRC造</t>
  </si>
  <si>
    <t>山形県</t>
  </si>
  <si>
    <t>株式会社 東日本住宅評価センター</t>
  </si>
  <si>
    <t>ルネサンス野田</t>
  </si>
  <si>
    <t>財団法人 千葉県建設技術センター</t>
  </si>
  <si>
    <t>デイサービスセンター</t>
  </si>
  <si>
    <t>バロー焼津 事務所倉庫</t>
  </si>
  <si>
    <t>財団法人 静岡県建築住宅まちづくりセンター</t>
  </si>
  <si>
    <t>ジュンテンドー大柿</t>
  </si>
  <si>
    <t>豚舎計画 排水処理</t>
  </si>
  <si>
    <t>堆肥処理
施設</t>
  </si>
  <si>
    <t>豚舎計画 堆肥舎</t>
  </si>
  <si>
    <t>カインズホーム佐倉</t>
  </si>
  <si>
    <t>カインズ半田</t>
  </si>
  <si>
    <t>株式会社 建築構造センター</t>
  </si>
  <si>
    <t>日本建物評価機構 株式会社</t>
  </si>
  <si>
    <t>高知県</t>
  </si>
  <si>
    <t>神奈川県</t>
  </si>
  <si>
    <t>佐賀県</t>
  </si>
  <si>
    <t>財団法人 佐賀県土木建築技術協会</t>
  </si>
  <si>
    <t>マルハン宮崎</t>
  </si>
  <si>
    <t>宮崎県</t>
  </si>
  <si>
    <t>幼稚園</t>
  </si>
  <si>
    <t>ユーディーアイ確認検査株式会社</t>
  </si>
  <si>
    <t>銀行</t>
  </si>
  <si>
    <t>浪速区塩草店舗新築工事</t>
  </si>
  <si>
    <t>長崎県</t>
  </si>
  <si>
    <t>ZAGZAG福山山手</t>
  </si>
  <si>
    <t>福島県</t>
  </si>
  <si>
    <t>結婚式場</t>
  </si>
  <si>
    <t>住宅</t>
  </si>
  <si>
    <t>処理場</t>
  </si>
  <si>
    <t>葬祭場</t>
  </si>
  <si>
    <t>福岡県</t>
  </si>
  <si>
    <t>審査機関別 実績</t>
  </si>
  <si>
    <t>確認
[件]</t>
  </si>
  <si>
    <t>適判
[件]</t>
  </si>
  <si>
    <t>-</t>
    <phoneticPr fontId="4"/>
  </si>
  <si>
    <t>医療所</t>
    <rPh sb="0" eb="2">
      <t>イリョウ</t>
    </rPh>
    <rPh sb="2" eb="3">
      <t>ショ</t>
    </rPh>
    <phoneticPr fontId="4"/>
  </si>
  <si>
    <t>長野県</t>
    <rPh sb="0" eb="2">
      <t>ナガノ</t>
    </rPh>
    <rPh sb="2" eb="3">
      <t>ケン</t>
    </rPh>
    <phoneticPr fontId="4"/>
  </si>
  <si>
    <t>愛媛県</t>
    <rPh sb="0" eb="3">
      <t>エヒメケン</t>
    </rPh>
    <phoneticPr fontId="4"/>
  </si>
  <si>
    <t>平屋建</t>
    <rPh sb="0" eb="2">
      <t>ヒラヤ</t>
    </rPh>
    <rPh sb="2" eb="3">
      <t>タ</t>
    </rPh>
    <phoneticPr fontId="4"/>
  </si>
  <si>
    <t>食堂</t>
    <rPh sb="0" eb="2">
      <t>ショクドウ</t>
    </rPh>
    <phoneticPr fontId="4"/>
  </si>
  <si>
    <t>3F建</t>
    <rPh sb="2" eb="3">
      <t>タ</t>
    </rPh>
    <phoneticPr fontId="4"/>
  </si>
  <si>
    <t>ヤマザワ新川西</t>
    <rPh sb="4" eb="5">
      <t>シン</t>
    </rPh>
    <phoneticPr fontId="4"/>
  </si>
  <si>
    <t>株式会社 秋田建築確認検査機関</t>
    <rPh sb="0" eb="2">
      <t>カブシキ</t>
    </rPh>
    <rPh sb="2" eb="4">
      <t>カイシャ</t>
    </rPh>
    <rPh sb="7" eb="9">
      <t>ケンチク</t>
    </rPh>
    <rPh sb="9" eb="11">
      <t>カクニン</t>
    </rPh>
    <rPh sb="11" eb="13">
      <t>ケンサ</t>
    </rPh>
    <rPh sb="13" eb="15">
      <t>キカン</t>
    </rPh>
    <phoneticPr fontId="4"/>
  </si>
  <si>
    <t>七福の湯 習志野店</t>
    <rPh sb="0" eb="1">
      <t>ナナ</t>
    </rPh>
    <rPh sb="1" eb="2">
      <t>フク</t>
    </rPh>
    <rPh sb="3" eb="4">
      <t>ユ</t>
    </rPh>
    <rPh sb="5" eb="8">
      <t>ナラシノ</t>
    </rPh>
    <rPh sb="8" eb="9">
      <t>テン</t>
    </rPh>
    <phoneticPr fontId="4"/>
  </si>
  <si>
    <t>公共浴場</t>
    <rPh sb="0" eb="2">
      <t>コウキョウ</t>
    </rPh>
    <rPh sb="2" eb="4">
      <t>ヨクジョウ</t>
    </rPh>
    <phoneticPr fontId="4"/>
  </si>
  <si>
    <t>ユニバース青柳店</t>
    <rPh sb="5" eb="6">
      <t>アオ</t>
    </rPh>
    <rPh sb="6" eb="7">
      <t>ヤナギ</t>
    </rPh>
    <rPh sb="7" eb="8">
      <t>テン</t>
    </rPh>
    <phoneticPr fontId="4"/>
  </si>
  <si>
    <t>青森県</t>
    <rPh sb="0" eb="3">
      <t>アオモリケン</t>
    </rPh>
    <phoneticPr fontId="4"/>
  </si>
  <si>
    <t>店舗</t>
    <phoneticPr fontId="4"/>
  </si>
  <si>
    <t>共同住宅</t>
    <rPh sb="0" eb="2">
      <t>キョウドウ</t>
    </rPh>
    <phoneticPr fontId="4"/>
  </si>
  <si>
    <t>和歌山県</t>
    <rPh sb="0" eb="4">
      <t>ワカヤマケン</t>
    </rPh>
    <phoneticPr fontId="4"/>
  </si>
  <si>
    <t>三重県</t>
    <rPh sb="0" eb="3">
      <t>ミエケン</t>
    </rPh>
    <phoneticPr fontId="4"/>
  </si>
  <si>
    <t>神奈川県</t>
    <rPh sb="0" eb="4">
      <t>カナガワケン</t>
    </rPh>
    <phoneticPr fontId="4"/>
  </si>
  <si>
    <t>秋田県</t>
    <rPh sb="0" eb="2">
      <t>アキタ</t>
    </rPh>
    <rPh sb="2" eb="3">
      <t>ケン</t>
    </rPh>
    <phoneticPr fontId="4"/>
  </si>
  <si>
    <t>熊本県</t>
    <rPh sb="0" eb="3">
      <t>クマモトケン</t>
    </rPh>
    <phoneticPr fontId="4"/>
  </si>
  <si>
    <t>シバ工芸</t>
    <rPh sb="2" eb="4">
      <t>コウゲイ</t>
    </rPh>
    <phoneticPr fontId="4"/>
  </si>
  <si>
    <t>財団法人 日本建築センター</t>
    <phoneticPr fontId="4"/>
  </si>
  <si>
    <t>マルハン上小田井</t>
    <rPh sb="4" eb="5">
      <t>ウエ</t>
    </rPh>
    <rPh sb="5" eb="7">
      <t>オダ</t>
    </rPh>
    <rPh sb="7" eb="8">
      <t>イ</t>
    </rPh>
    <phoneticPr fontId="4"/>
  </si>
  <si>
    <t>愛知県</t>
    <rPh sb="0" eb="2">
      <t>アイチ</t>
    </rPh>
    <rPh sb="2" eb="3">
      <t>ケン</t>
    </rPh>
    <phoneticPr fontId="4"/>
  </si>
  <si>
    <t>ベルクス西船橋</t>
    <rPh sb="4" eb="5">
      <t>ニシ</t>
    </rPh>
    <rPh sb="5" eb="7">
      <t>フナバシ</t>
    </rPh>
    <phoneticPr fontId="4"/>
  </si>
  <si>
    <t>イズモホール桜丘</t>
    <rPh sb="6" eb="7">
      <t>サクラ</t>
    </rPh>
    <rPh sb="7" eb="8">
      <t>オカ</t>
    </rPh>
    <phoneticPr fontId="4"/>
  </si>
  <si>
    <t>公民館</t>
    <rPh sb="0" eb="3">
      <t>コウミンカン</t>
    </rPh>
    <phoneticPr fontId="4"/>
  </si>
  <si>
    <t>長野県</t>
    <rPh sb="0" eb="3">
      <t>ナガノケン</t>
    </rPh>
    <phoneticPr fontId="4"/>
  </si>
  <si>
    <t>徳島県</t>
    <rPh sb="0" eb="3">
      <t>トクシマケン</t>
    </rPh>
    <phoneticPr fontId="4"/>
  </si>
  <si>
    <t>岡山県</t>
    <phoneticPr fontId="4"/>
  </si>
  <si>
    <t>愛知県</t>
    <rPh sb="0" eb="3">
      <t>アイチケン</t>
    </rPh>
    <phoneticPr fontId="4"/>
  </si>
  <si>
    <t>HIひろせスーパーコンボ菊陽</t>
    <rPh sb="12" eb="13">
      <t>キク</t>
    </rPh>
    <rPh sb="13" eb="14">
      <t>ヨウ</t>
    </rPh>
    <phoneticPr fontId="4"/>
  </si>
  <si>
    <t>フレイン大分</t>
    <rPh sb="4" eb="6">
      <t>オオイタ</t>
    </rPh>
    <phoneticPr fontId="4"/>
  </si>
  <si>
    <t>大分県</t>
    <rPh sb="0" eb="2">
      <t>オオイタ</t>
    </rPh>
    <rPh sb="2" eb="3">
      <t>ケン</t>
    </rPh>
    <phoneticPr fontId="4"/>
  </si>
  <si>
    <t>財団法人 鳥取県建築住宅検査センター</t>
    <rPh sb="5" eb="8">
      <t>トットリケン</t>
    </rPh>
    <rPh sb="8" eb="10">
      <t>ケンチク</t>
    </rPh>
    <rPh sb="10" eb="12">
      <t>ジュウタク</t>
    </rPh>
    <rPh sb="12" eb="14">
      <t>ケンサ</t>
    </rPh>
    <phoneticPr fontId="4"/>
  </si>
  <si>
    <t>財団法人 日本建築総合試験所</t>
    <phoneticPr fontId="4"/>
  </si>
  <si>
    <t>株式会社 確認審査機構 アネックス</t>
    <rPh sb="0" eb="2">
      <t>カブシキ</t>
    </rPh>
    <rPh sb="2" eb="4">
      <t>カイシャ</t>
    </rPh>
    <rPh sb="5" eb="7">
      <t>カクニン</t>
    </rPh>
    <rPh sb="7" eb="9">
      <t>シンサ</t>
    </rPh>
    <rPh sb="9" eb="11">
      <t>キコウ</t>
    </rPh>
    <phoneticPr fontId="4"/>
  </si>
  <si>
    <t>工場</t>
    <rPh sb="0" eb="2">
      <t>コウジョウ</t>
    </rPh>
    <phoneticPr fontId="4"/>
  </si>
  <si>
    <t>軽井沢ゴルフ</t>
    <rPh sb="0" eb="3">
      <t>カルイザワ</t>
    </rPh>
    <phoneticPr fontId="4"/>
  </si>
  <si>
    <t>鳥取県</t>
    <rPh sb="0" eb="2">
      <t>トットリ</t>
    </rPh>
    <rPh sb="2" eb="3">
      <t>ケン</t>
    </rPh>
    <phoneticPr fontId="4"/>
  </si>
  <si>
    <t>埼玉県</t>
    <rPh sb="0" eb="2">
      <t>サイタマ</t>
    </rPh>
    <phoneticPr fontId="4"/>
  </si>
  <si>
    <t>病院</t>
    <rPh sb="0" eb="2">
      <t>ビョウイン</t>
    </rPh>
    <phoneticPr fontId="4"/>
  </si>
  <si>
    <t>社団法人 岡山県建築士事務所協会</t>
    <rPh sb="0" eb="2">
      <t>シャダン</t>
    </rPh>
    <rPh sb="2" eb="4">
      <t>ホウジン</t>
    </rPh>
    <rPh sb="5" eb="8">
      <t>オカヤマケン</t>
    </rPh>
    <rPh sb="8" eb="10">
      <t>ケンチク</t>
    </rPh>
    <rPh sb="10" eb="11">
      <t>シ</t>
    </rPh>
    <rPh sb="11" eb="13">
      <t>ジム</t>
    </rPh>
    <rPh sb="13" eb="14">
      <t>ショ</t>
    </rPh>
    <rPh sb="14" eb="16">
      <t>キョウカイ</t>
    </rPh>
    <phoneticPr fontId="4"/>
  </si>
  <si>
    <t>株式会社 東京建築検査機構</t>
    <rPh sb="0" eb="2">
      <t>カブシキ</t>
    </rPh>
    <rPh sb="2" eb="4">
      <t>カイシャ</t>
    </rPh>
    <rPh sb="5" eb="7">
      <t>トウキョウ</t>
    </rPh>
    <rPh sb="7" eb="9">
      <t>ケンチク</t>
    </rPh>
    <rPh sb="9" eb="11">
      <t>ケンサ</t>
    </rPh>
    <rPh sb="11" eb="13">
      <t>キコウ</t>
    </rPh>
    <phoneticPr fontId="4"/>
  </si>
  <si>
    <t>南東北クボタ庄内</t>
    <rPh sb="0" eb="1">
      <t>ミナミ</t>
    </rPh>
    <rPh sb="1" eb="3">
      <t>トウホク</t>
    </rPh>
    <rPh sb="6" eb="8">
      <t>ショウナイ</t>
    </rPh>
    <phoneticPr fontId="4"/>
  </si>
  <si>
    <t>稲和ファーム</t>
    <rPh sb="0" eb="1">
      <t>イナ</t>
    </rPh>
    <rPh sb="1" eb="2">
      <t>ワ</t>
    </rPh>
    <phoneticPr fontId="4"/>
  </si>
  <si>
    <t>小学校</t>
    <rPh sb="0" eb="3">
      <t>ショウガッコウ</t>
    </rPh>
    <phoneticPr fontId="4"/>
  </si>
  <si>
    <t>東北マツダ多賀城</t>
    <rPh sb="5" eb="8">
      <t>タガジョウ</t>
    </rPh>
    <phoneticPr fontId="4"/>
  </si>
  <si>
    <t>株式会社 ジェイ・ネット</t>
    <rPh sb="0" eb="2">
      <t>カブシキ</t>
    </rPh>
    <rPh sb="2" eb="4">
      <t>カイシャ</t>
    </rPh>
    <phoneticPr fontId="4"/>
  </si>
  <si>
    <t>有限会社 みの建築確認検査センター</t>
    <rPh sb="0" eb="2">
      <t>ユウゲン</t>
    </rPh>
    <rPh sb="2" eb="4">
      <t>カイシャ</t>
    </rPh>
    <rPh sb="7" eb="9">
      <t>ケンチク</t>
    </rPh>
    <rPh sb="9" eb="11">
      <t>カクニン</t>
    </rPh>
    <rPh sb="11" eb="13">
      <t>ケンサ</t>
    </rPh>
    <phoneticPr fontId="4"/>
  </si>
  <si>
    <t>株式会社 日本確認検査センター</t>
    <rPh sb="0" eb="2">
      <t>カブシキ</t>
    </rPh>
    <rPh sb="2" eb="4">
      <t>カイシャ</t>
    </rPh>
    <rPh sb="5" eb="7">
      <t>ニホン</t>
    </rPh>
    <rPh sb="7" eb="9">
      <t>カクニン</t>
    </rPh>
    <rPh sb="9" eb="11">
      <t>ケンサ</t>
    </rPh>
    <phoneticPr fontId="4"/>
  </si>
  <si>
    <t>バロー岡崎福岡</t>
    <rPh sb="3" eb="5">
      <t>オカザキ</t>
    </rPh>
    <rPh sb="5" eb="7">
      <t>フクオカ</t>
    </rPh>
    <phoneticPr fontId="4"/>
  </si>
  <si>
    <t>財団法人 大阪建築防災センター</t>
    <rPh sb="5" eb="7">
      <t>オオサカ</t>
    </rPh>
    <rPh sb="7" eb="9">
      <t>ケンチク</t>
    </rPh>
    <rPh sb="9" eb="11">
      <t>ボウサイ</t>
    </rPh>
    <phoneticPr fontId="4"/>
  </si>
  <si>
    <t>シュテルン広島</t>
    <rPh sb="5" eb="7">
      <t>ヒロシマ</t>
    </rPh>
    <phoneticPr fontId="4"/>
  </si>
  <si>
    <t>広島県</t>
    <rPh sb="0" eb="2">
      <t>ヒロシマ</t>
    </rPh>
    <rPh sb="2" eb="3">
      <t>ケン</t>
    </rPh>
    <phoneticPr fontId="4"/>
  </si>
  <si>
    <t>大阪府</t>
    <rPh sb="0" eb="3">
      <t>オオサカフ</t>
    </rPh>
    <phoneticPr fontId="4"/>
  </si>
  <si>
    <t>東京都</t>
    <rPh sb="0" eb="3">
      <t>トウキョウト</t>
    </rPh>
    <phoneticPr fontId="4"/>
  </si>
  <si>
    <t>高知県</t>
    <rPh sb="0" eb="2">
      <t>コウチ</t>
    </rPh>
    <phoneticPr fontId="4"/>
  </si>
  <si>
    <t>いちやまマート岡谷</t>
    <rPh sb="7" eb="9">
      <t>オカタニ</t>
    </rPh>
    <phoneticPr fontId="4"/>
  </si>
  <si>
    <t>バロー四日市別名</t>
    <rPh sb="3" eb="6">
      <t>ヨッカイチ</t>
    </rPh>
    <phoneticPr fontId="4"/>
  </si>
  <si>
    <t>株式会社 愛媛建築住宅センター</t>
    <rPh sb="5" eb="7">
      <t>エヒメ</t>
    </rPh>
    <rPh sb="7" eb="9">
      <t>ケンチク</t>
    </rPh>
    <rPh sb="9" eb="11">
      <t>ジュウタク</t>
    </rPh>
    <phoneticPr fontId="4"/>
  </si>
  <si>
    <t>島根県</t>
    <rPh sb="0" eb="2">
      <t>シマネ</t>
    </rPh>
    <rPh sb="2" eb="3">
      <t>ケン</t>
    </rPh>
    <phoneticPr fontId="4"/>
  </si>
  <si>
    <t>ビューローベリタスジャパン株式会社（名古屋）</t>
    <rPh sb="18" eb="21">
      <t>ナゴヤ</t>
    </rPh>
    <phoneticPr fontId="4"/>
  </si>
  <si>
    <t>ビューローベリタスジャパン株式会社（埼玉）</t>
    <rPh sb="18" eb="20">
      <t>サイタマ</t>
    </rPh>
    <phoneticPr fontId="4"/>
  </si>
  <si>
    <t>ビューローベリタスジャパン株式会社（仙台）</t>
    <rPh sb="18" eb="20">
      <t>センダイ</t>
    </rPh>
    <phoneticPr fontId="4"/>
  </si>
  <si>
    <t>ビューローベリタスジャパン株式会社（千葉）</t>
    <rPh sb="18" eb="20">
      <t>チバ</t>
    </rPh>
    <phoneticPr fontId="4"/>
  </si>
  <si>
    <t>ビューローベリタスジャパン株式会社（東京）</t>
    <rPh sb="18" eb="20">
      <t>トウキョウ</t>
    </rPh>
    <phoneticPr fontId="4"/>
  </si>
  <si>
    <t>諏訪2丁目住宅マンション建替事業 A棟</t>
    <rPh sb="18" eb="19">
      <t>トウ</t>
    </rPh>
    <phoneticPr fontId="4"/>
  </si>
  <si>
    <t>諏訪3丁目住宅マンション建替事業 B棟</t>
    <rPh sb="18" eb="19">
      <t>トウ</t>
    </rPh>
    <phoneticPr fontId="4"/>
  </si>
  <si>
    <t>諏訪4丁目住宅マンション建替事業 C棟</t>
    <rPh sb="18" eb="19">
      <t>トウ</t>
    </rPh>
    <phoneticPr fontId="4"/>
  </si>
  <si>
    <t>設計
ルート</t>
    <rPh sb="0" eb="2">
      <t>セッケイ</t>
    </rPh>
    <phoneticPr fontId="4"/>
  </si>
  <si>
    <t>柱</t>
    <rPh sb="0" eb="1">
      <t>ハシラ</t>
    </rPh>
    <phoneticPr fontId="4"/>
  </si>
  <si>
    <t>大梁</t>
    <rPh sb="0" eb="1">
      <t>オオ</t>
    </rPh>
    <rPh sb="1" eb="2">
      <t>ハリ</t>
    </rPh>
    <phoneticPr fontId="4"/>
  </si>
  <si>
    <t>小梁</t>
    <rPh sb="0" eb="1">
      <t>コ</t>
    </rPh>
    <rPh sb="1" eb="2">
      <t>ハリ</t>
    </rPh>
    <phoneticPr fontId="4"/>
  </si>
  <si>
    <t>鉄骨量</t>
    <rPh sb="0" eb="2">
      <t>テッコツ</t>
    </rPh>
    <rPh sb="2" eb="3">
      <t>リョウ</t>
    </rPh>
    <phoneticPr fontId="4"/>
  </si>
  <si>
    <t>意匠設計事務所</t>
    <rPh sb="0" eb="2">
      <t>イショウ</t>
    </rPh>
    <rPh sb="2" eb="4">
      <t>セッケイ</t>
    </rPh>
    <rPh sb="4" eb="6">
      <t>ジム</t>
    </rPh>
    <rPh sb="6" eb="7">
      <t>ショ</t>
    </rPh>
    <phoneticPr fontId="4"/>
  </si>
  <si>
    <t>構造設計事務所</t>
    <rPh sb="0" eb="2">
      <t>コウゾウ</t>
    </rPh>
    <rPh sb="2" eb="4">
      <t>セッケイ</t>
    </rPh>
    <rPh sb="4" eb="6">
      <t>ジム</t>
    </rPh>
    <rPh sb="6" eb="7">
      <t>ショ</t>
    </rPh>
    <phoneticPr fontId="4"/>
  </si>
  <si>
    <t>業務番号</t>
    <rPh sb="0" eb="2">
      <t>ギョウム</t>
    </rPh>
    <rPh sb="2" eb="4">
      <t>バンゴウ</t>
    </rPh>
    <phoneticPr fontId="4"/>
  </si>
  <si>
    <t>計</t>
    <rPh sb="0" eb="1">
      <t>ケイ</t>
    </rPh>
    <phoneticPr fontId="4"/>
  </si>
  <si>
    <t>積雪量
[cm]</t>
    <rPh sb="0" eb="2">
      <t>セキセツ</t>
    </rPh>
    <rPh sb="2" eb="3">
      <t>リョウ</t>
    </rPh>
    <phoneticPr fontId="4"/>
  </si>
  <si>
    <t>改良面積
[㎡]</t>
    <phoneticPr fontId="4"/>
  </si>
  <si>
    <t>財団法人 秋田県建築住宅センター</t>
    <phoneticPr fontId="4"/>
  </si>
  <si>
    <t>財団法人 長野県建築住宅センター</t>
    <phoneticPr fontId="4"/>
  </si>
  <si>
    <t>工場</t>
    <phoneticPr fontId="4"/>
  </si>
  <si>
    <t>日本建築検査協会 株式会社</t>
    <phoneticPr fontId="4"/>
  </si>
  <si>
    <t>-</t>
    <phoneticPr fontId="4"/>
  </si>
  <si>
    <t>WRC造</t>
    <phoneticPr fontId="4"/>
  </si>
  <si>
    <t>島根県</t>
    <phoneticPr fontId="4"/>
  </si>
  <si>
    <t>財団法人 愛知県建築住宅センター</t>
    <phoneticPr fontId="4"/>
  </si>
  <si>
    <t>株式会社 秋田建築確認検査機関</t>
    <phoneticPr fontId="4"/>
  </si>
  <si>
    <t>株式会社 建築構造センター</t>
    <phoneticPr fontId="4"/>
  </si>
  <si>
    <t>静岡県</t>
    <phoneticPr fontId="4"/>
  </si>
  <si>
    <t>静岡県建築技術安心支援センター</t>
    <phoneticPr fontId="4"/>
  </si>
  <si>
    <t>財団法人 日本建築設備・昇降機センター</t>
    <phoneticPr fontId="4"/>
  </si>
  <si>
    <t>宮城県</t>
    <phoneticPr fontId="4"/>
  </si>
  <si>
    <t>財団法人 宮城県建築住宅センター</t>
    <phoneticPr fontId="4"/>
  </si>
  <si>
    <t>島根県</t>
    <phoneticPr fontId="4"/>
  </si>
  <si>
    <t>事務所</t>
    <phoneticPr fontId="4"/>
  </si>
  <si>
    <t>山形県</t>
    <phoneticPr fontId="4"/>
  </si>
  <si>
    <t>-</t>
    <phoneticPr fontId="4"/>
  </si>
  <si>
    <t>株式会社 新潟建築確認検査機構</t>
    <phoneticPr fontId="4"/>
  </si>
  <si>
    <t>財団法人 日本建築総合試験所</t>
    <phoneticPr fontId="4"/>
  </si>
  <si>
    <t>静岡県建築技術安心支援センター</t>
    <phoneticPr fontId="4"/>
  </si>
  <si>
    <t>岐阜県</t>
    <phoneticPr fontId="4"/>
  </si>
  <si>
    <t>株式会社 確認サービス</t>
    <phoneticPr fontId="4"/>
  </si>
  <si>
    <t>財団法人 宮城県建築住宅センター</t>
    <phoneticPr fontId="4"/>
  </si>
  <si>
    <t>財団法人 ふくしま建築住宅センター</t>
    <phoneticPr fontId="4"/>
  </si>
  <si>
    <t>株式会社 東日本住宅評価センター</t>
    <phoneticPr fontId="4"/>
  </si>
  <si>
    <t>株式会社 ビルディングナビゲーション 確認評価機構</t>
    <phoneticPr fontId="4"/>
  </si>
  <si>
    <t>日本建築検査協会 株式会社</t>
    <phoneticPr fontId="4"/>
  </si>
  <si>
    <t>千葉県</t>
    <phoneticPr fontId="4"/>
  </si>
  <si>
    <t>ビューローベリタスジャパン株式会社</t>
    <phoneticPr fontId="4"/>
  </si>
  <si>
    <t>財団法人 千葉県建設技術センター</t>
    <phoneticPr fontId="4"/>
  </si>
  <si>
    <t>店舗</t>
    <phoneticPr fontId="4"/>
  </si>
  <si>
    <t>店舗</t>
    <phoneticPr fontId="4"/>
  </si>
  <si>
    <t>埼玉県</t>
    <phoneticPr fontId="4"/>
  </si>
  <si>
    <t>財団法人 日本建築センター</t>
    <phoneticPr fontId="4"/>
  </si>
  <si>
    <t>沖縄県</t>
    <phoneticPr fontId="4"/>
  </si>
  <si>
    <t>山口県</t>
    <phoneticPr fontId="4"/>
  </si>
  <si>
    <t>WRC造</t>
    <phoneticPr fontId="4"/>
  </si>
  <si>
    <t>財団法人 愛知県建築住宅センター</t>
    <phoneticPr fontId="4"/>
  </si>
  <si>
    <t>財団法人 三重県建設技術センター</t>
    <phoneticPr fontId="4"/>
  </si>
  <si>
    <t>ビューローベリタスジャパン株式会社</t>
    <phoneticPr fontId="4"/>
  </si>
  <si>
    <t>工場</t>
    <phoneticPr fontId="4"/>
  </si>
  <si>
    <t>ユーディーアイ確認検査株式会社</t>
    <phoneticPr fontId="4"/>
  </si>
  <si>
    <t>財団法人 熊本県建築住宅センター</t>
    <phoneticPr fontId="4"/>
  </si>
  <si>
    <t>集会場</t>
    <phoneticPr fontId="4"/>
  </si>
  <si>
    <t>株式会社 国際確認検査センター</t>
    <phoneticPr fontId="4"/>
  </si>
  <si>
    <t>越谷保育専門学校附属認定こども園</t>
    <phoneticPr fontId="4"/>
  </si>
  <si>
    <t>埼玉県</t>
    <phoneticPr fontId="4"/>
  </si>
  <si>
    <t>財団法人 さいたま住宅検査センター</t>
    <phoneticPr fontId="4"/>
  </si>
  <si>
    <t>東京都</t>
    <phoneticPr fontId="4"/>
  </si>
  <si>
    <t>財団法人 千葉県建設技術センター</t>
    <phoneticPr fontId="4"/>
  </si>
  <si>
    <t>財団法人 長野県建築住宅センター</t>
    <phoneticPr fontId="4"/>
  </si>
  <si>
    <t>ベルクス墨田(ダイソー棟)</t>
    <phoneticPr fontId="4"/>
  </si>
  <si>
    <t>財団法人 日本建築設備・昇降機センター</t>
    <phoneticPr fontId="4"/>
  </si>
  <si>
    <t>ドラッグトップス</t>
    <phoneticPr fontId="4"/>
  </si>
  <si>
    <t>新潟県</t>
    <phoneticPr fontId="4"/>
  </si>
  <si>
    <t>株式会社 新潟建築確認検査機構</t>
    <phoneticPr fontId="4"/>
  </si>
  <si>
    <t>バロー竜南</t>
    <phoneticPr fontId="4"/>
  </si>
  <si>
    <t>福井県</t>
    <phoneticPr fontId="4"/>
  </si>
  <si>
    <t>財団法人 福井県建築住宅センター</t>
    <phoneticPr fontId="4"/>
  </si>
  <si>
    <t>茨城県</t>
    <phoneticPr fontId="4"/>
  </si>
  <si>
    <t>財団法人 ベターリビング</t>
    <phoneticPr fontId="4"/>
  </si>
  <si>
    <t>サンタウンプラザ立体駐車場</t>
    <phoneticPr fontId="4"/>
  </si>
  <si>
    <t>駐車場</t>
    <phoneticPr fontId="4"/>
  </si>
  <si>
    <t>奈良県</t>
    <phoneticPr fontId="4"/>
  </si>
  <si>
    <t>財団法人 なら建築住宅センター</t>
    <phoneticPr fontId="4"/>
  </si>
  <si>
    <t>財団法人 日本建築総合試験所</t>
    <phoneticPr fontId="4"/>
  </si>
  <si>
    <t>滋賀県</t>
    <phoneticPr fontId="4"/>
  </si>
  <si>
    <t>株式会社 確認審査機構 アネックス</t>
    <phoneticPr fontId="4"/>
  </si>
  <si>
    <t>財団法人 日本建築総合試験所</t>
    <phoneticPr fontId="4"/>
  </si>
  <si>
    <t>財団法人 さいたま住宅検査センター</t>
    <phoneticPr fontId="4"/>
  </si>
  <si>
    <t>倉庫</t>
    <phoneticPr fontId="4"/>
  </si>
  <si>
    <t>財団法人 鳥取県建築住宅検査センター</t>
    <phoneticPr fontId="4"/>
  </si>
  <si>
    <t>吉本内科・外科クリニック</t>
    <phoneticPr fontId="4"/>
  </si>
  <si>
    <t>広島県</t>
    <phoneticPr fontId="4"/>
  </si>
  <si>
    <t>高齢者向け住宅東津田</t>
    <phoneticPr fontId="4"/>
  </si>
  <si>
    <t>ZAGZAG津山小原</t>
    <phoneticPr fontId="4"/>
  </si>
  <si>
    <t>岡山県</t>
    <phoneticPr fontId="4"/>
  </si>
  <si>
    <t>社団法人 岡山県建築士事務所協会</t>
    <phoneticPr fontId="4"/>
  </si>
  <si>
    <t>株式会社 東京建築検査機構</t>
    <phoneticPr fontId="4"/>
  </si>
  <si>
    <t>兵庫県</t>
    <phoneticPr fontId="4"/>
  </si>
  <si>
    <t>財団法人 兵庫県住宅建築総合センター</t>
    <phoneticPr fontId="4"/>
  </si>
  <si>
    <t>岐阜県</t>
    <phoneticPr fontId="4"/>
  </si>
  <si>
    <t>大阪府</t>
    <phoneticPr fontId="4"/>
  </si>
  <si>
    <t>診療所</t>
    <phoneticPr fontId="4"/>
  </si>
  <si>
    <t>カインズ下妻</t>
    <phoneticPr fontId="4"/>
  </si>
  <si>
    <t>仁愛幼育園</t>
    <phoneticPr fontId="4"/>
  </si>
  <si>
    <t>幼稚園</t>
    <phoneticPr fontId="4"/>
  </si>
  <si>
    <t>緑２丁目計画</t>
    <phoneticPr fontId="4"/>
  </si>
  <si>
    <t>株式会社 確認サービス</t>
    <phoneticPr fontId="4"/>
  </si>
  <si>
    <t>阪急オアシス宝塚中筋</t>
    <phoneticPr fontId="4"/>
  </si>
  <si>
    <t>S造</t>
    <phoneticPr fontId="4"/>
  </si>
  <si>
    <t>株式会社 ジェイ・ネット</t>
    <phoneticPr fontId="4"/>
  </si>
  <si>
    <t>財団法人 茨城県建築センター</t>
    <phoneticPr fontId="4"/>
  </si>
  <si>
    <t>ファミリー大型新店舗</t>
    <phoneticPr fontId="4"/>
  </si>
  <si>
    <t>2F建</t>
    <phoneticPr fontId="4"/>
  </si>
  <si>
    <t>岐阜県</t>
    <phoneticPr fontId="4"/>
  </si>
  <si>
    <t>有限会社 みの建築確認検査センター</t>
    <phoneticPr fontId="4"/>
  </si>
  <si>
    <t>2F建</t>
    <phoneticPr fontId="4"/>
  </si>
  <si>
    <t>大阪府</t>
    <phoneticPr fontId="4"/>
  </si>
  <si>
    <t>株式会社 日本確認検査センター</t>
    <phoneticPr fontId="4"/>
  </si>
  <si>
    <t>財団法人 大阪建築防災センター</t>
    <phoneticPr fontId="4"/>
  </si>
  <si>
    <t>RC造</t>
    <phoneticPr fontId="4"/>
  </si>
  <si>
    <t>財団法人 住宅金融普及協会</t>
    <phoneticPr fontId="4"/>
  </si>
  <si>
    <t>株式会社 建築構造センター</t>
    <phoneticPr fontId="4"/>
  </si>
  <si>
    <t>財団法人 大阪建築防災センター</t>
    <phoneticPr fontId="4"/>
  </si>
  <si>
    <t>株式会社 総合確認検査機構</t>
    <phoneticPr fontId="4"/>
  </si>
  <si>
    <t>平屋建</t>
    <phoneticPr fontId="4"/>
  </si>
  <si>
    <t>福岡県</t>
    <phoneticPr fontId="4"/>
  </si>
  <si>
    <t>株式会社 東日本住宅評価センター</t>
    <phoneticPr fontId="4"/>
  </si>
  <si>
    <t>大分銀行しきど支店</t>
    <phoneticPr fontId="4"/>
  </si>
  <si>
    <t>銀行</t>
    <phoneticPr fontId="4"/>
  </si>
  <si>
    <t>カインズ船橋南習志野</t>
    <phoneticPr fontId="4"/>
  </si>
  <si>
    <t>艇庫</t>
    <phoneticPr fontId="4"/>
  </si>
  <si>
    <t>株式会社 愛媛建築住宅センター</t>
    <phoneticPr fontId="4"/>
  </si>
  <si>
    <t>株式会社 ぎふ建築住宅センター</t>
    <phoneticPr fontId="4"/>
  </si>
  <si>
    <t>アイエス総合倉庫</t>
    <phoneticPr fontId="4"/>
  </si>
  <si>
    <t>葬祭場</t>
    <phoneticPr fontId="4"/>
  </si>
  <si>
    <t>あおぞらクリニックみさわ</t>
    <phoneticPr fontId="4"/>
  </si>
  <si>
    <t>特別養護老人ホーム 天神(小山園)</t>
    <phoneticPr fontId="4"/>
  </si>
  <si>
    <t>株式会社 住宅性能評価センター</t>
    <phoneticPr fontId="4"/>
  </si>
  <si>
    <t>宮城県</t>
    <phoneticPr fontId="4"/>
  </si>
  <si>
    <t>平屋建</t>
    <phoneticPr fontId="4"/>
  </si>
  <si>
    <t>兵庫県</t>
    <phoneticPr fontId="4"/>
  </si>
  <si>
    <t>山形県</t>
    <phoneticPr fontId="4"/>
  </si>
  <si>
    <t>滋賀県</t>
    <phoneticPr fontId="4"/>
  </si>
  <si>
    <t>公民館</t>
    <phoneticPr fontId="4"/>
  </si>
  <si>
    <t>葬祭場</t>
    <phoneticPr fontId="4"/>
  </si>
  <si>
    <t>MV京橋</t>
    <phoneticPr fontId="4"/>
  </si>
  <si>
    <t>ホンダカーズ斐川(中古車棟)</t>
    <phoneticPr fontId="4"/>
  </si>
  <si>
    <t>-</t>
    <phoneticPr fontId="4"/>
  </si>
  <si>
    <t>ホンダカーズ斐川(ショールーム棟)</t>
    <phoneticPr fontId="4"/>
  </si>
  <si>
    <t>バロー西尾平坂</t>
    <phoneticPr fontId="4"/>
  </si>
  <si>
    <t>イオンビッグ玉城</t>
    <phoneticPr fontId="4"/>
  </si>
  <si>
    <t>中部薬品高岡蓮花寺</t>
    <phoneticPr fontId="4"/>
  </si>
  <si>
    <t>京滋マツダ大津 B棟</t>
    <rPh sb="9" eb="10">
      <t>トウ</t>
    </rPh>
    <phoneticPr fontId="4"/>
  </si>
  <si>
    <t>京滋マツダ大津 C棟</t>
    <rPh sb="9" eb="10">
      <t>トウ</t>
    </rPh>
    <phoneticPr fontId="4"/>
  </si>
  <si>
    <t>京滋マツダ大津 D棟</t>
    <rPh sb="9" eb="10">
      <t>トウ</t>
    </rPh>
    <phoneticPr fontId="4"/>
  </si>
  <si>
    <t>京滋マツダ大津 E棟</t>
    <rPh sb="9" eb="10">
      <t>トウ</t>
    </rPh>
    <phoneticPr fontId="4"/>
  </si>
  <si>
    <t>基建築設計事務所</t>
    <rPh sb="0" eb="1">
      <t>モトイ</t>
    </rPh>
    <rPh sb="1" eb="3">
      <t>ケンチク</t>
    </rPh>
    <rPh sb="3" eb="5">
      <t>セッケイ</t>
    </rPh>
    <rPh sb="5" eb="7">
      <t>ジム</t>
    </rPh>
    <rPh sb="7" eb="8">
      <t>ショ</t>
    </rPh>
    <phoneticPr fontId="4"/>
  </si>
  <si>
    <t>ﾃｨｰｱﾝﾄﾞﾋﾟｨｰ設計事務所</t>
    <rPh sb="11" eb="13">
      <t>セッケイ</t>
    </rPh>
    <rPh sb="13" eb="15">
      <t>ジム</t>
    </rPh>
    <rPh sb="15" eb="16">
      <t>ショ</t>
    </rPh>
    <phoneticPr fontId="4"/>
  </si>
  <si>
    <t>大剛新工場</t>
    <rPh sb="0" eb="1">
      <t>ダイ</t>
    </rPh>
    <rPh sb="1" eb="2">
      <t>ゴウ</t>
    </rPh>
    <rPh sb="2" eb="3">
      <t>シン</t>
    </rPh>
    <rPh sb="3" eb="5">
      <t>コウジョウ</t>
    </rPh>
    <phoneticPr fontId="4"/>
  </si>
  <si>
    <t>中部薬品美浜</t>
    <rPh sb="0" eb="2">
      <t>チュウブ</t>
    </rPh>
    <rPh sb="2" eb="4">
      <t>ヤクヒン</t>
    </rPh>
    <rPh sb="4" eb="6">
      <t>ミハマ</t>
    </rPh>
    <phoneticPr fontId="4"/>
  </si>
  <si>
    <t>-</t>
    <phoneticPr fontId="4"/>
  </si>
  <si>
    <t>塩野建築設計事務所</t>
  </si>
  <si>
    <t>1-2</t>
    <phoneticPr fontId="4"/>
  </si>
  <si>
    <t>3</t>
    <phoneticPr fontId="4"/>
  </si>
  <si>
    <t>東北クボタ東根営業所</t>
    <phoneticPr fontId="4"/>
  </si>
  <si>
    <t>As-unit一級建築士事務所</t>
    <phoneticPr fontId="4"/>
  </si>
  <si>
    <t>FG跡地計画</t>
    <phoneticPr fontId="4"/>
  </si>
  <si>
    <t>株式会社 建築企画</t>
    <phoneticPr fontId="4"/>
  </si>
  <si>
    <t>株式会社 近藤組 一級建築士事務所</t>
    <phoneticPr fontId="4"/>
  </si>
  <si>
    <t>有限会社 高橋英建築設計室</t>
    <phoneticPr fontId="4"/>
  </si>
  <si>
    <t>JUNTA PLANNING OFFICE</t>
    <phoneticPr fontId="4"/>
  </si>
  <si>
    <t>大阪運輸㈱大阪港事務所</t>
    <rPh sb="0" eb="2">
      <t>オオサカ</t>
    </rPh>
    <rPh sb="2" eb="4">
      <t>ウンユ</t>
    </rPh>
    <phoneticPr fontId="4"/>
  </si>
  <si>
    <t>株式会社 上野山都市設計</t>
    <phoneticPr fontId="4"/>
  </si>
  <si>
    <t>3</t>
    <phoneticPr fontId="4"/>
  </si>
  <si>
    <t>1-1</t>
    <phoneticPr fontId="4"/>
  </si>
  <si>
    <t>エヌシーエス建築設計室</t>
    <phoneticPr fontId="4"/>
  </si>
  <si>
    <t>備考</t>
    <rPh sb="0" eb="2">
      <t>ビコウ</t>
    </rPh>
    <phoneticPr fontId="4"/>
  </si>
  <si>
    <t>左欄に記載の鉄骨重量は、RFの数値。</t>
    <phoneticPr fontId="4"/>
  </si>
  <si>
    <t>有限会社 平田建築設計</t>
    <phoneticPr fontId="4"/>
  </si>
  <si>
    <t>さとう設計事務所</t>
    <phoneticPr fontId="4"/>
  </si>
  <si>
    <t>有限会社 アトリエ・むー</t>
    <rPh sb="0" eb="2">
      <t>ユウゲン</t>
    </rPh>
    <rPh sb="2" eb="4">
      <t>カイシャ</t>
    </rPh>
    <phoneticPr fontId="4"/>
  </si>
  <si>
    <t>株式会社 野田建築設計事務所</t>
    <phoneticPr fontId="4"/>
  </si>
  <si>
    <t>K-eins</t>
    <phoneticPr fontId="4"/>
  </si>
  <si>
    <t>塩野建築設計事務所</t>
    <phoneticPr fontId="4"/>
  </si>
  <si>
    <t>ブレンスタッフ株式会社</t>
    <phoneticPr fontId="4"/>
  </si>
  <si>
    <t>2-1</t>
    <phoneticPr fontId="4"/>
  </si>
  <si>
    <t>近藤工業 株式会社</t>
    <phoneticPr fontId="4"/>
  </si>
  <si>
    <t>As-Unit一級建築士事務所</t>
    <phoneticPr fontId="4"/>
  </si>
  <si>
    <t>株式会社 エス・ディ・フレックス</t>
    <phoneticPr fontId="4"/>
  </si>
  <si>
    <t>株式会社 シティクリエート</t>
    <phoneticPr fontId="4"/>
  </si>
  <si>
    <t>株式会社 朝日建装</t>
    <phoneticPr fontId="4"/>
  </si>
  <si>
    <t>株式会社 東畑建築事務所</t>
    <phoneticPr fontId="4"/>
  </si>
  <si>
    <t>株式会社 山陽設計</t>
    <phoneticPr fontId="4"/>
  </si>
  <si>
    <t>1</t>
    <phoneticPr fontId="4"/>
  </si>
  <si>
    <t>有限会社 中部設計</t>
    <phoneticPr fontId="4"/>
  </si>
  <si>
    <t>KT.INTHENSE PARK二期工事(SVH春日部)</t>
    <rPh sb="24" eb="27">
      <t>カスカベ</t>
    </rPh>
    <phoneticPr fontId="4"/>
  </si>
  <si>
    <t>バロー伊勢上地</t>
    <rPh sb="5" eb="6">
      <t>ウエ</t>
    </rPh>
    <rPh sb="6" eb="7">
      <t>チ</t>
    </rPh>
    <phoneticPr fontId="4"/>
  </si>
  <si>
    <t>株式会社 万代設計</t>
    <phoneticPr fontId="4"/>
  </si>
  <si>
    <t>株式会社 共栄企画設計</t>
    <phoneticPr fontId="4"/>
  </si>
  <si>
    <t>バロー浜松有玉店(B棟)</t>
    <rPh sb="10" eb="11">
      <t>トウ</t>
    </rPh>
    <phoneticPr fontId="4"/>
  </si>
  <si>
    <t>万治モータース（工場）</t>
    <rPh sb="8" eb="10">
      <t>コウジョウ</t>
    </rPh>
    <phoneticPr fontId="4"/>
  </si>
  <si>
    <t>万治モータース（ｼｮｰﾙｰﾑ）</t>
    <rPh sb="0" eb="1">
      <t>マン</t>
    </rPh>
    <rPh sb="1" eb="2">
      <t>ジ</t>
    </rPh>
    <phoneticPr fontId="4"/>
  </si>
  <si>
    <t>株式会社 優成建設</t>
    <phoneticPr fontId="4"/>
  </si>
  <si>
    <t>有限会社 藤井建築設計</t>
    <phoneticPr fontId="4"/>
  </si>
  <si>
    <t>大和リース 株式会社</t>
    <phoneticPr fontId="4"/>
  </si>
  <si>
    <t>ヤマザワ杜のまち店</t>
    <rPh sb="4" eb="5">
      <t>モリ</t>
    </rPh>
    <rPh sb="8" eb="9">
      <t>テン</t>
    </rPh>
    <phoneticPr fontId="4"/>
  </si>
  <si>
    <t>岡山県</t>
    <phoneticPr fontId="4"/>
  </si>
  <si>
    <t>滋賀県</t>
    <phoneticPr fontId="4"/>
  </si>
  <si>
    <t>富山県</t>
    <rPh sb="0" eb="3">
      <t>トヤマケン</t>
    </rPh>
    <phoneticPr fontId="4"/>
  </si>
  <si>
    <t>延床面積
[㎡]</t>
    <rPh sb="0" eb="1">
      <t>ノ</t>
    </rPh>
    <rPh sb="1" eb="2">
      <t>ユカ</t>
    </rPh>
    <rPh sb="2" eb="4">
      <t>メンセキ</t>
    </rPh>
    <phoneticPr fontId="4"/>
  </si>
  <si>
    <t>建築面積
[㎡]</t>
    <rPh sb="0" eb="2">
      <t>ケンチク</t>
    </rPh>
    <rPh sb="2" eb="4">
      <t>メンセキ</t>
    </rPh>
    <phoneticPr fontId="4"/>
  </si>
  <si>
    <t>株式会社 新建築設計事務所</t>
    <rPh sb="0" eb="2">
      <t>カブシキ</t>
    </rPh>
    <rPh sb="2" eb="4">
      <t>カイシャ</t>
    </rPh>
    <rPh sb="5" eb="6">
      <t>シン</t>
    </rPh>
    <rPh sb="6" eb="8">
      <t>ケンチク</t>
    </rPh>
    <rPh sb="8" eb="10">
      <t>セッケイ</t>
    </rPh>
    <rPh sb="10" eb="12">
      <t>ジム</t>
    </rPh>
    <rPh sb="12" eb="13">
      <t>ショ</t>
    </rPh>
    <phoneticPr fontId="4"/>
  </si>
  <si>
    <t>マツダエース 株式会社</t>
    <rPh sb="7" eb="9">
      <t>カブシキ</t>
    </rPh>
    <rPh sb="9" eb="11">
      <t>カイシャ</t>
    </rPh>
    <phoneticPr fontId="4"/>
  </si>
  <si>
    <t>-</t>
    <phoneticPr fontId="4"/>
  </si>
  <si>
    <t>株式会社 Fujitaka</t>
    <rPh sb="0" eb="2">
      <t>カブシキ</t>
    </rPh>
    <rPh sb="2" eb="4">
      <t>カイシャ</t>
    </rPh>
    <phoneticPr fontId="4"/>
  </si>
  <si>
    <t>株式会社 アークリエイト</t>
    <rPh sb="0" eb="2">
      <t>カブシキ</t>
    </rPh>
    <rPh sb="2" eb="4">
      <t>カイシャ</t>
    </rPh>
    <phoneticPr fontId="4"/>
  </si>
  <si>
    <t>2F建</t>
    <phoneticPr fontId="4"/>
  </si>
  <si>
    <t>京都府</t>
    <phoneticPr fontId="4"/>
  </si>
  <si>
    <t>財団法人 三重県建設技術センター</t>
    <phoneticPr fontId="4"/>
  </si>
  <si>
    <t>3</t>
    <phoneticPr fontId="4"/>
  </si>
  <si>
    <t>1-2</t>
    <phoneticPr fontId="4"/>
  </si>
  <si>
    <t>株式会社 イチケン</t>
    <rPh sb="0" eb="2">
      <t>カブシキ</t>
    </rPh>
    <rPh sb="2" eb="4">
      <t>カイシャ</t>
    </rPh>
    <phoneticPr fontId="4"/>
  </si>
  <si>
    <t>有限会社 中部設計</t>
    <phoneticPr fontId="4"/>
  </si>
  <si>
    <t>-</t>
    <phoneticPr fontId="4"/>
  </si>
  <si>
    <t>鉄骨重量は、2Fを示す。</t>
    <rPh sb="0" eb="2">
      <t>テッコツ</t>
    </rPh>
    <rPh sb="2" eb="4">
      <t>ジュウリョウ</t>
    </rPh>
    <rPh sb="9" eb="10">
      <t>シメ</t>
    </rPh>
    <phoneticPr fontId="4"/>
  </si>
  <si>
    <t>株式会社 アール</t>
    <rPh sb="0" eb="2">
      <t>カブシキ</t>
    </rPh>
    <rPh sb="2" eb="4">
      <t>カイシャ</t>
    </rPh>
    <phoneticPr fontId="4"/>
  </si>
  <si>
    <t>京滋マツダ大津 A棟</t>
    <rPh sb="9" eb="10">
      <t>トウ</t>
    </rPh>
    <phoneticPr fontId="4"/>
  </si>
  <si>
    <t>鉄骨重量は、RFを示す。</t>
    <rPh sb="0" eb="2">
      <t>テッコツ</t>
    </rPh>
    <rPh sb="2" eb="4">
      <t>ジュウリョウ</t>
    </rPh>
    <rPh sb="9" eb="10">
      <t>シメ</t>
    </rPh>
    <phoneticPr fontId="4"/>
  </si>
  <si>
    <t>3</t>
    <phoneticPr fontId="4"/>
  </si>
  <si>
    <t>鈴与建設 株式会社</t>
    <rPh sb="0" eb="2">
      <t>スズヨ</t>
    </rPh>
    <rPh sb="2" eb="4">
      <t>ケンセツ</t>
    </rPh>
    <rPh sb="5" eb="7">
      <t>カブシキ</t>
    </rPh>
    <rPh sb="7" eb="9">
      <t>カイシャ</t>
    </rPh>
    <phoneticPr fontId="4"/>
  </si>
  <si>
    <t>財団法人 宮城県建築住宅センター</t>
    <phoneticPr fontId="4"/>
  </si>
  <si>
    <t>建築事務所レスパス</t>
    <phoneticPr fontId="4"/>
  </si>
  <si>
    <t>山田構造設計</t>
    <rPh sb="0" eb="2">
      <t>ヤマダ</t>
    </rPh>
    <rPh sb="2" eb="4">
      <t>コウゾウ</t>
    </rPh>
    <rPh sb="4" eb="6">
      <t>セッケイ</t>
    </rPh>
    <phoneticPr fontId="4"/>
  </si>
  <si>
    <t>株式会社 新建築</t>
    <rPh sb="0" eb="2">
      <t>カブシキ</t>
    </rPh>
    <rPh sb="2" eb="4">
      <t>カイシャ</t>
    </rPh>
    <rPh sb="5" eb="6">
      <t>シン</t>
    </rPh>
    <rPh sb="6" eb="8">
      <t>ケンチク</t>
    </rPh>
    <phoneticPr fontId="4"/>
  </si>
  <si>
    <t>株式会社 姫野組</t>
    <rPh sb="0" eb="2">
      <t>カブシキ</t>
    </rPh>
    <rPh sb="2" eb="4">
      <t>カイシャ</t>
    </rPh>
    <rPh sb="5" eb="6">
      <t>ヒメ</t>
    </rPh>
    <rPh sb="6" eb="7">
      <t>ノ</t>
    </rPh>
    <rPh sb="7" eb="8">
      <t>クミ</t>
    </rPh>
    <phoneticPr fontId="4"/>
  </si>
  <si>
    <t>1-2</t>
    <phoneticPr fontId="4"/>
  </si>
  <si>
    <t>株式会社 国際確認検査センター</t>
    <phoneticPr fontId="4"/>
  </si>
  <si>
    <t>株式会社 西塚構造事務所</t>
    <rPh sb="0" eb="2">
      <t>カブシキ</t>
    </rPh>
    <rPh sb="2" eb="4">
      <t>カイシャ</t>
    </rPh>
    <rPh sb="5" eb="7">
      <t>ニシヅカ</t>
    </rPh>
    <rPh sb="7" eb="9">
      <t>コウゾウ</t>
    </rPh>
    <rPh sb="9" eb="11">
      <t>ジム</t>
    </rPh>
    <rPh sb="11" eb="12">
      <t>ショ</t>
    </rPh>
    <phoneticPr fontId="4"/>
  </si>
  <si>
    <t>日本建設 株式会社</t>
    <rPh sb="0" eb="2">
      <t>ニホン</t>
    </rPh>
    <rPh sb="2" eb="4">
      <t>ケンセツ</t>
    </rPh>
    <rPh sb="5" eb="7">
      <t>カブシキ</t>
    </rPh>
    <rPh sb="7" eb="9">
      <t>カイシャ</t>
    </rPh>
    <phoneticPr fontId="4"/>
  </si>
  <si>
    <t>株式会社 シグマ構建</t>
    <rPh sb="0" eb="2">
      <t>カブシキ</t>
    </rPh>
    <rPh sb="2" eb="4">
      <t>カイシャ</t>
    </rPh>
    <rPh sb="8" eb="9">
      <t>コウ</t>
    </rPh>
    <rPh sb="9" eb="10">
      <t>ケン</t>
    </rPh>
    <phoneticPr fontId="4"/>
  </si>
  <si>
    <t>株式会社 あい設計</t>
    <rPh sb="0" eb="2">
      <t>カブシキ</t>
    </rPh>
    <rPh sb="2" eb="4">
      <t>カイシャ</t>
    </rPh>
    <phoneticPr fontId="4"/>
  </si>
  <si>
    <t>株式会社 中部都市建築設計事務所</t>
    <rPh sb="0" eb="2">
      <t>カブシキ</t>
    </rPh>
    <rPh sb="2" eb="4">
      <t>カイシャ</t>
    </rPh>
    <rPh sb="5" eb="7">
      <t>チュウブ</t>
    </rPh>
    <rPh sb="7" eb="9">
      <t>トシ</t>
    </rPh>
    <rPh sb="9" eb="11">
      <t>ケンチク</t>
    </rPh>
    <rPh sb="11" eb="13">
      <t>セッケイ</t>
    </rPh>
    <rPh sb="13" eb="15">
      <t>ジム</t>
    </rPh>
    <rPh sb="15" eb="16">
      <t>ショ</t>
    </rPh>
    <phoneticPr fontId="4"/>
  </si>
  <si>
    <t>カンパニー・ハウジング山忠一級建築士事務所</t>
    <phoneticPr fontId="4"/>
  </si>
  <si>
    <t>船津設計</t>
    <phoneticPr fontId="4"/>
  </si>
  <si>
    <t>佐藤構造設計</t>
    <phoneticPr fontId="4"/>
  </si>
  <si>
    <t>-</t>
    <phoneticPr fontId="4"/>
  </si>
  <si>
    <t>2</t>
    <phoneticPr fontId="4"/>
  </si>
  <si>
    <t>-</t>
    <phoneticPr fontId="4"/>
  </si>
  <si>
    <t>2</t>
    <phoneticPr fontId="4"/>
  </si>
  <si>
    <t>財団法人 三重県建設技術センター</t>
    <phoneticPr fontId="4"/>
  </si>
  <si>
    <t>-</t>
    <phoneticPr fontId="4"/>
  </si>
  <si>
    <t>1-2</t>
    <phoneticPr fontId="4"/>
  </si>
  <si>
    <t>3</t>
    <phoneticPr fontId="4"/>
  </si>
  <si>
    <t>株式会社 伊藤建築設計事務所</t>
    <rPh sb="0" eb="2">
      <t>カブシキ</t>
    </rPh>
    <rPh sb="2" eb="4">
      <t>カイシャ</t>
    </rPh>
    <rPh sb="5" eb="7">
      <t>イトウ</t>
    </rPh>
    <rPh sb="7" eb="9">
      <t>ケンチク</t>
    </rPh>
    <rPh sb="9" eb="11">
      <t>セッケイ</t>
    </rPh>
    <rPh sb="11" eb="13">
      <t>ジム</t>
    </rPh>
    <rPh sb="13" eb="14">
      <t>ショ</t>
    </rPh>
    <phoneticPr fontId="4"/>
  </si>
  <si>
    <t>村本建設 株式会社</t>
    <rPh sb="0" eb="2">
      <t>ムラモト</t>
    </rPh>
    <rPh sb="2" eb="4">
      <t>ケンセツ</t>
    </rPh>
    <rPh sb="5" eb="7">
      <t>カブシキ</t>
    </rPh>
    <rPh sb="7" eb="9">
      <t>カイシャ</t>
    </rPh>
    <phoneticPr fontId="4"/>
  </si>
  <si>
    <t>有限会社 建築工房</t>
    <rPh sb="0" eb="2">
      <t>ユウゲン</t>
    </rPh>
    <rPh sb="2" eb="4">
      <t>カイシャ</t>
    </rPh>
    <rPh sb="5" eb="7">
      <t>ケンチク</t>
    </rPh>
    <rPh sb="7" eb="9">
      <t>コウボウ</t>
    </rPh>
    <phoneticPr fontId="4"/>
  </si>
  <si>
    <t>塩野建築設計事務所</t>
    <phoneticPr fontId="4"/>
  </si>
  <si>
    <t>有限会社 岡山技術センター</t>
    <rPh sb="5" eb="7">
      <t>オカヤマ</t>
    </rPh>
    <rPh sb="7" eb="9">
      <t>ギジュツ</t>
    </rPh>
    <phoneticPr fontId="4"/>
  </si>
  <si>
    <t>用途</t>
    <rPh sb="0" eb="2">
      <t>ヨウト</t>
    </rPh>
    <phoneticPr fontId="4"/>
  </si>
  <si>
    <t>兵庫県</t>
    <phoneticPr fontId="4"/>
  </si>
  <si>
    <t>株式会社 創エンジニアリング</t>
    <rPh sb="0" eb="2">
      <t>カブシキ</t>
    </rPh>
    <rPh sb="2" eb="4">
      <t>カイシャ</t>
    </rPh>
    <rPh sb="5" eb="6">
      <t>ツク</t>
    </rPh>
    <phoneticPr fontId="4"/>
  </si>
  <si>
    <t>株式会社 カザケン</t>
    <rPh sb="0" eb="2">
      <t>カブシキ</t>
    </rPh>
    <rPh sb="2" eb="4">
      <t>カイシャ</t>
    </rPh>
    <phoneticPr fontId="4"/>
  </si>
  <si>
    <t>3</t>
    <phoneticPr fontId="4"/>
  </si>
  <si>
    <t>-</t>
    <phoneticPr fontId="4"/>
  </si>
  <si>
    <t>3</t>
    <phoneticPr fontId="4"/>
  </si>
  <si>
    <t>-</t>
    <phoneticPr fontId="4"/>
  </si>
  <si>
    <t>株式会社 都設計企画</t>
    <rPh sb="0" eb="2">
      <t>カブシキ</t>
    </rPh>
    <rPh sb="2" eb="4">
      <t>カイシャ</t>
    </rPh>
    <rPh sb="5" eb="6">
      <t>ミヤコ</t>
    </rPh>
    <rPh sb="6" eb="8">
      <t>セッケイ</t>
    </rPh>
    <rPh sb="8" eb="10">
      <t>キカク</t>
    </rPh>
    <phoneticPr fontId="4"/>
  </si>
  <si>
    <t>1</t>
    <phoneticPr fontId="4"/>
  </si>
  <si>
    <t>有限会社 新田建築工学研究所</t>
    <rPh sb="0" eb="2">
      <t>ユウゲン</t>
    </rPh>
    <rPh sb="2" eb="4">
      <t>カイシャ</t>
    </rPh>
    <phoneticPr fontId="4"/>
  </si>
  <si>
    <t>3</t>
    <phoneticPr fontId="4"/>
  </si>
  <si>
    <t>T-BAGS</t>
    <phoneticPr fontId="4"/>
  </si>
  <si>
    <t>株式会社 幹建築設計事務所</t>
    <phoneticPr fontId="4"/>
  </si>
  <si>
    <t>ハイブリッド</t>
    <phoneticPr fontId="4"/>
  </si>
  <si>
    <t>株式会社 塩見</t>
    <rPh sb="0" eb="2">
      <t>カブシキ</t>
    </rPh>
    <rPh sb="2" eb="4">
      <t>カイシャ</t>
    </rPh>
    <rPh sb="5" eb="7">
      <t>シオミ</t>
    </rPh>
    <phoneticPr fontId="4"/>
  </si>
  <si>
    <t>株式会社 共立建築設計事務所</t>
    <phoneticPr fontId="4"/>
  </si>
  <si>
    <t>ホンダ建築設計事務所</t>
    <rPh sb="3" eb="5">
      <t>ケンチク</t>
    </rPh>
    <rPh sb="5" eb="7">
      <t>セッケイ</t>
    </rPh>
    <rPh sb="7" eb="9">
      <t>ジム</t>
    </rPh>
    <rPh sb="9" eb="10">
      <t>ショ</t>
    </rPh>
    <phoneticPr fontId="4"/>
  </si>
  <si>
    <t>株式会社 カメイ建築工房</t>
    <rPh sb="0" eb="2">
      <t>カブシキ</t>
    </rPh>
    <rPh sb="2" eb="4">
      <t>カイシャ</t>
    </rPh>
    <rPh sb="8" eb="10">
      <t>ケンチク</t>
    </rPh>
    <rPh sb="10" eb="12">
      <t>コウボウ</t>
    </rPh>
    <phoneticPr fontId="4"/>
  </si>
  <si>
    <t>株式会社 エル建築設計事務所</t>
    <rPh sb="0" eb="2">
      <t>カブシキ</t>
    </rPh>
    <rPh sb="2" eb="4">
      <t>カイシャ</t>
    </rPh>
    <rPh sb="7" eb="9">
      <t>ケンチク</t>
    </rPh>
    <rPh sb="9" eb="11">
      <t>セッケイ</t>
    </rPh>
    <rPh sb="11" eb="13">
      <t>ジム</t>
    </rPh>
    <rPh sb="13" eb="14">
      <t>ショ</t>
    </rPh>
    <phoneticPr fontId="4"/>
  </si>
  <si>
    <t>2</t>
    <phoneticPr fontId="4"/>
  </si>
  <si>
    <t>株式会社 エストルクトゥーラ</t>
    <rPh sb="0" eb="2">
      <t>カブシキ</t>
    </rPh>
    <rPh sb="2" eb="4">
      <t>カイシャ</t>
    </rPh>
    <phoneticPr fontId="4"/>
  </si>
  <si>
    <t>河津建設 株式会社</t>
    <rPh sb="0" eb="2">
      <t>カワツ</t>
    </rPh>
    <rPh sb="2" eb="4">
      <t>ケンセツ</t>
    </rPh>
    <rPh sb="5" eb="7">
      <t>カブシキ</t>
    </rPh>
    <rPh sb="7" eb="9">
      <t>カイシャ</t>
    </rPh>
    <phoneticPr fontId="4"/>
  </si>
  <si>
    <t>志村設計一級建築士事務所</t>
    <rPh sb="0" eb="2">
      <t>シムラ</t>
    </rPh>
    <rPh sb="2" eb="4">
      <t>セッケイ</t>
    </rPh>
    <rPh sb="4" eb="6">
      <t>イッキュウ</t>
    </rPh>
    <rPh sb="6" eb="8">
      <t>ケンチク</t>
    </rPh>
    <rPh sb="8" eb="9">
      <t>シ</t>
    </rPh>
    <rPh sb="9" eb="11">
      <t>ジム</t>
    </rPh>
    <rPh sb="11" eb="12">
      <t>ショ</t>
    </rPh>
    <phoneticPr fontId="4"/>
  </si>
  <si>
    <t>スミノ総合設計</t>
    <rPh sb="3" eb="5">
      <t>ソウゴウ</t>
    </rPh>
    <rPh sb="5" eb="7">
      <t>セッケイ</t>
    </rPh>
    <phoneticPr fontId="4"/>
  </si>
  <si>
    <t>北斗工業エンヂニアリング株式会社</t>
    <rPh sb="0" eb="2">
      <t>ホクト</t>
    </rPh>
    <rPh sb="2" eb="4">
      <t>コウギョウ</t>
    </rPh>
    <rPh sb="12" eb="14">
      <t>カブシキ</t>
    </rPh>
    <rPh sb="14" eb="16">
      <t>カイシャ</t>
    </rPh>
    <phoneticPr fontId="4"/>
  </si>
  <si>
    <t>株式会社 松田平田設計</t>
    <rPh sb="0" eb="2">
      <t>カブシキ</t>
    </rPh>
    <rPh sb="2" eb="4">
      <t>カイシャ</t>
    </rPh>
    <rPh sb="5" eb="7">
      <t>マツダ</t>
    </rPh>
    <rPh sb="7" eb="9">
      <t>ヒラタ</t>
    </rPh>
    <rPh sb="9" eb="11">
      <t>セッケイ</t>
    </rPh>
    <phoneticPr fontId="4"/>
  </si>
  <si>
    <t>-</t>
    <phoneticPr fontId="4"/>
  </si>
  <si>
    <t>3</t>
    <phoneticPr fontId="4"/>
  </si>
  <si>
    <t>有限会社 稲垣建築設計室</t>
    <phoneticPr fontId="4"/>
  </si>
  <si>
    <t>1</t>
    <phoneticPr fontId="4"/>
  </si>
  <si>
    <t>コープ大野辻</t>
    <phoneticPr fontId="4"/>
  </si>
  <si>
    <t>3</t>
    <phoneticPr fontId="4"/>
  </si>
  <si>
    <t>岡本設計室</t>
    <rPh sb="0" eb="2">
      <t>オカモト</t>
    </rPh>
    <rPh sb="2" eb="4">
      <t>セッケイ</t>
    </rPh>
    <rPh sb="4" eb="5">
      <t>シツ</t>
    </rPh>
    <phoneticPr fontId="4"/>
  </si>
  <si>
    <t>生川建設 一級建築士事務所</t>
    <phoneticPr fontId="4"/>
  </si>
  <si>
    <t>株式会社 西井都市建築設計事務所</t>
    <rPh sb="0" eb="2">
      <t>カブシキ</t>
    </rPh>
    <rPh sb="2" eb="4">
      <t>カイシャ</t>
    </rPh>
    <rPh sb="5" eb="7">
      <t>ニシイ</t>
    </rPh>
    <rPh sb="7" eb="9">
      <t>トシ</t>
    </rPh>
    <rPh sb="9" eb="11">
      <t>ケンチク</t>
    </rPh>
    <rPh sb="11" eb="13">
      <t>セッケイ</t>
    </rPh>
    <rPh sb="13" eb="15">
      <t>ジム</t>
    </rPh>
    <rPh sb="15" eb="16">
      <t>ショ</t>
    </rPh>
    <phoneticPr fontId="4"/>
  </si>
  <si>
    <t>正光建設 株式会社</t>
    <rPh sb="0" eb="2">
      <t>マサミツ</t>
    </rPh>
    <rPh sb="2" eb="4">
      <t>ケンセツ</t>
    </rPh>
    <rPh sb="5" eb="7">
      <t>カブシキ</t>
    </rPh>
    <rPh sb="7" eb="9">
      <t>カイシャ</t>
    </rPh>
    <phoneticPr fontId="4"/>
  </si>
  <si>
    <t>西濃建設 株式会社</t>
    <rPh sb="0" eb="2">
      <t>セイノウ</t>
    </rPh>
    <rPh sb="2" eb="4">
      <t>ケンセツ</t>
    </rPh>
    <rPh sb="5" eb="7">
      <t>カブシキ</t>
    </rPh>
    <rPh sb="7" eb="9">
      <t>カイシャ</t>
    </rPh>
    <phoneticPr fontId="4"/>
  </si>
  <si>
    <t>2</t>
    <phoneticPr fontId="4"/>
  </si>
  <si>
    <t>株式会社 ネオテック・プランナー</t>
    <rPh sb="0" eb="2">
      <t>カブシキ</t>
    </rPh>
    <rPh sb="2" eb="4">
      <t>カイシャ</t>
    </rPh>
    <phoneticPr fontId="4"/>
  </si>
  <si>
    <t>株式会社 交建設計</t>
    <rPh sb="0" eb="2">
      <t>カブシキ</t>
    </rPh>
    <rPh sb="2" eb="4">
      <t>カイシャ</t>
    </rPh>
    <rPh sb="5" eb="6">
      <t>コウ</t>
    </rPh>
    <rPh sb="6" eb="7">
      <t>ケン</t>
    </rPh>
    <rPh sb="7" eb="9">
      <t>セッケイ</t>
    </rPh>
    <phoneticPr fontId="4"/>
  </si>
  <si>
    <t>市川市田尻商業施設計画</t>
    <phoneticPr fontId="4"/>
  </si>
  <si>
    <t>山田章人建築設計事務所</t>
    <phoneticPr fontId="4"/>
  </si>
  <si>
    <t>株式会社 飯島建築設計事務所</t>
    <rPh sb="0" eb="2">
      <t>カブシキ</t>
    </rPh>
    <rPh sb="2" eb="4">
      <t>カイシャ</t>
    </rPh>
    <rPh sb="5" eb="7">
      <t>イイジマ</t>
    </rPh>
    <rPh sb="7" eb="9">
      <t>ケンチク</t>
    </rPh>
    <rPh sb="9" eb="11">
      <t>セッケイ</t>
    </rPh>
    <rPh sb="11" eb="13">
      <t>ジム</t>
    </rPh>
    <rPh sb="13" eb="14">
      <t>ショ</t>
    </rPh>
    <phoneticPr fontId="4"/>
  </si>
  <si>
    <t>株式会社 ネクスコ東日本エリアサポート</t>
    <phoneticPr fontId="4"/>
  </si>
  <si>
    <t>株式会社 市村建築設計事務所</t>
    <rPh sb="0" eb="2">
      <t>カブシキ</t>
    </rPh>
    <rPh sb="2" eb="4">
      <t>カイシャ</t>
    </rPh>
    <rPh sb="5" eb="7">
      <t>イチムラ</t>
    </rPh>
    <rPh sb="7" eb="9">
      <t>ケンチク</t>
    </rPh>
    <rPh sb="9" eb="11">
      <t>セッケイ</t>
    </rPh>
    <rPh sb="11" eb="13">
      <t>ジム</t>
    </rPh>
    <rPh sb="13" eb="14">
      <t>ショ</t>
    </rPh>
    <phoneticPr fontId="4"/>
  </si>
  <si>
    <t>-</t>
    <phoneticPr fontId="4"/>
  </si>
  <si>
    <t>株式会社 五箇設計事務所</t>
    <phoneticPr fontId="4"/>
  </si>
  <si>
    <t>京都府</t>
    <phoneticPr fontId="4"/>
  </si>
  <si>
    <t>俊徳道駅高架下店舗開発</t>
    <phoneticPr fontId="4"/>
  </si>
  <si>
    <t>ウェルサイト工法</t>
    <rPh sb="6" eb="8">
      <t>コウホウ</t>
    </rPh>
    <phoneticPr fontId="4"/>
  </si>
  <si>
    <t>-</t>
    <phoneticPr fontId="4"/>
  </si>
  <si>
    <t>3</t>
    <phoneticPr fontId="4"/>
  </si>
  <si>
    <t>綿半鋼機 株式会社</t>
    <phoneticPr fontId="4"/>
  </si>
  <si>
    <t>-</t>
    <phoneticPr fontId="4"/>
  </si>
  <si>
    <t>神稲建設 株式会社</t>
    <phoneticPr fontId="4"/>
  </si>
  <si>
    <t>ハローズ高松春日 ﾃﾅﾝﾄ2棟</t>
    <rPh sb="14" eb="15">
      <t>トウ</t>
    </rPh>
    <phoneticPr fontId="4"/>
  </si>
  <si>
    <t>共立建設 株式会社</t>
    <phoneticPr fontId="4"/>
  </si>
  <si>
    <t>3</t>
    <phoneticPr fontId="4"/>
  </si>
  <si>
    <t>株式会社 住金システム建築</t>
    <rPh sb="0" eb="2">
      <t>カブシキ</t>
    </rPh>
    <rPh sb="2" eb="4">
      <t>カイシャ</t>
    </rPh>
    <rPh sb="5" eb="6">
      <t>スミ</t>
    </rPh>
    <rPh sb="6" eb="7">
      <t>キン</t>
    </rPh>
    <rPh sb="11" eb="13">
      <t>ケンチク</t>
    </rPh>
    <phoneticPr fontId="4"/>
  </si>
  <si>
    <t>株式会社 新田一級建築設計事務所</t>
    <rPh sb="0" eb="2">
      <t>カブシキ</t>
    </rPh>
    <rPh sb="2" eb="4">
      <t>カイシャ</t>
    </rPh>
    <rPh sb="5" eb="7">
      <t>ニッタ</t>
    </rPh>
    <rPh sb="7" eb="9">
      <t>イッキュウ</t>
    </rPh>
    <rPh sb="9" eb="11">
      <t>ケンチク</t>
    </rPh>
    <rPh sb="11" eb="13">
      <t>セッケイ</t>
    </rPh>
    <rPh sb="13" eb="15">
      <t>ジム</t>
    </rPh>
    <rPh sb="15" eb="16">
      <t>ショ</t>
    </rPh>
    <phoneticPr fontId="4"/>
  </si>
  <si>
    <t>渡辺恒雄建築設計事務所</t>
    <phoneticPr fontId="4"/>
  </si>
  <si>
    <t>水越建築設計事務所</t>
    <rPh sb="0" eb="2">
      <t>ミズコシ</t>
    </rPh>
    <rPh sb="2" eb="4">
      <t>ケンチク</t>
    </rPh>
    <rPh sb="4" eb="6">
      <t>セッケイ</t>
    </rPh>
    <rPh sb="6" eb="8">
      <t>ジム</t>
    </rPh>
    <rPh sb="8" eb="9">
      <t>ショ</t>
    </rPh>
    <phoneticPr fontId="4"/>
  </si>
  <si>
    <t>山田デザイン</t>
    <rPh sb="0" eb="2">
      <t>ヤマダ</t>
    </rPh>
    <phoneticPr fontId="4"/>
  </si>
  <si>
    <t>株式会社 井出組</t>
    <rPh sb="0" eb="2">
      <t>カブシキ</t>
    </rPh>
    <rPh sb="2" eb="4">
      <t>カイシャ</t>
    </rPh>
    <rPh sb="5" eb="7">
      <t>イデ</t>
    </rPh>
    <rPh sb="7" eb="8">
      <t>クミ</t>
    </rPh>
    <phoneticPr fontId="4"/>
  </si>
  <si>
    <t>㈱信ナカ　ビーエスセンター資材置場</t>
    <phoneticPr fontId="4"/>
  </si>
  <si>
    <t>-</t>
    <phoneticPr fontId="4"/>
  </si>
  <si>
    <t>株式会社 湯本工務店</t>
    <rPh sb="0" eb="2">
      <t>カブシキ</t>
    </rPh>
    <rPh sb="2" eb="4">
      <t>カイシャ</t>
    </rPh>
    <rPh sb="5" eb="7">
      <t>ユモト</t>
    </rPh>
    <rPh sb="7" eb="10">
      <t>コウムテン</t>
    </rPh>
    <phoneticPr fontId="4"/>
  </si>
  <si>
    <t>有限会社 ワカマツ構造設計</t>
    <phoneticPr fontId="4"/>
  </si>
  <si>
    <t>庄交SC・A棟</t>
    <rPh sb="0" eb="2">
      <t>ショウコウ</t>
    </rPh>
    <rPh sb="6" eb="7">
      <t>トウ</t>
    </rPh>
    <phoneticPr fontId="4"/>
  </si>
  <si>
    <t>大高建設 株式会社</t>
    <rPh sb="0" eb="2">
      <t>オオタカ</t>
    </rPh>
    <rPh sb="2" eb="4">
      <t>ケンセツ</t>
    </rPh>
    <rPh sb="5" eb="7">
      <t>カブシキ</t>
    </rPh>
    <rPh sb="7" eb="9">
      <t>カイシャ</t>
    </rPh>
    <phoneticPr fontId="4"/>
  </si>
  <si>
    <t>有限会社 橘高設計</t>
    <rPh sb="0" eb="2">
      <t>ユウゲン</t>
    </rPh>
    <rPh sb="2" eb="4">
      <t>カイシャ</t>
    </rPh>
    <rPh sb="5" eb="7">
      <t>キッタカ</t>
    </rPh>
    <rPh sb="7" eb="9">
      <t>セッケイ</t>
    </rPh>
    <phoneticPr fontId="4"/>
  </si>
  <si>
    <t>-</t>
    <phoneticPr fontId="4"/>
  </si>
  <si>
    <t>物件名</t>
    <phoneticPr fontId="4"/>
  </si>
  <si>
    <t>西日本旅客鉄道 株式会社</t>
    <rPh sb="8" eb="10">
      <t>カブシキ</t>
    </rPh>
    <rPh sb="10" eb="12">
      <t>カイシャ</t>
    </rPh>
    <phoneticPr fontId="4"/>
  </si>
  <si>
    <t>-</t>
    <phoneticPr fontId="4"/>
  </si>
  <si>
    <t>カミタケモータース(店舗棟)</t>
    <rPh sb="10" eb="12">
      <t>テンポ</t>
    </rPh>
    <rPh sb="12" eb="13">
      <t>トウ</t>
    </rPh>
    <phoneticPr fontId="4"/>
  </si>
  <si>
    <t>カミタケモータース(工場棟)</t>
    <rPh sb="10" eb="12">
      <t>コウジョウ</t>
    </rPh>
    <rPh sb="12" eb="13">
      <t>トウ</t>
    </rPh>
    <phoneticPr fontId="4"/>
  </si>
  <si>
    <t>油上隆三建築工房</t>
  </si>
  <si>
    <t>1-2</t>
  </si>
  <si>
    <t>3</t>
  </si>
  <si>
    <t>株式会社 上野山都市設計</t>
  </si>
  <si>
    <t>有限会社 中部設計</t>
  </si>
  <si>
    <t>株式会社 デム建築事務所</t>
    <rPh sb="0" eb="2">
      <t>カブシキ</t>
    </rPh>
    <rPh sb="2" eb="4">
      <t>カイシャ</t>
    </rPh>
    <rPh sb="7" eb="9">
      <t>ケンチク</t>
    </rPh>
    <rPh sb="9" eb="11">
      <t>ジム</t>
    </rPh>
    <rPh sb="11" eb="12">
      <t>ショ</t>
    </rPh>
    <phoneticPr fontId="4"/>
  </si>
  <si>
    <t>株式会社 伸構造事務所</t>
  </si>
  <si>
    <t>有限会社 中嶋構造設計</t>
  </si>
  <si>
    <t>1</t>
  </si>
  <si>
    <t>土屋建設一級建築士事務所</t>
    <rPh sb="0" eb="1">
      <t>ツチ</t>
    </rPh>
    <rPh sb="1" eb="2">
      <t>ヤ</t>
    </rPh>
    <rPh sb="2" eb="4">
      <t>ケンセツ</t>
    </rPh>
    <rPh sb="4" eb="6">
      <t>イッキュウ</t>
    </rPh>
    <rPh sb="6" eb="9">
      <t>ケンチクシ</t>
    </rPh>
    <rPh sb="9" eb="11">
      <t>ジム</t>
    </rPh>
    <rPh sb="11" eb="12">
      <t>ショ</t>
    </rPh>
    <phoneticPr fontId="4"/>
  </si>
  <si>
    <t>綿半鋼機 株式会社</t>
  </si>
  <si>
    <t>○</t>
    <phoneticPr fontId="4"/>
  </si>
  <si>
    <t>安藤建設 株式会社</t>
    <phoneticPr fontId="4"/>
  </si>
  <si>
    <t>TNF+</t>
    <phoneticPr fontId="4"/>
  </si>
  <si>
    <t>-</t>
    <phoneticPr fontId="4"/>
  </si>
  <si>
    <t>株式会社 建築構造センター（愛媛）</t>
    <rPh sb="14" eb="16">
      <t>エヒメ</t>
    </rPh>
    <phoneticPr fontId="4"/>
  </si>
  <si>
    <t>新鎌ヶ谷駅</t>
    <rPh sb="0" eb="1">
      <t>シン</t>
    </rPh>
    <rPh sb="1" eb="2">
      <t>カマ</t>
    </rPh>
    <rPh sb="3" eb="4">
      <t>タニ</t>
    </rPh>
    <rPh sb="4" eb="5">
      <t>エキ</t>
    </rPh>
    <phoneticPr fontId="4"/>
  </si>
  <si>
    <t>沼田建築構造事務所</t>
    <phoneticPr fontId="4"/>
  </si>
  <si>
    <t>株式会社 ZZAPデザイン</t>
    <rPh sb="0" eb="2">
      <t>カブシキ</t>
    </rPh>
    <rPh sb="2" eb="4">
      <t>カイシャ</t>
    </rPh>
    <phoneticPr fontId="4"/>
  </si>
  <si>
    <t>-</t>
    <phoneticPr fontId="4"/>
  </si>
  <si>
    <t>千葉県</t>
    <phoneticPr fontId="4"/>
  </si>
  <si>
    <t>割田設計事務所</t>
    <rPh sb="0" eb="2">
      <t>ワリタ</t>
    </rPh>
    <rPh sb="2" eb="4">
      <t>セッケイ</t>
    </rPh>
    <rPh sb="4" eb="6">
      <t>ジム</t>
    </rPh>
    <rPh sb="6" eb="7">
      <t>ショ</t>
    </rPh>
    <phoneticPr fontId="4"/>
  </si>
  <si>
    <t>3</t>
    <phoneticPr fontId="4"/>
  </si>
  <si>
    <t>株式会社 沢田工務店</t>
    <phoneticPr fontId="4"/>
  </si>
  <si>
    <t>株式会社 建築企画</t>
    <phoneticPr fontId="4"/>
  </si>
  <si>
    <t>株式会社 プランニングファクトリー蔵</t>
    <rPh sb="0" eb="2">
      <t>カブシキ</t>
    </rPh>
    <rPh sb="2" eb="4">
      <t>カイシャ</t>
    </rPh>
    <phoneticPr fontId="4"/>
  </si>
  <si>
    <t>有限会社 シー･アンド･シー事務所</t>
    <rPh sb="0" eb="2">
      <t>ユウゲン</t>
    </rPh>
    <rPh sb="2" eb="4">
      <t>カイシャ</t>
    </rPh>
    <phoneticPr fontId="4"/>
  </si>
  <si>
    <t>財団法人 愛知県建築住宅センター</t>
    <phoneticPr fontId="4"/>
  </si>
  <si>
    <t>越谷保育園 さくらの森</t>
    <rPh sb="0" eb="2">
      <t>コシガヤ</t>
    </rPh>
    <rPh sb="2" eb="5">
      <t>ホイクエン</t>
    </rPh>
    <rPh sb="10" eb="11">
      <t>モリ</t>
    </rPh>
    <phoneticPr fontId="4"/>
  </si>
  <si>
    <t>1-2</t>
    <phoneticPr fontId="4"/>
  </si>
  <si>
    <t>川端建築設計事務所</t>
    <phoneticPr fontId="4"/>
  </si>
  <si>
    <t>-</t>
    <phoneticPr fontId="4"/>
  </si>
  <si>
    <t>3</t>
    <phoneticPr fontId="4"/>
  </si>
  <si>
    <t>株式会社 横河システム建築</t>
    <phoneticPr fontId="4"/>
  </si>
  <si>
    <t>株式会社 シーク設計</t>
    <rPh sb="0" eb="2">
      <t>カブシキ</t>
    </rPh>
    <rPh sb="2" eb="4">
      <t>カイシャ</t>
    </rPh>
    <rPh sb="8" eb="10">
      <t>セッケイ</t>
    </rPh>
    <phoneticPr fontId="4"/>
  </si>
  <si>
    <t>-</t>
    <phoneticPr fontId="4"/>
  </si>
  <si>
    <t>株式会社 田中構造設計事務所</t>
    <rPh sb="0" eb="2">
      <t>カブシキ</t>
    </rPh>
    <rPh sb="2" eb="4">
      <t>カイシャ</t>
    </rPh>
    <rPh sb="5" eb="7">
      <t>タナカ</t>
    </rPh>
    <rPh sb="7" eb="9">
      <t>コウゾウ</t>
    </rPh>
    <rPh sb="9" eb="11">
      <t>セッケイ</t>
    </rPh>
    <rPh sb="11" eb="13">
      <t>ジム</t>
    </rPh>
    <rPh sb="13" eb="14">
      <t>ショ</t>
    </rPh>
    <phoneticPr fontId="4"/>
  </si>
  <si>
    <t>株式会社 丸川</t>
    <rPh sb="0" eb="2">
      <t>カブシキ</t>
    </rPh>
    <rPh sb="2" eb="4">
      <t>カイシャ</t>
    </rPh>
    <rPh sb="5" eb="7">
      <t>マルカワ</t>
    </rPh>
    <phoneticPr fontId="4"/>
  </si>
  <si>
    <t>新三平建設 株式会社</t>
    <rPh sb="0" eb="1">
      <t>シン</t>
    </rPh>
    <rPh sb="1" eb="3">
      <t>ミヒラ</t>
    </rPh>
    <rPh sb="3" eb="5">
      <t>ケンセツ</t>
    </rPh>
    <rPh sb="6" eb="10">
      <t>カブシキガイシャ</t>
    </rPh>
    <phoneticPr fontId="4"/>
  </si>
  <si>
    <t>3</t>
    <phoneticPr fontId="4"/>
  </si>
  <si>
    <t>-</t>
    <phoneticPr fontId="4"/>
  </si>
  <si>
    <t>株式会社 建築企画</t>
    <phoneticPr fontId="4"/>
  </si>
  <si>
    <t>1-2</t>
    <phoneticPr fontId="4"/>
  </si>
  <si>
    <t>河合建築設計事務所</t>
    <rPh sb="0" eb="2">
      <t>カワイ</t>
    </rPh>
    <rPh sb="2" eb="4">
      <t>ケンチク</t>
    </rPh>
    <rPh sb="4" eb="6">
      <t>セッケイ</t>
    </rPh>
    <rPh sb="6" eb="8">
      <t>ジム</t>
    </rPh>
    <rPh sb="8" eb="9">
      <t>ショ</t>
    </rPh>
    <phoneticPr fontId="4"/>
  </si>
  <si>
    <t>3</t>
    <phoneticPr fontId="4"/>
  </si>
  <si>
    <t>1</t>
    <phoneticPr fontId="4"/>
  </si>
  <si>
    <t>吉木建築設計事務所</t>
    <phoneticPr fontId="4"/>
  </si>
  <si>
    <t>旭ブロック建設 株式会社</t>
    <rPh sb="0" eb="1">
      <t>アサヒ</t>
    </rPh>
    <rPh sb="5" eb="7">
      <t>ケンセツ</t>
    </rPh>
    <rPh sb="8" eb="10">
      <t>カブシキ</t>
    </rPh>
    <rPh sb="10" eb="12">
      <t>カイシャ</t>
    </rPh>
    <phoneticPr fontId="4"/>
  </si>
  <si>
    <t>1-2</t>
    <phoneticPr fontId="4"/>
  </si>
  <si>
    <t>○</t>
    <phoneticPr fontId="4"/>
  </si>
  <si>
    <t>3</t>
    <phoneticPr fontId="4"/>
  </si>
  <si>
    <t>-</t>
    <phoneticPr fontId="4"/>
  </si>
  <si>
    <t>郷右近建築設計事務所</t>
    <phoneticPr fontId="4"/>
  </si>
  <si>
    <t>株式会社 構造プランニング</t>
    <rPh sb="0" eb="2">
      <t>カブシキ</t>
    </rPh>
    <rPh sb="2" eb="4">
      <t>カイシャ</t>
    </rPh>
    <rPh sb="5" eb="7">
      <t>コウゾウ</t>
    </rPh>
    <phoneticPr fontId="4"/>
  </si>
  <si>
    <t>有限会社 AI設計事務所</t>
    <rPh sb="0" eb="2">
      <t>ユウゲン</t>
    </rPh>
    <rPh sb="2" eb="4">
      <t>カイシャ</t>
    </rPh>
    <rPh sb="7" eb="9">
      <t>セッケイ</t>
    </rPh>
    <rPh sb="9" eb="11">
      <t>ジム</t>
    </rPh>
    <rPh sb="11" eb="12">
      <t>ショ</t>
    </rPh>
    <phoneticPr fontId="4"/>
  </si>
  <si>
    <t>株式会社 金山設計</t>
    <rPh sb="0" eb="2">
      <t>カブシキ</t>
    </rPh>
    <rPh sb="2" eb="4">
      <t>カイシャ</t>
    </rPh>
    <rPh sb="5" eb="7">
      <t>カナヤマ</t>
    </rPh>
    <rPh sb="7" eb="9">
      <t>セッケイ</t>
    </rPh>
    <phoneticPr fontId="4"/>
  </si>
  <si>
    <t>安藤建設 株式会社</t>
    <phoneticPr fontId="4"/>
  </si>
  <si>
    <t>株式会社 桂設計</t>
    <rPh sb="0" eb="2">
      <t>カブシキ</t>
    </rPh>
    <rPh sb="2" eb="4">
      <t>カイシャ</t>
    </rPh>
    <rPh sb="5" eb="6">
      <t>カツラ</t>
    </rPh>
    <rPh sb="6" eb="8">
      <t>セッケイ</t>
    </rPh>
    <phoneticPr fontId="4"/>
  </si>
  <si>
    <t>有限会社 牛腸設計事務所</t>
    <rPh sb="0" eb="2">
      <t>ユウゲン</t>
    </rPh>
    <rPh sb="2" eb="4">
      <t>カイシャ</t>
    </rPh>
    <phoneticPr fontId="4"/>
  </si>
  <si>
    <t>財団法人 富山県建築住宅センター</t>
    <rPh sb="5" eb="7">
      <t>トヤマ</t>
    </rPh>
    <phoneticPr fontId="4"/>
  </si>
  <si>
    <t>財団法人 富山県建築住宅センター</t>
    <phoneticPr fontId="4"/>
  </si>
  <si>
    <t>赤レンガ倉庫</t>
    <rPh sb="0" eb="1">
      <t>アカ</t>
    </rPh>
    <rPh sb="4" eb="6">
      <t>ソウコ</t>
    </rPh>
    <phoneticPr fontId="4"/>
  </si>
  <si>
    <t>株式会社 ビーイー設計</t>
    <rPh sb="0" eb="2">
      <t>カブシキ</t>
    </rPh>
    <rPh sb="2" eb="4">
      <t>カイシャ</t>
    </rPh>
    <rPh sb="9" eb="11">
      <t>セッケイ</t>
    </rPh>
    <phoneticPr fontId="4"/>
  </si>
  <si>
    <t>株式会社 ウェルストン設計</t>
    <phoneticPr fontId="4"/>
  </si>
  <si>
    <t>KITA建築設計事務所</t>
    <phoneticPr fontId="4"/>
  </si>
  <si>
    <t>EMA一級建築士事務所</t>
    <rPh sb="3" eb="5">
      <t>イッキュウ</t>
    </rPh>
    <rPh sb="5" eb="8">
      <t>ケンチクシ</t>
    </rPh>
    <rPh sb="8" eb="10">
      <t>ジム</t>
    </rPh>
    <rPh sb="10" eb="11">
      <t>ショ</t>
    </rPh>
    <phoneticPr fontId="4"/>
  </si>
  <si>
    <t>川崎事業所工場見学施設(味の素)</t>
    <rPh sb="12" eb="13">
      <t>アジ</t>
    </rPh>
    <rPh sb="14" eb="15">
      <t>モト</t>
    </rPh>
    <phoneticPr fontId="4"/>
  </si>
  <si>
    <t>戸田建設 株式会社</t>
    <phoneticPr fontId="4"/>
  </si>
  <si>
    <t>有限会社 安藤美樹建築事務所</t>
    <rPh sb="0" eb="2">
      <t>ユウゲン</t>
    </rPh>
    <rPh sb="2" eb="4">
      <t>カイシャ</t>
    </rPh>
    <rPh sb="5" eb="7">
      <t>アンドウ</t>
    </rPh>
    <rPh sb="7" eb="9">
      <t>ミキ</t>
    </rPh>
    <rPh sb="9" eb="11">
      <t>ケンチク</t>
    </rPh>
    <rPh sb="11" eb="13">
      <t>ジム</t>
    </rPh>
    <rPh sb="13" eb="14">
      <t>ショ</t>
    </rPh>
    <phoneticPr fontId="4"/>
  </si>
  <si>
    <t>さいたま市内谷ビル(ベルクス)</t>
    <rPh sb="4" eb="5">
      <t>シ</t>
    </rPh>
    <rPh sb="5" eb="7">
      <t>ウチヤ</t>
    </rPh>
    <phoneticPr fontId="4"/>
  </si>
  <si>
    <t>北原都市プラン</t>
    <rPh sb="0" eb="2">
      <t>キタハラ</t>
    </rPh>
    <rPh sb="2" eb="4">
      <t>トシ</t>
    </rPh>
    <phoneticPr fontId="4"/>
  </si>
  <si>
    <t>佐藤建築設計事務所</t>
    <rPh sb="0" eb="2">
      <t>サトウ</t>
    </rPh>
    <rPh sb="2" eb="4">
      <t>ケンチク</t>
    </rPh>
    <rPh sb="4" eb="6">
      <t>セッケイ</t>
    </rPh>
    <rPh sb="6" eb="8">
      <t>ジム</t>
    </rPh>
    <rPh sb="8" eb="9">
      <t>ショ</t>
    </rPh>
    <phoneticPr fontId="4"/>
  </si>
  <si>
    <t>1-2</t>
    <phoneticPr fontId="4"/>
  </si>
  <si>
    <t>寺泊産業㈱建築設計事務所</t>
    <phoneticPr fontId="4"/>
  </si>
  <si>
    <t>有限会社 今井設計</t>
    <rPh sb="0" eb="2">
      <t>ユウゲン</t>
    </rPh>
    <rPh sb="2" eb="4">
      <t>カイシャ</t>
    </rPh>
    <rPh sb="5" eb="7">
      <t>イマイ</t>
    </rPh>
    <rPh sb="7" eb="9">
      <t>セッケイ</t>
    </rPh>
    <phoneticPr fontId="4"/>
  </si>
  <si>
    <t>株式会社 ニテカ設計</t>
    <phoneticPr fontId="4"/>
  </si>
  <si>
    <t>有限会社 JTM</t>
    <phoneticPr fontId="4"/>
  </si>
  <si>
    <t>株式会社 国際確認検査センター</t>
    <phoneticPr fontId="4"/>
  </si>
  <si>
    <t>1-2</t>
    <phoneticPr fontId="4"/>
  </si>
  <si>
    <t>-</t>
    <phoneticPr fontId="4"/>
  </si>
  <si>
    <t>株式会社 カワイ設計工房</t>
    <rPh sb="0" eb="2">
      <t>カブシキ</t>
    </rPh>
    <rPh sb="2" eb="4">
      <t>カイシャ</t>
    </rPh>
    <rPh sb="8" eb="10">
      <t>セッケイ</t>
    </rPh>
    <rPh sb="10" eb="12">
      <t>コウボウ</t>
    </rPh>
    <phoneticPr fontId="4"/>
  </si>
  <si>
    <t>3</t>
    <phoneticPr fontId="4"/>
  </si>
  <si>
    <t>3</t>
    <phoneticPr fontId="4"/>
  </si>
  <si>
    <t>日本建物評価機構 株式会社</t>
    <phoneticPr fontId="4"/>
  </si>
  <si>
    <t>財団法人 ベターリビング</t>
    <phoneticPr fontId="4"/>
  </si>
  <si>
    <t>株式会社 建築構造センター(埼玉)</t>
    <rPh sb="14" eb="16">
      <t>サイタマ</t>
    </rPh>
    <phoneticPr fontId="4"/>
  </si>
  <si>
    <t>バロー松任東</t>
    <rPh sb="3" eb="5">
      <t>マットウ</t>
    </rPh>
    <rPh sb="5" eb="6">
      <t>ヒガシ</t>
    </rPh>
    <phoneticPr fontId="4"/>
  </si>
  <si>
    <t>-</t>
    <phoneticPr fontId="4"/>
  </si>
  <si>
    <t>安藤建設 株式会社</t>
    <phoneticPr fontId="4"/>
  </si>
  <si>
    <t>3</t>
    <phoneticPr fontId="4"/>
  </si>
  <si>
    <t>ヒロ建築工房</t>
    <phoneticPr fontId="4"/>
  </si>
  <si>
    <t>株式会社 朝日建装</t>
    <phoneticPr fontId="4"/>
  </si>
  <si>
    <t>株式会社 横河システム建築</t>
    <phoneticPr fontId="4"/>
  </si>
  <si>
    <t>3</t>
    <phoneticPr fontId="4"/>
  </si>
  <si>
    <t>太陽光パネル</t>
    <rPh sb="0" eb="3">
      <t>タイヨウコウ</t>
    </rPh>
    <phoneticPr fontId="4"/>
  </si>
  <si>
    <t>スパン28m</t>
    <phoneticPr fontId="4"/>
  </si>
  <si>
    <t>川端建築設計事務所</t>
  </si>
  <si>
    <t>株式会社 ヤマダデザイン</t>
    <rPh sb="0" eb="2">
      <t>カブシキ</t>
    </rPh>
    <rPh sb="2" eb="4">
      <t>カイシャ</t>
    </rPh>
    <phoneticPr fontId="4"/>
  </si>
  <si>
    <t>広島県</t>
    <rPh sb="0" eb="3">
      <t>ヒロシマケン</t>
    </rPh>
    <phoneticPr fontId="4"/>
  </si>
  <si>
    <t>電気室</t>
    <rPh sb="0" eb="2">
      <t>デンキ</t>
    </rPh>
    <rPh sb="2" eb="3">
      <t>シツ</t>
    </rPh>
    <phoneticPr fontId="4"/>
  </si>
  <si>
    <t>-</t>
    <phoneticPr fontId="4"/>
  </si>
  <si>
    <t>株式会社 あい設計</t>
    <rPh sb="0" eb="2">
      <t>カブシキ</t>
    </rPh>
    <rPh sb="2" eb="4">
      <t>カイシャ</t>
    </rPh>
    <rPh sb="7" eb="9">
      <t>セッケイ</t>
    </rPh>
    <phoneticPr fontId="4"/>
  </si>
  <si>
    <t>株式会社 ジャクエツ</t>
    <rPh sb="0" eb="2">
      <t>カブシキ</t>
    </rPh>
    <rPh sb="2" eb="4">
      <t>カイシャ</t>
    </rPh>
    <phoneticPr fontId="4"/>
  </si>
  <si>
    <t>株式会社 花岡都市建築設計</t>
    <rPh sb="0" eb="2">
      <t>カブシキ</t>
    </rPh>
    <rPh sb="2" eb="4">
      <t>カイシャ</t>
    </rPh>
    <phoneticPr fontId="4"/>
  </si>
  <si>
    <t>WT</t>
    <phoneticPr fontId="4"/>
  </si>
  <si>
    <t>株式会社 慎設計事務所</t>
    <rPh sb="0" eb="2">
      <t>カブシキ</t>
    </rPh>
    <rPh sb="2" eb="4">
      <t>カイシャ</t>
    </rPh>
    <phoneticPr fontId="4"/>
  </si>
  <si>
    <t>有限会社 宮古建築設計事務所</t>
    <rPh sb="0" eb="2">
      <t>ユウゲン</t>
    </rPh>
    <rPh sb="2" eb="4">
      <t>カイシャ</t>
    </rPh>
    <rPh sb="13" eb="14">
      <t>ショ</t>
    </rPh>
    <phoneticPr fontId="4"/>
  </si>
  <si>
    <t>有限会社 レン構造設計事務所</t>
    <rPh sb="0" eb="2">
      <t>ユウゲン</t>
    </rPh>
    <rPh sb="2" eb="4">
      <t>カイシャ</t>
    </rPh>
    <rPh sb="7" eb="9">
      <t>コウゾウ</t>
    </rPh>
    <rPh sb="9" eb="11">
      <t>セッケイ</t>
    </rPh>
    <rPh sb="11" eb="13">
      <t>ジム</t>
    </rPh>
    <rPh sb="13" eb="14">
      <t>ショ</t>
    </rPh>
    <phoneticPr fontId="4"/>
  </si>
  <si>
    <t>株式会社 栗生総合計画 事務所</t>
    <phoneticPr fontId="4"/>
  </si>
  <si>
    <t>株式会社 玉岡設計</t>
    <rPh sb="0" eb="2">
      <t>カブシキ</t>
    </rPh>
    <rPh sb="2" eb="4">
      <t>カイシャ</t>
    </rPh>
    <rPh sb="5" eb="7">
      <t>タマオカ</t>
    </rPh>
    <rPh sb="7" eb="9">
      <t>セッケイ</t>
    </rPh>
    <phoneticPr fontId="4"/>
  </si>
  <si>
    <t>株式会社 子安建築設計事務所</t>
    <rPh sb="0" eb="2">
      <t>カブシキ</t>
    </rPh>
    <rPh sb="2" eb="4">
      <t>カイシャ</t>
    </rPh>
    <rPh sb="5" eb="7">
      <t>コヤス</t>
    </rPh>
    <rPh sb="7" eb="9">
      <t>ケンチク</t>
    </rPh>
    <rPh sb="9" eb="11">
      <t>セッケイ</t>
    </rPh>
    <rPh sb="11" eb="13">
      <t>ジム</t>
    </rPh>
    <rPh sb="13" eb="14">
      <t>ショ</t>
    </rPh>
    <phoneticPr fontId="4"/>
  </si>
  <si>
    <t>アール・イー・ジャパン株式会社(京都)</t>
    <rPh sb="16" eb="18">
      <t>キョウト</t>
    </rPh>
    <phoneticPr fontId="4"/>
  </si>
  <si>
    <t>てらお八千代</t>
    <rPh sb="3" eb="4">
      <t>ハチ</t>
    </rPh>
    <rPh sb="4" eb="6">
      <t>チヨ</t>
    </rPh>
    <phoneticPr fontId="4"/>
  </si>
  <si>
    <t>財団法人 千葉県建設技術センター</t>
    <phoneticPr fontId="4"/>
  </si>
  <si>
    <t>有限会社 加藤建築設計事務所</t>
    <phoneticPr fontId="4"/>
  </si>
  <si>
    <t>ビューローベリタスジャパン株式会社(埼玉)</t>
    <rPh sb="18" eb="20">
      <t>サイタマ</t>
    </rPh>
    <phoneticPr fontId="4"/>
  </si>
  <si>
    <t>財団法人 さいたま住宅検査センター</t>
    <phoneticPr fontId="4"/>
  </si>
  <si>
    <t>大和ハウス工業 株式会社</t>
    <rPh sb="0" eb="2">
      <t>ダイワ</t>
    </rPh>
    <rPh sb="5" eb="7">
      <t>コウギョウ</t>
    </rPh>
    <rPh sb="8" eb="10">
      <t>カブシキ</t>
    </rPh>
    <rPh sb="10" eb="12">
      <t>カイシャ</t>
    </rPh>
    <phoneticPr fontId="4"/>
  </si>
  <si>
    <t>株式会社 一寸房</t>
    <rPh sb="0" eb="2">
      <t>カブシキ</t>
    </rPh>
    <rPh sb="2" eb="4">
      <t>カイシャ</t>
    </rPh>
    <rPh sb="5" eb="7">
      <t>イッスン</t>
    </rPh>
    <rPh sb="7" eb="8">
      <t>フサ</t>
    </rPh>
    <phoneticPr fontId="4"/>
  </si>
  <si>
    <t>ビューローベリタスジャパン株式会社(名古屋)</t>
    <rPh sb="18" eb="21">
      <t>ナゴヤ</t>
    </rPh>
    <phoneticPr fontId="4"/>
  </si>
  <si>
    <t>新鋭工業㈱広島支店</t>
    <phoneticPr fontId="4"/>
  </si>
  <si>
    <t>-</t>
    <phoneticPr fontId="4"/>
  </si>
  <si>
    <t>JUNTA PLANNING OFFICE</t>
    <phoneticPr fontId="4"/>
  </si>
  <si>
    <t>3</t>
    <phoneticPr fontId="4"/>
  </si>
  <si>
    <t>九尺設計 株式会社</t>
    <rPh sb="0" eb="2">
      <t>クジャク</t>
    </rPh>
    <rPh sb="2" eb="4">
      <t>セッケイ</t>
    </rPh>
    <rPh sb="5" eb="7">
      <t>カブシキ</t>
    </rPh>
    <rPh sb="7" eb="9">
      <t>カイシャ</t>
    </rPh>
    <phoneticPr fontId="4"/>
  </si>
  <si>
    <t>マルイ上井</t>
    <rPh sb="3" eb="5">
      <t>カミイ</t>
    </rPh>
    <phoneticPr fontId="4"/>
  </si>
  <si>
    <t>都城店舗(ドンキホーテ)</t>
    <phoneticPr fontId="4"/>
  </si>
  <si>
    <t>株式会社 和企画設計</t>
    <rPh sb="0" eb="2">
      <t>カブシキ</t>
    </rPh>
    <rPh sb="2" eb="4">
      <t>カイシャ</t>
    </rPh>
    <rPh sb="5" eb="6">
      <t>ワ</t>
    </rPh>
    <rPh sb="6" eb="8">
      <t>キカク</t>
    </rPh>
    <rPh sb="8" eb="10">
      <t>セッケイ</t>
    </rPh>
    <phoneticPr fontId="4"/>
  </si>
  <si>
    <t>ヤマダ＆スギヤマ共同設計チーム</t>
    <rPh sb="8" eb="10">
      <t>キョウドウ</t>
    </rPh>
    <rPh sb="10" eb="12">
      <t>セッケイ</t>
    </rPh>
    <phoneticPr fontId="4"/>
  </si>
  <si>
    <t>株式会社 国際確認検査センター</t>
    <phoneticPr fontId="4"/>
  </si>
  <si>
    <t>ビーアイケー社屋</t>
    <rPh sb="6" eb="8">
      <t>シャオク</t>
    </rPh>
    <phoneticPr fontId="4"/>
  </si>
  <si>
    <t>株式会社 富士建築設計事務所</t>
    <rPh sb="0" eb="2">
      <t>カブシキ</t>
    </rPh>
    <rPh sb="2" eb="4">
      <t>カイシャ</t>
    </rPh>
    <rPh sb="5" eb="7">
      <t>フジ</t>
    </rPh>
    <rPh sb="7" eb="9">
      <t>ケンチク</t>
    </rPh>
    <rPh sb="9" eb="11">
      <t>セッケイ</t>
    </rPh>
    <rPh sb="11" eb="13">
      <t>ジム</t>
    </rPh>
    <rPh sb="13" eb="14">
      <t>ショ</t>
    </rPh>
    <phoneticPr fontId="4"/>
  </si>
  <si>
    <t>-</t>
    <phoneticPr fontId="4"/>
  </si>
  <si>
    <t>株式会社 須藤建築事務所</t>
    <rPh sb="0" eb="2">
      <t>カブシキ</t>
    </rPh>
    <rPh sb="2" eb="4">
      <t>カイシャ</t>
    </rPh>
    <phoneticPr fontId="4"/>
  </si>
  <si>
    <t>3</t>
    <phoneticPr fontId="4"/>
  </si>
  <si>
    <t>-</t>
    <phoneticPr fontId="4"/>
  </si>
  <si>
    <t>2F建</t>
    <phoneticPr fontId="4"/>
  </si>
  <si>
    <t>店舗</t>
    <phoneticPr fontId="4"/>
  </si>
  <si>
    <t>3</t>
    <phoneticPr fontId="4"/>
  </si>
  <si>
    <t>3</t>
    <phoneticPr fontId="4"/>
  </si>
  <si>
    <t>株式会社 伸構造事務所</t>
    <phoneticPr fontId="4"/>
  </si>
  <si>
    <t>OHNISHI一級建築士事務所</t>
    <rPh sb="7" eb="9">
      <t>イッキュウ</t>
    </rPh>
    <rPh sb="9" eb="12">
      <t>ケンチクシ</t>
    </rPh>
    <rPh sb="12" eb="14">
      <t>ジム</t>
    </rPh>
    <rPh sb="14" eb="15">
      <t>ショ</t>
    </rPh>
    <phoneticPr fontId="4"/>
  </si>
  <si>
    <t>株式会社 木下設計</t>
    <rPh sb="0" eb="2">
      <t>カブシキ</t>
    </rPh>
    <rPh sb="2" eb="4">
      <t>カイシャ</t>
    </rPh>
    <rPh sb="5" eb="6">
      <t>キ</t>
    </rPh>
    <rPh sb="6" eb="7">
      <t>シタ</t>
    </rPh>
    <rPh sb="7" eb="9">
      <t>セッケイ</t>
    </rPh>
    <phoneticPr fontId="4"/>
  </si>
  <si>
    <t>-</t>
    <phoneticPr fontId="4"/>
  </si>
  <si>
    <t>株式会社 白井設計</t>
    <rPh sb="0" eb="2">
      <t>カブシキ</t>
    </rPh>
    <rPh sb="2" eb="4">
      <t>カイシャ</t>
    </rPh>
    <rPh sb="5" eb="7">
      <t>シライ</t>
    </rPh>
    <rPh sb="7" eb="9">
      <t>セッケイ</t>
    </rPh>
    <phoneticPr fontId="4"/>
  </si>
  <si>
    <t>DU建築企画</t>
    <rPh sb="2" eb="4">
      <t>ケンチク</t>
    </rPh>
    <rPh sb="4" eb="6">
      <t>キカク</t>
    </rPh>
    <phoneticPr fontId="4"/>
  </si>
  <si>
    <t>株式会社 吉野設計研究所</t>
    <phoneticPr fontId="4"/>
  </si>
  <si>
    <t>株式会社 中神設計事務所</t>
    <phoneticPr fontId="4"/>
  </si>
  <si>
    <t>石川県</t>
    <rPh sb="0" eb="2">
      <t>イシカワ</t>
    </rPh>
    <rPh sb="2" eb="3">
      <t>ケン</t>
    </rPh>
    <phoneticPr fontId="4"/>
  </si>
  <si>
    <t>2F建</t>
    <phoneticPr fontId="4"/>
  </si>
  <si>
    <t>3</t>
    <phoneticPr fontId="4"/>
  </si>
  <si>
    <t>河口設計</t>
    <phoneticPr fontId="4"/>
  </si>
  <si>
    <t>森信建設 株式会社</t>
    <rPh sb="0" eb="1">
      <t>モリ</t>
    </rPh>
    <rPh sb="1" eb="2">
      <t>シン</t>
    </rPh>
    <rPh sb="2" eb="4">
      <t>ケンセツ</t>
    </rPh>
    <rPh sb="5" eb="7">
      <t>カブシキ</t>
    </rPh>
    <rPh sb="7" eb="9">
      <t>カイシャ</t>
    </rPh>
    <phoneticPr fontId="4"/>
  </si>
  <si>
    <t>-</t>
    <phoneticPr fontId="4"/>
  </si>
  <si>
    <t>株式会社 パシフィック総合開発研究所</t>
    <rPh sb="0" eb="2">
      <t>カブシキ</t>
    </rPh>
    <rPh sb="2" eb="4">
      <t>カイシャ</t>
    </rPh>
    <rPh sb="11" eb="13">
      <t>ソウゴウ</t>
    </rPh>
    <rPh sb="13" eb="15">
      <t>カイハツ</t>
    </rPh>
    <rPh sb="15" eb="18">
      <t>ケンキュウショ</t>
    </rPh>
    <phoneticPr fontId="4"/>
  </si>
  <si>
    <t>木造</t>
    <rPh sb="0" eb="2">
      <t>モクゾウ</t>
    </rPh>
    <phoneticPr fontId="4"/>
  </si>
  <si>
    <t>教会</t>
    <rPh sb="0" eb="2">
      <t>キョウカイ</t>
    </rPh>
    <phoneticPr fontId="4"/>
  </si>
  <si>
    <t>株式会社 アークプランニング</t>
    <phoneticPr fontId="4"/>
  </si>
  <si>
    <t>茨城県</t>
    <phoneticPr fontId="4"/>
  </si>
  <si>
    <t>永山建築設計</t>
    <phoneticPr fontId="4"/>
  </si>
  <si>
    <t>宮崎県</t>
    <phoneticPr fontId="4"/>
  </si>
  <si>
    <t>-</t>
    <phoneticPr fontId="4"/>
  </si>
  <si>
    <t>1-2</t>
    <phoneticPr fontId="4"/>
  </si>
  <si>
    <t>比石益二建築設計室</t>
    <rPh sb="0" eb="1">
      <t>ヒ</t>
    </rPh>
    <rPh sb="1" eb="2">
      <t>イシ</t>
    </rPh>
    <rPh sb="2" eb="4">
      <t>エキジ</t>
    </rPh>
    <rPh sb="4" eb="6">
      <t>ケンチク</t>
    </rPh>
    <rPh sb="6" eb="8">
      <t>セッケイ</t>
    </rPh>
    <rPh sb="8" eb="9">
      <t>シツ</t>
    </rPh>
    <phoneticPr fontId="4"/>
  </si>
  <si>
    <t>3</t>
    <phoneticPr fontId="4"/>
  </si>
  <si>
    <t>-</t>
    <phoneticPr fontId="4"/>
  </si>
  <si>
    <t>株式会社 ケイエーディー一級建築士事務所</t>
    <rPh sb="0" eb="2">
      <t>カブシキ</t>
    </rPh>
    <rPh sb="2" eb="4">
      <t>カイシャ</t>
    </rPh>
    <phoneticPr fontId="4"/>
  </si>
  <si>
    <t>ビューローベリタスジャパン株式会社</t>
    <phoneticPr fontId="4"/>
  </si>
  <si>
    <t>-</t>
    <phoneticPr fontId="4"/>
  </si>
  <si>
    <t>事務所</t>
    <phoneticPr fontId="4"/>
  </si>
  <si>
    <t>1-2</t>
    <phoneticPr fontId="4"/>
  </si>
  <si>
    <t>佐賀県</t>
    <phoneticPr fontId="4"/>
  </si>
  <si>
    <t>S造</t>
    <phoneticPr fontId="4"/>
  </si>
  <si>
    <t>3</t>
    <phoneticPr fontId="4"/>
  </si>
  <si>
    <t>株式会社 實徳設計</t>
    <rPh sb="0" eb="2">
      <t>カブシキ</t>
    </rPh>
    <rPh sb="2" eb="4">
      <t>カイシャ</t>
    </rPh>
    <phoneticPr fontId="4"/>
  </si>
  <si>
    <t>株式会社 平設計</t>
    <rPh sb="0" eb="2">
      <t>カブシキ</t>
    </rPh>
    <rPh sb="2" eb="4">
      <t>カイシャ</t>
    </rPh>
    <rPh sb="5" eb="6">
      <t>ヒラ</t>
    </rPh>
    <rPh sb="6" eb="8">
      <t>セッケイ</t>
    </rPh>
    <phoneticPr fontId="4"/>
  </si>
  <si>
    <t>魁設計事務所</t>
    <rPh sb="0" eb="1">
      <t>カイ</t>
    </rPh>
    <rPh sb="1" eb="3">
      <t>セッケイ</t>
    </rPh>
    <rPh sb="3" eb="5">
      <t>ジム</t>
    </rPh>
    <rPh sb="5" eb="6">
      <t>ショ</t>
    </rPh>
    <phoneticPr fontId="4"/>
  </si>
  <si>
    <t>有限会社 稲葉建築事務所</t>
    <rPh sb="0" eb="2">
      <t>ユウゲン</t>
    </rPh>
    <rPh sb="2" eb="4">
      <t>カイシャ</t>
    </rPh>
    <rPh sb="5" eb="7">
      <t>イナバ</t>
    </rPh>
    <rPh sb="7" eb="9">
      <t>ケンチク</t>
    </rPh>
    <rPh sb="9" eb="11">
      <t>ジム</t>
    </rPh>
    <rPh sb="11" eb="12">
      <t>ショ</t>
    </rPh>
    <phoneticPr fontId="4"/>
  </si>
  <si>
    <t>ホームセンターバロー各務原店 タイヤ市場</t>
    <phoneticPr fontId="4"/>
  </si>
  <si>
    <t>せいる構造設計室</t>
    <rPh sb="3" eb="5">
      <t>コウゾウ</t>
    </rPh>
    <rPh sb="5" eb="7">
      <t>セッケイ</t>
    </rPh>
    <rPh sb="7" eb="8">
      <t>シツ</t>
    </rPh>
    <phoneticPr fontId="4"/>
  </si>
  <si>
    <t>有限会社 岡村建築設計事務所</t>
    <rPh sb="0" eb="2">
      <t>ユウゲン</t>
    </rPh>
    <rPh sb="2" eb="4">
      <t>カイシャ</t>
    </rPh>
    <rPh sb="5" eb="7">
      <t>オカムラ</t>
    </rPh>
    <rPh sb="7" eb="9">
      <t>ケンチク</t>
    </rPh>
    <rPh sb="9" eb="11">
      <t>セッケイ</t>
    </rPh>
    <rPh sb="11" eb="13">
      <t>ジム</t>
    </rPh>
    <rPh sb="13" eb="14">
      <t>ショ</t>
    </rPh>
    <phoneticPr fontId="4"/>
  </si>
  <si>
    <t>MV栗東</t>
    <rPh sb="2" eb="4">
      <t>リットウ</t>
    </rPh>
    <phoneticPr fontId="4"/>
  </si>
  <si>
    <t>滋賀県</t>
    <phoneticPr fontId="4"/>
  </si>
  <si>
    <t>篠原建築設計事務所</t>
    <phoneticPr fontId="4"/>
  </si>
  <si>
    <t>千葉県</t>
    <phoneticPr fontId="4"/>
  </si>
  <si>
    <t>山形県</t>
    <phoneticPr fontId="4"/>
  </si>
  <si>
    <t>株式会社 イイダ設計</t>
    <rPh sb="0" eb="2">
      <t>カブシキ</t>
    </rPh>
    <rPh sb="2" eb="4">
      <t>カイシャ</t>
    </rPh>
    <rPh sb="8" eb="10">
      <t>セッケイ</t>
    </rPh>
    <phoneticPr fontId="4"/>
  </si>
  <si>
    <t>-</t>
    <phoneticPr fontId="4"/>
  </si>
  <si>
    <t>有限会社 中部設計</t>
    <phoneticPr fontId="4"/>
  </si>
  <si>
    <t>一級建築士事務所 山上構造企画</t>
    <phoneticPr fontId="4"/>
  </si>
  <si>
    <t>株式会社 姫野組</t>
    <rPh sb="0" eb="2">
      <t>カブシキ</t>
    </rPh>
    <rPh sb="2" eb="4">
      <t>カイシャ</t>
    </rPh>
    <rPh sb="5" eb="7">
      <t>ヒメノ</t>
    </rPh>
    <rPh sb="7" eb="8">
      <t>クミ</t>
    </rPh>
    <phoneticPr fontId="4"/>
  </si>
  <si>
    <t>宮本設計</t>
    <rPh sb="0" eb="2">
      <t>ミヤモト</t>
    </rPh>
    <rPh sb="2" eb="4">
      <t>セッケイ</t>
    </rPh>
    <phoneticPr fontId="4"/>
  </si>
  <si>
    <t>集会場</t>
    <phoneticPr fontId="4"/>
  </si>
  <si>
    <t>店舗</t>
    <phoneticPr fontId="4"/>
  </si>
  <si>
    <t>-</t>
    <phoneticPr fontId="4"/>
  </si>
  <si>
    <t>老人福祉施設</t>
    <phoneticPr fontId="4"/>
  </si>
  <si>
    <t>合計</t>
    <rPh sb="0" eb="2">
      <t>ゴウケイ</t>
    </rPh>
    <phoneticPr fontId="4"/>
  </si>
  <si>
    <t>株式会社 建築構造センター(山形)</t>
    <rPh sb="14" eb="16">
      <t>ヤマガタ</t>
    </rPh>
    <phoneticPr fontId="4"/>
  </si>
  <si>
    <t>株式会社 建築構造センター(山形)</t>
    <phoneticPr fontId="4"/>
  </si>
  <si>
    <t>財団法人 福岡県建築住宅センター</t>
    <phoneticPr fontId="4"/>
  </si>
  <si>
    <t>株式会社 建築構造センター(東京)</t>
    <rPh sb="14" eb="16">
      <t>トウキョウ</t>
    </rPh>
    <phoneticPr fontId="4"/>
  </si>
  <si>
    <t>アール・イー・ジャパン 株式会社</t>
    <rPh sb="12" eb="14">
      <t>カブシキ</t>
    </rPh>
    <rPh sb="14" eb="16">
      <t>カイシャ</t>
    </rPh>
    <phoneticPr fontId="4"/>
  </si>
  <si>
    <t>社団法人 日本住宅性能評価機構</t>
    <rPh sb="0" eb="2">
      <t>シャダン</t>
    </rPh>
    <rPh sb="2" eb="4">
      <t>ホウジン</t>
    </rPh>
    <rPh sb="5" eb="7">
      <t>ニホン</t>
    </rPh>
    <rPh sb="7" eb="9">
      <t>ジュウタク</t>
    </rPh>
    <rPh sb="9" eb="11">
      <t>セイノウ</t>
    </rPh>
    <rPh sb="11" eb="13">
      <t>ヒョウカ</t>
    </rPh>
    <rPh sb="13" eb="15">
      <t>キコウ</t>
    </rPh>
    <phoneticPr fontId="4"/>
  </si>
  <si>
    <t>社団法人 日本住宅性能評価機構</t>
    <phoneticPr fontId="4"/>
  </si>
  <si>
    <t>九州住宅保証 株式会社</t>
    <rPh sb="0" eb="2">
      <t>キュウシュウ</t>
    </rPh>
    <rPh sb="2" eb="4">
      <t>ジュウタク</t>
    </rPh>
    <rPh sb="4" eb="6">
      <t>ホショウ</t>
    </rPh>
    <rPh sb="7" eb="9">
      <t>カブシキ</t>
    </rPh>
    <rPh sb="9" eb="11">
      <t>カイシャ</t>
    </rPh>
    <phoneticPr fontId="4"/>
  </si>
  <si>
    <t>九州住宅保証 株式会社</t>
    <phoneticPr fontId="4"/>
  </si>
  <si>
    <t>ユーイック UHEC 株式会社 都市居住評価センター</t>
    <rPh sb="11" eb="13">
      <t>カブシキ</t>
    </rPh>
    <rPh sb="13" eb="15">
      <t>カイシャ</t>
    </rPh>
    <phoneticPr fontId="4"/>
  </si>
  <si>
    <t>株式会社 Ｊ 建築検査センター</t>
    <rPh sb="0" eb="2">
      <t>カブシキ</t>
    </rPh>
    <rPh sb="2" eb="4">
      <t>カイシャ</t>
    </rPh>
    <phoneticPr fontId="4"/>
  </si>
  <si>
    <t>日本確認センター 株式会社</t>
    <rPh sb="0" eb="2">
      <t>ニホン</t>
    </rPh>
    <rPh sb="2" eb="4">
      <t>カクニン</t>
    </rPh>
    <rPh sb="9" eb="11">
      <t>カブシキ</t>
    </rPh>
    <rPh sb="11" eb="13">
      <t>カイシャ</t>
    </rPh>
    <phoneticPr fontId="4"/>
  </si>
  <si>
    <t>日本確認センター 株式会社</t>
    <phoneticPr fontId="4"/>
  </si>
  <si>
    <t>森田設計工務</t>
    <phoneticPr fontId="4"/>
  </si>
  <si>
    <t>大分県</t>
    <phoneticPr fontId="4"/>
  </si>
  <si>
    <t>-</t>
    <phoneticPr fontId="4"/>
  </si>
  <si>
    <t>4F建</t>
    <rPh sb="2" eb="3">
      <t>タ</t>
    </rPh>
    <phoneticPr fontId="4"/>
  </si>
  <si>
    <t>3</t>
    <phoneticPr fontId="4"/>
  </si>
  <si>
    <t>森建築事務所</t>
    <rPh sb="0" eb="1">
      <t>モリ</t>
    </rPh>
    <rPh sb="1" eb="3">
      <t>ケンチク</t>
    </rPh>
    <rPh sb="3" eb="5">
      <t>ジム</t>
    </rPh>
    <rPh sb="5" eb="6">
      <t>ショ</t>
    </rPh>
    <phoneticPr fontId="4"/>
  </si>
  <si>
    <t>株式会社 建築構造センター</t>
    <phoneticPr fontId="4"/>
  </si>
  <si>
    <t>1-2</t>
    <phoneticPr fontId="4"/>
  </si>
  <si>
    <t>3</t>
    <phoneticPr fontId="4"/>
  </si>
  <si>
    <t>ささめ保育園</t>
    <rPh sb="3" eb="6">
      <t>ホイクエン</t>
    </rPh>
    <phoneticPr fontId="4"/>
  </si>
  <si>
    <t>財団法人 さいたま住宅検査センター</t>
    <phoneticPr fontId="4"/>
  </si>
  <si>
    <t>有限会社 ビュー設計事務所</t>
    <rPh sb="0" eb="2">
      <t>ユウゲン</t>
    </rPh>
    <rPh sb="2" eb="4">
      <t>カイシャ</t>
    </rPh>
    <rPh sb="8" eb="10">
      <t>セッケイ</t>
    </rPh>
    <rPh sb="10" eb="12">
      <t>ジム</t>
    </rPh>
    <rPh sb="12" eb="13">
      <t>ショ</t>
    </rPh>
    <phoneticPr fontId="4"/>
  </si>
  <si>
    <t>有限会社 LES都市建築設計事務所</t>
    <rPh sb="0" eb="2">
      <t>ユウゲン</t>
    </rPh>
    <rPh sb="2" eb="4">
      <t>カイシャ</t>
    </rPh>
    <rPh sb="8" eb="10">
      <t>トシ</t>
    </rPh>
    <rPh sb="10" eb="12">
      <t>ケンチク</t>
    </rPh>
    <rPh sb="12" eb="14">
      <t>セッケイ</t>
    </rPh>
    <rPh sb="14" eb="16">
      <t>ジム</t>
    </rPh>
    <rPh sb="16" eb="17">
      <t>ショ</t>
    </rPh>
    <phoneticPr fontId="4"/>
  </si>
  <si>
    <t>株式会社 国際確認検査センター</t>
    <phoneticPr fontId="4"/>
  </si>
  <si>
    <t>-</t>
    <phoneticPr fontId="4"/>
  </si>
  <si>
    <t>株式会社 岸設計</t>
    <rPh sb="0" eb="2">
      <t>カブシキ</t>
    </rPh>
    <rPh sb="2" eb="4">
      <t>カイシャ</t>
    </rPh>
    <rPh sb="5" eb="6">
      <t>キシ</t>
    </rPh>
    <rPh sb="6" eb="8">
      <t>セッケイ</t>
    </rPh>
    <phoneticPr fontId="4"/>
  </si>
  <si>
    <t>3</t>
    <phoneticPr fontId="4"/>
  </si>
  <si>
    <t>倉庫</t>
    <phoneticPr fontId="4"/>
  </si>
  <si>
    <t>埼玉県</t>
    <rPh sb="0" eb="3">
      <t>サイタマケン</t>
    </rPh>
    <phoneticPr fontId="4"/>
  </si>
  <si>
    <t>3</t>
    <phoneticPr fontId="4"/>
  </si>
  <si>
    <t>-</t>
    <phoneticPr fontId="4"/>
  </si>
  <si>
    <t>東北</t>
    <rPh sb="0" eb="2">
      <t>トウホク</t>
    </rPh>
    <phoneticPr fontId="4"/>
  </si>
  <si>
    <t>財団法人 茨城県建築センター</t>
    <phoneticPr fontId="4"/>
  </si>
  <si>
    <t>関東</t>
    <rPh sb="0" eb="2">
      <t>カントウ</t>
    </rPh>
    <phoneticPr fontId="4"/>
  </si>
  <si>
    <t>中部</t>
    <rPh sb="0" eb="2">
      <t>チュウブ</t>
    </rPh>
    <phoneticPr fontId="4"/>
  </si>
  <si>
    <t>近畿</t>
    <rPh sb="0" eb="2">
      <t>キンキ</t>
    </rPh>
    <phoneticPr fontId="4"/>
  </si>
  <si>
    <t>中国</t>
    <rPh sb="0" eb="2">
      <t>チュウゴク</t>
    </rPh>
    <phoneticPr fontId="4"/>
  </si>
  <si>
    <t>四国</t>
    <rPh sb="0" eb="2">
      <t>シコク</t>
    </rPh>
    <phoneticPr fontId="4"/>
  </si>
  <si>
    <t>九州</t>
    <rPh sb="0" eb="2">
      <t>キュウシュウ</t>
    </rPh>
    <phoneticPr fontId="4"/>
  </si>
  <si>
    <t>宮城県 仙台市太白区役所</t>
    <rPh sb="0" eb="3">
      <t>ミヤギケン</t>
    </rPh>
    <phoneticPr fontId="4"/>
  </si>
  <si>
    <t>宮城県 仙台市太白区役所</t>
    <phoneticPr fontId="4"/>
  </si>
  <si>
    <t>宮城県 大崎市役所</t>
    <phoneticPr fontId="4"/>
  </si>
  <si>
    <t>宮城県 大河原土木事務所</t>
    <phoneticPr fontId="4"/>
  </si>
  <si>
    <t>秋田県 秋田市役所</t>
    <phoneticPr fontId="4"/>
  </si>
  <si>
    <t>秋田県 平鹿地域振興局</t>
    <phoneticPr fontId="4"/>
  </si>
  <si>
    <t>山形県 庄内総合支庁</t>
    <rPh sb="0" eb="3">
      <t>ヤマガタケン</t>
    </rPh>
    <rPh sb="4" eb="6">
      <t>ショウナイ</t>
    </rPh>
    <rPh sb="6" eb="8">
      <t>ソウゴウ</t>
    </rPh>
    <rPh sb="8" eb="10">
      <t>シチョウ</t>
    </rPh>
    <phoneticPr fontId="4"/>
  </si>
  <si>
    <t>山形県 庄内総合支庁</t>
    <rPh sb="0" eb="3">
      <t>ヤマガタケン</t>
    </rPh>
    <phoneticPr fontId="4"/>
  </si>
  <si>
    <t>埼玉県 三郷市役所</t>
    <rPh sb="0" eb="3">
      <t>サイタマケン</t>
    </rPh>
    <phoneticPr fontId="4"/>
  </si>
  <si>
    <t>埼玉県 三郷市役所</t>
    <phoneticPr fontId="4"/>
  </si>
  <si>
    <t>財団法人 千葉県建設技術センター</t>
    <phoneticPr fontId="4"/>
  </si>
  <si>
    <t>長野県</t>
    <phoneticPr fontId="4"/>
  </si>
  <si>
    <t>長野県 諏訪地方事務所</t>
    <rPh sb="4" eb="6">
      <t>スワ</t>
    </rPh>
    <rPh sb="6" eb="8">
      <t>チホウ</t>
    </rPh>
    <rPh sb="8" eb="10">
      <t>ジム</t>
    </rPh>
    <rPh sb="10" eb="11">
      <t>ショ</t>
    </rPh>
    <phoneticPr fontId="4"/>
  </si>
  <si>
    <t>長野県 諏訪地方事務所</t>
    <phoneticPr fontId="4"/>
  </si>
  <si>
    <t>三重県 桑名市役所</t>
    <rPh sb="0" eb="3">
      <t>ミエケン</t>
    </rPh>
    <rPh sb="6" eb="9">
      <t>シヤクショ</t>
    </rPh>
    <phoneticPr fontId="4"/>
  </si>
  <si>
    <t>三重県 桑名市役所</t>
    <phoneticPr fontId="4"/>
  </si>
  <si>
    <t>大阪府 大阪市役所</t>
    <phoneticPr fontId="4"/>
  </si>
  <si>
    <t>大阪府 吹田市役所</t>
    <rPh sb="0" eb="3">
      <t>オオサカフ</t>
    </rPh>
    <phoneticPr fontId="4"/>
  </si>
  <si>
    <t>大阪府 吹田市役所</t>
    <phoneticPr fontId="4"/>
  </si>
  <si>
    <t>兵庫県 三田市役所</t>
    <rPh sb="0" eb="3">
      <t>ヒョウゴケン</t>
    </rPh>
    <rPh sb="6" eb="9">
      <t>シヤクショ</t>
    </rPh>
    <phoneticPr fontId="4"/>
  </si>
  <si>
    <t>兵庫県 三田市役所</t>
    <phoneticPr fontId="4"/>
  </si>
  <si>
    <t>和歌山県 和歌山市役所</t>
    <rPh sb="0" eb="4">
      <t>ワカヤマケン</t>
    </rPh>
    <rPh sb="5" eb="8">
      <t>ワカヤマ</t>
    </rPh>
    <rPh sb="8" eb="11">
      <t>シヤクショ</t>
    </rPh>
    <phoneticPr fontId="4"/>
  </si>
  <si>
    <t>和歌山県 和歌山市役所</t>
    <phoneticPr fontId="4"/>
  </si>
  <si>
    <t>兵庫県 神戸市役所</t>
    <rPh sb="0" eb="3">
      <t>ヒョウゴケン</t>
    </rPh>
    <rPh sb="4" eb="7">
      <t>コウベシ</t>
    </rPh>
    <rPh sb="7" eb="9">
      <t>ヤクショ</t>
    </rPh>
    <phoneticPr fontId="4"/>
  </si>
  <si>
    <t>兵庫県 神戸市役所</t>
    <phoneticPr fontId="4"/>
  </si>
  <si>
    <t>島根県 出雲市役所</t>
  </si>
  <si>
    <t>島根県 出雲市役所</t>
    <rPh sb="0" eb="3">
      <t>シマネケン</t>
    </rPh>
    <phoneticPr fontId="4"/>
  </si>
  <si>
    <t>岡山県</t>
    <phoneticPr fontId="4"/>
  </si>
  <si>
    <t>広島県 廿日市市役所</t>
  </si>
  <si>
    <t>広島県 廿日市市役所</t>
    <rPh sb="0" eb="3">
      <t>ヒロシマケン</t>
    </rPh>
    <phoneticPr fontId="4"/>
  </si>
  <si>
    <t>岡山県 津山市役所</t>
    <rPh sb="0" eb="3">
      <t>オカヤマケン</t>
    </rPh>
    <phoneticPr fontId="4"/>
  </si>
  <si>
    <t>山口県 山口市役所</t>
    <rPh sb="0" eb="3">
      <t>ヤマグチケン</t>
    </rPh>
    <phoneticPr fontId="4"/>
  </si>
  <si>
    <t>山口県 山口市役所</t>
    <phoneticPr fontId="4"/>
  </si>
  <si>
    <t>徳島県 鳴門市役所</t>
    <rPh sb="0" eb="3">
      <t>トクシマケン</t>
    </rPh>
    <rPh sb="4" eb="6">
      <t>ナルト</t>
    </rPh>
    <rPh sb="6" eb="9">
      <t>シヤクショ</t>
    </rPh>
    <phoneticPr fontId="4"/>
  </si>
  <si>
    <t>長崎県 佐世保市役所</t>
    <rPh sb="0" eb="3">
      <t>ナガサキケン</t>
    </rPh>
    <rPh sb="4" eb="7">
      <t>サセボ</t>
    </rPh>
    <phoneticPr fontId="4"/>
  </si>
  <si>
    <t>長崎県 佐世保市役所</t>
    <rPh sb="0" eb="3">
      <t>ナガサキケン</t>
    </rPh>
    <rPh sb="4" eb="7">
      <t>サセボ</t>
    </rPh>
    <rPh sb="7" eb="10">
      <t>シヤクショ</t>
    </rPh>
    <phoneticPr fontId="4"/>
  </si>
  <si>
    <t>山形県</t>
    <rPh sb="2" eb="3">
      <t>ケン</t>
    </rPh>
    <phoneticPr fontId="4"/>
  </si>
  <si>
    <t>山形県</t>
    <phoneticPr fontId="4"/>
  </si>
  <si>
    <t>青森県 上北地域県民局</t>
    <rPh sb="0" eb="3">
      <t>アオモリケン</t>
    </rPh>
    <rPh sb="4" eb="5">
      <t>ウエ</t>
    </rPh>
    <rPh sb="5" eb="6">
      <t>キタ</t>
    </rPh>
    <rPh sb="6" eb="8">
      <t>チイキ</t>
    </rPh>
    <rPh sb="8" eb="10">
      <t>ケンミン</t>
    </rPh>
    <rPh sb="10" eb="11">
      <t>キョク</t>
    </rPh>
    <phoneticPr fontId="4"/>
  </si>
  <si>
    <t>青森県 上北地域県民局</t>
    <rPh sb="0" eb="3">
      <t>アオモリケン</t>
    </rPh>
    <phoneticPr fontId="4"/>
  </si>
  <si>
    <t>山形県 山形市役所</t>
    <rPh sb="0" eb="3">
      <t>ヤマガタケン</t>
    </rPh>
    <rPh sb="6" eb="9">
      <t>シヤクショ</t>
    </rPh>
    <phoneticPr fontId="4"/>
  </si>
  <si>
    <t>山形県 山形市役所</t>
    <phoneticPr fontId="4"/>
  </si>
  <si>
    <t>全国</t>
    <rPh sb="0" eb="2">
      <t>ゼンコク</t>
    </rPh>
    <phoneticPr fontId="4"/>
  </si>
  <si>
    <t>審査機関（民間）</t>
    <rPh sb="5" eb="7">
      <t>ミンカン</t>
    </rPh>
    <phoneticPr fontId="4"/>
  </si>
  <si>
    <t>審査機関（民間）</t>
    <phoneticPr fontId="4"/>
  </si>
  <si>
    <t>審査機関（建築主事）</t>
    <rPh sb="5" eb="7">
      <t>ケンチク</t>
    </rPh>
    <rPh sb="7" eb="9">
      <t>シュジ</t>
    </rPh>
    <phoneticPr fontId="4"/>
  </si>
  <si>
    <t>設計料は、3棟合わせての金額</t>
    <rPh sb="0" eb="2">
      <t>セッケイ</t>
    </rPh>
    <rPh sb="2" eb="3">
      <t>リョウ</t>
    </rPh>
    <rPh sb="6" eb="7">
      <t>トウ</t>
    </rPh>
    <rPh sb="7" eb="8">
      <t>ア</t>
    </rPh>
    <rPh sb="12" eb="14">
      <t>キンガク</t>
    </rPh>
    <phoneticPr fontId="4"/>
  </si>
  <si>
    <t>滋賀県</t>
    <phoneticPr fontId="4"/>
  </si>
  <si>
    <t>株式会社 建築企画(高知)</t>
    <rPh sb="0" eb="2">
      <t>カブシキ</t>
    </rPh>
    <rPh sb="2" eb="4">
      <t>カイシャ</t>
    </rPh>
    <rPh sb="5" eb="7">
      <t>ケンチク</t>
    </rPh>
    <rPh sb="7" eb="9">
      <t>キカク</t>
    </rPh>
    <rPh sb="10" eb="12">
      <t>コウチ</t>
    </rPh>
    <phoneticPr fontId="4"/>
  </si>
  <si>
    <t>株式会社 確認サービス</t>
    <phoneticPr fontId="4"/>
  </si>
  <si>
    <t>ドラッグセイムス稲葉</t>
    <rPh sb="8" eb="10">
      <t>イナバ</t>
    </rPh>
    <phoneticPr fontId="4"/>
  </si>
  <si>
    <t>向島1丁目倉庫</t>
    <rPh sb="0" eb="2">
      <t>ムカイジマ</t>
    </rPh>
    <rPh sb="3" eb="5">
      <t>チョウメ</t>
    </rPh>
    <rPh sb="5" eb="7">
      <t>ソウコ</t>
    </rPh>
    <phoneticPr fontId="4"/>
  </si>
  <si>
    <t>カインズホーム名古屋当知</t>
    <rPh sb="7" eb="10">
      <t>ナゴヤ</t>
    </rPh>
    <rPh sb="10" eb="11">
      <t>トウ</t>
    </rPh>
    <rPh sb="11" eb="12">
      <t>チ</t>
    </rPh>
    <phoneticPr fontId="4"/>
  </si>
  <si>
    <t>こだま ぶなしめじ生産施設</t>
    <rPh sb="9" eb="11">
      <t>セイサン</t>
    </rPh>
    <rPh sb="11" eb="13">
      <t>シセツ</t>
    </rPh>
    <phoneticPr fontId="4"/>
  </si>
  <si>
    <t>ビューローベリタスジャパン株式会社（福岡）</t>
    <rPh sb="18" eb="20">
      <t>フクオカ</t>
    </rPh>
    <phoneticPr fontId="4"/>
  </si>
  <si>
    <t>株式会社 伊藤允光建築設計</t>
    <phoneticPr fontId="4"/>
  </si>
  <si>
    <t>岡本設計</t>
    <rPh sb="0" eb="2">
      <t>オカモト</t>
    </rPh>
    <rPh sb="2" eb="4">
      <t>セッケイ</t>
    </rPh>
    <phoneticPr fontId="4"/>
  </si>
  <si>
    <t>中部薬品松任東店</t>
    <phoneticPr fontId="4"/>
  </si>
  <si>
    <t>ディサービスまちなか</t>
    <phoneticPr fontId="4"/>
  </si>
  <si>
    <t>株式会社 ナカモト</t>
    <rPh sb="0" eb="2">
      <t>カブシキ</t>
    </rPh>
    <rPh sb="2" eb="4">
      <t>カイシャ</t>
    </rPh>
    <phoneticPr fontId="4"/>
  </si>
  <si>
    <t>株式会社 Ciaociaru建築設計事務所</t>
    <rPh sb="0" eb="2">
      <t>カブシキ</t>
    </rPh>
    <rPh sb="2" eb="4">
      <t>カイシャ</t>
    </rPh>
    <rPh sb="14" eb="16">
      <t>ケンチク</t>
    </rPh>
    <rPh sb="16" eb="18">
      <t>セッケイ</t>
    </rPh>
    <rPh sb="18" eb="20">
      <t>ジム</t>
    </rPh>
    <rPh sb="20" eb="21">
      <t>ショ</t>
    </rPh>
    <phoneticPr fontId="4"/>
  </si>
  <si>
    <t>倉庫</t>
    <phoneticPr fontId="4"/>
  </si>
  <si>
    <t>3</t>
    <phoneticPr fontId="4"/>
  </si>
  <si>
    <t>奈良県</t>
    <phoneticPr fontId="4"/>
  </si>
  <si>
    <t>-</t>
    <phoneticPr fontId="4"/>
  </si>
  <si>
    <t>1-2</t>
    <phoneticPr fontId="4"/>
  </si>
  <si>
    <t>S造</t>
    <phoneticPr fontId="4"/>
  </si>
  <si>
    <t>店舗</t>
    <rPh sb="0" eb="2">
      <t>テンポ</t>
    </rPh>
    <phoneticPr fontId="4"/>
  </si>
  <si>
    <t>3</t>
    <phoneticPr fontId="4"/>
  </si>
  <si>
    <t>たかせao</t>
    <phoneticPr fontId="4"/>
  </si>
  <si>
    <t>株式会社 乃村工藝社</t>
    <rPh sb="0" eb="2">
      <t>カブシキ</t>
    </rPh>
    <rPh sb="2" eb="4">
      <t>カイシャ</t>
    </rPh>
    <rPh sb="5" eb="7">
      <t>ノムラ</t>
    </rPh>
    <rPh sb="7" eb="9">
      <t>コウゲイ</t>
    </rPh>
    <rPh sb="9" eb="10">
      <t>シャ</t>
    </rPh>
    <phoneticPr fontId="4"/>
  </si>
  <si>
    <t>株式会社 桑本建築設計事務所</t>
    <rPh sb="0" eb="2">
      <t>カブシキ</t>
    </rPh>
    <rPh sb="2" eb="4">
      <t>カイシャ</t>
    </rPh>
    <phoneticPr fontId="4"/>
  </si>
  <si>
    <t>株式会社 建築構造センター(広島)</t>
    <rPh sb="14" eb="16">
      <t>ヒロシマ</t>
    </rPh>
    <phoneticPr fontId="4"/>
  </si>
  <si>
    <t>有限会社 豊生建築設計事務所</t>
    <phoneticPr fontId="4"/>
  </si>
  <si>
    <t>株式会社 ディーエス設計</t>
    <rPh sb="0" eb="2">
      <t>カブシキ</t>
    </rPh>
    <rPh sb="2" eb="4">
      <t>カイシャ</t>
    </rPh>
    <rPh sb="10" eb="12">
      <t>セッケイ</t>
    </rPh>
    <phoneticPr fontId="4"/>
  </si>
  <si>
    <t>ビューローベリタスジャパン株式会社(神戸)</t>
    <rPh sb="18" eb="20">
      <t>コウベ</t>
    </rPh>
    <phoneticPr fontId="4"/>
  </si>
  <si>
    <t>ベイシア電器玉造</t>
    <rPh sb="4" eb="6">
      <t>デンキ</t>
    </rPh>
    <phoneticPr fontId="4"/>
  </si>
  <si>
    <t>300円/㎡×4200㎡</t>
    <rPh sb="3" eb="4">
      <t>エン</t>
    </rPh>
    <phoneticPr fontId="4"/>
  </si>
  <si>
    <t>300円/㎡×4060㎡</t>
    <rPh sb="3" eb="4">
      <t>エン</t>
    </rPh>
    <phoneticPr fontId="4"/>
  </si>
  <si>
    <t>300円/㎡×9200㎡</t>
    <rPh sb="3" eb="4">
      <t>エン</t>
    </rPh>
    <phoneticPr fontId="4"/>
  </si>
  <si>
    <t>財団法人 大阪建築防災センター</t>
    <phoneticPr fontId="4"/>
  </si>
  <si>
    <t>財団法人 日本建築総合試験所</t>
    <phoneticPr fontId="4"/>
  </si>
  <si>
    <t>高知県</t>
    <rPh sb="0" eb="2">
      <t>コウチ</t>
    </rPh>
    <rPh sb="2" eb="3">
      <t>ケン</t>
    </rPh>
    <phoneticPr fontId="4"/>
  </si>
  <si>
    <t>高知県</t>
    <phoneticPr fontId="4"/>
  </si>
  <si>
    <t>株式会社 熊谷組</t>
    <rPh sb="0" eb="2">
      <t>カブシキ</t>
    </rPh>
    <rPh sb="2" eb="4">
      <t>カイシャ</t>
    </rPh>
    <rPh sb="5" eb="7">
      <t>クマガイ</t>
    </rPh>
    <rPh sb="7" eb="8">
      <t>クミ</t>
    </rPh>
    <phoneticPr fontId="4"/>
  </si>
  <si>
    <t>茨城県</t>
    <phoneticPr fontId="4"/>
  </si>
  <si>
    <t>3</t>
    <phoneticPr fontId="4"/>
  </si>
  <si>
    <t>有限会社 アーキテクチャ-・ラボ</t>
    <phoneticPr fontId="4"/>
  </si>
  <si>
    <t>-</t>
    <phoneticPr fontId="4"/>
  </si>
  <si>
    <t>株式会社 東日本住宅評価センター</t>
    <phoneticPr fontId="4"/>
  </si>
  <si>
    <t>3</t>
    <phoneticPr fontId="4"/>
  </si>
  <si>
    <t>350円/㎡×36,000㎡</t>
    <rPh sb="3" eb="4">
      <t>エン</t>
    </rPh>
    <phoneticPr fontId="4"/>
  </si>
  <si>
    <t>300円/㎡×11,700㎡</t>
    <rPh sb="3" eb="4">
      <t>エン</t>
    </rPh>
    <phoneticPr fontId="4"/>
  </si>
  <si>
    <t>こと京都</t>
    <rPh sb="2" eb="4">
      <t>キョウト</t>
    </rPh>
    <phoneticPr fontId="4"/>
  </si>
  <si>
    <t>ビューローベリタスジャパン株式会社(大阪)</t>
    <rPh sb="18" eb="20">
      <t>オオサカ</t>
    </rPh>
    <phoneticPr fontId="4"/>
  </si>
  <si>
    <t>日本ERI株式会社(東京)</t>
    <rPh sb="10" eb="12">
      <t>トウキョウ</t>
    </rPh>
    <phoneticPr fontId="4"/>
  </si>
  <si>
    <t>株式会社 建築構造センター(愛媛)</t>
    <rPh sb="14" eb="16">
      <t>エヒメ</t>
    </rPh>
    <phoneticPr fontId="4"/>
  </si>
  <si>
    <t>株式会社 建築構造センター(神奈川)</t>
    <rPh sb="14" eb="17">
      <t>カナガワ</t>
    </rPh>
    <phoneticPr fontId="4"/>
  </si>
  <si>
    <t>設計料：一式</t>
    <rPh sb="0" eb="2">
      <t>セッケイ</t>
    </rPh>
    <rPh sb="2" eb="3">
      <t>リョウ</t>
    </rPh>
    <rPh sb="4" eb="6">
      <t>イッシキ</t>
    </rPh>
    <phoneticPr fontId="4"/>
  </si>
  <si>
    <t>ビューローベリタスジャパン株式会社(東京)</t>
    <rPh sb="18" eb="20">
      <t>トウキョウ</t>
    </rPh>
    <phoneticPr fontId="4"/>
  </si>
  <si>
    <t>株式会社 建築構造センター(佐賀)</t>
    <rPh sb="14" eb="16">
      <t>サガ</t>
    </rPh>
    <phoneticPr fontId="4"/>
  </si>
  <si>
    <t>設計開始日</t>
    <rPh sb="0" eb="2">
      <t>セッケイ</t>
    </rPh>
    <rPh sb="2" eb="4">
      <t>カイシ</t>
    </rPh>
    <rPh sb="4" eb="5">
      <t>ヒ</t>
    </rPh>
    <phoneticPr fontId="4"/>
  </si>
  <si>
    <t>設計終了日</t>
    <rPh sb="0" eb="2">
      <t>セッケイ</t>
    </rPh>
    <rPh sb="2" eb="4">
      <t>シュウリョウ</t>
    </rPh>
    <rPh sb="4" eb="5">
      <t>ヒ</t>
    </rPh>
    <phoneticPr fontId="4"/>
  </si>
  <si>
    <t>-</t>
    <phoneticPr fontId="4"/>
  </si>
  <si>
    <t>改良底：支持層まで</t>
    <rPh sb="0" eb="2">
      <t>カイリョウ</t>
    </rPh>
    <rPh sb="2" eb="3">
      <t>ソコ</t>
    </rPh>
    <rPh sb="4" eb="6">
      <t>シジ</t>
    </rPh>
    <rPh sb="6" eb="7">
      <t>ソウ</t>
    </rPh>
    <phoneticPr fontId="4"/>
  </si>
  <si>
    <t>マセラティ京都</t>
    <phoneticPr fontId="4"/>
  </si>
  <si>
    <t>-</t>
    <phoneticPr fontId="4"/>
  </si>
  <si>
    <t>400円/㎡×4300㎡</t>
    <rPh sb="3" eb="4">
      <t>エン</t>
    </rPh>
    <phoneticPr fontId="4"/>
  </si>
  <si>
    <t>-</t>
    <phoneticPr fontId="4"/>
  </si>
  <si>
    <t>鉄骨重量は2F床を示す。設計料：一式</t>
    <rPh sb="0" eb="2">
      <t>テッコツ</t>
    </rPh>
    <rPh sb="2" eb="4">
      <t>ジュウリョウ</t>
    </rPh>
    <rPh sb="7" eb="8">
      <t>ユカ</t>
    </rPh>
    <rPh sb="9" eb="10">
      <t>シメ</t>
    </rPh>
    <rPh sb="12" eb="14">
      <t>セッケイ</t>
    </rPh>
    <rPh sb="14" eb="15">
      <t>リョウ</t>
    </rPh>
    <rPh sb="16" eb="18">
      <t>イッシキ</t>
    </rPh>
    <phoneticPr fontId="4"/>
  </si>
  <si>
    <t>平板載荷試験実施</t>
    <rPh sb="0" eb="2">
      <t>ヘイバン</t>
    </rPh>
    <rPh sb="2" eb="3">
      <t>サイ</t>
    </rPh>
    <rPh sb="3" eb="4">
      <t>カ</t>
    </rPh>
    <rPh sb="4" eb="6">
      <t>シケン</t>
    </rPh>
    <rPh sb="6" eb="8">
      <t>ジッシ</t>
    </rPh>
    <phoneticPr fontId="4"/>
  </si>
  <si>
    <t>京都府</t>
    <phoneticPr fontId="4"/>
  </si>
  <si>
    <t>兵庫県</t>
    <phoneticPr fontId="4"/>
  </si>
  <si>
    <t>1-2</t>
    <phoneticPr fontId="4"/>
  </si>
  <si>
    <t>3</t>
    <phoneticPr fontId="4"/>
  </si>
  <si>
    <t>富山県 富山市役所</t>
    <rPh sb="0" eb="3">
      <t>トヤマケン</t>
    </rPh>
    <rPh sb="4" eb="6">
      <t>トヤマ</t>
    </rPh>
    <rPh sb="6" eb="9">
      <t>シヤクショ</t>
    </rPh>
    <phoneticPr fontId="4"/>
  </si>
  <si>
    <t>株式会社 建築構造センター(山陰)</t>
    <rPh sb="14" eb="16">
      <t>サンイン</t>
    </rPh>
    <phoneticPr fontId="4"/>
  </si>
  <si>
    <t>有限会社 豊生建築設計事務所</t>
    <phoneticPr fontId="4"/>
  </si>
  <si>
    <t>-</t>
    <phoneticPr fontId="4"/>
  </si>
  <si>
    <t>-</t>
    <phoneticPr fontId="4"/>
  </si>
  <si>
    <t>株式会社 TEAM IWAKIRI JAPAN</t>
    <rPh sb="0" eb="2">
      <t>カブシキ</t>
    </rPh>
    <rPh sb="2" eb="4">
      <t>カイシャ</t>
    </rPh>
    <phoneticPr fontId="4"/>
  </si>
  <si>
    <t>株式会社 ニッテイ建築設計</t>
    <rPh sb="0" eb="2">
      <t>カブシキ</t>
    </rPh>
    <rPh sb="2" eb="4">
      <t>カイシャ</t>
    </rPh>
    <rPh sb="9" eb="11">
      <t>ケンチク</t>
    </rPh>
    <rPh sb="11" eb="13">
      <t>セッケイ</t>
    </rPh>
    <phoneticPr fontId="4"/>
  </si>
  <si>
    <t>-</t>
    <phoneticPr fontId="4"/>
  </si>
  <si>
    <t>イオンタウン成田</t>
    <phoneticPr fontId="4"/>
  </si>
  <si>
    <t>田深建築設計事務所</t>
    <phoneticPr fontId="4"/>
  </si>
  <si>
    <t>株式会社 横河システム建築</t>
    <phoneticPr fontId="4"/>
  </si>
  <si>
    <t>3</t>
    <phoneticPr fontId="4"/>
  </si>
  <si>
    <t>倉庫</t>
    <rPh sb="0" eb="2">
      <t>ソウコ</t>
    </rPh>
    <phoneticPr fontId="4"/>
  </si>
  <si>
    <t>兵庫県</t>
    <phoneticPr fontId="4"/>
  </si>
  <si>
    <t>宮城県</t>
    <phoneticPr fontId="4"/>
  </si>
  <si>
    <t>日東工営 株式会社</t>
    <rPh sb="0" eb="1">
      <t>ニチ</t>
    </rPh>
    <rPh sb="1" eb="2">
      <t>ヒガシ</t>
    </rPh>
    <rPh sb="2" eb="3">
      <t>コウ</t>
    </rPh>
    <rPh sb="5" eb="9">
      <t>カブシキガイシャ</t>
    </rPh>
    <phoneticPr fontId="4"/>
  </si>
  <si>
    <t>千葉県</t>
    <phoneticPr fontId="4"/>
  </si>
  <si>
    <t>有限会社 照井構造事務所</t>
    <rPh sb="0" eb="4">
      <t>ユウゲンガイシャ</t>
    </rPh>
    <rPh sb="5" eb="7">
      <t>テルイ</t>
    </rPh>
    <rPh sb="7" eb="9">
      <t>コウゾウ</t>
    </rPh>
    <rPh sb="9" eb="11">
      <t>ジム</t>
    </rPh>
    <rPh sb="11" eb="12">
      <t>ショ</t>
    </rPh>
    <phoneticPr fontId="4"/>
  </si>
  <si>
    <t>○</t>
    <phoneticPr fontId="4"/>
  </si>
  <si>
    <t>-</t>
    <phoneticPr fontId="4"/>
  </si>
  <si>
    <t>300円/㎡×5200㎡</t>
    <rPh sb="3" eb="4">
      <t>エン</t>
    </rPh>
    <phoneticPr fontId="4"/>
  </si>
  <si>
    <t>川原建築設計事務所</t>
    <rPh sb="0" eb="2">
      <t>カワハラ</t>
    </rPh>
    <rPh sb="2" eb="4">
      <t>ケンチク</t>
    </rPh>
    <rPh sb="4" eb="6">
      <t>セッケイ</t>
    </rPh>
    <rPh sb="6" eb="8">
      <t>ジム</t>
    </rPh>
    <rPh sb="8" eb="9">
      <t>ショ</t>
    </rPh>
    <phoneticPr fontId="4"/>
  </si>
  <si>
    <t>鈴木章仁建築デザイン事務所</t>
    <phoneticPr fontId="4"/>
  </si>
  <si>
    <t>株式会社 丸川建築設計事務所</t>
    <rPh sb="0" eb="2">
      <t>カブシキ</t>
    </rPh>
    <rPh sb="2" eb="4">
      <t>カイシャ</t>
    </rPh>
    <rPh sb="5" eb="7">
      <t>マルカワ</t>
    </rPh>
    <rPh sb="7" eb="9">
      <t>ケンチク</t>
    </rPh>
    <rPh sb="9" eb="11">
      <t>セッケイ</t>
    </rPh>
    <rPh sb="11" eb="13">
      <t>ジム</t>
    </rPh>
    <rPh sb="13" eb="14">
      <t>ショ</t>
    </rPh>
    <phoneticPr fontId="4"/>
  </si>
  <si>
    <t>株式会社 星設計一級建築士事務所</t>
    <rPh sb="0" eb="2">
      <t>カブシキ</t>
    </rPh>
    <rPh sb="2" eb="4">
      <t>カイシャ</t>
    </rPh>
    <phoneticPr fontId="4"/>
  </si>
  <si>
    <t>大和リース 株式会社</t>
    <phoneticPr fontId="4"/>
  </si>
  <si>
    <t>株式会社 I.E.C建築研究所</t>
    <rPh sb="0" eb="2">
      <t>カブシキ</t>
    </rPh>
    <rPh sb="2" eb="4">
      <t>カイシャ</t>
    </rPh>
    <phoneticPr fontId="4"/>
  </si>
  <si>
    <t>わにぶち保育所</t>
    <rPh sb="4" eb="6">
      <t>ホイク</t>
    </rPh>
    <rPh sb="6" eb="7">
      <t>ショ</t>
    </rPh>
    <phoneticPr fontId="4"/>
  </si>
  <si>
    <t>保育所</t>
    <rPh sb="0" eb="2">
      <t>ホイク</t>
    </rPh>
    <rPh sb="2" eb="3">
      <t>ショ</t>
    </rPh>
    <phoneticPr fontId="4"/>
  </si>
  <si>
    <t>1-2</t>
    <phoneticPr fontId="4"/>
  </si>
  <si>
    <t>浜山保育園</t>
    <rPh sb="0" eb="2">
      <t>ハマヤマ</t>
    </rPh>
    <rPh sb="2" eb="5">
      <t>ホイクエン</t>
    </rPh>
    <phoneticPr fontId="4"/>
  </si>
  <si>
    <t>株式会社 中林建築設計事務所</t>
    <rPh sb="0" eb="2">
      <t>カブシキ</t>
    </rPh>
    <rPh sb="2" eb="4">
      <t>カイシャ</t>
    </rPh>
    <rPh sb="5" eb="7">
      <t>ナカバヤシ</t>
    </rPh>
    <rPh sb="7" eb="9">
      <t>ケンチク</t>
    </rPh>
    <rPh sb="9" eb="11">
      <t>セッケイ</t>
    </rPh>
    <rPh sb="11" eb="13">
      <t>ジム</t>
    </rPh>
    <rPh sb="13" eb="14">
      <t>ショ</t>
    </rPh>
    <phoneticPr fontId="4"/>
  </si>
  <si>
    <t>-</t>
    <phoneticPr fontId="4"/>
  </si>
  <si>
    <t>岡田設計</t>
    <rPh sb="0" eb="2">
      <t>オカダ</t>
    </rPh>
    <rPh sb="2" eb="4">
      <t>セッケイ</t>
    </rPh>
    <phoneticPr fontId="4"/>
  </si>
  <si>
    <t>有限会社 ケイズクリエイツ</t>
    <rPh sb="0" eb="2">
      <t>ユウゲン</t>
    </rPh>
    <rPh sb="2" eb="4">
      <t>カイシャ</t>
    </rPh>
    <phoneticPr fontId="4"/>
  </si>
  <si>
    <t>有限会社 杉田建築設計事務所</t>
    <rPh sb="0" eb="2">
      <t>ユウゲン</t>
    </rPh>
    <rPh sb="2" eb="4">
      <t>カイシャ</t>
    </rPh>
    <phoneticPr fontId="4"/>
  </si>
  <si>
    <t>株式会社 塩浜工業</t>
    <rPh sb="0" eb="2">
      <t>カブシキ</t>
    </rPh>
    <rPh sb="2" eb="4">
      <t>カイシャ</t>
    </rPh>
    <rPh sb="5" eb="7">
      <t>シオハマ</t>
    </rPh>
    <rPh sb="7" eb="9">
      <t>コウギョウ</t>
    </rPh>
    <phoneticPr fontId="4"/>
  </si>
  <si>
    <t>財団法人 富山県建築住宅センター</t>
    <phoneticPr fontId="4"/>
  </si>
  <si>
    <t>350円/㎡×4000㎡ ＋ JA棟40万</t>
    <rPh sb="3" eb="4">
      <t>エン</t>
    </rPh>
    <rPh sb="17" eb="18">
      <t>トウ</t>
    </rPh>
    <rPh sb="20" eb="21">
      <t>マン</t>
    </rPh>
    <phoneticPr fontId="4"/>
  </si>
  <si>
    <t>ハローズ乙島 増築</t>
    <rPh sb="4" eb="5">
      <t>オツ</t>
    </rPh>
    <rPh sb="5" eb="6">
      <t>シマ</t>
    </rPh>
    <rPh sb="7" eb="9">
      <t>ゾウチク</t>
    </rPh>
    <phoneticPr fontId="4"/>
  </si>
  <si>
    <t>-</t>
    <phoneticPr fontId="4"/>
  </si>
  <si>
    <t>-</t>
    <phoneticPr fontId="4"/>
  </si>
  <si>
    <t>宮城県</t>
    <phoneticPr fontId="4"/>
  </si>
  <si>
    <t>岡山県</t>
    <phoneticPr fontId="4"/>
  </si>
  <si>
    <t>株式会社 アルテック総合設計</t>
    <rPh sb="0" eb="2">
      <t>カブシキ</t>
    </rPh>
    <rPh sb="2" eb="4">
      <t>カイシャ</t>
    </rPh>
    <phoneticPr fontId="4"/>
  </si>
  <si>
    <t>株式会社 上野山都市設計</t>
    <phoneticPr fontId="4"/>
  </si>
  <si>
    <t>3F建</t>
    <phoneticPr fontId="4"/>
  </si>
  <si>
    <t>財団法人 三重県建設技術センター</t>
    <phoneticPr fontId="4"/>
  </si>
  <si>
    <t>アール・イー・ジャパン株式会社(大阪)</t>
    <rPh sb="16" eb="18">
      <t>オオサカ</t>
    </rPh>
    <phoneticPr fontId="4"/>
  </si>
  <si>
    <t>-</t>
    <phoneticPr fontId="4"/>
  </si>
  <si>
    <t>コル・一級建築士事務所</t>
    <phoneticPr fontId="4"/>
  </si>
  <si>
    <t>3</t>
    <phoneticPr fontId="4"/>
  </si>
  <si>
    <t>西武建設 株式会社</t>
    <rPh sb="0" eb="2">
      <t>セイブ</t>
    </rPh>
    <rPh sb="2" eb="4">
      <t>ケンセツ</t>
    </rPh>
    <rPh sb="5" eb="7">
      <t>カブシキ</t>
    </rPh>
    <rPh sb="7" eb="9">
      <t>カイシャ</t>
    </rPh>
    <phoneticPr fontId="4"/>
  </si>
  <si>
    <t>株式会社 織本構造設計</t>
    <phoneticPr fontId="4"/>
  </si>
  <si>
    <t>JFEシビル 株式会社</t>
    <rPh sb="7" eb="9">
      <t>カブシキ</t>
    </rPh>
    <rPh sb="9" eb="11">
      <t>カイシャ</t>
    </rPh>
    <phoneticPr fontId="4"/>
  </si>
  <si>
    <t>株式会社 半田建築研究所</t>
    <rPh sb="0" eb="2">
      <t>カブシキ</t>
    </rPh>
    <rPh sb="2" eb="4">
      <t>カイシャ</t>
    </rPh>
    <rPh sb="5" eb="7">
      <t>ハンダ</t>
    </rPh>
    <rPh sb="7" eb="9">
      <t>ケンチク</t>
    </rPh>
    <rPh sb="9" eb="12">
      <t>ケンキュウショ</t>
    </rPh>
    <phoneticPr fontId="4"/>
  </si>
  <si>
    <t>株式会社 田口建築事務所</t>
    <phoneticPr fontId="4"/>
  </si>
  <si>
    <t>株式会社 植木組</t>
    <rPh sb="0" eb="2">
      <t>カブシキ</t>
    </rPh>
    <rPh sb="2" eb="4">
      <t>カイシャ</t>
    </rPh>
    <rPh sb="5" eb="7">
      <t>ウエキ</t>
    </rPh>
    <rPh sb="7" eb="8">
      <t>クミ</t>
    </rPh>
    <phoneticPr fontId="4"/>
  </si>
  <si>
    <t>3</t>
    <phoneticPr fontId="4"/>
  </si>
  <si>
    <t>-</t>
    <phoneticPr fontId="4"/>
  </si>
  <si>
    <t>株式会社 国際確認検査センター</t>
    <phoneticPr fontId="4"/>
  </si>
  <si>
    <t>財団法人 大阪建築防災センター</t>
    <phoneticPr fontId="4"/>
  </si>
  <si>
    <t>東京都 大田区役所</t>
    <rPh sb="0" eb="3">
      <t>トウキョウト</t>
    </rPh>
    <rPh sb="4" eb="6">
      <t>オオタ</t>
    </rPh>
    <rPh sb="6" eb="9">
      <t>クヤクショ</t>
    </rPh>
    <phoneticPr fontId="4"/>
  </si>
  <si>
    <t>3</t>
    <phoneticPr fontId="4"/>
  </si>
  <si>
    <t>バロー西春</t>
    <rPh sb="3" eb="4">
      <t>ニシ</t>
    </rPh>
    <rPh sb="4" eb="5">
      <t>ハル</t>
    </rPh>
    <phoneticPr fontId="4"/>
  </si>
  <si>
    <t>財団法人 日本建築センター</t>
    <phoneticPr fontId="4"/>
  </si>
  <si>
    <t>東京都 大田区役所</t>
    <phoneticPr fontId="4"/>
  </si>
  <si>
    <t>ビッグモーター守山</t>
    <phoneticPr fontId="4"/>
  </si>
  <si>
    <t>関東マツダ朝霞</t>
    <phoneticPr fontId="4"/>
  </si>
  <si>
    <t>ホンダカーズ明舞 学園南</t>
    <phoneticPr fontId="4"/>
  </si>
  <si>
    <t>株式会社 若本建築設計事務所</t>
    <rPh sb="0" eb="2">
      <t>カブシキ</t>
    </rPh>
    <rPh sb="2" eb="4">
      <t>カイシャ</t>
    </rPh>
    <rPh sb="5" eb="7">
      <t>ワカモト</t>
    </rPh>
    <rPh sb="7" eb="9">
      <t>ケンチク</t>
    </rPh>
    <rPh sb="9" eb="11">
      <t>セッケイ</t>
    </rPh>
    <rPh sb="11" eb="13">
      <t>ジム</t>
    </rPh>
    <rPh sb="13" eb="14">
      <t>ショ</t>
    </rPh>
    <phoneticPr fontId="4"/>
  </si>
  <si>
    <t>株式会社 仙台都市整備センター</t>
    <rPh sb="0" eb="2">
      <t>カブシキ</t>
    </rPh>
    <rPh sb="2" eb="4">
      <t>カイシャ</t>
    </rPh>
    <rPh sb="5" eb="7">
      <t>センダイ</t>
    </rPh>
    <rPh sb="7" eb="9">
      <t>トシ</t>
    </rPh>
    <rPh sb="9" eb="11">
      <t>セイビ</t>
    </rPh>
    <phoneticPr fontId="4"/>
  </si>
  <si>
    <t>株式会社 仙台都市整備センター</t>
    <phoneticPr fontId="4"/>
  </si>
  <si>
    <t>株式会社 建築構造センター(東北)</t>
    <rPh sb="14" eb="16">
      <t>トウホク</t>
    </rPh>
    <phoneticPr fontId="4"/>
  </si>
  <si>
    <t>ひまり大庭</t>
    <phoneticPr fontId="4"/>
  </si>
  <si>
    <t>株式会社 タカヤ</t>
    <rPh sb="0" eb="2">
      <t>カブシキ</t>
    </rPh>
    <rPh sb="2" eb="4">
      <t>カイシャ</t>
    </rPh>
    <phoneticPr fontId="4"/>
  </si>
  <si>
    <t>ﾐｬﾝﾏｰ</t>
    <phoneticPr fontId="4"/>
  </si>
  <si>
    <t>3</t>
    <phoneticPr fontId="4"/>
  </si>
  <si>
    <t>北海道</t>
    <rPh sb="0" eb="3">
      <t>ホッカイドウ</t>
    </rPh>
    <phoneticPr fontId="4"/>
  </si>
  <si>
    <t>-</t>
    <phoneticPr fontId="4"/>
  </si>
  <si>
    <t>2</t>
    <phoneticPr fontId="4"/>
  </si>
  <si>
    <t>1-2</t>
    <phoneticPr fontId="4"/>
  </si>
  <si>
    <t>日清食材株式会社工場</t>
    <phoneticPr fontId="4"/>
  </si>
  <si>
    <t>島根県</t>
    <rPh sb="0" eb="3">
      <t>シマネケン</t>
    </rPh>
    <phoneticPr fontId="4"/>
  </si>
  <si>
    <t>株式会社 たいら山口設計</t>
    <rPh sb="0" eb="2">
      <t>カブシキ</t>
    </rPh>
    <rPh sb="2" eb="4">
      <t>カイシャ</t>
    </rPh>
    <rPh sb="8" eb="10">
      <t>ヤマグチ</t>
    </rPh>
    <rPh sb="10" eb="12">
      <t>セッケイ</t>
    </rPh>
    <phoneticPr fontId="4"/>
  </si>
  <si>
    <t>内山建築設計事務所</t>
    <rPh sb="0" eb="2">
      <t>ウチヤマ</t>
    </rPh>
    <rPh sb="2" eb="4">
      <t>ケンチク</t>
    </rPh>
    <rPh sb="4" eb="6">
      <t>セッケイ</t>
    </rPh>
    <rPh sb="6" eb="8">
      <t>ジム</t>
    </rPh>
    <rPh sb="8" eb="9">
      <t>ショ</t>
    </rPh>
    <phoneticPr fontId="4"/>
  </si>
  <si>
    <t>JAファーマーズ</t>
    <phoneticPr fontId="4"/>
  </si>
  <si>
    <t>ファミリーマート平塚広川</t>
    <phoneticPr fontId="4"/>
  </si>
  <si>
    <t>株式会社 内藤ハウス</t>
    <rPh sb="0" eb="2">
      <t>カブシキ</t>
    </rPh>
    <rPh sb="2" eb="4">
      <t>カイシャ</t>
    </rPh>
    <rPh sb="5" eb="7">
      <t>ナイトウ</t>
    </rPh>
    <phoneticPr fontId="4"/>
  </si>
  <si>
    <t>加藤構造設計事務所</t>
    <rPh sb="0" eb="2">
      <t>カトウ</t>
    </rPh>
    <rPh sb="2" eb="4">
      <t>コウゾウ</t>
    </rPh>
    <rPh sb="4" eb="6">
      <t>セッケイ</t>
    </rPh>
    <rPh sb="6" eb="8">
      <t>ジム</t>
    </rPh>
    <rPh sb="8" eb="9">
      <t>ショ</t>
    </rPh>
    <phoneticPr fontId="4"/>
  </si>
  <si>
    <t>-</t>
    <phoneticPr fontId="4"/>
  </si>
  <si>
    <t>3</t>
    <phoneticPr fontId="4"/>
  </si>
  <si>
    <t>株式会社 総合プランニングセンター</t>
    <phoneticPr fontId="4"/>
  </si>
  <si>
    <t>福島県</t>
    <rPh sb="0" eb="3">
      <t>フクシマケン</t>
    </rPh>
    <phoneticPr fontId="4"/>
  </si>
  <si>
    <t>住宅</t>
    <rPh sb="0" eb="2">
      <t>ジュウタク</t>
    </rPh>
    <phoneticPr fontId="4"/>
  </si>
  <si>
    <t>1-1</t>
    <phoneticPr fontId="4"/>
  </si>
  <si>
    <t>群馬県</t>
    <rPh sb="0" eb="3">
      <t>グンマケン</t>
    </rPh>
    <phoneticPr fontId="4"/>
  </si>
  <si>
    <t>ジェイポートリサイクル工場</t>
    <rPh sb="11" eb="13">
      <t>コウジョウ</t>
    </rPh>
    <phoneticPr fontId="4"/>
  </si>
  <si>
    <t>グレースメイト練馬</t>
    <rPh sb="7" eb="9">
      <t>ネリマ</t>
    </rPh>
    <phoneticPr fontId="4"/>
  </si>
  <si>
    <t>株式会社 ラカンデザイン研究所</t>
    <rPh sb="0" eb="2">
      <t>カブシキ</t>
    </rPh>
    <rPh sb="2" eb="4">
      <t>カイシャ</t>
    </rPh>
    <rPh sb="12" eb="15">
      <t>ケンキュウショ</t>
    </rPh>
    <phoneticPr fontId="4"/>
  </si>
  <si>
    <t>株式会社 オムニ設計</t>
    <rPh sb="0" eb="2">
      <t>カブシキ</t>
    </rPh>
    <rPh sb="2" eb="4">
      <t>カイシャ</t>
    </rPh>
    <rPh sb="8" eb="10">
      <t>セッケイ</t>
    </rPh>
    <phoneticPr fontId="4"/>
  </si>
  <si>
    <t>RC造</t>
    <rPh sb="2" eb="3">
      <t>ゾウ</t>
    </rPh>
    <phoneticPr fontId="4"/>
  </si>
  <si>
    <t>3</t>
    <phoneticPr fontId="4"/>
  </si>
  <si>
    <t>-</t>
    <phoneticPr fontId="4"/>
  </si>
  <si>
    <t>株式会社 同人設計</t>
    <rPh sb="0" eb="2">
      <t>カブシキ</t>
    </rPh>
    <rPh sb="2" eb="4">
      <t>カイシャ</t>
    </rPh>
    <rPh sb="5" eb="7">
      <t>ドウジン</t>
    </rPh>
    <rPh sb="7" eb="9">
      <t>セッケイ</t>
    </rPh>
    <phoneticPr fontId="4"/>
  </si>
  <si>
    <t>株式会社 ナカノフドー建設</t>
    <rPh sb="0" eb="2">
      <t>カブシキ</t>
    </rPh>
    <rPh sb="2" eb="4">
      <t>カイシャ</t>
    </rPh>
    <rPh sb="11" eb="13">
      <t>ケンセツ</t>
    </rPh>
    <phoneticPr fontId="4"/>
  </si>
  <si>
    <t>S造</t>
    <rPh sb="1" eb="2">
      <t>ゾウ</t>
    </rPh>
    <phoneticPr fontId="4"/>
  </si>
  <si>
    <t>3</t>
    <phoneticPr fontId="4"/>
  </si>
  <si>
    <t>財団法人 なら建築住宅センター</t>
    <phoneticPr fontId="4"/>
  </si>
  <si>
    <t>-</t>
    <phoneticPr fontId="4"/>
  </si>
  <si>
    <t>○</t>
    <phoneticPr fontId="4"/>
  </si>
  <si>
    <t>施工無</t>
    <rPh sb="0" eb="2">
      <t>セコウ</t>
    </rPh>
    <rPh sb="2" eb="3">
      <t>ナシ</t>
    </rPh>
    <phoneticPr fontId="4"/>
  </si>
  <si>
    <t>財団法人 なら建築住宅センター</t>
    <phoneticPr fontId="4"/>
  </si>
  <si>
    <t>-</t>
    <phoneticPr fontId="4"/>
  </si>
  <si>
    <t>株式会社 イノベーション</t>
    <rPh sb="0" eb="2">
      <t>カブシキ</t>
    </rPh>
    <rPh sb="2" eb="4">
      <t>カイシャ</t>
    </rPh>
    <phoneticPr fontId="4"/>
  </si>
  <si>
    <t>コマツハウス 株式会社</t>
    <rPh sb="7" eb="9">
      <t>カブシキ</t>
    </rPh>
    <rPh sb="9" eb="11">
      <t>カイシャ</t>
    </rPh>
    <phoneticPr fontId="4"/>
  </si>
  <si>
    <t>川上第一設計事務所</t>
    <rPh sb="0" eb="2">
      <t>カワカミ</t>
    </rPh>
    <rPh sb="2" eb="4">
      <t>ダイイチ</t>
    </rPh>
    <rPh sb="4" eb="6">
      <t>セッケイ</t>
    </rPh>
    <rPh sb="6" eb="8">
      <t>ジム</t>
    </rPh>
    <rPh sb="8" eb="9">
      <t>ショ</t>
    </rPh>
    <phoneticPr fontId="4"/>
  </si>
  <si>
    <t>株式会社 スカイ・サイト</t>
    <rPh sb="0" eb="2">
      <t>カブシキ</t>
    </rPh>
    <rPh sb="2" eb="4">
      <t>カイシャ</t>
    </rPh>
    <phoneticPr fontId="4"/>
  </si>
  <si>
    <t>荒谷構造設計事務所</t>
    <rPh sb="0" eb="2">
      <t>アラタニ</t>
    </rPh>
    <rPh sb="2" eb="4">
      <t>コウゾウ</t>
    </rPh>
    <rPh sb="4" eb="6">
      <t>セッケイ</t>
    </rPh>
    <rPh sb="6" eb="8">
      <t>ジム</t>
    </rPh>
    <rPh sb="8" eb="9">
      <t>ショ</t>
    </rPh>
    <phoneticPr fontId="4"/>
  </si>
  <si>
    <t>株式会社 空間創造社</t>
    <phoneticPr fontId="4"/>
  </si>
  <si>
    <t>株式会社 ティー・アール・ティーサンド</t>
    <phoneticPr fontId="4"/>
  </si>
  <si>
    <t>株式会社 タイト設計</t>
    <phoneticPr fontId="4"/>
  </si>
  <si>
    <t>株式会社 ジャクエツ</t>
    <phoneticPr fontId="4"/>
  </si>
  <si>
    <t>松永建設 一級建築士事務所</t>
    <phoneticPr fontId="4"/>
  </si>
  <si>
    <t>松永建設 一級建築士事務所</t>
    <phoneticPr fontId="4"/>
  </si>
  <si>
    <t>全農岐阜 一級建築士事務所</t>
    <phoneticPr fontId="4"/>
  </si>
  <si>
    <t>全農西日本 一級建築士事務所</t>
    <phoneticPr fontId="4"/>
  </si>
  <si>
    <t>株式会社 朝日建装</t>
    <phoneticPr fontId="4"/>
  </si>
  <si>
    <t>株式会社 中部設計(富山)</t>
    <rPh sb="0" eb="2">
      <t>カブシキ</t>
    </rPh>
    <rPh sb="2" eb="4">
      <t>カイシャ</t>
    </rPh>
    <rPh sb="5" eb="7">
      <t>チュウブ</t>
    </rPh>
    <rPh sb="7" eb="9">
      <t>セッケイ</t>
    </rPh>
    <rPh sb="10" eb="12">
      <t>トヤマ</t>
    </rPh>
    <phoneticPr fontId="4"/>
  </si>
  <si>
    <t>株式会社 ビーイー設計</t>
    <phoneticPr fontId="4"/>
  </si>
  <si>
    <t>株式会社 クオリア設計</t>
    <phoneticPr fontId="4"/>
  </si>
  <si>
    <t>株式会社 アスコ建築構造室</t>
    <phoneticPr fontId="4"/>
  </si>
  <si>
    <t>近藤工業 一級建築士事務所</t>
    <phoneticPr fontId="4"/>
  </si>
  <si>
    <t>株式会社 永井設計(山形)</t>
    <rPh sb="0" eb="2">
      <t>カブシキ</t>
    </rPh>
    <rPh sb="2" eb="4">
      <t>カイシャ</t>
    </rPh>
    <rPh sb="5" eb="7">
      <t>ナガイ</t>
    </rPh>
    <rPh sb="7" eb="9">
      <t>セッケイ</t>
    </rPh>
    <rPh sb="10" eb="12">
      <t>ヤマガタ</t>
    </rPh>
    <phoneticPr fontId="4"/>
  </si>
  <si>
    <t>株式会社 アロー設計</t>
    <phoneticPr fontId="4"/>
  </si>
  <si>
    <t>株式会社 アロー設計</t>
    <phoneticPr fontId="4"/>
  </si>
  <si>
    <t>株式会社 中央建築設計舎</t>
    <phoneticPr fontId="4"/>
  </si>
  <si>
    <t>株式会社 中央建築設計舎</t>
    <phoneticPr fontId="4"/>
  </si>
  <si>
    <t>川原建築設計事務所</t>
    <phoneticPr fontId="4"/>
  </si>
  <si>
    <t>株式会社 山陽設計</t>
    <phoneticPr fontId="4"/>
  </si>
  <si>
    <t>アイ建築企画 株式会社</t>
    <phoneticPr fontId="4"/>
  </si>
  <si>
    <t>株式会社 田中構造設計事務所</t>
    <phoneticPr fontId="4"/>
  </si>
  <si>
    <t>有限会社 シー･アンド･シー事務所</t>
    <phoneticPr fontId="4"/>
  </si>
  <si>
    <t>有限会社 石垣建築事務所</t>
    <phoneticPr fontId="4"/>
  </si>
  <si>
    <t>有限会社 中嶋構造設計</t>
    <phoneticPr fontId="4"/>
  </si>
  <si>
    <t>有限会社 中嶋構造設計</t>
    <phoneticPr fontId="4"/>
  </si>
  <si>
    <t>有限会社 優建築工房</t>
    <phoneticPr fontId="4"/>
  </si>
  <si>
    <t>有限会社 優建築工房</t>
    <phoneticPr fontId="4"/>
  </si>
  <si>
    <t>株式会社 坂川建築設計事務所</t>
    <phoneticPr fontId="4"/>
  </si>
  <si>
    <t>株式会社 構造プランニング</t>
    <phoneticPr fontId="4"/>
  </si>
  <si>
    <t>有限会社 古居構造設計事務所</t>
    <phoneticPr fontId="4"/>
  </si>
  <si>
    <t>構造</t>
    <rPh sb="0" eb="2">
      <t>コウゾウ</t>
    </rPh>
    <phoneticPr fontId="4"/>
  </si>
  <si>
    <t>意匠</t>
    <rPh sb="0" eb="2">
      <t>イショウ</t>
    </rPh>
    <phoneticPr fontId="4"/>
  </si>
  <si>
    <t>有限会社 杉田建築設計事務所</t>
    <phoneticPr fontId="4"/>
  </si>
  <si>
    <t>有限会社 新田建築工学研究所</t>
    <phoneticPr fontId="4"/>
  </si>
  <si>
    <t>有限会社 牛腸設計事務所</t>
    <phoneticPr fontId="4"/>
  </si>
  <si>
    <t>有限会社 宮古建築設計事務所</t>
    <rPh sb="13" eb="14">
      <t>ショ</t>
    </rPh>
    <phoneticPr fontId="4"/>
  </si>
  <si>
    <t>有限会社 レン構造設計事務所</t>
    <rPh sb="7" eb="9">
      <t>コウゾウ</t>
    </rPh>
    <rPh sb="9" eb="11">
      <t>セッケイ</t>
    </rPh>
    <rPh sb="11" eb="13">
      <t>ジム</t>
    </rPh>
    <rPh sb="13" eb="14">
      <t>ショ</t>
    </rPh>
    <phoneticPr fontId="4"/>
  </si>
  <si>
    <t>有限会社 ビュー設計事務所</t>
    <rPh sb="8" eb="10">
      <t>セッケイ</t>
    </rPh>
    <rPh sb="10" eb="12">
      <t>ジム</t>
    </rPh>
    <rPh sb="12" eb="13">
      <t>ショ</t>
    </rPh>
    <phoneticPr fontId="4"/>
  </si>
  <si>
    <t>有限会社 照井構造事務所</t>
    <rPh sb="5" eb="7">
      <t>テルイ</t>
    </rPh>
    <rPh sb="7" eb="9">
      <t>コウゾウ</t>
    </rPh>
    <rPh sb="9" eb="11">
      <t>ジム</t>
    </rPh>
    <rPh sb="11" eb="12">
      <t>ショ</t>
    </rPh>
    <phoneticPr fontId="4"/>
  </si>
  <si>
    <t>有限会社 シー･アンド･シー事務所</t>
    <phoneticPr fontId="4"/>
  </si>
  <si>
    <t>有限会社 建築工房</t>
    <rPh sb="5" eb="7">
      <t>ケンチク</t>
    </rPh>
    <rPh sb="7" eb="9">
      <t>コウボウ</t>
    </rPh>
    <phoneticPr fontId="4"/>
  </si>
  <si>
    <t>有限会社 ケイズクリエイツ</t>
    <rPh sb="0" eb="4">
      <t>ユウゲンガイシャ</t>
    </rPh>
    <phoneticPr fontId="4"/>
  </si>
  <si>
    <t>有限会社 橘高設計</t>
    <rPh sb="5" eb="7">
      <t>キッタカ</t>
    </rPh>
    <rPh sb="7" eb="9">
      <t>セッケイ</t>
    </rPh>
    <phoneticPr fontId="4"/>
  </si>
  <si>
    <t>有限会社 岡村建築設計事務所</t>
    <rPh sb="5" eb="7">
      <t>オカムラ</t>
    </rPh>
    <rPh sb="7" eb="9">
      <t>ケンチク</t>
    </rPh>
    <rPh sb="9" eb="11">
      <t>セッケイ</t>
    </rPh>
    <rPh sb="11" eb="13">
      <t>ジム</t>
    </rPh>
    <rPh sb="13" eb="14">
      <t>ショ</t>
    </rPh>
    <phoneticPr fontId="4"/>
  </si>
  <si>
    <t>有限会社 今井設計</t>
    <rPh sb="5" eb="7">
      <t>イマイ</t>
    </rPh>
    <rPh sb="7" eb="9">
      <t>セッケイ</t>
    </rPh>
    <phoneticPr fontId="4"/>
  </si>
  <si>
    <t>有限会社 稲葉建築事務所</t>
    <rPh sb="5" eb="7">
      <t>イナバ</t>
    </rPh>
    <rPh sb="7" eb="9">
      <t>ケンチク</t>
    </rPh>
    <rPh sb="9" eb="11">
      <t>ジム</t>
    </rPh>
    <rPh sb="11" eb="12">
      <t>ショ</t>
    </rPh>
    <phoneticPr fontId="4"/>
  </si>
  <si>
    <t>有限会社 安藤美樹建築事務所</t>
    <rPh sb="5" eb="7">
      <t>アンドウ</t>
    </rPh>
    <rPh sb="7" eb="9">
      <t>ミキ</t>
    </rPh>
    <rPh sb="9" eb="11">
      <t>ケンチク</t>
    </rPh>
    <rPh sb="11" eb="13">
      <t>ジム</t>
    </rPh>
    <rPh sb="13" eb="14">
      <t>ショ</t>
    </rPh>
    <phoneticPr fontId="4"/>
  </si>
  <si>
    <t>有限会社 アトリエ・むー</t>
    <phoneticPr fontId="4"/>
  </si>
  <si>
    <t>有限会社 LES都市建築設計事務所</t>
    <rPh sb="8" eb="10">
      <t>トシ</t>
    </rPh>
    <rPh sb="10" eb="12">
      <t>ケンチク</t>
    </rPh>
    <rPh sb="12" eb="14">
      <t>セッケイ</t>
    </rPh>
    <rPh sb="14" eb="16">
      <t>ジム</t>
    </rPh>
    <rPh sb="16" eb="17">
      <t>ショ</t>
    </rPh>
    <phoneticPr fontId="4"/>
  </si>
  <si>
    <t>有限会社 AI設計事務所</t>
    <rPh sb="7" eb="9">
      <t>セッケイ</t>
    </rPh>
    <rPh sb="9" eb="11">
      <t>ジム</t>
    </rPh>
    <rPh sb="11" eb="12">
      <t>ショ</t>
    </rPh>
    <phoneticPr fontId="4"/>
  </si>
  <si>
    <t>株式会社 アルファ・ネットコンサルティング＆デザイン</t>
    <phoneticPr fontId="4"/>
  </si>
  <si>
    <t>株式会社 エヌ･エフ･シー一級建築士事務所</t>
    <phoneticPr fontId="4"/>
  </si>
  <si>
    <t>株式会社 ジェイアール西日本ビルト</t>
    <phoneticPr fontId="4"/>
  </si>
  <si>
    <t>株式会社 ジェイアール西日本ビルト</t>
    <phoneticPr fontId="4"/>
  </si>
  <si>
    <t>株式会社 ジェイアール西日本ビルト</t>
    <phoneticPr fontId="4"/>
  </si>
  <si>
    <t>株式会社 RISE構造設計事務所</t>
    <rPh sb="0" eb="2">
      <t>カブシキ</t>
    </rPh>
    <phoneticPr fontId="4"/>
  </si>
  <si>
    <t>株式会社 INABA建築設計事務所</t>
    <phoneticPr fontId="4"/>
  </si>
  <si>
    <t>株式会社 エヌ･エフ･シー一級建築士事務所</t>
    <phoneticPr fontId="4"/>
  </si>
  <si>
    <t>アラタニコウゾウセッケイジムショ</t>
  </si>
  <si>
    <t>ウチヤマケンチクセッケイジムショ</t>
  </si>
  <si>
    <t>カイセッケイジムショ</t>
  </si>
  <si>
    <t>カトウコウゾウセッケイジムショ</t>
  </si>
  <si>
    <t>カブシキカイシャ デムケンチクジムショ</t>
  </si>
  <si>
    <t>カブシキカイシャ ドウジンセッケイ</t>
  </si>
  <si>
    <t>カブシキカイシャ ナイトウハウス</t>
  </si>
  <si>
    <t>カブシキカイシャ ナガイセッケイ(ヤマガタ)</t>
  </si>
  <si>
    <t>カブシキカイシャ ナカバヤシケンチクセッケイジムショ</t>
  </si>
  <si>
    <t>カブシキカイシャ ナカモト</t>
  </si>
  <si>
    <t>カブシキカイシャ ニシイトシケンチクセッケイジムショ</t>
  </si>
  <si>
    <t>カブシキカイシャ ニシヅカコウゾウジムショ</t>
  </si>
  <si>
    <t>カブシキカイシャ ニッテイケンチクセッケイ</t>
  </si>
  <si>
    <t>カブシキカイシャ ネオテック・プランナー</t>
  </si>
  <si>
    <t>カブシキカイシャ ノムラコウゲイシャ</t>
  </si>
  <si>
    <t>カブシキカイシャ パシフィックソウゴウカイハツケンキュウショ</t>
  </si>
  <si>
    <t>カブシキカイシャ ハンダケンチクケンキュウショ</t>
  </si>
  <si>
    <t>カブシキカイシャ ビーイーセッケイ</t>
  </si>
  <si>
    <t>カブシキカイシャ ヒメノクミ</t>
  </si>
  <si>
    <t>カブシキカイシャ ヒラセッケイ</t>
  </si>
  <si>
    <t>カブシキカイシャ フジケンチクセッケイジムショ</t>
  </si>
  <si>
    <t>カブシキカイシャ マツダヒラタセッケイ</t>
  </si>
  <si>
    <t>カブシキカイシャ マルカワケンチクセッケイジムショ</t>
  </si>
  <si>
    <t>カブシキカイシャ ミヤコセッケイキカク</t>
  </si>
  <si>
    <t>カブシキカイシャ ヤマダデザイン</t>
  </si>
  <si>
    <t>カブシキカイシャ ユモトコウムテン</t>
  </si>
  <si>
    <t>カブシキカイシャ ライブセッケイショ</t>
  </si>
  <si>
    <t>カブシキカイシャ ラカンデザインケンキュウショ</t>
  </si>
  <si>
    <t>カブシキカイシャ ワカモトケンチクセッケイジムショ</t>
  </si>
  <si>
    <t>カブシキカイシャ ワキカクセッケイ</t>
  </si>
  <si>
    <t>カワイケンチクセッケイジムショ</t>
  </si>
  <si>
    <t>カワカミダイイチセッケイジムショ</t>
  </si>
  <si>
    <t>カワツケンセツ カブシキカイシャ</t>
  </si>
  <si>
    <t>カワハラケンチクセッケイジムショ</t>
  </si>
  <si>
    <t>キタハラトシプラン</t>
  </si>
  <si>
    <t>クジャクセッケイ カブシキカイシャ</t>
  </si>
  <si>
    <t>コマツハウス カブシキカイシャ</t>
  </si>
  <si>
    <t>サトウケンチクセッケイジムショ</t>
  </si>
  <si>
    <t>サワケンチクセッケイジムショ</t>
  </si>
  <si>
    <t>シムラセッケイイッキュウケンチクシジムショ</t>
  </si>
  <si>
    <t>シンミヒラケンセツ カブシキガイシャ</t>
  </si>
  <si>
    <t>スズヨケンセツ カブシキカイシャ</t>
  </si>
  <si>
    <t>スミノソウゴウセッケイ</t>
  </si>
  <si>
    <t>セイノウケンセツ カブシキカイシャ</t>
  </si>
  <si>
    <t>セイブケンセツ カブシキカイシャ</t>
  </si>
  <si>
    <t>セイルコウゾウセッケイシツ</t>
  </si>
  <si>
    <t>ツチヤケンセツイッキュウケンチクシジムショ</t>
  </si>
  <si>
    <t>ティーアンドピィーセッケイジムショ</t>
  </si>
  <si>
    <t>ニッセイビルドコウギョウカブシキカイシャ</t>
  </si>
  <si>
    <t>ニホンケンセツ カブシキカイシャ</t>
  </si>
  <si>
    <t>ヒイシエキジケンチクセッケイシツ</t>
  </si>
  <si>
    <t>ホンダケンチクセッケイジムショ</t>
  </si>
  <si>
    <t>マサミツケンセツ カブシキカイシャ</t>
  </si>
  <si>
    <t>マツダエース カブシキカイシャ</t>
  </si>
  <si>
    <t>ミズコシケンチクセッケイジムショ</t>
  </si>
  <si>
    <t>ミヤモトセッケイ</t>
  </si>
  <si>
    <t>ムラモトケンセツ カブシキカイシャ</t>
  </si>
  <si>
    <t>モトイケンチクセッケイジムショ</t>
  </si>
  <si>
    <t>モリケンチクジムショ</t>
  </si>
  <si>
    <t>モリシンケンセツ カブシキカイシャ</t>
  </si>
  <si>
    <t>ヤマダ＆スギヤマキョウドウセッケイチーム</t>
  </si>
  <si>
    <t>ヤマダコウゾウセッケイ</t>
  </si>
  <si>
    <t>ヤマダデザイン</t>
  </si>
  <si>
    <t>ユウゲンガイシャ ケイズクリエイツ</t>
  </si>
  <si>
    <t>ワリタセッケイジムショ</t>
  </si>
  <si>
    <t>エヌシーエスケンチクセッケイシツ</t>
    <phoneticPr fontId="4"/>
  </si>
  <si>
    <t>オオタカケンセツカブシキカイシャ</t>
    <phoneticPr fontId="4"/>
  </si>
  <si>
    <t>オカダセッケイ</t>
    <phoneticPr fontId="4"/>
  </si>
  <si>
    <t>オカモトセッケイ</t>
    <phoneticPr fontId="4"/>
  </si>
  <si>
    <t>オカモトセッケイシツ</t>
    <phoneticPr fontId="4"/>
  </si>
  <si>
    <t>カブシキカイシャ イイダセッケイ</t>
    <phoneticPr fontId="4"/>
  </si>
  <si>
    <t>カブシキカイシャ イチケン</t>
    <phoneticPr fontId="4"/>
  </si>
  <si>
    <t>カブシキカイシャ イチムラケンチクセッケイジムショ</t>
    <phoneticPr fontId="4"/>
  </si>
  <si>
    <t>カブシキカイシャ イッスンボウ</t>
    <phoneticPr fontId="4"/>
  </si>
  <si>
    <t>カブシキカイシャ イデクミ</t>
    <phoneticPr fontId="4"/>
  </si>
  <si>
    <t>カブシキカイシャ イトウケンチクセッケイジムショ</t>
    <phoneticPr fontId="4"/>
  </si>
  <si>
    <t>カブシキカイシャ イノベーション</t>
    <phoneticPr fontId="4"/>
  </si>
  <si>
    <t>カブシキカイシャ ウエキクミ</t>
    <phoneticPr fontId="4"/>
  </si>
  <si>
    <t>カブシキカイシャ エストルクトゥーラ</t>
    <phoneticPr fontId="4"/>
  </si>
  <si>
    <t>カブシキカイシャ エルケンチクセッケイジムショ</t>
    <phoneticPr fontId="4"/>
  </si>
  <si>
    <t>カブシキカイシャ オムニセッケイ</t>
    <phoneticPr fontId="4"/>
  </si>
  <si>
    <t>カブシキカイシャ カザケン</t>
    <phoneticPr fontId="4"/>
  </si>
  <si>
    <t>カブシキカイシャ カツラセッケイ</t>
    <phoneticPr fontId="4"/>
  </si>
  <si>
    <t>カブシキカイシャ カナヤマセッケイ</t>
    <phoneticPr fontId="4"/>
  </si>
  <si>
    <t>カブシキカイシャ カメイケンチクコウボウ</t>
    <phoneticPr fontId="4"/>
  </si>
  <si>
    <t>カブシキカイシャ カワイセッケイコウボウ</t>
    <phoneticPr fontId="4"/>
  </si>
  <si>
    <t>カブシキカイシャ キシセッケイ</t>
    <phoneticPr fontId="4"/>
  </si>
  <si>
    <t>カブシキカイシャ キノシタセッケイ</t>
    <phoneticPr fontId="4"/>
  </si>
  <si>
    <t>カブシキカイシャ クマガイクミ</t>
    <phoneticPr fontId="4"/>
  </si>
  <si>
    <t>カブシキカイシャ ケイエーディーイッキュウケンチクシジムショ</t>
    <phoneticPr fontId="4"/>
  </si>
  <si>
    <t>カブシキカイシャ ケンチクキカク(コウチ)</t>
    <phoneticPr fontId="4"/>
  </si>
  <si>
    <t>カブシキカイシャ コウケンセッケイ</t>
    <phoneticPr fontId="4"/>
  </si>
  <si>
    <t>カブシキカイシャ コウゾウプランニング</t>
    <phoneticPr fontId="4"/>
  </si>
  <si>
    <t>カブシキカイシャ コヤスケンチクセッケイジムショ</t>
    <phoneticPr fontId="4"/>
  </si>
  <si>
    <t>カブシキカイシャ シークセッケイ</t>
    <phoneticPr fontId="4"/>
  </si>
  <si>
    <t>カブシキカイシャ シオハマコウギョウ</t>
    <phoneticPr fontId="4"/>
  </si>
  <si>
    <t>カブシキカイシャ シオミ</t>
    <phoneticPr fontId="4"/>
  </si>
  <si>
    <t>カブシキカイシャ シグマコウケン</t>
    <phoneticPr fontId="4"/>
  </si>
  <si>
    <t>カブシキカイシャ ジャクエツ</t>
    <phoneticPr fontId="4"/>
  </si>
  <si>
    <t>カブシキカイシャ シライセッケイ</t>
    <phoneticPr fontId="4"/>
  </si>
  <si>
    <t>カブシキカイシャ シンケンチクセッケイジムショ</t>
    <phoneticPr fontId="4"/>
  </si>
  <si>
    <t>カブシキカイシャ スカイ・サイト</t>
    <phoneticPr fontId="4"/>
  </si>
  <si>
    <t>カブシキカイシャ スミキンシステムケンチク</t>
    <phoneticPr fontId="4"/>
  </si>
  <si>
    <t>カブシキカイシャ タイラヤマグチセッケイ</t>
    <phoneticPr fontId="4"/>
  </si>
  <si>
    <t>カブシキカイシャ タカヤ</t>
    <phoneticPr fontId="4"/>
  </si>
  <si>
    <t>カブシキカイシャ タナカコウゾウセッケイジムショ</t>
    <phoneticPr fontId="4"/>
  </si>
  <si>
    <t>カブシキカイシャ タマオカセッケイ</t>
    <phoneticPr fontId="4"/>
  </si>
  <si>
    <t>カブシキカイシャ チュウブセッケイ(トヤマ)</t>
    <phoneticPr fontId="4"/>
  </si>
  <si>
    <t>カブシキカイシャ チュウブトシケンチクセッケイジムショ</t>
    <phoneticPr fontId="4"/>
  </si>
  <si>
    <t>カブシキカイシャ ソウエンジニアリング</t>
    <phoneticPr fontId="4"/>
  </si>
  <si>
    <t>カブシキカイシャ ディーエスセッケイ</t>
    <phoneticPr fontId="4"/>
  </si>
  <si>
    <t>アイケンチクキカク カブシキカイシャ</t>
    <phoneticPr fontId="4"/>
  </si>
  <si>
    <t>アサヒブロックケンセツ カブシキカイシャ</t>
    <phoneticPr fontId="4"/>
  </si>
  <si>
    <t>カブシキカイシャ プランニングファクトリークラ</t>
    <phoneticPr fontId="4"/>
  </si>
  <si>
    <t>カブシキカイシャ ハナオカトシケンチクセッケイ</t>
    <phoneticPr fontId="4"/>
  </si>
  <si>
    <t>カブシキカイシャ クワモトケンチクセッケイジムショ</t>
    <phoneticPr fontId="4"/>
  </si>
  <si>
    <t>カブシキカイシャ シンセッケイジムショ</t>
    <phoneticPr fontId="4"/>
  </si>
  <si>
    <t>カブシキカイシャ スドウケンチクジムショ</t>
    <phoneticPr fontId="4"/>
  </si>
  <si>
    <t>カブシキカイシャ ホシセッケイイッキュウケンチクシジムショ</t>
    <phoneticPr fontId="4"/>
  </si>
  <si>
    <t>カブシキカイシャ ミノリセッケイ</t>
    <phoneticPr fontId="4"/>
  </si>
  <si>
    <t>カブシキカイシャ アール</t>
    <phoneticPr fontId="4"/>
  </si>
  <si>
    <t>カブシキカイシャ アイセッケイ</t>
    <phoneticPr fontId="4"/>
  </si>
  <si>
    <t>カブシキカイシャ アサカワクミ</t>
    <phoneticPr fontId="4"/>
  </si>
  <si>
    <t>カブシキカイシャ アルテックソウゴウセッケイ</t>
    <phoneticPr fontId="4"/>
  </si>
  <si>
    <t>カブシキカイシャ イイジマケンチクセッケイジムショ</t>
    <phoneticPr fontId="4"/>
  </si>
  <si>
    <t>カンパニー・ハウジングﾔﾏチュウイッキュウケンチクシジムショ</t>
    <phoneticPr fontId="4"/>
  </si>
  <si>
    <t>コル・イッキュウケンチクシジムショ</t>
    <phoneticPr fontId="4"/>
  </si>
  <si>
    <t>サトウセッケイジムショ</t>
    <phoneticPr fontId="4"/>
  </si>
  <si>
    <t>ニットウコウエイ カブシキガイシャ</t>
    <phoneticPr fontId="4"/>
  </si>
  <si>
    <t>ヒロケンチクコウボウ</t>
    <phoneticPr fontId="4"/>
  </si>
  <si>
    <t>ブレンスタッフ カブシキガイシャ</t>
    <phoneticPr fontId="4"/>
  </si>
  <si>
    <t>ホクトコウギョウエンヂニアリング カブシキカイシャ</t>
    <phoneticPr fontId="4"/>
  </si>
  <si>
    <t>アンドウケンセツ カブシキガイシャ</t>
    <phoneticPr fontId="4"/>
  </si>
  <si>
    <t>イッキュウケンチクシジムショ ヤマガミコウゾウキカク</t>
    <phoneticPr fontId="4"/>
  </si>
  <si>
    <t>ナガヤマケンチクセッケイ</t>
    <phoneticPr fontId="4"/>
  </si>
  <si>
    <t>シオノケンチクセッケイジムショ</t>
    <phoneticPr fontId="4"/>
  </si>
  <si>
    <t>カワグチセッケイ</t>
    <phoneticPr fontId="4"/>
  </si>
  <si>
    <t>カブシキガイシャ アークプランニング</t>
    <phoneticPr fontId="4"/>
  </si>
  <si>
    <t>カブシキガイシャ アスコケンチクコウゾウシツ</t>
    <phoneticPr fontId="4"/>
  </si>
  <si>
    <t>カブシキガイシャ アルファ・ネットコンサルティング＆デザイン</t>
    <phoneticPr fontId="4"/>
  </si>
  <si>
    <t>カブシキガイシャ アローセッケイ</t>
    <phoneticPr fontId="4"/>
  </si>
  <si>
    <t>カブシキガイシャ ウェルストンセッケイ</t>
    <phoneticPr fontId="4"/>
  </si>
  <si>
    <t>カブシキガイシャ エス・ディ・フレックス</t>
    <phoneticPr fontId="4"/>
  </si>
  <si>
    <t>カブシキガイシャ エヌ･エフ･シーイッキュウケンチクシジムショ</t>
    <phoneticPr fontId="4"/>
  </si>
  <si>
    <t>カブシキカイシャ クオリアセッケイ</t>
    <phoneticPr fontId="4"/>
  </si>
  <si>
    <t>カブシキガイシャ ジェイアールニシニホンビルト</t>
    <phoneticPr fontId="4"/>
  </si>
  <si>
    <t>カブシキガイシャ シティクリエート</t>
    <phoneticPr fontId="4"/>
  </si>
  <si>
    <t>カブシキカイシャ タイトセッケイ</t>
    <phoneticPr fontId="4"/>
  </si>
  <si>
    <t>カブシキガイシャ ティー・アール・ティーサンド</t>
    <phoneticPr fontId="4"/>
  </si>
  <si>
    <t>カブシキガイシャ ニテカセッケイ</t>
    <phoneticPr fontId="4"/>
  </si>
  <si>
    <t>カブシキガイシャ ネクスコヒガシニホンエリアサポート</t>
    <phoneticPr fontId="4"/>
  </si>
  <si>
    <t>カブシキガイシャ イトウマサミツケンチクセッケイ</t>
    <phoneticPr fontId="4"/>
  </si>
  <si>
    <t>カブシキガイシャ ヨコガワシステムケンチク</t>
    <phoneticPr fontId="4"/>
  </si>
  <si>
    <t>カブシキガイシャ ミキケンチクセッケイジムショ</t>
    <phoneticPr fontId="4"/>
  </si>
  <si>
    <t>カブシキガイシャ ヨシノセッケイケンキュウショ</t>
    <phoneticPr fontId="4"/>
  </si>
  <si>
    <t>カブシキガイシャ キョウエイキカクセッケイ</t>
    <phoneticPr fontId="4"/>
  </si>
  <si>
    <t>カブシキガイシャ キョウリツケンチクセッケイジムショ</t>
    <phoneticPr fontId="4"/>
  </si>
  <si>
    <t>カブシキガイシャ コンドウグミ イッキュウケンチクシジムショ</t>
    <phoneticPr fontId="4"/>
  </si>
  <si>
    <t>カブシキガイシャ クウカンソウゾウシャ</t>
    <phoneticPr fontId="4"/>
  </si>
  <si>
    <t>カブシキガイシャ クリウソウゴウケイカクジムショ</t>
    <phoneticPr fontId="4"/>
  </si>
  <si>
    <t>カブシキガイシャ ケンチクキカク</t>
    <phoneticPr fontId="4"/>
  </si>
  <si>
    <t>カブシキガイシャ ゴカセッケイジムショ</t>
    <phoneticPr fontId="4"/>
  </si>
  <si>
    <t>カブシキガイシャ サカガワケンチクセッケイジムショ</t>
    <phoneticPr fontId="4"/>
  </si>
  <si>
    <t>カブシキガイシャ サンヨウセッケイ</t>
    <phoneticPr fontId="4"/>
  </si>
  <si>
    <t>カブシキガイシャ ウエノヤマトシセッケイ</t>
    <phoneticPr fontId="4"/>
  </si>
  <si>
    <t>カブシキガイシャ オリモトコウゾウセッケイ</t>
    <phoneticPr fontId="4"/>
  </si>
  <si>
    <t>カブシキガイシャ ノビコウゾウジムショ</t>
    <phoneticPr fontId="4"/>
  </si>
  <si>
    <t>カブシキガイシャ ソウゴウプランニングセンター</t>
    <phoneticPr fontId="4"/>
  </si>
  <si>
    <t>カブシキガイシャ サワダコウムテン</t>
    <phoneticPr fontId="4"/>
  </si>
  <si>
    <t>カブシキガイシャ チュウオウケンチクセッケイシャ</t>
    <phoneticPr fontId="4"/>
  </si>
  <si>
    <t>カブシキガイシャ ナカガミセッケイジムショ</t>
    <phoneticPr fontId="4"/>
  </si>
  <si>
    <t>カブシキガイシャ アサヒケンソウ</t>
    <phoneticPr fontId="4"/>
  </si>
  <si>
    <t>カブシキガイシャ タグチケンチクジムショ</t>
    <phoneticPr fontId="4"/>
  </si>
  <si>
    <t>カブシキガイシャ トウハタケンチクジムショ</t>
    <phoneticPr fontId="4"/>
  </si>
  <si>
    <t>カブシキガイシャ マンダイセッケイ</t>
    <phoneticPr fontId="4"/>
  </si>
  <si>
    <t>カブシキガイシャ ノダケンチクセッケイジムショ</t>
    <phoneticPr fontId="4"/>
  </si>
  <si>
    <t>カブシキガイシャ ユウセイケンセツ</t>
    <phoneticPr fontId="4"/>
  </si>
  <si>
    <t>カブシキガイシャ ノアセッケイジムショ</t>
    <phoneticPr fontId="4"/>
  </si>
  <si>
    <t>株式会社 ノア設計事務所</t>
    <phoneticPr fontId="4"/>
  </si>
  <si>
    <t>株式会社 ノア設計事務所</t>
    <phoneticPr fontId="4"/>
  </si>
  <si>
    <t>株式会社 ハコ建築研究所</t>
    <phoneticPr fontId="4"/>
  </si>
  <si>
    <t>株式会社 ハコ建築研究所</t>
    <phoneticPr fontId="4"/>
  </si>
  <si>
    <t>カブシキガイシャ ハコケンチクケンキュウショ</t>
    <phoneticPr fontId="4"/>
  </si>
  <si>
    <t>ヨシキケンチクセッケイジムショ</t>
    <phoneticPr fontId="4"/>
  </si>
  <si>
    <t>キョウリツケンセツ カブシキガイシャ</t>
    <phoneticPr fontId="4"/>
  </si>
  <si>
    <t>ゴウウコンケンチクセッケイジムショ</t>
    <phoneticPr fontId="4"/>
  </si>
  <si>
    <t>コンドウコウギョウ イッキュウケンチクシジムショ</t>
    <phoneticPr fontId="4"/>
  </si>
  <si>
    <t>コンドウコウギョウ カブシキガイシャ</t>
    <phoneticPr fontId="4"/>
  </si>
  <si>
    <t>ケンチクジムショレスパス</t>
    <phoneticPr fontId="4"/>
  </si>
  <si>
    <t>トダケンセツ カブシキガイシャ</t>
    <phoneticPr fontId="4"/>
  </si>
  <si>
    <t>サトウコウゾウセッケイ</t>
    <phoneticPr fontId="4"/>
  </si>
  <si>
    <t>ヤマダアキヒトケンチクセッケイジムショ</t>
    <phoneticPr fontId="4"/>
  </si>
  <si>
    <t>テラドマリサンギョウカブシキガイシャケンチクセッケイジムショ</t>
    <phoneticPr fontId="4"/>
  </si>
  <si>
    <t>シノハラケンチクセッケイジムショ</t>
    <phoneticPr fontId="4"/>
  </si>
  <si>
    <t>マツナガケンセツ イッキュウケンチクシジムショ</t>
    <phoneticPr fontId="4"/>
  </si>
  <si>
    <t>ヌマタケンチクコウゾウジムショ</t>
    <phoneticPr fontId="4"/>
  </si>
  <si>
    <t>モリタセッケイコウム</t>
    <phoneticPr fontId="4"/>
  </si>
  <si>
    <t>クマシロケンセツ カブシキガイシャ</t>
    <phoneticPr fontId="4"/>
  </si>
  <si>
    <t>ナルカワケンセツ イッキュウケンチクシジムショ</t>
    <phoneticPr fontId="4"/>
  </si>
  <si>
    <t>ニシニホンリョカクテツドウ カブシキカイシャ</t>
    <phoneticPr fontId="4"/>
  </si>
  <si>
    <t>カワバタケンチクセッケイジムショ</t>
    <phoneticPr fontId="4"/>
  </si>
  <si>
    <t>フナツセッケイ</t>
    <phoneticPr fontId="4"/>
  </si>
  <si>
    <t>ゼンノウギフ イッキュウケンチクシジムショ</t>
    <phoneticPr fontId="4"/>
  </si>
  <si>
    <t>ゼンノウニシニホン イッキュウケンチクシジムショ</t>
    <phoneticPr fontId="4"/>
  </si>
  <si>
    <t>ダイワリース カブシキガイシャ</t>
    <phoneticPr fontId="4"/>
  </si>
  <si>
    <t>タブカケンチクセッケイジムショ</t>
    <phoneticPr fontId="4"/>
  </si>
  <si>
    <t>ワタナベツネオケンチクセッケイジムショ</t>
    <phoneticPr fontId="4"/>
  </si>
  <si>
    <t>ワタハンコウキ カブシキガイシャ</t>
    <phoneticPr fontId="4"/>
  </si>
  <si>
    <t>ユガミリュウゾウケンチクコウボウ</t>
    <phoneticPr fontId="4"/>
  </si>
  <si>
    <t>ユウゲンガイシャ アーキテクチャ-・ラボ</t>
    <phoneticPr fontId="4"/>
  </si>
  <si>
    <t>ユウゲンガイシャ アトリエ・ムー</t>
    <phoneticPr fontId="4"/>
  </si>
  <si>
    <t>ユウゲンガイシャ アンドウミキケンチクジムショ</t>
    <phoneticPr fontId="4"/>
  </si>
  <si>
    <t>ユウゲンガイシャ イナバケンチクジムショ</t>
    <phoneticPr fontId="4"/>
  </si>
  <si>
    <t>ユウゲンガイシャ イマイセッケイ</t>
    <phoneticPr fontId="4"/>
  </si>
  <si>
    <t>ユウゲンガイシャ オカムラケンチクセッケイジムショ</t>
    <phoneticPr fontId="4"/>
  </si>
  <si>
    <t>ユウゲンガイシャ オカヤマギジュツセンター</t>
    <phoneticPr fontId="4"/>
  </si>
  <si>
    <t>ユウゲンガイシャ キッタカセッケイ</t>
    <phoneticPr fontId="4"/>
  </si>
  <si>
    <t>ユウゲンガイシャ ケンチクコウボウ</t>
    <phoneticPr fontId="4"/>
  </si>
  <si>
    <t>ユウゲンガイシャ シー･アンド･シージムショ</t>
    <phoneticPr fontId="4"/>
  </si>
  <si>
    <t>ユウゲンガイシャ テルイコウゾウジムショ</t>
    <phoneticPr fontId="4"/>
  </si>
  <si>
    <t>ユウゲンガイシャ ビューセッケイジムショ</t>
    <phoneticPr fontId="4"/>
  </si>
  <si>
    <t>ユウゲンガイシャ レンコウゾウセッケイジムショ</t>
    <phoneticPr fontId="4"/>
  </si>
  <si>
    <t>ユウゲンガイシャ ワカマツコウゾウセッケイ</t>
    <phoneticPr fontId="4"/>
  </si>
  <si>
    <t>ユウゲンガイシャ イナガキケンチクセッケイシツ</t>
    <phoneticPr fontId="4"/>
  </si>
  <si>
    <t>ユウゲンガイシャ カトウケンチクセッケイジムショ</t>
    <phoneticPr fontId="4"/>
  </si>
  <si>
    <t>ユウゲンガイシャ ミヤコケンチクセッケイジムショ</t>
    <phoneticPr fontId="4"/>
  </si>
  <si>
    <t>ユウゲンガイシャ ゴチョウセッケイジムショ</t>
    <phoneticPr fontId="4"/>
  </si>
  <si>
    <t>ユウゲンガイシャ フルイコウゾウセッケイジムショ</t>
    <phoneticPr fontId="4"/>
  </si>
  <si>
    <t>ユウゲンガイシャ タカハシヒデケンチクセッケイシツ</t>
    <phoneticPr fontId="4"/>
  </si>
  <si>
    <t>ユウゲンガイシャ ニッタケンチクコウガクケンキュウショ</t>
    <phoneticPr fontId="4"/>
  </si>
  <si>
    <t>ユウゲンガイシャ スギタケンチクセッケイジムショ</t>
    <phoneticPr fontId="4"/>
  </si>
  <si>
    <t>ユウゲンガイシャ イシガキケンチクジムショ</t>
    <phoneticPr fontId="4"/>
  </si>
  <si>
    <t>ユウゲンガイシャ ナカジマコウゾウセッケイ</t>
    <phoneticPr fontId="4"/>
  </si>
  <si>
    <t>ユウゲンガイシャ チュウブセッケイ</t>
    <phoneticPr fontId="4"/>
  </si>
  <si>
    <t>ユウゲンガイシャ フジイケンチクセッケイ</t>
    <phoneticPr fontId="4"/>
  </si>
  <si>
    <t>ユウゲンガイシャ ヒラタケンチクセッケイ</t>
    <phoneticPr fontId="4"/>
  </si>
  <si>
    <t>ユウゲンガイシャ トヨオケンチクセッケイジムショ</t>
    <phoneticPr fontId="4"/>
  </si>
  <si>
    <t>ユウゲンガイシャ ユウケンチクコウボウ</t>
    <phoneticPr fontId="4"/>
  </si>
  <si>
    <t>スズキアキヒトケンチクデザインジムショ</t>
    <phoneticPr fontId="4"/>
  </si>
  <si>
    <t>読み</t>
    <rPh sb="0" eb="1">
      <t>ヨ</t>
    </rPh>
    <phoneticPr fontId="4"/>
  </si>
  <si>
    <t>KAT結城営業所</t>
    <rPh sb="3" eb="5">
      <t>ユウキ</t>
    </rPh>
    <rPh sb="5" eb="7">
      <t>エイギョウ</t>
    </rPh>
    <rPh sb="7" eb="8">
      <t>ショ</t>
    </rPh>
    <phoneticPr fontId="4"/>
  </si>
  <si>
    <t>茨城県</t>
    <rPh sb="0" eb="2">
      <t>イバラギ</t>
    </rPh>
    <rPh sb="2" eb="3">
      <t>ケン</t>
    </rPh>
    <phoneticPr fontId="4"/>
  </si>
  <si>
    <t>細川構造設計室</t>
    <rPh sb="0" eb="2">
      <t>ホソカワ</t>
    </rPh>
    <rPh sb="2" eb="4">
      <t>コウゾウ</t>
    </rPh>
    <rPh sb="4" eb="6">
      <t>セッケイ</t>
    </rPh>
    <rPh sb="6" eb="7">
      <t>シツ</t>
    </rPh>
    <phoneticPr fontId="4"/>
  </si>
  <si>
    <t>細川構造設計室</t>
    <phoneticPr fontId="4"/>
  </si>
  <si>
    <t>ホソカワコウゾウセッケイシツ</t>
    <phoneticPr fontId="4"/>
  </si>
  <si>
    <t>コンドーテック 盛岡営業所</t>
    <rPh sb="8" eb="10">
      <t>モリオカ</t>
    </rPh>
    <rPh sb="10" eb="12">
      <t>エイギョウ</t>
    </rPh>
    <rPh sb="12" eb="13">
      <t>ショ</t>
    </rPh>
    <phoneticPr fontId="4"/>
  </si>
  <si>
    <t>岩手県</t>
    <rPh sb="0" eb="3">
      <t>イワテケン</t>
    </rPh>
    <phoneticPr fontId="4"/>
  </si>
  <si>
    <t>3</t>
    <phoneticPr fontId="4"/>
  </si>
  <si>
    <t>久保構造計画</t>
    <rPh sb="0" eb="2">
      <t>クボ</t>
    </rPh>
    <rPh sb="2" eb="4">
      <t>コウゾウ</t>
    </rPh>
    <rPh sb="4" eb="6">
      <t>ケイカク</t>
    </rPh>
    <phoneticPr fontId="4"/>
  </si>
  <si>
    <t>久保構造計画</t>
    <phoneticPr fontId="4"/>
  </si>
  <si>
    <t>クボコウゾウケイカク</t>
    <phoneticPr fontId="4"/>
  </si>
  <si>
    <t>株式会社 中居敬一都市建築設計</t>
    <rPh sb="0" eb="2">
      <t>カブシキ</t>
    </rPh>
    <rPh sb="2" eb="4">
      <t>カイシャ</t>
    </rPh>
    <rPh sb="5" eb="7">
      <t>ナカイ</t>
    </rPh>
    <rPh sb="7" eb="9">
      <t>ケイイチ</t>
    </rPh>
    <rPh sb="9" eb="11">
      <t>トシ</t>
    </rPh>
    <rPh sb="11" eb="13">
      <t>ケンチク</t>
    </rPh>
    <rPh sb="13" eb="15">
      <t>セッケイ</t>
    </rPh>
    <phoneticPr fontId="4"/>
  </si>
  <si>
    <t>カブシキガイシャ ナカイケイイチトシケンチクセッケイ</t>
    <phoneticPr fontId="4"/>
  </si>
  <si>
    <t>株式会社 中居敬一都市建築設計</t>
    <phoneticPr fontId="4"/>
  </si>
  <si>
    <t>ホームセンターバロー北方</t>
    <rPh sb="10" eb="12">
      <t>キタカタ</t>
    </rPh>
    <phoneticPr fontId="4"/>
  </si>
  <si>
    <t>財団法人 ベターリビング</t>
    <phoneticPr fontId="4"/>
  </si>
  <si>
    <t>ふるさとホーム春日部武里</t>
    <rPh sb="7" eb="10">
      <t>カスカベ</t>
    </rPh>
    <rPh sb="10" eb="11">
      <t>タケ</t>
    </rPh>
    <rPh sb="11" eb="12">
      <t>サト</t>
    </rPh>
    <phoneticPr fontId="4"/>
  </si>
  <si>
    <t>大和リース 株式会社</t>
    <phoneticPr fontId="4"/>
  </si>
  <si>
    <t>龍喜飯店 尼崎倉庫</t>
    <rPh sb="5" eb="7">
      <t>アマガサキ</t>
    </rPh>
    <rPh sb="7" eb="9">
      <t>ソウコ</t>
    </rPh>
    <phoneticPr fontId="4"/>
  </si>
  <si>
    <t>兵庫県</t>
    <phoneticPr fontId="4"/>
  </si>
  <si>
    <t>株式会社 近畿建築設計事務所</t>
    <rPh sb="0" eb="2">
      <t>カブシキ</t>
    </rPh>
    <rPh sb="2" eb="4">
      <t>カイシャ</t>
    </rPh>
    <rPh sb="5" eb="7">
      <t>キンキ</t>
    </rPh>
    <rPh sb="7" eb="9">
      <t>ケンチク</t>
    </rPh>
    <rPh sb="9" eb="11">
      <t>セッケイ</t>
    </rPh>
    <rPh sb="11" eb="13">
      <t>ジム</t>
    </rPh>
    <rPh sb="13" eb="14">
      <t>ショ</t>
    </rPh>
    <phoneticPr fontId="4"/>
  </si>
  <si>
    <t>株式会社 近畿建築設計事務所</t>
    <phoneticPr fontId="4"/>
  </si>
  <si>
    <t>カブシキガイシャ キンキケンチクセッケイジムショ</t>
    <phoneticPr fontId="4"/>
  </si>
  <si>
    <t>3</t>
    <phoneticPr fontId="4"/>
  </si>
  <si>
    <t>岐阜県</t>
    <phoneticPr fontId="4"/>
  </si>
  <si>
    <t>-</t>
    <phoneticPr fontId="4"/>
  </si>
  <si>
    <t>ビューローベリタスジャパン株式会社(御茶ノ水)</t>
    <rPh sb="18" eb="20">
      <t>オチャ</t>
    </rPh>
    <rPh sb="21" eb="22">
      <t>ミズ</t>
    </rPh>
    <phoneticPr fontId="4"/>
  </si>
  <si>
    <t>空間デザイン研究所</t>
    <rPh sb="0" eb="2">
      <t>クウカン</t>
    </rPh>
    <rPh sb="6" eb="9">
      <t>ケンキュウショ</t>
    </rPh>
    <phoneticPr fontId="4"/>
  </si>
  <si>
    <t>空間デザイン研究所</t>
    <phoneticPr fontId="4"/>
  </si>
  <si>
    <t>クウカンデザインケンキュウショ</t>
    <phoneticPr fontId="4"/>
  </si>
  <si>
    <t>中津川リサイクル</t>
    <rPh sb="0" eb="3">
      <t>ナカツガワ</t>
    </rPh>
    <phoneticPr fontId="4"/>
  </si>
  <si>
    <t>岐阜県</t>
    <phoneticPr fontId="4"/>
  </si>
  <si>
    <t>3</t>
    <phoneticPr fontId="4"/>
  </si>
  <si>
    <t>一式、スパン26m</t>
    <rPh sb="0" eb="2">
      <t>イッシキ</t>
    </rPh>
    <phoneticPr fontId="4"/>
  </si>
  <si>
    <t>株式会社 北日本建築検査機構</t>
    <rPh sb="0" eb="2">
      <t>カブシキ</t>
    </rPh>
    <rPh sb="2" eb="4">
      <t>カイシャ</t>
    </rPh>
    <rPh sb="5" eb="6">
      <t>キタ</t>
    </rPh>
    <rPh sb="6" eb="8">
      <t>ニホン</t>
    </rPh>
    <rPh sb="8" eb="10">
      <t>ケンチク</t>
    </rPh>
    <rPh sb="10" eb="12">
      <t>ケンサ</t>
    </rPh>
    <rPh sb="12" eb="14">
      <t>キコウ</t>
    </rPh>
    <phoneticPr fontId="4"/>
  </si>
  <si>
    <t>ハウスプラス確認検査 株式会社</t>
    <rPh sb="6" eb="8">
      <t>カクニン</t>
    </rPh>
    <rPh sb="8" eb="10">
      <t>ケンサ</t>
    </rPh>
    <rPh sb="11" eb="13">
      <t>カブシキ</t>
    </rPh>
    <rPh sb="13" eb="15">
      <t>カイシャ</t>
    </rPh>
    <phoneticPr fontId="4"/>
  </si>
  <si>
    <t>ハウスプラス確認検査 株式会社(東京)</t>
    <rPh sb="16" eb="18">
      <t>トウキョウ</t>
    </rPh>
    <phoneticPr fontId="4"/>
  </si>
  <si>
    <t>財団法人 神奈川県建築安全協会</t>
    <rPh sb="5" eb="9">
      <t>カナガワケン</t>
    </rPh>
    <rPh sb="9" eb="11">
      <t>ケンチク</t>
    </rPh>
    <rPh sb="11" eb="13">
      <t>アンゼン</t>
    </rPh>
    <rPh sb="13" eb="15">
      <t>キョウカイ</t>
    </rPh>
    <phoneticPr fontId="4"/>
  </si>
  <si>
    <t>財団法人 神奈川県建築安全協会</t>
    <phoneticPr fontId="4"/>
  </si>
  <si>
    <t>神奈川県 鎌倉市役所</t>
    <rPh sb="0" eb="4">
      <t>カナガワケン</t>
    </rPh>
    <rPh sb="5" eb="7">
      <t>カマクラ</t>
    </rPh>
    <rPh sb="7" eb="10">
      <t>シヤクショ</t>
    </rPh>
    <phoneticPr fontId="4"/>
  </si>
  <si>
    <t>神奈川県 鎌倉市役所</t>
    <phoneticPr fontId="4"/>
  </si>
  <si>
    <t>キタセキ白岡</t>
    <rPh sb="4" eb="6">
      <t>シラオカ</t>
    </rPh>
    <phoneticPr fontId="4"/>
  </si>
  <si>
    <t>バロー守山小島</t>
    <rPh sb="3" eb="5">
      <t>モリヤマ</t>
    </rPh>
    <rPh sb="5" eb="7">
      <t>コジマ</t>
    </rPh>
    <phoneticPr fontId="4"/>
  </si>
  <si>
    <t>滋賀県</t>
    <phoneticPr fontId="4"/>
  </si>
  <si>
    <t>3</t>
    <phoneticPr fontId="4"/>
  </si>
  <si>
    <t>財団法人 さいたま住宅検査センター</t>
    <phoneticPr fontId="4"/>
  </si>
  <si>
    <t>財団法人 日本建築設備・昇降機センター</t>
    <phoneticPr fontId="4"/>
  </si>
  <si>
    <t>ツルハドラッグ大内</t>
    <rPh sb="7" eb="9">
      <t>オオウチ</t>
    </rPh>
    <phoneticPr fontId="4"/>
  </si>
  <si>
    <t>佐藤建築設計工房</t>
    <rPh sb="0" eb="2">
      <t>サトウ</t>
    </rPh>
    <rPh sb="2" eb="4">
      <t>ケンチク</t>
    </rPh>
    <rPh sb="4" eb="6">
      <t>セッケイ</t>
    </rPh>
    <rPh sb="6" eb="8">
      <t>コウボウ</t>
    </rPh>
    <phoneticPr fontId="4"/>
  </si>
  <si>
    <t>佐藤建築設計工房</t>
    <phoneticPr fontId="4"/>
  </si>
  <si>
    <t>サトウケンチクセッケイコウボウ</t>
    <phoneticPr fontId="4"/>
  </si>
  <si>
    <t>あべ建築設計事務所</t>
    <rPh sb="2" eb="4">
      <t>ケンチク</t>
    </rPh>
    <rPh sb="4" eb="6">
      <t>セッケイ</t>
    </rPh>
    <rPh sb="6" eb="8">
      <t>ジム</t>
    </rPh>
    <rPh sb="8" eb="9">
      <t>ショ</t>
    </rPh>
    <phoneticPr fontId="4"/>
  </si>
  <si>
    <t>アベケンチクセッケイジムショ</t>
    <phoneticPr fontId="4"/>
  </si>
  <si>
    <t>日成ビルド工業 株式会社</t>
    <rPh sb="0" eb="2">
      <t>ニッセイ</t>
    </rPh>
    <rPh sb="5" eb="7">
      <t>コウギョウ</t>
    </rPh>
    <rPh sb="8" eb="10">
      <t>カブシキ</t>
    </rPh>
    <rPh sb="10" eb="12">
      <t>カイシャ</t>
    </rPh>
    <phoneticPr fontId="4"/>
  </si>
  <si>
    <t>日成ビルド工業 株式会社</t>
    <phoneticPr fontId="4"/>
  </si>
  <si>
    <t>-</t>
    <phoneticPr fontId="4"/>
  </si>
  <si>
    <t>株式会社 近畿建築確認検査機構</t>
    <phoneticPr fontId="4"/>
  </si>
  <si>
    <t>有限会社 前本建築設計事務所</t>
    <rPh sb="0" eb="2">
      <t>ユウゲン</t>
    </rPh>
    <rPh sb="2" eb="4">
      <t>カイシャ</t>
    </rPh>
    <rPh sb="5" eb="6">
      <t>マエ</t>
    </rPh>
    <rPh sb="6" eb="7">
      <t>ホン</t>
    </rPh>
    <rPh sb="7" eb="9">
      <t>ケンチク</t>
    </rPh>
    <rPh sb="9" eb="11">
      <t>セッケイ</t>
    </rPh>
    <rPh sb="11" eb="13">
      <t>ジム</t>
    </rPh>
    <rPh sb="13" eb="14">
      <t>ショ</t>
    </rPh>
    <phoneticPr fontId="4"/>
  </si>
  <si>
    <t>有限会社 前本建築設計事務所</t>
    <phoneticPr fontId="4"/>
  </si>
  <si>
    <t>ユウゲンガイシャ マエモトケンチクセッケイジムショ</t>
    <phoneticPr fontId="4"/>
  </si>
  <si>
    <t>株式会社 後藤設計事務所</t>
    <rPh sb="0" eb="2">
      <t>カブシキ</t>
    </rPh>
    <rPh sb="2" eb="4">
      <t>カイシャ</t>
    </rPh>
    <rPh sb="5" eb="7">
      <t>ゴトウ</t>
    </rPh>
    <rPh sb="7" eb="9">
      <t>セッケイ</t>
    </rPh>
    <rPh sb="9" eb="11">
      <t>ジム</t>
    </rPh>
    <rPh sb="11" eb="12">
      <t>ショ</t>
    </rPh>
    <phoneticPr fontId="4"/>
  </si>
  <si>
    <t>株式会社 後藤設計事務所</t>
    <phoneticPr fontId="4"/>
  </si>
  <si>
    <t>カブシキガイシャ ゴトウセッケイジムショ</t>
    <phoneticPr fontId="4"/>
  </si>
  <si>
    <t>-</t>
    <phoneticPr fontId="4"/>
  </si>
  <si>
    <t>ビューローベリタスジャパン株式会社（大坂）</t>
    <rPh sb="18" eb="20">
      <t>オオサカ</t>
    </rPh>
    <phoneticPr fontId="4"/>
  </si>
  <si>
    <t>財団法人 石川県建築住宅センター</t>
    <rPh sb="5" eb="7">
      <t>イシカワ</t>
    </rPh>
    <phoneticPr fontId="4"/>
  </si>
  <si>
    <t>財団法人 石川県建築住宅センター</t>
    <rPh sb="5" eb="7">
      <t>イシカワ</t>
    </rPh>
    <rPh sb="7" eb="8">
      <t>ケン</t>
    </rPh>
    <phoneticPr fontId="4"/>
  </si>
  <si>
    <t>延藤構造設計</t>
    <rPh sb="0" eb="1">
      <t>ノ</t>
    </rPh>
    <rPh sb="1" eb="2">
      <t>フジ</t>
    </rPh>
    <rPh sb="2" eb="4">
      <t>コウゾウ</t>
    </rPh>
    <rPh sb="4" eb="6">
      <t>セッケイ</t>
    </rPh>
    <phoneticPr fontId="4"/>
  </si>
  <si>
    <t>延藤構造設計</t>
    <phoneticPr fontId="4"/>
  </si>
  <si>
    <t>ノブトウコウゾウセッケイ</t>
    <phoneticPr fontId="4"/>
  </si>
  <si>
    <t>有限会社 石山建築研究所</t>
    <rPh sb="0" eb="2">
      <t>ユウゲン</t>
    </rPh>
    <rPh sb="2" eb="4">
      <t>カイシャ</t>
    </rPh>
    <rPh sb="5" eb="7">
      <t>イシヤマ</t>
    </rPh>
    <rPh sb="7" eb="9">
      <t>ケンチク</t>
    </rPh>
    <rPh sb="9" eb="12">
      <t>ケンキュウショ</t>
    </rPh>
    <phoneticPr fontId="4"/>
  </si>
  <si>
    <t>有限会社 石山建築研究所</t>
    <phoneticPr fontId="4"/>
  </si>
  <si>
    <t>ユウゲンガイシャ イシヤマケンチクケンキュウショ</t>
    <phoneticPr fontId="4"/>
  </si>
  <si>
    <t>2</t>
    <phoneticPr fontId="4"/>
  </si>
  <si>
    <t>べた基礎</t>
    <rPh sb="2" eb="4">
      <t>キソ</t>
    </rPh>
    <phoneticPr fontId="4"/>
  </si>
  <si>
    <t>展望台</t>
    <rPh sb="0" eb="3">
      <t>テンボウダイ</t>
    </rPh>
    <phoneticPr fontId="4"/>
  </si>
  <si>
    <t>有限会社 ユウエスプラン</t>
    <rPh sb="0" eb="2">
      <t>ユウゲン</t>
    </rPh>
    <rPh sb="2" eb="4">
      <t>カイシャ</t>
    </rPh>
    <phoneticPr fontId="4"/>
  </si>
  <si>
    <t>有限会社 ユウエスプラン</t>
    <phoneticPr fontId="4"/>
  </si>
  <si>
    <t>ユウゲンガイシャ ユウエスプラン</t>
    <phoneticPr fontId="4"/>
  </si>
  <si>
    <t>財団法人 大分県建築住宅センター</t>
    <rPh sb="5" eb="7">
      <t>オオイタ</t>
    </rPh>
    <phoneticPr fontId="4"/>
  </si>
  <si>
    <t>財団法人 大分県建築住宅センター</t>
    <phoneticPr fontId="4"/>
  </si>
  <si>
    <t>社団法人 大分県建築士会建築構造技術センター</t>
    <rPh sb="0" eb="2">
      <t>シャダン</t>
    </rPh>
    <rPh sb="2" eb="4">
      <t>ホウジン</t>
    </rPh>
    <rPh sb="5" eb="7">
      <t>オオイタ</t>
    </rPh>
    <rPh sb="7" eb="8">
      <t>ケン</t>
    </rPh>
    <rPh sb="8" eb="10">
      <t>ケンチク</t>
    </rPh>
    <rPh sb="10" eb="11">
      <t>シ</t>
    </rPh>
    <rPh sb="11" eb="12">
      <t>カイ</t>
    </rPh>
    <rPh sb="12" eb="14">
      <t>ケンチク</t>
    </rPh>
    <rPh sb="14" eb="16">
      <t>コウゾウ</t>
    </rPh>
    <rPh sb="16" eb="18">
      <t>ギジュツ</t>
    </rPh>
    <phoneticPr fontId="4"/>
  </si>
  <si>
    <t>社団法人 大分県建築士会建築構造技術センター</t>
    <phoneticPr fontId="4"/>
  </si>
  <si>
    <t>財団法人 長野県建築住宅センター</t>
    <phoneticPr fontId="4"/>
  </si>
  <si>
    <t>株式会社 I.E.C建築研究所</t>
    <phoneticPr fontId="4"/>
  </si>
  <si>
    <t>くすりのレデイ井口</t>
    <phoneticPr fontId="4"/>
  </si>
  <si>
    <t>サウスモール・ミーナ C棟</t>
    <rPh sb="12" eb="13">
      <t>トウ</t>
    </rPh>
    <phoneticPr fontId="4"/>
  </si>
  <si>
    <t>山形県</t>
    <phoneticPr fontId="4"/>
  </si>
  <si>
    <t>3</t>
    <phoneticPr fontId="4"/>
  </si>
  <si>
    <t>財団法人 ベターリビング</t>
    <phoneticPr fontId="4"/>
  </si>
  <si>
    <t>財団法人 大阪建築防災センター</t>
    <phoneticPr fontId="4"/>
  </si>
  <si>
    <t>日本ERI 株式会社</t>
    <phoneticPr fontId="4"/>
  </si>
  <si>
    <t>-</t>
    <phoneticPr fontId="4"/>
  </si>
  <si>
    <t>3</t>
    <phoneticPr fontId="4"/>
  </si>
  <si>
    <t>有限会社 アトリエ・むー</t>
    <phoneticPr fontId="4"/>
  </si>
  <si>
    <t>竹内建築設計事務所</t>
    <rPh sb="0" eb="2">
      <t>タケウチ</t>
    </rPh>
    <rPh sb="2" eb="4">
      <t>ケンチク</t>
    </rPh>
    <rPh sb="4" eb="6">
      <t>セッケイ</t>
    </rPh>
    <rPh sb="6" eb="8">
      <t>ジム</t>
    </rPh>
    <rPh sb="8" eb="9">
      <t>ショ</t>
    </rPh>
    <phoneticPr fontId="4"/>
  </si>
  <si>
    <t>竹内建築設計事務所</t>
    <phoneticPr fontId="4"/>
  </si>
  <si>
    <t>タケウチケンチクセッケイジムショ</t>
    <phoneticPr fontId="4"/>
  </si>
  <si>
    <t>サンライズ産業</t>
    <rPh sb="5" eb="7">
      <t>サンギョウ</t>
    </rPh>
    <phoneticPr fontId="4"/>
  </si>
  <si>
    <t>奈良県</t>
    <phoneticPr fontId="4"/>
  </si>
  <si>
    <t>株式会社 創設計</t>
    <rPh sb="0" eb="2">
      <t>カブシキ</t>
    </rPh>
    <rPh sb="2" eb="4">
      <t>カイシャ</t>
    </rPh>
    <rPh sb="5" eb="6">
      <t>ソウ</t>
    </rPh>
    <rPh sb="6" eb="8">
      <t>セッケイ</t>
    </rPh>
    <phoneticPr fontId="4"/>
  </si>
  <si>
    <t>株式会社 創設計</t>
    <phoneticPr fontId="4"/>
  </si>
  <si>
    <t>カブシキガイシャ ソウセッケイ</t>
    <phoneticPr fontId="4"/>
  </si>
  <si>
    <t>株式会社 ランドブレイン</t>
    <rPh sb="0" eb="2">
      <t>カブシキ</t>
    </rPh>
    <rPh sb="2" eb="4">
      <t>カイシャ</t>
    </rPh>
    <phoneticPr fontId="4"/>
  </si>
  <si>
    <t>株式会社 ランドブレイン</t>
    <phoneticPr fontId="4"/>
  </si>
  <si>
    <t>カブシキガイシャ ランドブレイン</t>
    <phoneticPr fontId="4"/>
  </si>
  <si>
    <t>3</t>
    <phoneticPr fontId="4"/>
  </si>
  <si>
    <t>株式会社 市場建築構造設計事務所</t>
    <rPh sb="0" eb="2">
      <t>カブシキ</t>
    </rPh>
    <rPh sb="2" eb="4">
      <t>カイシャ</t>
    </rPh>
    <rPh sb="5" eb="7">
      <t>イチバ</t>
    </rPh>
    <rPh sb="7" eb="9">
      <t>ケンチク</t>
    </rPh>
    <rPh sb="9" eb="11">
      <t>コウゾウ</t>
    </rPh>
    <rPh sb="11" eb="13">
      <t>セッケイ</t>
    </rPh>
    <rPh sb="13" eb="15">
      <t>ジム</t>
    </rPh>
    <rPh sb="15" eb="16">
      <t>ショ</t>
    </rPh>
    <phoneticPr fontId="4"/>
  </si>
  <si>
    <t>株式会社 市場建築構造設計事務所</t>
    <phoneticPr fontId="4"/>
  </si>
  <si>
    <t>カブシキガイシャ イチバケンチクコウゾウセッケイジムショ</t>
    <phoneticPr fontId="4"/>
  </si>
  <si>
    <t>3</t>
    <phoneticPr fontId="4"/>
  </si>
  <si>
    <t>大江町中央公民館</t>
    <rPh sb="0" eb="2">
      <t>オオエ</t>
    </rPh>
    <rPh sb="2" eb="3">
      <t>チョウ</t>
    </rPh>
    <rPh sb="3" eb="5">
      <t>チュウオウ</t>
    </rPh>
    <rPh sb="5" eb="8">
      <t>コウミンカン</t>
    </rPh>
    <phoneticPr fontId="4"/>
  </si>
  <si>
    <t>山形県</t>
    <phoneticPr fontId="4"/>
  </si>
  <si>
    <t>3</t>
    <phoneticPr fontId="4"/>
  </si>
  <si>
    <t>株式会社 平吹設計事務所</t>
    <rPh sb="0" eb="2">
      <t>カブシキ</t>
    </rPh>
    <rPh sb="2" eb="4">
      <t>カイシャ</t>
    </rPh>
    <rPh sb="5" eb="7">
      <t>ヒラブキ</t>
    </rPh>
    <rPh sb="7" eb="9">
      <t>セッケイ</t>
    </rPh>
    <rPh sb="9" eb="11">
      <t>ジム</t>
    </rPh>
    <rPh sb="11" eb="12">
      <t>ショ</t>
    </rPh>
    <phoneticPr fontId="4"/>
  </si>
  <si>
    <t>カブシキガイシャ ヒラブキセッケイジムショ</t>
    <phoneticPr fontId="4"/>
  </si>
  <si>
    <t>座間2丁目計画</t>
    <rPh sb="0" eb="2">
      <t>ザマ</t>
    </rPh>
    <rPh sb="3" eb="5">
      <t>チョウメ</t>
    </rPh>
    <rPh sb="5" eb="7">
      <t>ケイカク</t>
    </rPh>
    <phoneticPr fontId="4"/>
  </si>
  <si>
    <t>ジラフ建築合同会社</t>
    <rPh sb="3" eb="5">
      <t>ケンチク</t>
    </rPh>
    <rPh sb="5" eb="7">
      <t>ゴウドウ</t>
    </rPh>
    <rPh sb="7" eb="9">
      <t>カイシャ</t>
    </rPh>
    <phoneticPr fontId="4"/>
  </si>
  <si>
    <t>ジラフ建築合同会社</t>
    <phoneticPr fontId="4"/>
  </si>
  <si>
    <t>ジラフケンチクゴウドウガイシャ</t>
    <phoneticPr fontId="4"/>
  </si>
  <si>
    <t>株式会社 日本クラフトラボ</t>
    <rPh sb="0" eb="2">
      <t>カブシキ</t>
    </rPh>
    <rPh sb="2" eb="4">
      <t>ガイシャ</t>
    </rPh>
    <rPh sb="5" eb="7">
      <t>ニホン</t>
    </rPh>
    <phoneticPr fontId="4"/>
  </si>
  <si>
    <t>カブシキガイシャ ニホンクラフトラボ</t>
    <phoneticPr fontId="4"/>
  </si>
  <si>
    <t>株式会社 日本クラフトラボ</t>
    <phoneticPr fontId="4"/>
  </si>
  <si>
    <t>旭北歯科医院</t>
    <rPh sb="0" eb="1">
      <t>アサヒ</t>
    </rPh>
    <rPh sb="1" eb="2">
      <t>キタ</t>
    </rPh>
    <rPh sb="2" eb="4">
      <t>シカ</t>
    </rPh>
    <rPh sb="4" eb="6">
      <t>イイン</t>
    </rPh>
    <phoneticPr fontId="4"/>
  </si>
  <si>
    <t>3</t>
    <phoneticPr fontId="4"/>
  </si>
  <si>
    <t>秋田県</t>
    <rPh sb="0" eb="3">
      <t>アキタケン</t>
    </rPh>
    <phoneticPr fontId="4"/>
  </si>
  <si>
    <t>有限会社 原田構造設計室</t>
    <rPh sb="0" eb="2">
      <t>ユウゲン</t>
    </rPh>
    <rPh sb="2" eb="4">
      <t>カイシャ</t>
    </rPh>
    <rPh sb="5" eb="7">
      <t>ハラダ</t>
    </rPh>
    <rPh sb="7" eb="9">
      <t>コウゾウ</t>
    </rPh>
    <rPh sb="9" eb="11">
      <t>セッケイ</t>
    </rPh>
    <rPh sb="11" eb="12">
      <t>シツ</t>
    </rPh>
    <phoneticPr fontId="4"/>
  </si>
  <si>
    <t>ユウゲンガイシャ ハラダコウゾウセッケイシツ</t>
    <phoneticPr fontId="4"/>
  </si>
  <si>
    <t>-</t>
    <phoneticPr fontId="4"/>
  </si>
  <si>
    <t>ハタノ新工場</t>
    <rPh sb="3" eb="6">
      <t>シンコウジョウ</t>
    </rPh>
    <phoneticPr fontId="4"/>
  </si>
  <si>
    <t>3</t>
    <phoneticPr fontId="4"/>
  </si>
  <si>
    <t>株式会社 横河システム建築</t>
    <rPh sb="0" eb="2">
      <t>カブシキ</t>
    </rPh>
    <rPh sb="2" eb="4">
      <t>カイシャ</t>
    </rPh>
    <rPh sb="5" eb="7">
      <t>ヨコガワ</t>
    </rPh>
    <rPh sb="11" eb="13">
      <t>ケンチク</t>
    </rPh>
    <phoneticPr fontId="4"/>
  </si>
  <si>
    <t>株式会社 裕建築事務所</t>
    <rPh sb="5" eb="6">
      <t>ユウ</t>
    </rPh>
    <rPh sb="6" eb="8">
      <t>ケンチク</t>
    </rPh>
    <rPh sb="8" eb="10">
      <t>ジム</t>
    </rPh>
    <rPh sb="10" eb="11">
      <t>ショ</t>
    </rPh>
    <phoneticPr fontId="4"/>
  </si>
  <si>
    <t>株式会社 裕建築事務所</t>
    <phoneticPr fontId="4"/>
  </si>
  <si>
    <t>カブシキガイシャ ユウケンチクジムショ</t>
    <phoneticPr fontId="4"/>
  </si>
  <si>
    <t>-</t>
    <phoneticPr fontId="4"/>
  </si>
  <si>
    <t>財団法人 兵庫県住宅建築総合センター</t>
    <phoneticPr fontId="4"/>
  </si>
  <si>
    <t>財団法人 さいたま住宅検査センター</t>
    <phoneticPr fontId="4"/>
  </si>
  <si>
    <t>株式会社 ぎふ建築住宅センター</t>
    <phoneticPr fontId="4"/>
  </si>
  <si>
    <t>3</t>
    <phoneticPr fontId="4"/>
  </si>
  <si>
    <t>おおた設計事務所</t>
    <phoneticPr fontId="4"/>
  </si>
  <si>
    <t>オオタセッケイジムショ</t>
    <phoneticPr fontId="4"/>
  </si>
  <si>
    <t>九州児湯フーズ北九州</t>
    <rPh sb="7" eb="10">
      <t>キタキュウシュウ</t>
    </rPh>
    <phoneticPr fontId="4"/>
  </si>
  <si>
    <t>福岡県</t>
    <phoneticPr fontId="4"/>
  </si>
  <si>
    <t>大高建設 株式会社</t>
    <phoneticPr fontId="4"/>
  </si>
  <si>
    <t>株式会社 東京建築検査機構</t>
    <phoneticPr fontId="4"/>
  </si>
  <si>
    <t>有限会社 創建設計</t>
    <rPh sb="0" eb="2">
      <t>ユウゲン</t>
    </rPh>
    <rPh sb="2" eb="4">
      <t>カイシャ</t>
    </rPh>
    <rPh sb="5" eb="6">
      <t>ソウ</t>
    </rPh>
    <rPh sb="6" eb="7">
      <t>ケン</t>
    </rPh>
    <rPh sb="7" eb="9">
      <t>セッケイ</t>
    </rPh>
    <phoneticPr fontId="4"/>
  </si>
  <si>
    <t>有限会社 創建設計</t>
    <phoneticPr fontId="4"/>
  </si>
  <si>
    <t>ユウゲンガイシャ ソウケンセッケイ</t>
    <phoneticPr fontId="4"/>
  </si>
  <si>
    <t>山梨県</t>
    <phoneticPr fontId="4"/>
  </si>
  <si>
    <t>山形県</t>
    <phoneticPr fontId="4"/>
  </si>
  <si>
    <t>ジャパンフードサポート</t>
    <phoneticPr fontId="4"/>
  </si>
  <si>
    <t>バロー甲府昭和</t>
    <rPh sb="3" eb="5">
      <t>コウフ</t>
    </rPh>
    <rPh sb="5" eb="7">
      <t>ショウワ</t>
    </rPh>
    <phoneticPr fontId="4"/>
  </si>
  <si>
    <t>3</t>
    <phoneticPr fontId="4"/>
  </si>
  <si>
    <t>300円/㎡×4400㎡</t>
    <rPh sb="3" eb="4">
      <t>エン</t>
    </rPh>
    <phoneticPr fontId="4"/>
  </si>
  <si>
    <t>有限会社 中部設計</t>
    <phoneticPr fontId="4"/>
  </si>
  <si>
    <t>株式会社 末原建築事務所</t>
    <rPh sb="0" eb="2">
      <t>カブシキ</t>
    </rPh>
    <rPh sb="2" eb="4">
      <t>カイシャ</t>
    </rPh>
    <phoneticPr fontId="4"/>
  </si>
  <si>
    <t>株式会社 末原建築事務所</t>
    <phoneticPr fontId="4"/>
  </si>
  <si>
    <t>カブシキガイシャ スエハラケンチクジムショ</t>
    <phoneticPr fontId="4"/>
  </si>
  <si>
    <t>森田設計工務</t>
    <rPh sb="0" eb="2">
      <t>モリタ</t>
    </rPh>
    <rPh sb="2" eb="4">
      <t>セッケイ</t>
    </rPh>
    <rPh sb="4" eb="6">
      <t>コウム</t>
    </rPh>
    <phoneticPr fontId="4"/>
  </si>
  <si>
    <t>車検場</t>
    <rPh sb="0" eb="2">
      <t>シャケン</t>
    </rPh>
    <rPh sb="2" eb="3">
      <t>ジョウ</t>
    </rPh>
    <phoneticPr fontId="4"/>
  </si>
  <si>
    <t>常盤開発 株式会社</t>
    <rPh sb="0" eb="2">
      <t>トキワ</t>
    </rPh>
    <rPh sb="2" eb="4">
      <t>カイハツ</t>
    </rPh>
    <rPh sb="5" eb="7">
      <t>カブシキ</t>
    </rPh>
    <rPh sb="7" eb="9">
      <t>カイシャ</t>
    </rPh>
    <phoneticPr fontId="4"/>
  </si>
  <si>
    <t>常盤開発 株式会社</t>
    <phoneticPr fontId="4"/>
  </si>
  <si>
    <t>トキワカイハツ カブシキガイシャ</t>
    <phoneticPr fontId="4"/>
  </si>
  <si>
    <t>株式会社 横河システム建築</t>
    <phoneticPr fontId="4"/>
  </si>
  <si>
    <t>南勢建築設計</t>
    <rPh sb="0" eb="1">
      <t>ミナミ</t>
    </rPh>
    <rPh sb="1" eb="2">
      <t>イキオ</t>
    </rPh>
    <rPh sb="2" eb="4">
      <t>ケンチク</t>
    </rPh>
    <rPh sb="4" eb="6">
      <t>セッケイ</t>
    </rPh>
    <phoneticPr fontId="4"/>
  </si>
  <si>
    <t>南勢建築設計</t>
    <phoneticPr fontId="4"/>
  </si>
  <si>
    <t>株式会社 エスデーシー設計</t>
    <rPh sb="0" eb="2">
      <t>カブシキ</t>
    </rPh>
    <rPh sb="2" eb="4">
      <t>ガイシャ</t>
    </rPh>
    <rPh sb="11" eb="13">
      <t>セッケイ</t>
    </rPh>
    <phoneticPr fontId="4"/>
  </si>
  <si>
    <t>株式会社 エスデーシー設計</t>
    <phoneticPr fontId="4"/>
  </si>
  <si>
    <t>ナンセイケンチクセッケイ</t>
    <phoneticPr fontId="4"/>
  </si>
  <si>
    <t>カブシキガイシャ エスデーシーセッケイ</t>
    <phoneticPr fontId="4"/>
  </si>
  <si>
    <t>体育館</t>
    <rPh sb="0" eb="3">
      <t>タイイクカン</t>
    </rPh>
    <phoneticPr fontId="4"/>
  </si>
  <si>
    <t>兵庫県</t>
    <phoneticPr fontId="4"/>
  </si>
  <si>
    <t>株式会社 エス・エー・アイ構造設計事務所</t>
    <rPh sb="0" eb="2">
      <t>カブシキ</t>
    </rPh>
    <rPh sb="2" eb="4">
      <t>カイシャ</t>
    </rPh>
    <rPh sb="13" eb="15">
      <t>コウゾウ</t>
    </rPh>
    <rPh sb="15" eb="17">
      <t>セッケイ</t>
    </rPh>
    <rPh sb="17" eb="19">
      <t>ジム</t>
    </rPh>
    <rPh sb="19" eb="20">
      <t>ショ</t>
    </rPh>
    <phoneticPr fontId="4"/>
  </si>
  <si>
    <t>株式会社 エス・エー・アイ構造設計事務所</t>
    <phoneticPr fontId="4"/>
  </si>
  <si>
    <t>カブシキガイシャ エスエーアイコウゾウセッケイジムショ</t>
    <phoneticPr fontId="4"/>
  </si>
  <si>
    <t>アリオンテック株式会社 第三工場</t>
    <rPh sb="7" eb="9">
      <t>カブシキ</t>
    </rPh>
    <rPh sb="9" eb="11">
      <t>カイシャ</t>
    </rPh>
    <rPh sb="12" eb="13">
      <t>ダイ</t>
    </rPh>
    <rPh sb="13" eb="14">
      <t>サン</t>
    </rPh>
    <rPh sb="14" eb="16">
      <t>コウジョウ</t>
    </rPh>
    <phoneticPr fontId="4"/>
  </si>
  <si>
    <t>山形県</t>
    <phoneticPr fontId="4"/>
  </si>
  <si>
    <t>有限会社 剛設計</t>
    <rPh sb="0" eb="2">
      <t>ユウゲン</t>
    </rPh>
    <rPh sb="2" eb="4">
      <t>カイシャ</t>
    </rPh>
    <rPh sb="5" eb="6">
      <t>ゴウ</t>
    </rPh>
    <rPh sb="6" eb="8">
      <t>セッケイ</t>
    </rPh>
    <phoneticPr fontId="4"/>
  </si>
  <si>
    <t>有限会社 剛設計</t>
    <phoneticPr fontId="4"/>
  </si>
  <si>
    <t>ユウゲンガイシャ ゴウセッケイ</t>
    <phoneticPr fontId="4"/>
  </si>
  <si>
    <t>小野建設 株式会社</t>
    <rPh sb="0" eb="2">
      <t>オノ</t>
    </rPh>
    <rPh sb="2" eb="4">
      <t>ケンセツ</t>
    </rPh>
    <rPh sb="5" eb="7">
      <t>カブシキ</t>
    </rPh>
    <rPh sb="7" eb="9">
      <t>カイシャ</t>
    </rPh>
    <phoneticPr fontId="4"/>
  </si>
  <si>
    <t>小野建設 株式会社</t>
    <phoneticPr fontId="4"/>
  </si>
  <si>
    <t>オノケンセツ カブシキガイシャ</t>
    <phoneticPr fontId="4"/>
  </si>
  <si>
    <t>日立建機(株) 山陰営業所</t>
    <rPh sb="0" eb="2">
      <t>ヒタチ</t>
    </rPh>
    <rPh sb="2" eb="4">
      <t>ケンキ</t>
    </rPh>
    <rPh sb="4" eb="7">
      <t>カブ</t>
    </rPh>
    <rPh sb="8" eb="10">
      <t>サンイン</t>
    </rPh>
    <rPh sb="10" eb="12">
      <t>エイギョウ</t>
    </rPh>
    <rPh sb="12" eb="13">
      <t>ショ</t>
    </rPh>
    <phoneticPr fontId="4"/>
  </si>
  <si>
    <t>3</t>
    <phoneticPr fontId="4"/>
  </si>
  <si>
    <t>株式会社 三宅建築設計事務所</t>
    <rPh sb="0" eb="2">
      <t>カブシキ</t>
    </rPh>
    <rPh sb="2" eb="4">
      <t>カイシャ</t>
    </rPh>
    <rPh sb="5" eb="7">
      <t>ミヤケ</t>
    </rPh>
    <rPh sb="7" eb="9">
      <t>ケンチク</t>
    </rPh>
    <rPh sb="9" eb="11">
      <t>セッケイ</t>
    </rPh>
    <rPh sb="11" eb="13">
      <t>ジム</t>
    </rPh>
    <rPh sb="13" eb="14">
      <t>ショ</t>
    </rPh>
    <phoneticPr fontId="4"/>
  </si>
  <si>
    <t>株式会社 三宅建築設計事務所</t>
    <phoneticPr fontId="4"/>
  </si>
  <si>
    <t>カブシキガイシャ ミヤケケンチクセッケイジムショ</t>
    <phoneticPr fontId="4"/>
  </si>
  <si>
    <t>美濃工業㈱坂本工場D棟</t>
    <rPh sb="0" eb="1">
      <t>ビ</t>
    </rPh>
    <rPh sb="1" eb="2">
      <t>ノウ</t>
    </rPh>
    <rPh sb="2" eb="4">
      <t>コウギョウ</t>
    </rPh>
    <rPh sb="5" eb="7">
      <t>サカモト</t>
    </rPh>
    <rPh sb="7" eb="9">
      <t>コウジョウ</t>
    </rPh>
    <rPh sb="10" eb="11">
      <t>トウ</t>
    </rPh>
    <phoneticPr fontId="4"/>
  </si>
  <si>
    <t>岐阜県</t>
    <phoneticPr fontId="4"/>
  </si>
  <si>
    <t>3</t>
    <phoneticPr fontId="4"/>
  </si>
  <si>
    <t>長谷川茂雄建築設計事務所</t>
    <rPh sb="0" eb="3">
      <t>ハセガワ</t>
    </rPh>
    <rPh sb="3" eb="4">
      <t>シゲル</t>
    </rPh>
    <rPh sb="4" eb="5">
      <t>オス</t>
    </rPh>
    <rPh sb="5" eb="7">
      <t>ケンチク</t>
    </rPh>
    <rPh sb="7" eb="9">
      <t>セッケイ</t>
    </rPh>
    <rPh sb="9" eb="11">
      <t>ジム</t>
    </rPh>
    <rPh sb="11" eb="12">
      <t>ショ</t>
    </rPh>
    <phoneticPr fontId="4"/>
  </si>
  <si>
    <t>長谷川茂雄建築設計事務所</t>
    <phoneticPr fontId="4"/>
  </si>
  <si>
    <t>ハセガワシゲオケンチクセッケイジムショ</t>
    <phoneticPr fontId="4"/>
  </si>
  <si>
    <t>あいづダストセンター会津坂下</t>
    <rPh sb="10" eb="12">
      <t>アイヅ</t>
    </rPh>
    <rPh sb="12" eb="13">
      <t>サカ</t>
    </rPh>
    <rPh sb="13" eb="14">
      <t>シタ</t>
    </rPh>
    <phoneticPr fontId="4"/>
  </si>
  <si>
    <t>奈良県</t>
    <phoneticPr fontId="4"/>
  </si>
  <si>
    <t>WRC造</t>
    <phoneticPr fontId="4"/>
  </si>
  <si>
    <t>1-2</t>
    <phoneticPr fontId="4"/>
  </si>
  <si>
    <t>有限会社 優建築工房</t>
    <rPh sb="0" eb="4">
      <t>ユウゲンガイシャ</t>
    </rPh>
    <rPh sb="5" eb="6">
      <t>ユウ</t>
    </rPh>
    <rPh sb="6" eb="8">
      <t>ケンチク</t>
    </rPh>
    <rPh sb="8" eb="10">
      <t>コウボウ</t>
    </rPh>
    <phoneticPr fontId="4"/>
  </si>
  <si>
    <t>東北企業(株)酒田支店</t>
    <rPh sb="0" eb="2">
      <t>トウホク</t>
    </rPh>
    <rPh sb="2" eb="4">
      <t>キギョウ</t>
    </rPh>
    <rPh sb="4" eb="7">
      <t>カブ</t>
    </rPh>
    <rPh sb="7" eb="9">
      <t>サカタ</t>
    </rPh>
    <rPh sb="9" eb="11">
      <t>シテン</t>
    </rPh>
    <phoneticPr fontId="4"/>
  </si>
  <si>
    <t>山形県</t>
    <phoneticPr fontId="4"/>
  </si>
  <si>
    <t>事務所</t>
    <phoneticPr fontId="4"/>
  </si>
  <si>
    <t>2</t>
    <phoneticPr fontId="4"/>
  </si>
  <si>
    <t>埼玉ダイハツ販売 越谷北店</t>
    <rPh sb="0" eb="2">
      <t>サイタマ</t>
    </rPh>
    <rPh sb="6" eb="8">
      <t>ハンバイ</t>
    </rPh>
    <rPh sb="9" eb="11">
      <t>コシガヤ</t>
    </rPh>
    <rPh sb="11" eb="12">
      <t>キタ</t>
    </rPh>
    <rPh sb="12" eb="13">
      <t>テン</t>
    </rPh>
    <phoneticPr fontId="4"/>
  </si>
  <si>
    <t>3</t>
    <phoneticPr fontId="4"/>
  </si>
  <si>
    <t>株式会社 ACS熊本</t>
    <rPh sb="0" eb="2">
      <t>カブシキ</t>
    </rPh>
    <rPh sb="2" eb="4">
      <t>カイシャ</t>
    </rPh>
    <rPh sb="8" eb="10">
      <t>クマモト</t>
    </rPh>
    <phoneticPr fontId="4"/>
  </si>
  <si>
    <t>ビューローベリタスジャパン株式会社(札幌)</t>
    <rPh sb="18" eb="20">
      <t>サッポロ</t>
    </rPh>
    <phoneticPr fontId="4"/>
  </si>
  <si>
    <t>姫島高架下賃貸建物</t>
    <phoneticPr fontId="4"/>
  </si>
  <si>
    <t>株式会社 みやま建築設計事務所</t>
    <rPh sb="0" eb="2">
      <t>カブシキ</t>
    </rPh>
    <rPh sb="2" eb="4">
      <t>カイシャ</t>
    </rPh>
    <rPh sb="8" eb="10">
      <t>ケンチク</t>
    </rPh>
    <rPh sb="10" eb="12">
      <t>セッケイ</t>
    </rPh>
    <rPh sb="12" eb="14">
      <t>ジム</t>
    </rPh>
    <rPh sb="14" eb="15">
      <t>ショ</t>
    </rPh>
    <phoneticPr fontId="4"/>
  </si>
  <si>
    <t>株式会社 ムカイ設計</t>
    <rPh sb="0" eb="2">
      <t>カブシキ</t>
    </rPh>
    <rPh sb="2" eb="4">
      <t>カイシャ</t>
    </rPh>
    <rPh sb="8" eb="10">
      <t>セッケイ</t>
    </rPh>
    <phoneticPr fontId="4"/>
  </si>
  <si>
    <t>株式会社 ムカイ設計</t>
    <phoneticPr fontId="4"/>
  </si>
  <si>
    <t>事務所</t>
    <phoneticPr fontId="4"/>
  </si>
  <si>
    <t>-</t>
    <phoneticPr fontId="4"/>
  </si>
  <si>
    <t>株式会社 ハンシン建設</t>
    <rPh sb="9" eb="11">
      <t>ケンセツ</t>
    </rPh>
    <phoneticPr fontId="4"/>
  </si>
  <si>
    <t>株式会社 エスパス建築事務所</t>
    <rPh sb="0" eb="2">
      <t>カブシキ</t>
    </rPh>
    <rPh sb="2" eb="4">
      <t>カイシャ</t>
    </rPh>
    <rPh sb="9" eb="11">
      <t>ケンチク</t>
    </rPh>
    <rPh sb="11" eb="13">
      <t>ジム</t>
    </rPh>
    <rPh sb="13" eb="14">
      <t>ショ</t>
    </rPh>
    <phoneticPr fontId="4"/>
  </si>
  <si>
    <t>株式会社 エスパス建築事務所</t>
    <phoneticPr fontId="4"/>
  </si>
  <si>
    <t>株式会社 ハンシン建設</t>
    <phoneticPr fontId="4"/>
  </si>
  <si>
    <t>有限会社 加藤建築設計事務所</t>
    <rPh sb="0" eb="2">
      <t>ユウゲン</t>
    </rPh>
    <rPh sb="2" eb="4">
      <t>カイシャ</t>
    </rPh>
    <rPh sb="5" eb="7">
      <t>カトウ</t>
    </rPh>
    <rPh sb="7" eb="9">
      <t>ケンチク</t>
    </rPh>
    <rPh sb="9" eb="11">
      <t>セッケイ</t>
    </rPh>
    <rPh sb="11" eb="13">
      <t>ジム</t>
    </rPh>
    <rPh sb="13" eb="14">
      <t>ショ</t>
    </rPh>
    <phoneticPr fontId="4"/>
  </si>
  <si>
    <t>財団法人 熊本県建築住宅センター</t>
    <phoneticPr fontId="4"/>
  </si>
  <si>
    <t>ダイハツ広島販売 曙店</t>
    <rPh sb="4" eb="6">
      <t>ヒロシマ</t>
    </rPh>
    <rPh sb="6" eb="8">
      <t>ハンバイ</t>
    </rPh>
    <rPh sb="9" eb="10">
      <t>アケボノ</t>
    </rPh>
    <rPh sb="10" eb="11">
      <t>テン</t>
    </rPh>
    <phoneticPr fontId="4"/>
  </si>
  <si>
    <t>3</t>
    <phoneticPr fontId="4"/>
  </si>
  <si>
    <t>ビューローベリタスジャパン 株式会社</t>
    <phoneticPr fontId="4"/>
  </si>
  <si>
    <t>田原本唐古マンション</t>
    <rPh sb="4" eb="5">
      <t>フル</t>
    </rPh>
    <phoneticPr fontId="4"/>
  </si>
  <si>
    <t>3</t>
    <phoneticPr fontId="4"/>
  </si>
  <si>
    <t>ＳＧＳジャパン 株式会社</t>
    <phoneticPr fontId="4"/>
  </si>
  <si>
    <t>-</t>
    <phoneticPr fontId="4"/>
  </si>
  <si>
    <t>株式会社 建築構造センター(青森)</t>
    <rPh sb="14" eb="16">
      <t>アオモリ</t>
    </rPh>
    <phoneticPr fontId="4"/>
  </si>
  <si>
    <t>広島県 呉市役所</t>
    <rPh sb="0" eb="3">
      <t>ヒロシマケン</t>
    </rPh>
    <rPh sb="4" eb="5">
      <t>クレ</t>
    </rPh>
    <phoneticPr fontId="4"/>
  </si>
  <si>
    <t>広島県 呉市役所</t>
    <phoneticPr fontId="4"/>
  </si>
  <si>
    <t>正覚寺 納骨堂</t>
    <rPh sb="0" eb="3">
      <t>ショウカクジ</t>
    </rPh>
    <rPh sb="4" eb="7">
      <t>ノウコツドウ</t>
    </rPh>
    <phoneticPr fontId="4"/>
  </si>
  <si>
    <t>兵庫県</t>
    <phoneticPr fontId="4"/>
  </si>
  <si>
    <t>WRC造</t>
    <phoneticPr fontId="4"/>
  </si>
  <si>
    <t>納骨堂</t>
    <rPh sb="0" eb="3">
      <t>ノウコツドウ</t>
    </rPh>
    <phoneticPr fontId="4"/>
  </si>
  <si>
    <t>1</t>
    <phoneticPr fontId="4"/>
  </si>
  <si>
    <t>アスコラル構造研究所</t>
    <rPh sb="5" eb="7">
      <t>コウゾウ</t>
    </rPh>
    <rPh sb="7" eb="10">
      <t>ケンキュウショ</t>
    </rPh>
    <phoneticPr fontId="4"/>
  </si>
  <si>
    <t>有限会社 アークスコーベ</t>
    <rPh sb="0" eb="2">
      <t>ユウゲン</t>
    </rPh>
    <rPh sb="2" eb="4">
      <t>カイシャ</t>
    </rPh>
    <phoneticPr fontId="4"/>
  </si>
  <si>
    <t>有限会社 アークスコーベ</t>
    <phoneticPr fontId="4"/>
  </si>
  <si>
    <t>アスコラル構造研究所</t>
    <phoneticPr fontId="4"/>
  </si>
  <si>
    <t>カブシキガイシャ ミヤマケンチクセッケイジムショ</t>
    <phoneticPr fontId="4"/>
  </si>
  <si>
    <t>カブシキガイシャ エスパスケンチクジムショ</t>
    <phoneticPr fontId="4"/>
  </si>
  <si>
    <t>カブシキガイシャ ハンシンケンセツ</t>
    <phoneticPr fontId="4"/>
  </si>
  <si>
    <t>カブシキガイシャ ムカイセッケイ</t>
    <phoneticPr fontId="4"/>
  </si>
  <si>
    <t>ユウゲンガイシャ アークスコーベ</t>
    <phoneticPr fontId="4"/>
  </si>
  <si>
    <t>アスコラルコウゾウケンキュウショ</t>
    <phoneticPr fontId="4"/>
  </si>
  <si>
    <t>青森県 青森市役所</t>
    <rPh sb="0" eb="3">
      <t>アオモリケン</t>
    </rPh>
    <rPh sb="4" eb="6">
      <t>アオモリ</t>
    </rPh>
    <rPh sb="6" eb="9">
      <t>シヤクショ</t>
    </rPh>
    <phoneticPr fontId="4"/>
  </si>
  <si>
    <t>青森県 青森市役所</t>
    <phoneticPr fontId="4"/>
  </si>
  <si>
    <t>財団法人 ふくしま建築住宅センター</t>
    <phoneticPr fontId="4"/>
  </si>
  <si>
    <t>内村電機工務店 倉庫</t>
    <rPh sb="0" eb="2">
      <t>ウチムラ</t>
    </rPh>
    <rPh sb="2" eb="4">
      <t>デンキ</t>
    </rPh>
    <rPh sb="4" eb="7">
      <t>コウムテン</t>
    </rPh>
    <rPh sb="8" eb="10">
      <t>ソウコ</t>
    </rPh>
    <phoneticPr fontId="4"/>
  </si>
  <si>
    <t>塩野建築設計事務所</t>
    <phoneticPr fontId="4"/>
  </si>
  <si>
    <t>有限会社 江角建築事務所</t>
  </si>
  <si>
    <t>有限会社 江角建築事務所</t>
    <rPh sb="0" eb="2">
      <t>ユウゲン</t>
    </rPh>
    <rPh sb="2" eb="4">
      <t>カイシャ</t>
    </rPh>
    <rPh sb="5" eb="7">
      <t>エスミ</t>
    </rPh>
    <rPh sb="7" eb="9">
      <t>ケンチク</t>
    </rPh>
    <rPh sb="9" eb="11">
      <t>ジム</t>
    </rPh>
    <rPh sb="11" eb="12">
      <t>ショ</t>
    </rPh>
    <phoneticPr fontId="4"/>
  </si>
  <si>
    <t>ユウゲンガイシャ エスミケンチクジムショ</t>
    <phoneticPr fontId="4"/>
  </si>
  <si>
    <t>バロー安城</t>
    <rPh sb="3" eb="5">
      <t>アンジョウ</t>
    </rPh>
    <phoneticPr fontId="4"/>
  </si>
  <si>
    <t>3</t>
    <phoneticPr fontId="4"/>
  </si>
  <si>
    <t>エンヂェルハート保育園</t>
    <rPh sb="8" eb="11">
      <t>ホイクエン</t>
    </rPh>
    <phoneticPr fontId="4"/>
  </si>
  <si>
    <t>千葉県</t>
    <phoneticPr fontId="4"/>
  </si>
  <si>
    <t>財団法人 大阪建築防災センター</t>
    <phoneticPr fontId="4"/>
  </si>
  <si>
    <t>広島県庁</t>
    <rPh sb="0" eb="3">
      <t>ヒロシマケン</t>
    </rPh>
    <rPh sb="3" eb="4">
      <t>チョウ</t>
    </rPh>
    <phoneticPr fontId="4"/>
  </si>
  <si>
    <t>広島県庁</t>
    <phoneticPr fontId="4"/>
  </si>
  <si>
    <t>財団法人 日本建築センター</t>
    <phoneticPr fontId="4"/>
  </si>
  <si>
    <t>ユーイック UHEC 株式会社 都市居住評価センター</t>
    <phoneticPr fontId="4"/>
  </si>
  <si>
    <t>千代田機電株式会社小矢部車庫</t>
    <rPh sb="0" eb="3">
      <t>チヨダ</t>
    </rPh>
    <rPh sb="3" eb="5">
      <t>キデン</t>
    </rPh>
    <rPh sb="5" eb="7">
      <t>カブシキ</t>
    </rPh>
    <rPh sb="7" eb="9">
      <t>カイシャ</t>
    </rPh>
    <rPh sb="9" eb="10">
      <t>コ</t>
    </rPh>
    <rPh sb="10" eb="11">
      <t>ヤ</t>
    </rPh>
    <rPh sb="11" eb="12">
      <t>ベ</t>
    </rPh>
    <rPh sb="12" eb="14">
      <t>シャコ</t>
    </rPh>
    <phoneticPr fontId="4"/>
  </si>
  <si>
    <t>車庫</t>
    <rPh sb="0" eb="2">
      <t>シャコ</t>
    </rPh>
    <phoneticPr fontId="4"/>
  </si>
  <si>
    <t>内信寺東三河別院 納骨堂</t>
    <rPh sb="0" eb="1">
      <t>ウチ</t>
    </rPh>
    <rPh sb="1" eb="2">
      <t>シン</t>
    </rPh>
    <rPh sb="2" eb="3">
      <t>テラ</t>
    </rPh>
    <rPh sb="3" eb="4">
      <t>ヒガシ</t>
    </rPh>
    <rPh sb="4" eb="6">
      <t>ミカワ</t>
    </rPh>
    <rPh sb="6" eb="7">
      <t>ベツ</t>
    </rPh>
    <rPh sb="7" eb="8">
      <t>イン</t>
    </rPh>
    <rPh sb="9" eb="12">
      <t>ノウコツドウ</t>
    </rPh>
    <phoneticPr fontId="4"/>
  </si>
  <si>
    <t>葬祭場</t>
    <phoneticPr fontId="4"/>
  </si>
  <si>
    <t>広島県北部建設事務所</t>
    <rPh sb="0" eb="3">
      <t>ヒロシマケン</t>
    </rPh>
    <rPh sb="3" eb="5">
      <t>ホクブ</t>
    </rPh>
    <rPh sb="5" eb="7">
      <t>ケンセツ</t>
    </rPh>
    <rPh sb="7" eb="9">
      <t>ジム</t>
    </rPh>
    <rPh sb="9" eb="10">
      <t>ショ</t>
    </rPh>
    <phoneticPr fontId="4"/>
  </si>
  <si>
    <t>逗子披露山の家</t>
    <rPh sb="0" eb="2">
      <t>ズシ</t>
    </rPh>
    <rPh sb="2" eb="4">
      <t>ヒロウ</t>
    </rPh>
    <rPh sb="4" eb="5">
      <t>ヤマ</t>
    </rPh>
    <rPh sb="6" eb="7">
      <t>イエ</t>
    </rPh>
    <phoneticPr fontId="4"/>
  </si>
  <si>
    <t>RC+木</t>
    <rPh sb="3" eb="4">
      <t>モク</t>
    </rPh>
    <phoneticPr fontId="4"/>
  </si>
  <si>
    <t>財団法人 ふくしま建築住宅センター</t>
    <phoneticPr fontId="4"/>
  </si>
  <si>
    <t>スズキショールーム豊岡</t>
    <rPh sb="9" eb="11">
      <t>トヨオカ</t>
    </rPh>
    <phoneticPr fontId="4"/>
  </si>
  <si>
    <t>協栄マリンテクノロジ</t>
    <rPh sb="0" eb="2">
      <t>キョウエイ</t>
    </rPh>
    <phoneticPr fontId="4"/>
  </si>
  <si>
    <t>中西邸</t>
    <rPh sb="0" eb="2">
      <t>ナカニシ</t>
    </rPh>
    <rPh sb="2" eb="3">
      <t>テイ</t>
    </rPh>
    <phoneticPr fontId="4"/>
  </si>
  <si>
    <t>小西英利建築設計室</t>
    <phoneticPr fontId="4"/>
  </si>
  <si>
    <t>小西英利建築設計室</t>
    <phoneticPr fontId="4"/>
  </si>
  <si>
    <t>コニシヒデトシ ケンチクセッケイシツ</t>
    <phoneticPr fontId="4"/>
  </si>
  <si>
    <t>立花構造設計事務所</t>
    <rPh sb="0" eb="2">
      <t>タチバナ</t>
    </rPh>
    <rPh sb="2" eb="4">
      <t>コウゾウ</t>
    </rPh>
    <rPh sb="4" eb="6">
      <t>セッケイ</t>
    </rPh>
    <rPh sb="6" eb="8">
      <t>ジム</t>
    </rPh>
    <rPh sb="8" eb="9">
      <t>ショ</t>
    </rPh>
    <phoneticPr fontId="4"/>
  </si>
  <si>
    <t>タチバナコウゾウセッケイジムショ</t>
    <phoneticPr fontId="4"/>
  </si>
  <si>
    <t>立花構造設計事務所</t>
    <phoneticPr fontId="4"/>
  </si>
  <si>
    <t>-</t>
    <phoneticPr fontId="4"/>
  </si>
  <si>
    <t>1</t>
    <phoneticPr fontId="4"/>
  </si>
  <si>
    <t>株式会社 奥野設計</t>
    <rPh sb="0" eb="2">
      <t>カブシキ</t>
    </rPh>
    <rPh sb="2" eb="4">
      <t>カイシャ</t>
    </rPh>
    <rPh sb="5" eb="6">
      <t>オク</t>
    </rPh>
    <rPh sb="6" eb="7">
      <t>ノ</t>
    </rPh>
    <rPh sb="7" eb="9">
      <t>セッケイ</t>
    </rPh>
    <phoneticPr fontId="4"/>
  </si>
  <si>
    <t>株式会社 奥野設計</t>
    <phoneticPr fontId="4"/>
  </si>
  <si>
    <t>カブシキガイシャ オクノセッケイ</t>
    <phoneticPr fontId="4"/>
  </si>
  <si>
    <t>カブシキガイシャ テクノス</t>
    <phoneticPr fontId="4"/>
  </si>
  <si>
    <t>K2-DESIGN</t>
    <phoneticPr fontId="4"/>
  </si>
  <si>
    <t>株式会社 アルファ・ネットコンサルティング＆デザイン</t>
    <phoneticPr fontId="4"/>
  </si>
  <si>
    <t>-</t>
    <phoneticPr fontId="4"/>
  </si>
  <si>
    <t>3</t>
    <phoneticPr fontId="4"/>
  </si>
  <si>
    <t>小倉建設 株式会社</t>
    <rPh sb="0" eb="2">
      <t>オグラ</t>
    </rPh>
    <rPh sb="2" eb="4">
      <t>ケンセツ</t>
    </rPh>
    <rPh sb="5" eb="7">
      <t>カブシキ</t>
    </rPh>
    <rPh sb="7" eb="9">
      <t>カイシャ</t>
    </rPh>
    <phoneticPr fontId="4"/>
  </si>
  <si>
    <t>小倉建設 株式会社</t>
    <phoneticPr fontId="4"/>
  </si>
  <si>
    <t>オグラケンセツ カブシキガイシャ</t>
    <phoneticPr fontId="4"/>
  </si>
  <si>
    <t>株式会社 都市建築研究所</t>
    <rPh sb="0" eb="2">
      <t>カブシキ</t>
    </rPh>
    <rPh sb="2" eb="4">
      <t>カイシャ</t>
    </rPh>
    <rPh sb="5" eb="7">
      <t>トシ</t>
    </rPh>
    <rPh sb="7" eb="9">
      <t>ケンチク</t>
    </rPh>
    <rPh sb="9" eb="12">
      <t>ケンキュウショ</t>
    </rPh>
    <phoneticPr fontId="4"/>
  </si>
  <si>
    <t>株式会社 都市建築研究所</t>
    <phoneticPr fontId="4"/>
  </si>
  <si>
    <t>カブシキガイシャ トシケンチクケンキュウショ</t>
    <phoneticPr fontId="4"/>
  </si>
  <si>
    <t>青山設計</t>
    <rPh sb="0" eb="2">
      <t>アオヤマ</t>
    </rPh>
    <rPh sb="2" eb="4">
      <t>セッケイ</t>
    </rPh>
    <phoneticPr fontId="4"/>
  </si>
  <si>
    <t>青山設計</t>
    <phoneticPr fontId="4"/>
  </si>
  <si>
    <t>アオヤマセッケイ</t>
    <phoneticPr fontId="4"/>
  </si>
  <si>
    <t>兵庫県</t>
    <phoneticPr fontId="4"/>
  </si>
  <si>
    <t>ケースリーコンサルティング 株式会社</t>
    <rPh sb="14" eb="16">
      <t>カブシキ</t>
    </rPh>
    <rPh sb="16" eb="18">
      <t>ガイシャ</t>
    </rPh>
    <phoneticPr fontId="4"/>
  </si>
  <si>
    <t>ケースリーコンサルティング 株式会社</t>
    <phoneticPr fontId="4"/>
  </si>
  <si>
    <t>ケースリーコンサルティング カブシキガイシャ</t>
    <phoneticPr fontId="4"/>
  </si>
  <si>
    <t>株式会社 小竹組</t>
    <rPh sb="0" eb="2">
      <t>カブシキ</t>
    </rPh>
    <rPh sb="2" eb="4">
      <t>ガイシャ</t>
    </rPh>
    <rPh sb="5" eb="7">
      <t>コタケ</t>
    </rPh>
    <rPh sb="7" eb="8">
      <t>クミ</t>
    </rPh>
    <phoneticPr fontId="4"/>
  </si>
  <si>
    <t>株式会社 小竹組</t>
    <phoneticPr fontId="4"/>
  </si>
  <si>
    <t>カブシキガイシャ コタケグミ</t>
    <phoneticPr fontId="4"/>
  </si>
  <si>
    <t>株式会社 シグマ構建</t>
    <phoneticPr fontId="4"/>
  </si>
  <si>
    <t>株式会社 インテグリティスカラベ</t>
    <rPh sb="0" eb="2">
      <t>カブシキ</t>
    </rPh>
    <rPh sb="2" eb="4">
      <t>カイシャ</t>
    </rPh>
    <phoneticPr fontId="4"/>
  </si>
  <si>
    <t>株式会社 インテグリティスカラベ</t>
    <phoneticPr fontId="4"/>
  </si>
  <si>
    <t>カブシキガイシャ インテグリティスカラベ</t>
    <phoneticPr fontId="4"/>
  </si>
  <si>
    <t>ATORIE70設計</t>
    <phoneticPr fontId="4"/>
  </si>
  <si>
    <t>マキ建築設計事務所</t>
    <phoneticPr fontId="4"/>
  </si>
  <si>
    <t>マキ建築設計事務所</t>
    <phoneticPr fontId="4"/>
  </si>
  <si>
    <t>マキケンチクセッケイジムショ</t>
    <phoneticPr fontId="4"/>
  </si>
  <si>
    <t>赤谷建築設計事務所</t>
    <phoneticPr fontId="4"/>
  </si>
  <si>
    <t>赤谷建築設計事務所</t>
    <phoneticPr fontId="4"/>
  </si>
  <si>
    <t>アカタニケンチクセッケイジムショ</t>
    <phoneticPr fontId="4"/>
  </si>
  <si>
    <t>函館どっく(株)造船・修繕事務所</t>
    <rPh sb="0" eb="2">
      <t>ハコダテ</t>
    </rPh>
    <rPh sb="5" eb="8">
      <t>カブ</t>
    </rPh>
    <rPh sb="8" eb="10">
      <t>ゾウセン</t>
    </rPh>
    <rPh sb="11" eb="13">
      <t>シュウゼン</t>
    </rPh>
    <rPh sb="13" eb="15">
      <t>ジム</t>
    </rPh>
    <rPh sb="15" eb="16">
      <t>ショ</t>
    </rPh>
    <phoneticPr fontId="4"/>
  </si>
  <si>
    <t>事務所</t>
    <phoneticPr fontId="4"/>
  </si>
  <si>
    <t>3</t>
    <phoneticPr fontId="4"/>
  </si>
  <si>
    <t>株式会社 澄建築設計事務所</t>
    <rPh sb="0" eb="2">
      <t>カブシキ</t>
    </rPh>
    <rPh sb="2" eb="4">
      <t>カイシャ</t>
    </rPh>
    <rPh sb="5" eb="6">
      <t>スミ</t>
    </rPh>
    <rPh sb="6" eb="8">
      <t>ケンチク</t>
    </rPh>
    <rPh sb="8" eb="10">
      <t>セッケイ</t>
    </rPh>
    <rPh sb="10" eb="12">
      <t>ジム</t>
    </rPh>
    <rPh sb="12" eb="13">
      <t>ショ</t>
    </rPh>
    <phoneticPr fontId="4"/>
  </si>
  <si>
    <t>-</t>
    <phoneticPr fontId="4"/>
  </si>
  <si>
    <t>アウェイ建築評価ネット株式会社</t>
    <rPh sb="4" eb="6">
      <t>ケンチク</t>
    </rPh>
    <rPh sb="6" eb="8">
      <t>ヒョウカ</t>
    </rPh>
    <rPh sb="11" eb="13">
      <t>カブシキ</t>
    </rPh>
    <rPh sb="13" eb="15">
      <t>カイシャ</t>
    </rPh>
    <phoneticPr fontId="4"/>
  </si>
  <si>
    <t>千葉県</t>
    <phoneticPr fontId="4"/>
  </si>
  <si>
    <t>店舗</t>
    <phoneticPr fontId="4"/>
  </si>
  <si>
    <t>1-2</t>
    <phoneticPr fontId="4"/>
  </si>
  <si>
    <t>株式会社 新建築設計事務所</t>
    <phoneticPr fontId="4"/>
  </si>
  <si>
    <t>3</t>
    <phoneticPr fontId="4"/>
  </si>
  <si>
    <t>株式会社 澄建築設計事務所</t>
    <phoneticPr fontId="4"/>
  </si>
  <si>
    <t>有限会社 佐々木章設計事務所</t>
    <rPh sb="0" eb="2">
      <t>ユウゲン</t>
    </rPh>
    <rPh sb="2" eb="4">
      <t>カイシャ</t>
    </rPh>
    <rPh sb="5" eb="8">
      <t>ササキ</t>
    </rPh>
    <rPh sb="8" eb="9">
      <t>アキラ</t>
    </rPh>
    <rPh sb="9" eb="11">
      <t>セッケイ</t>
    </rPh>
    <rPh sb="11" eb="13">
      <t>ジム</t>
    </rPh>
    <rPh sb="13" eb="14">
      <t>ショ</t>
    </rPh>
    <phoneticPr fontId="4"/>
  </si>
  <si>
    <t>有限会社 佐々木章設計事務所</t>
    <phoneticPr fontId="4"/>
  </si>
  <si>
    <t>カブシキガイシャ スミケンチクセッケイジムショ</t>
    <phoneticPr fontId="4"/>
  </si>
  <si>
    <t>ユウゲンガイシャ ササキアキラセッケイジムショ</t>
    <phoneticPr fontId="4"/>
  </si>
  <si>
    <t>有限会社 S&amp;A建築事務所</t>
    <rPh sb="0" eb="2">
      <t>ユウゲン</t>
    </rPh>
    <rPh sb="2" eb="4">
      <t>ガイシャ</t>
    </rPh>
    <rPh sb="8" eb="10">
      <t>ケンチク</t>
    </rPh>
    <rPh sb="10" eb="12">
      <t>ジム</t>
    </rPh>
    <rPh sb="12" eb="13">
      <t>ショ</t>
    </rPh>
    <phoneticPr fontId="4"/>
  </si>
  <si>
    <t>八尾楽音寺</t>
    <rPh sb="0" eb="1">
      <t>ハチ</t>
    </rPh>
    <rPh sb="1" eb="2">
      <t>オ</t>
    </rPh>
    <rPh sb="2" eb="3">
      <t>ラク</t>
    </rPh>
    <rPh sb="3" eb="4">
      <t>オン</t>
    </rPh>
    <rPh sb="4" eb="5">
      <t>テラ</t>
    </rPh>
    <phoneticPr fontId="4"/>
  </si>
  <si>
    <t>2</t>
    <phoneticPr fontId="4"/>
  </si>
  <si>
    <t>株式会社 確認サービス(渋谷)</t>
    <rPh sb="12" eb="14">
      <t>シブヤ</t>
    </rPh>
    <phoneticPr fontId="4"/>
  </si>
  <si>
    <t>株式会社 建築構造センター(本社)</t>
    <rPh sb="14" eb="16">
      <t>ホンシャ</t>
    </rPh>
    <phoneticPr fontId="4"/>
  </si>
  <si>
    <t>富士建築センター 株式会社</t>
    <rPh sb="0" eb="2">
      <t>フジ</t>
    </rPh>
    <rPh sb="2" eb="4">
      <t>ケンチク</t>
    </rPh>
    <rPh sb="9" eb="11">
      <t>カブシキ</t>
    </rPh>
    <rPh sb="11" eb="13">
      <t>カイシャ</t>
    </rPh>
    <phoneticPr fontId="4"/>
  </si>
  <si>
    <t>株式会社 国際確認検査センター</t>
    <phoneticPr fontId="4"/>
  </si>
  <si>
    <t>益田自動車工業</t>
    <phoneticPr fontId="4"/>
  </si>
  <si>
    <t>3</t>
    <phoneticPr fontId="4"/>
  </si>
  <si>
    <t>やまみ関西工場</t>
  </si>
  <si>
    <t>-</t>
    <phoneticPr fontId="4"/>
  </si>
  <si>
    <t>ＳＧＳジャパン 株式会社</t>
    <phoneticPr fontId="4"/>
  </si>
  <si>
    <t>ウェルネス出雲中野</t>
    <rPh sb="5" eb="7">
      <t>イズモ</t>
    </rPh>
    <rPh sb="7" eb="9">
      <t>ナカノ</t>
    </rPh>
    <phoneticPr fontId="4"/>
  </si>
  <si>
    <t>有限会社 前田設計事務所</t>
    <rPh sb="0" eb="2">
      <t>ユウゲン</t>
    </rPh>
    <rPh sb="2" eb="4">
      <t>カイシャ</t>
    </rPh>
    <rPh sb="5" eb="7">
      <t>マエダ</t>
    </rPh>
    <rPh sb="7" eb="9">
      <t>セッケイ</t>
    </rPh>
    <rPh sb="9" eb="11">
      <t>ジム</t>
    </rPh>
    <rPh sb="11" eb="12">
      <t>ショ</t>
    </rPh>
    <phoneticPr fontId="4"/>
  </si>
  <si>
    <t>有限会社 前田設計事務所</t>
    <phoneticPr fontId="4"/>
  </si>
  <si>
    <t>ユウゲンガイシャ マエダセッケイジムショ</t>
    <phoneticPr fontId="4"/>
  </si>
  <si>
    <t>-</t>
    <phoneticPr fontId="4"/>
  </si>
  <si>
    <t>高和保育園</t>
    <rPh sb="0" eb="1">
      <t>タカ</t>
    </rPh>
    <rPh sb="1" eb="2">
      <t>ワ</t>
    </rPh>
    <rPh sb="2" eb="5">
      <t>ホイクエン</t>
    </rPh>
    <phoneticPr fontId="4"/>
  </si>
  <si>
    <t>株式会社 新中央設計東京</t>
    <rPh sb="5" eb="6">
      <t>シン</t>
    </rPh>
    <rPh sb="6" eb="8">
      <t>チュウオウ</t>
    </rPh>
    <rPh sb="8" eb="10">
      <t>セッケイ</t>
    </rPh>
    <rPh sb="10" eb="12">
      <t>トウキョウ</t>
    </rPh>
    <phoneticPr fontId="4"/>
  </si>
  <si>
    <t>株式会社 新中央設計東京</t>
    <phoneticPr fontId="4"/>
  </si>
  <si>
    <t>カブシキガイシャ シンチュウオウセッケイトウキョウ</t>
    <phoneticPr fontId="4"/>
  </si>
  <si>
    <t>財団法人 ベターリビング</t>
    <phoneticPr fontId="4"/>
  </si>
  <si>
    <t>TBTC名古屋構造センター</t>
    <rPh sb="4" eb="7">
      <t>ナゴヤ</t>
    </rPh>
    <rPh sb="7" eb="9">
      <t>コウゾウ</t>
    </rPh>
    <phoneticPr fontId="4"/>
  </si>
  <si>
    <t>TBTC名古屋構造センター</t>
    <phoneticPr fontId="4"/>
  </si>
  <si>
    <t>財団法人 日本建築総合試験所</t>
    <phoneticPr fontId="4"/>
  </si>
  <si>
    <t>奈良県</t>
    <phoneticPr fontId="4"/>
  </si>
  <si>
    <t>アウェイ建築評価ネット株式会社</t>
    <phoneticPr fontId="4"/>
  </si>
  <si>
    <t>-</t>
    <phoneticPr fontId="4"/>
  </si>
  <si>
    <t>株式会社 ACS熊本</t>
    <phoneticPr fontId="4"/>
  </si>
  <si>
    <t>ビューローベリタスジャパン株式会社</t>
    <phoneticPr fontId="4"/>
  </si>
  <si>
    <t>株式会社 山形県建築サポートセンター</t>
    <rPh sb="0" eb="2">
      <t>カブシキ</t>
    </rPh>
    <rPh sb="2" eb="4">
      <t>カイシャ</t>
    </rPh>
    <rPh sb="5" eb="8">
      <t>ヤマガタケン</t>
    </rPh>
    <rPh sb="8" eb="10">
      <t>ケンチク</t>
    </rPh>
    <phoneticPr fontId="4"/>
  </si>
  <si>
    <t>株式会社 山形県建築サポートセンター</t>
    <phoneticPr fontId="4"/>
  </si>
  <si>
    <t>ビューローベリタスジャパン株式会社(広島)</t>
    <rPh sb="18" eb="20">
      <t>ヒロシマ</t>
    </rPh>
    <phoneticPr fontId="4"/>
  </si>
  <si>
    <t>財団法人 熊本建築構造評価センター</t>
    <phoneticPr fontId="4"/>
  </si>
  <si>
    <t>株式会社 建築企画設計</t>
    <rPh sb="0" eb="2">
      <t>カブシキ</t>
    </rPh>
    <rPh sb="2" eb="4">
      <t>カイシャ</t>
    </rPh>
    <phoneticPr fontId="4"/>
  </si>
  <si>
    <t>株式会社 建築企画設計</t>
    <phoneticPr fontId="4"/>
  </si>
  <si>
    <t>カブシキガイシャ ケンチクキカクセッケイ</t>
    <phoneticPr fontId="4"/>
  </si>
  <si>
    <t>一式</t>
    <rPh sb="0" eb="2">
      <t>イッシキ</t>
    </rPh>
    <phoneticPr fontId="4"/>
  </si>
  <si>
    <t>400円/㎡×6100㎡</t>
    <rPh sb="3" eb="4">
      <t>エン</t>
    </rPh>
    <phoneticPr fontId="4"/>
  </si>
  <si>
    <t>HC:100万,ﾀｲﾔ市場:10万,ｽﾀﾝﾄﾞ棟:30万 全て一式</t>
    <rPh sb="6" eb="7">
      <t>マン</t>
    </rPh>
    <rPh sb="11" eb="13">
      <t>イチバ</t>
    </rPh>
    <rPh sb="16" eb="17">
      <t>マン</t>
    </rPh>
    <rPh sb="23" eb="24">
      <t>トウ</t>
    </rPh>
    <rPh sb="27" eb="28">
      <t>マン</t>
    </rPh>
    <rPh sb="29" eb="30">
      <t>スベ</t>
    </rPh>
    <rPh sb="31" eb="33">
      <t>イッシキ</t>
    </rPh>
    <phoneticPr fontId="4"/>
  </si>
  <si>
    <t>復興公営住宅</t>
    <rPh sb="0" eb="2">
      <t>フッコウ</t>
    </rPh>
    <rPh sb="2" eb="4">
      <t>コウエイ</t>
    </rPh>
    <rPh sb="4" eb="6">
      <t>ジュウタク</t>
    </rPh>
    <phoneticPr fontId="4"/>
  </si>
  <si>
    <t>大森新社屋</t>
    <rPh sb="0" eb="2">
      <t>オオモリ</t>
    </rPh>
    <rPh sb="2" eb="5">
      <t>シンシャオク</t>
    </rPh>
    <phoneticPr fontId="4"/>
  </si>
  <si>
    <t>北海道カントリークラブ</t>
    <rPh sb="0" eb="3">
      <t>ホッカイドウ</t>
    </rPh>
    <phoneticPr fontId="4"/>
  </si>
  <si>
    <t>中部薬品長島</t>
    <phoneticPr fontId="4"/>
  </si>
  <si>
    <t>ジョーシン射水</t>
    <phoneticPr fontId="4"/>
  </si>
  <si>
    <t>3</t>
    <phoneticPr fontId="4"/>
  </si>
  <si>
    <t>宮城県</t>
    <phoneticPr fontId="4"/>
  </si>
  <si>
    <t>守山市</t>
    <rPh sb="0" eb="2">
      <t>モリヤマ</t>
    </rPh>
    <rPh sb="2" eb="3">
      <t>シ</t>
    </rPh>
    <phoneticPr fontId="4"/>
  </si>
  <si>
    <t>小島町</t>
    <rPh sb="0" eb="2">
      <t>コジマ</t>
    </rPh>
    <rPh sb="2" eb="3">
      <t>チョウ</t>
    </rPh>
    <phoneticPr fontId="4"/>
  </si>
  <si>
    <t>都道府県</t>
    <rPh sb="0" eb="4">
      <t>トドウフケン</t>
    </rPh>
    <phoneticPr fontId="4"/>
  </si>
  <si>
    <t>市</t>
    <rPh sb="0" eb="1">
      <t>シ</t>
    </rPh>
    <phoneticPr fontId="4"/>
  </si>
  <si>
    <t>町</t>
    <rPh sb="0" eb="1">
      <t>チョウ</t>
    </rPh>
    <phoneticPr fontId="4"/>
  </si>
  <si>
    <t>磯城郡</t>
    <phoneticPr fontId="4"/>
  </si>
  <si>
    <t>田原本町</t>
    <phoneticPr fontId="4"/>
  </si>
  <si>
    <t>函館市</t>
    <rPh sb="0" eb="3">
      <t>ハコダテシ</t>
    </rPh>
    <phoneticPr fontId="4"/>
  </si>
  <si>
    <t>港町</t>
    <rPh sb="0" eb="2">
      <t>ミナトマチ</t>
    </rPh>
    <phoneticPr fontId="4"/>
  </si>
  <si>
    <t>印西市</t>
    <phoneticPr fontId="4"/>
  </si>
  <si>
    <t>武西字上谷津</t>
    <phoneticPr fontId="4"/>
  </si>
  <si>
    <t>川崎市</t>
    <rPh sb="0" eb="3">
      <t>カワサキシ</t>
    </rPh>
    <phoneticPr fontId="4"/>
  </si>
  <si>
    <t>幸区南幸町</t>
    <rPh sb="0" eb="2">
      <t>サイワイク</t>
    </rPh>
    <rPh sb="2" eb="3">
      <t>ミナミ</t>
    </rPh>
    <rPh sb="3" eb="4">
      <t>サイワ</t>
    </rPh>
    <rPh sb="4" eb="5">
      <t>マチ</t>
    </rPh>
    <phoneticPr fontId="4"/>
  </si>
  <si>
    <t>河沼郡</t>
    <phoneticPr fontId="4"/>
  </si>
  <si>
    <t>会津坂下町</t>
    <phoneticPr fontId="4"/>
  </si>
  <si>
    <t>小矢部市</t>
    <phoneticPr fontId="4"/>
  </si>
  <si>
    <t>ﾌﾛﾝﾃｨｱﾊﾟｰｸ</t>
    <phoneticPr fontId="4"/>
  </si>
  <si>
    <t>神戸市</t>
    <rPh sb="0" eb="3">
      <t>コウベシ</t>
    </rPh>
    <phoneticPr fontId="4"/>
  </si>
  <si>
    <t>須磨区行平町</t>
    <rPh sb="0" eb="3">
      <t>スマク</t>
    </rPh>
    <rPh sb="3" eb="4">
      <t>イ</t>
    </rPh>
    <rPh sb="4" eb="5">
      <t>ヒラ</t>
    </rPh>
    <rPh sb="5" eb="6">
      <t>マチ</t>
    </rPh>
    <phoneticPr fontId="4"/>
  </si>
  <si>
    <t>広島市</t>
    <phoneticPr fontId="4"/>
  </si>
  <si>
    <t>東区曙町</t>
    <phoneticPr fontId="4"/>
  </si>
  <si>
    <t>足立区</t>
    <phoneticPr fontId="4"/>
  </si>
  <si>
    <t>西新井本町</t>
    <phoneticPr fontId="4"/>
  </si>
  <si>
    <t>むつ市</t>
    <rPh sb="2" eb="3">
      <t>シ</t>
    </rPh>
    <phoneticPr fontId="4"/>
  </si>
  <si>
    <t>柳町</t>
    <rPh sb="0" eb="1">
      <t>ヤナギ</t>
    </rPh>
    <rPh sb="1" eb="2">
      <t>マチ</t>
    </rPh>
    <phoneticPr fontId="4"/>
  </si>
  <si>
    <t>逗子市</t>
    <phoneticPr fontId="4"/>
  </si>
  <si>
    <t>小坪</t>
    <rPh sb="0" eb="1">
      <t>コ</t>
    </rPh>
    <rPh sb="1" eb="2">
      <t>ツボ</t>
    </rPh>
    <phoneticPr fontId="4"/>
  </si>
  <si>
    <t>海部郡</t>
    <phoneticPr fontId="4"/>
  </si>
  <si>
    <t>蟹江町本町</t>
    <phoneticPr fontId="4"/>
  </si>
  <si>
    <t>出雲市</t>
    <phoneticPr fontId="4"/>
  </si>
  <si>
    <t>上上塩冶町</t>
    <phoneticPr fontId="4"/>
  </si>
  <si>
    <t>八潮市</t>
    <rPh sb="0" eb="3">
      <t>ヤシオシ</t>
    </rPh>
    <phoneticPr fontId="4"/>
  </si>
  <si>
    <t>大字浮塚</t>
    <rPh sb="0" eb="2">
      <t>オオアザ</t>
    </rPh>
    <rPh sb="2" eb="3">
      <t>ウキ</t>
    </rPh>
    <rPh sb="3" eb="4">
      <t>ツカ</t>
    </rPh>
    <phoneticPr fontId="4"/>
  </si>
  <si>
    <t>豊橋市</t>
    <phoneticPr fontId="4"/>
  </si>
  <si>
    <t>小島町字下田濃</t>
    <phoneticPr fontId="4"/>
  </si>
  <si>
    <t>名古屋市</t>
    <phoneticPr fontId="4"/>
  </si>
  <si>
    <t>千種区新西</t>
    <phoneticPr fontId="4"/>
  </si>
  <si>
    <t>館山市</t>
    <phoneticPr fontId="4"/>
  </si>
  <si>
    <t>北上字浜新田</t>
    <phoneticPr fontId="4"/>
  </si>
  <si>
    <t>函館市</t>
    <phoneticPr fontId="4"/>
  </si>
  <si>
    <t>弁天町</t>
    <phoneticPr fontId="4"/>
  </si>
  <si>
    <t>熊本市</t>
    <phoneticPr fontId="4"/>
  </si>
  <si>
    <t>西区新港</t>
    <phoneticPr fontId="4"/>
  </si>
  <si>
    <t>気仙沼市</t>
    <rPh sb="0" eb="4">
      <t>ケセンヌマシ</t>
    </rPh>
    <phoneticPr fontId="4"/>
  </si>
  <si>
    <t>魚町</t>
    <rPh sb="0" eb="1">
      <t>サカナ</t>
    </rPh>
    <rPh sb="1" eb="2">
      <t>マチ</t>
    </rPh>
    <phoneticPr fontId="4"/>
  </si>
  <si>
    <t>射水市</t>
    <rPh sb="0" eb="2">
      <t>イミズ</t>
    </rPh>
    <rPh sb="2" eb="3">
      <t>シ</t>
    </rPh>
    <phoneticPr fontId="4"/>
  </si>
  <si>
    <t>越谷市</t>
    <rPh sb="0" eb="3">
      <t>コシガヤシ</t>
    </rPh>
    <phoneticPr fontId="4"/>
  </si>
  <si>
    <t>墨田区</t>
    <rPh sb="0" eb="3">
      <t>スミダク</t>
    </rPh>
    <phoneticPr fontId="4"/>
  </si>
  <si>
    <t>立花</t>
    <rPh sb="0" eb="2">
      <t>タチバナ</t>
    </rPh>
    <phoneticPr fontId="4"/>
  </si>
  <si>
    <t>中野町</t>
    <rPh sb="0" eb="2">
      <t>ナカノ</t>
    </rPh>
    <rPh sb="2" eb="3">
      <t>マチ</t>
    </rPh>
    <phoneticPr fontId="4"/>
  </si>
  <si>
    <t>豊岡市</t>
    <phoneticPr fontId="4"/>
  </si>
  <si>
    <t>日高町土居</t>
    <phoneticPr fontId="4"/>
  </si>
  <si>
    <t>八尾市</t>
    <phoneticPr fontId="4"/>
  </si>
  <si>
    <t>楽音寺</t>
    <phoneticPr fontId="4"/>
  </si>
  <si>
    <t>甲賀市</t>
    <phoneticPr fontId="4"/>
  </si>
  <si>
    <t>水口町さつきが丘</t>
    <phoneticPr fontId="4"/>
  </si>
  <si>
    <t>益田市</t>
    <phoneticPr fontId="4"/>
  </si>
  <si>
    <t>有明町</t>
    <phoneticPr fontId="4"/>
  </si>
  <si>
    <t>橿原市</t>
    <phoneticPr fontId="4"/>
  </si>
  <si>
    <t>常磐町</t>
    <phoneticPr fontId="4"/>
  </si>
  <si>
    <t>大字弥十郎</t>
    <rPh sb="0" eb="2">
      <t>オオアザ</t>
    </rPh>
    <rPh sb="2" eb="5">
      <t>ヤジュウロウ</t>
    </rPh>
    <phoneticPr fontId="4"/>
  </si>
  <si>
    <t>酒田市</t>
    <phoneticPr fontId="4"/>
  </si>
  <si>
    <t>京田</t>
    <phoneticPr fontId="4"/>
  </si>
  <si>
    <t>山形市</t>
    <phoneticPr fontId="4"/>
  </si>
  <si>
    <t>みはらしの丘</t>
    <phoneticPr fontId="4"/>
  </si>
  <si>
    <t>北九州市</t>
    <phoneticPr fontId="4"/>
  </si>
  <si>
    <t>小倉南区葛原元町</t>
    <phoneticPr fontId="4"/>
  </si>
  <si>
    <t>中央区港島</t>
    <phoneticPr fontId="4"/>
  </si>
  <si>
    <t>大阪市</t>
    <phoneticPr fontId="4"/>
  </si>
  <si>
    <t>西淀川区姫里</t>
    <phoneticPr fontId="4"/>
  </si>
  <si>
    <t>座間市</t>
    <phoneticPr fontId="4"/>
  </si>
  <si>
    <t>座間</t>
    <phoneticPr fontId="4"/>
  </si>
  <si>
    <t>松江市</t>
    <phoneticPr fontId="4"/>
  </si>
  <si>
    <t>八幡町</t>
    <phoneticPr fontId="4"/>
  </si>
  <si>
    <t>津川市</t>
    <phoneticPr fontId="4"/>
  </si>
  <si>
    <t>茄子川</t>
    <phoneticPr fontId="4"/>
  </si>
  <si>
    <t>いわき市</t>
    <phoneticPr fontId="4"/>
  </si>
  <si>
    <t>内郷御台境町自在町</t>
    <phoneticPr fontId="4"/>
  </si>
  <si>
    <t>虻田郡倶</t>
    <phoneticPr fontId="4"/>
  </si>
  <si>
    <t>知安町字高砂</t>
    <phoneticPr fontId="4"/>
  </si>
  <si>
    <t>石狩市</t>
    <phoneticPr fontId="4"/>
  </si>
  <si>
    <t>新港西</t>
    <phoneticPr fontId="4"/>
  </si>
  <si>
    <t>財団法人 愛知県建築住宅センター</t>
    <phoneticPr fontId="4"/>
  </si>
  <si>
    <t>財団法人 愛知県建築住宅センター</t>
    <phoneticPr fontId="4"/>
  </si>
  <si>
    <t>Honda Cars南北海道函館亀田支点</t>
    <rPh sb="10" eb="11">
      <t>ミナミ</t>
    </rPh>
    <rPh sb="11" eb="14">
      <t>ホッカイドウ</t>
    </rPh>
    <rPh sb="14" eb="16">
      <t>ハコダテ</t>
    </rPh>
    <rPh sb="16" eb="18">
      <t>カメダ</t>
    </rPh>
    <rPh sb="18" eb="20">
      <t>シテン</t>
    </rPh>
    <phoneticPr fontId="4"/>
  </si>
  <si>
    <t>亀田町</t>
    <rPh sb="0" eb="2">
      <t>カメダ</t>
    </rPh>
    <rPh sb="2" eb="3">
      <t>マチ</t>
    </rPh>
    <phoneticPr fontId="4"/>
  </si>
  <si>
    <t>ヤマザワ寒河江</t>
    <rPh sb="4" eb="5">
      <t>サム</t>
    </rPh>
    <rPh sb="5" eb="6">
      <t>カワ</t>
    </rPh>
    <rPh sb="6" eb="7">
      <t>エ</t>
    </rPh>
    <phoneticPr fontId="4"/>
  </si>
  <si>
    <t>寒河江市</t>
    <phoneticPr fontId="4"/>
  </si>
  <si>
    <t>大字寒河江字横道</t>
    <phoneticPr fontId="4"/>
  </si>
  <si>
    <t>中巨摩郡</t>
    <phoneticPr fontId="4"/>
  </si>
  <si>
    <t>昭和町清水新居</t>
    <phoneticPr fontId="4"/>
  </si>
  <si>
    <t>桑名市</t>
    <phoneticPr fontId="4"/>
  </si>
  <si>
    <t>長島町押付字小六</t>
    <phoneticPr fontId="4"/>
  </si>
  <si>
    <t>熊本市</t>
    <phoneticPr fontId="4"/>
  </si>
  <si>
    <t>中央区坪井</t>
    <rPh sb="0" eb="3">
      <t>チュウオウク</t>
    </rPh>
    <rPh sb="3" eb="5">
      <t>ツボイ</t>
    </rPh>
    <phoneticPr fontId="4"/>
  </si>
  <si>
    <t>生駒市</t>
    <phoneticPr fontId="4"/>
  </si>
  <si>
    <t>東生駒</t>
    <phoneticPr fontId="4"/>
  </si>
  <si>
    <t>青森市</t>
    <phoneticPr fontId="4"/>
  </si>
  <si>
    <t>浪岡大字高屋敷字野尻</t>
    <phoneticPr fontId="4"/>
  </si>
  <si>
    <t>西村山郡</t>
    <rPh sb="0" eb="1">
      <t>ニシ</t>
    </rPh>
    <rPh sb="1" eb="2">
      <t>ムラ</t>
    </rPh>
    <rPh sb="2" eb="3">
      <t>ヤマ</t>
    </rPh>
    <rPh sb="3" eb="4">
      <t>グン</t>
    </rPh>
    <phoneticPr fontId="4"/>
  </si>
  <si>
    <t>大江町大字本郷</t>
    <rPh sb="0" eb="2">
      <t>オオエ</t>
    </rPh>
    <rPh sb="2" eb="3">
      <t>チョウ</t>
    </rPh>
    <rPh sb="3" eb="5">
      <t>オオアザ</t>
    </rPh>
    <rPh sb="5" eb="7">
      <t>ホンゴウ</t>
    </rPh>
    <phoneticPr fontId="4"/>
  </si>
  <si>
    <t>鶴岡市</t>
    <phoneticPr fontId="4"/>
  </si>
  <si>
    <t>千石町</t>
    <phoneticPr fontId="4"/>
  </si>
  <si>
    <t>秋田市</t>
    <rPh sb="0" eb="3">
      <t>アキタシ</t>
    </rPh>
    <phoneticPr fontId="4"/>
  </si>
  <si>
    <t>旭北栄町</t>
    <rPh sb="0" eb="1">
      <t>アサヒ</t>
    </rPh>
    <rPh sb="1" eb="2">
      <t>キタ</t>
    </rPh>
    <rPh sb="2" eb="3">
      <t>サカエ</t>
    </rPh>
    <rPh sb="3" eb="4">
      <t>マチ</t>
    </rPh>
    <phoneticPr fontId="4"/>
  </si>
  <si>
    <t>広島市</t>
    <phoneticPr fontId="4"/>
  </si>
  <si>
    <t>西区商工センター</t>
    <phoneticPr fontId="4"/>
  </si>
  <si>
    <t>八戸市</t>
    <phoneticPr fontId="4"/>
  </si>
  <si>
    <t>大字長苗代字元木</t>
    <phoneticPr fontId="4"/>
  </si>
  <si>
    <t>川越市</t>
    <phoneticPr fontId="4"/>
  </si>
  <si>
    <t>下小坂前谷</t>
    <phoneticPr fontId="4"/>
  </si>
  <si>
    <t>呉市</t>
    <rPh sb="0" eb="2">
      <t>クレシ</t>
    </rPh>
    <phoneticPr fontId="4"/>
  </si>
  <si>
    <t>阿賀南</t>
    <rPh sb="0" eb="2">
      <t>アガ</t>
    </rPh>
    <rPh sb="2" eb="3">
      <t>ミナミ</t>
    </rPh>
    <phoneticPr fontId="4"/>
  </si>
  <si>
    <t>庄原市</t>
    <phoneticPr fontId="4"/>
  </si>
  <si>
    <t>上原町</t>
    <phoneticPr fontId="4"/>
  </si>
  <si>
    <t>中津川</t>
    <phoneticPr fontId="4"/>
  </si>
  <si>
    <t>市駒場</t>
    <phoneticPr fontId="4"/>
  </si>
  <si>
    <t>安城市</t>
    <rPh sb="0" eb="3">
      <t>アンジョウシ</t>
    </rPh>
    <phoneticPr fontId="4"/>
  </si>
  <si>
    <t>御幸本町</t>
    <rPh sb="0" eb="1">
      <t>オ</t>
    </rPh>
    <rPh sb="1" eb="2">
      <t>サイワ</t>
    </rPh>
    <rPh sb="2" eb="4">
      <t>ホンマチ</t>
    </rPh>
    <phoneticPr fontId="4"/>
  </si>
  <si>
    <t>財団法人 富山県建築住宅センター</t>
    <phoneticPr fontId="4"/>
  </si>
  <si>
    <t>本巣郡</t>
    <phoneticPr fontId="4"/>
  </si>
  <si>
    <t>喜北方町高屋</t>
    <phoneticPr fontId="4"/>
  </si>
  <si>
    <t>結城市</t>
    <phoneticPr fontId="4"/>
  </si>
  <si>
    <t>新矢畑</t>
    <rPh sb="0" eb="1">
      <t>シン</t>
    </rPh>
    <rPh sb="1" eb="2">
      <t>ヤ</t>
    </rPh>
    <rPh sb="2" eb="3">
      <t>ハタケ</t>
    </rPh>
    <phoneticPr fontId="4"/>
  </si>
  <si>
    <t>出雲市</t>
    <phoneticPr fontId="4"/>
  </si>
  <si>
    <t>浜山</t>
    <phoneticPr fontId="4"/>
  </si>
  <si>
    <t>練馬区</t>
    <phoneticPr fontId="4"/>
  </si>
  <si>
    <t>桜台</t>
    <phoneticPr fontId="4"/>
  </si>
  <si>
    <t>大阪市</t>
    <phoneticPr fontId="4"/>
  </si>
  <si>
    <t>此花区梅町</t>
    <phoneticPr fontId="4"/>
  </si>
  <si>
    <t>留萌市</t>
    <phoneticPr fontId="4"/>
  </si>
  <si>
    <t>南町</t>
    <phoneticPr fontId="4"/>
  </si>
  <si>
    <t>横手市</t>
    <phoneticPr fontId="4"/>
  </si>
  <si>
    <t>八幡</t>
    <phoneticPr fontId="4"/>
  </si>
  <si>
    <t>奈良市</t>
    <phoneticPr fontId="4"/>
  </si>
  <si>
    <t>登美ケ丘</t>
    <phoneticPr fontId="4"/>
  </si>
  <si>
    <t>三郷市</t>
    <phoneticPr fontId="4"/>
  </si>
  <si>
    <t>彦成</t>
    <phoneticPr fontId="4"/>
  </si>
  <si>
    <t>大津市</t>
    <phoneticPr fontId="4"/>
  </si>
  <si>
    <t>竜ヶ丘</t>
  </si>
  <si>
    <t>彦根市</t>
    <rPh sb="0" eb="3">
      <t>ヒコネシ</t>
    </rPh>
    <phoneticPr fontId="4"/>
  </si>
  <si>
    <t>登米市</t>
    <phoneticPr fontId="4"/>
  </si>
  <si>
    <t>迫町佐沼字北散田</t>
    <phoneticPr fontId="4"/>
  </si>
  <si>
    <t>橋本市</t>
    <rPh sb="0" eb="2">
      <t>ハシモト</t>
    </rPh>
    <rPh sb="2" eb="3">
      <t>シ</t>
    </rPh>
    <phoneticPr fontId="4"/>
  </si>
  <si>
    <t>紀の光</t>
    <rPh sb="0" eb="1">
      <t>キ</t>
    </rPh>
    <rPh sb="2" eb="3">
      <t>ヒカリ</t>
    </rPh>
    <phoneticPr fontId="4"/>
  </si>
  <si>
    <t>東大阪市</t>
    <rPh sb="0" eb="1">
      <t>ヒガシ</t>
    </rPh>
    <rPh sb="1" eb="3">
      <t>オオサカ</t>
    </rPh>
    <rPh sb="3" eb="4">
      <t>シ</t>
    </rPh>
    <phoneticPr fontId="4"/>
  </si>
  <si>
    <t>吉田本町</t>
    <rPh sb="0" eb="2">
      <t>ヨシダ</t>
    </rPh>
    <rPh sb="2" eb="4">
      <t>ホンマチ</t>
    </rPh>
    <phoneticPr fontId="4"/>
  </si>
  <si>
    <t>足立</t>
    <rPh sb="0" eb="2">
      <t>アダチ</t>
    </rPh>
    <phoneticPr fontId="4"/>
  </si>
  <si>
    <t>由利本荘市</t>
    <phoneticPr fontId="4"/>
  </si>
  <si>
    <t>大内町三川字三河</t>
    <phoneticPr fontId="4"/>
  </si>
  <si>
    <t>尼崎市</t>
    <phoneticPr fontId="4"/>
  </si>
  <si>
    <t>末広町</t>
    <phoneticPr fontId="4"/>
  </si>
  <si>
    <t>紫波郡</t>
    <phoneticPr fontId="4"/>
  </si>
  <si>
    <t>矢巾町流通センター南</t>
    <phoneticPr fontId="4"/>
  </si>
  <si>
    <t>本庄市</t>
    <phoneticPr fontId="4"/>
  </si>
  <si>
    <t>下野堂</t>
    <phoneticPr fontId="4"/>
  </si>
  <si>
    <t>春日部市</t>
    <phoneticPr fontId="4"/>
  </si>
  <si>
    <t>大畑字杉ノ口</t>
  </si>
  <si>
    <t>相馬郡</t>
    <phoneticPr fontId="4"/>
  </si>
  <si>
    <t>新地町杉目字飯樋</t>
    <phoneticPr fontId="4"/>
  </si>
  <si>
    <t>鎌倉市</t>
    <phoneticPr fontId="4"/>
  </si>
  <si>
    <t>岡本</t>
    <phoneticPr fontId="4"/>
  </si>
  <si>
    <t>泉大津市</t>
    <phoneticPr fontId="4"/>
  </si>
  <si>
    <t>河原町</t>
    <phoneticPr fontId="4"/>
  </si>
  <si>
    <t>平塚市</t>
    <phoneticPr fontId="4"/>
  </si>
  <si>
    <t>公所</t>
    <phoneticPr fontId="4"/>
  </si>
  <si>
    <t>臼杵市</t>
    <phoneticPr fontId="4"/>
  </si>
  <si>
    <t>臼杵</t>
    <phoneticPr fontId="4"/>
  </si>
  <si>
    <t>青森市</t>
    <phoneticPr fontId="4"/>
  </si>
  <si>
    <t>篠田</t>
    <phoneticPr fontId="4"/>
  </si>
  <si>
    <t>小樽市</t>
    <phoneticPr fontId="4"/>
  </si>
  <si>
    <t>銭函</t>
    <phoneticPr fontId="4"/>
  </si>
  <si>
    <t>石巻市</t>
    <phoneticPr fontId="4"/>
  </si>
  <si>
    <t>鹿又字道的前</t>
    <phoneticPr fontId="4"/>
  </si>
  <si>
    <t>松江市</t>
    <phoneticPr fontId="4"/>
  </si>
  <si>
    <t>大庭町宇竜谷</t>
    <phoneticPr fontId="4"/>
  </si>
  <si>
    <t>北名古屋市</t>
    <phoneticPr fontId="4"/>
  </si>
  <si>
    <t>沖村山ノ神</t>
    <phoneticPr fontId="4"/>
  </si>
  <si>
    <t>倉敷市</t>
    <phoneticPr fontId="4"/>
  </si>
  <si>
    <t>乙島</t>
    <phoneticPr fontId="4"/>
  </si>
  <si>
    <t>相野谷六本木</t>
    <phoneticPr fontId="4"/>
  </si>
  <si>
    <t>大阪市</t>
    <phoneticPr fontId="4"/>
  </si>
  <si>
    <t>城東区中浜</t>
    <phoneticPr fontId="4"/>
  </si>
  <si>
    <t>神戸市</t>
    <phoneticPr fontId="4"/>
  </si>
  <si>
    <t>中央区港島</t>
    <phoneticPr fontId="4"/>
  </si>
  <si>
    <t>塩尻市</t>
    <phoneticPr fontId="4"/>
  </si>
  <si>
    <t>桟敷</t>
    <phoneticPr fontId="4"/>
  </si>
  <si>
    <t>大分市</t>
    <phoneticPr fontId="4"/>
  </si>
  <si>
    <t>猪野</t>
    <phoneticPr fontId="4"/>
  </si>
  <si>
    <t>大田区</t>
    <phoneticPr fontId="4"/>
  </si>
  <si>
    <t>西糀谷</t>
    <phoneticPr fontId="4"/>
  </si>
  <si>
    <t>徳島市</t>
    <rPh sb="0" eb="2">
      <t>トクシマ</t>
    </rPh>
    <rPh sb="2" eb="3">
      <t>シ</t>
    </rPh>
    <phoneticPr fontId="4"/>
  </si>
  <si>
    <t>南昭和町</t>
    <rPh sb="0" eb="1">
      <t>ミナミ</t>
    </rPh>
    <rPh sb="1" eb="3">
      <t>ショウワ</t>
    </rPh>
    <rPh sb="3" eb="4">
      <t>マチ</t>
    </rPh>
    <phoneticPr fontId="4"/>
  </si>
  <si>
    <t>中央区港島南町</t>
    <phoneticPr fontId="4"/>
  </si>
  <si>
    <t>新座市</t>
    <rPh sb="0" eb="1">
      <t>シン</t>
    </rPh>
    <rPh sb="1" eb="2">
      <t>ザ</t>
    </rPh>
    <rPh sb="2" eb="3">
      <t>シ</t>
    </rPh>
    <phoneticPr fontId="4"/>
  </si>
  <si>
    <t>野火止</t>
    <rPh sb="0" eb="3">
      <t>ノビトメ</t>
    </rPh>
    <phoneticPr fontId="4"/>
  </si>
  <si>
    <t>吾川郡</t>
    <phoneticPr fontId="4"/>
  </si>
  <si>
    <t>いの町字立田</t>
    <phoneticPr fontId="4"/>
  </si>
  <si>
    <t>京都市</t>
    <phoneticPr fontId="4"/>
  </si>
  <si>
    <t>伏見区向島東定請</t>
    <phoneticPr fontId="4"/>
  </si>
  <si>
    <t>金沢市</t>
    <rPh sb="0" eb="3">
      <t>カナザワシ</t>
    </rPh>
    <phoneticPr fontId="4"/>
  </si>
  <si>
    <t>大河端町</t>
    <rPh sb="0" eb="3">
      <t>オコバタ</t>
    </rPh>
    <rPh sb="3" eb="4">
      <t>マチ</t>
    </rPh>
    <phoneticPr fontId="4"/>
  </si>
  <si>
    <t>取手市</t>
    <phoneticPr fontId="4"/>
  </si>
  <si>
    <t>藤代南</t>
    <phoneticPr fontId="4"/>
  </si>
  <si>
    <t>津市</t>
    <phoneticPr fontId="4"/>
  </si>
  <si>
    <t>本町</t>
    <phoneticPr fontId="4"/>
  </si>
  <si>
    <t>戸田市</t>
    <phoneticPr fontId="4"/>
  </si>
  <si>
    <t>大字新曽稲荷</t>
    <phoneticPr fontId="4"/>
  </si>
  <si>
    <t>中野市</t>
    <phoneticPr fontId="4"/>
  </si>
  <si>
    <t>大字三ツ和字柳下</t>
    <phoneticPr fontId="4"/>
  </si>
  <si>
    <t>津久見市</t>
    <phoneticPr fontId="4"/>
  </si>
  <si>
    <t>平岩</t>
    <phoneticPr fontId="4"/>
  </si>
  <si>
    <t>富山市</t>
    <phoneticPr fontId="4"/>
  </si>
  <si>
    <t>千石町</t>
    <phoneticPr fontId="4"/>
  </si>
  <si>
    <t>白山市</t>
    <phoneticPr fontId="4"/>
  </si>
  <si>
    <t>番匠町</t>
    <phoneticPr fontId="4"/>
  </si>
  <si>
    <t>三郷市</t>
    <phoneticPr fontId="4"/>
  </si>
  <si>
    <t>彦成</t>
    <phoneticPr fontId="4"/>
  </si>
  <si>
    <t>東大阪市</t>
    <phoneticPr fontId="4"/>
  </si>
  <si>
    <t>稲葉</t>
    <phoneticPr fontId="4"/>
  </si>
  <si>
    <t>水保町字北川</t>
    <rPh sb="0" eb="1">
      <t>ミズ</t>
    </rPh>
    <rPh sb="1" eb="2">
      <t>タモ</t>
    </rPh>
    <rPh sb="2" eb="3">
      <t>マチ</t>
    </rPh>
    <rPh sb="3" eb="4">
      <t>アザ</t>
    </rPh>
    <rPh sb="4" eb="5">
      <t>キタ</t>
    </rPh>
    <rPh sb="5" eb="6">
      <t>カワ</t>
    </rPh>
    <phoneticPr fontId="4"/>
  </si>
  <si>
    <t>鶴岡市</t>
    <phoneticPr fontId="4"/>
  </si>
  <si>
    <t>谷中町</t>
    <rPh sb="0" eb="1">
      <t>タニ</t>
    </rPh>
    <rPh sb="1" eb="2">
      <t>ナカ</t>
    </rPh>
    <rPh sb="2" eb="3">
      <t>マチ</t>
    </rPh>
    <phoneticPr fontId="4"/>
  </si>
  <si>
    <t>名古屋市</t>
    <phoneticPr fontId="4"/>
  </si>
  <si>
    <t>港区当知</t>
    <rPh sb="0" eb="1">
      <t>ミナト</t>
    </rPh>
    <rPh sb="1" eb="2">
      <t>ク</t>
    </rPh>
    <rPh sb="2" eb="3">
      <t>ア</t>
    </rPh>
    <rPh sb="3" eb="4">
      <t>シ</t>
    </rPh>
    <phoneticPr fontId="4"/>
  </si>
  <si>
    <t>栗東市</t>
    <phoneticPr fontId="4"/>
  </si>
  <si>
    <t>安養寺</t>
    <phoneticPr fontId="4"/>
  </si>
  <si>
    <t>和歌山市</t>
    <phoneticPr fontId="4"/>
  </si>
  <si>
    <t>西浜</t>
    <phoneticPr fontId="4"/>
  </si>
  <si>
    <t>笹目</t>
    <rPh sb="0" eb="1">
      <t>ササ</t>
    </rPh>
    <rPh sb="1" eb="2">
      <t>メ</t>
    </rPh>
    <phoneticPr fontId="4"/>
  </si>
  <si>
    <t>各務原市</t>
    <phoneticPr fontId="4"/>
  </si>
  <si>
    <t>蘇原青雲町</t>
    <phoneticPr fontId="4"/>
  </si>
  <si>
    <t>南佐久郡</t>
    <phoneticPr fontId="4"/>
  </si>
  <si>
    <t>南牧村</t>
    <rPh sb="0" eb="1">
      <t>ミナミ</t>
    </rPh>
    <rPh sb="1" eb="3">
      <t>マキムラ</t>
    </rPh>
    <phoneticPr fontId="4"/>
  </si>
  <si>
    <t>広島市</t>
    <phoneticPr fontId="4"/>
  </si>
  <si>
    <t>西区庚午中</t>
    <rPh sb="0" eb="2">
      <t>ニシク</t>
    </rPh>
    <rPh sb="2" eb="3">
      <t>コウ</t>
    </rPh>
    <phoneticPr fontId="4"/>
  </si>
  <si>
    <t>佐賀市</t>
    <rPh sb="0" eb="3">
      <t>サガシ</t>
    </rPh>
    <phoneticPr fontId="4"/>
  </si>
  <si>
    <t>諸富町大字為重石塚</t>
    <rPh sb="0" eb="1">
      <t>モロ</t>
    </rPh>
    <rPh sb="1" eb="2">
      <t>トミ</t>
    </rPh>
    <rPh sb="2" eb="3">
      <t>マチ</t>
    </rPh>
    <rPh sb="3" eb="5">
      <t>オオアザ</t>
    </rPh>
    <rPh sb="5" eb="6">
      <t>タメ</t>
    </rPh>
    <rPh sb="6" eb="7">
      <t>オモ</t>
    </rPh>
    <rPh sb="7" eb="9">
      <t>イシヅカ</t>
    </rPh>
    <phoneticPr fontId="4"/>
  </si>
  <si>
    <t>倉吉市</t>
    <phoneticPr fontId="4"/>
  </si>
  <si>
    <t>伊木</t>
    <phoneticPr fontId="4"/>
  </si>
  <si>
    <t>さいたま市</t>
    <phoneticPr fontId="4"/>
  </si>
  <si>
    <t>南区内谷</t>
    <phoneticPr fontId="4"/>
  </si>
  <si>
    <t>八戸市</t>
    <phoneticPr fontId="4"/>
  </si>
  <si>
    <t>湊高台</t>
    <rPh sb="0" eb="1">
      <t>ミナト</t>
    </rPh>
    <rPh sb="1" eb="2">
      <t>タカ</t>
    </rPh>
    <rPh sb="2" eb="3">
      <t>ダイ</t>
    </rPh>
    <phoneticPr fontId="4"/>
  </si>
  <si>
    <t>港区</t>
    <rPh sb="0" eb="2">
      <t>ミナトク</t>
    </rPh>
    <phoneticPr fontId="4"/>
  </si>
  <si>
    <t>海岸通り</t>
    <rPh sb="0" eb="2">
      <t>カイガン</t>
    </rPh>
    <rPh sb="2" eb="3">
      <t>トオ</t>
    </rPh>
    <phoneticPr fontId="4"/>
  </si>
  <si>
    <t>渋川市</t>
    <rPh sb="0" eb="3">
      <t>シブカワシ</t>
    </rPh>
    <phoneticPr fontId="4"/>
  </si>
  <si>
    <t>白井</t>
    <rPh sb="0" eb="2">
      <t>シライ</t>
    </rPh>
    <phoneticPr fontId="4"/>
  </si>
  <si>
    <t>横浜市</t>
    <phoneticPr fontId="4"/>
  </si>
  <si>
    <t>鶴見区鶴見中央</t>
    <phoneticPr fontId="4"/>
  </si>
  <si>
    <t>川崎市</t>
    <phoneticPr fontId="4"/>
  </si>
  <si>
    <t>川崎区鈴木町</t>
    <phoneticPr fontId="4"/>
  </si>
  <si>
    <t>都城市</t>
    <phoneticPr fontId="4"/>
  </si>
  <si>
    <t>上川東</t>
    <phoneticPr fontId="4"/>
  </si>
  <si>
    <t>旭区東希望が丘</t>
    <phoneticPr fontId="4"/>
  </si>
  <si>
    <t>守口市</t>
    <phoneticPr fontId="4"/>
  </si>
  <si>
    <t>梅園町</t>
    <phoneticPr fontId="4"/>
  </si>
  <si>
    <t>岡谷市</t>
    <rPh sb="0" eb="3">
      <t>オカヤシ</t>
    </rPh>
    <phoneticPr fontId="4"/>
  </si>
  <si>
    <t>長地権現町</t>
    <rPh sb="0" eb="1">
      <t>ナガ</t>
    </rPh>
    <rPh sb="1" eb="2">
      <t>チ</t>
    </rPh>
    <rPh sb="2" eb="4">
      <t>ゴンゲン</t>
    </rPh>
    <rPh sb="4" eb="5">
      <t>マチ</t>
    </rPh>
    <phoneticPr fontId="4"/>
  </si>
  <si>
    <t>八千代市</t>
    <phoneticPr fontId="4"/>
  </si>
  <si>
    <t>大和田新田字天谷</t>
    <phoneticPr fontId="4"/>
  </si>
  <si>
    <t>鎌ヶ谷市</t>
    <phoneticPr fontId="4"/>
  </si>
  <si>
    <t>米沢市</t>
    <phoneticPr fontId="4"/>
  </si>
  <si>
    <t>花沢町</t>
    <phoneticPr fontId="4"/>
  </si>
  <si>
    <t>天童市</t>
    <rPh sb="0" eb="3">
      <t>テンドウシ</t>
    </rPh>
    <phoneticPr fontId="4"/>
  </si>
  <si>
    <t>寺津</t>
    <rPh sb="0" eb="1">
      <t>テラ</t>
    </rPh>
    <rPh sb="1" eb="2">
      <t>ツ</t>
    </rPh>
    <phoneticPr fontId="4"/>
  </si>
  <si>
    <t>高岡市</t>
    <phoneticPr fontId="4"/>
  </si>
  <si>
    <t>蓮花寺</t>
    <phoneticPr fontId="4"/>
  </si>
  <si>
    <t>株式会社 近畿建築確認検査機構</t>
    <phoneticPr fontId="4"/>
  </si>
  <si>
    <t>株式会社 建築構造センター(愛知)</t>
    <rPh sb="14" eb="16">
      <t>アイチ</t>
    </rPh>
    <phoneticPr fontId="4"/>
  </si>
  <si>
    <t>株式会社 東京建築検査機構</t>
    <phoneticPr fontId="4"/>
  </si>
  <si>
    <t>株式会社 国際確認検査センター</t>
    <phoneticPr fontId="4"/>
  </si>
  <si>
    <t>マルハン新発田</t>
    <rPh sb="4" eb="5">
      <t>シン</t>
    </rPh>
    <rPh sb="5" eb="6">
      <t>ハツ</t>
    </rPh>
    <rPh sb="6" eb="7">
      <t>タ</t>
    </rPh>
    <phoneticPr fontId="4"/>
  </si>
  <si>
    <t>第2みさとしらゆり保育園</t>
    <rPh sb="0" eb="1">
      <t>ダイ</t>
    </rPh>
    <rPh sb="9" eb="12">
      <t>ホイクエン</t>
    </rPh>
    <phoneticPr fontId="4"/>
  </si>
  <si>
    <t>関西マツダ住之江</t>
    <rPh sb="0" eb="2">
      <t>カンサイ</t>
    </rPh>
    <rPh sb="5" eb="8">
      <t>スミノエ</t>
    </rPh>
    <phoneticPr fontId="4"/>
  </si>
  <si>
    <t>東和プリント</t>
    <rPh sb="0" eb="2">
      <t>トウワ</t>
    </rPh>
    <phoneticPr fontId="4"/>
  </si>
  <si>
    <t>ジョイフィット津桜橋</t>
    <rPh sb="7" eb="8">
      <t>ツ</t>
    </rPh>
    <rPh sb="8" eb="9">
      <t>サクラ</t>
    </rPh>
    <rPh sb="9" eb="10">
      <t>ハシ</t>
    </rPh>
    <phoneticPr fontId="4"/>
  </si>
  <si>
    <t>スズキショールーム橿原</t>
    <rPh sb="9" eb="11">
      <t>カシハラ</t>
    </rPh>
    <phoneticPr fontId="4"/>
  </si>
  <si>
    <t>メディング板野</t>
    <rPh sb="5" eb="6">
      <t>イタ</t>
    </rPh>
    <rPh sb="6" eb="7">
      <t>ノ</t>
    </rPh>
    <phoneticPr fontId="4"/>
  </si>
  <si>
    <t>徳島町</t>
    <rPh sb="0" eb="3">
      <t>トクシマチョウ</t>
    </rPh>
    <phoneticPr fontId="4"/>
  </si>
  <si>
    <t>三郷市</t>
    <phoneticPr fontId="4"/>
  </si>
  <si>
    <t>三郷中央</t>
    <rPh sb="0" eb="2">
      <t>ミサト</t>
    </rPh>
    <rPh sb="2" eb="4">
      <t>チュウオウ</t>
    </rPh>
    <phoneticPr fontId="4"/>
  </si>
  <si>
    <t>石巻商工信用組合本店</t>
    <rPh sb="0" eb="2">
      <t>イシノマキ</t>
    </rPh>
    <rPh sb="2" eb="4">
      <t>ショウコウ</t>
    </rPh>
    <rPh sb="4" eb="6">
      <t>シンヨウ</t>
    </rPh>
    <rPh sb="6" eb="8">
      <t>クミアイ</t>
    </rPh>
    <rPh sb="8" eb="10">
      <t>ホンテン</t>
    </rPh>
    <phoneticPr fontId="4"/>
  </si>
  <si>
    <t>宮城県</t>
    <phoneticPr fontId="4"/>
  </si>
  <si>
    <t>石巻市</t>
    <phoneticPr fontId="4"/>
  </si>
  <si>
    <t>中央</t>
    <rPh sb="0" eb="2">
      <t>チュウオウ</t>
    </rPh>
    <phoneticPr fontId="4"/>
  </si>
  <si>
    <t>事務所</t>
    <phoneticPr fontId="4"/>
  </si>
  <si>
    <t>3</t>
    <phoneticPr fontId="4"/>
  </si>
  <si>
    <t>いわき市</t>
    <phoneticPr fontId="4"/>
  </si>
  <si>
    <t>常磐関船町</t>
    <rPh sb="2" eb="3">
      <t>セキ</t>
    </rPh>
    <rPh sb="3" eb="4">
      <t>フネ</t>
    </rPh>
    <rPh sb="4" eb="5">
      <t>マチ</t>
    </rPh>
    <phoneticPr fontId="4"/>
  </si>
  <si>
    <t>ダイナム宮城角田</t>
    <rPh sb="4" eb="6">
      <t>ミヤギ</t>
    </rPh>
    <rPh sb="6" eb="7">
      <t>カク</t>
    </rPh>
    <rPh sb="7" eb="8">
      <t>タ</t>
    </rPh>
    <phoneticPr fontId="4"/>
  </si>
  <si>
    <t>宮城県</t>
    <phoneticPr fontId="4"/>
  </si>
  <si>
    <t>角田市</t>
    <rPh sb="0" eb="1">
      <t>カク</t>
    </rPh>
    <rPh sb="1" eb="2">
      <t>タ</t>
    </rPh>
    <rPh sb="2" eb="3">
      <t>シ</t>
    </rPh>
    <phoneticPr fontId="4"/>
  </si>
  <si>
    <t>梶賀宇字一里</t>
    <rPh sb="0" eb="1">
      <t>カジ</t>
    </rPh>
    <rPh sb="1" eb="2">
      <t>ガ</t>
    </rPh>
    <rPh sb="2" eb="3">
      <t>ウ</t>
    </rPh>
    <rPh sb="3" eb="4">
      <t>アザ</t>
    </rPh>
    <rPh sb="4" eb="5">
      <t>１</t>
    </rPh>
    <rPh sb="5" eb="6">
      <t>リ</t>
    </rPh>
    <phoneticPr fontId="4"/>
  </si>
  <si>
    <t>1</t>
    <phoneticPr fontId="4"/>
  </si>
  <si>
    <t>白岡市</t>
    <phoneticPr fontId="4"/>
  </si>
  <si>
    <t>荒井新田字下荒井ヶ崎地内</t>
    <phoneticPr fontId="4"/>
  </si>
  <si>
    <t>H HOUSE</t>
    <phoneticPr fontId="4"/>
  </si>
  <si>
    <t>日高郡</t>
    <rPh sb="0" eb="2">
      <t>ヒダカ</t>
    </rPh>
    <rPh sb="2" eb="3">
      <t>グン</t>
    </rPh>
    <phoneticPr fontId="4"/>
  </si>
  <si>
    <t>印南町字風早</t>
    <rPh sb="0" eb="1">
      <t>イン</t>
    </rPh>
    <rPh sb="1" eb="2">
      <t>ミナミ</t>
    </rPh>
    <rPh sb="2" eb="3">
      <t>マチ</t>
    </rPh>
    <rPh sb="3" eb="4">
      <t>アザ</t>
    </rPh>
    <rPh sb="4" eb="6">
      <t>カザハヤ</t>
    </rPh>
    <phoneticPr fontId="4"/>
  </si>
  <si>
    <t>WRC造</t>
    <phoneticPr fontId="4"/>
  </si>
  <si>
    <t>1</t>
    <phoneticPr fontId="4"/>
  </si>
  <si>
    <t>窪田建築アトリエ</t>
    <rPh sb="0" eb="2">
      <t>クボタ</t>
    </rPh>
    <rPh sb="2" eb="4">
      <t>ケンチク</t>
    </rPh>
    <phoneticPr fontId="4"/>
  </si>
  <si>
    <t>新潟県</t>
    <phoneticPr fontId="4"/>
  </si>
  <si>
    <t>新発田市</t>
    <rPh sb="0" eb="4">
      <t>シバタシ</t>
    </rPh>
    <phoneticPr fontId="4"/>
  </si>
  <si>
    <t>新栄町</t>
    <rPh sb="0" eb="1">
      <t>シン</t>
    </rPh>
    <rPh sb="1" eb="2">
      <t>サカエ</t>
    </rPh>
    <rPh sb="2" eb="3">
      <t>マチ</t>
    </rPh>
    <phoneticPr fontId="4"/>
  </si>
  <si>
    <t>1-2</t>
    <phoneticPr fontId="4"/>
  </si>
  <si>
    <t>株式会社 国際確認検査センター</t>
    <phoneticPr fontId="4"/>
  </si>
  <si>
    <t>財団法人 愛知県建築住宅センター</t>
    <phoneticPr fontId="4"/>
  </si>
  <si>
    <t>高岡市</t>
    <phoneticPr fontId="4"/>
  </si>
  <si>
    <t>蓮花寺</t>
    <phoneticPr fontId="4"/>
  </si>
  <si>
    <t>四日市市</t>
    <phoneticPr fontId="4"/>
  </si>
  <si>
    <t>別名</t>
    <phoneticPr fontId="4"/>
  </si>
  <si>
    <t>京都市</t>
    <phoneticPr fontId="4"/>
  </si>
  <si>
    <t>伏見区久我西出町</t>
    <phoneticPr fontId="4"/>
  </si>
  <si>
    <t>度会郡</t>
    <phoneticPr fontId="4"/>
  </si>
  <si>
    <t>玉城町世古字小垣内</t>
    <phoneticPr fontId="4"/>
  </si>
  <si>
    <t>西尾市</t>
    <phoneticPr fontId="4"/>
  </si>
  <si>
    <t>平坂町</t>
    <phoneticPr fontId="4"/>
  </si>
  <si>
    <t>大阪市</t>
    <phoneticPr fontId="4"/>
  </si>
  <si>
    <t>城東区蒲生</t>
    <phoneticPr fontId="4"/>
  </si>
  <si>
    <t>弥生町</t>
    <rPh sb="0" eb="2">
      <t>ヤヨイ</t>
    </rPh>
    <rPh sb="2" eb="3">
      <t>マチ</t>
    </rPh>
    <phoneticPr fontId="4"/>
  </si>
  <si>
    <t>吾川郡</t>
    <phoneticPr fontId="4"/>
  </si>
  <si>
    <t>いの町波川字近見</t>
    <phoneticPr fontId="4"/>
  </si>
  <si>
    <t>垂水区多聞町</t>
    <rPh sb="0" eb="2">
      <t>タルミズ</t>
    </rPh>
    <rPh sb="2" eb="3">
      <t>ク</t>
    </rPh>
    <rPh sb="3" eb="4">
      <t>タ</t>
    </rPh>
    <rPh sb="4" eb="5">
      <t>キ</t>
    </rPh>
    <rPh sb="5" eb="6">
      <t>マチ</t>
    </rPh>
    <phoneticPr fontId="4"/>
  </si>
  <si>
    <t>気仙沼市</t>
    <phoneticPr fontId="4"/>
  </si>
  <si>
    <t>本浜町</t>
    <phoneticPr fontId="4"/>
  </si>
  <si>
    <t>浪速区</t>
    <rPh sb="0" eb="3">
      <t>ナニワク</t>
    </rPh>
    <phoneticPr fontId="4"/>
  </si>
  <si>
    <t>恵美須東</t>
    <rPh sb="0" eb="1">
      <t>メグ</t>
    </rPh>
    <rPh sb="1" eb="2">
      <t>ウツク</t>
    </rPh>
    <rPh sb="2" eb="3">
      <t>ス</t>
    </rPh>
    <rPh sb="3" eb="4">
      <t>ヒガシ</t>
    </rPh>
    <phoneticPr fontId="4"/>
  </si>
  <si>
    <t>天神町</t>
    <rPh sb="0" eb="2">
      <t>テンジン</t>
    </rPh>
    <rPh sb="2" eb="3">
      <t>マチ</t>
    </rPh>
    <phoneticPr fontId="4"/>
  </si>
  <si>
    <t>鳴門市</t>
    <phoneticPr fontId="4"/>
  </si>
  <si>
    <t>瀬戸町明神字丸山</t>
    <phoneticPr fontId="4"/>
  </si>
  <si>
    <t>船橋市</t>
    <rPh sb="0" eb="3">
      <t>フナバシシ</t>
    </rPh>
    <phoneticPr fontId="4"/>
  </si>
  <si>
    <t>習志野</t>
    <rPh sb="0" eb="3">
      <t>ナラシノ</t>
    </rPh>
    <phoneticPr fontId="4"/>
  </si>
  <si>
    <t>羽島市</t>
    <rPh sb="0" eb="3">
      <t>ハシマシ</t>
    </rPh>
    <phoneticPr fontId="4"/>
  </si>
  <si>
    <t>桑原町東方字一番屋敷</t>
    <rPh sb="0" eb="2">
      <t>クワハラ</t>
    </rPh>
    <rPh sb="2" eb="3">
      <t>マチ</t>
    </rPh>
    <rPh sb="3" eb="4">
      <t>ヒガシ</t>
    </rPh>
    <rPh sb="4" eb="5">
      <t>ホウ</t>
    </rPh>
    <rPh sb="5" eb="6">
      <t>アザ</t>
    </rPh>
    <rPh sb="6" eb="8">
      <t>イチバン</t>
    </rPh>
    <rPh sb="8" eb="10">
      <t>ヤシキ</t>
    </rPh>
    <phoneticPr fontId="4"/>
  </si>
  <si>
    <t>常陸太田市</t>
    <rPh sb="0" eb="1">
      <t>ツネ</t>
    </rPh>
    <rPh sb="1" eb="2">
      <t>リク</t>
    </rPh>
    <rPh sb="2" eb="4">
      <t>オオタ</t>
    </rPh>
    <rPh sb="4" eb="5">
      <t>シ</t>
    </rPh>
    <phoneticPr fontId="4"/>
  </si>
  <si>
    <t>金井町</t>
    <rPh sb="0" eb="2">
      <t>カナイ</t>
    </rPh>
    <rPh sb="2" eb="3">
      <t>マチ</t>
    </rPh>
    <phoneticPr fontId="4"/>
  </si>
  <si>
    <t>高知市</t>
    <rPh sb="0" eb="2">
      <t>コウチ</t>
    </rPh>
    <rPh sb="2" eb="3">
      <t>シ</t>
    </rPh>
    <phoneticPr fontId="4"/>
  </si>
  <si>
    <t>五台山</t>
    <rPh sb="0" eb="1">
      <t>ゴ</t>
    </rPh>
    <rPh sb="1" eb="2">
      <t>ダイ</t>
    </rPh>
    <rPh sb="2" eb="3">
      <t>ヤマ</t>
    </rPh>
    <phoneticPr fontId="4"/>
  </si>
  <si>
    <t>出雲市</t>
    <phoneticPr fontId="4"/>
  </si>
  <si>
    <t>斐川町荘原</t>
    <phoneticPr fontId="4"/>
  </si>
  <si>
    <t>和歌山市</t>
    <phoneticPr fontId="4"/>
  </si>
  <si>
    <t>湊</t>
    <phoneticPr fontId="4"/>
  </si>
  <si>
    <t>諏訪市</t>
    <rPh sb="0" eb="3">
      <t>スワシ</t>
    </rPh>
    <phoneticPr fontId="4"/>
  </si>
  <si>
    <t>中洲福島</t>
    <rPh sb="0" eb="2">
      <t>ナカス</t>
    </rPh>
    <rPh sb="2" eb="4">
      <t>フクシマ</t>
    </rPh>
    <phoneticPr fontId="4"/>
  </si>
  <si>
    <t>知多郡</t>
    <phoneticPr fontId="4"/>
  </si>
  <si>
    <t>美浜町奥田三ケ市</t>
    <phoneticPr fontId="4"/>
  </si>
  <si>
    <t>鶴岡市</t>
    <phoneticPr fontId="4"/>
  </si>
  <si>
    <t>千石町</t>
    <phoneticPr fontId="4"/>
  </si>
  <si>
    <t>加美郡</t>
    <rPh sb="0" eb="2">
      <t>カミ</t>
    </rPh>
    <rPh sb="2" eb="3">
      <t>グン</t>
    </rPh>
    <phoneticPr fontId="4"/>
  </si>
  <si>
    <t>加美町</t>
    <rPh sb="0" eb="2">
      <t>カミ</t>
    </rPh>
    <rPh sb="2" eb="3">
      <t>マチ</t>
    </rPh>
    <phoneticPr fontId="4"/>
  </si>
  <si>
    <t>阿南市</t>
    <rPh sb="0" eb="3">
      <t>アナンシ</t>
    </rPh>
    <phoneticPr fontId="4"/>
  </si>
  <si>
    <t>日開野町西居</t>
    <rPh sb="0" eb="1">
      <t>ヒ</t>
    </rPh>
    <rPh sb="1" eb="2">
      <t>ヒラ</t>
    </rPh>
    <rPh sb="2" eb="3">
      <t>ノ</t>
    </rPh>
    <rPh sb="3" eb="4">
      <t>マチ</t>
    </rPh>
    <rPh sb="4" eb="5">
      <t>ニシ</t>
    </rPh>
    <rPh sb="5" eb="6">
      <t>イ</t>
    </rPh>
    <phoneticPr fontId="4"/>
  </si>
  <si>
    <t>広島市</t>
    <phoneticPr fontId="4"/>
  </si>
  <si>
    <t>西区観音新町</t>
    <rPh sb="0" eb="2">
      <t>ニシク</t>
    </rPh>
    <rPh sb="2" eb="4">
      <t>カンノン</t>
    </rPh>
    <rPh sb="4" eb="6">
      <t>シンマチ</t>
    </rPh>
    <phoneticPr fontId="4"/>
  </si>
  <si>
    <t>大分市</t>
    <phoneticPr fontId="4"/>
  </si>
  <si>
    <t>大字鴛野</t>
    <rPh sb="0" eb="2">
      <t>オオアザ</t>
    </rPh>
    <phoneticPr fontId="4"/>
  </si>
  <si>
    <t>川口市</t>
    <phoneticPr fontId="4"/>
  </si>
  <si>
    <t>上青木</t>
    <phoneticPr fontId="4"/>
  </si>
  <si>
    <t>秋田市</t>
    <phoneticPr fontId="4"/>
  </si>
  <si>
    <t>寺内蛭根</t>
    <phoneticPr fontId="4"/>
  </si>
  <si>
    <t>刈谷市</t>
    <phoneticPr fontId="4"/>
  </si>
  <si>
    <t>半城土町大組</t>
    <phoneticPr fontId="4"/>
  </si>
  <si>
    <t>足立区</t>
    <phoneticPr fontId="4"/>
  </si>
  <si>
    <t>保木間</t>
    <phoneticPr fontId="4"/>
  </si>
  <si>
    <t>天童市</t>
    <phoneticPr fontId="4"/>
  </si>
  <si>
    <t>芳賀</t>
    <phoneticPr fontId="4"/>
  </si>
  <si>
    <t>大阪市</t>
    <phoneticPr fontId="4"/>
  </si>
  <si>
    <t>港区海岸通</t>
    <phoneticPr fontId="4"/>
  </si>
  <si>
    <t>草加市</t>
    <rPh sb="0" eb="3">
      <t>ソウカシ</t>
    </rPh>
    <phoneticPr fontId="4"/>
  </si>
  <si>
    <t>栄町</t>
    <rPh sb="0" eb="2">
      <t>サカエマチ</t>
    </rPh>
    <phoneticPr fontId="4"/>
  </si>
  <si>
    <t>岡崎市</t>
    <phoneticPr fontId="4"/>
  </si>
  <si>
    <t>福岡町字荒巻</t>
    <phoneticPr fontId="4"/>
  </si>
  <si>
    <t>泉南市</t>
    <rPh sb="0" eb="1">
      <t>イズミ</t>
    </rPh>
    <rPh sb="1" eb="2">
      <t>ミナミ</t>
    </rPh>
    <rPh sb="2" eb="3">
      <t>シ</t>
    </rPh>
    <phoneticPr fontId="4"/>
  </si>
  <si>
    <t>りんくう従来北</t>
    <rPh sb="4" eb="5">
      <t>シタガ</t>
    </rPh>
    <rPh sb="5" eb="6">
      <t>ライ</t>
    </rPh>
    <rPh sb="6" eb="7">
      <t>キタ</t>
    </rPh>
    <phoneticPr fontId="4"/>
  </si>
  <si>
    <t>五所川原市</t>
    <phoneticPr fontId="4"/>
  </si>
  <si>
    <t>大字姥萢字桜木</t>
    <phoneticPr fontId="4"/>
  </si>
  <si>
    <t>豊中市</t>
    <rPh sb="0" eb="3">
      <t>トヨナカシ</t>
    </rPh>
    <phoneticPr fontId="4"/>
  </si>
  <si>
    <t>穂積</t>
    <rPh sb="0" eb="1">
      <t>ホ</t>
    </rPh>
    <rPh sb="1" eb="2">
      <t>ツ</t>
    </rPh>
    <phoneticPr fontId="4"/>
  </si>
  <si>
    <t>三沢市</t>
    <rPh sb="0" eb="2">
      <t>ミサワ</t>
    </rPh>
    <rPh sb="2" eb="3">
      <t>シ</t>
    </rPh>
    <phoneticPr fontId="4"/>
  </si>
  <si>
    <t>中央町</t>
    <rPh sb="0" eb="2">
      <t>チュウオウ</t>
    </rPh>
    <rPh sb="2" eb="3">
      <t>マチ</t>
    </rPh>
    <phoneticPr fontId="4"/>
  </si>
  <si>
    <t>北九州市</t>
    <phoneticPr fontId="4"/>
  </si>
  <si>
    <t>小倉北区赤坂海岸</t>
    <phoneticPr fontId="4"/>
  </si>
  <si>
    <t>神戸市</t>
    <phoneticPr fontId="4"/>
  </si>
  <si>
    <t>東灘区向洋町東</t>
    <phoneticPr fontId="4"/>
  </si>
  <si>
    <t>可児市</t>
    <phoneticPr fontId="4"/>
  </si>
  <si>
    <t>川合</t>
    <phoneticPr fontId="4"/>
  </si>
  <si>
    <t>花畑</t>
    <rPh sb="0" eb="2">
      <t>ハナハタ</t>
    </rPh>
    <phoneticPr fontId="4"/>
  </si>
  <si>
    <t>宝塚市</t>
    <rPh sb="0" eb="3">
      <t>タカラヅカシ</t>
    </rPh>
    <phoneticPr fontId="4"/>
  </si>
  <si>
    <t>中筋</t>
    <rPh sb="0" eb="2">
      <t>ナカスジ</t>
    </rPh>
    <phoneticPr fontId="4"/>
  </si>
  <si>
    <t>墨田区</t>
    <phoneticPr fontId="4"/>
  </si>
  <si>
    <t>緑</t>
    <phoneticPr fontId="4"/>
  </si>
  <si>
    <t>ひたちなか市</t>
    <phoneticPr fontId="4"/>
  </si>
  <si>
    <t>足崎字西原</t>
    <phoneticPr fontId="4"/>
  </si>
  <si>
    <t>多賀城市</t>
    <phoneticPr fontId="4"/>
  </si>
  <si>
    <t>八幡</t>
    <phoneticPr fontId="4"/>
  </si>
  <si>
    <t>熊本市</t>
    <phoneticPr fontId="4"/>
  </si>
  <si>
    <t>南区薄場</t>
    <rPh sb="3" eb="4">
      <t>バ</t>
    </rPh>
    <phoneticPr fontId="4"/>
  </si>
  <si>
    <t>三郷市</t>
    <phoneticPr fontId="4"/>
  </si>
  <si>
    <t>栄</t>
    <rPh sb="0" eb="1">
      <t>サカエ</t>
    </rPh>
    <phoneticPr fontId="4"/>
  </si>
  <si>
    <t>草津市</t>
    <phoneticPr fontId="4"/>
  </si>
  <si>
    <t>山寺町</t>
    <phoneticPr fontId="4"/>
  </si>
  <si>
    <t>北区新崎</t>
    <rPh sb="2" eb="3">
      <t>シン</t>
    </rPh>
    <rPh sb="3" eb="4">
      <t>サキ</t>
    </rPh>
    <phoneticPr fontId="4"/>
  </si>
  <si>
    <t>新潟市</t>
    <rPh sb="0" eb="2">
      <t>ニイガタ</t>
    </rPh>
    <rPh sb="2" eb="3">
      <t>シ</t>
    </rPh>
    <phoneticPr fontId="4"/>
  </si>
  <si>
    <t>西中島</t>
    <rPh sb="0" eb="1">
      <t>ニシ</t>
    </rPh>
    <phoneticPr fontId="4"/>
  </si>
  <si>
    <t>黒川郡</t>
    <rPh sb="0" eb="2">
      <t>クロカワ</t>
    </rPh>
    <rPh sb="2" eb="3">
      <t>グン</t>
    </rPh>
    <phoneticPr fontId="4"/>
  </si>
  <si>
    <t>大和町落合檜和田字万五郎</t>
    <rPh sb="0" eb="2">
      <t>ヤマト</t>
    </rPh>
    <rPh sb="2" eb="3">
      <t>マチ</t>
    </rPh>
    <rPh sb="3" eb="5">
      <t>オチアイ</t>
    </rPh>
    <rPh sb="5" eb="6">
      <t>ヒノキ</t>
    </rPh>
    <rPh sb="6" eb="7">
      <t>ワ</t>
    </rPh>
    <rPh sb="7" eb="8">
      <t>タ</t>
    </rPh>
    <rPh sb="8" eb="9">
      <t>アザ</t>
    </rPh>
    <rPh sb="9" eb="10">
      <t>マン</t>
    </rPh>
    <rPh sb="10" eb="12">
      <t>ゴロウ</t>
    </rPh>
    <phoneticPr fontId="4"/>
  </si>
  <si>
    <t>名古屋市</t>
    <phoneticPr fontId="4"/>
  </si>
  <si>
    <t>中村区横前町</t>
    <phoneticPr fontId="4"/>
  </si>
  <si>
    <t>北葛飾郡</t>
    <rPh sb="0" eb="1">
      <t>キタ</t>
    </rPh>
    <rPh sb="1" eb="3">
      <t>カツシカ</t>
    </rPh>
    <rPh sb="3" eb="4">
      <t>グン</t>
    </rPh>
    <phoneticPr fontId="4"/>
  </si>
  <si>
    <t>杉戸町大字本郷</t>
    <rPh sb="0" eb="2">
      <t>スギト</t>
    </rPh>
    <rPh sb="2" eb="3">
      <t>マチ</t>
    </rPh>
    <rPh sb="3" eb="5">
      <t>オオアザ</t>
    </rPh>
    <rPh sb="5" eb="7">
      <t>ホンゴウ</t>
    </rPh>
    <phoneticPr fontId="4"/>
  </si>
  <si>
    <t>北佐久郡</t>
    <phoneticPr fontId="4"/>
  </si>
  <si>
    <t>軽井沢町大字軽井沢字中谷地</t>
    <phoneticPr fontId="4"/>
  </si>
  <si>
    <t>北区鹿の子台南町</t>
    <phoneticPr fontId="4"/>
  </si>
  <si>
    <t>軽井沢町軽井沢発地</t>
    <phoneticPr fontId="4"/>
  </si>
  <si>
    <t>赤磐市</t>
    <phoneticPr fontId="4"/>
  </si>
  <si>
    <t>高屋字一七川</t>
    <phoneticPr fontId="4"/>
  </si>
  <si>
    <t>つがる市</t>
    <rPh sb="3" eb="4">
      <t>シ</t>
    </rPh>
    <phoneticPr fontId="4"/>
  </si>
  <si>
    <t>松江市</t>
    <phoneticPr fontId="4"/>
  </si>
  <si>
    <t>東津田町</t>
    <phoneticPr fontId="4"/>
  </si>
  <si>
    <t>酒田市</t>
    <phoneticPr fontId="4"/>
  </si>
  <si>
    <t>東町</t>
    <rPh sb="0" eb="1">
      <t>ヒガシ</t>
    </rPh>
    <rPh sb="1" eb="2">
      <t>マチ</t>
    </rPh>
    <phoneticPr fontId="4"/>
  </si>
  <si>
    <t>松阪市</t>
    <rPh sb="0" eb="2">
      <t>マツサカ</t>
    </rPh>
    <rPh sb="2" eb="3">
      <t>シ</t>
    </rPh>
    <phoneticPr fontId="4"/>
  </si>
  <si>
    <t>松崎浦町</t>
    <rPh sb="0" eb="1">
      <t>マツ</t>
    </rPh>
    <rPh sb="1" eb="2">
      <t>サキ</t>
    </rPh>
    <rPh sb="2" eb="3">
      <t>ウラ</t>
    </rPh>
    <rPh sb="3" eb="4">
      <t>マチ</t>
    </rPh>
    <phoneticPr fontId="4"/>
  </si>
  <si>
    <t>下妻市</t>
    <rPh sb="0" eb="3">
      <t>シモツマシ</t>
    </rPh>
    <phoneticPr fontId="4"/>
  </si>
  <si>
    <t>原</t>
    <rPh sb="0" eb="1">
      <t>ハラ</t>
    </rPh>
    <phoneticPr fontId="4"/>
  </si>
  <si>
    <t>堀篭地先</t>
    <rPh sb="0" eb="1">
      <t>ホリ</t>
    </rPh>
    <rPh sb="1" eb="2">
      <t>カゴ</t>
    </rPh>
    <rPh sb="2" eb="3">
      <t>チ</t>
    </rPh>
    <rPh sb="3" eb="4">
      <t>サキ</t>
    </rPh>
    <phoneticPr fontId="4"/>
  </si>
  <si>
    <t>新海町</t>
    <rPh sb="0" eb="1">
      <t>シン</t>
    </rPh>
    <rPh sb="1" eb="2">
      <t>ウミ</t>
    </rPh>
    <rPh sb="2" eb="3">
      <t>マチ</t>
    </rPh>
    <phoneticPr fontId="4"/>
  </si>
  <si>
    <t>塩竃市</t>
    <phoneticPr fontId="4"/>
  </si>
  <si>
    <t>新浜町</t>
    <rPh sb="0" eb="1">
      <t>シン</t>
    </rPh>
    <rPh sb="1" eb="2">
      <t>ハマ</t>
    </rPh>
    <rPh sb="2" eb="3">
      <t>マチ</t>
    </rPh>
    <phoneticPr fontId="4"/>
  </si>
  <si>
    <t>広島市</t>
    <phoneticPr fontId="4"/>
  </si>
  <si>
    <t>中区江波西</t>
    <phoneticPr fontId="4"/>
  </si>
  <si>
    <t>大字大瀬字稗田</t>
    <rPh sb="0" eb="2">
      <t>オオアザ</t>
    </rPh>
    <rPh sb="2" eb="4">
      <t>オオセ</t>
    </rPh>
    <rPh sb="4" eb="5">
      <t>アザ</t>
    </rPh>
    <rPh sb="5" eb="6">
      <t>ヒエ</t>
    </rPh>
    <rPh sb="6" eb="7">
      <t>タ</t>
    </rPh>
    <phoneticPr fontId="4"/>
  </si>
  <si>
    <t>春日部市</t>
    <phoneticPr fontId="4"/>
  </si>
  <si>
    <t>庄和町下柳</t>
    <rPh sb="0" eb="2">
      <t>ショウワ</t>
    </rPh>
    <rPh sb="2" eb="3">
      <t>マチ</t>
    </rPh>
    <rPh sb="3" eb="4">
      <t>シタ</t>
    </rPh>
    <rPh sb="4" eb="5">
      <t>ヤナギ</t>
    </rPh>
    <phoneticPr fontId="4"/>
  </si>
  <si>
    <t>川西市</t>
    <phoneticPr fontId="4"/>
  </si>
  <si>
    <t>加茂</t>
    <phoneticPr fontId="4"/>
  </si>
  <si>
    <t>守口市</t>
    <phoneticPr fontId="4"/>
  </si>
  <si>
    <t>高瀬町</t>
    <phoneticPr fontId="4"/>
  </si>
  <si>
    <t>春日部市</t>
    <phoneticPr fontId="4"/>
  </si>
  <si>
    <t>増田新田</t>
    <rPh sb="0" eb="2">
      <t>マスダ</t>
    </rPh>
    <rPh sb="2" eb="4">
      <t>ニッタ</t>
    </rPh>
    <phoneticPr fontId="4"/>
  </si>
  <si>
    <t>菊池郡</t>
    <rPh sb="0" eb="1">
      <t>キク</t>
    </rPh>
    <rPh sb="1" eb="2">
      <t>イケ</t>
    </rPh>
    <rPh sb="2" eb="3">
      <t>グン</t>
    </rPh>
    <phoneticPr fontId="4"/>
  </si>
  <si>
    <t>菊陽町大字津久礼</t>
    <rPh sb="0" eb="2">
      <t>キクヨウ</t>
    </rPh>
    <rPh sb="2" eb="3">
      <t>マチ</t>
    </rPh>
    <rPh sb="3" eb="5">
      <t>オオアザ</t>
    </rPh>
    <rPh sb="5" eb="6">
      <t>ツ</t>
    </rPh>
    <rPh sb="6" eb="7">
      <t>ヒサ</t>
    </rPh>
    <rPh sb="7" eb="8">
      <t>レイ</t>
    </rPh>
    <phoneticPr fontId="4"/>
  </si>
  <si>
    <t>静岡市</t>
    <phoneticPr fontId="4"/>
  </si>
  <si>
    <t>葵区竜南</t>
    <phoneticPr fontId="4"/>
  </si>
  <si>
    <t>奈良市</t>
    <phoneticPr fontId="4"/>
  </si>
  <si>
    <t>右京</t>
    <phoneticPr fontId="4"/>
  </si>
  <si>
    <t>鳥取市</t>
    <rPh sb="0" eb="2">
      <t>トットリ</t>
    </rPh>
    <rPh sb="2" eb="3">
      <t>シ</t>
    </rPh>
    <phoneticPr fontId="4"/>
  </si>
  <si>
    <t>加露町</t>
    <rPh sb="0" eb="1">
      <t>クワ</t>
    </rPh>
    <rPh sb="1" eb="2">
      <t>ロ</t>
    </rPh>
    <rPh sb="2" eb="3">
      <t>マチ</t>
    </rPh>
    <phoneticPr fontId="4"/>
  </si>
  <si>
    <t>竹の塚</t>
    <phoneticPr fontId="4"/>
  </si>
  <si>
    <t>墨田</t>
    <phoneticPr fontId="4"/>
  </si>
  <si>
    <t>越谷市</t>
    <phoneticPr fontId="4"/>
  </si>
  <si>
    <t>大字増林字城の上</t>
    <phoneticPr fontId="4"/>
  </si>
  <si>
    <t>土浦市</t>
    <phoneticPr fontId="4"/>
  </si>
  <si>
    <t>東真鍋町</t>
    <phoneticPr fontId="4"/>
  </si>
  <si>
    <t>松本市</t>
    <phoneticPr fontId="4"/>
  </si>
  <si>
    <t>笹部</t>
    <phoneticPr fontId="4"/>
  </si>
  <si>
    <t>上越市</t>
    <phoneticPr fontId="4"/>
  </si>
  <si>
    <t>大字三田新田字水ふけ</t>
    <phoneticPr fontId="4"/>
  </si>
  <si>
    <t>船橋市</t>
    <phoneticPr fontId="4"/>
  </si>
  <si>
    <t>山野町</t>
    <phoneticPr fontId="4"/>
  </si>
  <si>
    <t>西区貴生町</t>
    <phoneticPr fontId="4"/>
  </si>
  <si>
    <t>甲賀市</t>
    <phoneticPr fontId="4"/>
  </si>
  <si>
    <t>水口町水口</t>
    <phoneticPr fontId="4"/>
  </si>
  <si>
    <t>さいたま市</t>
    <rPh sb="4" eb="5">
      <t>シ</t>
    </rPh>
    <phoneticPr fontId="4"/>
  </si>
  <si>
    <t>緑区中野田地先</t>
    <rPh sb="0" eb="2">
      <t>ミドリク</t>
    </rPh>
    <rPh sb="2" eb="4">
      <t>ナカノ</t>
    </rPh>
    <rPh sb="4" eb="5">
      <t>タ</t>
    </rPh>
    <rPh sb="5" eb="6">
      <t>チ</t>
    </rPh>
    <rPh sb="6" eb="7">
      <t>サキ</t>
    </rPh>
    <phoneticPr fontId="4"/>
  </si>
  <si>
    <t>福井市</t>
    <rPh sb="0" eb="3">
      <t>フクイシ</t>
    </rPh>
    <phoneticPr fontId="4"/>
  </si>
  <si>
    <t>城東</t>
    <rPh sb="0" eb="1">
      <t>シロ</t>
    </rPh>
    <rPh sb="1" eb="2">
      <t>ヒガシ</t>
    </rPh>
    <phoneticPr fontId="4"/>
  </si>
  <si>
    <t>南常三島</t>
    <rPh sb="0" eb="1">
      <t>ミナミ</t>
    </rPh>
    <rPh sb="1" eb="2">
      <t>ツネ</t>
    </rPh>
    <rPh sb="2" eb="3">
      <t>サン</t>
    </rPh>
    <rPh sb="3" eb="4">
      <t>シマ</t>
    </rPh>
    <phoneticPr fontId="4"/>
  </si>
  <si>
    <t>豊橋市</t>
    <phoneticPr fontId="4"/>
  </si>
  <si>
    <t>牛川町字郷道</t>
    <phoneticPr fontId="4"/>
  </si>
  <si>
    <t>津山市</t>
    <phoneticPr fontId="4"/>
  </si>
  <si>
    <t>総社字桜屋</t>
    <phoneticPr fontId="4"/>
  </si>
  <si>
    <t>大垣市</t>
    <phoneticPr fontId="4"/>
  </si>
  <si>
    <t>中ノ江</t>
    <phoneticPr fontId="4"/>
  </si>
  <si>
    <t>うるま市</t>
    <rPh sb="3" eb="4">
      <t>シ</t>
    </rPh>
    <phoneticPr fontId="4"/>
  </si>
  <si>
    <t>塩屋浜原</t>
    <rPh sb="0" eb="2">
      <t>シオヤ</t>
    </rPh>
    <rPh sb="2" eb="3">
      <t>ハマ</t>
    </rPh>
    <rPh sb="3" eb="4">
      <t>ハラ</t>
    </rPh>
    <phoneticPr fontId="4"/>
  </si>
  <si>
    <t>菊陽町大字津久礼</t>
    <phoneticPr fontId="4"/>
  </si>
  <si>
    <t>横浜市</t>
    <phoneticPr fontId="4"/>
  </si>
  <si>
    <t>鶴見区大黒ふ頭</t>
    <phoneticPr fontId="4"/>
  </si>
  <si>
    <t>高島市</t>
    <phoneticPr fontId="4"/>
  </si>
  <si>
    <t>安曇川町末広</t>
    <phoneticPr fontId="4"/>
  </si>
  <si>
    <t>上越市</t>
    <phoneticPr fontId="4"/>
  </si>
  <si>
    <t>大字三田新田字水ふけ</t>
    <phoneticPr fontId="4"/>
  </si>
  <si>
    <t>伊那市</t>
    <phoneticPr fontId="4"/>
  </si>
  <si>
    <t>境</t>
    <phoneticPr fontId="4"/>
  </si>
  <si>
    <t>流山市</t>
    <rPh sb="0" eb="2">
      <t>ナガレヤマ</t>
    </rPh>
    <rPh sb="2" eb="3">
      <t>シ</t>
    </rPh>
    <phoneticPr fontId="4"/>
  </si>
  <si>
    <t>東深井</t>
    <rPh sb="0" eb="1">
      <t>ヒガシ</t>
    </rPh>
    <rPh sb="1" eb="3">
      <t>フカイ</t>
    </rPh>
    <phoneticPr fontId="4"/>
  </si>
  <si>
    <t>境港市</t>
    <phoneticPr fontId="4"/>
  </si>
  <si>
    <t>竹内団地</t>
    <phoneticPr fontId="4"/>
  </si>
  <si>
    <t>熊毛郡</t>
    <phoneticPr fontId="4"/>
  </si>
  <si>
    <t>周防大島町小松</t>
    <phoneticPr fontId="4"/>
  </si>
  <si>
    <t>諏訪市</t>
    <phoneticPr fontId="4"/>
  </si>
  <si>
    <t>中洲</t>
    <phoneticPr fontId="4"/>
  </si>
  <si>
    <t>八潮市</t>
    <phoneticPr fontId="4"/>
  </si>
  <si>
    <t>大字大瀬字稗田</t>
    <phoneticPr fontId="4"/>
  </si>
  <si>
    <t>今市町南本町</t>
    <rPh sb="0" eb="1">
      <t>イマ</t>
    </rPh>
    <rPh sb="1" eb="2">
      <t>シ</t>
    </rPh>
    <rPh sb="2" eb="3">
      <t>マチ</t>
    </rPh>
    <rPh sb="3" eb="4">
      <t>ミナミ</t>
    </rPh>
    <rPh sb="4" eb="6">
      <t>ホンマチ</t>
    </rPh>
    <phoneticPr fontId="4"/>
  </si>
  <si>
    <t>土崎港北</t>
    <rPh sb="0" eb="1">
      <t>ツチ</t>
    </rPh>
    <rPh sb="1" eb="2">
      <t>サキ</t>
    </rPh>
    <rPh sb="2" eb="3">
      <t>ミナト</t>
    </rPh>
    <rPh sb="3" eb="4">
      <t>キタ</t>
    </rPh>
    <phoneticPr fontId="4"/>
  </si>
  <si>
    <t>八幡東区東田</t>
    <rPh sb="0" eb="2">
      <t>ヤハタ</t>
    </rPh>
    <rPh sb="2" eb="3">
      <t>ヒガシ</t>
    </rPh>
    <rPh sb="3" eb="4">
      <t>ク</t>
    </rPh>
    <rPh sb="4" eb="5">
      <t>ヒガシ</t>
    </rPh>
    <rPh sb="5" eb="6">
      <t>タ</t>
    </rPh>
    <phoneticPr fontId="4"/>
  </si>
  <si>
    <t>財団法人 ベターリビング</t>
    <phoneticPr fontId="4"/>
  </si>
  <si>
    <t>山梨県</t>
    <phoneticPr fontId="4"/>
  </si>
  <si>
    <t>甲府市</t>
    <rPh sb="0" eb="3">
      <t>コウフシ</t>
    </rPh>
    <phoneticPr fontId="4"/>
  </si>
  <si>
    <t>朝日</t>
    <rPh sb="0" eb="2">
      <t>アサヒ</t>
    </rPh>
    <phoneticPr fontId="4"/>
  </si>
  <si>
    <t>板野郡</t>
    <rPh sb="0" eb="3">
      <t>イタノグン</t>
    </rPh>
    <phoneticPr fontId="4"/>
  </si>
  <si>
    <t>板野町吹田字千田ノ内</t>
    <rPh sb="0" eb="3">
      <t>イタノチョウ</t>
    </rPh>
    <rPh sb="3" eb="5">
      <t>スイタ</t>
    </rPh>
    <rPh sb="5" eb="6">
      <t>アザ</t>
    </rPh>
    <rPh sb="6" eb="7">
      <t>セン</t>
    </rPh>
    <rPh sb="7" eb="8">
      <t>タ</t>
    </rPh>
    <rPh sb="9" eb="10">
      <t>ウチ</t>
    </rPh>
    <phoneticPr fontId="4"/>
  </si>
  <si>
    <t>テクノブリッジ</t>
    <phoneticPr fontId="4"/>
  </si>
  <si>
    <t>中部工業(株)工場</t>
    <rPh sb="0" eb="2">
      <t>チュウブ</t>
    </rPh>
    <rPh sb="2" eb="4">
      <t>コウギョウ</t>
    </rPh>
    <rPh sb="4" eb="7">
      <t>カブ</t>
    </rPh>
    <rPh sb="7" eb="9">
      <t>コウジョウ</t>
    </rPh>
    <phoneticPr fontId="4"/>
  </si>
  <si>
    <t>名古屋市</t>
    <rPh sb="0" eb="4">
      <t>ナゴヤシ</t>
    </rPh>
    <phoneticPr fontId="4"/>
  </si>
  <si>
    <t>南区南野</t>
    <rPh sb="0" eb="2">
      <t>ミナミク</t>
    </rPh>
    <rPh sb="2" eb="3">
      <t>ミナミ</t>
    </rPh>
    <rPh sb="3" eb="4">
      <t>ノ</t>
    </rPh>
    <phoneticPr fontId="4"/>
  </si>
  <si>
    <t>越ヶ谷本町</t>
    <rPh sb="0" eb="5">
      <t>コシガヤホンチョウホンマチ</t>
    </rPh>
    <phoneticPr fontId="4"/>
  </si>
  <si>
    <t>ルネスマンション足立区千住旭町</t>
    <rPh sb="8" eb="10">
      <t>アダチ</t>
    </rPh>
    <rPh sb="10" eb="11">
      <t>ク</t>
    </rPh>
    <rPh sb="11" eb="13">
      <t>センジュ</t>
    </rPh>
    <rPh sb="13" eb="14">
      <t>アサヒ</t>
    </rPh>
    <rPh sb="14" eb="15">
      <t>マチ</t>
    </rPh>
    <phoneticPr fontId="4"/>
  </si>
  <si>
    <t>足立区</t>
    <phoneticPr fontId="4"/>
  </si>
  <si>
    <t>千住旭町</t>
    <rPh sb="0" eb="2">
      <t>センジュ</t>
    </rPh>
    <rPh sb="2" eb="3">
      <t>アサヒ</t>
    </rPh>
    <rPh sb="3" eb="4">
      <t>マチ</t>
    </rPh>
    <phoneticPr fontId="4"/>
  </si>
  <si>
    <t>6F建</t>
    <rPh sb="2" eb="3">
      <t>タ</t>
    </rPh>
    <phoneticPr fontId="4"/>
  </si>
  <si>
    <t>3</t>
    <phoneticPr fontId="4"/>
  </si>
  <si>
    <t>16アーキテクツ</t>
    <phoneticPr fontId="4"/>
  </si>
  <si>
    <t>窪田建築アトリエ</t>
    <phoneticPr fontId="4"/>
  </si>
  <si>
    <t>クボタケンチクアトリエ</t>
    <phoneticPr fontId="4"/>
  </si>
  <si>
    <t>財団法人 三重県建設技術センター</t>
    <phoneticPr fontId="4"/>
  </si>
  <si>
    <t>米子市</t>
    <rPh sb="0" eb="3">
      <t>ヨナゴシ</t>
    </rPh>
    <phoneticPr fontId="4"/>
  </si>
  <si>
    <t>淀江町佐陀</t>
    <rPh sb="0" eb="2">
      <t>ヨドエ</t>
    </rPh>
    <rPh sb="2" eb="3">
      <t>マチ</t>
    </rPh>
    <rPh sb="3" eb="4">
      <t>サ</t>
    </rPh>
    <phoneticPr fontId="4"/>
  </si>
  <si>
    <t>3</t>
    <phoneticPr fontId="4"/>
  </si>
  <si>
    <t>マルハン橋本台</t>
    <rPh sb="4" eb="7">
      <t>ハシモトダイ</t>
    </rPh>
    <phoneticPr fontId="4"/>
  </si>
  <si>
    <t>株式会社 コア建築事務所</t>
    <phoneticPr fontId="4"/>
  </si>
  <si>
    <t>カブシキガイシャ コアケンチクジムショ</t>
    <phoneticPr fontId="4"/>
  </si>
  <si>
    <t>-</t>
    <phoneticPr fontId="4"/>
  </si>
  <si>
    <t>株式会社 安宅設計</t>
    <rPh sb="0" eb="2">
      <t>カブシキ</t>
    </rPh>
    <rPh sb="2" eb="4">
      <t>カイシャ</t>
    </rPh>
    <rPh sb="5" eb="7">
      <t>アタカ</t>
    </rPh>
    <rPh sb="7" eb="9">
      <t>セッケイ</t>
    </rPh>
    <phoneticPr fontId="4"/>
  </si>
  <si>
    <t>株式会社 安宅設計</t>
    <phoneticPr fontId="4"/>
  </si>
  <si>
    <t>カブシキガイシャ アタカセッケイ</t>
    <phoneticPr fontId="4"/>
  </si>
  <si>
    <t>株式会社 岩見田・設計</t>
    <rPh sb="0" eb="2">
      <t>カブシキ</t>
    </rPh>
    <rPh sb="2" eb="4">
      <t>カイシャ</t>
    </rPh>
    <rPh sb="5" eb="6">
      <t>イワ</t>
    </rPh>
    <rPh sb="6" eb="7">
      <t>ミ</t>
    </rPh>
    <rPh sb="7" eb="8">
      <t>タ</t>
    </rPh>
    <rPh sb="9" eb="11">
      <t>セッケイ</t>
    </rPh>
    <phoneticPr fontId="4"/>
  </si>
  <si>
    <t>株式会社 岩見田・設計</t>
    <phoneticPr fontId="4"/>
  </si>
  <si>
    <t>株式会社 山形県建築サポートセンター</t>
    <phoneticPr fontId="4"/>
  </si>
  <si>
    <t>アシーズブリッジ米子</t>
    <rPh sb="8" eb="10">
      <t>ヨナゴ</t>
    </rPh>
    <phoneticPr fontId="4"/>
  </si>
  <si>
    <t>和歌山市</t>
    <phoneticPr fontId="4"/>
  </si>
  <si>
    <t>直川</t>
    <rPh sb="0" eb="2">
      <t>ナオカワ</t>
    </rPh>
    <phoneticPr fontId="4"/>
  </si>
  <si>
    <t>株式会社 中部都市建築設計事務所</t>
    <phoneticPr fontId="4"/>
  </si>
  <si>
    <t>沖縄県</t>
    <rPh sb="0" eb="3">
      <t>オキナワケン</t>
    </rPh>
    <phoneticPr fontId="4"/>
  </si>
  <si>
    <t>南城市</t>
    <rPh sb="1" eb="2">
      <t>シロ</t>
    </rPh>
    <rPh sb="2" eb="3">
      <t>シ</t>
    </rPh>
    <phoneticPr fontId="4"/>
  </si>
  <si>
    <t>知念字久手堅</t>
    <rPh sb="0" eb="2">
      <t>チネン</t>
    </rPh>
    <rPh sb="2" eb="3">
      <t>アザ</t>
    </rPh>
    <rPh sb="3" eb="4">
      <t>ヒサ</t>
    </rPh>
    <rPh sb="4" eb="5">
      <t>テ</t>
    </rPh>
    <rPh sb="5" eb="6">
      <t>カタ</t>
    </rPh>
    <phoneticPr fontId="4"/>
  </si>
  <si>
    <t>有限会社 辺見美津男設計室</t>
    <phoneticPr fontId="4"/>
  </si>
  <si>
    <t>カブシキガイシャ イワミダセッケイ</t>
    <phoneticPr fontId="4"/>
  </si>
  <si>
    <t>ユウゲンガイシャ ヘンミミツオセッケイシツ</t>
    <phoneticPr fontId="4"/>
  </si>
  <si>
    <t>株式会社 小島建築設計事務所</t>
    <rPh sb="0" eb="2">
      <t>カブシキ</t>
    </rPh>
    <rPh sb="2" eb="4">
      <t>カイシャ</t>
    </rPh>
    <phoneticPr fontId="4"/>
  </si>
  <si>
    <t>株式会社 小島建築設計事務所</t>
    <phoneticPr fontId="4"/>
  </si>
  <si>
    <t>カブシキガイシャ オジマケンチクセッケイジムショ</t>
    <phoneticPr fontId="4"/>
  </si>
  <si>
    <t>-</t>
    <phoneticPr fontId="4"/>
  </si>
  <si>
    <t>※</t>
    <phoneticPr fontId="4"/>
  </si>
  <si>
    <t>株式会社 双葉デザイン</t>
    <phoneticPr fontId="4"/>
  </si>
  <si>
    <t>南鳩ヶ谷6丁目計画</t>
    <rPh sb="0" eb="1">
      <t>ミナミ</t>
    </rPh>
    <rPh sb="1" eb="2">
      <t>ハト</t>
    </rPh>
    <rPh sb="3" eb="4">
      <t>タニ</t>
    </rPh>
    <rPh sb="5" eb="7">
      <t>チョウメ</t>
    </rPh>
    <rPh sb="7" eb="9">
      <t>ケイカク</t>
    </rPh>
    <phoneticPr fontId="4"/>
  </si>
  <si>
    <t>大川魚店</t>
    <rPh sb="0" eb="2">
      <t>オオカワ</t>
    </rPh>
    <rPh sb="2" eb="3">
      <t>サカナ</t>
    </rPh>
    <rPh sb="3" eb="4">
      <t>テン</t>
    </rPh>
    <phoneticPr fontId="4"/>
  </si>
  <si>
    <t>いわき市</t>
    <phoneticPr fontId="4"/>
  </si>
  <si>
    <t>泉町本谷字道上</t>
    <rPh sb="0" eb="1">
      <t>イズミ</t>
    </rPh>
    <rPh sb="1" eb="2">
      <t>マチ</t>
    </rPh>
    <rPh sb="2" eb="3">
      <t>ホン</t>
    </rPh>
    <rPh sb="3" eb="4">
      <t>タニ</t>
    </rPh>
    <rPh sb="4" eb="5">
      <t>アザ</t>
    </rPh>
    <rPh sb="5" eb="7">
      <t>ミチウエ</t>
    </rPh>
    <phoneticPr fontId="4"/>
  </si>
  <si>
    <t>株式会社 白鳥建築構造事務所</t>
    <rPh sb="0" eb="2">
      <t>カブシキ</t>
    </rPh>
    <rPh sb="2" eb="4">
      <t>カイシャ</t>
    </rPh>
    <rPh sb="5" eb="7">
      <t>シラトリ</t>
    </rPh>
    <rPh sb="7" eb="9">
      <t>ケンチク</t>
    </rPh>
    <rPh sb="9" eb="11">
      <t>コウゾウ</t>
    </rPh>
    <rPh sb="11" eb="13">
      <t>ジム</t>
    </rPh>
    <rPh sb="13" eb="14">
      <t>ショ</t>
    </rPh>
    <phoneticPr fontId="4"/>
  </si>
  <si>
    <t>株式会社 白鳥建築構造事務所</t>
    <phoneticPr fontId="4"/>
  </si>
  <si>
    <t>カブシキガイシャ シラトリケンチクコウゾウジムショ</t>
    <phoneticPr fontId="4"/>
  </si>
  <si>
    <t>株式会社 新建築設計事務所</t>
    <phoneticPr fontId="4"/>
  </si>
  <si>
    <t>日本ERI 株式会社</t>
    <phoneticPr fontId="4"/>
  </si>
  <si>
    <t>日本ERI 株式会社(盛岡)</t>
    <rPh sb="11" eb="13">
      <t>モリオカ</t>
    </rPh>
    <phoneticPr fontId="4"/>
  </si>
  <si>
    <t>日本ERI 株式会社(金沢)</t>
    <rPh sb="11" eb="13">
      <t>カナザワ</t>
    </rPh>
    <phoneticPr fontId="4"/>
  </si>
  <si>
    <t>日本ERI 株式会社(さいたま)</t>
    <phoneticPr fontId="4"/>
  </si>
  <si>
    <t>日本ERI 株式会社(東京)</t>
    <rPh sb="11" eb="13">
      <t>トウキョウ</t>
    </rPh>
    <phoneticPr fontId="4"/>
  </si>
  <si>
    <t>日本ERI 株式会社(名古屋)</t>
    <rPh sb="11" eb="14">
      <t>ナゴヤ</t>
    </rPh>
    <phoneticPr fontId="4"/>
  </si>
  <si>
    <t>日本ERI 株式会社(仙台)</t>
    <rPh sb="11" eb="13">
      <t>センダイ</t>
    </rPh>
    <phoneticPr fontId="4"/>
  </si>
  <si>
    <t>日本ERI 株式会社(岡山)</t>
    <rPh sb="11" eb="13">
      <t>オカヤマ</t>
    </rPh>
    <phoneticPr fontId="4"/>
  </si>
  <si>
    <t>日本ERI 株式会社(松山)</t>
    <rPh sb="11" eb="13">
      <t>マツヤマ</t>
    </rPh>
    <phoneticPr fontId="4"/>
  </si>
  <si>
    <t>日本ERI 株式会社(大阪)</t>
    <rPh sb="11" eb="13">
      <t>オオサカ</t>
    </rPh>
    <phoneticPr fontId="4"/>
  </si>
  <si>
    <t>日本ERI 株式会社(埼玉)</t>
    <rPh sb="11" eb="13">
      <t>サイタマ</t>
    </rPh>
    <phoneticPr fontId="4"/>
  </si>
  <si>
    <t>日本ERI 株式会社(静岡)</t>
    <rPh sb="11" eb="13">
      <t>シズオカ</t>
    </rPh>
    <phoneticPr fontId="4"/>
  </si>
  <si>
    <t>日本ERI 株式会社(大分)</t>
    <rPh sb="11" eb="13">
      <t>オオイタ</t>
    </rPh>
    <phoneticPr fontId="4"/>
  </si>
  <si>
    <t>日本ERI 株式会社(広島)</t>
    <rPh sb="11" eb="13">
      <t>ヒロシマ</t>
    </rPh>
    <phoneticPr fontId="4"/>
  </si>
  <si>
    <t>日本ERI 株式会社(神戸)</t>
    <rPh sb="11" eb="13">
      <t>コウベ</t>
    </rPh>
    <phoneticPr fontId="4"/>
  </si>
  <si>
    <t>日本ERI 株式会社(名古屋)</t>
    <phoneticPr fontId="4"/>
  </si>
  <si>
    <t>日本ERI 株式会社(京都)</t>
    <rPh sb="11" eb="13">
      <t>キョウト</t>
    </rPh>
    <phoneticPr fontId="4"/>
  </si>
  <si>
    <t>日本ERI 株式会社(札幌)</t>
    <rPh sb="11" eb="13">
      <t>サッポロ</t>
    </rPh>
    <phoneticPr fontId="4"/>
  </si>
  <si>
    <t>日本ERI 株式会社(福岡)</t>
    <rPh sb="11" eb="13">
      <t>フクオカ</t>
    </rPh>
    <phoneticPr fontId="4"/>
  </si>
  <si>
    <t>日本ERI 株式会社(函館)</t>
    <rPh sb="11" eb="13">
      <t>ハコダテ</t>
    </rPh>
    <phoneticPr fontId="4"/>
  </si>
  <si>
    <t>KI-HOUSE</t>
    <phoneticPr fontId="4"/>
  </si>
  <si>
    <t>大阪市</t>
    <phoneticPr fontId="4"/>
  </si>
  <si>
    <t>住之江区新北島</t>
    <rPh sb="0" eb="3">
      <t>スミノエ</t>
    </rPh>
    <rPh sb="3" eb="4">
      <t>ク</t>
    </rPh>
    <rPh sb="4" eb="5">
      <t>シン</t>
    </rPh>
    <rPh sb="5" eb="7">
      <t>キタジマ</t>
    </rPh>
    <phoneticPr fontId="4"/>
  </si>
  <si>
    <t>3</t>
    <phoneticPr fontId="4"/>
  </si>
  <si>
    <t>基建築設計事務所</t>
    <phoneticPr fontId="4"/>
  </si>
  <si>
    <t>せいる構造設計室</t>
    <phoneticPr fontId="4"/>
  </si>
  <si>
    <t>株式会社 中林建築設計事務所</t>
    <phoneticPr fontId="4"/>
  </si>
  <si>
    <t>大田市</t>
    <rPh sb="0" eb="2">
      <t>オオタ</t>
    </rPh>
    <rPh sb="2" eb="3">
      <t>シ</t>
    </rPh>
    <phoneticPr fontId="4"/>
  </si>
  <si>
    <t>大田町大田</t>
    <phoneticPr fontId="4"/>
  </si>
  <si>
    <t>駐車場</t>
    <phoneticPr fontId="4"/>
  </si>
  <si>
    <t>相模原市</t>
    <rPh sb="0" eb="4">
      <t>サガミハラシ</t>
    </rPh>
    <phoneticPr fontId="4"/>
  </si>
  <si>
    <t>緑区橋本台</t>
    <rPh sb="0" eb="2">
      <t>ミドリク</t>
    </rPh>
    <rPh sb="2" eb="5">
      <t>ハシモトダイ</t>
    </rPh>
    <phoneticPr fontId="4"/>
  </si>
  <si>
    <t>津市</t>
    <rPh sb="0" eb="1">
      <t>ツ</t>
    </rPh>
    <rPh sb="1" eb="2">
      <t>シ</t>
    </rPh>
    <phoneticPr fontId="4"/>
  </si>
  <si>
    <t>桜橋</t>
    <rPh sb="0" eb="1">
      <t>サクラ</t>
    </rPh>
    <rPh sb="1" eb="2">
      <t>ハシ</t>
    </rPh>
    <phoneticPr fontId="4"/>
  </si>
  <si>
    <t>3F建</t>
    <phoneticPr fontId="4"/>
  </si>
  <si>
    <t>滋賀県</t>
    <phoneticPr fontId="4"/>
  </si>
  <si>
    <t>馬場貴志構造設計事務所</t>
    <rPh sb="0" eb="2">
      <t>ババ</t>
    </rPh>
    <rPh sb="2" eb="4">
      <t>タカシ</t>
    </rPh>
    <rPh sb="4" eb="6">
      <t>コウゾウ</t>
    </rPh>
    <rPh sb="6" eb="8">
      <t>セッケイ</t>
    </rPh>
    <rPh sb="8" eb="10">
      <t>ジム</t>
    </rPh>
    <rPh sb="10" eb="11">
      <t>ショ</t>
    </rPh>
    <phoneticPr fontId="4"/>
  </si>
  <si>
    <t>ババタカシ コウゾウセッケイジムショ</t>
    <phoneticPr fontId="4"/>
  </si>
  <si>
    <t>馬場貴志構造設計事務所</t>
    <phoneticPr fontId="4"/>
  </si>
  <si>
    <t>フジ設計</t>
    <rPh sb="2" eb="4">
      <t>セッケイ</t>
    </rPh>
    <phoneticPr fontId="4"/>
  </si>
  <si>
    <t>フジ設計</t>
    <phoneticPr fontId="4"/>
  </si>
  <si>
    <t>フジセッケイ</t>
    <phoneticPr fontId="4"/>
  </si>
  <si>
    <t>KENT建築設計事務所</t>
    <rPh sb="4" eb="6">
      <t>ケンチク</t>
    </rPh>
    <rPh sb="6" eb="8">
      <t>セッケイ</t>
    </rPh>
    <rPh sb="8" eb="10">
      <t>ジム</t>
    </rPh>
    <rPh sb="10" eb="11">
      <t>ショ</t>
    </rPh>
    <phoneticPr fontId="4"/>
  </si>
  <si>
    <t>-</t>
    <phoneticPr fontId="4"/>
  </si>
  <si>
    <t>亀田郡</t>
    <phoneticPr fontId="4"/>
  </si>
  <si>
    <t>七飯町字西大</t>
    <phoneticPr fontId="4"/>
  </si>
  <si>
    <t>株式会社 楠山設計</t>
    <rPh sb="0" eb="2">
      <t>カブシキ</t>
    </rPh>
    <rPh sb="2" eb="4">
      <t>カイシャ</t>
    </rPh>
    <phoneticPr fontId="4"/>
  </si>
  <si>
    <t>株式会社 楠山設計</t>
    <rPh sb="5" eb="7">
      <t>クスヤマ</t>
    </rPh>
    <rPh sb="7" eb="9">
      <t>セッケイ</t>
    </rPh>
    <phoneticPr fontId="4"/>
  </si>
  <si>
    <t>カブシキガイシャ クスヤマセッケイ</t>
    <phoneticPr fontId="4"/>
  </si>
  <si>
    <t>株式会社 檜工務店</t>
    <phoneticPr fontId="4"/>
  </si>
  <si>
    <t>株式会社 檜工務店</t>
    <phoneticPr fontId="4"/>
  </si>
  <si>
    <t>カブシキガイシャ ヒノキコウムテン</t>
    <phoneticPr fontId="4"/>
  </si>
  <si>
    <t>川口市</t>
    <phoneticPr fontId="4"/>
  </si>
  <si>
    <t>南鳩ヶ谷</t>
    <rPh sb="0" eb="1">
      <t>ミナミ</t>
    </rPh>
    <rPh sb="1" eb="4">
      <t>ハトガヤ</t>
    </rPh>
    <phoneticPr fontId="4"/>
  </si>
  <si>
    <t>青森市</t>
    <phoneticPr fontId="4"/>
  </si>
  <si>
    <t>青柳</t>
    <rPh sb="0" eb="1">
      <t>アオ</t>
    </rPh>
    <rPh sb="1" eb="2">
      <t>ヤナギ</t>
    </rPh>
    <phoneticPr fontId="4"/>
  </si>
  <si>
    <t>北九州市</t>
    <phoneticPr fontId="4"/>
  </si>
  <si>
    <t>若松区大字藤木</t>
    <rPh sb="0" eb="3">
      <t>ワカマツク</t>
    </rPh>
    <rPh sb="3" eb="5">
      <t>オオアザ</t>
    </rPh>
    <rPh sb="5" eb="7">
      <t>フジキ</t>
    </rPh>
    <phoneticPr fontId="4"/>
  </si>
  <si>
    <t>弘前市</t>
    <rPh sb="0" eb="3">
      <t>ヒロサキシ</t>
    </rPh>
    <phoneticPr fontId="4"/>
  </si>
  <si>
    <t>高田</t>
    <rPh sb="0" eb="2">
      <t>タカタ</t>
    </rPh>
    <phoneticPr fontId="4"/>
  </si>
  <si>
    <t>三郷市</t>
    <phoneticPr fontId="4"/>
  </si>
  <si>
    <t>番匠免</t>
    <phoneticPr fontId="4"/>
  </si>
  <si>
    <t>習志野市</t>
    <rPh sb="0" eb="4">
      <t>ナラシノシ</t>
    </rPh>
    <phoneticPr fontId="4"/>
  </si>
  <si>
    <t>大久保</t>
    <rPh sb="0" eb="3">
      <t>オオクボ</t>
    </rPh>
    <phoneticPr fontId="4"/>
  </si>
  <si>
    <t>名古屋市</t>
    <phoneticPr fontId="4"/>
  </si>
  <si>
    <t>北区中切町</t>
    <phoneticPr fontId="4"/>
  </si>
  <si>
    <t>岐阜市</t>
    <phoneticPr fontId="4"/>
  </si>
  <si>
    <t>西荘</t>
    <phoneticPr fontId="4"/>
  </si>
  <si>
    <t>津市</t>
    <phoneticPr fontId="4"/>
  </si>
  <si>
    <t>藤方字山ノ越</t>
    <phoneticPr fontId="4"/>
  </si>
  <si>
    <t>佐世保市</t>
    <rPh sb="0" eb="4">
      <t>サセボシ</t>
    </rPh>
    <phoneticPr fontId="4"/>
  </si>
  <si>
    <t>新港町</t>
    <rPh sb="0" eb="1">
      <t>シン</t>
    </rPh>
    <rPh sb="1" eb="2">
      <t>ミナト</t>
    </rPh>
    <rPh sb="2" eb="3">
      <t>マチ</t>
    </rPh>
    <phoneticPr fontId="4"/>
  </si>
  <si>
    <t>静岡市</t>
    <phoneticPr fontId="4"/>
  </si>
  <si>
    <t>清水区楠新田</t>
    <phoneticPr fontId="4"/>
  </si>
  <si>
    <t>西白河郡</t>
    <rPh sb="0" eb="1">
      <t>ニシ</t>
    </rPh>
    <rPh sb="1" eb="3">
      <t>シラカワ</t>
    </rPh>
    <rPh sb="3" eb="4">
      <t>グン</t>
    </rPh>
    <phoneticPr fontId="4"/>
  </si>
  <si>
    <t>矢吹町八幡町</t>
    <rPh sb="0" eb="2">
      <t>ヤブキ</t>
    </rPh>
    <rPh sb="2" eb="3">
      <t>マチ</t>
    </rPh>
    <rPh sb="3" eb="5">
      <t>ヤハタ</t>
    </rPh>
    <rPh sb="5" eb="6">
      <t>マチ</t>
    </rPh>
    <phoneticPr fontId="4"/>
  </si>
  <si>
    <t>さいたま市</t>
    <phoneticPr fontId="4"/>
  </si>
  <si>
    <t>岩槻区大字長宮</t>
    <phoneticPr fontId="4"/>
  </si>
  <si>
    <t>目黒区</t>
    <rPh sb="0" eb="3">
      <t>メグロク</t>
    </rPh>
    <phoneticPr fontId="4"/>
  </si>
  <si>
    <t>目黒本町</t>
    <rPh sb="0" eb="2">
      <t>メグロ</t>
    </rPh>
    <rPh sb="2" eb="4">
      <t>ホンマチ</t>
    </rPh>
    <phoneticPr fontId="4"/>
  </si>
  <si>
    <t>龍ケ崎市</t>
    <phoneticPr fontId="4"/>
  </si>
  <si>
    <t>長沖町</t>
    <phoneticPr fontId="4"/>
  </si>
  <si>
    <t>山口県</t>
    <phoneticPr fontId="4"/>
  </si>
  <si>
    <t>山口市</t>
    <rPh sb="0" eb="2">
      <t>ヤマグチ</t>
    </rPh>
    <rPh sb="2" eb="3">
      <t>シ</t>
    </rPh>
    <phoneticPr fontId="4"/>
  </si>
  <si>
    <t>深溝</t>
    <rPh sb="0" eb="2">
      <t>フカミゾ</t>
    </rPh>
    <phoneticPr fontId="4"/>
  </si>
  <si>
    <t>竹原市</t>
    <rPh sb="0" eb="2">
      <t>タケハラ</t>
    </rPh>
    <rPh sb="2" eb="3">
      <t>シ</t>
    </rPh>
    <phoneticPr fontId="4"/>
  </si>
  <si>
    <t>大崎市</t>
    <phoneticPr fontId="4"/>
  </si>
  <si>
    <t>古川江合寿町</t>
  </si>
  <si>
    <t>古川江合寿町</t>
    <phoneticPr fontId="4"/>
  </si>
  <si>
    <t>磐田市</t>
    <phoneticPr fontId="4"/>
  </si>
  <si>
    <t>今之浦</t>
    <phoneticPr fontId="4"/>
  </si>
  <si>
    <t>沖縄市</t>
    <phoneticPr fontId="4"/>
  </si>
  <si>
    <t>松本</t>
  </si>
  <si>
    <t>大津市</t>
    <phoneticPr fontId="4"/>
  </si>
  <si>
    <t>におの浜</t>
    <phoneticPr fontId="4"/>
  </si>
  <si>
    <t>安芸市</t>
    <phoneticPr fontId="4"/>
  </si>
  <si>
    <t>矢ノ丸</t>
    <phoneticPr fontId="4"/>
  </si>
  <si>
    <t>千曲市</t>
    <rPh sb="0" eb="1">
      <t>セン</t>
    </rPh>
    <rPh sb="1" eb="2">
      <t>マ</t>
    </rPh>
    <rPh sb="2" eb="3">
      <t>シ</t>
    </rPh>
    <phoneticPr fontId="4"/>
  </si>
  <si>
    <t>大字稲荷山字釜蓋</t>
    <rPh sb="0" eb="2">
      <t>オオアザ</t>
    </rPh>
    <rPh sb="2" eb="4">
      <t>イナリ</t>
    </rPh>
    <rPh sb="4" eb="5">
      <t>ヤマ</t>
    </rPh>
    <rPh sb="5" eb="6">
      <t>アザ</t>
    </rPh>
    <rPh sb="6" eb="7">
      <t>カマ</t>
    </rPh>
    <rPh sb="7" eb="8">
      <t>フタ</t>
    </rPh>
    <phoneticPr fontId="4"/>
  </si>
  <si>
    <t>浪速区塩草</t>
    <phoneticPr fontId="4"/>
  </si>
  <si>
    <t>光市</t>
    <phoneticPr fontId="4"/>
  </si>
  <si>
    <t>虹ヶ浜</t>
    <phoneticPr fontId="4"/>
  </si>
  <si>
    <t>橿原市</t>
    <phoneticPr fontId="4"/>
  </si>
  <si>
    <t>十市町</t>
    <rPh sb="0" eb="1">
      <t>ジュウ</t>
    </rPh>
    <rPh sb="1" eb="2">
      <t>シ</t>
    </rPh>
    <rPh sb="2" eb="3">
      <t>マチ</t>
    </rPh>
    <phoneticPr fontId="4"/>
  </si>
  <si>
    <t>焼津市</t>
    <phoneticPr fontId="4"/>
  </si>
  <si>
    <t>石津</t>
    <phoneticPr fontId="4"/>
  </si>
  <si>
    <t>田中前</t>
    <rPh sb="0" eb="2">
      <t>タナカ</t>
    </rPh>
    <rPh sb="2" eb="3">
      <t>ゼン</t>
    </rPh>
    <phoneticPr fontId="4"/>
  </si>
  <si>
    <t>福山市</t>
    <phoneticPr fontId="4"/>
  </si>
  <si>
    <t>山手町</t>
    <phoneticPr fontId="4"/>
  </si>
  <si>
    <t>天理市</t>
    <phoneticPr fontId="4"/>
  </si>
  <si>
    <t>西長柄町</t>
    <phoneticPr fontId="4"/>
  </si>
  <si>
    <t>西成区北開</t>
    <phoneticPr fontId="4"/>
  </si>
  <si>
    <t>出雲市</t>
    <phoneticPr fontId="4"/>
  </si>
  <si>
    <t>塩冶町</t>
    <phoneticPr fontId="4"/>
  </si>
  <si>
    <t>平野町</t>
    <rPh sb="0" eb="2">
      <t>ヒラノ</t>
    </rPh>
    <rPh sb="2" eb="3">
      <t>マチ</t>
    </rPh>
    <phoneticPr fontId="4"/>
  </si>
  <si>
    <t>酒田市</t>
    <phoneticPr fontId="4"/>
  </si>
  <si>
    <t>旭新町</t>
    <phoneticPr fontId="4"/>
  </si>
  <si>
    <t>桜区南元宿</t>
    <rPh sb="0" eb="1">
      <t>サクラ</t>
    </rPh>
    <rPh sb="1" eb="2">
      <t>ク</t>
    </rPh>
    <rPh sb="2" eb="5">
      <t>ミナミモトジュク</t>
    </rPh>
    <phoneticPr fontId="4"/>
  </si>
  <si>
    <t>鶴岡市</t>
    <phoneticPr fontId="4"/>
  </si>
  <si>
    <t>大宝寺字日本国</t>
    <phoneticPr fontId="4"/>
  </si>
  <si>
    <t>新潟市</t>
    <phoneticPr fontId="4"/>
  </si>
  <si>
    <t>西蒲区遠藤</t>
    <phoneticPr fontId="4"/>
  </si>
  <si>
    <t>宮崎市</t>
    <phoneticPr fontId="4"/>
  </si>
  <si>
    <t>昭栄町</t>
    <phoneticPr fontId="4"/>
  </si>
  <si>
    <t>三条市</t>
    <rPh sb="0" eb="3">
      <t>サンジョウシ</t>
    </rPh>
    <phoneticPr fontId="4"/>
  </si>
  <si>
    <t>大字三柳</t>
    <rPh sb="0" eb="2">
      <t>オオアザ</t>
    </rPh>
    <rPh sb="2" eb="3">
      <t>サン</t>
    </rPh>
    <rPh sb="3" eb="4">
      <t>ヤナギ</t>
    </rPh>
    <phoneticPr fontId="4"/>
  </si>
  <si>
    <t>名取市</t>
    <rPh sb="0" eb="1">
      <t>ナ</t>
    </rPh>
    <rPh sb="1" eb="2">
      <t>トリ</t>
    </rPh>
    <rPh sb="2" eb="3">
      <t>シ</t>
    </rPh>
    <phoneticPr fontId="4"/>
  </si>
  <si>
    <t>高館</t>
    <rPh sb="0" eb="1">
      <t>タカ</t>
    </rPh>
    <rPh sb="1" eb="2">
      <t>カン</t>
    </rPh>
    <phoneticPr fontId="4"/>
  </si>
  <si>
    <t>南郷</t>
    <rPh sb="0" eb="1">
      <t>ミナミ</t>
    </rPh>
    <rPh sb="1" eb="2">
      <t>ゴウ</t>
    </rPh>
    <phoneticPr fontId="4"/>
  </si>
  <si>
    <t>野田市</t>
    <rPh sb="0" eb="1">
      <t>ノ</t>
    </rPh>
    <rPh sb="1" eb="2">
      <t>タ</t>
    </rPh>
    <rPh sb="2" eb="3">
      <t>シ</t>
    </rPh>
    <phoneticPr fontId="4"/>
  </si>
  <si>
    <t>府中市</t>
    <phoneticPr fontId="4"/>
  </si>
  <si>
    <t>鵜飼町</t>
  </si>
  <si>
    <t>京田</t>
    <phoneticPr fontId="4"/>
  </si>
  <si>
    <t>浜松市</t>
    <phoneticPr fontId="4"/>
  </si>
  <si>
    <t>東区中野町</t>
    <phoneticPr fontId="4"/>
  </si>
  <si>
    <t>上越市</t>
    <phoneticPr fontId="4"/>
  </si>
  <si>
    <t>下門前</t>
    <phoneticPr fontId="4"/>
  </si>
  <si>
    <t>平田町</t>
    <phoneticPr fontId="4"/>
  </si>
  <si>
    <t>松見町</t>
    <phoneticPr fontId="4"/>
  </si>
  <si>
    <t>三島市</t>
    <phoneticPr fontId="4"/>
  </si>
  <si>
    <t>塚原新田</t>
    <phoneticPr fontId="4"/>
  </si>
  <si>
    <t>東置賜郡</t>
    <phoneticPr fontId="4"/>
  </si>
  <si>
    <t>川西町</t>
    <phoneticPr fontId="4"/>
  </si>
  <si>
    <t>鹿角郡</t>
    <rPh sb="0" eb="1">
      <t>シカ</t>
    </rPh>
    <rPh sb="1" eb="2">
      <t>ツノ</t>
    </rPh>
    <rPh sb="2" eb="3">
      <t>グン</t>
    </rPh>
    <phoneticPr fontId="4"/>
  </si>
  <si>
    <t>小坂町萩台</t>
    <rPh sb="0" eb="2">
      <t>コサカ</t>
    </rPh>
    <rPh sb="2" eb="3">
      <t>マチ</t>
    </rPh>
    <rPh sb="3" eb="4">
      <t>ハギ</t>
    </rPh>
    <rPh sb="4" eb="5">
      <t>ダイ</t>
    </rPh>
    <phoneticPr fontId="4"/>
  </si>
  <si>
    <t>大字新保字土腐</t>
    <phoneticPr fontId="4"/>
  </si>
  <si>
    <t>ビューローベリタスジャパン 株式会社(大阪)</t>
    <rPh sb="19" eb="21">
      <t>オオサカ</t>
    </rPh>
    <phoneticPr fontId="4"/>
  </si>
  <si>
    <t>城陽市</t>
    <rPh sb="0" eb="1">
      <t>シロ</t>
    </rPh>
    <rPh sb="1" eb="2">
      <t>ヨウ</t>
    </rPh>
    <rPh sb="2" eb="3">
      <t>シ</t>
    </rPh>
    <phoneticPr fontId="4"/>
  </si>
  <si>
    <t>久世荒内</t>
    <rPh sb="0" eb="2">
      <t>クゼ</t>
    </rPh>
    <rPh sb="2" eb="3">
      <t>ア</t>
    </rPh>
    <rPh sb="3" eb="4">
      <t>ナイ</t>
    </rPh>
    <phoneticPr fontId="4"/>
  </si>
  <si>
    <t>3</t>
    <phoneticPr fontId="4"/>
  </si>
  <si>
    <t>株式会社 横河システム建築</t>
    <rPh sb="0" eb="2">
      <t>カブシキ</t>
    </rPh>
    <rPh sb="2" eb="4">
      <t>カイシャ</t>
    </rPh>
    <phoneticPr fontId="4"/>
  </si>
  <si>
    <t>1</t>
    <phoneticPr fontId="4"/>
  </si>
  <si>
    <t>中部薬品 武豊店</t>
    <rPh sb="0" eb="2">
      <t>チュウブ</t>
    </rPh>
    <rPh sb="2" eb="4">
      <t>ヤクヒン</t>
    </rPh>
    <rPh sb="5" eb="6">
      <t>タケ</t>
    </rPh>
    <rPh sb="6" eb="7">
      <t>ユタカ</t>
    </rPh>
    <rPh sb="7" eb="8">
      <t>テン</t>
    </rPh>
    <phoneticPr fontId="4"/>
  </si>
  <si>
    <t>知多郡</t>
    <phoneticPr fontId="4"/>
  </si>
  <si>
    <t>武豊町口田</t>
    <rPh sb="0" eb="1">
      <t>タケ</t>
    </rPh>
    <rPh sb="1" eb="2">
      <t>ユタカ</t>
    </rPh>
    <rPh sb="2" eb="3">
      <t>マチ</t>
    </rPh>
    <rPh sb="3" eb="4">
      <t>クチ</t>
    </rPh>
    <rPh sb="4" eb="5">
      <t>タ</t>
    </rPh>
    <phoneticPr fontId="4"/>
  </si>
  <si>
    <t>香美市</t>
    <phoneticPr fontId="4"/>
  </si>
  <si>
    <t>土佐山田町字西臼井</t>
    <phoneticPr fontId="4"/>
  </si>
  <si>
    <t>出雲市</t>
    <phoneticPr fontId="4"/>
  </si>
  <si>
    <t>西新町</t>
    <phoneticPr fontId="4"/>
  </si>
  <si>
    <t>海部郡</t>
    <phoneticPr fontId="4"/>
  </si>
  <si>
    <t>蟹江町大字西之森字長瀬下</t>
    <phoneticPr fontId="4"/>
  </si>
  <si>
    <t>さいたま市</t>
    <phoneticPr fontId="4"/>
  </si>
  <si>
    <t>南区文蔵</t>
    <phoneticPr fontId="4"/>
  </si>
  <si>
    <t>桑名市</t>
    <rPh sb="0" eb="3">
      <t>クワナシ</t>
    </rPh>
    <phoneticPr fontId="4"/>
  </si>
  <si>
    <t>大字大福寺跡</t>
    <rPh sb="0" eb="2">
      <t>オオアザ</t>
    </rPh>
    <rPh sb="2" eb="3">
      <t>オオ</t>
    </rPh>
    <rPh sb="3" eb="4">
      <t>フク</t>
    </rPh>
    <rPh sb="4" eb="5">
      <t>テラ</t>
    </rPh>
    <rPh sb="5" eb="6">
      <t>アト</t>
    </rPh>
    <phoneticPr fontId="4"/>
  </si>
  <si>
    <t>春日市</t>
    <phoneticPr fontId="4"/>
  </si>
  <si>
    <t>大場字前</t>
    <phoneticPr fontId="4"/>
  </si>
  <si>
    <t>広面堤敷</t>
    <phoneticPr fontId="4"/>
  </si>
  <si>
    <t>四日市市</t>
    <phoneticPr fontId="4"/>
  </si>
  <si>
    <t>北浜田町</t>
    <phoneticPr fontId="4"/>
  </si>
  <si>
    <t>三郷市</t>
    <phoneticPr fontId="4"/>
  </si>
  <si>
    <t>三郷インター南部地区</t>
    <phoneticPr fontId="4"/>
  </si>
  <si>
    <t>岩槻区</t>
    <phoneticPr fontId="4"/>
  </si>
  <si>
    <t>高座郡</t>
    <phoneticPr fontId="4"/>
  </si>
  <si>
    <t>寒川町倉見</t>
    <phoneticPr fontId="4"/>
  </si>
  <si>
    <t>佐賀市</t>
    <phoneticPr fontId="4"/>
  </si>
  <si>
    <t>久保泉町大字下和泉字牛野</t>
    <phoneticPr fontId="4"/>
  </si>
  <si>
    <t>宜野湾市</t>
    <phoneticPr fontId="4"/>
  </si>
  <si>
    <t>大山</t>
    <phoneticPr fontId="4"/>
  </si>
  <si>
    <t>つくば市</t>
    <phoneticPr fontId="4"/>
  </si>
  <si>
    <t>大字上横場字本郷</t>
    <phoneticPr fontId="4"/>
  </si>
  <si>
    <t>高知市</t>
    <phoneticPr fontId="4"/>
  </si>
  <si>
    <t>宝永町</t>
    <phoneticPr fontId="4"/>
  </si>
  <si>
    <t>掛川市</t>
    <phoneticPr fontId="4"/>
  </si>
  <si>
    <t>成滝</t>
    <phoneticPr fontId="4"/>
  </si>
  <si>
    <t>大社町杵築南</t>
    <phoneticPr fontId="4"/>
  </si>
  <si>
    <t>松山市</t>
    <phoneticPr fontId="4"/>
  </si>
  <si>
    <t>高坂駅東口</t>
    <phoneticPr fontId="4"/>
  </si>
  <si>
    <t>瑞穂市</t>
    <phoneticPr fontId="4"/>
  </si>
  <si>
    <t>稲里</t>
    <phoneticPr fontId="4"/>
  </si>
  <si>
    <t>東海市</t>
    <rPh sb="0" eb="2">
      <t>トウカイ</t>
    </rPh>
    <rPh sb="2" eb="3">
      <t>シ</t>
    </rPh>
    <phoneticPr fontId="4"/>
  </si>
  <si>
    <t>加木屋町御林</t>
    <rPh sb="0" eb="1">
      <t>クワ</t>
    </rPh>
    <rPh sb="1" eb="2">
      <t>キ</t>
    </rPh>
    <rPh sb="2" eb="3">
      <t>ヤ</t>
    </rPh>
    <rPh sb="3" eb="4">
      <t>マチ</t>
    </rPh>
    <rPh sb="4" eb="5">
      <t>オ</t>
    </rPh>
    <rPh sb="5" eb="6">
      <t>ハヤシ</t>
    </rPh>
    <phoneticPr fontId="4"/>
  </si>
  <si>
    <t>伊勢市</t>
    <phoneticPr fontId="4"/>
  </si>
  <si>
    <t>上地町</t>
    <phoneticPr fontId="4"/>
  </si>
  <si>
    <t>秋田市</t>
    <phoneticPr fontId="4"/>
  </si>
  <si>
    <t>広面字鍋沼</t>
    <phoneticPr fontId="4"/>
  </si>
  <si>
    <t>半田市</t>
    <phoneticPr fontId="4"/>
  </si>
  <si>
    <t>浜田町</t>
    <phoneticPr fontId="4"/>
  </si>
  <si>
    <t>山形市</t>
    <phoneticPr fontId="4"/>
  </si>
  <si>
    <t>宮町</t>
    <phoneticPr fontId="4"/>
  </si>
  <si>
    <t>佐倉市</t>
    <phoneticPr fontId="4"/>
  </si>
  <si>
    <t>寺崎</t>
    <phoneticPr fontId="4"/>
  </si>
  <si>
    <t>三条市</t>
    <phoneticPr fontId="4"/>
  </si>
  <si>
    <t>帯織</t>
    <phoneticPr fontId="4"/>
  </si>
  <si>
    <t>小土字道東</t>
    <phoneticPr fontId="4"/>
  </si>
  <si>
    <t>足立区</t>
    <phoneticPr fontId="4"/>
  </si>
  <si>
    <t>竹の塚</t>
    <phoneticPr fontId="4"/>
  </si>
  <si>
    <t>可児郡</t>
    <phoneticPr fontId="4"/>
  </si>
  <si>
    <t>御嵩町御嵩字</t>
    <phoneticPr fontId="4"/>
  </si>
  <si>
    <t>江田島市</t>
    <phoneticPr fontId="4"/>
  </si>
  <si>
    <t>大柿町大原字鳥井元</t>
    <phoneticPr fontId="4"/>
  </si>
  <si>
    <t>野田市</t>
    <phoneticPr fontId="4"/>
  </si>
  <si>
    <t>野田字谷端</t>
    <phoneticPr fontId="4"/>
  </si>
  <si>
    <t>名古屋市</t>
    <phoneticPr fontId="4"/>
  </si>
  <si>
    <t>中川区東起町</t>
    <phoneticPr fontId="4"/>
  </si>
  <si>
    <t>津山市</t>
    <phoneticPr fontId="4"/>
  </si>
  <si>
    <t>小田中</t>
    <rPh sb="0" eb="3">
      <t>オダナカ</t>
    </rPh>
    <phoneticPr fontId="4"/>
  </si>
  <si>
    <t>下条</t>
    <phoneticPr fontId="4"/>
  </si>
  <si>
    <t>中野市</t>
    <phoneticPr fontId="4"/>
  </si>
  <si>
    <t>大字三ツ和</t>
    <phoneticPr fontId="4"/>
  </si>
  <si>
    <t>吹田市</t>
    <phoneticPr fontId="4"/>
  </si>
  <si>
    <t>山田丘</t>
    <phoneticPr fontId="4"/>
  </si>
  <si>
    <t>大垣市</t>
    <phoneticPr fontId="4"/>
  </si>
  <si>
    <t>今宿</t>
    <phoneticPr fontId="4"/>
  </si>
  <si>
    <t>中津川市</t>
    <phoneticPr fontId="4"/>
  </si>
  <si>
    <t>茄子川</t>
    <phoneticPr fontId="4"/>
  </si>
  <si>
    <t>江戸川区</t>
    <rPh sb="0" eb="4">
      <t>エドガワク</t>
    </rPh>
    <phoneticPr fontId="4"/>
  </si>
  <si>
    <t>松島</t>
    <rPh sb="0" eb="2">
      <t>マツシマ</t>
    </rPh>
    <phoneticPr fontId="4"/>
  </si>
  <si>
    <t>和歌山市</t>
    <phoneticPr fontId="4"/>
  </si>
  <si>
    <t>坂田</t>
    <phoneticPr fontId="4"/>
  </si>
  <si>
    <t>大阪市</t>
    <phoneticPr fontId="4"/>
  </si>
  <si>
    <t>平野区加美東</t>
    <phoneticPr fontId="4"/>
  </si>
  <si>
    <t>枚方市</t>
    <phoneticPr fontId="4"/>
  </si>
  <si>
    <t>星丘</t>
    <phoneticPr fontId="4"/>
  </si>
  <si>
    <t>各務原市</t>
    <phoneticPr fontId="4"/>
  </si>
  <si>
    <t>蘇原青雲町</t>
    <phoneticPr fontId="4"/>
  </si>
  <si>
    <t>西条市</t>
    <phoneticPr fontId="4"/>
  </si>
  <si>
    <t>飯岡字杉ノ木</t>
  </si>
  <si>
    <t>大崎市</t>
    <phoneticPr fontId="4"/>
  </si>
  <si>
    <t>古川江合寿町</t>
    <phoneticPr fontId="4"/>
  </si>
  <si>
    <t>大府市</t>
    <phoneticPr fontId="4"/>
  </si>
  <si>
    <t>横根町箕手</t>
    <phoneticPr fontId="4"/>
  </si>
  <si>
    <t>三田市</t>
    <rPh sb="0" eb="1">
      <t>サン</t>
    </rPh>
    <rPh sb="1" eb="2">
      <t>タ</t>
    </rPh>
    <rPh sb="2" eb="3">
      <t>シ</t>
    </rPh>
    <phoneticPr fontId="4"/>
  </si>
  <si>
    <t>北秋田市</t>
    <phoneticPr fontId="4"/>
  </si>
  <si>
    <t>栄字前綱</t>
    <phoneticPr fontId="4"/>
  </si>
  <si>
    <t>京都市</t>
    <phoneticPr fontId="4"/>
  </si>
  <si>
    <t>左京区一乗寺木ノ本町</t>
    <phoneticPr fontId="4"/>
  </si>
  <si>
    <t>上越市</t>
    <phoneticPr fontId="4"/>
  </si>
  <si>
    <t>柿崎区直海浜</t>
    <phoneticPr fontId="4"/>
  </si>
  <si>
    <t>大分市</t>
    <phoneticPr fontId="4"/>
  </si>
  <si>
    <t>向原西</t>
    <phoneticPr fontId="4"/>
  </si>
  <si>
    <t>秋田市</t>
    <phoneticPr fontId="4"/>
  </si>
  <si>
    <t>柳田字川崎</t>
    <phoneticPr fontId="4"/>
  </si>
  <si>
    <t>大字三ツ和字砂田</t>
    <phoneticPr fontId="4"/>
  </si>
  <si>
    <t>伊豆市</t>
    <phoneticPr fontId="4"/>
  </si>
  <si>
    <t>八幡字古池</t>
    <phoneticPr fontId="4"/>
  </si>
  <si>
    <t>三郷市</t>
    <phoneticPr fontId="4"/>
  </si>
  <si>
    <t>三郷インター</t>
    <phoneticPr fontId="4"/>
  </si>
  <si>
    <t>各務原市</t>
    <phoneticPr fontId="4"/>
  </si>
  <si>
    <t>蘇原青雲町</t>
    <phoneticPr fontId="4"/>
  </si>
  <si>
    <t>諏訪市</t>
    <phoneticPr fontId="4"/>
  </si>
  <si>
    <t>大字中洲神宮寺</t>
    <phoneticPr fontId="4"/>
  </si>
  <si>
    <t>多摩市</t>
    <rPh sb="0" eb="3">
      <t>タマシ</t>
    </rPh>
    <phoneticPr fontId="4"/>
  </si>
  <si>
    <t>諏訪</t>
    <rPh sb="0" eb="2">
      <t>スワ</t>
    </rPh>
    <phoneticPr fontId="4"/>
  </si>
  <si>
    <t>和光市</t>
    <phoneticPr fontId="4"/>
  </si>
  <si>
    <t>新倉</t>
    <phoneticPr fontId="4"/>
  </si>
  <si>
    <t>つくば市</t>
    <phoneticPr fontId="4"/>
  </si>
  <si>
    <t>研究学園</t>
    <phoneticPr fontId="4"/>
  </si>
  <si>
    <t>栗東市</t>
    <phoneticPr fontId="4"/>
  </si>
  <si>
    <t>苅原字下町</t>
    <phoneticPr fontId="4"/>
  </si>
  <si>
    <t>静岡市</t>
    <phoneticPr fontId="4"/>
  </si>
  <si>
    <t>清水区天王南</t>
    <phoneticPr fontId="4"/>
  </si>
  <si>
    <t>高松市</t>
    <phoneticPr fontId="4"/>
  </si>
  <si>
    <t>春日町字川北</t>
    <phoneticPr fontId="4"/>
  </si>
  <si>
    <t>浜松市</t>
    <phoneticPr fontId="4"/>
  </si>
  <si>
    <t>中区中島</t>
    <phoneticPr fontId="4"/>
  </si>
  <si>
    <t>かすみがうら市</t>
    <phoneticPr fontId="4"/>
  </si>
  <si>
    <t>大和田字大平</t>
    <phoneticPr fontId="4"/>
  </si>
  <si>
    <t>新潟市</t>
    <phoneticPr fontId="4"/>
  </si>
  <si>
    <t>西区坂井</t>
    <phoneticPr fontId="4"/>
  </si>
  <si>
    <t>諏訪市</t>
    <phoneticPr fontId="4"/>
  </si>
  <si>
    <t>中洲</t>
    <phoneticPr fontId="4"/>
  </si>
  <si>
    <t>我孫子市</t>
    <phoneticPr fontId="4"/>
  </si>
  <si>
    <t>若松</t>
    <phoneticPr fontId="4"/>
  </si>
  <si>
    <t>西原町</t>
    <phoneticPr fontId="4"/>
  </si>
  <si>
    <t>字上原</t>
    <phoneticPr fontId="4"/>
  </si>
  <si>
    <t>幸手市</t>
    <rPh sb="0" eb="2">
      <t>サッテ</t>
    </rPh>
    <rPh sb="2" eb="3">
      <t>シ</t>
    </rPh>
    <phoneticPr fontId="4"/>
  </si>
  <si>
    <t>大字上高野字本村前</t>
    <rPh sb="0" eb="2">
      <t>オオアザ</t>
    </rPh>
    <rPh sb="2" eb="3">
      <t>ウエ</t>
    </rPh>
    <rPh sb="3" eb="5">
      <t>タカノ</t>
    </rPh>
    <rPh sb="5" eb="6">
      <t>アザ</t>
    </rPh>
    <rPh sb="6" eb="7">
      <t>ホン</t>
    </rPh>
    <rPh sb="7" eb="8">
      <t>ムラ</t>
    </rPh>
    <rPh sb="8" eb="9">
      <t>マエ</t>
    </rPh>
    <phoneticPr fontId="4"/>
  </si>
  <si>
    <t>大河原町</t>
    <rPh sb="0" eb="1">
      <t>オオ</t>
    </rPh>
    <phoneticPr fontId="4"/>
  </si>
  <si>
    <t>柴田郡</t>
    <phoneticPr fontId="4"/>
  </si>
  <si>
    <t>飯田市</t>
    <phoneticPr fontId="4"/>
  </si>
  <si>
    <t>鼎名古熊</t>
    <phoneticPr fontId="4"/>
  </si>
  <si>
    <t>東大阪市</t>
    <phoneticPr fontId="4"/>
  </si>
  <si>
    <t>永和</t>
    <phoneticPr fontId="4"/>
  </si>
  <si>
    <t>大阪市</t>
    <phoneticPr fontId="4"/>
  </si>
  <si>
    <t>東成区中道</t>
    <rPh sb="0" eb="1">
      <t>ヒガシ</t>
    </rPh>
    <rPh sb="1" eb="2">
      <t>ナリ</t>
    </rPh>
    <rPh sb="2" eb="3">
      <t>ク</t>
    </rPh>
    <rPh sb="3" eb="5">
      <t>ナカミチ</t>
    </rPh>
    <phoneticPr fontId="4"/>
  </si>
  <si>
    <t>八幡市</t>
    <phoneticPr fontId="4"/>
  </si>
  <si>
    <t>欽明台西</t>
    <phoneticPr fontId="4"/>
  </si>
  <si>
    <t>太田市</t>
    <phoneticPr fontId="4"/>
  </si>
  <si>
    <t>新井町</t>
    <phoneticPr fontId="4"/>
  </si>
  <si>
    <t>大字中洲六斗割</t>
    <phoneticPr fontId="4"/>
  </si>
  <si>
    <t>習志野市</t>
    <phoneticPr fontId="4"/>
  </si>
  <si>
    <t>茜浜</t>
    <phoneticPr fontId="4"/>
  </si>
  <si>
    <t>市川市</t>
    <phoneticPr fontId="4"/>
  </si>
  <si>
    <t>田尻</t>
    <phoneticPr fontId="4"/>
  </si>
  <si>
    <t>越前市</t>
    <phoneticPr fontId="4"/>
  </si>
  <si>
    <t>畑町３字掛赤田</t>
    <phoneticPr fontId="4"/>
  </si>
  <si>
    <t>吹田市</t>
    <phoneticPr fontId="4"/>
  </si>
  <si>
    <t>芝田町</t>
    <phoneticPr fontId="4"/>
  </si>
  <si>
    <t>甲府市</t>
    <phoneticPr fontId="4"/>
  </si>
  <si>
    <t>富竹</t>
    <phoneticPr fontId="4"/>
  </si>
  <si>
    <t>安芸郡</t>
    <phoneticPr fontId="4"/>
  </si>
  <si>
    <t>熊野町</t>
    <phoneticPr fontId="4"/>
  </si>
  <si>
    <t>羽島市</t>
    <phoneticPr fontId="4"/>
  </si>
  <si>
    <t>福寿町平方</t>
    <phoneticPr fontId="4"/>
  </si>
  <si>
    <t>東海市</t>
    <phoneticPr fontId="4"/>
  </si>
  <si>
    <t>南柴田町イノ割</t>
    <phoneticPr fontId="4"/>
  </si>
  <si>
    <t>一宮市</t>
    <phoneticPr fontId="4"/>
  </si>
  <si>
    <t>白旗通</t>
    <phoneticPr fontId="4"/>
  </si>
  <si>
    <t>伊勢市</t>
    <phoneticPr fontId="4"/>
  </si>
  <si>
    <t>藤里町</t>
    <phoneticPr fontId="4"/>
  </si>
  <si>
    <t>府中市</t>
    <phoneticPr fontId="4"/>
  </si>
  <si>
    <t>鵜飼町字大段原</t>
    <phoneticPr fontId="4"/>
  </si>
  <si>
    <t>岡山市</t>
    <phoneticPr fontId="4"/>
  </si>
  <si>
    <t>北区今</t>
    <phoneticPr fontId="4"/>
  </si>
  <si>
    <t>南都留郡</t>
    <phoneticPr fontId="4"/>
  </si>
  <si>
    <t>富士河口湖町小立字白木</t>
    <phoneticPr fontId="4"/>
  </si>
  <si>
    <t>藤枝市</t>
    <phoneticPr fontId="4"/>
  </si>
  <si>
    <t>上藪田字フジバ</t>
    <phoneticPr fontId="4"/>
  </si>
  <si>
    <t>君津市</t>
    <phoneticPr fontId="4"/>
  </si>
  <si>
    <t>西坂田</t>
    <phoneticPr fontId="4"/>
  </si>
  <si>
    <t>出雲市</t>
    <rPh sb="0" eb="3">
      <t>イズモシ</t>
    </rPh>
    <phoneticPr fontId="4"/>
  </si>
  <si>
    <t>天神町</t>
    <phoneticPr fontId="4"/>
  </si>
  <si>
    <t>名古屋市</t>
    <phoneticPr fontId="4"/>
  </si>
  <si>
    <t>港区当知</t>
    <phoneticPr fontId="4"/>
  </si>
  <si>
    <t>出雲市</t>
    <phoneticPr fontId="4"/>
  </si>
  <si>
    <t>神西町</t>
    <phoneticPr fontId="4"/>
  </si>
  <si>
    <t>高松市</t>
    <phoneticPr fontId="4"/>
  </si>
  <si>
    <t>春日町</t>
    <phoneticPr fontId="4"/>
  </si>
  <si>
    <t>台東区</t>
    <rPh sb="0" eb="3">
      <t>タイトウク</t>
    </rPh>
    <phoneticPr fontId="4"/>
  </si>
  <si>
    <t>千束</t>
    <rPh sb="0" eb="1">
      <t>セン</t>
    </rPh>
    <rPh sb="1" eb="2">
      <t>ツカ</t>
    </rPh>
    <phoneticPr fontId="4"/>
  </si>
  <si>
    <t>千葉市</t>
    <phoneticPr fontId="4"/>
  </si>
  <si>
    <t>緑区土気東</t>
    <phoneticPr fontId="4"/>
  </si>
  <si>
    <t>八千代市</t>
    <phoneticPr fontId="4"/>
  </si>
  <si>
    <t>大和田新田</t>
    <phoneticPr fontId="4"/>
  </si>
  <si>
    <t>富木島町東山田・葭野地内</t>
    <phoneticPr fontId="4"/>
  </si>
  <si>
    <t>豊橋市</t>
    <phoneticPr fontId="4"/>
  </si>
  <si>
    <t>神野新田町字口ノ割</t>
    <phoneticPr fontId="4"/>
  </si>
  <si>
    <t>豊川市</t>
    <phoneticPr fontId="4"/>
  </si>
  <si>
    <t>新豊町</t>
    <phoneticPr fontId="4"/>
  </si>
  <si>
    <t>土浦市</t>
    <phoneticPr fontId="4"/>
  </si>
  <si>
    <t>田中</t>
    <phoneticPr fontId="4"/>
  </si>
  <si>
    <t>下妻市</t>
    <phoneticPr fontId="4"/>
  </si>
  <si>
    <t>田下</t>
    <phoneticPr fontId="4"/>
  </si>
  <si>
    <t>秋田市</t>
    <phoneticPr fontId="4"/>
  </si>
  <si>
    <t>御所野堤台</t>
    <phoneticPr fontId="4"/>
  </si>
  <si>
    <t>静岡市</t>
    <phoneticPr fontId="4"/>
  </si>
  <si>
    <t>清水区駒越</t>
    <phoneticPr fontId="4"/>
  </si>
  <si>
    <t>川口市</t>
    <phoneticPr fontId="4"/>
  </si>
  <si>
    <t>東川口</t>
    <phoneticPr fontId="4"/>
  </si>
  <si>
    <t>宇都宮市</t>
    <phoneticPr fontId="4"/>
  </si>
  <si>
    <t>野高谷町</t>
    <phoneticPr fontId="4"/>
  </si>
  <si>
    <t>常滑市</t>
    <phoneticPr fontId="4"/>
  </si>
  <si>
    <t>陶郷町</t>
    <phoneticPr fontId="4"/>
  </si>
  <si>
    <t>山武市</t>
    <phoneticPr fontId="4"/>
  </si>
  <si>
    <t>成東</t>
    <phoneticPr fontId="4"/>
  </si>
  <si>
    <t>松本市</t>
    <phoneticPr fontId="4"/>
  </si>
  <si>
    <t>高宮西</t>
    <phoneticPr fontId="4"/>
  </si>
  <si>
    <t>上越市</t>
    <phoneticPr fontId="4"/>
  </si>
  <si>
    <t>大字三田新田字水ふけ</t>
    <phoneticPr fontId="4"/>
  </si>
  <si>
    <t>桑名郡</t>
    <phoneticPr fontId="4"/>
  </si>
  <si>
    <t>朝日町</t>
    <phoneticPr fontId="4"/>
  </si>
  <si>
    <t>上田市</t>
    <phoneticPr fontId="4"/>
  </si>
  <si>
    <t>秋和字立石</t>
    <phoneticPr fontId="4"/>
  </si>
  <si>
    <t>津山市</t>
    <phoneticPr fontId="4"/>
  </si>
  <si>
    <t>河辺</t>
    <phoneticPr fontId="4"/>
  </si>
  <si>
    <t>本巣市</t>
    <phoneticPr fontId="4"/>
  </si>
  <si>
    <t>小柿</t>
    <phoneticPr fontId="4"/>
  </si>
  <si>
    <t>仙台市</t>
    <phoneticPr fontId="4"/>
  </si>
  <si>
    <t>宮城野区中野字葦畔</t>
    <phoneticPr fontId="4"/>
  </si>
  <si>
    <t>木更津市</t>
    <phoneticPr fontId="4"/>
  </si>
  <si>
    <t>請西</t>
    <phoneticPr fontId="4"/>
  </si>
  <si>
    <t>広島市</t>
    <phoneticPr fontId="4"/>
  </si>
  <si>
    <t>東区矢賀</t>
    <phoneticPr fontId="4"/>
  </si>
  <si>
    <t>光葉町</t>
    <phoneticPr fontId="4"/>
  </si>
  <si>
    <t>大字蟹沢</t>
    <phoneticPr fontId="4"/>
  </si>
  <si>
    <t>新鎌ヶ谷</t>
    <phoneticPr fontId="4"/>
  </si>
  <si>
    <t>株式会社 山陽設計</t>
    <rPh sb="0" eb="2">
      <t>カブシキ</t>
    </rPh>
    <rPh sb="2" eb="4">
      <t>カイシャ</t>
    </rPh>
    <rPh sb="5" eb="7">
      <t>サンヨウ</t>
    </rPh>
    <rPh sb="7" eb="9">
      <t>セッケイ</t>
    </rPh>
    <phoneticPr fontId="4"/>
  </si>
  <si>
    <t>扇工業様新社屋</t>
    <rPh sb="0" eb="1">
      <t>オオギ</t>
    </rPh>
    <rPh sb="1" eb="3">
      <t>コウギョウ</t>
    </rPh>
    <rPh sb="3" eb="4">
      <t>サマ</t>
    </rPh>
    <rPh sb="4" eb="7">
      <t>シンシャオク</t>
    </rPh>
    <phoneticPr fontId="4"/>
  </si>
  <si>
    <t>足立区</t>
    <phoneticPr fontId="4"/>
  </si>
  <si>
    <t>加賀</t>
    <rPh sb="0" eb="2">
      <t>カガ</t>
    </rPh>
    <phoneticPr fontId="4"/>
  </si>
  <si>
    <t>3</t>
    <phoneticPr fontId="4"/>
  </si>
  <si>
    <t>渡辺恒雄建築設計事務所</t>
    <phoneticPr fontId="4"/>
  </si>
  <si>
    <t>遠藤商事 新野菜工場</t>
    <rPh sb="0" eb="2">
      <t>エンドウ</t>
    </rPh>
    <rPh sb="2" eb="4">
      <t>ショウジ</t>
    </rPh>
    <rPh sb="5" eb="6">
      <t>シン</t>
    </rPh>
    <rPh sb="6" eb="8">
      <t>ヤサイ</t>
    </rPh>
    <rPh sb="8" eb="10">
      <t>コウジョウ</t>
    </rPh>
    <phoneticPr fontId="4"/>
  </si>
  <si>
    <t>山形県</t>
    <phoneticPr fontId="4"/>
  </si>
  <si>
    <t>清池</t>
    <rPh sb="0" eb="1">
      <t>キヨ</t>
    </rPh>
    <rPh sb="1" eb="2">
      <t>イケ</t>
    </rPh>
    <phoneticPr fontId="4"/>
  </si>
  <si>
    <t>京都府</t>
    <phoneticPr fontId="4"/>
  </si>
  <si>
    <t>大阪市</t>
    <phoneticPr fontId="4"/>
  </si>
  <si>
    <t>港区福崎</t>
    <rPh sb="0" eb="1">
      <t>ミナト</t>
    </rPh>
    <rPh sb="1" eb="2">
      <t>ク</t>
    </rPh>
    <rPh sb="2" eb="4">
      <t>フクサキ</t>
    </rPh>
    <phoneticPr fontId="4"/>
  </si>
  <si>
    <t>株式会社 土屋設計</t>
    <rPh sb="0" eb="2">
      <t>カブシキ</t>
    </rPh>
    <rPh sb="2" eb="4">
      <t>カイシャ</t>
    </rPh>
    <rPh sb="5" eb="6">
      <t>ツチ</t>
    </rPh>
    <rPh sb="6" eb="7">
      <t>ヤ</t>
    </rPh>
    <rPh sb="7" eb="9">
      <t>セッケイ</t>
    </rPh>
    <phoneticPr fontId="4"/>
  </si>
  <si>
    <t>株式会社 土屋設計</t>
    <phoneticPr fontId="4"/>
  </si>
  <si>
    <t>カブシキガイシャ ツチヤセッケイ</t>
    <phoneticPr fontId="4"/>
  </si>
  <si>
    <t>財団法人 日本建築設備・昇降機センター</t>
    <phoneticPr fontId="4"/>
  </si>
  <si>
    <t>450円/㎡×2900㎡</t>
    <rPh sb="3" eb="4">
      <t>エン</t>
    </rPh>
    <phoneticPr fontId="4"/>
  </si>
  <si>
    <t>株式会社 湯本工務店</t>
    <phoneticPr fontId="4"/>
  </si>
  <si>
    <t>3</t>
    <phoneticPr fontId="4"/>
  </si>
  <si>
    <t>マルハン赤穂</t>
    <rPh sb="4" eb="6">
      <t>アコウ</t>
    </rPh>
    <phoneticPr fontId="4"/>
  </si>
  <si>
    <t>兵庫県</t>
    <phoneticPr fontId="4"/>
  </si>
  <si>
    <t>赤穂市</t>
    <rPh sb="0" eb="3">
      <t>アコウシ</t>
    </rPh>
    <phoneticPr fontId="4"/>
  </si>
  <si>
    <t>中広</t>
    <rPh sb="0" eb="1">
      <t>ナカ</t>
    </rPh>
    <rPh sb="1" eb="2">
      <t>ヒロ</t>
    </rPh>
    <phoneticPr fontId="4"/>
  </si>
  <si>
    <t>1-2</t>
    <phoneticPr fontId="4"/>
  </si>
  <si>
    <t>中野市</t>
    <phoneticPr fontId="4"/>
  </si>
  <si>
    <t>大字三ツ和</t>
    <rPh sb="0" eb="2">
      <t>オオアザ</t>
    </rPh>
    <rPh sb="2" eb="3">
      <t>ミ</t>
    </rPh>
    <rPh sb="4" eb="5">
      <t>ワ</t>
    </rPh>
    <phoneticPr fontId="4"/>
  </si>
  <si>
    <t>1-2</t>
    <phoneticPr fontId="4"/>
  </si>
  <si>
    <t>コウダヤ建築設計事務所</t>
    <phoneticPr fontId="4"/>
  </si>
  <si>
    <t>コウダヤケンチクセッケイジムショ</t>
    <phoneticPr fontId="4"/>
  </si>
  <si>
    <t>ドラッグユタカ南陽</t>
    <rPh sb="7" eb="8">
      <t>ミナミ</t>
    </rPh>
    <rPh sb="8" eb="9">
      <t>ヨウ</t>
    </rPh>
    <phoneticPr fontId="4"/>
  </si>
  <si>
    <t>名古屋市</t>
    <phoneticPr fontId="4"/>
  </si>
  <si>
    <t>港区東茶屋</t>
    <rPh sb="0" eb="1">
      <t>ミナト</t>
    </rPh>
    <rPh sb="1" eb="2">
      <t>ク</t>
    </rPh>
    <rPh sb="2" eb="3">
      <t>ヒガシ</t>
    </rPh>
    <rPh sb="3" eb="4">
      <t>チャ</t>
    </rPh>
    <rPh sb="4" eb="5">
      <t>ヤ</t>
    </rPh>
    <phoneticPr fontId="4"/>
  </si>
  <si>
    <t>有限会社 工設計</t>
    <rPh sb="0" eb="2">
      <t>ユウゲン</t>
    </rPh>
    <rPh sb="2" eb="4">
      <t>カイシャ</t>
    </rPh>
    <rPh sb="5" eb="6">
      <t>コウ</t>
    </rPh>
    <rPh sb="6" eb="8">
      <t>セッケイ</t>
    </rPh>
    <phoneticPr fontId="4"/>
  </si>
  <si>
    <t>有限会社 工設計</t>
    <phoneticPr fontId="4"/>
  </si>
  <si>
    <t>ユウゲンガイシャ コウセッケイ</t>
    <phoneticPr fontId="4"/>
  </si>
  <si>
    <t>桑名郡</t>
    <phoneticPr fontId="4"/>
  </si>
  <si>
    <t>木曽岬町大字川先字東丸山</t>
    <phoneticPr fontId="4"/>
  </si>
  <si>
    <t>川口市</t>
    <phoneticPr fontId="4"/>
  </si>
  <si>
    <t>峯</t>
    <phoneticPr fontId="4"/>
  </si>
  <si>
    <t>新潟市</t>
    <phoneticPr fontId="4"/>
  </si>
  <si>
    <t>秋葉区さつき野</t>
    <phoneticPr fontId="4"/>
  </si>
  <si>
    <t>岡山市</t>
    <phoneticPr fontId="4"/>
  </si>
  <si>
    <t>南区松浜町</t>
    <phoneticPr fontId="4"/>
  </si>
  <si>
    <t>東大阪市</t>
    <phoneticPr fontId="4"/>
  </si>
  <si>
    <t>永和</t>
    <phoneticPr fontId="4"/>
  </si>
  <si>
    <t>知多北部</t>
    <phoneticPr fontId="4"/>
  </si>
  <si>
    <t>荒川区</t>
    <phoneticPr fontId="4"/>
  </si>
  <si>
    <t>西尾久</t>
    <phoneticPr fontId="4"/>
  </si>
  <si>
    <t>神戸市</t>
    <phoneticPr fontId="4"/>
  </si>
  <si>
    <t>兵庫区和田宮通</t>
    <phoneticPr fontId="4"/>
  </si>
  <si>
    <t>上越市</t>
    <phoneticPr fontId="4"/>
  </si>
  <si>
    <t>大字下門前</t>
    <rPh sb="4" eb="5">
      <t>マエ</t>
    </rPh>
    <phoneticPr fontId="4"/>
  </si>
  <si>
    <t>名古屋市</t>
    <phoneticPr fontId="4"/>
  </si>
  <si>
    <t>西区南堀越</t>
    <phoneticPr fontId="4"/>
  </si>
  <si>
    <t>仙台市</t>
    <phoneticPr fontId="4"/>
  </si>
  <si>
    <t>太白区山田田中前</t>
    <phoneticPr fontId="4"/>
  </si>
  <si>
    <t>大仙市</t>
    <phoneticPr fontId="4"/>
  </si>
  <si>
    <t>東川屋敷後</t>
    <phoneticPr fontId="4"/>
  </si>
  <si>
    <t>牧之原市</t>
    <phoneticPr fontId="4"/>
  </si>
  <si>
    <t>静波字才加大道</t>
    <phoneticPr fontId="4"/>
  </si>
  <si>
    <t>ほのぼの会 厨房棟</t>
    <rPh sb="4" eb="5">
      <t>カイ</t>
    </rPh>
    <rPh sb="6" eb="8">
      <t>チュウボウ</t>
    </rPh>
    <rPh sb="8" eb="9">
      <t>トウ</t>
    </rPh>
    <phoneticPr fontId="4"/>
  </si>
  <si>
    <t>万田町</t>
    <rPh sb="0" eb="2">
      <t>マンダ</t>
    </rPh>
    <rPh sb="2" eb="3">
      <t>マチ</t>
    </rPh>
    <phoneticPr fontId="4"/>
  </si>
  <si>
    <t>厨房</t>
    <rPh sb="0" eb="2">
      <t>チュウボウ</t>
    </rPh>
    <phoneticPr fontId="4"/>
  </si>
  <si>
    <t>岡山市</t>
    <phoneticPr fontId="4"/>
  </si>
  <si>
    <t>十日市西町</t>
    <phoneticPr fontId="4"/>
  </si>
  <si>
    <t>浜松市</t>
    <phoneticPr fontId="4"/>
  </si>
  <si>
    <t>東区有玉西町字地蔵平</t>
    <phoneticPr fontId="4"/>
  </si>
  <si>
    <t>碧南市</t>
    <phoneticPr fontId="4"/>
  </si>
  <si>
    <t>音羽町</t>
    <phoneticPr fontId="4"/>
  </si>
  <si>
    <t>行方市</t>
    <phoneticPr fontId="4"/>
  </si>
  <si>
    <t>玉造</t>
    <phoneticPr fontId="4"/>
  </si>
  <si>
    <t>北埼玉郡</t>
    <phoneticPr fontId="4"/>
  </si>
  <si>
    <t>大利根町大字琴寄字下川島</t>
    <phoneticPr fontId="4"/>
  </si>
  <si>
    <t>北葛城郡</t>
    <phoneticPr fontId="4"/>
  </si>
  <si>
    <t>広陵町大字安部</t>
    <phoneticPr fontId="4"/>
  </si>
  <si>
    <t>尾道市</t>
    <phoneticPr fontId="4"/>
  </si>
  <si>
    <t>因島中庄町字油屋新開</t>
    <phoneticPr fontId="4"/>
  </si>
  <si>
    <t>長浜町</t>
    <rPh sb="0" eb="2">
      <t>ナガハマ</t>
    </rPh>
    <rPh sb="2" eb="3">
      <t>マチ</t>
    </rPh>
    <phoneticPr fontId="4"/>
  </si>
  <si>
    <t>高浜市</t>
    <phoneticPr fontId="4"/>
  </si>
  <si>
    <t>稗田町</t>
    <rPh sb="2" eb="3">
      <t>マチ</t>
    </rPh>
    <phoneticPr fontId="4"/>
  </si>
  <si>
    <t>大崎市</t>
    <phoneticPr fontId="4"/>
  </si>
  <si>
    <t>古川字青塚</t>
    <phoneticPr fontId="4"/>
  </si>
  <si>
    <t>東区金岡西町</t>
    <phoneticPr fontId="4"/>
  </si>
  <si>
    <t>広島市</t>
    <phoneticPr fontId="4"/>
  </si>
  <si>
    <t>安芸区矢野西</t>
    <phoneticPr fontId="4"/>
  </si>
  <si>
    <t>岡山市</t>
    <phoneticPr fontId="4"/>
  </si>
  <si>
    <t>中区国府市場</t>
    <phoneticPr fontId="4"/>
  </si>
  <si>
    <t>倉敷市</t>
    <phoneticPr fontId="4"/>
  </si>
  <si>
    <t>玉島乙島</t>
    <phoneticPr fontId="4"/>
  </si>
  <si>
    <t>東区久保</t>
    <phoneticPr fontId="4"/>
  </si>
  <si>
    <t>岩国市</t>
    <phoneticPr fontId="4"/>
  </si>
  <si>
    <t>南岩国町１</t>
    <phoneticPr fontId="4"/>
  </si>
  <si>
    <t>東区神崎町</t>
    <phoneticPr fontId="4"/>
  </si>
  <si>
    <t>豊田郡</t>
    <phoneticPr fontId="4"/>
  </si>
  <si>
    <t>大崎上島町中野</t>
    <phoneticPr fontId="4"/>
  </si>
  <si>
    <t>廿日市市</t>
    <rPh sb="0" eb="3">
      <t>ハツカイチ</t>
    </rPh>
    <rPh sb="3" eb="4">
      <t>シ</t>
    </rPh>
    <phoneticPr fontId="4"/>
  </si>
  <si>
    <t>本町</t>
    <phoneticPr fontId="4"/>
  </si>
  <si>
    <t>北区高松</t>
    <phoneticPr fontId="4"/>
  </si>
  <si>
    <t>北区</t>
    <phoneticPr fontId="4"/>
  </si>
  <si>
    <t>白石西新町</t>
    <phoneticPr fontId="4"/>
  </si>
  <si>
    <t>大阪市</t>
    <phoneticPr fontId="4"/>
  </si>
  <si>
    <t>東住吉区今林</t>
    <phoneticPr fontId="4"/>
  </si>
  <si>
    <t>名和町寺徳</t>
    <phoneticPr fontId="4"/>
  </si>
  <si>
    <t>マルカワ渋川せんべい新工場</t>
    <rPh sb="4" eb="6">
      <t>シブカワ</t>
    </rPh>
    <rPh sb="10" eb="11">
      <t>シン</t>
    </rPh>
    <rPh sb="11" eb="13">
      <t>コウジョウ</t>
    </rPh>
    <phoneticPr fontId="4"/>
  </si>
  <si>
    <t>青森市</t>
    <phoneticPr fontId="4"/>
  </si>
  <si>
    <t>新田</t>
    <rPh sb="0" eb="2">
      <t>ニッタ</t>
    </rPh>
    <phoneticPr fontId="4"/>
  </si>
  <si>
    <t>2</t>
    <phoneticPr fontId="4"/>
  </si>
  <si>
    <t>東田店舗計画</t>
    <rPh sb="0" eb="1">
      <t>ヒガシ</t>
    </rPh>
    <rPh sb="1" eb="2">
      <t>タ</t>
    </rPh>
    <rPh sb="2" eb="4">
      <t>テンポ</t>
    </rPh>
    <rPh sb="4" eb="6">
      <t>ケイカク</t>
    </rPh>
    <phoneticPr fontId="4"/>
  </si>
  <si>
    <t>川崎区東田町</t>
    <rPh sb="3" eb="5">
      <t>ヒガシダ</t>
    </rPh>
    <rPh sb="5" eb="6">
      <t>マチ</t>
    </rPh>
    <phoneticPr fontId="4"/>
  </si>
  <si>
    <t>ビューローベリタスジャパン 株式会社(新宿)</t>
    <rPh sb="19" eb="21">
      <t>シンジュク</t>
    </rPh>
    <phoneticPr fontId="4"/>
  </si>
  <si>
    <t>有限会社 ろふと</t>
    <rPh sb="0" eb="2">
      <t>ユウゲン</t>
    </rPh>
    <rPh sb="2" eb="4">
      <t>カイシャ</t>
    </rPh>
    <phoneticPr fontId="4"/>
  </si>
  <si>
    <t>有限会社 ろふと</t>
    <phoneticPr fontId="4"/>
  </si>
  <si>
    <t>ユウゲンガイシャ ロフト</t>
    <phoneticPr fontId="4"/>
  </si>
  <si>
    <t>宮城県 石巻市役所</t>
    <rPh sb="4" eb="6">
      <t>イシノマキ</t>
    </rPh>
    <phoneticPr fontId="4"/>
  </si>
  <si>
    <t>宮城県 石巻市役所</t>
    <phoneticPr fontId="4"/>
  </si>
  <si>
    <t>財団法人 宮城県建築住宅センター</t>
    <phoneticPr fontId="4"/>
  </si>
  <si>
    <t>十和田市東十一番町SS</t>
    <rPh sb="0" eb="3">
      <t>トワダ</t>
    </rPh>
    <rPh sb="3" eb="4">
      <t>シ</t>
    </rPh>
    <rPh sb="4" eb="5">
      <t>ヒガシ</t>
    </rPh>
    <rPh sb="5" eb="6">
      <t>ジュウ</t>
    </rPh>
    <rPh sb="6" eb="7">
      <t>イチ</t>
    </rPh>
    <rPh sb="7" eb="8">
      <t>バン</t>
    </rPh>
    <rPh sb="8" eb="9">
      <t>マチ</t>
    </rPh>
    <phoneticPr fontId="4"/>
  </si>
  <si>
    <t>十和田市</t>
    <rPh sb="0" eb="4">
      <t>トワダシ</t>
    </rPh>
    <phoneticPr fontId="4"/>
  </si>
  <si>
    <t>東十一番町</t>
    <rPh sb="0" eb="1">
      <t>ヒガシ</t>
    </rPh>
    <rPh sb="1" eb="3">
      <t>ジュウイチ</t>
    </rPh>
    <rPh sb="3" eb="4">
      <t>バン</t>
    </rPh>
    <rPh sb="4" eb="5">
      <t>マチ</t>
    </rPh>
    <phoneticPr fontId="4"/>
  </si>
  <si>
    <t>3</t>
    <phoneticPr fontId="4"/>
  </si>
  <si>
    <t>-</t>
    <phoneticPr fontId="4"/>
  </si>
  <si>
    <t>中国通運株式会社冷蔵倉庫</t>
    <rPh sb="0" eb="2">
      <t>チュウゴク</t>
    </rPh>
    <rPh sb="2" eb="4">
      <t>ツウウン</t>
    </rPh>
    <rPh sb="4" eb="6">
      <t>カブシキ</t>
    </rPh>
    <rPh sb="6" eb="8">
      <t>カイシャ</t>
    </rPh>
    <rPh sb="8" eb="10">
      <t>レイゾウ</t>
    </rPh>
    <rPh sb="10" eb="12">
      <t>ソウコ</t>
    </rPh>
    <phoneticPr fontId="4"/>
  </si>
  <si>
    <t>竹原市</t>
    <rPh sb="0" eb="3">
      <t>タケハラシ</t>
    </rPh>
    <phoneticPr fontId="4"/>
  </si>
  <si>
    <t>港町</t>
    <rPh sb="0" eb="1">
      <t>ミナト</t>
    </rPh>
    <rPh sb="1" eb="2">
      <t>マチ</t>
    </rPh>
    <phoneticPr fontId="4"/>
  </si>
  <si>
    <t>3</t>
    <phoneticPr fontId="4"/>
  </si>
  <si>
    <t>おおつ保育園</t>
    <rPh sb="3" eb="6">
      <t>ホイクエン</t>
    </rPh>
    <phoneticPr fontId="4"/>
  </si>
  <si>
    <t>御所野物流センター(秋田物流倉庫)</t>
    <rPh sb="0" eb="2">
      <t>ゴショ</t>
    </rPh>
    <rPh sb="2" eb="3">
      <t>ノ</t>
    </rPh>
    <rPh sb="3" eb="5">
      <t>ブツリュウ</t>
    </rPh>
    <rPh sb="10" eb="12">
      <t>アキタ</t>
    </rPh>
    <rPh sb="12" eb="14">
      <t>ブツリュウ</t>
    </rPh>
    <rPh sb="14" eb="16">
      <t>ソウコ</t>
    </rPh>
    <phoneticPr fontId="4"/>
  </si>
  <si>
    <t>ダイナム山口宇部港町</t>
    <rPh sb="4" eb="6">
      <t>ヤマグチ</t>
    </rPh>
    <rPh sb="6" eb="8">
      <t>ウベ</t>
    </rPh>
    <rPh sb="8" eb="9">
      <t>ミナト</t>
    </rPh>
    <rPh sb="9" eb="10">
      <t>マチ</t>
    </rPh>
    <phoneticPr fontId="4"/>
  </si>
  <si>
    <t>新東京機材センター</t>
    <rPh sb="0" eb="1">
      <t>シン</t>
    </rPh>
    <rPh sb="1" eb="3">
      <t>トウキョウ</t>
    </rPh>
    <rPh sb="3" eb="5">
      <t>キザイ</t>
    </rPh>
    <phoneticPr fontId="4"/>
  </si>
  <si>
    <t>三井造船(株)プラスト工場</t>
    <rPh sb="0" eb="2">
      <t>ミツイ</t>
    </rPh>
    <rPh sb="2" eb="4">
      <t>ゾウセン</t>
    </rPh>
    <rPh sb="4" eb="7">
      <t>カブ</t>
    </rPh>
    <rPh sb="11" eb="13">
      <t>コウジョウ</t>
    </rPh>
    <phoneticPr fontId="4"/>
  </si>
  <si>
    <t>ラ・ムー和歌山直川</t>
    <rPh sb="4" eb="7">
      <t>ワカヤマ</t>
    </rPh>
    <rPh sb="7" eb="9">
      <t>ナオカワ</t>
    </rPh>
    <phoneticPr fontId="4"/>
  </si>
  <si>
    <t>-</t>
    <phoneticPr fontId="4"/>
  </si>
  <si>
    <t>株式会社 建築構造センター(岡山)</t>
    <rPh sb="14" eb="16">
      <t>オカヤマ</t>
    </rPh>
    <phoneticPr fontId="4"/>
  </si>
  <si>
    <t>株式会社 日本確認検査センター</t>
    <phoneticPr fontId="4"/>
  </si>
  <si>
    <t>えりじま建築設計</t>
    <rPh sb="4" eb="6">
      <t>ケンチク</t>
    </rPh>
    <rPh sb="6" eb="8">
      <t>セッケイ</t>
    </rPh>
    <phoneticPr fontId="4"/>
  </si>
  <si>
    <t>えりじま建築設計</t>
    <phoneticPr fontId="4"/>
  </si>
  <si>
    <t>エリジマケンチクセッケイ</t>
    <phoneticPr fontId="4"/>
  </si>
  <si>
    <t>株式会社 木講堂</t>
    <rPh sb="0" eb="2">
      <t>カブシキ</t>
    </rPh>
    <rPh sb="2" eb="4">
      <t>カイシャ</t>
    </rPh>
    <rPh sb="5" eb="6">
      <t>キ</t>
    </rPh>
    <rPh sb="6" eb="8">
      <t>コウドウ</t>
    </rPh>
    <phoneticPr fontId="4"/>
  </si>
  <si>
    <t>株式会社 木講堂</t>
    <phoneticPr fontId="4"/>
  </si>
  <si>
    <t>株式会社 木講堂</t>
    <phoneticPr fontId="4"/>
  </si>
  <si>
    <t>カブシキガイシャ キコウドウ</t>
    <phoneticPr fontId="4"/>
  </si>
  <si>
    <t>有限会社 シンバ設計</t>
    <rPh sb="0" eb="2">
      <t>ユウゲン</t>
    </rPh>
    <rPh sb="2" eb="4">
      <t>カイシャ</t>
    </rPh>
    <rPh sb="8" eb="10">
      <t>セッケイ</t>
    </rPh>
    <phoneticPr fontId="4"/>
  </si>
  <si>
    <t>有限会社 シンバ設計</t>
    <phoneticPr fontId="4"/>
  </si>
  <si>
    <t>ユウゲンガイシャ シンバセッケイ</t>
    <phoneticPr fontId="4"/>
  </si>
  <si>
    <t>○</t>
    <phoneticPr fontId="4"/>
  </si>
  <si>
    <t>株式会社 きこりや一級建築士事務所</t>
    <rPh sb="16" eb="17">
      <t>ショ</t>
    </rPh>
    <phoneticPr fontId="4"/>
  </si>
  <si>
    <t>株式会社 きこりや一級建築士事務所</t>
    <phoneticPr fontId="4"/>
  </si>
  <si>
    <t>カブシキガイシャ キコリヤイッキュウケンチクシジムショ</t>
    <phoneticPr fontId="4"/>
  </si>
  <si>
    <t>建築設計工房 なかの</t>
    <phoneticPr fontId="4"/>
  </si>
  <si>
    <t>建築設計工房 なかの</t>
    <phoneticPr fontId="4"/>
  </si>
  <si>
    <t>ケンチクセッケイコウボウ ナカノ</t>
    <phoneticPr fontId="4"/>
  </si>
  <si>
    <t>中川保育園</t>
    <rPh sb="0" eb="2">
      <t>ナカガワ</t>
    </rPh>
    <rPh sb="2" eb="5">
      <t>ホイクエン</t>
    </rPh>
    <phoneticPr fontId="4"/>
  </si>
  <si>
    <t>五所川原市</t>
    <phoneticPr fontId="4"/>
  </si>
  <si>
    <t>川山字千本</t>
    <rPh sb="0" eb="1">
      <t>カワ</t>
    </rPh>
    <rPh sb="1" eb="2">
      <t>ヤマ</t>
    </rPh>
    <rPh sb="2" eb="3">
      <t>アザ</t>
    </rPh>
    <rPh sb="3" eb="5">
      <t>センボン</t>
    </rPh>
    <phoneticPr fontId="4"/>
  </si>
  <si>
    <t>株式会社 青和設計</t>
    <rPh sb="0" eb="2">
      <t>カブシキ</t>
    </rPh>
    <rPh sb="2" eb="4">
      <t>カイシャ</t>
    </rPh>
    <rPh sb="5" eb="6">
      <t>アオ</t>
    </rPh>
    <rPh sb="6" eb="7">
      <t>ワ</t>
    </rPh>
    <rPh sb="7" eb="9">
      <t>セッケイ</t>
    </rPh>
    <phoneticPr fontId="4"/>
  </si>
  <si>
    <t>株式会社 青和設計</t>
    <phoneticPr fontId="4"/>
  </si>
  <si>
    <t>カブシキガイシャ セイワセッケイ</t>
    <phoneticPr fontId="4"/>
  </si>
  <si>
    <t>大分市</t>
    <phoneticPr fontId="4"/>
  </si>
  <si>
    <t>大字日吉原</t>
    <rPh sb="0" eb="2">
      <t>オオアザ</t>
    </rPh>
    <rPh sb="2" eb="4">
      <t>ヒヨシ</t>
    </rPh>
    <rPh sb="4" eb="5">
      <t>ハラ</t>
    </rPh>
    <phoneticPr fontId="4"/>
  </si>
  <si>
    <t>本開発字前田</t>
    <rPh sb="0" eb="1">
      <t>ホン</t>
    </rPh>
    <rPh sb="1" eb="3">
      <t>カイハツ</t>
    </rPh>
    <rPh sb="3" eb="4">
      <t>アザ</t>
    </rPh>
    <rPh sb="4" eb="6">
      <t>マエダ</t>
    </rPh>
    <phoneticPr fontId="4"/>
  </si>
  <si>
    <t>-</t>
    <phoneticPr fontId="4"/>
  </si>
  <si>
    <t>新庄町</t>
    <rPh sb="0" eb="2">
      <t>シンジョウ</t>
    </rPh>
    <rPh sb="2" eb="3">
      <t>マチ</t>
    </rPh>
    <phoneticPr fontId="4"/>
  </si>
  <si>
    <t>行方市</t>
    <phoneticPr fontId="4"/>
  </si>
  <si>
    <t>玉造甲</t>
    <rPh sb="2" eb="3">
      <t>コウ</t>
    </rPh>
    <phoneticPr fontId="4"/>
  </si>
  <si>
    <t>岡山市</t>
    <phoneticPr fontId="4"/>
  </si>
  <si>
    <t>北区今保</t>
    <phoneticPr fontId="4"/>
  </si>
  <si>
    <t>バロー各務原HC</t>
    <phoneticPr fontId="4"/>
  </si>
  <si>
    <t>バロー各務原SM</t>
    <phoneticPr fontId="4"/>
  </si>
  <si>
    <t>3</t>
    <phoneticPr fontId="4"/>
  </si>
  <si>
    <t>株式会社 カワイ設計工房</t>
    <phoneticPr fontId="4"/>
  </si>
  <si>
    <t>株式会社 双葉デザイン</t>
    <phoneticPr fontId="4"/>
  </si>
  <si>
    <t>カブシキガイシャ フタバデザイン</t>
    <phoneticPr fontId="4"/>
  </si>
  <si>
    <t>有限会社 辺見美津男設計室</t>
    <phoneticPr fontId="4"/>
  </si>
  <si>
    <t>株式会社 グッド・アイズ建築検査機構</t>
    <phoneticPr fontId="4"/>
  </si>
  <si>
    <t>株式会社 山形県建築サポートセンター</t>
    <phoneticPr fontId="4"/>
  </si>
  <si>
    <t>上田建築設計</t>
    <rPh sb="0" eb="1">
      <t>ウエ</t>
    </rPh>
    <rPh sb="1" eb="2">
      <t>タ</t>
    </rPh>
    <rPh sb="2" eb="4">
      <t>ケンチク</t>
    </rPh>
    <rPh sb="4" eb="6">
      <t>セッケイ</t>
    </rPh>
    <phoneticPr fontId="4"/>
  </si>
  <si>
    <t>上田建築設計</t>
    <phoneticPr fontId="4"/>
  </si>
  <si>
    <t>ウエダケンチクセッケイ</t>
    <phoneticPr fontId="4"/>
  </si>
  <si>
    <t>千葉県</t>
    <phoneticPr fontId="4"/>
  </si>
  <si>
    <t>市川市</t>
    <rPh sb="0" eb="3">
      <t>イチカワシ</t>
    </rPh>
    <phoneticPr fontId="4"/>
  </si>
  <si>
    <t>本行徳</t>
    <rPh sb="0" eb="1">
      <t>ホン</t>
    </rPh>
    <rPh sb="1" eb="2">
      <t>イ</t>
    </rPh>
    <rPh sb="2" eb="3">
      <t>トク</t>
    </rPh>
    <phoneticPr fontId="4"/>
  </si>
  <si>
    <t>日成ビルド工業 株式会社</t>
    <phoneticPr fontId="4"/>
  </si>
  <si>
    <t>テクノブリッジ</t>
    <phoneticPr fontId="4"/>
  </si>
  <si>
    <t>ナカノス建設工業 株式会社</t>
    <rPh sb="4" eb="6">
      <t>ケンセツ</t>
    </rPh>
    <rPh sb="6" eb="8">
      <t>コウギョウ</t>
    </rPh>
    <rPh sb="9" eb="11">
      <t>カブシキ</t>
    </rPh>
    <rPh sb="11" eb="13">
      <t>カイシャ</t>
    </rPh>
    <phoneticPr fontId="4"/>
  </si>
  <si>
    <t>ナカノス建設工業 株式会社</t>
    <phoneticPr fontId="4"/>
  </si>
  <si>
    <t>ナカノスケンセツコウギョウ カブシキガイシャ</t>
    <phoneticPr fontId="4"/>
  </si>
  <si>
    <t>株式会社 アークライン</t>
    <rPh sb="0" eb="2">
      <t>カブシキ</t>
    </rPh>
    <rPh sb="2" eb="4">
      <t>カイシャ</t>
    </rPh>
    <phoneticPr fontId="4"/>
  </si>
  <si>
    <t>株式会社 アークライン</t>
    <phoneticPr fontId="4"/>
  </si>
  <si>
    <t>カブシキガイシャ アークライン</t>
    <phoneticPr fontId="4"/>
  </si>
  <si>
    <t>ビューローベリタスジャパン 株式会社</t>
    <phoneticPr fontId="4"/>
  </si>
  <si>
    <t>バロー上越寺</t>
    <rPh sb="5" eb="6">
      <t>テラ</t>
    </rPh>
    <phoneticPr fontId="4"/>
  </si>
  <si>
    <t>新潟県</t>
    <phoneticPr fontId="4"/>
  </si>
  <si>
    <t>上越市</t>
    <phoneticPr fontId="4"/>
  </si>
  <si>
    <t>大治</t>
    <rPh sb="0" eb="1">
      <t>オオ</t>
    </rPh>
    <rPh sb="1" eb="2">
      <t>オサ</t>
    </rPh>
    <phoneticPr fontId="4"/>
  </si>
  <si>
    <t>カブシキカイシャ ＩＥＣケンチクケンキュウショ</t>
    <phoneticPr fontId="4"/>
  </si>
  <si>
    <t>カブシキガイシャ ＴＡ</t>
    <phoneticPr fontId="4"/>
  </si>
  <si>
    <t>ユウゲンガイシャ ＪＴＭ</t>
    <phoneticPr fontId="4"/>
  </si>
  <si>
    <t>ユウゲンガイシャ ＬＥＳトシケンチクセッケイジムショ</t>
    <phoneticPr fontId="4"/>
  </si>
  <si>
    <t>株式会社 グッド・アイズ建築検査機構</t>
    <phoneticPr fontId="4"/>
  </si>
  <si>
    <t>有限会社 吉村建築設計室</t>
    <rPh sb="0" eb="2">
      <t>ユウゲン</t>
    </rPh>
    <rPh sb="2" eb="4">
      <t>ガイシャ</t>
    </rPh>
    <rPh sb="5" eb="7">
      <t>ヨシムラ</t>
    </rPh>
    <rPh sb="7" eb="9">
      <t>ケンチク</t>
    </rPh>
    <rPh sb="9" eb="11">
      <t>セッケイ</t>
    </rPh>
    <rPh sb="11" eb="12">
      <t>シツ</t>
    </rPh>
    <phoneticPr fontId="4"/>
  </si>
  <si>
    <t>株式会社 テクノス</t>
    <rPh sb="0" eb="2">
      <t>カブシキ</t>
    </rPh>
    <rPh sb="2" eb="4">
      <t>カイシャ</t>
    </rPh>
    <phoneticPr fontId="4"/>
  </si>
  <si>
    <t>千代田機電 小松営業所</t>
    <rPh sb="0" eb="3">
      <t>チヨダ</t>
    </rPh>
    <rPh sb="3" eb="5">
      <t>キデン</t>
    </rPh>
    <rPh sb="6" eb="8">
      <t>コマツ</t>
    </rPh>
    <rPh sb="8" eb="10">
      <t>エイギョウ</t>
    </rPh>
    <rPh sb="10" eb="11">
      <t>ショ</t>
    </rPh>
    <phoneticPr fontId="4"/>
  </si>
  <si>
    <t>株式会社 テクノス</t>
    <phoneticPr fontId="4"/>
  </si>
  <si>
    <t>日本ERI 株式会社(長野)</t>
    <rPh sb="11" eb="13">
      <t>ナガノ</t>
    </rPh>
    <phoneticPr fontId="4"/>
  </si>
  <si>
    <t>ビューローベリタスジャパン 株式会社</t>
    <phoneticPr fontId="4"/>
  </si>
  <si>
    <t>株式会社 国際確認検査センター</t>
    <phoneticPr fontId="4"/>
  </si>
  <si>
    <t>山形県</t>
    <phoneticPr fontId="4"/>
  </si>
  <si>
    <t>酒田市</t>
    <phoneticPr fontId="4"/>
  </si>
  <si>
    <t>京田</t>
    <rPh sb="0" eb="1">
      <t>キョウ</t>
    </rPh>
    <rPh sb="1" eb="2">
      <t>タ</t>
    </rPh>
    <phoneticPr fontId="4"/>
  </si>
  <si>
    <t>3</t>
    <phoneticPr fontId="4"/>
  </si>
  <si>
    <t>有限会社 山崎建築設計事務所</t>
    <rPh sb="0" eb="2">
      <t>ユウゲン</t>
    </rPh>
    <rPh sb="2" eb="4">
      <t>カイシャ</t>
    </rPh>
    <rPh sb="5" eb="7">
      <t>ヤマサキ</t>
    </rPh>
    <rPh sb="7" eb="9">
      <t>ケンチク</t>
    </rPh>
    <rPh sb="9" eb="11">
      <t>セッケイ</t>
    </rPh>
    <rPh sb="11" eb="13">
      <t>ジム</t>
    </rPh>
    <rPh sb="13" eb="14">
      <t>ショ</t>
    </rPh>
    <phoneticPr fontId="4"/>
  </si>
  <si>
    <t>有限会社 山崎建築設計事務所</t>
    <phoneticPr fontId="4"/>
  </si>
  <si>
    <t>ユウゲンガイシャ ヤマサキケンチクセッケイジムショ</t>
    <phoneticPr fontId="4"/>
  </si>
  <si>
    <t>財団法人 日本建築総合試験所</t>
    <phoneticPr fontId="4"/>
  </si>
  <si>
    <t>ビューローベリタスジャパン 株式会社(名古屋)</t>
    <rPh sb="19" eb="22">
      <t>ナゴヤ</t>
    </rPh>
    <phoneticPr fontId="4"/>
  </si>
  <si>
    <t>島根県 出雲市役所</t>
    <phoneticPr fontId="4"/>
  </si>
  <si>
    <t>浪岡配送センター</t>
    <rPh sb="0" eb="2">
      <t>ナミオカ</t>
    </rPh>
    <rPh sb="2" eb="4">
      <t>ハイソウ</t>
    </rPh>
    <phoneticPr fontId="4"/>
  </si>
  <si>
    <t>青森市</t>
    <phoneticPr fontId="4"/>
  </si>
  <si>
    <t>大字浪岡</t>
    <rPh sb="0" eb="2">
      <t>オオアザ</t>
    </rPh>
    <rPh sb="2" eb="4">
      <t>ナミオカ</t>
    </rPh>
    <phoneticPr fontId="4"/>
  </si>
  <si>
    <t>2</t>
    <phoneticPr fontId="4"/>
  </si>
  <si>
    <t>-</t>
    <phoneticPr fontId="4"/>
  </si>
  <si>
    <t>株式会社 創設計</t>
    <phoneticPr fontId="4"/>
  </si>
  <si>
    <t>株式会社 三上構造設計事務所</t>
    <rPh sb="0" eb="2">
      <t>カブシキ</t>
    </rPh>
    <rPh sb="2" eb="4">
      <t>カイシャ</t>
    </rPh>
    <rPh sb="5" eb="7">
      <t>ミカミ</t>
    </rPh>
    <rPh sb="7" eb="9">
      <t>コウゾウ</t>
    </rPh>
    <rPh sb="9" eb="11">
      <t>セッケイ</t>
    </rPh>
    <rPh sb="11" eb="13">
      <t>ジム</t>
    </rPh>
    <rPh sb="13" eb="14">
      <t>ショ</t>
    </rPh>
    <phoneticPr fontId="4"/>
  </si>
  <si>
    <t>株式会社 三上構造設計事務所</t>
    <phoneticPr fontId="4"/>
  </si>
  <si>
    <t>カブシキガイシャ ミカミコウゾウセッケイジムショ</t>
    <phoneticPr fontId="4"/>
  </si>
  <si>
    <t>ドラッグセイムス吉川</t>
    <rPh sb="8" eb="10">
      <t>ヨシカワ</t>
    </rPh>
    <phoneticPr fontId="4"/>
  </si>
  <si>
    <t>吉川市</t>
    <rPh sb="0" eb="3">
      <t>ヨシカワシ</t>
    </rPh>
    <phoneticPr fontId="4"/>
  </si>
  <si>
    <t>吉川字下道下</t>
    <rPh sb="0" eb="2">
      <t>ヨシカワ</t>
    </rPh>
    <rPh sb="2" eb="3">
      <t>アザ</t>
    </rPh>
    <rPh sb="3" eb="4">
      <t>シタ</t>
    </rPh>
    <rPh sb="4" eb="5">
      <t>ミチ</t>
    </rPh>
    <rPh sb="5" eb="6">
      <t>シタ</t>
    </rPh>
    <phoneticPr fontId="4"/>
  </si>
  <si>
    <t>MV小野原</t>
    <rPh sb="2" eb="5">
      <t>オノハラ</t>
    </rPh>
    <phoneticPr fontId="4"/>
  </si>
  <si>
    <t>箕面市</t>
    <rPh sb="0" eb="1">
      <t>ミ</t>
    </rPh>
    <rPh sb="1" eb="2">
      <t>メン</t>
    </rPh>
    <rPh sb="2" eb="3">
      <t>シ</t>
    </rPh>
    <phoneticPr fontId="4"/>
  </si>
  <si>
    <t>小野原東</t>
    <rPh sb="0" eb="3">
      <t>オノハラ</t>
    </rPh>
    <rPh sb="3" eb="4">
      <t>ヒガシ</t>
    </rPh>
    <phoneticPr fontId="4"/>
  </si>
  <si>
    <t>ビューローベリタスジャパン 株式会社(広島)</t>
    <rPh sb="19" eb="21">
      <t>ヒロシマ</t>
    </rPh>
    <phoneticPr fontId="4"/>
  </si>
  <si>
    <t>山口県</t>
    <phoneticPr fontId="4"/>
  </si>
  <si>
    <t>宇部市</t>
    <rPh sb="0" eb="3">
      <t>ウベシ</t>
    </rPh>
    <phoneticPr fontId="4"/>
  </si>
  <si>
    <t>ヤマザワ荒井南</t>
    <rPh sb="4" eb="6">
      <t>アライ</t>
    </rPh>
    <rPh sb="6" eb="7">
      <t>ミナミ</t>
    </rPh>
    <phoneticPr fontId="4"/>
  </si>
  <si>
    <t>宮城県</t>
    <phoneticPr fontId="4"/>
  </si>
  <si>
    <t>仙台市</t>
    <rPh sb="0" eb="3">
      <t>センダイシ</t>
    </rPh>
    <phoneticPr fontId="4"/>
  </si>
  <si>
    <t>若林区荒井字遠藤西</t>
    <rPh sb="0" eb="2">
      <t>ワカバヤシ</t>
    </rPh>
    <rPh sb="2" eb="3">
      <t>ク</t>
    </rPh>
    <rPh sb="3" eb="5">
      <t>アライ</t>
    </rPh>
    <rPh sb="5" eb="6">
      <t>アザ</t>
    </rPh>
    <rPh sb="6" eb="8">
      <t>エンドウ</t>
    </rPh>
    <rPh sb="8" eb="9">
      <t>ニシ</t>
    </rPh>
    <phoneticPr fontId="4"/>
  </si>
  <si>
    <t>財団法人 ふくしま建築住宅センター</t>
    <phoneticPr fontId="4"/>
  </si>
  <si>
    <t>財団法人 大阪建築防災センター</t>
    <phoneticPr fontId="4"/>
  </si>
  <si>
    <t>株式会社 国際確認検査センター</t>
    <phoneticPr fontId="4"/>
  </si>
  <si>
    <t>関西トランスウェイ 岸和田物流センター</t>
    <rPh sb="0" eb="2">
      <t>カンサイ</t>
    </rPh>
    <rPh sb="10" eb="13">
      <t>キシワダ</t>
    </rPh>
    <rPh sb="13" eb="15">
      <t>ブツリュウ</t>
    </rPh>
    <phoneticPr fontId="4"/>
  </si>
  <si>
    <t>大阪府</t>
    <phoneticPr fontId="4"/>
  </si>
  <si>
    <t>岸和田市</t>
    <rPh sb="0" eb="4">
      <t>キシワダシ</t>
    </rPh>
    <phoneticPr fontId="4"/>
  </si>
  <si>
    <t>中部薬品越前</t>
    <rPh sb="0" eb="2">
      <t>チュウブ</t>
    </rPh>
    <rPh sb="2" eb="4">
      <t>ヤクヒン</t>
    </rPh>
    <rPh sb="4" eb="6">
      <t>エチゼン</t>
    </rPh>
    <phoneticPr fontId="4"/>
  </si>
  <si>
    <t>光洋 駒川中野</t>
    <rPh sb="0" eb="1">
      <t>ヒカリ</t>
    </rPh>
    <rPh sb="1" eb="2">
      <t>ヨウ</t>
    </rPh>
    <rPh sb="3" eb="5">
      <t>コマガワ</t>
    </rPh>
    <rPh sb="5" eb="6">
      <t>ナカ</t>
    </rPh>
    <rPh sb="6" eb="7">
      <t>ノ</t>
    </rPh>
    <phoneticPr fontId="4"/>
  </si>
  <si>
    <t>ツルハドラッグ直川</t>
    <rPh sb="7" eb="9">
      <t>ナオカワ</t>
    </rPh>
    <phoneticPr fontId="4"/>
  </si>
  <si>
    <t>タイヤランド小名浜</t>
    <rPh sb="6" eb="8">
      <t>オナ</t>
    </rPh>
    <rPh sb="8" eb="9">
      <t>ハマ</t>
    </rPh>
    <phoneticPr fontId="4"/>
  </si>
  <si>
    <t>株式会社 建築住宅センター</t>
    <rPh sb="5" eb="7">
      <t>ケンチク</t>
    </rPh>
    <rPh sb="7" eb="9">
      <t>ジュウタク</t>
    </rPh>
    <phoneticPr fontId="4"/>
  </si>
  <si>
    <t>株式会社 建築住宅センター</t>
    <phoneticPr fontId="4"/>
  </si>
  <si>
    <t>新山建築設計事務所</t>
    <rPh sb="0" eb="2">
      <t>ニイヤマ</t>
    </rPh>
    <rPh sb="2" eb="4">
      <t>ケンチク</t>
    </rPh>
    <rPh sb="4" eb="6">
      <t>セッケイ</t>
    </rPh>
    <rPh sb="6" eb="8">
      <t>ジム</t>
    </rPh>
    <rPh sb="8" eb="9">
      <t>ショ</t>
    </rPh>
    <phoneticPr fontId="4"/>
  </si>
  <si>
    <t>新山建築設計事務所</t>
    <phoneticPr fontId="4"/>
  </si>
  <si>
    <t>ニイヤマケンチクセッケイジムショ</t>
    <phoneticPr fontId="4"/>
  </si>
  <si>
    <t>福井県</t>
    <phoneticPr fontId="4"/>
  </si>
  <si>
    <t>丹生郡</t>
    <rPh sb="0" eb="2">
      <t>ニュウ</t>
    </rPh>
    <rPh sb="2" eb="3">
      <t>グン</t>
    </rPh>
    <phoneticPr fontId="4"/>
  </si>
  <si>
    <t>越前町</t>
    <rPh sb="0" eb="2">
      <t>エチゼン</t>
    </rPh>
    <rPh sb="2" eb="3">
      <t>マチ</t>
    </rPh>
    <phoneticPr fontId="4"/>
  </si>
  <si>
    <t>-</t>
    <phoneticPr fontId="4"/>
  </si>
  <si>
    <t>スパン 20.0m</t>
    <phoneticPr fontId="4"/>
  </si>
  <si>
    <t>○</t>
    <phoneticPr fontId="4"/>
  </si>
  <si>
    <t>株式会社 三友設備設計事務所</t>
    <rPh sb="0" eb="2">
      <t>カブシキ</t>
    </rPh>
    <rPh sb="2" eb="4">
      <t>カイシャ</t>
    </rPh>
    <rPh sb="5" eb="6">
      <t>サン</t>
    </rPh>
    <rPh sb="6" eb="7">
      <t>ユウ</t>
    </rPh>
    <rPh sb="7" eb="9">
      <t>セツビ</t>
    </rPh>
    <rPh sb="9" eb="11">
      <t>セッケイ</t>
    </rPh>
    <rPh sb="11" eb="13">
      <t>ジム</t>
    </rPh>
    <rPh sb="13" eb="14">
      <t>ショ</t>
    </rPh>
    <phoneticPr fontId="4"/>
  </si>
  <si>
    <t>関田構造設計事務所</t>
    <rPh sb="0" eb="2">
      <t>セキタ</t>
    </rPh>
    <rPh sb="2" eb="4">
      <t>コウゾウ</t>
    </rPh>
    <rPh sb="4" eb="6">
      <t>セッケイ</t>
    </rPh>
    <rPh sb="6" eb="8">
      <t>ジム</t>
    </rPh>
    <rPh sb="8" eb="9">
      <t>ショ</t>
    </rPh>
    <phoneticPr fontId="4"/>
  </si>
  <si>
    <t>株式会社 三友設備設計事務所</t>
    <phoneticPr fontId="4"/>
  </si>
  <si>
    <t>カブシキガイシャ サンユウセツビセッケイジムショ</t>
    <phoneticPr fontId="4"/>
  </si>
  <si>
    <t>関田構造設計事務所</t>
    <phoneticPr fontId="4"/>
  </si>
  <si>
    <t>セキタコウゾウセッケイジムショ</t>
    <phoneticPr fontId="4"/>
  </si>
  <si>
    <t>河原木保育園</t>
    <rPh sb="0" eb="2">
      <t>カワハラ</t>
    </rPh>
    <rPh sb="2" eb="3">
      <t>キ</t>
    </rPh>
    <rPh sb="3" eb="6">
      <t>ホイクエン</t>
    </rPh>
    <phoneticPr fontId="4"/>
  </si>
  <si>
    <t>大分県大分市宮崎店舗</t>
    <rPh sb="0" eb="2">
      <t>オオイタ</t>
    </rPh>
    <rPh sb="2" eb="3">
      <t>ケン</t>
    </rPh>
    <rPh sb="3" eb="6">
      <t>オオイタシ</t>
    </rPh>
    <rPh sb="6" eb="8">
      <t>ミヤザキ</t>
    </rPh>
    <rPh sb="8" eb="10">
      <t>テンポ</t>
    </rPh>
    <phoneticPr fontId="4"/>
  </si>
  <si>
    <t>SIN建築設計</t>
    <rPh sb="3" eb="5">
      <t>ケンチク</t>
    </rPh>
    <rPh sb="5" eb="7">
      <t>セッケイ</t>
    </rPh>
    <phoneticPr fontId="4"/>
  </si>
  <si>
    <t>SIN建築設計</t>
    <phoneticPr fontId="4"/>
  </si>
  <si>
    <t>SINケンチクセッケイ</t>
    <phoneticPr fontId="4"/>
  </si>
  <si>
    <t>テイク・ワン建築構造設計室</t>
    <phoneticPr fontId="4"/>
  </si>
  <si>
    <t>テイク・ワン建築構造設計室</t>
    <phoneticPr fontId="4"/>
  </si>
  <si>
    <t>テイク・ワンケンチクコウゾウセッケイシツ</t>
    <phoneticPr fontId="4"/>
  </si>
  <si>
    <t>エーユーエム構造設計 株式会社</t>
    <rPh sb="11" eb="13">
      <t>カブシキ</t>
    </rPh>
    <rPh sb="13" eb="15">
      <t>カイシャ</t>
    </rPh>
    <phoneticPr fontId="4"/>
  </si>
  <si>
    <t>エーユーエム構造設計 株式会社</t>
    <phoneticPr fontId="4"/>
  </si>
  <si>
    <t>エーユーエムコウゾウセッケイ カブシキガイシャ</t>
    <phoneticPr fontId="4"/>
  </si>
  <si>
    <t>全農福島一級建築士事務所</t>
    <phoneticPr fontId="4"/>
  </si>
  <si>
    <t>全農福島一級建築士事務所</t>
    <phoneticPr fontId="4"/>
  </si>
  <si>
    <t>ゼンノウフクシマイッキュウケンチクシジムショ</t>
    <phoneticPr fontId="4"/>
  </si>
  <si>
    <t>株式会社 地区計画コンサルタンツ</t>
    <rPh sb="0" eb="2">
      <t>カブシキ</t>
    </rPh>
    <rPh sb="2" eb="4">
      <t>カイシャ</t>
    </rPh>
    <rPh sb="5" eb="7">
      <t>チク</t>
    </rPh>
    <rPh sb="7" eb="9">
      <t>ケイカク</t>
    </rPh>
    <phoneticPr fontId="4"/>
  </si>
  <si>
    <t>株式会社 地区計画コンサルタンツ</t>
    <phoneticPr fontId="4"/>
  </si>
  <si>
    <t>カブシキガイシャ チクケイカクコンサルタンツ</t>
    <phoneticPr fontId="4"/>
  </si>
  <si>
    <t>株式会社 ヨシオカ設計</t>
    <rPh sb="0" eb="2">
      <t>カブシキ</t>
    </rPh>
    <rPh sb="2" eb="4">
      <t>ガイシャ</t>
    </rPh>
    <rPh sb="9" eb="11">
      <t>セッケイ</t>
    </rPh>
    <phoneticPr fontId="4"/>
  </si>
  <si>
    <t>株式会社 ヨシオカ設計</t>
    <phoneticPr fontId="4"/>
  </si>
  <si>
    <t>カブシキガイシャ ヨシオカセッケイ</t>
    <phoneticPr fontId="4"/>
  </si>
  <si>
    <t>株式会社 コイズミ</t>
    <rPh sb="0" eb="2">
      <t>カブシキ</t>
    </rPh>
    <rPh sb="2" eb="4">
      <t>ガイシャ</t>
    </rPh>
    <phoneticPr fontId="4"/>
  </si>
  <si>
    <t>株式会社 コイズミ</t>
    <phoneticPr fontId="4"/>
  </si>
  <si>
    <t>カブシキガイシャ コイズミ</t>
    <phoneticPr fontId="4"/>
  </si>
  <si>
    <t>日野久建築設計事務所</t>
    <phoneticPr fontId="4"/>
  </si>
  <si>
    <t>日野久建築設計事務所</t>
    <phoneticPr fontId="4"/>
  </si>
  <si>
    <t>ヒノヒサシケンチクセッケイジムショ</t>
    <phoneticPr fontId="4"/>
  </si>
  <si>
    <t>大和リース 株式会社</t>
    <phoneticPr fontId="4"/>
  </si>
  <si>
    <t>森田設計工務</t>
    <phoneticPr fontId="4"/>
  </si>
  <si>
    <t>有限会社 森田建築設計</t>
    <rPh sb="0" eb="2">
      <t>ユウゲン</t>
    </rPh>
    <rPh sb="2" eb="4">
      <t>カイシャ</t>
    </rPh>
    <phoneticPr fontId="4"/>
  </si>
  <si>
    <t>有限会社 森田建築設計</t>
    <phoneticPr fontId="4"/>
  </si>
  <si>
    <t>ユウゲンガイシャ モリタケンチクセッケイ</t>
    <phoneticPr fontId="4"/>
  </si>
  <si>
    <t>岸の浦</t>
    <rPh sb="0" eb="1">
      <t>キシ</t>
    </rPh>
    <rPh sb="2" eb="3">
      <t>ウラ</t>
    </rPh>
    <phoneticPr fontId="4"/>
  </si>
  <si>
    <t>株式会社 建築住宅センター</t>
    <phoneticPr fontId="4"/>
  </si>
  <si>
    <t>青森県 青森市役所</t>
    <phoneticPr fontId="4"/>
  </si>
  <si>
    <t>財団法人 さいたま住宅検査センター</t>
    <phoneticPr fontId="4"/>
  </si>
  <si>
    <t>財団法人 日本建築総合試験所</t>
    <phoneticPr fontId="4"/>
  </si>
  <si>
    <t>株式会社 確認検査機構トラスト</t>
    <rPh sb="0" eb="2">
      <t>カブシキ</t>
    </rPh>
    <rPh sb="2" eb="4">
      <t>カイシャ</t>
    </rPh>
    <rPh sb="5" eb="7">
      <t>カクニン</t>
    </rPh>
    <rPh sb="7" eb="9">
      <t>ケンサ</t>
    </rPh>
    <rPh sb="9" eb="11">
      <t>キコウ</t>
    </rPh>
    <phoneticPr fontId="4"/>
  </si>
  <si>
    <t>株式会社 確認検査機構トラスト</t>
    <phoneticPr fontId="4"/>
  </si>
  <si>
    <t>財団法人 日本建築総合試験所</t>
    <phoneticPr fontId="4"/>
  </si>
  <si>
    <t>青森県 青森市役所</t>
    <phoneticPr fontId="4"/>
  </si>
  <si>
    <t>日本ERI 株式会社(北九州)</t>
    <rPh sb="11" eb="12">
      <t>キタ</t>
    </rPh>
    <rPh sb="12" eb="14">
      <t>キュウシュウ</t>
    </rPh>
    <phoneticPr fontId="4"/>
  </si>
  <si>
    <t>株式会社 ダイス設計</t>
    <rPh sb="0" eb="2">
      <t>カブシキ</t>
    </rPh>
    <rPh sb="2" eb="4">
      <t>カイシャ</t>
    </rPh>
    <rPh sb="8" eb="10">
      <t>セッケイ</t>
    </rPh>
    <phoneticPr fontId="4"/>
  </si>
  <si>
    <t>カブシキガイシャ ダイスセッケイ</t>
    <phoneticPr fontId="4"/>
  </si>
  <si>
    <t>株式会社 ダイス設計</t>
    <phoneticPr fontId="4"/>
  </si>
  <si>
    <t>有限会社 スパン設計</t>
    <rPh sb="0" eb="2">
      <t>ユウゲン</t>
    </rPh>
    <rPh sb="2" eb="4">
      <t>カイシャ</t>
    </rPh>
    <rPh sb="8" eb="10">
      <t>セッケイ</t>
    </rPh>
    <phoneticPr fontId="4"/>
  </si>
  <si>
    <t>有限会社 スパン設計</t>
    <phoneticPr fontId="4"/>
  </si>
  <si>
    <t>ユウゲンガイシャ スパンセッケイ</t>
    <phoneticPr fontId="4"/>
  </si>
  <si>
    <t>-</t>
    <phoneticPr fontId="4"/>
  </si>
  <si>
    <t>利岡邸</t>
    <rPh sb="0" eb="2">
      <t>トシオカ</t>
    </rPh>
    <rPh sb="2" eb="3">
      <t>テイ</t>
    </rPh>
    <phoneticPr fontId="4"/>
  </si>
  <si>
    <t>福井指針 常時積雪1.0Sを考慮</t>
    <rPh sb="0" eb="2">
      <t>フクイ</t>
    </rPh>
    <rPh sb="2" eb="4">
      <t>シシン</t>
    </rPh>
    <rPh sb="5" eb="7">
      <t>ジョウジ</t>
    </rPh>
    <rPh sb="7" eb="9">
      <t>セキセツ</t>
    </rPh>
    <rPh sb="14" eb="16">
      <t>コウリョ</t>
    </rPh>
    <phoneticPr fontId="4"/>
  </si>
  <si>
    <t>長野市</t>
    <rPh sb="0" eb="3">
      <t>ナガノシ</t>
    </rPh>
    <phoneticPr fontId="4"/>
  </si>
  <si>
    <t>北長池</t>
    <rPh sb="0" eb="1">
      <t>キタ</t>
    </rPh>
    <rPh sb="1" eb="3">
      <t>ナガイケ</t>
    </rPh>
    <phoneticPr fontId="4"/>
  </si>
  <si>
    <t>いわき市</t>
    <phoneticPr fontId="4"/>
  </si>
  <si>
    <t>泉町下川字八合</t>
    <rPh sb="0" eb="1">
      <t>イズミ</t>
    </rPh>
    <rPh sb="1" eb="2">
      <t>マチ</t>
    </rPh>
    <rPh sb="2" eb="3">
      <t>シタ</t>
    </rPh>
    <rPh sb="3" eb="4">
      <t>カワ</t>
    </rPh>
    <rPh sb="4" eb="5">
      <t>アザ</t>
    </rPh>
    <rPh sb="5" eb="6">
      <t>ハチ</t>
    </rPh>
    <rPh sb="6" eb="7">
      <t>アイ</t>
    </rPh>
    <phoneticPr fontId="4"/>
  </si>
  <si>
    <t>-</t>
    <phoneticPr fontId="4"/>
  </si>
  <si>
    <t>イーハウス建築センター 株式会社</t>
    <rPh sb="5" eb="7">
      <t>ケンチク</t>
    </rPh>
    <rPh sb="12" eb="14">
      <t>カブシキ</t>
    </rPh>
    <rPh sb="14" eb="16">
      <t>カイシャ</t>
    </rPh>
    <phoneticPr fontId="4"/>
  </si>
  <si>
    <t>日本建設 株式会社</t>
    <phoneticPr fontId="4"/>
  </si>
  <si>
    <t>島根県 出雲市役所</t>
    <phoneticPr fontId="4"/>
  </si>
  <si>
    <t>カインズ静岡清水</t>
    <rPh sb="4" eb="6">
      <t>シズオカ</t>
    </rPh>
    <rPh sb="6" eb="8">
      <t>シミズ</t>
    </rPh>
    <phoneticPr fontId="4"/>
  </si>
  <si>
    <t>静岡県</t>
    <phoneticPr fontId="4"/>
  </si>
  <si>
    <t>静岡市</t>
    <phoneticPr fontId="4"/>
  </si>
  <si>
    <t>清水区長崎</t>
    <rPh sb="0" eb="2">
      <t>シミズ</t>
    </rPh>
    <rPh sb="2" eb="3">
      <t>ク</t>
    </rPh>
    <rPh sb="3" eb="5">
      <t>ナガサキ</t>
    </rPh>
    <phoneticPr fontId="4"/>
  </si>
  <si>
    <t>大分県</t>
    <phoneticPr fontId="4"/>
  </si>
  <si>
    <t>大進創寫館</t>
    <rPh sb="0" eb="2">
      <t>ヒロシン</t>
    </rPh>
    <rPh sb="2" eb="3">
      <t>ソウ</t>
    </rPh>
    <rPh sb="3" eb="4">
      <t>シャ</t>
    </rPh>
    <rPh sb="4" eb="5">
      <t>カン</t>
    </rPh>
    <phoneticPr fontId="4"/>
  </si>
  <si>
    <t>福山市</t>
    <phoneticPr fontId="4"/>
  </si>
  <si>
    <t>西町</t>
    <rPh sb="0" eb="1">
      <t>ニシ</t>
    </rPh>
    <rPh sb="1" eb="2">
      <t>マチ</t>
    </rPh>
    <phoneticPr fontId="4"/>
  </si>
  <si>
    <t>ヨークベニマル塩釜北浜</t>
    <rPh sb="7" eb="9">
      <t>シオガマ</t>
    </rPh>
    <rPh sb="9" eb="10">
      <t>キタ</t>
    </rPh>
    <rPh sb="10" eb="11">
      <t>ハマ</t>
    </rPh>
    <phoneticPr fontId="4"/>
  </si>
  <si>
    <t>宮城県</t>
    <phoneticPr fontId="4"/>
  </si>
  <si>
    <t>塩竃市</t>
    <phoneticPr fontId="4"/>
  </si>
  <si>
    <t>北浜</t>
    <phoneticPr fontId="4"/>
  </si>
  <si>
    <t>竹原火力</t>
    <rPh sb="0" eb="2">
      <t>タケハラ</t>
    </rPh>
    <rPh sb="2" eb="4">
      <t>カリョク</t>
    </rPh>
    <phoneticPr fontId="4"/>
  </si>
  <si>
    <t>MAS アーキテクト</t>
    <phoneticPr fontId="4"/>
  </si>
  <si>
    <t>MASアーキテクト</t>
    <phoneticPr fontId="4"/>
  </si>
  <si>
    <t>イーハウス建築センター 株式会社</t>
    <phoneticPr fontId="4"/>
  </si>
  <si>
    <t>玉川設計</t>
    <rPh sb="0" eb="2">
      <t>タマカワ</t>
    </rPh>
    <rPh sb="2" eb="4">
      <t>セッケイ</t>
    </rPh>
    <phoneticPr fontId="4"/>
  </si>
  <si>
    <t>玉川設計</t>
    <phoneticPr fontId="4"/>
  </si>
  <si>
    <t>タマカワセッケイ</t>
    <phoneticPr fontId="4"/>
  </si>
  <si>
    <t>株式会社 山形県建築サポートセンター</t>
    <phoneticPr fontId="4"/>
  </si>
  <si>
    <t>高知県</t>
    <phoneticPr fontId="4"/>
  </si>
  <si>
    <t>升形字西横町東側</t>
    <rPh sb="0" eb="1">
      <t>マス</t>
    </rPh>
    <rPh sb="1" eb="2">
      <t>カタ</t>
    </rPh>
    <rPh sb="2" eb="3">
      <t>アザ</t>
    </rPh>
    <rPh sb="3" eb="4">
      <t>ニシ</t>
    </rPh>
    <rPh sb="4" eb="5">
      <t>ヨコ</t>
    </rPh>
    <rPh sb="5" eb="6">
      <t>マチ</t>
    </rPh>
    <rPh sb="6" eb="7">
      <t>ヒガシ</t>
    </rPh>
    <rPh sb="7" eb="8">
      <t>ガワ</t>
    </rPh>
    <phoneticPr fontId="4"/>
  </si>
  <si>
    <t>3</t>
    <phoneticPr fontId="4"/>
  </si>
  <si>
    <t>大分市</t>
    <phoneticPr fontId="4"/>
  </si>
  <si>
    <t>宮崎</t>
    <rPh sb="0" eb="2">
      <t>ミヤザキ</t>
    </rPh>
    <phoneticPr fontId="4"/>
  </si>
  <si>
    <t>小松市</t>
    <rPh sb="0" eb="3">
      <t>コマツシ</t>
    </rPh>
    <phoneticPr fontId="4"/>
  </si>
  <si>
    <t>沖町</t>
    <rPh sb="0" eb="1">
      <t>オキ</t>
    </rPh>
    <rPh sb="1" eb="2">
      <t>マチ</t>
    </rPh>
    <phoneticPr fontId="4"/>
  </si>
  <si>
    <t>八戸市</t>
    <phoneticPr fontId="4"/>
  </si>
  <si>
    <t>下長</t>
    <rPh sb="0" eb="1">
      <t>シタ</t>
    </rPh>
    <rPh sb="1" eb="2">
      <t>ナガ</t>
    </rPh>
    <phoneticPr fontId="4"/>
  </si>
  <si>
    <t>大阪府</t>
    <phoneticPr fontId="4"/>
  </si>
  <si>
    <t>大阪市</t>
    <phoneticPr fontId="4"/>
  </si>
  <si>
    <t>東住吉区中野</t>
    <rPh sb="0" eb="1">
      <t>ヒガシ</t>
    </rPh>
    <rPh sb="1" eb="3">
      <t>スミヨシ</t>
    </rPh>
    <rPh sb="3" eb="4">
      <t>ク</t>
    </rPh>
    <rPh sb="4" eb="5">
      <t>ナカ</t>
    </rPh>
    <rPh sb="5" eb="6">
      <t>ノ</t>
    </rPh>
    <phoneticPr fontId="4"/>
  </si>
  <si>
    <t>忠海</t>
    <rPh sb="0" eb="2">
      <t>タダノウミ</t>
    </rPh>
    <phoneticPr fontId="4"/>
  </si>
  <si>
    <t>女川中央</t>
    <rPh sb="0" eb="2">
      <t>オナガワ</t>
    </rPh>
    <rPh sb="2" eb="4">
      <t>チュウオウ</t>
    </rPh>
    <phoneticPr fontId="4"/>
  </si>
  <si>
    <t>宮城県</t>
    <phoneticPr fontId="4"/>
  </si>
  <si>
    <t>S.D.E 一級建築士事務所</t>
    <rPh sb="6" eb="8">
      <t>イッキュウ</t>
    </rPh>
    <rPh sb="8" eb="11">
      <t>ケンチクシ</t>
    </rPh>
    <rPh sb="11" eb="13">
      <t>ジム</t>
    </rPh>
    <rPh sb="13" eb="14">
      <t>ショ</t>
    </rPh>
    <phoneticPr fontId="4"/>
  </si>
  <si>
    <t>SDEイッキュウケンチクシジムショ</t>
    <phoneticPr fontId="4"/>
  </si>
  <si>
    <t>株式会社 バク建築設計事務所</t>
    <rPh sb="0" eb="2">
      <t>カブシキ</t>
    </rPh>
    <rPh sb="2" eb="4">
      <t>カイシャ</t>
    </rPh>
    <rPh sb="7" eb="9">
      <t>ケンチク</t>
    </rPh>
    <rPh sb="9" eb="11">
      <t>セッケイ</t>
    </rPh>
    <rPh sb="11" eb="13">
      <t>ジム</t>
    </rPh>
    <rPh sb="13" eb="14">
      <t>ショ</t>
    </rPh>
    <phoneticPr fontId="4"/>
  </si>
  <si>
    <t>株式会社 バク建築設計事務所</t>
    <phoneticPr fontId="4"/>
  </si>
  <si>
    <t>カブシキガイシャ バクケンチクセッケイジムショ</t>
    <phoneticPr fontId="4"/>
  </si>
  <si>
    <t>日本建築検査協会 株式会社</t>
    <phoneticPr fontId="4"/>
  </si>
  <si>
    <t>石井製作所</t>
    <rPh sb="0" eb="2">
      <t>イシイ</t>
    </rPh>
    <rPh sb="2" eb="5">
      <t>セイサクショ</t>
    </rPh>
    <phoneticPr fontId="4"/>
  </si>
  <si>
    <t>せんだん会ｻｰﾋﾞｽ付住宅</t>
    <rPh sb="4" eb="5">
      <t>カイ</t>
    </rPh>
    <rPh sb="10" eb="11">
      <t>ツ</t>
    </rPh>
    <rPh sb="11" eb="13">
      <t>ジュウタク</t>
    </rPh>
    <phoneticPr fontId="4"/>
  </si>
  <si>
    <t>安来市</t>
    <rPh sb="0" eb="3">
      <t>ヤスギシ</t>
    </rPh>
    <phoneticPr fontId="4"/>
  </si>
  <si>
    <t>安来町</t>
    <rPh sb="0" eb="2">
      <t>ヤスギ</t>
    </rPh>
    <rPh sb="2" eb="3">
      <t>マチ</t>
    </rPh>
    <phoneticPr fontId="4"/>
  </si>
  <si>
    <t>スパン19m</t>
    <phoneticPr fontId="4"/>
  </si>
  <si>
    <t>ビューローベリタスジャパン 株式会社(埼玉)</t>
    <rPh sb="19" eb="21">
      <t>サイタマ</t>
    </rPh>
    <phoneticPr fontId="4"/>
  </si>
  <si>
    <t>青森県 五所川原市役所</t>
    <rPh sb="0" eb="3">
      <t>アオモリケン</t>
    </rPh>
    <rPh sb="4" eb="8">
      <t>ゴショガワラ</t>
    </rPh>
    <rPh sb="8" eb="11">
      <t>シヤクショ</t>
    </rPh>
    <phoneticPr fontId="4"/>
  </si>
  <si>
    <t>青森県 五所川原市役所</t>
    <phoneticPr fontId="4"/>
  </si>
  <si>
    <t>牡鹿郡</t>
    <rPh sb="0" eb="1">
      <t>オス</t>
    </rPh>
    <rPh sb="1" eb="2">
      <t>シカ</t>
    </rPh>
    <rPh sb="2" eb="3">
      <t>グン</t>
    </rPh>
    <phoneticPr fontId="4"/>
  </si>
  <si>
    <t>女川町</t>
    <rPh sb="0" eb="2">
      <t>オナガワ</t>
    </rPh>
    <rPh sb="2" eb="3">
      <t>マチ</t>
    </rPh>
    <phoneticPr fontId="4"/>
  </si>
  <si>
    <t>薬王堂由利本荘大内</t>
    <rPh sb="0" eb="1">
      <t>ヤク</t>
    </rPh>
    <rPh sb="1" eb="2">
      <t>オウ</t>
    </rPh>
    <rPh sb="2" eb="3">
      <t>ドウ</t>
    </rPh>
    <rPh sb="3" eb="5">
      <t>ユリ</t>
    </rPh>
    <rPh sb="5" eb="6">
      <t>ホン</t>
    </rPh>
    <rPh sb="6" eb="7">
      <t>ソウ</t>
    </rPh>
    <rPh sb="7" eb="9">
      <t>オオウチ</t>
    </rPh>
    <phoneticPr fontId="4"/>
  </si>
  <si>
    <t>由利本荘</t>
    <rPh sb="0" eb="2">
      <t>ユリ</t>
    </rPh>
    <rPh sb="2" eb="3">
      <t>ホン</t>
    </rPh>
    <rPh sb="3" eb="4">
      <t>ソウ</t>
    </rPh>
    <phoneticPr fontId="4"/>
  </si>
  <si>
    <t>2</t>
    <phoneticPr fontId="4"/>
  </si>
  <si>
    <t>三浦建築設計事務所</t>
    <phoneticPr fontId="4"/>
  </si>
  <si>
    <t>三浦建築設計事務所</t>
    <phoneticPr fontId="4"/>
  </si>
  <si>
    <t>ミウラケンチクセッケイジムショ</t>
    <phoneticPr fontId="4"/>
  </si>
  <si>
    <t>財団法人 ふくしま建築住宅センター</t>
    <phoneticPr fontId="4"/>
  </si>
  <si>
    <t>株式会社 キュウアンドキュウ設計</t>
    <rPh sb="0" eb="2">
      <t>カブシキ</t>
    </rPh>
    <rPh sb="2" eb="4">
      <t>カイシャ</t>
    </rPh>
    <rPh sb="14" eb="16">
      <t>セッケイ</t>
    </rPh>
    <phoneticPr fontId="4"/>
  </si>
  <si>
    <t>カブシキガイシャ キュウアンドキュウセッケイ</t>
    <phoneticPr fontId="4"/>
  </si>
  <si>
    <t>株式会社 伊藤建築設計事務所</t>
    <phoneticPr fontId="4"/>
  </si>
  <si>
    <t>西四国マツダ中村</t>
    <rPh sb="0" eb="1">
      <t>ニシ</t>
    </rPh>
    <rPh sb="1" eb="3">
      <t>シコク</t>
    </rPh>
    <rPh sb="6" eb="8">
      <t>ナカムラ</t>
    </rPh>
    <phoneticPr fontId="4"/>
  </si>
  <si>
    <t>四万十市</t>
    <rPh sb="0" eb="3">
      <t>シマント</t>
    </rPh>
    <rPh sb="3" eb="4">
      <t>シ</t>
    </rPh>
    <phoneticPr fontId="4"/>
  </si>
  <si>
    <t>具同</t>
    <rPh sb="0" eb="1">
      <t>グ</t>
    </rPh>
    <rPh sb="1" eb="2">
      <t>オナ</t>
    </rPh>
    <phoneticPr fontId="4"/>
  </si>
  <si>
    <t>ビューローベリタスジャパン株式会社(仙台)</t>
    <rPh sb="18" eb="20">
      <t>センダイ</t>
    </rPh>
    <phoneticPr fontId="4"/>
  </si>
  <si>
    <t>株式会社 山形県建築サポートセンター</t>
    <phoneticPr fontId="4"/>
  </si>
  <si>
    <t>財団法人 兵庫県住宅建築総合センター</t>
    <phoneticPr fontId="4"/>
  </si>
  <si>
    <t>広野米倉庫</t>
    <rPh sb="0" eb="2">
      <t>ヒロノ</t>
    </rPh>
    <rPh sb="2" eb="3">
      <t>コメ</t>
    </rPh>
    <rPh sb="3" eb="5">
      <t>ソウコ</t>
    </rPh>
    <phoneticPr fontId="4"/>
  </si>
  <si>
    <t>ビューローベリタスジャパン 株式会社(横浜)</t>
    <rPh sb="19" eb="21">
      <t>ヨコハマ</t>
    </rPh>
    <phoneticPr fontId="4"/>
  </si>
  <si>
    <t>牡蠣の星</t>
    <rPh sb="0" eb="2">
      <t>カキ</t>
    </rPh>
    <rPh sb="3" eb="4">
      <t>ホシ</t>
    </rPh>
    <phoneticPr fontId="4"/>
  </si>
  <si>
    <t>出雲ｹｰﾌﾞﾙﾋﾞｼﾞｮﾝ</t>
    <rPh sb="0" eb="2">
      <t>イズモ</t>
    </rPh>
    <phoneticPr fontId="4"/>
  </si>
  <si>
    <t>バロー寝屋川</t>
    <rPh sb="3" eb="6">
      <t>ネヤガワ</t>
    </rPh>
    <phoneticPr fontId="4"/>
  </si>
  <si>
    <t>油脂タンク</t>
    <rPh sb="0" eb="2">
      <t>ユシ</t>
    </rPh>
    <phoneticPr fontId="4"/>
  </si>
  <si>
    <t>みたけ老人福祉センター</t>
    <rPh sb="3" eb="5">
      <t>ロウジン</t>
    </rPh>
    <rPh sb="5" eb="7">
      <t>フクシ</t>
    </rPh>
    <phoneticPr fontId="4"/>
  </si>
  <si>
    <t>株式会社 久慈設計</t>
    <rPh sb="0" eb="2">
      <t>カブシキ</t>
    </rPh>
    <rPh sb="2" eb="4">
      <t>カイシャ</t>
    </rPh>
    <rPh sb="5" eb="7">
      <t>クジ</t>
    </rPh>
    <rPh sb="7" eb="9">
      <t>セッケイ</t>
    </rPh>
    <phoneticPr fontId="4"/>
  </si>
  <si>
    <t>株式会社 久慈設計</t>
    <phoneticPr fontId="4"/>
  </si>
  <si>
    <t>カブシキガイシャ クジセッケイ</t>
    <phoneticPr fontId="4"/>
  </si>
  <si>
    <t>赤野の家</t>
    <rPh sb="0" eb="2">
      <t>アカノ</t>
    </rPh>
    <rPh sb="3" eb="4">
      <t>イエ</t>
    </rPh>
    <phoneticPr fontId="4"/>
  </si>
  <si>
    <t>福島県中建設事務所</t>
    <rPh sb="0" eb="3">
      <t>フクシマケン</t>
    </rPh>
    <rPh sb="3" eb="4">
      <t>ナカ</t>
    </rPh>
    <rPh sb="4" eb="6">
      <t>ケンセツ</t>
    </rPh>
    <rPh sb="6" eb="8">
      <t>ジム</t>
    </rPh>
    <rPh sb="8" eb="9">
      <t>ショ</t>
    </rPh>
    <phoneticPr fontId="4"/>
  </si>
  <si>
    <t>郡山市</t>
    <rPh sb="0" eb="3">
      <t>コオリヤマシ</t>
    </rPh>
    <phoneticPr fontId="4"/>
  </si>
  <si>
    <t>盛岡市</t>
    <rPh sb="0" eb="3">
      <t>モリオカシ</t>
    </rPh>
    <phoneticPr fontId="4"/>
  </si>
  <si>
    <t>大阪府</t>
    <phoneticPr fontId="4"/>
  </si>
  <si>
    <t>寝屋川市</t>
    <rPh sb="0" eb="3">
      <t>ネヤガワ</t>
    </rPh>
    <rPh sb="3" eb="4">
      <t>シ</t>
    </rPh>
    <phoneticPr fontId="4"/>
  </si>
  <si>
    <t>兵庫県</t>
    <phoneticPr fontId="4"/>
  </si>
  <si>
    <t>直方保線所 社屋</t>
    <rPh sb="0" eb="2">
      <t>ノウガタ</t>
    </rPh>
    <rPh sb="2" eb="4">
      <t>ホセン</t>
    </rPh>
    <rPh sb="4" eb="5">
      <t>ショ</t>
    </rPh>
    <rPh sb="6" eb="8">
      <t>シャオク</t>
    </rPh>
    <phoneticPr fontId="4"/>
  </si>
  <si>
    <t>長浜事業所</t>
    <rPh sb="0" eb="2">
      <t>ナガハマ</t>
    </rPh>
    <rPh sb="2" eb="4">
      <t>ジギョウ</t>
    </rPh>
    <rPh sb="4" eb="5">
      <t>ショ</t>
    </rPh>
    <phoneticPr fontId="4"/>
  </si>
  <si>
    <t>高知県</t>
    <phoneticPr fontId="4"/>
  </si>
  <si>
    <t>高知市</t>
    <phoneticPr fontId="4"/>
  </si>
  <si>
    <t>ビューローベリタスジャパン 株式会社(東京)</t>
    <rPh sb="19" eb="21">
      <t>トウキョウ</t>
    </rPh>
    <phoneticPr fontId="4"/>
  </si>
  <si>
    <t>株式会社 建築住宅センター(東北)</t>
    <rPh sb="14" eb="16">
      <t>トウホク</t>
    </rPh>
    <phoneticPr fontId="4"/>
  </si>
  <si>
    <t>財団法人 日本建築センター(東京)</t>
    <rPh sb="14" eb="16">
      <t>トウキョウ</t>
    </rPh>
    <phoneticPr fontId="4"/>
  </si>
  <si>
    <t>千葉県</t>
    <phoneticPr fontId="4"/>
  </si>
  <si>
    <t>柏市</t>
    <rPh sb="0" eb="2">
      <t>カシワシ</t>
    </rPh>
    <phoneticPr fontId="4"/>
  </si>
  <si>
    <t>大青田</t>
    <rPh sb="0" eb="1">
      <t>オオ</t>
    </rPh>
    <rPh sb="1" eb="2">
      <t>アオ</t>
    </rPh>
    <rPh sb="2" eb="3">
      <t>タ</t>
    </rPh>
    <phoneticPr fontId="4"/>
  </si>
  <si>
    <t>麓山</t>
    <rPh sb="0" eb="1">
      <t>フモト</t>
    </rPh>
    <rPh sb="1" eb="2">
      <t>ヤマ</t>
    </rPh>
    <phoneticPr fontId="4"/>
  </si>
  <si>
    <t>事務所</t>
    <phoneticPr fontId="4"/>
  </si>
  <si>
    <t>-</t>
    <phoneticPr fontId="4"/>
  </si>
  <si>
    <t>株式会社 建築構造センター(長野)</t>
    <rPh sb="14" eb="16">
      <t>ナガノ</t>
    </rPh>
    <phoneticPr fontId="4"/>
  </si>
  <si>
    <t>塩治町字善行寺</t>
    <rPh sb="0" eb="1">
      <t>シオ</t>
    </rPh>
    <rPh sb="1" eb="2">
      <t>オサ</t>
    </rPh>
    <rPh sb="2" eb="3">
      <t>マチ</t>
    </rPh>
    <rPh sb="3" eb="4">
      <t>アザ</t>
    </rPh>
    <rPh sb="4" eb="6">
      <t>ゼンコウ</t>
    </rPh>
    <rPh sb="6" eb="7">
      <t>ジ</t>
    </rPh>
    <phoneticPr fontId="4"/>
  </si>
  <si>
    <t>事務所</t>
    <phoneticPr fontId="4"/>
  </si>
  <si>
    <t>福島県</t>
    <phoneticPr fontId="4"/>
  </si>
  <si>
    <t>直方市</t>
    <phoneticPr fontId="4"/>
  </si>
  <si>
    <t>バロー大津茶が崎</t>
    <rPh sb="3" eb="5">
      <t>オオツ</t>
    </rPh>
    <rPh sb="5" eb="6">
      <t>チャ</t>
    </rPh>
    <rPh sb="7" eb="8">
      <t>サキ</t>
    </rPh>
    <phoneticPr fontId="4"/>
  </si>
  <si>
    <t>滋賀県</t>
    <phoneticPr fontId="4"/>
  </si>
  <si>
    <t>大津市</t>
    <phoneticPr fontId="4"/>
  </si>
  <si>
    <t>茶が崎</t>
    <rPh sb="0" eb="1">
      <t>チャ</t>
    </rPh>
    <rPh sb="2" eb="3">
      <t>サキ</t>
    </rPh>
    <phoneticPr fontId="4"/>
  </si>
  <si>
    <t>日本建物評価機構 株式会社</t>
    <phoneticPr fontId="4"/>
  </si>
  <si>
    <t>株式会社 GEN設計</t>
    <rPh sb="0" eb="2">
      <t>カブシキ</t>
    </rPh>
    <rPh sb="2" eb="4">
      <t>カイシャ</t>
    </rPh>
    <rPh sb="8" eb="10">
      <t>セッケイ</t>
    </rPh>
    <phoneticPr fontId="4"/>
  </si>
  <si>
    <t>-</t>
    <phoneticPr fontId="4"/>
  </si>
  <si>
    <t>日本ERI 株式会社(北九州)</t>
    <rPh sb="11" eb="14">
      <t>キタキュウシュウ</t>
    </rPh>
    <phoneticPr fontId="4"/>
  </si>
  <si>
    <t>東北マツダ酒田</t>
    <rPh sb="0" eb="2">
      <t>トウホク</t>
    </rPh>
    <rPh sb="5" eb="7">
      <t>サカタ</t>
    </rPh>
    <phoneticPr fontId="4"/>
  </si>
  <si>
    <t>山形県</t>
    <phoneticPr fontId="4"/>
  </si>
  <si>
    <t>酒田市</t>
    <phoneticPr fontId="4"/>
  </si>
  <si>
    <t>両羽町</t>
    <rPh sb="0" eb="1">
      <t>リョウ</t>
    </rPh>
    <rPh sb="1" eb="2">
      <t>ハネ</t>
    </rPh>
    <rPh sb="2" eb="3">
      <t>マチ</t>
    </rPh>
    <phoneticPr fontId="4"/>
  </si>
  <si>
    <t>株式会社 アーキブレン山形</t>
    <rPh sb="11" eb="13">
      <t>ヤマガタ</t>
    </rPh>
    <phoneticPr fontId="4"/>
  </si>
  <si>
    <t>株式会社 アーキブレン山形</t>
    <phoneticPr fontId="4"/>
  </si>
  <si>
    <t>カブシキガイシャ アーキブレンヤマガタ</t>
    <phoneticPr fontId="4"/>
  </si>
  <si>
    <t>ユニバース惣菜センター</t>
    <rPh sb="5" eb="7">
      <t>ソウザイ</t>
    </rPh>
    <phoneticPr fontId="4"/>
  </si>
  <si>
    <t>株式会社 国際確認検査センター</t>
    <phoneticPr fontId="4"/>
  </si>
  <si>
    <t>株式会社 創元設計</t>
    <rPh sb="0" eb="2">
      <t>カブシキ</t>
    </rPh>
    <rPh sb="2" eb="4">
      <t>カイシャ</t>
    </rPh>
    <rPh sb="5" eb="6">
      <t>ソウ</t>
    </rPh>
    <rPh sb="6" eb="7">
      <t>ゲン</t>
    </rPh>
    <rPh sb="7" eb="9">
      <t>セッケイ</t>
    </rPh>
    <phoneticPr fontId="4"/>
  </si>
  <si>
    <t>株式会社 創元設計</t>
    <phoneticPr fontId="4"/>
  </si>
  <si>
    <t>カブシキガイシャ ソウゲンセッケイ</t>
    <phoneticPr fontId="4"/>
  </si>
  <si>
    <t>株式会社 雄進構造設計</t>
    <rPh sb="0" eb="2">
      <t>カブシキ</t>
    </rPh>
    <rPh sb="2" eb="4">
      <t>ガイシャ</t>
    </rPh>
    <rPh sb="5" eb="6">
      <t>オス</t>
    </rPh>
    <rPh sb="6" eb="7">
      <t>スス</t>
    </rPh>
    <rPh sb="7" eb="9">
      <t>コウゾウ</t>
    </rPh>
    <rPh sb="9" eb="11">
      <t>セッケイ</t>
    </rPh>
    <phoneticPr fontId="4"/>
  </si>
  <si>
    <t>株式会社 雄進構造設計</t>
    <phoneticPr fontId="4"/>
  </si>
  <si>
    <t>カブシキガイシャ ユウシンコウゾウセッケイ</t>
    <phoneticPr fontId="4"/>
  </si>
  <si>
    <t>八戸市</t>
    <phoneticPr fontId="4"/>
  </si>
  <si>
    <t>北インター工業団地</t>
    <rPh sb="0" eb="1">
      <t>キタ</t>
    </rPh>
    <rPh sb="5" eb="7">
      <t>コウギョウ</t>
    </rPh>
    <rPh sb="7" eb="9">
      <t>ダンチ</t>
    </rPh>
    <phoneticPr fontId="4"/>
  </si>
  <si>
    <t>児童養護施設 恵愛学園</t>
    <phoneticPr fontId="4"/>
  </si>
  <si>
    <t>三和鋲螺</t>
    <rPh sb="0" eb="2">
      <t>サンワ</t>
    </rPh>
    <rPh sb="2" eb="4">
      <t>ビョウラ</t>
    </rPh>
    <phoneticPr fontId="4"/>
  </si>
  <si>
    <t>大潟村同友会</t>
    <rPh sb="0" eb="2">
      <t>オオガタ</t>
    </rPh>
    <rPh sb="2" eb="3">
      <t>ムラ</t>
    </rPh>
    <rPh sb="3" eb="6">
      <t>ドウユウカイ</t>
    </rPh>
    <phoneticPr fontId="4"/>
  </si>
  <si>
    <t>おおぼし保育園</t>
    <rPh sb="4" eb="7">
      <t>ホイクエン</t>
    </rPh>
    <phoneticPr fontId="4"/>
  </si>
  <si>
    <t>ダイナム福岡川崎</t>
    <rPh sb="4" eb="6">
      <t>フクオカ</t>
    </rPh>
    <rPh sb="6" eb="8">
      <t>カワサキ</t>
    </rPh>
    <phoneticPr fontId="4"/>
  </si>
  <si>
    <t>株式会社 長田建築事務所</t>
    <rPh sb="0" eb="2">
      <t>カブシキ</t>
    </rPh>
    <rPh sb="2" eb="4">
      <t>カイシャ</t>
    </rPh>
    <phoneticPr fontId="4"/>
  </si>
  <si>
    <t>株式会社 ラフト</t>
    <rPh sb="0" eb="2">
      <t>カブシキ</t>
    </rPh>
    <rPh sb="2" eb="4">
      <t>カイシャ</t>
    </rPh>
    <phoneticPr fontId="4"/>
  </si>
  <si>
    <t>株式会社 ラフト</t>
    <phoneticPr fontId="4"/>
  </si>
  <si>
    <t>カブシキガイシャ ラフト</t>
    <phoneticPr fontId="4"/>
  </si>
  <si>
    <t>株式会社 長田建築事務所</t>
    <phoneticPr fontId="4"/>
  </si>
  <si>
    <t>カブシキガイシャ ナガタケンチクジムショ</t>
    <phoneticPr fontId="4"/>
  </si>
  <si>
    <t>株式会社 中東</t>
    <rPh sb="0" eb="2">
      <t>カブシキ</t>
    </rPh>
    <rPh sb="2" eb="4">
      <t>カイシャ</t>
    </rPh>
    <rPh sb="5" eb="6">
      <t>ナカ</t>
    </rPh>
    <rPh sb="6" eb="7">
      <t>ヒガシ</t>
    </rPh>
    <phoneticPr fontId="4"/>
  </si>
  <si>
    <t>株式会社 中東</t>
    <phoneticPr fontId="4"/>
  </si>
  <si>
    <t>カブシキガイシャ チュウトウ</t>
    <phoneticPr fontId="4"/>
  </si>
  <si>
    <t>有限会社 柳設計事務所</t>
    <rPh sb="0" eb="2">
      <t>ユウゲン</t>
    </rPh>
    <rPh sb="2" eb="4">
      <t>カイシャ</t>
    </rPh>
    <phoneticPr fontId="4"/>
  </si>
  <si>
    <t>ユウゲンガイシャ リュウセッケイジムショ</t>
    <phoneticPr fontId="4"/>
  </si>
  <si>
    <t>みたけ</t>
    <phoneticPr fontId="4"/>
  </si>
  <si>
    <t>中央区淵野辺</t>
    <rPh sb="0" eb="3">
      <t>チュウオウク</t>
    </rPh>
    <phoneticPr fontId="4"/>
  </si>
  <si>
    <t>八戸市</t>
    <phoneticPr fontId="4"/>
  </si>
  <si>
    <t>大字河原木</t>
    <rPh sb="0" eb="2">
      <t>オオアザ</t>
    </rPh>
    <rPh sb="2" eb="4">
      <t>カワハラ</t>
    </rPh>
    <rPh sb="4" eb="5">
      <t>キ</t>
    </rPh>
    <phoneticPr fontId="4"/>
  </si>
  <si>
    <t>下助任町</t>
    <rPh sb="0" eb="1">
      <t>シタ</t>
    </rPh>
    <rPh sb="1" eb="3">
      <t>スケトウ</t>
    </rPh>
    <rPh sb="3" eb="4">
      <t>マチ</t>
    </rPh>
    <phoneticPr fontId="4"/>
  </si>
  <si>
    <t>株式会社 福井建築設計事務所</t>
    <phoneticPr fontId="4"/>
  </si>
  <si>
    <t>株式会社 福井建築設計事務所</t>
    <phoneticPr fontId="4"/>
  </si>
  <si>
    <t>カブシキガイシャ フクイケンチクセッケイジムショ</t>
    <phoneticPr fontId="4"/>
  </si>
  <si>
    <t>千葉県</t>
    <phoneticPr fontId="4"/>
  </si>
  <si>
    <t>松戸市</t>
    <rPh sb="0" eb="3">
      <t>マツドシ</t>
    </rPh>
    <phoneticPr fontId="4"/>
  </si>
  <si>
    <t>東松戸</t>
    <rPh sb="0" eb="1">
      <t>ヒガシ</t>
    </rPh>
    <rPh sb="1" eb="3">
      <t>マツド</t>
    </rPh>
    <phoneticPr fontId="4"/>
  </si>
  <si>
    <t>1</t>
    <phoneticPr fontId="4"/>
  </si>
  <si>
    <t>-</t>
    <phoneticPr fontId="4"/>
  </si>
  <si>
    <t>沼田建築構造事務所</t>
    <phoneticPr fontId="4"/>
  </si>
  <si>
    <t>社団法人 日本住宅性能評価機構</t>
    <phoneticPr fontId="4"/>
  </si>
  <si>
    <t>財団法人 日本建築総合試験所</t>
    <phoneticPr fontId="4"/>
  </si>
  <si>
    <t>財団法人 宮城県建築住宅センター</t>
    <phoneticPr fontId="4"/>
  </si>
  <si>
    <t>財団法人 日本建築センター</t>
    <phoneticPr fontId="4"/>
  </si>
  <si>
    <t>30,60</t>
    <phoneticPr fontId="4"/>
  </si>
  <si>
    <t>広野字広</t>
    <rPh sb="0" eb="2">
      <t>ヒロノ</t>
    </rPh>
    <rPh sb="2" eb="3">
      <t>アザ</t>
    </rPh>
    <rPh sb="3" eb="4">
      <t>ヒロ</t>
    </rPh>
    <phoneticPr fontId="4"/>
  </si>
  <si>
    <t>3</t>
    <phoneticPr fontId="4"/>
  </si>
  <si>
    <t>コメリPW佐沼店</t>
    <rPh sb="5" eb="6">
      <t>サ</t>
    </rPh>
    <rPh sb="6" eb="7">
      <t>ヌマ</t>
    </rPh>
    <rPh sb="7" eb="8">
      <t>テン</t>
    </rPh>
    <phoneticPr fontId="4"/>
  </si>
  <si>
    <t>宮城県</t>
    <phoneticPr fontId="4"/>
  </si>
  <si>
    <t>登米市</t>
    <phoneticPr fontId="4"/>
  </si>
  <si>
    <t>迫町佐沼</t>
    <phoneticPr fontId="4"/>
  </si>
  <si>
    <t>富樫建設工業 株式会社</t>
    <phoneticPr fontId="4"/>
  </si>
  <si>
    <t>株式会社 佐藤雅彦建築設計室</t>
    <rPh sb="0" eb="2">
      <t>カブシキ</t>
    </rPh>
    <rPh sb="2" eb="4">
      <t>カイシャ</t>
    </rPh>
    <rPh sb="5" eb="7">
      <t>サトウ</t>
    </rPh>
    <rPh sb="7" eb="9">
      <t>マサヒコ</t>
    </rPh>
    <rPh sb="9" eb="11">
      <t>ケンチク</t>
    </rPh>
    <rPh sb="11" eb="13">
      <t>セッケイ</t>
    </rPh>
    <rPh sb="13" eb="14">
      <t>シツ</t>
    </rPh>
    <phoneticPr fontId="4"/>
  </si>
  <si>
    <t>株式会社 佐藤雅彦建築設計室</t>
    <phoneticPr fontId="4"/>
  </si>
  <si>
    <t>カブシキガイシャ サトウマサヒコケンチクセッケイシツ</t>
    <phoneticPr fontId="4"/>
  </si>
  <si>
    <t>片平町字藤田</t>
    <rPh sb="0" eb="2">
      <t>カタヒラ</t>
    </rPh>
    <rPh sb="2" eb="3">
      <t>マチ</t>
    </rPh>
    <rPh sb="3" eb="4">
      <t>アザ</t>
    </rPh>
    <rPh sb="4" eb="6">
      <t>フジタ</t>
    </rPh>
    <phoneticPr fontId="4"/>
  </si>
  <si>
    <t>東灘区魚崎西町</t>
    <rPh sb="3" eb="4">
      <t>サカナ</t>
    </rPh>
    <rPh sb="4" eb="5">
      <t>サキ</t>
    </rPh>
    <rPh sb="5" eb="6">
      <t>ニシ</t>
    </rPh>
    <rPh sb="6" eb="7">
      <t>マチ</t>
    </rPh>
    <phoneticPr fontId="4"/>
  </si>
  <si>
    <t>-</t>
    <phoneticPr fontId="4"/>
  </si>
  <si>
    <t>サノヤス造船 株式会社</t>
    <rPh sb="7" eb="9">
      <t>カブシキ</t>
    </rPh>
    <rPh sb="9" eb="11">
      <t>カイシャ</t>
    </rPh>
    <phoneticPr fontId="4"/>
  </si>
  <si>
    <t>千曲市</t>
    <rPh sb="0" eb="2">
      <t>チクマ</t>
    </rPh>
    <rPh sb="2" eb="3">
      <t>シ</t>
    </rPh>
    <phoneticPr fontId="4"/>
  </si>
  <si>
    <t>大字稲荷山字境</t>
    <rPh sb="0" eb="2">
      <t>オオアザ</t>
    </rPh>
    <rPh sb="2" eb="4">
      <t>イナリ</t>
    </rPh>
    <rPh sb="4" eb="5">
      <t>ヤマ</t>
    </rPh>
    <rPh sb="5" eb="6">
      <t>アザ</t>
    </rPh>
    <rPh sb="6" eb="7">
      <t>サカイ</t>
    </rPh>
    <phoneticPr fontId="4"/>
  </si>
  <si>
    <t>2</t>
    <phoneticPr fontId="4"/>
  </si>
  <si>
    <t>山形県</t>
    <phoneticPr fontId="4"/>
  </si>
  <si>
    <t>酒田市</t>
    <phoneticPr fontId="4"/>
  </si>
  <si>
    <t>大阪府</t>
    <phoneticPr fontId="4"/>
  </si>
  <si>
    <t>東大阪市</t>
    <phoneticPr fontId="4"/>
  </si>
  <si>
    <t>南秋田郡</t>
    <rPh sb="0" eb="1">
      <t>ミナミ</t>
    </rPh>
    <rPh sb="1" eb="3">
      <t>アキタ</t>
    </rPh>
    <rPh sb="3" eb="4">
      <t>グン</t>
    </rPh>
    <phoneticPr fontId="4"/>
  </si>
  <si>
    <t>大潟村</t>
    <rPh sb="0" eb="2">
      <t>オオガタ</t>
    </rPh>
    <rPh sb="2" eb="3">
      <t>ムラ</t>
    </rPh>
    <phoneticPr fontId="4"/>
  </si>
  <si>
    <t>大字新入</t>
    <rPh sb="0" eb="2">
      <t>オオアザ</t>
    </rPh>
    <rPh sb="2" eb="3">
      <t>シン</t>
    </rPh>
    <rPh sb="3" eb="4">
      <t>イ</t>
    </rPh>
    <phoneticPr fontId="4"/>
  </si>
  <si>
    <t>寝屋南</t>
    <rPh sb="0" eb="2">
      <t>ネヤ</t>
    </rPh>
    <rPh sb="2" eb="3">
      <t>ミナミ</t>
    </rPh>
    <phoneticPr fontId="4"/>
  </si>
  <si>
    <t>青森市</t>
    <phoneticPr fontId="4"/>
  </si>
  <si>
    <t>妙見</t>
    <rPh sb="0" eb="1">
      <t>ミョウ</t>
    </rPh>
    <rPh sb="1" eb="2">
      <t>ミ</t>
    </rPh>
    <phoneticPr fontId="4"/>
  </si>
  <si>
    <t>福岡県</t>
    <phoneticPr fontId="4"/>
  </si>
  <si>
    <t>田川郡</t>
    <rPh sb="0" eb="3">
      <t>タガワグン</t>
    </rPh>
    <phoneticPr fontId="4"/>
  </si>
  <si>
    <t>川崎町田原字前原</t>
    <rPh sb="0" eb="2">
      <t>カワサキ</t>
    </rPh>
    <rPh sb="2" eb="3">
      <t>マチ</t>
    </rPh>
    <rPh sb="3" eb="5">
      <t>タハラ</t>
    </rPh>
    <rPh sb="5" eb="6">
      <t>アザ</t>
    </rPh>
    <rPh sb="6" eb="8">
      <t>マエハラ</t>
    </rPh>
    <phoneticPr fontId="4"/>
  </si>
  <si>
    <t>長浜</t>
    <rPh sb="0" eb="2">
      <t>ナガハマ</t>
    </rPh>
    <phoneticPr fontId="4"/>
  </si>
  <si>
    <t>事務所・倉庫</t>
    <rPh sb="0" eb="2">
      <t>ジム</t>
    </rPh>
    <rPh sb="2" eb="3">
      <t>ショ</t>
    </rPh>
    <rPh sb="4" eb="6">
      <t>ソウコ</t>
    </rPh>
    <phoneticPr fontId="4"/>
  </si>
  <si>
    <t>双葉郡</t>
    <rPh sb="0" eb="3">
      <t>フタバグン</t>
    </rPh>
    <phoneticPr fontId="4"/>
  </si>
  <si>
    <t>楢葉町下繋岡</t>
    <phoneticPr fontId="4"/>
  </si>
  <si>
    <t>アンフィニ福島工場</t>
    <rPh sb="5" eb="7">
      <t>フクシマ</t>
    </rPh>
    <rPh sb="7" eb="9">
      <t>コウジョウ</t>
    </rPh>
    <phoneticPr fontId="4"/>
  </si>
  <si>
    <t>エムケイ建築構造事務所</t>
    <rPh sb="4" eb="6">
      <t>ケンチク</t>
    </rPh>
    <rPh sb="6" eb="8">
      <t>コウゾウ</t>
    </rPh>
    <rPh sb="8" eb="10">
      <t>ジム</t>
    </rPh>
    <rPh sb="10" eb="11">
      <t>ショ</t>
    </rPh>
    <phoneticPr fontId="4"/>
  </si>
  <si>
    <t>エムケイ建築構造事務所</t>
    <phoneticPr fontId="4"/>
  </si>
  <si>
    <t>エムケイケンチクコウゾウジムショ</t>
    <phoneticPr fontId="4"/>
  </si>
  <si>
    <t>株式会社 総合確認検査機構</t>
    <phoneticPr fontId="4"/>
  </si>
  <si>
    <t>岩手県</t>
    <phoneticPr fontId="4"/>
  </si>
  <si>
    <t>上閉伊郡</t>
    <phoneticPr fontId="4"/>
  </si>
  <si>
    <t>大槌町安渡</t>
    <phoneticPr fontId="4"/>
  </si>
  <si>
    <t>有限会社 枝和建築設計事務所</t>
    <rPh sb="0" eb="2">
      <t>ユウゲン</t>
    </rPh>
    <rPh sb="2" eb="4">
      <t>カイシャ</t>
    </rPh>
    <rPh sb="5" eb="6">
      <t>エダ</t>
    </rPh>
    <rPh sb="6" eb="7">
      <t>ワ</t>
    </rPh>
    <rPh sb="7" eb="9">
      <t>ケンチク</t>
    </rPh>
    <rPh sb="9" eb="11">
      <t>セッケイ</t>
    </rPh>
    <rPh sb="11" eb="13">
      <t>ジム</t>
    </rPh>
    <rPh sb="13" eb="14">
      <t>ショ</t>
    </rPh>
    <phoneticPr fontId="4"/>
  </si>
  <si>
    <t>ユウゲンガイシャ エダワケンチクセッケイジムショ</t>
    <phoneticPr fontId="4"/>
  </si>
  <si>
    <t>有限会社 枝和建築設計事務所</t>
    <phoneticPr fontId="4"/>
  </si>
  <si>
    <t>シシドモータース塗装工場</t>
    <rPh sb="8" eb="10">
      <t>トソウ</t>
    </rPh>
    <rPh sb="10" eb="12">
      <t>コウジョウ</t>
    </rPh>
    <phoneticPr fontId="4"/>
  </si>
  <si>
    <t>岡山県</t>
    <phoneticPr fontId="4"/>
  </si>
  <si>
    <t>笠岡市</t>
    <rPh sb="0" eb="3">
      <t>カサオカシ</t>
    </rPh>
    <phoneticPr fontId="4"/>
  </si>
  <si>
    <t>小平井字時ノ坊池尻</t>
    <rPh sb="0" eb="2">
      <t>コヒラ</t>
    </rPh>
    <rPh sb="2" eb="3">
      <t>イ</t>
    </rPh>
    <rPh sb="3" eb="4">
      <t>アザ</t>
    </rPh>
    <rPh sb="4" eb="5">
      <t>トキ</t>
    </rPh>
    <rPh sb="6" eb="7">
      <t>ボウ</t>
    </rPh>
    <rPh sb="7" eb="8">
      <t>イケ</t>
    </rPh>
    <rPh sb="8" eb="9">
      <t>シリ</t>
    </rPh>
    <phoneticPr fontId="4"/>
  </si>
  <si>
    <t>T.A.D 二級建築士事務所</t>
    <rPh sb="6" eb="8">
      <t>ニキュウ</t>
    </rPh>
    <rPh sb="8" eb="11">
      <t>ケンチクシ</t>
    </rPh>
    <rPh sb="11" eb="13">
      <t>ジム</t>
    </rPh>
    <rPh sb="13" eb="14">
      <t>ショ</t>
    </rPh>
    <phoneticPr fontId="4"/>
  </si>
  <si>
    <t>T.A.D 二級建築士事務所</t>
    <phoneticPr fontId="4"/>
  </si>
  <si>
    <t>岐阜県</t>
    <phoneticPr fontId="4"/>
  </si>
  <si>
    <t>大垣市</t>
    <phoneticPr fontId="4"/>
  </si>
  <si>
    <t>桧長治笠毛</t>
    <rPh sb="0" eb="1">
      <t>ヒ</t>
    </rPh>
    <rPh sb="1" eb="2">
      <t>ナガ</t>
    </rPh>
    <rPh sb="2" eb="3">
      <t>オサ</t>
    </rPh>
    <rPh sb="3" eb="4">
      <t>カサ</t>
    </rPh>
    <rPh sb="4" eb="5">
      <t>ケ</t>
    </rPh>
    <phoneticPr fontId="4"/>
  </si>
  <si>
    <t>GU三川</t>
    <rPh sb="2" eb="4">
      <t>ミカワ</t>
    </rPh>
    <phoneticPr fontId="4"/>
  </si>
  <si>
    <t>山形県</t>
    <phoneticPr fontId="4"/>
  </si>
  <si>
    <t>東田川郡</t>
    <rPh sb="0" eb="1">
      <t>ヒガシ</t>
    </rPh>
    <rPh sb="1" eb="2">
      <t>タ</t>
    </rPh>
    <rPh sb="2" eb="3">
      <t>カワ</t>
    </rPh>
    <rPh sb="3" eb="4">
      <t>グン</t>
    </rPh>
    <phoneticPr fontId="4"/>
  </si>
  <si>
    <t>三川町</t>
    <rPh sb="0" eb="2">
      <t>ミカワ</t>
    </rPh>
    <rPh sb="2" eb="3">
      <t>マチ</t>
    </rPh>
    <phoneticPr fontId="4"/>
  </si>
  <si>
    <t>薬王堂由利本荘荒町</t>
    <rPh sb="0" eb="1">
      <t>ヤク</t>
    </rPh>
    <rPh sb="1" eb="2">
      <t>オウ</t>
    </rPh>
    <rPh sb="2" eb="3">
      <t>ドウ</t>
    </rPh>
    <rPh sb="3" eb="7">
      <t>ユリホンジョウ</t>
    </rPh>
    <rPh sb="7" eb="9">
      <t>アラマチ</t>
    </rPh>
    <phoneticPr fontId="4"/>
  </si>
  <si>
    <t>由利本荘市</t>
    <phoneticPr fontId="4"/>
  </si>
  <si>
    <t>荒町</t>
    <rPh sb="0" eb="2">
      <t>アラマチ</t>
    </rPh>
    <phoneticPr fontId="4"/>
  </si>
  <si>
    <t>ﾌｨｰﾙﾄﾞﾒﾝﾃﾅﾝｽ倉庫棟</t>
    <rPh sb="12" eb="14">
      <t>ソウコ</t>
    </rPh>
    <rPh sb="14" eb="15">
      <t>トウ</t>
    </rPh>
    <phoneticPr fontId="4"/>
  </si>
  <si>
    <t>兵庫県</t>
    <phoneticPr fontId="4"/>
  </si>
  <si>
    <t>中央区港島</t>
    <phoneticPr fontId="4"/>
  </si>
  <si>
    <t>JSSスイミングスクール立石</t>
    <rPh sb="12" eb="14">
      <t>タテイシ</t>
    </rPh>
    <phoneticPr fontId="4"/>
  </si>
  <si>
    <t>葛飾区</t>
    <rPh sb="0" eb="3">
      <t>カツシカク</t>
    </rPh>
    <phoneticPr fontId="4"/>
  </si>
  <si>
    <t>立石</t>
    <rPh sb="0" eb="2">
      <t>タテイシ</t>
    </rPh>
    <phoneticPr fontId="4"/>
  </si>
  <si>
    <t>関西マツダ鳳BPセンター</t>
    <rPh sb="0" eb="2">
      <t>カンサイ</t>
    </rPh>
    <rPh sb="5" eb="6">
      <t>オオトリ</t>
    </rPh>
    <phoneticPr fontId="4"/>
  </si>
  <si>
    <t>大阪府</t>
    <phoneticPr fontId="4"/>
  </si>
  <si>
    <t>堺市</t>
    <rPh sb="0" eb="2">
      <t>サカイシ</t>
    </rPh>
    <phoneticPr fontId="4"/>
  </si>
  <si>
    <t>西区鳳北町</t>
    <rPh sb="0" eb="2">
      <t>ニシク</t>
    </rPh>
    <rPh sb="2" eb="3">
      <t>オオトリ</t>
    </rPh>
    <rPh sb="3" eb="4">
      <t>キタ</t>
    </rPh>
    <rPh sb="4" eb="5">
      <t>マチ</t>
    </rPh>
    <phoneticPr fontId="4"/>
  </si>
  <si>
    <t>日本構造設計 株式会社</t>
    <rPh sb="0" eb="2">
      <t>ニホン</t>
    </rPh>
    <rPh sb="2" eb="4">
      <t>コウゾウ</t>
    </rPh>
    <rPh sb="4" eb="6">
      <t>セッケイ</t>
    </rPh>
    <rPh sb="7" eb="9">
      <t>カブシキ</t>
    </rPh>
    <rPh sb="9" eb="11">
      <t>カイシャ</t>
    </rPh>
    <phoneticPr fontId="4"/>
  </si>
  <si>
    <t>日本構造設計 株式会社</t>
    <phoneticPr fontId="4"/>
  </si>
  <si>
    <t>ニホンコウゾウセッケイ カブシキガイシャ</t>
    <phoneticPr fontId="4"/>
  </si>
  <si>
    <t>青森県 八戸市役所</t>
  </si>
  <si>
    <t>青森県 八戸市役所</t>
    <rPh sb="0" eb="3">
      <t>アオモリケン</t>
    </rPh>
    <rPh sb="4" eb="6">
      <t>ハチノヘ</t>
    </rPh>
    <rPh sb="6" eb="9">
      <t>シヤクショ</t>
    </rPh>
    <phoneticPr fontId="4"/>
  </si>
  <si>
    <t>堺市</t>
    <phoneticPr fontId="4"/>
  </si>
  <si>
    <t>南区新檜尾台</t>
    <phoneticPr fontId="4"/>
  </si>
  <si>
    <t>マルハン光明池</t>
    <phoneticPr fontId="4"/>
  </si>
  <si>
    <t>5F建</t>
    <phoneticPr fontId="4"/>
  </si>
  <si>
    <t>コンパス一級建築士事務所</t>
    <rPh sb="4" eb="6">
      <t>イッキュウ</t>
    </rPh>
    <rPh sb="6" eb="9">
      <t>ケンチクシ</t>
    </rPh>
    <rPh sb="9" eb="11">
      <t>ジム</t>
    </rPh>
    <rPh sb="11" eb="12">
      <t>ショ</t>
    </rPh>
    <phoneticPr fontId="4"/>
  </si>
  <si>
    <t>コンパス一級建築士事務所</t>
    <phoneticPr fontId="4"/>
  </si>
  <si>
    <t>コンパスイッキュウケンチクシジムショ</t>
    <phoneticPr fontId="4"/>
  </si>
  <si>
    <t>コメリPW岩見沢</t>
    <rPh sb="5" eb="8">
      <t>イワミザワ</t>
    </rPh>
    <phoneticPr fontId="4"/>
  </si>
  <si>
    <t>岩見沢市</t>
    <rPh sb="0" eb="3">
      <t>イワミザワ</t>
    </rPh>
    <rPh sb="3" eb="4">
      <t>シ</t>
    </rPh>
    <phoneticPr fontId="4"/>
  </si>
  <si>
    <t>二条東</t>
    <rPh sb="0" eb="2">
      <t>ニジョウ</t>
    </rPh>
    <rPh sb="2" eb="3">
      <t>ヒガシ</t>
    </rPh>
    <phoneticPr fontId="4"/>
  </si>
  <si>
    <t>ハウスプラス確認検査 株式会社</t>
    <phoneticPr fontId="4"/>
  </si>
  <si>
    <t>有限会社 原田構造設計室</t>
    <phoneticPr fontId="4"/>
  </si>
  <si>
    <t>有限会社 原田構造設計室</t>
    <phoneticPr fontId="4"/>
  </si>
  <si>
    <t>青森県 青森市役所</t>
    <phoneticPr fontId="4"/>
  </si>
  <si>
    <t>株式会社 建築住宅センター</t>
    <phoneticPr fontId="4"/>
  </si>
  <si>
    <t>ホーマックニコット藤代</t>
    <phoneticPr fontId="4"/>
  </si>
  <si>
    <t>東北マツダ北上</t>
    <rPh sb="0" eb="2">
      <t>トウホク</t>
    </rPh>
    <rPh sb="5" eb="6">
      <t>キタ</t>
    </rPh>
    <rPh sb="6" eb="7">
      <t>ウエ</t>
    </rPh>
    <phoneticPr fontId="4"/>
  </si>
  <si>
    <t>山進運輸㈱配送センター</t>
    <phoneticPr fontId="4"/>
  </si>
  <si>
    <t>バロー春江</t>
    <rPh sb="3" eb="5">
      <t>ハルエ</t>
    </rPh>
    <phoneticPr fontId="4"/>
  </si>
  <si>
    <t>関田構造設計事務所</t>
    <phoneticPr fontId="4"/>
  </si>
  <si>
    <t>大和リース 株式会社</t>
    <phoneticPr fontId="4"/>
  </si>
  <si>
    <t>福井県</t>
    <phoneticPr fontId="4"/>
  </si>
  <si>
    <t>坂井市</t>
    <rPh sb="0" eb="2">
      <t>サカイ</t>
    </rPh>
    <rPh sb="2" eb="3">
      <t>シ</t>
    </rPh>
    <phoneticPr fontId="4"/>
  </si>
  <si>
    <t>春江随応寺</t>
    <rPh sb="0" eb="2">
      <t>ハルエ</t>
    </rPh>
    <rPh sb="2" eb="3">
      <t>ズイ</t>
    </rPh>
    <phoneticPr fontId="4"/>
  </si>
  <si>
    <t>観音地区グループホーム</t>
    <rPh sb="0" eb="2">
      <t>カンノン</t>
    </rPh>
    <rPh sb="2" eb="4">
      <t>チク</t>
    </rPh>
    <phoneticPr fontId="4"/>
  </si>
  <si>
    <t>広島市</t>
    <phoneticPr fontId="4"/>
  </si>
  <si>
    <t>西区南観音</t>
    <rPh sb="0" eb="2">
      <t>ニシク</t>
    </rPh>
    <rPh sb="2" eb="3">
      <t>ミナミ</t>
    </rPh>
    <rPh sb="3" eb="5">
      <t>カンノン</t>
    </rPh>
    <phoneticPr fontId="4"/>
  </si>
  <si>
    <t>株式会社 K構造研究所</t>
    <rPh sb="0" eb="2">
      <t>カブシキ</t>
    </rPh>
    <rPh sb="2" eb="4">
      <t>カイシャ</t>
    </rPh>
    <rPh sb="6" eb="8">
      <t>コウゾウ</t>
    </rPh>
    <rPh sb="8" eb="11">
      <t>ケンキュウショ</t>
    </rPh>
    <phoneticPr fontId="4"/>
  </si>
  <si>
    <t>株式会社 K構造研究所</t>
    <phoneticPr fontId="4"/>
  </si>
  <si>
    <t>カブシキガイシャ Kコウゾウケンキュウショ</t>
    <phoneticPr fontId="4"/>
  </si>
  <si>
    <t>エンドレス・テック棟 丘珠配送センター</t>
    <phoneticPr fontId="4"/>
  </si>
  <si>
    <t>札幌市</t>
    <rPh sb="0" eb="3">
      <t>サッポロシ</t>
    </rPh>
    <phoneticPr fontId="4"/>
  </si>
  <si>
    <t>東区丘珠</t>
    <rPh sb="0" eb="2">
      <t>ヒガシク</t>
    </rPh>
    <rPh sb="2" eb="3">
      <t>オカ</t>
    </rPh>
    <rPh sb="3" eb="4">
      <t>タマ</t>
    </rPh>
    <phoneticPr fontId="4"/>
  </si>
  <si>
    <t>山形県</t>
    <phoneticPr fontId="4"/>
  </si>
  <si>
    <t>酒田市</t>
    <phoneticPr fontId="4"/>
  </si>
  <si>
    <t>株式会社 山本建築設計事務所</t>
    <rPh sb="5" eb="7">
      <t>ヤマモト</t>
    </rPh>
    <rPh sb="7" eb="9">
      <t>ケンチク</t>
    </rPh>
    <rPh sb="9" eb="11">
      <t>セッケイ</t>
    </rPh>
    <rPh sb="11" eb="13">
      <t>ジム</t>
    </rPh>
    <rPh sb="13" eb="14">
      <t>ショ</t>
    </rPh>
    <phoneticPr fontId="4"/>
  </si>
  <si>
    <t>株式会社 山本建築設計事務所</t>
    <phoneticPr fontId="4"/>
  </si>
  <si>
    <t>カブシキガイシャ ヤマモトケンチクセッケイジムショ</t>
    <phoneticPr fontId="4"/>
  </si>
  <si>
    <t>新日鉄住金ｴﾝｼﾞﾆｱﾘﾝｸﾞ</t>
    <rPh sb="0" eb="1">
      <t>シン</t>
    </rPh>
    <rPh sb="1" eb="3">
      <t>ニッテツ</t>
    </rPh>
    <rPh sb="3" eb="5">
      <t>スミキン</t>
    </rPh>
    <phoneticPr fontId="4"/>
  </si>
  <si>
    <t>新日鉄住金ｴﾝｼﾞﾆｱﾘﾝｸﾞ</t>
    <phoneticPr fontId="4"/>
  </si>
  <si>
    <t>シンニッテツスミキンエンジニアリング</t>
    <phoneticPr fontId="4"/>
  </si>
  <si>
    <t>東京都</t>
    <phoneticPr fontId="4"/>
  </si>
  <si>
    <t>足立区</t>
    <phoneticPr fontId="4"/>
  </si>
  <si>
    <t>島根</t>
    <phoneticPr fontId="4"/>
  </si>
  <si>
    <t>株式会社 大獄達郎建築設計事務所</t>
    <rPh sb="0" eb="2">
      <t>カブシキ</t>
    </rPh>
    <rPh sb="2" eb="4">
      <t>カイシャ</t>
    </rPh>
    <rPh sb="5" eb="6">
      <t>オオ</t>
    </rPh>
    <rPh sb="6" eb="7">
      <t>ゴク</t>
    </rPh>
    <rPh sb="7" eb="9">
      <t>タツロウ</t>
    </rPh>
    <rPh sb="9" eb="11">
      <t>ケンチク</t>
    </rPh>
    <rPh sb="11" eb="13">
      <t>セッケイ</t>
    </rPh>
    <rPh sb="13" eb="15">
      <t>ジム</t>
    </rPh>
    <rPh sb="15" eb="16">
      <t>ショ</t>
    </rPh>
    <phoneticPr fontId="4"/>
  </si>
  <si>
    <t>株式会社 大獄達郎建築設計事務所</t>
    <phoneticPr fontId="4"/>
  </si>
  <si>
    <t>カブシキガイシャ オオゴクタツロウケンチクセッケイジムショ</t>
    <phoneticPr fontId="4"/>
  </si>
  <si>
    <t>東北マツダ柴田</t>
    <phoneticPr fontId="4"/>
  </si>
  <si>
    <t>宮城県</t>
    <phoneticPr fontId="4"/>
  </si>
  <si>
    <t>柴田郡</t>
    <phoneticPr fontId="4"/>
  </si>
  <si>
    <t>柴田町船岡東</t>
    <rPh sb="0" eb="2">
      <t>シバタ</t>
    </rPh>
    <rPh sb="2" eb="3">
      <t>マチ</t>
    </rPh>
    <rPh sb="3" eb="5">
      <t>フナオカ</t>
    </rPh>
    <rPh sb="5" eb="6">
      <t>ヒガシ</t>
    </rPh>
    <phoneticPr fontId="4"/>
  </si>
  <si>
    <t>北上市</t>
    <rPh sb="0" eb="1">
      <t>キタ</t>
    </rPh>
    <rPh sb="1" eb="2">
      <t>ウエ</t>
    </rPh>
    <rPh sb="2" eb="3">
      <t>シ</t>
    </rPh>
    <phoneticPr fontId="4"/>
  </si>
  <si>
    <t>村崎野</t>
    <rPh sb="0" eb="1">
      <t>ムラ</t>
    </rPh>
    <rPh sb="1" eb="2">
      <t>サキ</t>
    </rPh>
    <rPh sb="2" eb="3">
      <t>ノ</t>
    </rPh>
    <phoneticPr fontId="4"/>
  </si>
  <si>
    <t>2</t>
    <phoneticPr fontId="4"/>
  </si>
  <si>
    <t>有限会社 アトリエ・むー</t>
    <phoneticPr fontId="4"/>
  </si>
  <si>
    <t>鳶鈴木一級建築士事務所</t>
    <rPh sb="0" eb="1">
      <t>トビ</t>
    </rPh>
    <rPh sb="1" eb="3">
      <t>スズキ</t>
    </rPh>
    <rPh sb="3" eb="5">
      <t>イッキュウ</t>
    </rPh>
    <rPh sb="5" eb="8">
      <t>ケンチクシ</t>
    </rPh>
    <rPh sb="8" eb="10">
      <t>ジム</t>
    </rPh>
    <rPh sb="10" eb="11">
      <t>ショ</t>
    </rPh>
    <phoneticPr fontId="4"/>
  </si>
  <si>
    <t>鳶鈴木一級建築士事務所</t>
    <phoneticPr fontId="4"/>
  </si>
  <si>
    <t>トビスズキイッキュウケンチクシジムショ</t>
    <phoneticPr fontId="4"/>
  </si>
  <si>
    <t>福相食品工業小高第２工場</t>
    <phoneticPr fontId="4"/>
  </si>
  <si>
    <t>福島県</t>
    <phoneticPr fontId="4"/>
  </si>
  <si>
    <t>南相馬市</t>
    <phoneticPr fontId="4"/>
  </si>
  <si>
    <t>小高区岡田字上川原田</t>
    <phoneticPr fontId="4"/>
  </si>
  <si>
    <t>株式会社 ジェイ・ネット</t>
    <phoneticPr fontId="4"/>
  </si>
  <si>
    <t>ｲｰｱﾝﾄﾞｴﾑ発寒ﾌﾟﾗｽﾃｨｯｸ破砕施設</t>
    <rPh sb="8" eb="9">
      <t>ハツ</t>
    </rPh>
    <rPh sb="9" eb="10">
      <t>サム</t>
    </rPh>
    <rPh sb="18" eb="20">
      <t>ハサイ</t>
    </rPh>
    <rPh sb="20" eb="22">
      <t>シセツ</t>
    </rPh>
    <phoneticPr fontId="4"/>
  </si>
  <si>
    <t>西区発寒</t>
    <rPh sb="0" eb="2">
      <t>ニシク</t>
    </rPh>
    <rPh sb="2" eb="3">
      <t>ハツ</t>
    </rPh>
    <rPh sb="3" eb="4">
      <t>サム</t>
    </rPh>
    <phoneticPr fontId="4"/>
  </si>
  <si>
    <t>2</t>
    <phoneticPr fontId="4"/>
  </si>
  <si>
    <t>株式会社 三建設計事務所</t>
    <rPh sb="0" eb="2">
      <t>カブシキ</t>
    </rPh>
    <rPh sb="2" eb="4">
      <t>カイシャ</t>
    </rPh>
    <rPh sb="5" eb="6">
      <t>サン</t>
    </rPh>
    <rPh sb="6" eb="7">
      <t>ケン</t>
    </rPh>
    <rPh sb="7" eb="9">
      <t>セッケイ</t>
    </rPh>
    <rPh sb="9" eb="11">
      <t>ジム</t>
    </rPh>
    <rPh sb="11" eb="12">
      <t>ショ</t>
    </rPh>
    <phoneticPr fontId="4"/>
  </si>
  <si>
    <t>株式会社 三建設計事務所</t>
    <phoneticPr fontId="4"/>
  </si>
  <si>
    <t>カブシキガイシャ サンケンセッケイジムショ</t>
    <phoneticPr fontId="4"/>
  </si>
  <si>
    <t>株式会社 鈴木東建</t>
    <rPh sb="0" eb="2">
      <t>カブシキ</t>
    </rPh>
    <rPh sb="2" eb="4">
      <t>カイシャ</t>
    </rPh>
    <rPh sb="5" eb="7">
      <t>スズキ</t>
    </rPh>
    <rPh sb="7" eb="8">
      <t>ヒガシ</t>
    </rPh>
    <phoneticPr fontId="4"/>
  </si>
  <si>
    <t>株式会社 鈴木東建</t>
    <rPh sb="0" eb="2">
      <t>カブシキ</t>
    </rPh>
    <rPh sb="2" eb="4">
      <t>ガイシャ</t>
    </rPh>
    <rPh sb="5" eb="7">
      <t>スズキ</t>
    </rPh>
    <rPh sb="7" eb="8">
      <t>ヒガシ</t>
    </rPh>
    <phoneticPr fontId="4"/>
  </si>
  <si>
    <t>カブシキガイシャ スズキトウケン</t>
    <phoneticPr fontId="4"/>
  </si>
  <si>
    <t>財団法人 日本建築設備・昇降機センター</t>
    <phoneticPr fontId="4"/>
  </si>
  <si>
    <t>巽冷凍食品</t>
    <rPh sb="0" eb="1">
      <t>タツミ</t>
    </rPh>
    <rPh sb="1" eb="3">
      <t>レイトウ</t>
    </rPh>
    <rPh sb="3" eb="5">
      <t>ショクヒン</t>
    </rPh>
    <phoneticPr fontId="4"/>
  </si>
  <si>
    <t>マツダ金岡</t>
    <rPh sb="3" eb="5">
      <t>カナオカ</t>
    </rPh>
    <phoneticPr fontId="4"/>
  </si>
  <si>
    <t>バロー春江 ﾃﾅﾝﾄ棟</t>
    <rPh sb="3" eb="5">
      <t>ハルエ</t>
    </rPh>
    <rPh sb="10" eb="11">
      <t>トウ</t>
    </rPh>
    <phoneticPr fontId="4"/>
  </si>
  <si>
    <t>高砂医科工業</t>
    <rPh sb="0" eb="2">
      <t>タカサゴ</t>
    </rPh>
    <rPh sb="2" eb="4">
      <t>イカ</t>
    </rPh>
    <rPh sb="4" eb="6">
      <t>コウギョウ</t>
    </rPh>
    <phoneticPr fontId="4"/>
  </si>
  <si>
    <t>ケーズデンキ佐沼</t>
    <rPh sb="6" eb="7">
      <t>サ</t>
    </rPh>
    <rPh sb="7" eb="8">
      <t>ヌマ</t>
    </rPh>
    <phoneticPr fontId="4"/>
  </si>
  <si>
    <t>臨港バス駐車場</t>
    <rPh sb="6" eb="7">
      <t>ジョウ</t>
    </rPh>
    <phoneticPr fontId="4"/>
  </si>
  <si>
    <t>取手市</t>
    <phoneticPr fontId="4"/>
  </si>
  <si>
    <t>藤代</t>
    <phoneticPr fontId="4"/>
  </si>
  <si>
    <t>浪岡大字高屋敷野尻</t>
    <phoneticPr fontId="4"/>
  </si>
  <si>
    <t>株式会社 プロ1</t>
    <rPh sb="0" eb="2">
      <t>カブシキ</t>
    </rPh>
    <rPh sb="2" eb="4">
      <t>カイシャ</t>
    </rPh>
    <phoneticPr fontId="4"/>
  </si>
  <si>
    <t>-</t>
    <phoneticPr fontId="4"/>
  </si>
  <si>
    <t>事務所</t>
    <rPh sb="0" eb="2">
      <t>ジム</t>
    </rPh>
    <rPh sb="2" eb="3">
      <t>ショ</t>
    </rPh>
    <phoneticPr fontId="4"/>
  </si>
  <si>
    <t>-</t>
    <phoneticPr fontId="4"/>
  </si>
  <si>
    <t>株式会社 平設計</t>
    <rPh sb="0" eb="2">
      <t>カブシキ</t>
    </rPh>
    <rPh sb="2" eb="4">
      <t>カイシャ</t>
    </rPh>
    <rPh sb="5" eb="6">
      <t>タイ</t>
    </rPh>
    <rPh sb="6" eb="8">
      <t>セッケイ</t>
    </rPh>
    <phoneticPr fontId="4"/>
  </si>
  <si>
    <t>N=0</t>
    <phoneticPr fontId="4"/>
  </si>
  <si>
    <t>N値</t>
    <rPh sb="1" eb="2">
      <t>チ</t>
    </rPh>
    <phoneticPr fontId="4"/>
  </si>
  <si>
    <t>～2</t>
    <phoneticPr fontId="4"/>
  </si>
  <si>
    <t>～5</t>
    <phoneticPr fontId="4"/>
  </si>
  <si>
    <t>～10</t>
    <phoneticPr fontId="4"/>
  </si>
  <si>
    <t>砂質粘土</t>
    <rPh sb="0" eb="2">
      <t>サシツ</t>
    </rPh>
    <rPh sb="2" eb="4">
      <t>ネンド</t>
    </rPh>
    <phoneticPr fontId="4"/>
  </si>
  <si>
    <t>3.3m</t>
    <phoneticPr fontId="4"/>
  </si>
  <si>
    <t>堆灰質粘土</t>
    <rPh sb="0" eb="1">
      <t>ウズタカシ</t>
    </rPh>
    <rPh sb="1" eb="2">
      <t>ハイ</t>
    </rPh>
    <rPh sb="2" eb="3">
      <t>シツ</t>
    </rPh>
    <rPh sb="3" eb="5">
      <t>ネンド</t>
    </rPh>
    <phoneticPr fontId="4"/>
  </si>
  <si>
    <t>2.0m</t>
    <phoneticPr fontId="4"/>
  </si>
  <si>
    <t>有機質混りﾛｰﾑ</t>
    <rPh sb="0" eb="3">
      <t>ユウキシツ</t>
    </rPh>
    <rPh sb="3" eb="4">
      <t>マ</t>
    </rPh>
    <phoneticPr fontId="4"/>
  </si>
  <si>
    <t>4.3m</t>
    <phoneticPr fontId="4"/>
  </si>
  <si>
    <t>細砂</t>
    <rPh sb="0" eb="1">
      <t>コマ</t>
    </rPh>
    <rPh sb="1" eb="2">
      <t>スナ</t>
    </rPh>
    <phoneticPr fontId="4"/>
  </si>
  <si>
    <t>無</t>
    <rPh sb="0" eb="1">
      <t>ナシ</t>
    </rPh>
    <phoneticPr fontId="4"/>
  </si>
  <si>
    <t>-</t>
    <phoneticPr fontId="4"/>
  </si>
  <si>
    <t>鳥取県</t>
    <phoneticPr fontId="4"/>
  </si>
  <si>
    <t>境港市</t>
    <phoneticPr fontId="4"/>
  </si>
  <si>
    <t>竹内団地</t>
    <phoneticPr fontId="4"/>
  </si>
  <si>
    <t>ｼﾙﾄ</t>
    <phoneticPr fontId="4"/>
  </si>
  <si>
    <t>1.0m</t>
    <phoneticPr fontId="4"/>
  </si>
  <si>
    <t>5.0m</t>
    <phoneticPr fontId="4"/>
  </si>
  <si>
    <t>10.0m</t>
    <phoneticPr fontId="4"/>
  </si>
  <si>
    <t>北海道</t>
    <phoneticPr fontId="4"/>
  </si>
  <si>
    <t>宗谷郡</t>
    <phoneticPr fontId="4"/>
  </si>
  <si>
    <t>猿払村</t>
    <phoneticPr fontId="4"/>
  </si>
  <si>
    <t>3.3m</t>
    <phoneticPr fontId="4"/>
  </si>
  <si>
    <t>泥炭</t>
    <rPh sb="0" eb="2">
      <t>デイタン</t>
    </rPh>
    <phoneticPr fontId="4"/>
  </si>
  <si>
    <t>5.0m</t>
    <phoneticPr fontId="4"/>
  </si>
  <si>
    <t>粘土</t>
    <rPh sb="0" eb="2">
      <t>ネンド</t>
    </rPh>
    <phoneticPr fontId="4"/>
  </si>
  <si>
    <t>株式会社 ZEROM國澤計画設計室</t>
    <rPh sb="0" eb="2">
      <t>カブシキ</t>
    </rPh>
    <rPh sb="2" eb="4">
      <t>カイシャ</t>
    </rPh>
    <rPh sb="10" eb="12">
      <t>クニサワ</t>
    </rPh>
    <rPh sb="12" eb="14">
      <t>ケイカク</t>
    </rPh>
    <rPh sb="14" eb="16">
      <t>セッケイ</t>
    </rPh>
    <rPh sb="16" eb="17">
      <t>シツ</t>
    </rPh>
    <phoneticPr fontId="4"/>
  </si>
  <si>
    <t>株式会社 ZEROM國澤計画設計室</t>
    <phoneticPr fontId="4"/>
  </si>
  <si>
    <t>カブシキガイシャ ZEROMクニサワケイカクセッケイシツ</t>
    <phoneticPr fontId="4"/>
  </si>
  <si>
    <t>佐野寛様貸店舗(ローソン清水)</t>
    <rPh sb="0" eb="2">
      <t>サノ</t>
    </rPh>
    <rPh sb="2" eb="3">
      <t>カン</t>
    </rPh>
    <rPh sb="3" eb="4">
      <t>サマ</t>
    </rPh>
    <rPh sb="4" eb="5">
      <t>カシ</t>
    </rPh>
    <rPh sb="5" eb="7">
      <t>テンポ</t>
    </rPh>
    <phoneticPr fontId="4"/>
  </si>
  <si>
    <t>静岡県</t>
    <phoneticPr fontId="4"/>
  </si>
  <si>
    <t>駿東郡</t>
    <rPh sb="0" eb="1">
      <t>シュン</t>
    </rPh>
    <rPh sb="1" eb="2">
      <t>ヒガシ</t>
    </rPh>
    <rPh sb="2" eb="3">
      <t>グン</t>
    </rPh>
    <phoneticPr fontId="4"/>
  </si>
  <si>
    <t>清水町中徳蔵</t>
    <rPh sb="0" eb="2">
      <t>シミズ</t>
    </rPh>
    <rPh sb="2" eb="3">
      <t>マチ</t>
    </rPh>
    <rPh sb="3" eb="4">
      <t>ナカ</t>
    </rPh>
    <rPh sb="4" eb="5">
      <t>トク</t>
    </rPh>
    <rPh sb="5" eb="6">
      <t>クラ</t>
    </rPh>
    <phoneticPr fontId="4"/>
  </si>
  <si>
    <t>-</t>
    <phoneticPr fontId="4"/>
  </si>
  <si>
    <t>2.0m</t>
    <phoneticPr fontId="4"/>
  </si>
  <si>
    <t>ｼﾙﾄ</t>
    <phoneticPr fontId="4"/>
  </si>
  <si>
    <t>5.0m</t>
    <phoneticPr fontId="4"/>
  </si>
  <si>
    <t>富田町池の上</t>
    <rPh sb="0" eb="2">
      <t>トミタ</t>
    </rPh>
    <rPh sb="2" eb="3">
      <t>マチ</t>
    </rPh>
    <rPh sb="3" eb="4">
      <t>イケ</t>
    </rPh>
    <rPh sb="5" eb="6">
      <t>ウエ</t>
    </rPh>
    <phoneticPr fontId="4"/>
  </si>
  <si>
    <t>大阪府</t>
    <phoneticPr fontId="4"/>
  </si>
  <si>
    <t>堺市</t>
    <phoneticPr fontId="4"/>
  </si>
  <si>
    <t>北区長曽根町</t>
    <phoneticPr fontId="4"/>
  </si>
  <si>
    <t>1.0m</t>
    <phoneticPr fontId="4"/>
  </si>
  <si>
    <t>ｼﾙﾄ</t>
    <phoneticPr fontId="4"/>
  </si>
  <si>
    <t>店舗・工場</t>
    <rPh sb="0" eb="2">
      <t>テンポ</t>
    </rPh>
    <rPh sb="3" eb="5">
      <t>コウジョウ</t>
    </rPh>
    <phoneticPr fontId="4"/>
  </si>
  <si>
    <t>山形飛鳥 水産加工施設</t>
    <phoneticPr fontId="4"/>
  </si>
  <si>
    <t>山形県</t>
    <phoneticPr fontId="4"/>
  </si>
  <si>
    <t>酒田市</t>
    <phoneticPr fontId="4"/>
  </si>
  <si>
    <t>京田</t>
    <phoneticPr fontId="4"/>
  </si>
  <si>
    <t>足利構造設計</t>
    <phoneticPr fontId="4"/>
  </si>
  <si>
    <t>足利構造設計</t>
    <phoneticPr fontId="4"/>
  </si>
  <si>
    <t>アシカガコウゾウセッケイ</t>
    <phoneticPr fontId="4"/>
  </si>
  <si>
    <t>4.0m</t>
    <phoneticPr fontId="4"/>
  </si>
  <si>
    <t>ｼﾙﾄ</t>
    <phoneticPr fontId="4"/>
  </si>
  <si>
    <t>9.0m</t>
    <phoneticPr fontId="4"/>
  </si>
  <si>
    <t>2.0m</t>
    <phoneticPr fontId="4"/>
  </si>
  <si>
    <t>腐植物混じりｼﾙﾄ</t>
    <rPh sb="0" eb="2">
      <t>フショク</t>
    </rPh>
    <rPh sb="2" eb="3">
      <t>ブツ</t>
    </rPh>
    <rPh sb="3" eb="4">
      <t>マ</t>
    </rPh>
    <phoneticPr fontId="4"/>
  </si>
  <si>
    <t>株式会社 設計舎</t>
    <phoneticPr fontId="4"/>
  </si>
  <si>
    <t>カブシキガイシャ セッケイシャ</t>
    <phoneticPr fontId="4"/>
  </si>
  <si>
    <t>マルハン高槻</t>
    <rPh sb="4" eb="6">
      <t>タカツキ</t>
    </rPh>
    <phoneticPr fontId="4"/>
  </si>
  <si>
    <t>大阪府</t>
    <phoneticPr fontId="4"/>
  </si>
  <si>
    <t>高槻市</t>
    <rPh sb="0" eb="3">
      <t>タカツキシ</t>
    </rPh>
    <phoneticPr fontId="4"/>
  </si>
  <si>
    <t>南庄所町</t>
    <rPh sb="0" eb="1">
      <t>ミナミ</t>
    </rPh>
    <rPh sb="1" eb="2">
      <t>ショウ</t>
    </rPh>
    <rPh sb="2" eb="3">
      <t>トコロ</t>
    </rPh>
    <rPh sb="3" eb="4">
      <t>マチ</t>
    </rPh>
    <phoneticPr fontId="4"/>
  </si>
  <si>
    <t>2</t>
    <phoneticPr fontId="4"/>
  </si>
  <si>
    <t>9.8m</t>
    <phoneticPr fontId="4"/>
  </si>
  <si>
    <t>2.2m</t>
    <phoneticPr fontId="4"/>
  </si>
  <si>
    <t>砂混りｼﾙﾄ</t>
    <rPh sb="0" eb="1">
      <t>スナ</t>
    </rPh>
    <rPh sb="1" eb="2">
      <t>マジ</t>
    </rPh>
    <phoneticPr fontId="4"/>
  </si>
  <si>
    <t>4.4m</t>
    <phoneticPr fontId="4"/>
  </si>
  <si>
    <t>ｼﾙﾄ混じり砂</t>
    <rPh sb="3" eb="4">
      <t>マ</t>
    </rPh>
    <rPh sb="6" eb="7">
      <t>スナ</t>
    </rPh>
    <phoneticPr fontId="4"/>
  </si>
  <si>
    <t>株式会社 アトラス設計</t>
    <rPh sb="0" eb="2">
      <t>カブシキ</t>
    </rPh>
    <rPh sb="2" eb="4">
      <t>カイシャ</t>
    </rPh>
    <rPh sb="9" eb="11">
      <t>セッケイ</t>
    </rPh>
    <phoneticPr fontId="4"/>
  </si>
  <si>
    <t>株式会社 アトラス設計</t>
    <phoneticPr fontId="4"/>
  </si>
  <si>
    <t>カブシキガイシャ アトラスセッケイ</t>
    <phoneticPr fontId="4"/>
  </si>
  <si>
    <t>有限会社 アーキエア</t>
    <rPh sb="0" eb="2">
      <t>ユウゲン</t>
    </rPh>
    <rPh sb="2" eb="4">
      <t>カイシャ</t>
    </rPh>
    <phoneticPr fontId="4"/>
  </si>
  <si>
    <t>有限会社 アーキエア</t>
    <phoneticPr fontId="4"/>
  </si>
  <si>
    <t>ユウゲンガイシャ アーキエア</t>
    <phoneticPr fontId="4"/>
  </si>
  <si>
    <t>和歌山市</t>
    <phoneticPr fontId="4"/>
  </si>
  <si>
    <t>紀三井寺</t>
    <rPh sb="0" eb="1">
      <t>キ</t>
    </rPh>
    <rPh sb="1" eb="3">
      <t>ミツイ</t>
    </rPh>
    <rPh sb="3" eb="4">
      <t>テラ</t>
    </rPh>
    <phoneticPr fontId="4"/>
  </si>
  <si>
    <t>1.0m</t>
    <phoneticPr fontId="4"/>
  </si>
  <si>
    <t>砂混じりｼﾙﾄ</t>
    <rPh sb="0" eb="1">
      <t>スナ</t>
    </rPh>
    <rPh sb="1" eb="2">
      <t>マ</t>
    </rPh>
    <phoneticPr fontId="4"/>
  </si>
  <si>
    <t>3.0m</t>
    <phoneticPr fontId="4"/>
  </si>
  <si>
    <t>静岡県</t>
    <phoneticPr fontId="4"/>
  </si>
  <si>
    <t>浜松市</t>
    <phoneticPr fontId="4"/>
  </si>
  <si>
    <t>西区篠原町</t>
    <rPh sb="0" eb="2">
      <t>ニシク</t>
    </rPh>
    <rPh sb="2" eb="4">
      <t>シノハラ</t>
    </rPh>
    <rPh sb="4" eb="5">
      <t>マチ</t>
    </rPh>
    <phoneticPr fontId="4"/>
  </si>
  <si>
    <t>ｼﾙﾄ</t>
    <phoneticPr fontId="4"/>
  </si>
  <si>
    <t>2.0m</t>
    <phoneticPr fontId="4"/>
  </si>
  <si>
    <t>2.0m</t>
    <phoneticPr fontId="4"/>
  </si>
  <si>
    <t>-</t>
    <phoneticPr fontId="4"/>
  </si>
  <si>
    <t>盛土</t>
    <rPh sb="0" eb="2">
      <t>モリド</t>
    </rPh>
    <phoneticPr fontId="4"/>
  </si>
  <si>
    <t>葬祭場</t>
    <phoneticPr fontId="4"/>
  </si>
  <si>
    <t>広島県庁</t>
    <phoneticPr fontId="4"/>
  </si>
  <si>
    <t>大熊きのこ園</t>
    <rPh sb="0" eb="2">
      <t>オオクマ</t>
    </rPh>
    <rPh sb="5" eb="6">
      <t>エン</t>
    </rPh>
    <phoneticPr fontId="4"/>
  </si>
  <si>
    <t>中野市</t>
    <phoneticPr fontId="4"/>
  </si>
  <si>
    <t>荻原きのこ園</t>
    <rPh sb="0" eb="2">
      <t>オギワラ</t>
    </rPh>
    <rPh sb="5" eb="6">
      <t>エン</t>
    </rPh>
    <phoneticPr fontId="4"/>
  </si>
  <si>
    <t>原きのこ園</t>
    <rPh sb="0" eb="1">
      <t>ハラ</t>
    </rPh>
    <rPh sb="4" eb="5">
      <t>エン</t>
    </rPh>
    <phoneticPr fontId="4"/>
  </si>
  <si>
    <t>上高井郡</t>
    <rPh sb="0" eb="1">
      <t>ウエ</t>
    </rPh>
    <rPh sb="1" eb="3">
      <t>タカイ</t>
    </rPh>
    <rPh sb="3" eb="4">
      <t>グン</t>
    </rPh>
    <phoneticPr fontId="4"/>
  </si>
  <si>
    <t>小布施町大字都住字六川沖東</t>
    <rPh sb="0" eb="1">
      <t>コ</t>
    </rPh>
    <rPh sb="1" eb="3">
      <t>フセ</t>
    </rPh>
    <rPh sb="3" eb="4">
      <t>マチ</t>
    </rPh>
    <rPh sb="4" eb="6">
      <t>オオアザ</t>
    </rPh>
    <rPh sb="6" eb="7">
      <t>ミヤコ</t>
    </rPh>
    <rPh sb="7" eb="8">
      <t>ス</t>
    </rPh>
    <rPh sb="8" eb="9">
      <t>アザ</t>
    </rPh>
    <rPh sb="9" eb="10">
      <t>ロク</t>
    </rPh>
    <rPh sb="10" eb="11">
      <t>カワ</t>
    </rPh>
    <rPh sb="11" eb="12">
      <t>オキ</t>
    </rPh>
    <rPh sb="12" eb="13">
      <t>ヒガシ</t>
    </rPh>
    <phoneticPr fontId="4"/>
  </si>
  <si>
    <t>小池えのき栽培施設</t>
    <rPh sb="0" eb="2">
      <t>コイケ</t>
    </rPh>
    <rPh sb="5" eb="7">
      <t>サイバイ</t>
    </rPh>
    <rPh sb="7" eb="9">
      <t>シセツ</t>
    </rPh>
    <phoneticPr fontId="4"/>
  </si>
  <si>
    <t>大字片塩字蛇塚東どぶ</t>
    <rPh sb="0" eb="2">
      <t>オオアザ</t>
    </rPh>
    <rPh sb="2" eb="3">
      <t>カタ</t>
    </rPh>
    <rPh sb="3" eb="4">
      <t>シオ</t>
    </rPh>
    <rPh sb="4" eb="5">
      <t>アザ</t>
    </rPh>
    <rPh sb="5" eb="6">
      <t>ヘビ</t>
    </rPh>
    <rPh sb="6" eb="7">
      <t>ツカ</t>
    </rPh>
    <rPh sb="7" eb="8">
      <t>ヒガシ</t>
    </rPh>
    <phoneticPr fontId="4"/>
  </si>
  <si>
    <t>埼玉県</t>
    <phoneticPr fontId="4"/>
  </si>
  <si>
    <t>幸手市</t>
    <phoneticPr fontId="4"/>
  </si>
  <si>
    <t>地先</t>
    <phoneticPr fontId="4"/>
  </si>
  <si>
    <t>20m</t>
    <phoneticPr fontId="4"/>
  </si>
  <si>
    <t>10m</t>
    <phoneticPr fontId="4"/>
  </si>
  <si>
    <t>1m</t>
    <phoneticPr fontId="4"/>
  </si>
  <si>
    <t>工場・倉庫</t>
    <rPh sb="0" eb="2">
      <t>コウジョウ</t>
    </rPh>
    <rPh sb="3" eb="5">
      <t>ソウコ</t>
    </rPh>
    <phoneticPr fontId="4"/>
  </si>
  <si>
    <t>株式会社 ADブレイン</t>
    <rPh sb="0" eb="2">
      <t>カブシキ</t>
    </rPh>
    <rPh sb="2" eb="4">
      <t>カイシャ</t>
    </rPh>
    <phoneticPr fontId="4"/>
  </si>
  <si>
    <t>株式会社 ADブレイン</t>
    <phoneticPr fontId="4"/>
  </si>
  <si>
    <t>カブシキガイシャ ADブレイン</t>
    <phoneticPr fontId="4"/>
  </si>
  <si>
    <t>スリーエス建築設計室</t>
  </si>
  <si>
    <t>スリーエス建築設計室</t>
    <rPh sb="5" eb="7">
      <t>ケンチク</t>
    </rPh>
    <rPh sb="7" eb="9">
      <t>セッケイ</t>
    </rPh>
    <rPh sb="9" eb="10">
      <t>シツ</t>
    </rPh>
    <phoneticPr fontId="4"/>
  </si>
  <si>
    <t>スリーエス建築設計室</t>
    <phoneticPr fontId="4"/>
  </si>
  <si>
    <t>スリーエスケンチクセッケイシツ</t>
    <phoneticPr fontId="4"/>
  </si>
  <si>
    <t>株式会社 第一建築設計事務所</t>
    <phoneticPr fontId="4"/>
  </si>
  <si>
    <t>株式会社 第一建築設計事務所</t>
    <phoneticPr fontId="4"/>
  </si>
  <si>
    <t>カブシキガイシャ ダイイチケンチクセッケイジムショ</t>
    <phoneticPr fontId="4"/>
  </si>
  <si>
    <t>久世建築設計室</t>
    <phoneticPr fontId="4"/>
  </si>
  <si>
    <t>久世建築設計室</t>
    <phoneticPr fontId="4"/>
  </si>
  <si>
    <t>クゼケンチクセッケイシツ</t>
    <phoneticPr fontId="4"/>
  </si>
  <si>
    <t>ｼﾙﾄ</t>
    <phoneticPr fontId="4"/>
  </si>
  <si>
    <t>3m</t>
    <phoneticPr fontId="4"/>
  </si>
  <si>
    <t>6m</t>
    <phoneticPr fontId="4"/>
  </si>
  <si>
    <t>江東区</t>
    <rPh sb="0" eb="3">
      <t>コウトウク</t>
    </rPh>
    <phoneticPr fontId="4"/>
  </si>
  <si>
    <t>大島</t>
    <rPh sb="0" eb="2">
      <t>オオシマ</t>
    </rPh>
    <phoneticPr fontId="4"/>
  </si>
  <si>
    <t>6.0m</t>
    <phoneticPr fontId="4"/>
  </si>
  <si>
    <t>2.0m</t>
    <phoneticPr fontId="4"/>
  </si>
  <si>
    <t>3.5m</t>
    <phoneticPr fontId="4"/>
  </si>
  <si>
    <t>ｼﾙﾄ質細砂</t>
    <rPh sb="3" eb="4">
      <t>シツ</t>
    </rPh>
    <rPh sb="4" eb="5">
      <t>サイ</t>
    </rPh>
    <rPh sb="5" eb="6">
      <t>スナ</t>
    </rPh>
    <phoneticPr fontId="4"/>
  </si>
  <si>
    <t>○</t>
    <phoneticPr fontId="4"/>
  </si>
  <si>
    <t>-</t>
    <phoneticPr fontId="4"/>
  </si>
  <si>
    <t>1.0m</t>
    <phoneticPr fontId="4"/>
  </si>
  <si>
    <t>1.0m</t>
    <phoneticPr fontId="4"/>
  </si>
  <si>
    <t>粘土質ｼﾙﾄ</t>
    <rPh sb="0" eb="2">
      <t>ネンド</t>
    </rPh>
    <rPh sb="2" eb="3">
      <t>シツ</t>
    </rPh>
    <phoneticPr fontId="4"/>
  </si>
  <si>
    <t>3.0m</t>
    <phoneticPr fontId="4"/>
  </si>
  <si>
    <t>12.0m</t>
    <phoneticPr fontId="4"/>
  </si>
  <si>
    <t>8.0m</t>
    <phoneticPr fontId="4"/>
  </si>
  <si>
    <t>礫混じりｼﾙﾄ質砂</t>
    <rPh sb="0" eb="1">
      <t>レキ</t>
    </rPh>
    <rPh sb="1" eb="2">
      <t>マ</t>
    </rPh>
    <rPh sb="7" eb="8">
      <t>シツ</t>
    </rPh>
    <rPh sb="8" eb="9">
      <t>スナ</t>
    </rPh>
    <phoneticPr fontId="4"/>
  </si>
  <si>
    <t>有機質ｼﾙﾄ</t>
    <rPh sb="0" eb="3">
      <t>ユウキシツ</t>
    </rPh>
    <phoneticPr fontId="4"/>
  </si>
  <si>
    <t>5.0m</t>
    <phoneticPr fontId="4"/>
  </si>
  <si>
    <t>細砂</t>
    <rPh sb="0" eb="1">
      <t>サイ</t>
    </rPh>
    <rPh sb="1" eb="2">
      <t>スナ</t>
    </rPh>
    <phoneticPr fontId="4"/>
  </si>
  <si>
    <t>ｼﾙﾄ質粘土</t>
    <rPh sb="3" eb="4">
      <t>シツ</t>
    </rPh>
    <rPh sb="4" eb="6">
      <t>ネンド</t>
    </rPh>
    <phoneticPr fontId="4"/>
  </si>
  <si>
    <t>14.0m</t>
    <phoneticPr fontId="4"/>
  </si>
  <si>
    <t>3.0m</t>
    <phoneticPr fontId="4"/>
  </si>
  <si>
    <t>下風構造設計</t>
  </si>
  <si>
    <t>下風構造設計</t>
    <phoneticPr fontId="4"/>
  </si>
  <si>
    <t>シモカゼコウゾウセッケイ</t>
    <phoneticPr fontId="4"/>
  </si>
  <si>
    <t>つくば建築設計事務所 株式会社</t>
    <rPh sb="11" eb="13">
      <t>カブシキ</t>
    </rPh>
    <rPh sb="13" eb="15">
      <t>カイシャ</t>
    </rPh>
    <phoneticPr fontId="4"/>
  </si>
  <si>
    <t>つくば建築設計事務所 株式会社</t>
    <phoneticPr fontId="4"/>
  </si>
  <si>
    <t>ツクバケンチクセッケイジムショ カブシキガイシャ</t>
    <phoneticPr fontId="4"/>
  </si>
  <si>
    <t>有限会社 けっそく設計</t>
    <rPh sb="0" eb="2">
      <t>ユウゲン</t>
    </rPh>
    <rPh sb="2" eb="4">
      <t>カイシャ</t>
    </rPh>
    <phoneticPr fontId="4"/>
  </si>
  <si>
    <t>有限会社 けっそく設計</t>
    <phoneticPr fontId="4"/>
  </si>
  <si>
    <t>ユウゲンガイシャ ケッソクセッケイ</t>
    <phoneticPr fontId="4"/>
  </si>
  <si>
    <t>有限会社 加藤建築設計事務所</t>
    <phoneticPr fontId="4"/>
  </si>
  <si>
    <t>広島県北部建設事務所</t>
    <phoneticPr fontId="4"/>
  </si>
  <si>
    <t>1.0m</t>
    <phoneticPr fontId="4"/>
  </si>
  <si>
    <t>ｼﾙﾄ</t>
    <phoneticPr fontId="4"/>
  </si>
  <si>
    <t>3.0m</t>
    <phoneticPr fontId="4"/>
  </si>
  <si>
    <t>ｼﾙﾄ質砂</t>
    <rPh sb="3" eb="4">
      <t>シツ</t>
    </rPh>
    <rPh sb="4" eb="5">
      <t>スナ</t>
    </rPh>
    <phoneticPr fontId="4"/>
  </si>
  <si>
    <t>2.0m</t>
    <phoneticPr fontId="4"/>
  </si>
  <si>
    <t>株式会社 国際確認検査センター</t>
    <phoneticPr fontId="4"/>
  </si>
  <si>
    <t>稲田製作所</t>
    <rPh sb="0" eb="2">
      <t>イナダ</t>
    </rPh>
    <rPh sb="2" eb="5">
      <t>セイサクショ</t>
    </rPh>
    <phoneticPr fontId="4"/>
  </si>
  <si>
    <t>若穂綿内</t>
    <rPh sb="0" eb="1">
      <t>ワカ</t>
    </rPh>
    <rPh sb="1" eb="2">
      <t>ホ</t>
    </rPh>
    <rPh sb="2" eb="3">
      <t>メン</t>
    </rPh>
    <rPh sb="3" eb="4">
      <t>ナイ</t>
    </rPh>
    <phoneticPr fontId="4"/>
  </si>
  <si>
    <t>佐藤建築設計室</t>
    <rPh sb="0" eb="2">
      <t>サトウ</t>
    </rPh>
    <rPh sb="2" eb="4">
      <t>ケンチク</t>
    </rPh>
    <rPh sb="4" eb="6">
      <t>セッケイ</t>
    </rPh>
    <rPh sb="6" eb="7">
      <t>シツ</t>
    </rPh>
    <phoneticPr fontId="4"/>
  </si>
  <si>
    <t>佐藤建築設計室</t>
    <phoneticPr fontId="4"/>
  </si>
  <si>
    <t>株式会社 シィ・エス・エス</t>
    <rPh sb="0" eb="2">
      <t>カブシキ</t>
    </rPh>
    <rPh sb="2" eb="4">
      <t>カイシャ</t>
    </rPh>
    <phoneticPr fontId="4"/>
  </si>
  <si>
    <t>株式会社 シィ・エス・エス</t>
    <phoneticPr fontId="4"/>
  </si>
  <si>
    <t>サトウケンチクセッケイシツ</t>
    <phoneticPr fontId="4"/>
  </si>
  <si>
    <t>カブシキガイシャ シィ・エス・エス</t>
    <phoneticPr fontId="4"/>
  </si>
  <si>
    <t>株式会社 EMI確認検査機構</t>
    <rPh sb="0" eb="2">
      <t>カブシキ</t>
    </rPh>
    <rPh sb="2" eb="4">
      <t>カイシャ</t>
    </rPh>
    <rPh sb="8" eb="10">
      <t>カクニン</t>
    </rPh>
    <rPh sb="10" eb="12">
      <t>ケンサ</t>
    </rPh>
    <rPh sb="12" eb="14">
      <t>キコウ</t>
    </rPh>
    <phoneticPr fontId="4"/>
  </si>
  <si>
    <t>株式会社 EMI確認検査機構</t>
    <phoneticPr fontId="4"/>
  </si>
  <si>
    <t>TBTC名古屋構造センター</t>
    <phoneticPr fontId="4"/>
  </si>
  <si>
    <t>ビューローベリタスジャパン株式会社(札幌)</t>
    <phoneticPr fontId="4"/>
  </si>
  <si>
    <t>財団法人 ベターリビング</t>
    <phoneticPr fontId="4"/>
  </si>
  <si>
    <t>京都府</t>
    <phoneticPr fontId="4"/>
  </si>
  <si>
    <t>亀岡市</t>
    <rPh sb="0" eb="3">
      <t>カメオカシ</t>
    </rPh>
    <phoneticPr fontId="4"/>
  </si>
  <si>
    <t>大井町</t>
    <rPh sb="0" eb="2">
      <t>オオイ</t>
    </rPh>
    <rPh sb="2" eb="3">
      <t>マチ</t>
    </rPh>
    <phoneticPr fontId="4"/>
  </si>
  <si>
    <t>亀岡大井町ストックヤード(整備場棟)</t>
    <rPh sb="13" eb="16">
      <t>セイビジョウ</t>
    </rPh>
    <rPh sb="16" eb="17">
      <t>トウ</t>
    </rPh>
    <phoneticPr fontId="4"/>
  </si>
  <si>
    <t>亀岡大井町ストックヤード(駐車場棟)</t>
    <rPh sb="13" eb="16">
      <t>チュウシャジョウ</t>
    </rPh>
    <rPh sb="16" eb="17">
      <t>トウ</t>
    </rPh>
    <phoneticPr fontId="4"/>
  </si>
  <si>
    <t>駐車場</t>
    <rPh sb="0" eb="2">
      <t>チュウシャ</t>
    </rPh>
    <rPh sb="2" eb="3">
      <t>ジョウ</t>
    </rPh>
    <phoneticPr fontId="4"/>
  </si>
  <si>
    <t>3</t>
    <phoneticPr fontId="4"/>
  </si>
  <si>
    <t>株式会社 ノム建築設計室</t>
    <rPh sb="0" eb="2">
      <t>カブシキ</t>
    </rPh>
    <rPh sb="2" eb="4">
      <t>カイシャ</t>
    </rPh>
    <rPh sb="7" eb="9">
      <t>ケンチク</t>
    </rPh>
    <rPh sb="9" eb="11">
      <t>セッケイ</t>
    </rPh>
    <rPh sb="11" eb="12">
      <t>シツ</t>
    </rPh>
    <phoneticPr fontId="4"/>
  </si>
  <si>
    <t>株式会社 ノム建築設計室</t>
    <phoneticPr fontId="4"/>
  </si>
  <si>
    <t>カブシキガイシャ ノムケンチクセッケイシツ</t>
    <phoneticPr fontId="4"/>
  </si>
  <si>
    <t>中部薬品笠松</t>
    <rPh sb="0" eb="2">
      <t>チュウブ</t>
    </rPh>
    <rPh sb="2" eb="4">
      <t>ヤクヒン</t>
    </rPh>
    <rPh sb="4" eb="6">
      <t>カサマツ</t>
    </rPh>
    <phoneticPr fontId="4"/>
  </si>
  <si>
    <t>岐阜県</t>
    <phoneticPr fontId="4"/>
  </si>
  <si>
    <t>羽島郡</t>
    <rPh sb="0" eb="2">
      <t>ハシマ</t>
    </rPh>
    <rPh sb="2" eb="3">
      <t>グン</t>
    </rPh>
    <phoneticPr fontId="4"/>
  </si>
  <si>
    <t>笠松町</t>
    <rPh sb="0" eb="2">
      <t>カサマツ</t>
    </rPh>
    <rPh sb="2" eb="3">
      <t>マチ</t>
    </rPh>
    <phoneticPr fontId="4"/>
  </si>
  <si>
    <t>悦和産業</t>
    <rPh sb="0" eb="1">
      <t>エツ</t>
    </rPh>
    <rPh sb="1" eb="2">
      <t>ワ</t>
    </rPh>
    <rPh sb="2" eb="4">
      <t>サンギョウ</t>
    </rPh>
    <phoneticPr fontId="4"/>
  </si>
  <si>
    <t>中野市</t>
    <phoneticPr fontId="4"/>
  </si>
  <si>
    <t>錦町アピタ太陽2</t>
    <rPh sb="0" eb="1">
      <t>ニシキ</t>
    </rPh>
    <rPh sb="1" eb="2">
      <t>マチ</t>
    </rPh>
    <rPh sb="5" eb="7">
      <t>タイヨウ</t>
    </rPh>
    <phoneticPr fontId="4"/>
  </si>
  <si>
    <t>釧路市</t>
    <rPh sb="0" eb="3">
      <t>クシロシ</t>
    </rPh>
    <phoneticPr fontId="4"/>
  </si>
  <si>
    <t>錦町</t>
    <rPh sb="0" eb="1">
      <t>ニシキ</t>
    </rPh>
    <rPh sb="1" eb="2">
      <t>マチ</t>
    </rPh>
    <phoneticPr fontId="4"/>
  </si>
  <si>
    <t>有限会社 アブス構造設計釧路</t>
    <rPh sb="0" eb="2">
      <t>ユウゲン</t>
    </rPh>
    <rPh sb="2" eb="4">
      <t>カイシャ</t>
    </rPh>
    <rPh sb="8" eb="10">
      <t>コウゾウ</t>
    </rPh>
    <rPh sb="10" eb="12">
      <t>セッケイ</t>
    </rPh>
    <rPh sb="12" eb="14">
      <t>クシロ</t>
    </rPh>
    <phoneticPr fontId="4"/>
  </si>
  <si>
    <t>有限会社 アブス構造設計釧路</t>
    <phoneticPr fontId="4"/>
  </si>
  <si>
    <t>ユウゲンガイシャ アブスコウゾウセッケイクシロ</t>
    <phoneticPr fontId="4"/>
  </si>
  <si>
    <t>北海道ｸﾘﾝﾒﾝﾃﾅﾝｽ工業 株式会社 石川建築事務所</t>
    <rPh sb="0" eb="3">
      <t>ホッカイドウ</t>
    </rPh>
    <rPh sb="12" eb="14">
      <t>コウギョウ</t>
    </rPh>
    <rPh sb="15" eb="17">
      <t>カブシキ</t>
    </rPh>
    <rPh sb="17" eb="19">
      <t>カイシャ</t>
    </rPh>
    <rPh sb="20" eb="22">
      <t>イシカワ</t>
    </rPh>
    <rPh sb="22" eb="24">
      <t>ケンチク</t>
    </rPh>
    <rPh sb="24" eb="26">
      <t>ジム</t>
    </rPh>
    <rPh sb="26" eb="27">
      <t>ショ</t>
    </rPh>
    <phoneticPr fontId="4"/>
  </si>
  <si>
    <t>北海道ｸﾘﾝﾒﾝﾃﾅﾝｽ工業 株式会社 石川建築事務所</t>
    <phoneticPr fontId="4"/>
  </si>
  <si>
    <t>ホッカイドウクリンメンテナンスコウギョウ イシカワケンチクジムショ</t>
    <phoneticPr fontId="4"/>
  </si>
  <si>
    <t>財団法人 日本建築センター(大阪)</t>
    <rPh sb="14" eb="16">
      <t>オオサカ</t>
    </rPh>
    <phoneticPr fontId="4"/>
  </si>
  <si>
    <t>3m</t>
    <phoneticPr fontId="4"/>
  </si>
  <si>
    <t>2m</t>
    <phoneticPr fontId="4"/>
  </si>
  <si>
    <t>砂質ｼﾙﾄ</t>
    <rPh sb="0" eb="2">
      <t>サシツ</t>
    </rPh>
    <phoneticPr fontId="4"/>
  </si>
  <si>
    <t>7m</t>
    <phoneticPr fontId="4"/>
  </si>
  <si>
    <t>4m</t>
    <phoneticPr fontId="4"/>
  </si>
  <si>
    <t>ｼﾙﾄ混り砂</t>
    <rPh sb="3" eb="4">
      <t>マジ</t>
    </rPh>
    <rPh sb="5" eb="6">
      <t>スナ</t>
    </rPh>
    <phoneticPr fontId="4"/>
  </si>
  <si>
    <t>-</t>
    <phoneticPr fontId="4"/>
  </si>
  <si>
    <t>矢賀新町マンション</t>
    <rPh sb="0" eb="2">
      <t>ヤガ</t>
    </rPh>
    <rPh sb="2" eb="4">
      <t>シンマチ</t>
    </rPh>
    <phoneticPr fontId="4"/>
  </si>
  <si>
    <t>広島市</t>
    <phoneticPr fontId="4"/>
  </si>
  <si>
    <t>東区矢賀新町</t>
    <rPh sb="0" eb="2">
      <t>ヒガシク</t>
    </rPh>
    <rPh sb="2" eb="4">
      <t>ヤガ</t>
    </rPh>
    <rPh sb="4" eb="5">
      <t>シン</t>
    </rPh>
    <rPh sb="5" eb="6">
      <t>マチ</t>
    </rPh>
    <phoneticPr fontId="4"/>
  </si>
  <si>
    <t>株式会社 和企画設計</t>
    <phoneticPr fontId="4"/>
  </si>
  <si>
    <t>5m</t>
    <phoneticPr fontId="4"/>
  </si>
  <si>
    <t>ｼﾙﾄ</t>
    <phoneticPr fontId="4"/>
  </si>
  <si>
    <t>砂質ｼﾙﾄ・ｼﾙﾄ質砂</t>
    <rPh sb="0" eb="2">
      <t>サシツ</t>
    </rPh>
    <rPh sb="9" eb="10">
      <t>シツ</t>
    </rPh>
    <rPh sb="10" eb="11">
      <t>スナ</t>
    </rPh>
    <phoneticPr fontId="4"/>
  </si>
  <si>
    <t>6m</t>
    <phoneticPr fontId="4"/>
  </si>
  <si>
    <t>日本ERI 株式会社(北海道)</t>
    <rPh sb="11" eb="14">
      <t>ホッカイドウ</t>
    </rPh>
    <phoneticPr fontId="4"/>
  </si>
  <si>
    <t>日本ERI 株式会社(さいたま)</t>
    <phoneticPr fontId="4"/>
  </si>
  <si>
    <t>中部薬品二瀬</t>
    <rPh sb="0" eb="2">
      <t>チュウブ</t>
    </rPh>
    <rPh sb="2" eb="4">
      <t>ヤクヒン</t>
    </rPh>
    <rPh sb="4" eb="5">
      <t>フタ</t>
    </rPh>
    <rPh sb="5" eb="6">
      <t>セ</t>
    </rPh>
    <phoneticPr fontId="4"/>
  </si>
  <si>
    <t>中村区二瀬町</t>
    <rPh sb="3" eb="4">
      <t>フタ</t>
    </rPh>
    <rPh sb="4" eb="5">
      <t>セ</t>
    </rPh>
    <rPh sb="5" eb="6">
      <t>マチ</t>
    </rPh>
    <phoneticPr fontId="4"/>
  </si>
  <si>
    <t>2m</t>
    <phoneticPr fontId="4"/>
  </si>
  <si>
    <t>砂</t>
    <rPh sb="0" eb="1">
      <t>スナ</t>
    </rPh>
    <phoneticPr fontId="4"/>
  </si>
  <si>
    <t>テクノブリッジ</t>
    <phoneticPr fontId="4"/>
  </si>
  <si>
    <t>バロー湖西古見</t>
    <rPh sb="3" eb="5">
      <t>コサイ</t>
    </rPh>
    <rPh sb="5" eb="7">
      <t>フルミ</t>
    </rPh>
    <phoneticPr fontId="4"/>
  </si>
  <si>
    <t>静岡県</t>
    <phoneticPr fontId="4"/>
  </si>
  <si>
    <t>湖西市</t>
    <rPh sb="0" eb="3">
      <t>コサイシ</t>
    </rPh>
    <phoneticPr fontId="4"/>
  </si>
  <si>
    <t>古見</t>
    <rPh sb="0" eb="2">
      <t>フルミ</t>
    </rPh>
    <phoneticPr fontId="4"/>
  </si>
  <si>
    <t>1m</t>
    <phoneticPr fontId="4"/>
  </si>
  <si>
    <t>5m</t>
    <phoneticPr fontId="4"/>
  </si>
  <si>
    <t>礫混り砂・細砂</t>
    <rPh sb="0" eb="1">
      <t>レキ</t>
    </rPh>
    <rPh sb="1" eb="2">
      <t>マジ</t>
    </rPh>
    <rPh sb="3" eb="4">
      <t>スナ</t>
    </rPh>
    <rPh sb="5" eb="6">
      <t>サイ</t>
    </rPh>
    <rPh sb="6" eb="7">
      <t>スナ</t>
    </rPh>
    <phoneticPr fontId="4"/>
  </si>
  <si>
    <t>株式会社 国際確認検査センター</t>
    <phoneticPr fontId="4"/>
  </si>
  <si>
    <t>株式会社 ビーイー設計</t>
    <phoneticPr fontId="4"/>
  </si>
  <si>
    <t>兵庫県</t>
    <phoneticPr fontId="4"/>
  </si>
  <si>
    <t>北区鹿の子台南町</t>
    <phoneticPr fontId="4"/>
  </si>
  <si>
    <t>酔鯨酒造</t>
    <rPh sb="0" eb="1">
      <t>ヨ</t>
    </rPh>
    <rPh sb="1" eb="2">
      <t>クジラ</t>
    </rPh>
    <rPh sb="2" eb="4">
      <t>シュゾウ</t>
    </rPh>
    <phoneticPr fontId="4"/>
  </si>
  <si>
    <t>土佐市</t>
    <rPh sb="0" eb="3">
      <t>トサシ</t>
    </rPh>
    <phoneticPr fontId="4"/>
  </si>
  <si>
    <t>甲原</t>
    <rPh sb="0" eb="1">
      <t>コウ</t>
    </rPh>
    <rPh sb="1" eb="2">
      <t>ハラ</t>
    </rPh>
    <phoneticPr fontId="4"/>
  </si>
  <si>
    <t>1-1,2</t>
    <phoneticPr fontId="4"/>
  </si>
  <si>
    <t>工場</t>
    <phoneticPr fontId="4"/>
  </si>
  <si>
    <t>日本ERI 株式会社(新潟)</t>
    <rPh sb="11" eb="13">
      <t>ニイガタ</t>
    </rPh>
    <phoneticPr fontId="4"/>
  </si>
  <si>
    <t>岐阜県</t>
    <phoneticPr fontId="4"/>
  </si>
  <si>
    <t>木曽郡</t>
    <phoneticPr fontId="4"/>
  </si>
  <si>
    <t>南木曽町田立</t>
    <phoneticPr fontId="4"/>
  </si>
  <si>
    <t>2.0m</t>
    <phoneticPr fontId="4"/>
  </si>
  <si>
    <t>4.0m</t>
    <phoneticPr fontId="4"/>
  </si>
  <si>
    <t>raum設計工房</t>
    <rPh sb="4" eb="6">
      <t>セッケイ</t>
    </rPh>
    <rPh sb="6" eb="8">
      <t>コウボウ</t>
    </rPh>
    <phoneticPr fontId="4"/>
  </si>
  <si>
    <t>raum設計工房</t>
    <phoneticPr fontId="4"/>
  </si>
  <si>
    <t>raumセッケイコウボウ</t>
    <phoneticPr fontId="4"/>
  </si>
  <si>
    <t>S_プランズ</t>
    <phoneticPr fontId="4"/>
  </si>
  <si>
    <t>Sプランズ</t>
    <phoneticPr fontId="4"/>
  </si>
  <si>
    <t>財団法人 福井県建築住宅センター</t>
    <phoneticPr fontId="4"/>
  </si>
  <si>
    <t>4.0m</t>
    <phoneticPr fontId="4"/>
  </si>
  <si>
    <t>5.0m</t>
    <phoneticPr fontId="4"/>
  </si>
  <si>
    <t>ｼﾙﾄ・粘土</t>
    <rPh sb="4" eb="6">
      <t>ネンド</t>
    </rPh>
    <phoneticPr fontId="4"/>
  </si>
  <si>
    <t>7.0m</t>
    <phoneticPr fontId="4"/>
  </si>
  <si>
    <t>3.6m</t>
    <phoneticPr fontId="4"/>
  </si>
  <si>
    <t>久慈市</t>
    <rPh sb="0" eb="3">
      <t>クジシ</t>
    </rPh>
    <phoneticPr fontId="4"/>
  </si>
  <si>
    <t>小久慈町</t>
    <rPh sb="0" eb="1">
      <t>コ</t>
    </rPh>
    <rPh sb="1" eb="3">
      <t>クジ</t>
    </rPh>
    <rPh sb="3" eb="4">
      <t>マチ</t>
    </rPh>
    <phoneticPr fontId="4"/>
  </si>
  <si>
    <t>株式会社 ジェイ・ネット</t>
    <phoneticPr fontId="4"/>
  </si>
  <si>
    <t>株式会社 国際確認検査センター</t>
    <phoneticPr fontId="4"/>
  </si>
  <si>
    <t>島根電工(株)出雲支店</t>
    <rPh sb="0" eb="2">
      <t>シマネ</t>
    </rPh>
    <rPh sb="2" eb="4">
      <t>デンコウ</t>
    </rPh>
    <rPh sb="4" eb="7">
      <t>カブ</t>
    </rPh>
    <rPh sb="7" eb="9">
      <t>イズモ</t>
    </rPh>
    <rPh sb="9" eb="11">
      <t>シテン</t>
    </rPh>
    <phoneticPr fontId="4"/>
  </si>
  <si>
    <t>斐川町併川</t>
    <rPh sb="3" eb="4">
      <t>アワ</t>
    </rPh>
    <rPh sb="4" eb="5">
      <t>カワ</t>
    </rPh>
    <phoneticPr fontId="4"/>
  </si>
  <si>
    <t>2m</t>
    <phoneticPr fontId="4"/>
  </si>
  <si>
    <t>9m</t>
    <phoneticPr fontId="4"/>
  </si>
  <si>
    <t>1-2,3</t>
    <phoneticPr fontId="4"/>
  </si>
  <si>
    <t>川崎区塩浜</t>
    <rPh sb="0" eb="3">
      <t>カワサキク</t>
    </rPh>
    <rPh sb="3" eb="5">
      <t>シオハマ</t>
    </rPh>
    <phoneticPr fontId="4"/>
  </si>
  <si>
    <t>10m</t>
    <phoneticPr fontId="4"/>
  </si>
  <si>
    <t>2m</t>
    <phoneticPr fontId="4"/>
  </si>
  <si>
    <t>京都府</t>
    <phoneticPr fontId="4"/>
  </si>
  <si>
    <t>城陽市</t>
    <phoneticPr fontId="4"/>
  </si>
  <si>
    <t>市辺白坂</t>
    <phoneticPr fontId="4"/>
  </si>
  <si>
    <t>5.8m</t>
    <phoneticPr fontId="4"/>
  </si>
  <si>
    <t>ｼﾙﾄ混じり粘土</t>
    <rPh sb="3" eb="4">
      <t>マ</t>
    </rPh>
    <rPh sb="6" eb="8">
      <t>ネンド</t>
    </rPh>
    <phoneticPr fontId="4"/>
  </si>
  <si>
    <t>1.0m</t>
    <phoneticPr fontId="4"/>
  </si>
  <si>
    <t>埋土</t>
    <rPh sb="0" eb="1">
      <t>ウ</t>
    </rPh>
    <rPh sb="1" eb="2">
      <t>ド</t>
    </rPh>
    <phoneticPr fontId="4"/>
  </si>
  <si>
    <t>-</t>
    <phoneticPr fontId="4"/>
  </si>
  <si>
    <t>株式会社 ぎふ建築住宅センター</t>
    <phoneticPr fontId="4"/>
  </si>
  <si>
    <t>ツルハドラッグ村山河島</t>
    <rPh sb="7" eb="9">
      <t>ムラヤマ</t>
    </rPh>
    <rPh sb="9" eb="10">
      <t>カワ</t>
    </rPh>
    <rPh sb="10" eb="11">
      <t>シマ</t>
    </rPh>
    <phoneticPr fontId="4"/>
  </si>
  <si>
    <t>山形県</t>
    <phoneticPr fontId="4"/>
  </si>
  <si>
    <t>村山市</t>
    <rPh sb="0" eb="2">
      <t>ムラヤマ</t>
    </rPh>
    <rPh sb="2" eb="3">
      <t>シ</t>
    </rPh>
    <phoneticPr fontId="4"/>
  </si>
  <si>
    <t>河島字</t>
    <rPh sb="0" eb="2">
      <t>カワシマ</t>
    </rPh>
    <rPh sb="2" eb="3">
      <t>アザ</t>
    </rPh>
    <phoneticPr fontId="4"/>
  </si>
  <si>
    <t>株式会社 国際確認検査センター</t>
    <phoneticPr fontId="4"/>
  </si>
  <si>
    <t>100満ボルト東苗穂</t>
    <rPh sb="3" eb="4">
      <t>マン</t>
    </rPh>
    <rPh sb="7" eb="8">
      <t>ヒガシ</t>
    </rPh>
    <rPh sb="8" eb="9">
      <t>ナエ</t>
    </rPh>
    <rPh sb="9" eb="10">
      <t>ホ</t>
    </rPh>
    <phoneticPr fontId="4"/>
  </si>
  <si>
    <t>東区</t>
    <rPh sb="0" eb="2">
      <t>ヒガシク</t>
    </rPh>
    <phoneticPr fontId="4"/>
  </si>
  <si>
    <t>東苗穂</t>
    <rPh sb="0" eb="1">
      <t>ヒガシ</t>
    </rPh>
    <rPh sb="1" eb="2">
      <t>ナエ</t>
    </rPh>
    <rPh sb="2" eb="3">
      <t>ホ</t>
    </rPh>
    <phoneticPr fontId="4"/>
  </si>
  <si>
    <t>福岡県</t>
    <phoneticPr fontId="4"/>
  </si>
  <si>
    <t>北九州市</t>
    <phoneticPr fontId="4"/>
  </si>
  <si>
    <t>小倉南区徳力</t>
    <phoneticPr fontId="4"/>
  </si>
  <si>
    <t>株式会社 フジタ</t>
    <rPh sb="0" eb="2">
      <t>カブシキ</t>
    </rPh>
    <rPh sb="2" eb="4">
      <t>カイシャ</t>
    </rPh>
    <phoneticPr fontId="4"/>
  </si>
  <si>
    <t>株式会社 フジタ</t>
    <phoneticPr fontId="4"/>
  </si>
  <si>
    <t>カブシキガイシャ フジタ</t>
    <phoneticPr fontId="4"/>
  </si>
  <si>
    <t>事務所</t>
    <phoneticPr fontId="4"/>
  </si>
  <si>
    <t>東北マツダ秋田ＢＰ</t>
    <phoneticPr fontId="4"/>
  </si>
  <si>
    <t>秋田県</t>
    <phoneticPr fontId="4"/>
  </si>
  <si>
    <t>秋田市</t>
    <phoneticPr fontId="4"/>
  </si>
  <si>
    <t>八橋新川向</t>
    <phoneticPr fontId="4"/>
  </si>
  <si>
    <t>株式会社 山陽設計</t>
    <rPh sb="5" eb="7">
      <t>サンヨウ</t>
    </rPh>
    <rPh sb="7" eb="9">
      <t>セッケイ</t>
    </rPh>
    <phoneticPr fontId="4"/>
  </si>
  <si>
    <t>新子安方面保育所</t>
    <rPh sb="0" eb="1">
      <t>シン</t>
    </rPh>
    <rPh sb="1" eb="2">
      <t>コ</t>
    </rPh>
    <rPh sb="2" eb="3">
      <t>ヤス</t>
    </rPh>
    <rPh sb="3" eb="5">
      <t>ホウメン</t>
    </rPh>
    <rPh sb="5" eb="7">
      <t>ホイク</t>
    </rPh>
    <rPh sb="7" eb="8">
      <t>ショ</t>
    </rPh>
    <phoneticPr fontId="4"/>
  </si>
  <si>
    <t>横浜市</t>
    <phoneticPr fontId="4"/>
  </si>
  <si>
    <t>神奈川区新子安</t>
    <rPh sb="0" eb="4">
      <t>カナガワク</t>
    </rPh>
    <phoneticPr fontId="4"/>
  </si>
  <si>
    <t>2m</t>
    <phoneticPr fontId="4"/>
  </si>
  <si>
    <t>室通北広島3号倉庫</t>
    <rPh sb="0" eb="1">
      <t>シツ</t>
    </rPh>
    <rPh sb="1" eb="2">
      <t>トオ</t>
    </rPh>
    <rPh sb="2" eb="3">
      <t>キタ</t>
    </rPh>
    <rPh sb="3" eb="5">
      <t>ヒロシマ</t>
    </rPh>
    <rPh sb="6" eb="7">
      <t>ゴウ</t>
    </rPh>
    <rPh sb="7" eb="9">
      <t>ソウコ</t>
    </rPh>
    <phoneticPr fontId="4"/>
  </si>
  <si>
    <t>北広島市</t>
    <rPh sb="0" eb="1">
      <t>キタ</t>
    </rPh>
    <rPh sb="1" eb="3">
      <t>ヒロシマ</t>
    </rPh>
    <rPh sb="3" eb="4">
      <t>シ</t>
    </rPh>
    <phoneticPr fontId="4"/>
  </si>
  <si>
    <t>北の里</t>
    <rPh sb="0" eb="1">
      <t>キタ</t>
    </rPh>
    <rPh sb="2" eb="3">
      <t>サト</t>
    </rPh>
    <phoneticPr fontId="4"/>
  </si>
  <si>
    <t>株式会社 京都確認検査機構</t>
    <rPh sb="0" eb="2">
      <t>カブシキ</t>
    </rPh>
    <rPh sb="2" eb="4">
      <t>カイシャ</t>
    </rPh>
    <rPh sb="5" eb="7">
      <t>キョウト</t>
    </rPh>
    <rPh sb="7" eb="9">
      <t>カクニン</t>
    </rPh>
    <rPh sb="9" eb="11">
      <t>ケンサ</t>
    </rPh>
    <rPh sb="11" eb="13">
      <t>キコウ</t>
    </rPh>
    <phoneticPr fontId="4"/>
  </si>
  <si>
    <t>株式会社 京都確認検査機構</t>
    <phoneticPr fontId="4"/>
  </si>
  <si>
    <t>ホーマック東苗穂</t>
    <rPh sb="5" eb="6">
      <t>ヒガシ</t>
    </rPh>
    <rPh sb="6" eb="7">
      <t>ナエ</t>
    </rPh>
    <rPh sb="7" eb="8">
      <t>ホ</t>
    </rPh>
    <phoneticPr fontId="4"/>
  </si>
  <si>
    <t>今井運送</t>
    <rPh sb="0" eb="2">
      <t>イマイ</t>
    </rPh>
    <rPh sb="2" eb="4">
      <t>ウンソウ</t>
    </rPh>
    <phoneticPr fontId="4"/>
  </si>
  <si>
    <t>廿日市市</t>
    <rPh sb="0" eb="4">
      <t>ハツカイチシ</t>
    </rPh>
    <phoneticPr fontId="4"/>
  </si>
  <si>
    <t>木材湊北</t>
    <rPh sb="0" eb="2">
      <t>モクザイ</t>
    </rPh>
    <rPh sb="2" eb="3">
      <t>ミナト</t>
    </rPh>
    <rPh sb="3" eb="4">
      <t>キタ</t>
    </rPh>
    <phoneticPr fontId="4"/>
  </si>
  <si>
    <t>バロー北寺島</t>
    <phoneticPr fontId="4"/>
  </si>
  <si>
    <t>3m</t>
    <phoneticPr fontId="4"/>
  </si>
  <si>
    <t>2m</t>
    <phoneticPr fontId="4"/>
  </si>
  <si>
    <t>マツダ平野</t>
    <rPh sb="3" eb="5">
      <t>ヒラノ</t>
    </rPh>
    <phoneticPr fontId="4"/>
  </si>
  <si>
    <t>静岡銀行</t>
    <rPh sb="0" eb="2">
      <t>シズオカ</t>
    </rPh>
    <rPh sb="2" eb="4">
      <t>ギンコウ</t>
    </rPh>
    <phoneticPr fontId="4"/>
  </si>
  <si>
    <t>サン・サポート岡宮</t>
    <rPh sb="7" eb="8">
      <t>オカ</t>
    </rPh>
    <rPh sb="8" eb="9">
      <t>ミヤ</t>
    </rPh>
    <phoneticPr fontId="4"/>
  </si>
  <si>
    <t>静岡県</t>
    <phoneticPr fontId="4"/>
  </si>
  <si>
    <t>沼津市</t>
    <rPh sb="0" eb="3">
      <t>ヌマヅシ</t>
    </rPh>
    <phoneticPr fontId="4"/>
  </si>
  <si>
    <t>1m</t>
    <phoneticPr fontId="4"/>
  </si>
  <si>
    <t>3m</t>
    <phoneticPr fontId="4"/>
  </si>
  <si>
    <t>北海道 釧路市</t>
    <rPh sb="0" eb="3">
      <t>ホッカイドウ</t>
    </rPh>
    <rPh sb="4" eb="6">
      <t>クシロ</t>
    </rPh>
    <rPh sb="6" eb="7">
      <t>シ</t>
    </rPh>
    <phoneticPr fontId="4"/>
  </si>
  <si>
    <t>北海道 釧路市</t>
    <phoneticPr fontId="4"/>
  </si>
  <si>
    <t>イズモホール根堅</t>
    <rPh sb="6" eb="8">
      <t>ネガタ</t>
    </rPh>
    <phoneticPr fontId="4"/>
  </si>
  <si>
    <t>静岡県</t>
    <phoneticPr fontId="4"/>
  </si>
  <si>
    <t>浜松市</t>
    <phoneticPr fontId="4"/>
  </si>
  <si>
    <t>北区根堅</t>
    <rPh sb="0" eb="2">
      <t>キタク</t>
    </rPh>
    <rPh sb="2" eb="4">
      <t>ネガタ</t>
    </rPh>
    <phoneticPr fontId="4"/>
  </si>
  <si>
    <t>7m</t>
    <phoneticPr fontId="4"/>
  </si>
  <si>
    <t>ｼﾙﾄ</t>
    <phoneticPr fontId="4"/>
  </si>
  <si>
    <t>2m</t>
    <phoneticPr fontId="4"/>
  </si>
  <si>
    <t>ｼﾙﾄ混じり砂礫</t>
    <rPh sb="3" eb="4">
      <t>マ</t>
    </rPh>
    <rPh sb="6" eb="8">
      <t>サレキ</t>
    </rPh>
    <phoneticPr fontId="4"/>
  </si>
  <si>
    <t>福島県買取型復興公営住宅</t>
    <rPh sb="0" eb="3">
      <t>フクシマケン</t>
    </rPh>
    <rPh sb="3" eb="5">
      <t>カイトリ</t>
    </rPh>
    <rPh sb="5" eb="6">
      <t>ガタ</t>
    </rPh>
    <rPh sb="6" eb="8">
      <t>フッコウ</t>
    </rPh>
    <rPh sb="8" eb="10">
      <t>コウエイ</t>
    </rPh>
    <rPh sb="10" eb="12">
      <t>ジュウタク</t>
    </rPh>
    <phoneticPr fontId="4"/>
  </si>
  <si>
    <t>いわき市</t>
    <phoneticPr fontId="4"/>
  </si>
  <si>
    <t>小名浜字中原</t>
    <rPh sb="0" eb="2">
      <t>オナ</t>
    </rPh>
    <rPh sb="2" eb="3">
      <t>ハマ</t>
    </rPh>
    <rPh sb="3" eb="4">
      <t>アザ</t>
    </rPh>
    <rPh sb="4" eb="6">
      <t>ナカハラ</t>
    </rPh>
    <phoneticPr fontId="4"/>
  </si>
  <si>
    <t>岡宮</t>
    <rPh sb="0" eb="1">
      <t>オカ</t>
    </rPh>
    <rPh sb="1" eb="2">
      <t>ミヤ</t>
    </rPh>
    <phoneticPr fontId="4"/>
  </si>
  <si>
    <t>株式会社 青山建築設計事務所</t>
    <phoneticPr fontId="4"/>
  </si>
  <si>
    <t>株式会社 青山建築設計事務所</t>
    <phoneticPr fontId="4"/>
  </si>
  <si>
    <t>カブシキガイシャ アオヤマケンチクセッケイジムショ</t>
    <phoneticPr fontId="4"/>
  </si>
  <si>
    <t>アルス(株)工場</t>
    <rPh sb="3" eb="6">
      <t>カブ</t>
    </rPh>
    <rPh sb="6" eb="8">
      <t>コウジョウ</t>
    </rPh>
    <phoneticPr fontId="4"/>
  </si>
  <si>
    <t>山形県</t>
    <phoneticPr fontId="4"/>
  </si>
  <si>
    <t>米沢市</t>
    <phoneticPr fontId="4"/>
  </si>
  <si>
    <t>八幡原</t>
    <rPh sb="0" eb="2">
      <t>ヤハタ</t>
    </rPh>
    <rPh sb="2" eb="3">
      <t>ハラ</t>
    </rPh>
    <phoneticPr fontId="4"/>
  </si>
  <si>
    <t>渡部栄蔵建築設計事務所</t>
    <phoneticPr fontId="4"/>
  </si>
  <si>
    <t>ワタベエイゾウケンチクセッケイジムショ</t>
    <phoneticPr fontId="4"/>
  </si>
  <si>
    <t>2m</t>
    <phoneticPr fontId="4"/>
  </si>
  <si>
    <t>5m</t>
    <phoneticPr fontId="4"/>
  </si>
  <si>
    <t>ｼﾙﾄ</t>
    <phoneticPr fontId="4"/>
  </si>
  <si>
    <t>ナイス苫小牧</t>
    <rPh sb="3" eb="6">
      <t>トマコマイ</t>
    </rPh>
    <phoneticPr fontId="4"/>
  </si>
  <si>
    <t>苫小牧市</t>
    <rPh sb="0" eb="3">
      <t>トマコマイ</t>
    </rPh>
    <rPh sb="3" eb="4">
      <t>シ</t>
    </rPh>
    <phoneticPr fontId="4"/>
  </si>
  <si>
    <t>3m</t>
    <phoneticPr fontId="4"/>
  </si>
  <si>
    <t>ﾛｰﾑ</t>
    <phoneticPr fontId="4"/>
  </si>
  <si>
    <t>1m</t>
    <phoneticPr fontId="4"/>
  </si>
  <si>
    <t>18m</t>
    <phoneticPr fontId="4"/>
  </si>
  <si>
    <t>ｼﾙﾄ</t>
    <phoneticPr fontId="4"/>
  </si>
  <si>
    <t>4m</t>
    <phoneticPr fontId="4"/>
  </si>
  <si>
    <t>ビューローベリタスジャパン 株式会社(札幌)</t>
    <rPh sb="19" eb="21">
      <t>サッポロ</t>
    </rPh>
    <phoneticPr fontId="4"/>
  </si>
  <si>
    <t>財団法人 ベターリビング</t>
    <phoneticPr fontId="4"/>
  </si>
  <si>
    <t>柏原</t>
    <rPh sb="0" eb="2">
      <t>カシハラ</t>
    </rPh>
    <phoneticPr fontId="4"/>
  </si>
  <si>
    <t>4m</t>
    <phoneticPr fontId="4"/>
  </si>
  <si>
    <t>ｼﾙﾄ</t>
    <phoneticPr fontId="4"/>
  </si>
  <si>
    <t>2m</t>
    <phoneticPr fontId="4"/>
  </si>
  <si>
    <t>火山灰質砂</t>
    <rPh sb="0" eb="2">
      <t>カザン</t>
    </rPh>
    <rPh sb="2" eb="3">
      <t>ハイ</t>
    </rPh>
    <rPh sb="3" eb="4">
      <t>シツ</t>
    </rPh>
    <rPh sb="4" eb="5">
      <t>スナ</t>
    </rPh>
    <phoneticPr fontId="4"/>
  </si>
  <si>
    <t>-</t>
    <phoneticPr fontId="4"/>
  </si>
  <si>
    <t>鳥取県</t>
    <rPh sb="0" eb="3">
      <t>トットリケン</t>
    </rPh>
    <phoneticPr fontId="4"/>
  </si>
  <si>
    <t>堺港市</t>
    <rPh sb="0" eb="1">
      <t>サカイ</t>
    </rPh>
    <rPh sb="1" eb="2">
      <t>ミナト</t>
    </rPh>
    <rPh sb="2" eb="3">
      <t>シ</t>
    </rPh>
    <phoneticPr fontId="4"/>
  </si>
  <si>
    <t>竹内町</t>
    <rPh sb="0" eb="2">
      <t>タケウチ</t>
    </rPh>
    <rPh sb="2" eb="3">
      <t>マチ</t>
    </rPh>
    <phoneticPr fontId="4"/>
  </si>
  <si>
    <t>5m</t>
    <phoneticPr fontId="4"/>
  </si>
  <si>
    <t>6m</t>
    <phoneticPr fontId="4"/>
  </si>
  <si>
    <t>ｼﾙﾄ</t>
    <phoneticPr fontId="4"/>
  </si>
  <si>
    <t>3m</t>
    <phoneticPr fontId="4"/>
  </si>
  <si>
    <t>塩山構造設計事務所</t>
    <phoneticPr fontId="4"/>
  </si>
  <si>
    <t>塩山構造設計事務所</t>
    <phoneticPr fontId="4"/>
  </si>
  <si>
    <t>シオヤマコウゾウセッケイジムショ</t>
    <phoneticPr fontId="4"/>
  </si>
  <si>
    <t>JFEシビル 株式会社</t>
    <phoneticPr fontId="4"/>
  </si>
  <si>
    <t>2m</t>
    <phoneticPr fontId="4"/>
  </si>
  <si>
    <t>有機質土</t>
    <rPh sb="0" eb="3">
      <t>ユウキシツ</t>
    </rPh>
    <rPh sb="3" eb="4">
      <t>ド</t>
    </rPh>
    <phoneticPr fontId="4"/>
  </si>
  <si>
    <t>1m</t>
    <phoneticPr fontId="4"/>
  </si>
  <si>
    <t>粘土混じり砂</t>
    <rPh sb="0" eb="2">
      <t>ネンド</t>
    </rPh>
    <rPh sb="2" eb="3">
      <t>マジ</t>
    </rPh>
    <rPh sb="5" eb="6">
      <t>スナ</t>
    </rPh>
    <phoneticPr fontId="4"/>
  </si>
  <si>
    <t>-</t>
    <phoneticPr fontId="4"/>
  </si>
  <si>
    <t>宮城県</t>
    <phoneticPr fontId="4"/>
  </si>
  <si>
    <t>石巻市</t>
    <phoneticPr fontId="4"/>
  </si>
  <si>
    <t>3m</t>
    <phoneticPr fontId="4"/>
  </si>
  <si>
    <t>1m</t>
    <phoneticPr fontId="4"/>
  </si>
  <si>
    <t>1</t>
    <phoneticPr fontId="4"/>
  </si>
  <si>
    <t>徳島市</t>
    <rPh sb="0" eb="3">
      <t>トクシマシ</t>
    </rPh>
    <phoneticPr fontId="4"/>
  </si>
  <si>
    <t>住吉町</t>
    <rPh sb="0" eb="2">
      <t>スミヨシ</t>
    </rPh>
    <rPh sb="2" eb="3">
      <t>マチ</t>
    </rPh>
    <phoneticPr fontId="4"/>
  </si>
  <si>
    <t>8m</t>
    <phoneticPr fontId="4"/>
  </si>
  <si>
    <t>ｼﾙﾄ</t>
    <phoneticPr fontId="4"/>
  </si>
  <si>
    <t>2m</t>
    <phoneticPr fontId="4"/>
  </si>
  <si>
    <t>株式会社 京都確認検査機構</t>
    <phoneticPr fontId="4"/>
  </si>
  <si>
    <t>-</t>
    <phoneticPr fontId="4"/>
  </si>
  <si>
    <t>金下建設 株式会社</t>
    <rPh sb="0" eb="2">
      <t>カネシタ</t>
    </rPh>
    <rPh sb="2" eb="4">
      <t>ケンセツ</t>
    </rPh>
    <rPh sb="5" eb="7">
      <t>カブシキ</t>
    </rPh>
    <rPh sb="7" eb="9">
      <t>カイシャ</t>
    </rPh>
    <phoneticPr fontId="4"/>
  </si>
  <si>
    <t>金下建設 株式会社</t>
    <phoneticPr fontId="4"/>
  </si>
  <si>
    <t>カネシタケンセツ カブシキガイシャ</t>
    <phoneticPr fontId="4"/>
  </si>
  <si>
    <t>けやき設計</t>
    <rPh sb="3" eb="5">
      <t>セッケイ</t>
    </rPh>
    <phoneticPr fontId="4"/>
  </si>
  <si>
    <t>ケヤキセッケイ</t>
    <phoneticPr fontId="4"/>
  </si>
  <si>
    <t>城陽工場(日建ﾘｰｽ工業)</t>
    <rPh sb="0" eb="1">
      <t>シロ</t>
    </rPh>
    <rPh sb="1" eb="2">
      <t>ヨウ</t>
    </rPh>
    <rPh sb="2" eb="4">
      <t>コウジョウ</t>
    </rPh>
    <rPh sb="5" eb="7">
      <t>ニッケン</t>
    </rPh>
    <rPh sb="10" eb="12">
      <t>コウギョウ</t>
    </rPh>
    <phoneticPr fontId="4"/>
  </si>
  <si>
    <t>粘性土</t>
    <rPh sb="0" eb="3">
      <t>ネンセイド</t>
    </rPh>
    <phoneticPr fontId="4"/>
  </si>
  <si>
    <t>1m</t>
    <phoneticPr fontId="4"/>
  </si>
  <si>
    <t>3m</t>
    <phoneticPr fontId="4"/>
  </si>
  <si>
    <t>6m</t>
    <phoneticPr fontId="4"/>
  </si>
  <si>
    <t>4m</t>
    <phoneticPr fontId="4"/>
  </si>
  <si>
    <t>粘土質砂</t>
    <rPh sb="0" eb="2">
      <t>ネンド</t>
    </rPh>
    <rPh sb="2" eb="3">
      <t>シツ</t>
    </rPh>
    <rPh sb="3" eb="4">
      <t>スナ</t>
    </rPh>
    <phoneticPr fontId="4"/>
  </si>
  <si>
    <t>粘土混り砂</t>
    <rPh sb="0" eb="2">
      <t>ネンド</t>
    </rPh>
    <rPh sb="2" eb="3">
      <t>マジ</t>
    </rPh>
    <rPh sb="4" eb="5">
      <t>スナ</t>
    </rPh>
    <phoneticPr fontId="4"/>
  </si>
  <si>
    <t>大阪府</t>
    <phoneticPr fontId="4"/>
  </si>
  <si>
    <t>大阪市</t>
    <phoneticPr fontId="4"/>
  </si>
  <si>
    <t>平野区西脇</t>
    <rPh sb="0" eb="3">
      <t>ヒラノク</t>
    </rPh>
    <rPh sb="3" eb="5">
      <t>ニシワキ</t>
    </rPh>
    <phoneticPr fontId="4"/>
  </si>
  <si>
    <t>スウェーデン+近隣ボーリングにて設計</t>
    <rPh sb="7" eb="9">
      <t>キンリン</t>
    </rPh>
    <rPh sb="16" eb="18">
      <t>セッケイ</t>
    </rPh>
    <phoneticPr fontId="4"/>
  </si>
  <si>
    <t>4m</t>
    <phoneticPr fontId="4"/>
  </si>
  <si>
    <t>2m</t>
    <phoneticPr fontId="4"/>
  </si>
  <si>
    <t>礫・粘土混り砂</t>
    <rPh sb="0" eb="1">
      <t>レキ</t>
    </rPh>
    <rPh sb="2" eb="4">
      <t>ネンド</t>
    </rPh>
    <rPh sb="4" eb="5">
      <t>マジ</t>
    </rPh>
    <rPh sb="6" eb="7">
      <t>スナ</t>
    </rPh>
    <phoneticPr fontId="4"/>
  </si>
  <si>
    <t>カブシキガイシャ アイプランニング</t>
    <phoneticPr fontId="4"/>
  </si>
  <si>
    <t>島根県 浜田県土整備事務所</t>
  </si>
  <si>
    <t>島根県 浜田県土整備事務所</t>
    <rPh sb="0" eb="3">
      <t>シマネケン</t>
    </rPh>
    <rPh sb="4" eb="6">
      <t>ハマダ</t>
    </rPh>
    <rPh sb="6" eb="7">
      <t>ケン</t>
    </rPh>
    <rPh sb="8" eb="10">
      <t>セイビ</t>
    </rPh>
    <rPh sb="10" eb="12">
      <t>ジム</t>
    </rPh>
    <rPh sb="12" eb="13">
      <t>ショ</t>
    </rPh>
    <phoneticPr fontId="4"/>
  </si>
  <si>
    <t>3m</t>
    <phoneticPr fontId="4"/>
  </si>
  <si>
    <t>8m</t>
    <phoneticPr fontId="4"/>
  </si>
  <si>
    <t>礫混じりｼﾙﾄ</t>
    <rPh sb="0" eb="1">
      <t>レキ</t>
    </rPh>
    <rPh sb="1" eb="2">
      <t>マ</t>
    </rPh>
    <phoneticPr fontId="4"/>
  </si>
  <si>
    <t>1m</t>
    <phoneticPr fontId="4"/>
  </si>
  <si>
    <t>9m</t>
    <phoneticPr fontId="4"/>
  </si>
  <si>
    <t>2</t>
    <phoneticPr fontId="4"/>
  </si>
  <si>
    <t>ｼﾙﾄ・砂</t>
    <rPh sb="4" eb="5">
      <t>スナ</t>
    </rPh>
    <phoneticPr fontId="4"/>
  </si>
  <si>
    <t>清水構造設計</t>
    <phoneticPr fontId="4"/>
  </si>
  <si>
    <t>シミズコウゾウセッケイ</t>
    <phoneticPr fontId="4"/>
  </si>
  <si>
    <t>株式会社 ヤマトアパレイユ</t>
    <phoneticPr fontId="4"/>
  </si>
  <si>
    <t>清水構造設計</t>
    <phoneticPr fontId="4"/>
  </si>
  <si>
    <t>2m</t>
    <phoneticPr fontId="4"/>
  </si>
  <si>
    <t>6m</t>
    <phoneticPr fontId="4"/>
  </si>
  <si>
    <t>浜田市</t>
    <rPh sb="0" eb="3">
      <t>ハマダシ</t>
    </rPh>
    <phoneticPr fontId="4"/>
  </si>
  <si>
    <t>黒川</t>
    <rPh sb="0" eb="2">
      <t>クロカワ</t>
    </rPh>
    <phoneticPr fontId="4"/>
  </si>
  <si>
    <t>7m</t>
    <phoneticPr fontId="4"/>
  </si>
  <si>
    <t>有機質土混りｼﾙﾄ質砂</t>
    <rPh sb="0" eb="3">
      <t>ユウキシツ</t>
    </rPh>
    <rPh sb="3" eb="4">
      <t>ド</t>
    </rPh>
    <rPh sb="4" eb="5">
      <t>マジ</t>
    </rPh>
    <rPh sb="9" eb="10">
      <t>シツ</t>
    </rPh>
    <rPh sb="10" eb="11">
      <t>スナ</t>
    </rPh>
    <phoneticPr fontId="4"/>
  </si>
  <si>
    <t>協立エアテック</t>
    <rPh sb="0" eb="2">
      <t>キョウリツ</t>
    </rPh>
    <phoneticPr fontId="4"/>
  </si>
  <si>
    <t>弥富市</t>
    <rPh sb="0" eb="2">
      <t>ヤトミ</t>
    </rPh>
    <rPh sb="2" eb="3">
      <t>シ</t>
    </rPh>
    <phoneticPr fontId="4"/>
  </si>
  <si>
    <t>鮫ヶ池</t>
    <rPh sb="0" eb="1">
      <t>サメ</t>
    </rPh>
    <rPh sb="2" eb="3">
      <t>イケ</t>
    </rPh>
    <phoneticPr fontId="4"/>
  </si>
  <si>
    <t>財団法人 福岡県建築住宅センター</t>
    <phoneticPr fontId="4"/>
  </si>
  <si>
    <t>2m</t>
    <phoneticPr fontId="4"/>
  </si>
  <si>
    <t>1m</t>
    <phoneticPr fontId="4"/>
  </si>
  <si>
    <t>東和食品(株)鮭フィレー工場</t>
    <rPh sb="0" eb="2">
      <t>トウワ</t>
    </rPh>
    <rPh sb="2" eb="4">
      <t>ショクヒン</t>
    </rPh>
    <rPh sb="4" eb="7">
      <t>カブ</t>
    </rPh>
    <rPh sb="7" eb="8">
      <t>サケ</t>
    </rPh>
    <rPh sb="12" eb="14">
      <t>コウジョウ</t>
    </rPh>
    <phoneticPr fontId="4"/>
  </si>
  <si>
    <t>白糠郡</t>
    <rPh sb="0" eb="1">
      <t>シロ</t>
    </rPh>
    <rPh sb="2" eb="3">
      <t>グン</t>
    </rPh>
    <phoneticPr fontId="4"/>
  </si>
  <si>
    <t>白糠町</t>
    <rPh sb="2" eb="3">
      <t>マチ</t>
    </rPh>
    <phoneticPr fontId="4"/>
  </si>
  <si>
    <t>株式会社 総合住研</t>
    <phoneticPr fontId="4"/>
  </si>
  <si>
    <t>株式会社 ナック</t>
    <rPh sb="0" eb="2">
      <t>カブシキ</t>
    </rPh>
    <rPh sb="2" eb="4">
      <t>カイシャ</t>
    </rPh>
    <phoneticPr fontId="4"/>
  </si>
  <si>
    <t>株式会社 ナック</t>
    <phoneticPr fontId="4"/>
  </si>
  <si>
    <t>カブシキガイシャ ソウゴウジュウケン</t>
    <phoneticPr fontId="4"/>
  </si>
  <si>
    <t>カブシキガイシャ ナック</t>
    <phoneticPr fontId="4"/>
  </si>
  <si>
    <t>山形県</t>
    <phoneticPr fontId="4"/>
  </si>
  <si>
    <t>楯岡</t>
    <rPh sb="0" eb="1">
      <t>タテ</t>
    </rPh>
    <rPh sb="1" eb="2">
      <t>オカ</t>
    </rPh>
    <phoneticPr fontId="4"/>
  </si>
  <si>
    <t>2</t>
    <phoneticPr fontId="4"/>
  </si>
  <si>
    <t>I.N設計室</t>
    <rPh sb="3" eb="5">
      <t>セッケイ</t>
    </rPh>
    <rPh sb="5" eb="6">
      <t>シツ</t>
    </rPh>
    <phoneticPr fontId="4"/>
  </si>
  <si>
    <t>I.N設計室</t>
    <phoneticPr fontId="4"/>
  </si>
  <si>
    <t>梅津宏治設計事務所</t>
    <rPh sb="0" eb="2">
      <t>ウメツ</t>
    </rPh>
    <rPh sb="2" eb="3">
      <t>ヒロ</t>
    </rPh>
    <rPh sb="3" eb="4">
      <t>オサ</t>
    </rPh>
    <rPh sb="4" eb="6">
      <t>セッケイ</t>
    </rPh>
    <rPh sb="6" eb="8">
      <t>ジム</t>
    </rPh>
    <rPh sb="8" eb="9">
      <t>ショ</t>
    </rPh>
    <phoneticPr fontId="4"/>
  </si>
  <si>
    <t>梅津宏治設計事務所</t>
    <phoneticPr fontId="4"/>
  </si>
  <si>
    <t>INセッケイシツ</t>
    <phoneticPr fontId="4"/>
  </si>
  <si>
    <t>ビューローベリタスジャパン 株式会社(北海道)</t>
    <rPh sb="19" eb="22">
      <t>ホッカイドウ</t>
    </rPh>
    <phoneticPr fontId="4"/>
  </si>
  <si>
    <t>5m</t>
    <phoneticPr fontId="4"/>
  </si>
  <si>
    <t>ビューローベリタスジャパン株式会社(川崎)</t>
    <rPh sb="18" eb="20">
      <t>カワサキ</t>
    </rPh>
    <phoneticPr fontId="4"/>
  </si>
  <si>
    <t>青森市</t>
    <phoneticPr fontId="4"/>
  </si>
  <si>
    <t>カブシキガイシャ ヤスケンチクセッケイジムショ</t>
    <phoneticPr fontId="4"/>
  </si>
  <si>
    <t>株式会社 八洲建築設計事務所</t>
    <phoneticPr fontId="4"/>
  </si>
  <si>
    <t>株式会社 K.S構造設計事務所</t>
  </si>
  <si>
    <t>株式会社 K.S構造設計事務所</t>
    <rPh sb="0" eb="2">
      <t>カブシキ</t>
    </rPh>
    <rPh sb="2" eb="4">
      <t>カイシャ</t>
    </rPh>
    <rPh sb="8" eb="10">
      <t>コウゾウ</t>
    </rPh>
    <rPh sb="10" eb="12">
      <t>セッケイ</t>
    </rPh>
    <rPh sb="12" eb="14">
      <t>ジム</t>
    </rPh>
    <rPh sb="14" eb="15">
      <t>ショ</t>
    </rPh>
    <phoneticPr fontId="4"/>
  </si>
  <si>
    <t>カブシキガイシャ KSコウゾウセッケイジムショ</t>
    <phoneticPr fontId="4"/>
  </si>
  <si>
    <t>宮城県</t>
    <phoneticPr fontId="4"/>
  </si>
  <si>
    <t>宮城野区仙台港北</t>
    <rPh sb="0" eb="2">
      <t>ミヤギ</t>
    </rPh>
    <rPh sb="2" eb="3">
      <t>ノ</t>
    </rPh>
    <rPh sb="3" eb="4">
      <t>ク</t>
    </rPh>
    <rPh sb="4" eb="6">
      <t>センダイ</t>
    </rPh>
    <rPh sb="6" eb="7">
      <t>ミナト</t>
    </rPh>
    <rPh sb="7" eb="8">
      <t>キタ</t>
    </rPh>
    <phoneticPr fontId="4"/>
  </si>
  <si>
    <t>ツルハドラッグ岩見沢鉄北</t>
    <rPh sb="7" eb="10">
      <t>イワミザワ</t>
    </rPh>
    <rPh sb="10" eb="11">
      <t>テツ</t>
    </rPh>
    <rPh sb="11" eb="12">
      <t>キタ</t>
    </rPh>
    <phoneticPr fontId="4"/>
  </si>
  <si>
    <t>岩見沢市</t>
    <rPh sb="0" eb="4">
      <t>イワミザワシ</t>
    </rPh>
    <phoneticPr fontId="4"/>
  </si>
  <si>
    <t>北4条西</t>
    <rPh sb="0" eb="1">
      <t>キタ</t>
    </rPh>
    <rPh sb="2" eb="3">
      <t>ジョウ</t>
    </rPh>
    <rPh sb="3" eb="4">
      <t>ニシ</t>
    </rPh>
    <phoneticPr fontId="4"/>
  </si>
  <si>
    <t>下風構造設計</t>
    <phoneticPr fontId="4"/>
  </si>
  <si>
    <t>○</t>
    <phoneticPr fontId="4"/>
  </si>
  <si>
    <t>葬祭場</t>
    <phoneticPr fontId="4"/>
  </si>
  <si>
    <t>1FLL=30kN/㎡</t>
    <phoneticPr fontId="4"/>
  </si>
  <si>
    <t>ヨークベニマル山形落合</t>
    <rPh sb="7" eb="9">
      <t>ヤマガタ</t>
    </rPh>
    <rPh sb="9" eb="11">
      <t>オチアイ</t>
    </rPh>
    <phoneticPr fontId="4"/>
  </si>
  <si>
    <t>山形県</t>
    <phoneticPr fontId="4"/>
  </si>
  <si>
    <t>山形市</t>
    <rPh sb="0" eb="2">
      <t>ヤマガタ</t>
    </rPh>
    <rPh sb="2" eb="3">
      <t>シ</t>
    </rPh>
    <phoneticPr fontId="4"/>
  </si>
  <si>
    <t>落合町</t>
    <rPh sb="0" eb="2">
      <t>オチアイ</t>
    </rPh>
    <rPh sb="2" eb="3">
      <t>マチ</t>
    </rPh>
    <phoneticPr fontId="4"/>
  </si>
  <si>
    <t>株式会社 INA新建築研究所</t>
    <rPh sb="0" eb="2">
      <t>カブシキ</t>
    </rPh>
    <rPh sb="2" eb="4">
      <t>カイシャ</t>
    </rPh>
    <rPh sb="8" eb="9">
      <t>シン</t>
    </rPh>
    <rPh sb="9" eb="11">
      <t>ケンチク</t>
    </rPh>
    <rPh sb="11" eb="14">
      <t>ケンキュウショ</t>
    </rPh>
    <phoneticPr fontId="4"/>
  </si>
  <si>
    <t>株式会社 INA新建築研究所</t>
    <phoneticPr fontId="4"/>
  </si>
  <si>
    <t>カブシキガイシャ INAシンケンチクケンキュウショ</t>
    <phoneticPr fontId="4"/>
  </si>
  <si>
    <t>財団法人 長野県建築住宅センター</t>
    <phoneticPr fontId="4"/>
  </si>
  <si>
    <t>千葉県</t>
    <phoneticPr fontId="4"/>
  </si>
  <si>
    <t>浦安市</t>
    <rPh sb="0" eb="3">
      <t>ウラヤスシ</t>
    </rPh>
    <phoneticPr fontId="4"/>
  </si>
  <si>
    <t>明海</t>
    <rPh sb="0" eb="2">
      <t>メイカイ</t>
    </rPh>
    <phoneticPr fontId="4"/>
  </si>
  <si>
    <t>8m</t>
    <phoneticPr fontId="4"/>
  </si>
  <si>
    <t>3m</t>
    <phoneticPr fontId="4"/>
  </si>
  <si>
    <t>サンデーいわき泉店</t>
    <rPh sb="7" eb="8">
      <t>イズミ</t>
    </rPh>
    <rPh sb="8" eb="9">
      <t>テン</t>
    </rPh>
    <phoneticPr fontId="4"/>
  </si>
  <si>
    <t>長野県</t>
    <phoneticPr fontId="4"/>
  </si>
  <si>
    <t>諏訪市</t>
    <phoneticPr fontId="4"/>
  </si>
  <si>
    <t>中洲下金子</t>
    <phoneticPr fontId="4"/>
  </si>
  <si>
    <t>丸一ゴム工業</t>
    <rPh sb="0" eb="2">
      <t>マルイチ</t>
    </rPh>
    <rPh sb="4" eb="6">
      <t>コウギョウ</t>
    </rPh>
    <phoneticPr fontId="4"/>
  </si>
  <si>
    <t>株式会社 フォルム建築設計事務所</t>
    <phoneticPr fontId="4"/>
  </si>
  <si>
    <t>株式会社 フォルム建築設計事務所</t>
    <phoneticPr fontId="4"/>
  </si>
  <si>
    <t>カブシキガイシャ フォルムケンチクセッケイジムショ</t>
    <phoneticPr fontId="4"/>
  </si>
  <si>
    <t>13m</t>
    <phoneticPr fontId="4"/>
  </si>
  <si>
    <t>腐植土</t>
    <rPh sb="0" eb="3">
      <t>フショクド</t>
    </rPh>
    <phoneticPr fontId="4"/>
  </si>
  <si>
    <t>3m</t>
    <phoneticPr fontId="4"/>
  </si>
  <si>
    <t>1m</t>
    <phoneticPr fontId="4"/>
  </si>
  <si>
    <t>いわき市</t>
    <phoneticPr fontId="4"/>
  </si>
  <si>
    <t>泉町下川薬師前</t>
    <rPh sb="0" eb="1">
      <t>イズミ</t>
    </rPh>
    <rPh sb="1" eb="2">
      <t>マチ</t>
    </rPh>
    <rPh sb="2" eb="3">
      <t>シタ</t>
    </rPh>
    <rPh sb="3" eb="4">
      <t>カワ</t>
    </rPh>
    <rPh sb="4" eb="6">
      <t>ヤクシ</t>
    </rPh>
    <rPh sb="6" eb="7">
      <t>マエ</t>
    </rPh>
    <phoneticPr fontId="4"/>
  </si>
  <si>
    <t>株式会社 国際確認検査センター</t>
    <phoneticPr fontId="4"/>
  </si>
  <si>
    <t>岩国錦帯橋空港立体駐車場整備工場</t>
    <rPh sb="0" eb="2">
      <t>イワクニ</t>
    </rPh>
    <rPh sb="2" eb="5">
      <t>キンタイキョウ</t>
    </rPh>
    <rPh sb="5" eb="7">
      <t>クウコウ</t>
    </rPh>
    <rPh sb="7" eb="9">
      <t>リッタイ</t>
    </rPh>
    <rPh sb="9" eb="12">
      <t>チュウシャジョウ</t>
    </rPh>
    <rPh sb="12" eb="14">
      <t>セイビ</t>
    </rPh>
    <rPh sb="14" eb="16">
      <t>コウジョウ</t>
    </rPh>
    <phoneticPr fontId="4"/>
  </si>
  <si>
    <t>山口県</t>
    <phoneticPr fontId="4"/>
  </si>
  <si>
    <t>岩国市</t>
    <phoneticPr fontId="4"/>
  </si>
  <si>
    <t>旭町</t>
    <rPh sb="0" eb="1">
      <t>アサヒ</t>
    </rPh>
    <rPh sb="1" eb="2">
      <t>マチ</t>
    </rPh>
    <phoneticPr fontId="4"/>
  </si>
  <si>
    <t>和幸セントラルハウス</t>
    <rPh sb="0" eb="1">
      <t>ワ</t>
    </rPh>
    <rPh sb="1" eb="2">
      <t>サイワ</t>
    </rPh>
    <phoneticPr fontId="4"/>
  </si>
  <si>
    <t>山形県 庄内総合支庁</t>
    <phoneticPr fontId="4"/>
  </si>
  <si>
    <t>株式会社 山形県建築サポートセンター</t>
    <phoneticPr fontId="4"/>
  </si>
  <si>
    <t>中央変電所</t>
    <rPh sb="0" eb="2">
      <t>チュウオウ</t>
    </rPh>
    <rPh sb="2" eb="4">
      <t>ヘンデン</t>
    </rPh>
    <rPh sb="4" eb="5">
      <t>ショ</t>
    </rPh>
    <phoneticPr fontId="4"/>
  </si>
  <si>
    <t>弁天町</t>
    <phoneticPr fontId="4"/>
  </si>
  <si>
    <t>三原市</t>
    <rPh sb="0" eb="3">
      <t>ミハラシ</t>
    </rPh>
    <phoneticPr fontId="4"/>
  </si>
  <si>
    <t>皆実</t>
    <rPh sb="0" eb="2">
      <t>ミナミ</t>
    </rPh>
    <phoneticPr fontId="4"/>
  </si>
  <si>
    <t>株式会社 コンパース</t>
    <rPh sb="0" eb="2">
      <t>カブシキ</t>
    </rPh>
    <rPh sb="2" eb="4">
      <t>カイシャ</t>
    </rPh>
    <phoneticPr fontId="4"/>
  </si>
  <si>
    <t>カブシキガイシャ コンパース</t>
    <phoneticPr fontId="4"/>
  </si>
  <si>
    <t>株式会社 コンパース</t>
    <phoneticPr fontId="4"/>
  </si>
  <si>
    <t>8m</t>
    <phoneticPr fontId="4"/>
  </si>
  <si>
    <t>6m</t>
    <phoneticPr fontId="4"/>
  </si>
  <si>
    <t>2m</t>
    <phoneticPr fontId="4"/>
  </si>
  <si>
    <t>なないろ芥見</t>
    <rPh sb="4" eb="5">
      <t>アクタ</t>
    </rPh>
    <rPh sb="5" eb="6">
      <t>ミ</t>
    </rPh>
    <phoneticPr fontId="4"/>
  </si>
  <si>
    <t>岐阜県</t>
    <phoneticPr fontId="4"/>
  </si>
  <si>
    <t>岐阜市</t>
    <rPh sb="0" eb="2">
      <t>ギフ</t>
    </rPh>
    <rPh sb="2" eb="3">
      <t>シ</t>
    </rPh>
    <phoneticPr fontId="4"/>
  </si>
  <si>
    <t>芥見大船</t>
    <rPh sb="0" eb="1">
      <t>アクタ</t>
    </rPh>
    <rPh sb="1" eb="2">
      <t>ミ</t>
    </rPh>
    <rPh sb="2" eb="3">
      <t>オオ</t>
    </rPh>
    <rPh sb="3" eb="4">
      <t>フネ</t>
    </rPh>
    <phoneticPr fontId="4"/>
  </si>
  <si>
    <t>2m</t>
    <phoneticPr fontId="4"/>
  </si>
  <si>
    <t>ｼﾙﾄ</t>
    <phoneticPr fontId="4"/>
  </si>
  <si>
    <t>株式会社 名構設計</t>
    <rPh sb="5" eb="6">
      <t>ナ</t>
    </rPh>
    <rPh sb="6" eb="7">
      <t>コウ</t>
    </rPh>
    <rPh sb="7" eb="9">
      <t>セッケイ</t>
    </rPh>
    <phoneticPr fontId="4"/>
  </si>
  <si>
    <t>株式会社 名構設計</t>
    <phoneticPr fontId="4"/>
  </si>
  <si>
    <t>カブシキガイシャ メイコウセッケイ</t>
    <phoneticPr fontId="4"/>
  </si>
  <si>
    <t>ネッツトヨタ島根浜田</t>
    <rPh sb="6" eb="8">
      <t>シマネ</t>
    </rPh>
    <rPh sb="8" eb="10">
      <t>ハマダ</t>
    </rPh>
    <phoneticPr fontId="4"/>
  </si>
  <si>
    <t>下府町</t>
    <rPh sb="0" eb="1">
      <t>シタ</t>
    </rPh>
    <rPh sb="1" eb="2">
      <t>フ</t>
    </rPh>
    <rPh sb="2" eb="3">
      <t>マチ</t>
    </rPh>
    <phoneticPr fontId="4"/>
  </si>
  <si>
    <t>スシロー西大津</t>
    <rPh sb="4" eb="5">
      <t>ニシ</t>
    </rPh>
    <rPh sb="5" eb="7">
      <t>オオツ</t>
    </rPh>
    <phoneticPr fontId="4"/>
  </si>
  <si>
    <t>滋賀県</t>
    <phoneticPr fontId="4"/>
  </si>
  <si>
    <t>大津市</t>
    <phoneticPr fontId="4"/>
  </si>
  <si>
    <t>3m</t>
    <phoneticPr fontId="4"/>
  </si>
  <si>
    <t>4m</t>
    <phoneticPr fontId="4"/>
  </si>
  <si>
    <t>1</t>
    <phoneticPr fontId="4"/>
  </si>
  <si>
    <t>株式会社 TIA建築研究所</t>
  </si>
  <si>
    <t>株式会社 TIA建築研究所</t>
    <rPh sb="0" eb="2">
      <t>カブシキ</t>
    </rPh>
    <rPh sb="2" eb="4">
      <t>カイシャ</t>
    </rPh>
    <rPh sb="8" eb="10">
      <t>ケンチク</t>
    </rPh>
    <rPh sb="10" eb="13">
      <t>ケンキュウショ</t>
    </rPh>
    <phoneticPr fontId="4"/>
  </si>
  <si>
    <t>カブシキガイシャ TIAケンチクケンキュウショ</t>
    <phoneticPr fontId="4"/>
  </si>
  <si>
    <t>羽田倉庫</t>
    <rPh sb="0" eb="2">
      <t>ハネダ</t>
    </rPh>
    <rPh sb="2" eb="4">
      <t>ソウコ</t>
    </rPh>
    <phoneticPr fontId="4"/>
  </si>
  <si>
    <t>大田区</t>
    <rPh sb="0" eb="3">
      <t>オオタク</t>
    </rPh>
    <phoneticPr fontId="4"/>
  </si>
  <si>
    <t>財団法人 静岡県建築住宅まちづくりセンター</t>
    <phoneticPr fontId="4"/>
  </si>
  <si>
    <t>京浜島</t>
    <rPh sb="0" eb="1">
      <t>キョウ</t>
    </rPh>
    <rPh sb="1" eb="2">
      <t>ハマ</t>
    </rPh>
    <rPh sb="2" eb="3">
      <t>シマ</t>
    </rPh>
    <phoneticPr fontId="4"/>
  </si>
  <si>
    <t>青森市</t>
    <phoneticPr fontId="4"/>
  </si>
  <si>
    <t>1m</t>
    <phoneticPr fontId="4"/>
  </si>
  <si>
    <t>ｼﾙﾄ,細砂</t>
    <rPh sb="4" eb="5">
      <t>サイ</t>
    </rPh>
    <rPh sb="5" eb="6">
      <t>サ</t>
    </rPh>
    <phoneticPr fontId="4"/>
  </si>
  <si>
    <t>7m</t>
    <phoneticPr fontId="4"/>
  </si>
  <si>
    <t>16m</t>
    <phoneticPr fontId="4"/>
  </si>
  <si>
    <t>2m</t>
    <phoneticPr fontId="4"/>
  </si>
  <si>
    <t>細砂</t>
    <rPh sb="0" eb="1">
      <t>サイ</t>
    </rPh>
    <rPh sb="1" eb="2">
      <t>サ</t>
    </rPh>
    <phoneticPr fontId="4"/>
  </si>
  <si>
    <t>岩片混じり砂</t>
    <rPh sb="0" eb="1">
      <t>イワ</t>
    </rPh>
    <rPh sb="1" eb="2">
      <t>ヘン</t>
    </rPh>
    <rPh sb="2" eb="3">
      <t>マ</t>
    </rPh>
    <rPh sb="5" eb="6">
      <t>スナ</t>
    </rPh>
    <phoneticPr fontId="4"/>
  </si>
  <si>
    <t>6m</t>
    <phoneticPr fontId="4"/>
  </si>
  <si>
    <t>株式会社 サマデイ</t>
    <rPh sb="0" eb="2">
      <t>カブシキ</t>
    </rPh>
    <rPh sb="2" eb="4">
      <t>カイシャ</t>
    </rPh>
    <phoneticPr fontId="4"/>
  </si>
  <si>
    <t>株式会社 サマデイ</t>
    <phoneticPr fontId="4"/>
  </si>
  <si>
    <t>カブシキガイシャ サマデイ</t>
    <phoneticPr fontId="4"/>
  </si>
  <si>
    <t>3m</t>
    <phoneticPr fontId="4"/>
  </si>
  <si>
    <t>5m</t>
    <phoneticPr fontId="4"/>
  </si>
  <si>
    <t>ｼﾙﾄ</t>
    <phoneticPr fontId="4"/>
  </si>
  <si>
    <t>10m</t>
    <phoneticPr fontId="4"/>
  </si>
  <si>
    <t>ﾛｰﾑ</t>
    <phoneticPr fontId="4"/>
  </si>
  <si>
    <t>9m</t>
    <phoneticPr fontId="4"/>
  </si>
  <si>
    <t>-</t>
    <phoneticPr fontId="4"/>
  </si>
  <si>
    <t>2m</t>
    <phoneticPr fontId="4"/>
  </si>
  <si>
    <t>多気郡</t>
    <rPh sb="0" eb="1">
      <t>タ</t>
    </rPh>
    <rPh sb="1" eb="2">
      <t>キ</t>
    </rPh>
    <rPh sb="2" eb="3">
      <t>グン</t>
    </rPh>
    <phoneticPr fontId="4"/>
  </si>
  <si>
    <t>明和町</t>
    <rPh sb="0" eb="2">
      <t>メイワ</t>
    </rPh>
    <rPh sb="2" eb="3">
      <t>マチ</t>
    </rPh>
    <phoneticPr fontId="4"/>
  </si>
  <si>
    <t>ｼﾙﾄ</t>
    <phoneticPr fontId="4"/>
  </si>
  <si>
    <t>10m</t>
    <phoneticPr fontId="4"/>
  </si>
  <si>
    <t>砂質ｼﾙﾄ・ｼﾙﾄ質粘土</t>
    <rPh sb="0" eb="2">
      <t>サシツ</t>
    </rPh>
    <rPh sb="9" eb="10">
      <t>シツ</t>
    </rPh>
    <rPh sb="10" eb="12">
      <t>ネンド</t>
    </rPh>
    <phoneticPr fontId="4"/>
  </si>
  <si>
    <t>3m</t>
    <phoneticPr fontId="4"/>
  </si>
  <si>
    <t>JA呉 高須支店</t>
    <rPh sb="2" eb="3">
      <t>クレ</t>
    </rPh>
    <rPh sb="4" eb="6">
      <t>タカス</t>
    </rPh>
    <rPh sb="6" eb="8">
      <t>シテン</t>
    </rPh>
    <phoneticPr fontId="4"/>
  </si>
  <si>
    <t>音戸町高須</t>
    <rPh sb="0" eb="2">
      <t>オンド</t>
    </rPh>
    <rPh sb="2" eb="3">
      <t>マチ</t>
    </rPh>
    <rPh sb="3" eb="5">
      <t>タカス</t>
    </rPh>
    <phoneticPr fontId="4"/>
  </si>
  <si>
    <t>礫混り粘土質砂</t>
    <rPh sb="0" eb="1">
      <t>レキ</t>
    </rPh>
    <rPh sb="1" eb="2">
      <t>マジ</t>
    </rPh>
    <rPh sb="3" eb="5">
      <t>ネンド</t>
    </rPh>
    <rPh sb="5" eb="6">
      <t>シツ</t>
    </rPh>
    <rPh sb="6" eb="7">
      <t>スナ</t>
    </rPh>
    <phoneticPr fontId="4"/>
  </si>
  <si>
    <t>2m</t>
    <phoneticPr fontId="4"/>
  </si>
  <si>
    <t>礫混り砂</t>
    <rPh sb="0" eb="1">
      <t>レキ</t>
    </rPh>
    <rPh sb="1" eb="2">
      <t>マジ</t>
    </rPh>
    <rPh sb="3" eb="4">
      <t>スナ</t>
    </rPh>
    <phoneticPr fontId="4"/>
  </si>
  <si>
    <t>3m</t>
    <phoneticPr fontId="4"/>
  </si>
  <si>
    <t>株式会社 カナイ建築構造事務所</t>
    <rPh sb="0" eb="2">
      <t>カブシキ</t>
    </rPh>
    <rPh sb="2" eb="4">
      <t>カイシャ</t>
    </rPh>
    <rPh sb="8" eb="10">
      <t>ケンチク</t>
    </rPh>
    <rPh sb="10" eb="12">
      <t>コウゾウ</t>
    </rPh>
    <rPh sb="12" eb="14">
      <t>ジム</t>
    </rPh>
    <rPh sb="14" eb="15">
      <t>ショ</t>
    </rPh>
    <phoneticPr fontId="4"/>
  </si>
  <si>
    <t>カブシキガイシャ カナイケンチクコウゾウジムショ</t>
    <phoneticPr fontId="4"/>
  </si>
  <si>
    <t>スズキショールーム御国野町国分寺</t>
    <rPh sb="9" eb="10">
      <t>ゴ</t>
    </rPh>
    <rPh sb="10" eb="11">
      <t>クニ</t>
    </rPh>
    <rPh sb="11" eb="12">
      <t>ノ</t>
    </rPh>
    <rPh sb="12" eb="13">
      <t>マチ</t>
    </rPh>
    <rPh sb="13" eb="16">
      <t>コクブンジ</t>
    </rPh>
    <phoneticPr fontId="4"/>
  </si>
  <si>
    <t>兵庫県</t>
    <phoneticPr fontId="4"/>
  </si>
  <si>
    <t>姫路市</t>
    <rPh sb="0" eb="3">
      <t>ヒメジシ</t>
    </rPh>
    <phoneticPr fontId="4"/>
  </si>
  <si>
    <t>御国野町国分寺</t>
    <rPh sb="0" eb="1">
      <t>ゴ</t>
    </rPh>
    <rPh sb="1" eb="2">
      <t>クニ</t>
    </rPh>
    <rPh sb="2" eb="3">
      <t>ノ</t>
    </rPh>
    <rPh sb="3" eb="4">
      <t>マチ</t>
    </rPh>
    <rPh sb="4" eb="7">
      <t>コクブンジ</t>
    </rPh>
    <phoneticPr fontId="4"/>
  </si>
  <si>
    <t>事務所・工場</t>
    <rPh sb="0" eb="2">
      <t>ジム</t>
    </rPh>
    <rPh sb="2" eb="3">
      <t>ショ</t>
    </rPh>
    <rPh sb="4" eb="6">
      <t>コウジョウ</t>
    </rPh>
    <phoneticPr fontId="4"/>
  </si>
  <si>
    <t>埋土(砂混りｼﾙﾄ)</t>
    <rPh sb="0" eb="1">
      <t>ウ</t>
    </rPh>
    <rPh sb="1" eb="2">
      <t>ド</t>
    </rPh>
    <rPh sb="3" eb="4">
      <t>スナ</t>
    </rPh>
    <rPh sb="4" eb="5">
      <t>マジ</t>
    </rPh>
    <phoneticPr fontId="4"/>
  </si>
  <si>
    <t>5m</t>
    <phoneticPr fontId="4"/>
  </si>
  <si>
    <t>8m</t>
    <phoneticPr fontId="4"/>
  </si>
  <si>
    <t>ｼﾙﾄ質細砂・ｼﾙﾄ</t>
    <rPh sb="3" eb="4">
      <t>シツ</t>
    </rPh>
    <rPh sb="4" eb="5">
      <t>サイ</t>
    </rPh>
    <rPh sb="5" eb="6">
      <t>スナ</t>
    </rPh>
    <phoneticPr fontId="4"/>
  </si>
  <si>
    <t>1m</t>
    <phoneticPr fontId="4"/>
  </si>
  <si>
    <t>砂礫</t>
    <rPh sb="0" eb="2">
      <t>サレキ</t>
    </rPh>
    <phoneticPr fontId="4"/>
  </si>
  <si>
    <t>地域密着型介護老人福祉施設(石木医院)</t>
    <rPh sb="0" eb="2">
      <t>チイキ</t>
    </rPh>
    <rPh sb="2" eb="4">
      <t>ミッチャク</t>
    </rPh>
    <rPh sb="4" eb="5">
      <t>ガタ</t>
    </rPh>
    <rPh sb="5" eb="7">
      <t>カイゴ</t>
    </rPh>
    <rPh sb="7" eb="9">
      <t>ロウジン</t>
    </rPh>
    <rPh sb="9" eb="11">
      <t>フクシ</t>
    </rPh>
    <rPh sb="11" eb="13">
      <t>シセツ</t>
    </rPh>
    <phoneticPr fontId="4"/>
  </si>
  <si>
    <t>老人福祉施設</t>
    <phoneticPr fontId="4"/>
  </si>
  <si>
    <t>2層3段</t>
    <rPh sb="1" eb="2">
      <t>ソウ</t>
    </rPh>
    <rPh sb="3" eb="4">
      <t>ダン</t>
    </rPh>
    <phoneticPr fontId="4"/>
  </si>
  <si>
    <t>3m</t>
    <phoneticPr fontId="4"/>
  </si>
  <si>
    <t>事務所</t>
    <phoneticPr fontId="4"/>
  </si>
  <si>
    <t>株式会社 確認サービス</t>
    <phoneticPr fontId="4"/>
  </si>
  <si>
    <t>財団法人 愛知県建築住宅センター</t>
    <phoneticPr fontId="4"/>
  </si>
  <si>
    <t>空間考房 YAMADA</t>
    <rPh sb="0" eb="2">
      <t>クウカン</t>
    </rPh>
    <rPh sb="2" eb="3">
      <t>カンガ</t>
    </rPh>
    <rPh sb="3" eb="4">
      <t>ボウ</t>
    </rPh>
    <phoneticPr fontId="4"/>
  </si>
  <si>
    <t>エムジーホールディング株式会社事務所</t>
    <phoneticPr fontId="4"/>
  </si>
  <si>
    <t>徳島県</t>
    <phoneticPr fontId="4"/>
  </si>
  <si>
    <t>徳島市</t>
    <phoneticPr fontId="4"/>
  </si>
  <si>
    <t>かちどき橋</t>
    <phoneticPr fontId="4"/>
  </si>
  <si>
    <t>7m</t>
    <phoneticPr fontId="4"/>
  </si>
  <si>
    <t>株式会社 コア建築事務所</t>
    <phoneticPr fontId="4"/>
  </si>
  <si>
    <t>株式会社 アステック</t>
    <rPh sb="0" eb="2">
      <t>カブシキ</t>
    </rPh>
    <rPh sb="2" eb="4">
      <t>カイシャ</t>
    </rPh>
    <phoneticPr fontId="4"/>
  </si>
  <si>
    <t>株式会社 山本設計</t>
    <rPh sb="5" eb="7">
      <t>ヤマモト</t>
    </rPh>
    <rPh sb="7" eb="9">
      <t>セッケイ</t>
    </rPh>
    <phoneticPr fontId="4"/>
  </si>
  <si>
    <t>綿半ソリューションズ 株式会社</t>
    <rPh sb="0" eb="2">
      <t>ワタハン</t>
    </rPh>
    <rPh sb="11" eb="13">
      <t>カブシキ</t>
    </rPh>
    <rPh sb="13" eb="15">
      <t>カイシャ</t>
    </rPh>
    <phoneticPr fontId="4"/>
  </si>
  <si>
    <t>綿半ソリューションズ 株式会社</t>
    <phoneticPr fontId="4"/>
  </si>
  <si>
    <t>株式会社 山本設計</t>
    <phoneticPr fontId="4"/>
  </si>
  <si>
    <t>ワタハンソリューションズ カブシキガイシャ</t>
    <phoneticPr fontId="4"/>
  </si>
  <si>
    <t>カブシキガイシャ ヤマモトセッケイ</t>
    <phoneticPr fontId="4"/>
  </si>
  <si>
    <t>カブシキガイシャ アステック</t>
    <phoneticPr fontId="4"/>
  </si>
  <si>
    <t>宮城県</t>
    <phoneticPr fontId="4"/>
  </si>
  <si>
    <t>石巻市</t>
    <phoneticPr fontId="4"/>
  </si>
  <si>
    <t>蛇田</t>
    <rPh sb="0" eb="2">
      <t>ヘビタ</t>
    </rPh>
    <phoneticPr fontId="4"/>
  </si>
  <si>
    <t>ツルハドラッグ石巻新蛇田南</t>
    <rPh sb="7" eb="9">
      <t>イシノマキ</t>
    </rPh>
    <rPh sb="9" eb="10">
      <t>シン</t>
    </rPh>
    <rPh sb="10" eb="12">
      <t>ヘビタ</t>
    </rPh>
    <rPh sb="12" eb="13">
      <t>ミナミ</t>
    </rPh>
    <phoneticPr fontId="4"/>
  </si>
  <si>
    <t>6m</t>
    <phoneticPr fontId="4"/>
  </si>
  <si>
    <t>5m</t>
    <phoneticPr fontId="4"/>
  </si>
  <si>
    <t>財団法人 長野県建築住宅センター</t>
    <phoneticPr fontId="4"/>
  </si>
  <si>
    <t>酒田酒造</t>
    <rPh sb="0" eb="2">
      <t>サカタ</t>
    </rPh>
    <rPh sb="2" eb="4">
      <t>シュゾウ</t>
    </rPh>
    <phoneticPr fontId="4"/>
  </si>
  <si>
    <t>山形県</t>
    <phoneticPr fontId="4"/>
  </si>
  <si>
    <t>酒田市</t>
    <phoneticPr fontId="4"/>
  </si>
  <si>
    <t>京急建設 株式会社</t>
    <rPh sb="0" eb="2">
      <t>ケイキュウ</t>
    </rPh>
    <rPh sb="2" eb="4">
      <t>ケンセツ</t>
    </rPh>
    <rPh sb="5" eb="7">
      <t>カブシキ</t>
    </rPh>
    <rPh sb="7" eb="9">
      <t>カイシャ</t>
    </rPh>
    <phoneticPr fontId="4"/>
  </si>
  <si>
    <t>京急建設 株式会社</t>
    <phoneticPr fontId="4"/>
  </si>
  <si>
    <t>ケイキュウケンセツ カブシキガイシャ</t>
    <phoneticPr fontId="4"/>
  </si>
  <si>
    <t>株式会社 坂本建築設計事務所</t>
    <rPh sb="0" eb="2">
      <t>カブシキ</t>
    </rPh>
    <rPh sb="2" eb="4">
      <t>カイシャ</t>
    </rPh>
    <rPh sb="5" eb="7">
      <t>サカモト</t>
    </rPh>
    <rPh sb="7" eb="9">
      <t>ケンチク</t>
    </rPh>
    <rPh sb="9" eb="11">
      <t>セッケイ</t>
    </rPh>
    <rPh sb="11" eb="13">
      <t>ジム</t>
    </rPh>
    <rPh sb="13" eb="14">
      <t>ショ</t>
    </rPh>
    <phoneticPr fontId="4"/>
  </si>
  <si>
    <t>株式会社 坂本建築設計事務所</t>
    <phoneticPr fontId="4"/>
  </si>
  <si>
    <t>カブシキガイシャ サカモトケンチクセッケイジムショ</t>
    <phoneticPr fontId="4"/>
  </si>
  <si>
    <t>1m</t>
    <phoneticPr fontId="4"/>
  </si>
  <si>
    <t>粘土質砂質土</t>
    <rPh sb="0" eb="2">
      <t>ネンド</t>
    </rPh>
    <rPh sb="2" eb="3">
      <t>シツ</t>
    </rPh>
    <rPh sb="3" eb="6">
      <t>サシツド</t>
    </rPh>
    <phoneticPr fontId="4"/>
  </si>
  <si>
    <t>2m</t>
    <phoneticPr fontId="4"/>
  </si>
  <si>
    <t>礫混りｼﾙﾄ質砂</t>
    <rPh sb="0" eb="1">
      <t>レキ</t>
    </rPh>
    <rPh sb="1" eb="2">
      <t>マジ</t>
    </rPh>
    <rPh sb="6" eb="7">
      <t>シツ</t>
    </rPh>
    <rPh sb="7" eb="8">
      <t>スナ</t>
    </rPh>
    <phoneticPr fontId="4"/>
  </si>
  <si>
    <t>静岡県</t>
    <phoneticPr fontId="4"/>
  </si>
  <si>
    <t>浜松市</t>
    <phoneticPr fontId="4"/>
  </si>
  <si>
    <t>中区北寺島町</t>
    <phoneticPr fontId="4"/>
  </si>
  <si>
    <t>変電所</t>
    <rPh sb="0" eb="2">
      <t>ヘンデン</t>
    </rPh>
    <rPh sb="2" eb="3">
      <t>ショ</t>
    </rPh>
    <phoneticPr fontId="4"/>
  </si>
  <si>
    <t>ｼﾙﾄ質砂礫</t>
    <rPh sb="3" eb="4">
      <t>シツ</t>
    </rPh>
    <rPh sb="4" eb="6">
      <t>サレキ</t>
    </rPh>
    <phoneticPr fontId="4"/>
  </si>
  <si>
    <t>4m</t>
    <phoneticPr fontId="4"/>
  </si>
  <si>
    <t>礫混り砂質粘土</t>
    <rPh sb="0" eb="1">
      <t>レキ</t>
    </rPh>
    <rPh sb="1" eb="2">
      <t>マジ</t>
    </rPh>
    <rPh sb="3" eb="5">
      <t>サシツ</t>
    </rPh>
    <rPh sb="5" eb="7">
      <t>ネンド</t>
    </rPh>
    <phoneticPr fontId="4"/>
  </si>
  <si>
    <t>西新井七丁目(ベルクス)</t>
    <rPh sb="3" eb="4">
      <t>７</t>
    </rPh>
    <rPh sb="4" eb="6">
      <t>チョウメ</t>
    </rPh>
    <phoneticPr fontId="4"/>
  </si>
  <si>
    <t>足立区</t>
    <phoneticPr fontId="4"/>
  </si>
  <si>
    <t>西新井</t>
    <phoneticPr fontId="4"/>
  </si>
  <si>
    <t>5m</t>
    <phoneticPr fontId="4"/>
  </si>
  <si>
    <t>4m</t>
    <phoneticPr fontId="4"/>
  </si>
  <si>
    <t>3m</t>
    <phoneticPr fontId="4"/>
  </si>
  <si>
    <t>養老郡</t>
    <rPh sb="0" eb="2">
      <t>ヨウロウ</t>
    </rPh>
    <rPh sb="2" eb="3">
      <t>グン</t>
    </rPh>
    <phoneticPr fontId="4"/>
  </si>
  <si>
    <t>養老町大場字橋西</t>
    <rPh sb="0" eb="2">
      <t>ヨウロウ</t>
    </rPh>
    <rPh sb="2" eb="3">
      <t>マチ</t>
    </rPh>
    <rPh sb="3" eb="5">
      <t>オオバ</t>
    </rPh>
    <rPh sb="5" eb="6">
      <t>アザ</t>
    </rPh>
    <rPh sb="6" eb="7">
      <t>ハシ</t>
    </rPh>
    <rPh sb="7" eb="8">
      <t>ニシ</t>
    </rPh>
    <phoneticPr fontId="4"/>
  </si>
  <si>
    <t>岐阜県</t>
    <phoneticPr fontId="4"/>
  </si>
  <si>
    <t>15m</t>
    <phoneticPr fontId="4"/>
  </si>
  <si>
    <t>ｼﾙﾄ質細砂</t>
    <rPh sb="3" eb="4">
      <t>シツ</t>
    </rPh>
    <rPh sb="4" eb="5">
      <t>サイ</t>
    </rPh>
    <rPh sb="5" eb="6">
      <t>サ</t>
    </rPh>
    <phoneticPr fontId="4"/>
  </si>
  <si>
    <t>1m</t>
    <phoneticPr fontId="4"/>
  </si>
  <si>
    <t>こと京野菜 亀岡工場</t>
    <rPh sb="2" eb="3">
      <t>キョウ</t>
    </rPh>
    <rPh sb="3" eb="5">
      <t>ヤサイ</t>
    </rPh>
    <rPh sb="6" eb="8">
      <t>カメオカ</t>
    </rPh>
    <rPh sb="8" eb="10">
      <t>コウジョウ</t>
    </rPh>
    <phoneticPr fontId="4"/>
  </si>
  <si>
    <t>京都府</t>
    <phoneticPr fontId="4"/>
  </si>
  <si>
    <t>本梅町中野流田</t>
    <rPh sb="0" eb="1">
      <t>ホン</t>
    </rPh>
    <rPh sb="1" eb="2">
      <t>ウメ</t>
    </rPh>
    <rPh sb="2" eb="3">
      <t>マチ</t>
    </rPh>
    <rPh sb="3" eb="4">
      <t>ナカ</t>
    </rPh>
    <rPh sb="4" eb="5">
      <t>ノ</t>
    </rPh>
    <rPh sb="5" eb="6">
      <t>ナガレ</t>
    </rPh>
    <rPh sb="6" eb="7">
      <t>タ</t>
    </rPh>
    <phoneticPr fontId="4"/>
  </si>
  <si>
    <t>九州産廃 焼却施設</t>
    <rPh sb="0" eb="2">
      <t>キュウシュウ</t>
    </rPh>
    <rPh sb="2" eb="4">
      <t>サンパイ</t>
    </rPh>
    <rPh sb="5" eb="7">
      <t>ショウキャク</t>
    </rPh>
    <rPh sb="7" eb="9">
      <t>シセツ</t>
    </rPh>
    <phoneticPr fontId="4"/>
  </si>
  <si>
    <t>八代市</t>
    <rPh sb="0" eb="2">
      <t>ヤシロ</t>
    </rPh>
    <rPh sb="2" eb="3">
      <t>シ</t>
    </rPh>
    <phoneticPr fontId="4"/>
  </si>
  <si>
    <t>ヤマナカ水産加工場</t>
    <rPh sb="4" eb="6">
      <t>スイサン</t>
    </rPh>
    <rPh sb="6" eb="8">
      <t>カコウ</t>
    </rPh>
    <rPh sb="8" eb="9">
      <t>ジョウ</t>
    </rPh>
    <phoneticPr fontId="4"/>
  </si>
  <si>
    <t>宮城県</t>
    <phoneticPr fontId="4"/>
  </si>
  <si>
    <t>石巻市</t>
    <rPh sb="0" eb="3">
      <t>イシノマキシ</t>
    </rPh>
    <phoneticPr fontId="4"/>
  </si>
  <si>
    <t>幸町</t>
    <rPh sb="0" eb="1">
      <t>サチ</t>
    </rPh>
    <rPh sb="1" eb="2">
      <t>マチ</t>
    </rPh>
    <phoneticPr fontId="4"/>
  </si>
  <si>
    <t>山陰ヤクルト</t>
    <rPh sb="0" eb="2">
      <t>サンイン</t>
    </rPh>
    <phoneticPr fontId="4"/>
  </si>
  <si>
    <t>摯建築事務所</t>
    <phoneticPr fontId="4"/>
  </si>
  <si>
    <t>イタルケンチクジムショ</t>
    <phoneticPr fontId="4"/>
  </si>
  <si>
    <t>越野設計事務所</t>
    <rPh sb="0" eb="2">
      <t>コシノ</t>
    </rPh>
    <rPh sb="2" eb="4">
      <t>セッケイ</t>
    </rPh>
    <rPh sb="4" eb="6">
      <t>ジム</t>
    </rPh>
    <rPh sb="6" eb="7">
      <t>ショ</t>
    </rPh>
    <phoneticPr fontId="4"/>
  </si>
  <si>
    <t>越野設計事務所</t>
    <phoneticPr fontId="4"/>
  </si>
  <si>
    <t>コシノセッケイジムショ</t>
    <phoneticPr fontId="4"/>
  </si>
  <si>
    <t>日本土建 株式会社</t>
    <phoneticPr fontId="4"/>
  </si>
  <si>
    <t>ニホンドケン カブシキガイシャ</t>
    <phoneticPr fontId="4"/>
  </si>
  <si>
    <t>ワークデザイン</t>
    <phoneticPr fontId="4"/>
  </si>
  <si>
    <t>ワークデザイン</t>
    <phoneticPr fontId="4"/>
  </si>
  <si>
    <t>エムエム設計工房</t>
    <phoneticPr fontId="4"/>
  </si>
  <si>
    <t>エムエム設計工房</t>
    <phoneticPr fontId="4"/>
  </si>
  <si>
    <t>エムエムセッケイコウボウ</t>
    <phoneticPr fontId="4"/>
  </si>
  <si>
    <t>コウダヤ建築設計事務所</t>
    <phoneticPr fontId="4"/>
  </si>
  <si>
    <t>徳島市都市整備部公共建築課</t>
    <phoneticPr fontId="4"/>
  </si>
  <si>
    <t>徳島市都市整備部公共建築課</t>
    <phoneticPr fontId="4"/>
  </si>
  <si>
    <t>ユリノ構造 株式会社</t>
    <rPh sb="3" eb="5">
      <t>コウゾウ</t>
    </rPh>
    <rPh sb="6" eb="8">
      <t>カブシキ</t>
    </rPh>
    <rPh sb="8" eb="10">
      <t>カイシャ</t>
    </rPh>
    <phoneticPr fontId="4"/>
  </si>
  <si>
    <t>ユリノ構造 株式会社</t>
    <phoneticPr fontId="4"/>
  </si>
  <si>
    <t>ユリノコウゾウ カブシキガイシャ</t>
    <phoneticPr fontId="4"/>
  </si>
  <si>
    <t>トクシマシトシセイビブコウキョウケンチクカ</t>
    <phoneticPr fontId="4"/>
  </si>
  <si>
    <t>ウメヅコウジセッケイジムショ</t>
    <phoneticPr fontId="4"/>
  </si>
  <si>
    <t>日成ビルド工業 株式会社</t>
    <phoneticPr fontId="4"/>
  </si>
  <si>
    <t>有限会社 安島建築構造設計事務所</t>
    <rPh sb="2" eb="4">
      <t>カイシャ</t>
    </rPh>
    <phoneticPr fontId="4"/>
  </si>
  <si>
    <t>ユウゲンガイシャ ヤスジマケンチクコウゾウジムショ</t>
    <phoneticPr fontId="4"/>
  </si>
  <si>
    <t>ゼンノウヤマガタイッキュウケンチクシジムショ</t>
    <phoneticPr fontId="4"/>
  </si>
  <si>
    <t>全農山形一級建築士事務所</t>
    <phoneticPr fontId="4"/>
  </si>
  <si>
    <t>ハウスプラス確認検査 株式会社(東京)</t>
    <phoneticPr fontId="4"/>
  </si>
  <si>
    <t>マルイ国府</t>
    <rPh sb="3" eb="5">
      <t>コクフ</t>
    </rPh>
    <phoneticPr fontId="4"/>
  </si>
  <si>
    <t>鳥取市</t>
    <rPh sb="0" eb="3">
      <t>トットリシ</t>
    </rPh>
    <phoneticPr fontId="4"/>
  </si>
  <si>
    <t>国府町新通り</t>
    <rPh sb="0" eb="2">
      <t>コクフ</t>
    </rPh>
    <rPh sb="2" eb="3">
      <t>マチ</t>
    </rPh>
    <rPh sb="3" eb="4">
      <t>シン</t>
    </rPh>
    <rPh sb="4" eb="5">
      <t>トオ</t>
    </rPh>
    <phoneticPr fontId="4"/>
  </si>
  <si>
    <t>細粒砂質ｼﾙﾄ</t>
    <rPh sb="0" eb="1">
      <t>サイ</t>
    </rPh>
    <rPh sb="1" eb="2">
      <t>リュウ</t>
    </rPh>
    <rPh sb="2" eb="4">
      <t>サシツ</t>
    </rPh>
    <phoneticPr fontId="4"/>
  </si>
  <si>
    <t>1m</t>
    <phoneticPr fontId="4"/>
  </si>
  <si>
    <t>ｼﾙﾄ</t>
    <phoneticPr fontId="4"/>
  </si>
  <si>
    <t>8m</t>
    <phoneticPr fontId="4"/>
  </si>
  <si>
    <t>中粒砂</t>
    <rPh sb="0" eb="1">
      <t>ナカ</t>
    </rPh>
    <rPh sb="1" eb="2">
      <t>ツブ</t>
    </rPh>
    <rPh sb="2" eb="3">
      <t>スナ</t>
    </rPh>
    <phoneticPr fontId="4"/>
  </si>
  <si>
    <t>3m</t>
    <phoneticPr fontId="4"/>
  </si>
  <si>
    <t>濃飛西濃運輸上越支店 自家用給油所</t>
    <rPh sb="0" eb="2">
      <t>ノウヒ</t>
    </rPh>
    <rPh sb="2" eb="4">
      <t>セイノウ</t>
    </rPh>
    <rPh sb="4" eb="6">
      <t>ウンユ</t>
    </rPh>
    <rPh sb="6" eb="8">
      <t>ジョウエツ</t>
    </rPh>
    <rPh sb="8" eb="10">
      <t>シテン</t>
    </rPh>
    <rPh sb="11" eb="14">
      <t>ジカヨウ</t>
    </rPh>
    <rPh sb="14" eb="16">
      <t>キュウユ</t>
    </rPh>
    <rPh sb="16" eb="17">
      <t>ショ</t>
    </rPh>
    <phoneticPr fontId="4"/>
  </si>
  <si>
    <t>新潟県</t>
    <phoneticPr fontId="4"/>
  </si>
  <si>
    <t>上越市</t>
    <phoneticPr fontId="4"/>
  </si>
  <si>
    <t>大字源入字響田</t>
    <rPh sb="0" eb="2">
      <t>オオアザ</t>
    </rPh>
    <rPh sb="2" eb="3">
      <t>ゲン</t>
    </rPh>
    <rPh sb="3" eb="4">
      <t>イ</t>
    </rPh>
    <rPh sb="4" eb="5">
      <t>アザ</t>
    </rPh>
    <rPh sb="5" eb="6">
      <t>ヒビキ</t>
    </rPh>
    <rPh sb="6" eb="7">
      <t>タ</t>
    </rPh>
    <phoneticPr fontId="4"/>
  </si>
  <si>
    <t>3m</t>
    <phoneticPr fontId="4"/>
  </si>
  <si>
    <t>4m</t>
    <phoneticPr fontId="4"/>
  </si>
  <si>
    <t>2m</t>
    <phoneticPr fontId="4"/>
  </si>
  <si>
    <t>粘土質シルト</t>
    <rPh sb="0" eb="2">
      <t>ネンド</t>
    </rPh>
    <rPh sb="2" eb="3">
      <t>シツ</t>
    </rPh>
    <phoneticPr fontId="4"/>
  </si>
  <si>
    <t>ガソリンスタンド</t>
    <phoneticPr fontId="4"/>
  </si>
  <si>
    <t>-</t>
    <phoneticPr fontId="4"/>
  </si>
  <si>
    <t>○</t>
    <phoneticPr fontId="4"/>
  </si>
  <si>
    <t>セイノーエンジニアリング</t>
    <phoneticPr fontId="4"/>
  </si>
  <si>
    <t>キタセキ蓮野</t>
    <rPh sb="4" eb="5">
      <t>ハス</t>
    </rPh>
    <rPh sb="5" eb="6">
      <t>ノ</t>
    </rPh>
    <phoneticPr fontId="4"/>
  </si>
  <si>
    <t>新潟県</t>
    <phoneticPr fontId="4"/>
  </si>
  <si>
    <t>北蒲原郡</t>
    <rPh sb="0" eb="1">
      <t>キタ</t>
    </rPh>
    <rPh sb="1" eb="2">
      <t>カバ</t>
    </rPh>
    <rPh sb="2" eb="3">
      <t>ハラ</t>
    </rPh>
    <rPh sb="3" eb="4">
      <t>グン</t>
    </rPh>
    <phoneticPr fontId="4"/>
  </si>
  <si>
    <t>聖龍町蓮野</t>
    <rPh sb="0" eb="1">
      <t>セイ</t>
    </rPh>
    <rPh sb="1" eb="2">
      <t>リュウ</t>
    </rPh>
    <rPh sb="2" eb="3">
      <t>マチ</t>
    </rPh>
    <rPh sb="3" eb="4">
      <t>ハス</t>
    </rPh>
    <rPh sb="4" eb="5">
      <t>ノ</t>
    </rPh>
    <phoneticPr fontId="4"/>
  </si>
  <si>
    <t>佐賀県</t>
    <phoneticPr fontId="4"/>
  </si>
  <si>
    <t>佐賀市</t>
    <phoneticPr fontId="4"/>
  </si>
  <si>
    <t>諸富町大堂三本末</t>
    <rPh sb="0" eb="1">
      <t>モロ</t>
    </rPh>
    <rPh sb="1" eb="2">
      <t>トミ</t>
    </rPh>
    <rPh sb="2" eb="3">
      <t>マチ</t>
    </rPh>
    <rPh sb="3" eb="4">
      <t>オオ</t>
    </rPh>
    <rPh sb="4" eb="5">
      <t>ドウ</t>
    </rPh>
    <rPh sb="5" eb="6">
      <t>サン</t>
    </rPh>
    <rPh sb="6" eb="7">
      <t>ホン</t>
    </rPh>
    <rPh sb="7" eb="8">
      <t>マツ</t>
    </rPh>
    <phoneticPr fontId="4"/>
  </si>
  <si>
    <t>2m</t>
    <phoneticPr fontId="4"/>
  </si>
  <si>
    <t>8m</t>
    <phoneticPr fontId="4"/>
  </si>
  <si>
    <t>4m</t>
    <phoneticPr fontId="4"/>
  </si>
  <si>
    <t>シルト</t>
    <phoneticPr fontId="4"/>
  </si>
  <si>
    <t>3m</t>
    <phoneticPr fontId="4"/>
  </si>
  <si>
    <t>WRC造</t>
    <phoneticPr fontId="4"/>
  </si>
  <si>
    <t>診療所</t>
    <phoneticPr fontId="4"/>
  </si>
  <si>
    <t>1</t>
    <phoneticPr fontId="4"/>
  </si>
  <si>
    <t>ビューローベリタスジャパン 株式会社(仙台)</t>
    <rPh sb="19" eb="21">
      <t>センダイ</t>
    </rPh>
    <phoneticPr fontId="4"/>
  </si>
  <si>
    <t>株式会社 グッド・アイズ建築検査機構</t>
    <phoneticPr fontId="4"/>
  </si>
  <si>
    <t>大阪府</t>
    <rPh sb="0" eb="2">
      <t>オオサカ</t>
    </rPh>
    <rPh sb="2" eb="3">
      <t>フ</t>
    </rPh>
    <phoneticPr fontId="4"/>
  </si>
  <si>
    <t>大阪市</t>
    <phoneticPr fontId="4"/>
  </si>
  <si>
    <t>住之江区平林北</t>
    <rPh sb="0" eb="3">
      <t>スミノエ</t>
    </rPh>
    <rPh sb="3" eb="4">
      <t>ク</t>
    </rPh>
    <rPh sb="4" eb="6">
      <t>ヒラバヤシ</t>
    </rPh>
    <rPh sb="6" eb="7">
      <t>キタ</t>
    </rPh>
    <phoneticPr fontId="4"/>
  </si>
  <si>
    <t>2m</t>
    <phoneticPr fontId="4"/>
  </si>
  <si>
    <t>15m</t>
    <phoneticPr fontId="4"/>
  </si>
  <si>
    <t>3m</t>
    <phoneticPr fontId="4"/>
  </si>
  <si>
    <t>株式会社 仙台都市整備センター</t>
    <phoneticPr fontId="4"/>
  </si>
  <si>
    <t>阪神自動車</t>
    <rPh sb="0" eb="2">
      <t>ハンシン</t>
    </rPh>
    <rPh sb="2" eb="5">
      <t>ジドウシャ</t>
    </rPh>
    <phoneticPr fontId="4"/>
  </si>
  <si>
    <t>ナイス山手台</t>
    <rPh sb="3" eb="5">
      <t>ヤマテ</t>
    </rPh>
    <rPh sb="5" eb="6">
      <t>ダイ</t>
    </rPh>
    <phoneticPr fontId="4"/>
  </si>
  <si>
    <t>秋田市</t>
    <phoneticPr fontId="4"/>
  </si>
  <si>
    <t>山手台</t>
    <rPh sb="0" eb="2">
      <t>ヤマテ</t>
    </rPh>
    <rPh sb="2" eb="3">
      <t>ダイ</t>
    </rPh>
    <phoneticPr fontId="4"/>
  </si>
  <si>
    <t>無</t>
    <rPh sb="0" eb="1">
      <t>ナ</t>
    </rPh>
    <phoneticPr fontId="4"/>
  </si>
  <si>
    <t>1m</t>
    <phoneticPr fontId="4"/>
  </si>
  <si>
    <t>ｼﾙﾄ</t>
    <phoneticPr fontId="4"/>
  </si>
  <si>
    <t>風化ｼﾙﾄ岩</t>
    <rPh sb="0" eb="2">
      <t>フウカ</t>
    </rPh>
    <rPh sb="5" eb="6">
      <t>イワ</t>
    </rPh>
    <phoneticPr fontId="4"/>
  </si>
  <si>
    <t>岩手県 盛岡市役所 都南総合支所</t>
    <rPh sb="0" eb="3">
      <t>イワテケン</t>
    </rPh>
    <rPh sb="4" eb="6">
      <t>モリオカ</t>
    </rPh>
    <rPh sb="6" eb="9">
      <t>シヤクショ</t>
    </rPh>
    <phoneticPr fontId="4"/>
  </si>
  <si>
    <t>岩手県 盛岡市役所 都南総合支所</t>
    <rPh sb="0" eb="3">
      <t>イワテケン</t>
    </rPh>
    <rPh sb="4" eb="9">
      <t>モリオカシヤクショ</t>
    </rPh>
    <rPh sb="10" eb="11">
      <t>ミヤコ</t>
    </rPh>
    <rPh sb="11" eb="12">
      <t>ミナミ</t>
    </rPh>
    <rPh sb="12" eb="14">
      <t>ソウゴウ</t>
    </rPh>
    <rPh sb="14" eb="16">
      <t>シショ</t>
    </rPh>
    <phoneticPr fontId="4"/>
  </si>
  <si>
    <t>三共ゴム平林営業所</t>
    <rPh sb="1" eb="2">
      <t>トモ</t>
    </rPh>
    <phoneticPr fontId="4"/>
  </si>
  <si>
    <t>SEI建築工房</t>
    <rPh sb="3" eb="5">
      <t>ケンチク</t>
    </rPh>
    <rPh sb="5" eb="7">
      <t>コウボウ</t>
    </rPh>
    <phoneticPr fontId="4"/>
  </si>
  <si>
    <t>SEI建築工房</t>
    <phoneticPr fontId="4"/>
  </si>
  <si>
    <t>SEIケンチクコウボウ</t>
    <phoneticPr fontId="4"/>
  </si>
  <si>
    <t>鶴見ファッションモール</t>
    <rPh sb="0" eb="2">
      <t>ツルミ</t>
    </rPh>
    <phoneticPr fontId="4"/>
  </si>
  <si>
    <t>大阪市</t>
    <phoneticPr fontId="4"/>
  </si>
  <si>
    <t>株式会社 エムティプラン</t>
    <rPh sb="0" eb="2">
      <t>カブシキ</t>
    </rPh>
    <rPh sb="2" eb="4">
      <t>カイシャ</t>
    </rPh>
    <phoneticPr fontId="4"/>
  </si>
  <si>
    <t>株式会社 エムティプラン</t>
    <phoneticPr fontId="4"/>
  </si>
  <si>
    <t>カブシキガイシャ エムティプラン</t>
    <phoneticPr fontId="4"/>
  </si>
  <si>
    <t>株式会社 オノコム</t>
    <rPh sb="0" eb="2">
      <t>カブシキ</t>
    </rPh>
    <rPh sb="2" eb="4">
      <t>カイシャ</t>
    </rPh>
    <phoneticPr fontId="4"/>
  </si>
  <si>
    <t>株式会社 オノコム</t>
    <phoneticPr fontId="4"/>
  </si>
  <si>
    <t>カブシキガイシャ オノコム</t>
    <phoneticPr fontId="4"/>
  </si>
  <si>
    <t>2m</t>
    <phoneticPr fontId="4"/>
  </si>
  <si>
    <t>7m</t>
    <phoneticPr fontId="4"/>
  </si>
  <si>
    <t>5m</t>
    <phoneticPr fontId="4"/>
  </si>
  <si>
    <t>8m</t>
    <phoneticPr fontId="4"/>
  </si>
  <si>
    <t>鶴見区安田</t>
    <rPh sb="3" eb="5">
      <t>ヤスダ</t>
    </rPh>
    <phoneticPr fontId="4"/>
  </si>
  <si>
    <t>財団法人 ベターリビング</t>
    <phoneticPr fontId="4"/>
  </si>
  <si>
    <t>今市町</t>
    <rPh sb="0" eb="1">
      <t>イマ</t>
    </rPh>
    <rPh sb="1" eb="2">
      <t>シ</t>
    </rPh>
    <rPh sb="2" eb="3">
      <t>マチ</t>
    </rPh>
    <phoneticPr fontId="4"/>
  </si>
  <si>
    <t>カインズ相模原当麻</t>
    <rPh sb="4" eb="7">
      <t>サガミハラ</t>
    </rPh>
    <rPh sb="7" eb="9">
      <t>トウマ</t>
    </rPh>
    <phoneticPr fontId="4"/>
  </si>
  <si>
    <t>南区当麻字中島</t>
    <rPh sb="0" eb="2">
      <t>ミナミク</t>
    </rPh>
    <rPh sb="2" eb="4">
      <t>トウマ</t>
    </rPh>
    <rPh sb="4" eb="5">
      <t>アザ</t>
    </rPh>
    <rPh sb="5" eb="7">
      <t>ナカノシマ</t>
    </rPh>
    <phoneticPr fontId="4"/>
  </si>
  <si>
    <t>1m</t>
    <phoneticPr fontId="4"/>
  </si>
  <si>
    <t>5m</t>
    <phoneticPr fontId="4"/>
  </si>
  <si>
    <t>2m</t>
    <phoneticPr fontId="4"/>
  </si>
  <si>
    <t>3m</t>
    <phoneticPr fontId="4"/>
  </si>
  <si>
    <t>ネッツトヨタ高知 駅前通り</t>
    <rPh sb="6" eb="8">
      <t>コウチ</t>
    </rPh>
    <rPh sb="9" eb="11">
      <t>エキマエ</t>
    </rPh>
    <rPh sb="11" eb="12">
      <t>トオ</t>
    </rPh>
    <phoneticPr fontId="4"/>
  </si>
  <si>
    <t>高知県</t>
    <phoneticPr fontId="4"/>
  </si>
  <si>
    <t>北本町</t>
    <rPh sb="0" eb="1">
      <t>キタ</t>
    </rPh>
    <rPh sb="1" eb="3">
      <t>ホンマチ</t>
    </rPh>
    <phoneticPr fontId="4"/>
  </si>
  <si>
    <t>貝殻混り粘土</t>
    <rPh sb="0" eb="2">
      <t>カイガラ</t>
    </rPh>
    <rPh sb="2" eb="3">
      <t>マ</t>
    </rPh>
    <rPh sb="4" eb="6">
      <t>ネンド</t>
    </rPh>
    <phoneticPr fontId="4"/>
  </si>
  <si>
    <t>3m</t>
    <phoneticPr fontId="4"/>
  </si>
  <si>
    <t>10m</t>
    <phoneticPr fontId="4"/>
  </si>
  <si>
    <t>1m</t>
    <phoneticPr fontId="4"/>
  </si>
  <si>
    <t>有村建築事務所</t>
    <rPh sb="0" eb="2">
      <t>アリムラ</t>
    </rPh>
    <rPh sb="2" eb="4">
      <t>ケンチク</t>
    </rPh>
    <rPh sb="4" eb="6">
      <t>ジム</t>
    </rPh>
    <rPh sb="6" eb="7">
      <t>ショ</t>
    </rPh>
    <phoneticPr fontId="4"/>
  </si>
  <si>
    <t>有村建築事務所</t>
    <phoneticPr fontId="4"/>
  </si>
  <si>
    <t>アリムラケンチクジムショ</t>
    <phoneticPr fontId="4"/>
  </si>
  <si>
    <t>ホーマック室蘭</t>
    <rPh sb="5" eb="7">
      <t>ムロラン</t>
    </rPh>
    <phoneticPr fontId="4"/>
  </si>
  <si>
    <t>室蘭市</t>
    <rPh sb="0" eb="3">
      <t>ムロランシ</t>
    </rPh>
    <phoneticPr fontId="4"/>
  </si>
  <si>
    <t>中島本町</t>
    <rPh sb="0" eb="4">
      <t>ナカジマホンチョウ</t>
    </rPh>
    <phoneticPr fontId="4"/>
  </si>
  <si>
    <t>3m</t>
    <phoneticPr fontId="4"/>
  </si>
  <si>
    <t>5m</t>
    <phoneticPr fontId="4"/>
  </si>
  <si>
    <t>UDI確認検査 株式会社</t>
    <rPh sb="3" eb="5">
      <t>カクニン</t>
    </rPh>
    <rPh sb="5" eb="7">
      <t>ケンサ</t>
    </rPh>
    <rPh sb="8" eb="10">
      <t>カブシキ</t>
    </rPh>
    <rPh sb="10" eb="12">
      <t>カイシャ</t>
    </rPh>
    <phoneticPr fontId="4"/>
  </si>
  <si>
    <t>UDI確認検査 株式会社</t>
    <phoneticPr fontId="4"/>
  </si>
  <si>
    <t>ビューローベリタスジャパン株式会社</t>
    <phoneticPr fontId="4"/>
  </si>
  <si>
    <t>農事組合法人U.M.A.S.I穀類乾燥調製・育苗施設</t>
    <rPh sb="0" eb="2">
      <t>ノウジ</t>
    </rPh>
    <rPh sb="2" eb="4">
      <t>クミアイ</t>
    </rPh>
    <rPh sb="4" eb="6">
      <t>ホウジン</t>
    </rPh>
    <rPh sb="15" eb="17">
      <t>コクルイ</t>
    </rPh>
    <rPh sb="17" eb="19">
      <t>カンソウ</t>
    </rPh>
    <rPh sb="19" eb="21">
      <t>チョウセイ</t>
    </rPh>
    <rPh sb="22" eb="23">
      <t>イク</t>
    </rPh>
    <rPh sb="23" eb="24">
      <t>ナエ</t>
    </rPh>
    <rPh sb="24" eb="26">
      <t>シセツ</t>
    </rPh>
    <phoneticPr fontId="4"/>
  </si>
  <si>
    <t>宮城県</t>
    <phoneticPr fontId="4"/>
  </si>
  <si>
    <t>植松字入生</t>
    <rPh sb="0" eb="2">
      <t>ウエマツ</t>
    </rPh>
    <rPh sb="2" eb="3">
      <t>アザ</t>
    </rPh>
    <rPh sb="3" eb="4">
      <t>イ</t>
    </rPh>
    <rPh sb="4" eb="5">
      <t>イ</t>
    </rPh>
    <phoneticPr fontId="4"/>
  </si>
  <si>
    <t>1m</t>
    <phoneticPr fontId="4"/>
  </si>
  <si>
    <t>4m</t>
    <phoneticPr fontId="4"/>
  </si>
  <si>
    <t>砂質リスト</t>
    <rPh sb="0" eb="2">
      <t>サシツ</t>
    </rPh>
    <phoneticPr fontId="4"/>
  </si>
  <si>
    <t>工場</t>
    <phoneticPr fontId="4"/>
  </si>
  <si>
    <t>佐藤建築構造設計事務所</t>
    <rPh sb="0" eb="2">
      <t>サトウ</t>
    </rPh>
    <rPh sb="2" eb="4">
      <t>ケンチク</t>
    </rPh>
    <rPh sb="4" eb="6">
      <t>コウゾウ</t>
    </rPh>
    <rPh sb="6" eb="8">
      <t>セッケイ</t>
    </rPh>
    <rPh sb="8" eb="10">
      <t>ジム</t>
    </rPh>
    <rPh sb="10" eb="11">
      <t>ショ</t>
    </rPh>
    <phoneticPr fontId="4"/>
  </si>
  <si>
    <t>佐藤建築構造設計事務所</t>
    <phoneticPr fontId="4"/>
  </si>
  <si>
    <t>サトウケンチクコウゾウセッケイジムショ</t>
    <phoneticPr fontId="4"/>
  </si>
  <si>
    <t>株式会社 山形県建築サポートセンター</t>
    <phoneticPr fontId="4"/>
  </si>
  <si>
    <t>ヨークベニマルいわき泉下川</t>
    <rPh sb="10" eb="11">
      <t>イズミ</t>
    </rPh>
    <rPh sb="11" eb="12">
      <t>シタ</t>
    </rPh>
    <rPh sb="12" eb="13">
      <t>カワ</t>
    </rPh>
    <phoneticPr fontId="4"/>
  </si>
  <si>
    <t>8m</t>
    <phoneticPr fontId="4"/>
  </si>
  <si>
    <t>1m</t>
    <phoneticPr fontId="4"/>
  </si>
  <si>
    <t>3m</t>
    <phoneticPr fontId="4"/>
  </si>
  <si>
    <t>強風化砂岩</t>
    <rPh sb="0" eb="1">
      <t>キョウ</t>
    </rPh>
    <rPh sb="1" eb="3">
      <t>フウカ</t>
    </rPh>
    <rPh sb="3" eb="4">
      <t>スナ</t>
    </rPh>
    <rPh sb="4" eb="5">
      <t>イワ</t>
    </rPh>
    <phoneticPr fontId="4"/>
  </si>
  <si>
    <t>ホーマックニコット当別太美</t>
    <rPh sb="9" eb="10">
      <t>トウ</t>
    </rPh>
    <rPh sb="10" eb="11">
      <t>ベツ</t>
    </rPh>
    <rPh sb="11" eb="12">
      <t>フト</t>
    </rPh>
    <rPh sb="12" eb="13">
      <t>ウツク</t>
    </rPh>
    <phoneticPr fontId="4"/>
  </si>
  <si>
    <t>石狩市</t>
    <phoneticPr fontId="4"/>
  </si>
  <si>
    <t>当別町太美</t>
    <rPh sb="0" eb="1">
      <t>トウ</t>
    </rPh>
    <rPh sb="1" eb="2">
      <t>ベツ</t>
    </rPh>
    <rPh sb="2" eb="3">
      <t>マチ</t>
    </rPh>
    <rPh sb="3" eb="4">
      <t>フト</t>
    </rPh>
    <rPh sb="4" eb="5">
      <t>ウツク</t>
    </rPh>
    <phoneticPr fontId="4"/>
  </si>
  <si>
    <t>ボーネルンドキドキド学園南</t>
    <rPh sb="10" eb="12">
      <t>ガクエン</t>
    </rPh>
    <rPh sb="12" eb="13">
      <t>ミナミ</t>
    </rPh>
    <phoneticPr fontId="4"/>
  </si>
  <si>
    <t>兵庫県</t>
    <phoneticPr fontId="4"/>
  </si>
  <si>
    <t>垂水区舞多門西</t>
    <rPh sb="0" eb="2">
      <t>タルミズ</t>
    </rPh>
    <rPh sb="2" eb="3">
      <t>ク</t>
    </rPh>
    <rPh sb="3" eb="4">
      <t>マイ</t>
    </rPh>
    <rPh sb="4" eb="5">
      <t>タ</t>
    </rPh>
    <rPh sb="5" eb="6">
      <t>モン</t>
    </rPh>
    <rPh sb="6" eb="7">
      <t>ニシ</t>
    </rPh>
    <phoneticPr fontId="4"/>
  </si>
  <si>
    <t>2m</t>
    <phoneticPr fontId="4"/>
  </si>
  <si>
    <t>5m</t>
    <phoneticPr fontId="4"/>
  </si>
  <si>
    <t>信州培養センター資材置場</t>
    <phoneticPr fontId="4"/>
  </si>
  <si>
    <t>マルセン食品</t>
    <rPh sb="4" eb="6">
      <t>ショクヒン</t>
    </rPh>
    <phoneticPr fontId="4"/>
  </si>
  <si>
    <t>宮城県</t>
    <phoneticPr fontId="4"/>
  </si>
  <si>
    <t>本吉郡</t>
    <rPh sb="0" eb="1">
      <t>ホン</t>
    </rPh>
    <rPh sb="1" eb="2">
      <t>キチ</t>
    </rPh>
    <rPh sb="2" eb="3">
      <t>グン</t>
    </rPh>
    <phoneticPr fontId="4"/>
  </si>
  <si>
    <t>南三陸町志津川字十日町</t>
    <rPh sb="0" eb="1">
      <t>ミナミ</t>
    </rPh>
    <rPh sb="1" eb="3">
      <t>サンリク</t>
    </rPh>
    <rPh sb="3" eb="4">
      <t>マチ</t>
    </rPh>
    <rPh sb="4" eb="7">
      <t>シヅガワ</t>
    </rPh>
    <rPh sb="7" eb="8">
      <t>アザ</t>
    </rPh>
    <rPh sb="8" eb="11">
      <t>トオカマチ</t>
    </rPh>
    <phoneticPr fontId="4"/>
  </si>
  <si>
    <t>4m</t>
    <phoneticPr fontId="4"/>
  </si>
  <si>
    <t>株式会社 北星設計</t>
    <rPh sb="0" eb="2">
      <t>カブシキ</t>
    </rPh>
    <rPh sb="2" eb="4">
      <t>カイシャ</t>
    </rPh>
    <rPh sb="5" eb="6">
      <t>キタ</t>
    </rPh>
    <rPh sb="6" eb="7">
      <t>ホシ</t>
    </rPh>
    <rPh sb="7" eb="9">
      <t>セッケイ</t>
    </rPh>
    <phoneticPr fontId="4"/>
  </si>
  <si>
    <t>株式会社 COS設計</t>
    <rPh sb="0" eb="2">
      <t>カブシキ</t>
    </rPh>
    <rPh sb="2" eb="4">
      <t>カイシャ</t>
    </rPh>
    <rPh sb="8" eb="10">
      <t>セッケイ</t>
    </rPh>
    <phoneticPr fontId="4"/>
  </si>
  <si>
    <t>株式会社 北星設計</t>
    <phoneticPr fontId="4"/>
  </si>
  <si>
    <t>株式会社 COS設計</t>
    <phoneticPr fontId="4"/>
  </si>
  <si>
    <t>カブシキガイシャ キタボシセッケイ</t>
    <phoneticPr fontId="4"/>
  </si>
  <si>
    <t>カブシキガイシャ COSセッケイ</t>
    <phoneticPr fontId="4"/>
  </si>
  <si>
    <t>財団法人 兵庫県住宅建築総合センター</t>
    <phoneticPr fontId="4"/>
  </si>
  <si>
    <t>財団法人 大阪建築防災センター</t>
    <phoneticPr fontId="4"/>
  </si>
  <si>
    <t>財団法人 住宅金融普及協会</t>
    <phoneticPr fontId="4"/>
  </si>
  <si>
    <t>財団法人 日本建築センター</t>
    <phoneticPr fontId="4"/>
  </si>
  <si>
    <t>静岡県建築技術安心支援センター</t>
    <phoneticPr fontId="4"/>
  </si>
  <si>
    <t>財団法人 静岡県建築住宅まちづくりセンター</t>
    <phoneticPr fontId="4"/>
  </si>
  <si>
    <t>財団法人 ふくしま建築住宅センター</t>
    <phoneticPr fontId="4"/>
  </si>
  <si>
    <t>株式会社 I-PEC</t>
    <rPh sb="0" eb="2">
      <t>カブシキ</t>
    </rPh>
    <rPh sb="2" eb="4">
      <t>カイシャ</t>
    </rPh>
    <phoneticPr fontId="4"/>
  </si>
  <si>
    <t>株式会社 I-PEC</t>
    <phoneticPr fontId="4"/>
  </si>
  <si>
    <t>兵庫県</t>
    <phoneticPr fontId="4"/>
  </si>
  <si>
    <t>神戸市</t>
    <phoneticPr fontId="4"/>
  </si>
  <si>
    <t>長田区林山町</t>
    <phoneticPr fontId="4"/>
  </si>
  <si>
    <t>専門学校</t>
    <rPh sb="0" eb="2">
      <t>センモン</t>
    </rPh>
    <rPh sb="2" eb="4">
      <t>ガッコウ</t>
    </rPh>
    <phoneticPr fontId="4"/>
  </si>
  <si>
    <t>カブシキガイシャ カータグレッセ</t>
    <phoneticPr fontId="4"/>
  </si>
  <si>
    <t>6m</t>
    <phoneticPr fontId="4"/>
  </si>
  <si>
    <t>3</t>
    <phoneticPr fontId="4"/>
  </si>
  <si>
    <t>3F建</t>
    <phoneticPr fontId="4"/>
  </si>
  <si>
    <t>砂混り粘土</t>
    <rPh sb="0" eb="1">
      <t>スナ</t>
    </rPh>
    <rPh sb="1" eb="2">
      <t>マジ</t>
    </rPh>
    <rPh sb="3" eb="5">
      <t>ネンド</t>
    </rPh>
    <phoneticPr fontId="4"/>
  </si>
  <si>
    <t>5m</t>
    <phoneticPr fontId="4"/>
  </si>
  <si>
    <t>腐植土混り砂混り粘土</t>
    <rPh sb="0" eb="3">
      <t>フショクド</t>
    </rPh>
    <rPh sb="3" eb="4">
      <t>マジ</t>
    </rPh>
    <rPh sb="5" eb="6">
      <t>スナ</t>
    </rPh>
    <rPh sb="6" eb="7">
      <t>マジ</t>
    </rPh>
    <rPh sb="8" eb="10">
      <t>ネンド</t>
    </rPh>
    <phoneticPr fontId="4"/>
  </si>
  <si>
    <t>株式会社 北日本建築検査機構</t>
    <phoneticPr fontId="4"/>
  </si>
  <si>
    <t>島根県</t>
    <phoneticPr fontId="4"/>
  </si>
  <si>
    <t>出雲市</t>
    <phoneticPr fontId="4"/>
  </si>
  <si>
    <t>斐川町荘原</t>
    <phoneticPr fontId="4"/>
  </si>
  <si>
    <t>4m</t>
    <phoneticPr fontId="4"/>
  </si>
  <si>
    <t>ｼﾙﾄ</t>
    <phoneticPr fontId="4"/>
  </si>
  <si>
    <t>1m</t>
    <phoneticPr fontId="4"/>
  </si>
  <si>
    <t>8m</t>
    <phoneticPr fontId="4"/>
  </si>
  <si>
    <t>3m</t>
    <phoneticPr fontId="4"/>
  </si>
  <si>
    <t>-</t>
    <phoneticPr fontId="4"/>
  </si>
  <si>
    <t>ｽﾀｰﾊﾞｯｸｽｺｰﾋｰ神戸ﾒﾘｹﾝﾊﾟｰｸ</t>
    <rPh sb="12" eb="14">
      <t>コウベ</t>
    </rPh>
    <phoneticPr fontId="4"/>
  </si>
  <si>
    <t>兵庫県</t>
    <phoneticPr fontId="4"/>
  </si>
  <si>
    <t>中央区波止場</t>
    <rPh sb="0" eb="2">
      <t>チュウオウ</t>
    </rPh>
    <rPh sb="2" eb="3">
      <t>ク</t>
    </rPh>
    <rPh sb="3" eb="6">
      <t>ハトバ</t>
    </rPh>
    <phoneticPr fontId="4"/>
  </si>
  <si>
    <t>2</t>
    <phoneticPr fontId="4"/>
  </si>
  <si>
    <t>20m</t>
    <phoneticPr fontId="4"/>
  </si>
  <si>
    <t>中野市</t>
    <phoneticPr fontId="4"/>
  </si>
  <si>
    <t>延徳</t>
    <rPh sb="0" eb="2">
      <t>エントク</t>
    </rPh>
    <phoneticPr fontId="4"/>
  </si>
  <si>
    <t>4m</t>
    <phoneticPr fontId="4"/>
  </si>
  <si>
    <t>11m</t>
    <phoneticPr fontId="4"/>
  </si>
  <si>
    <t>6m</t>
    <phoneticPr fontId="4"/>
  </si>
  <si>
    <t>有機物混じりｼﾙﾄ</t>
    <rPh sb="0" eb="3">
      <t>ユウキブツ</t>
    </rPh>
    <rPh sb="3" eb="4">
      <t>マ</t>
    </rPh>
    <phoneticPr fontId="4"/>
  </si>
  <si>
    <t>2m</t>
    <phoneticPr fontId="4"/>
  </si>
  <si>
    <t>財団法人 日本建築総合試験所</t>
    <phoneticPr fontId="4"/>
  </si>
  <si>
    <t>静岡県建築技術安心支援センター</t>
    <phoneticPr fontId="4"/>
  </si>
  <si>
    <t>福松屋運送</t>
    <rPh sb="0" eb="2">
      <t>フクマツ</t>
    </rPh>
    <rPh sb="2" eb="3">
      <t>ヤ</t>
    </rPh>
    <rPh sb="3" eb="5">
      <t>ウンソウ</t>
    </rPh>
    <phoneticPr fontId="4"/>
  </si>
  <si>
    <t>静岡県</t>
    <phoneticPr fontId="4"/>
  </si>
  <si>
    <t>裾野市</t>
    <rPh sb="0" eb="1">
      <t>スソ</t>
    </rPh>
    <rPh sb="1" eb="2">
      <t>ノ</t>
    </rPh>
    <rPh sb="2" eb="3">
      <t>シ</t>
    </rPh>
    <phoneticPr fontId="4"/>
  </si>
  <si>
    <t>今里字瀧ヶ久保</t>
    <rPh sb="0" eb="2">
      <t>イマサト</t>
    </rPh>
    <rPh sb="2" eb="3">
      <t>アザ</t>
    </rPh>
    <rPh sb="3" eb="4">
      <t>タキ</t>
    </rPh>
    <rPh sb="5" eb="7">
      <t>クボ</t>
    </rPh>
    <phoneticPr fontId="4"/>
  </si>
  <si>
    <t>3m</t>
    <phoneticPr fontId="4"/>
  </si>
  <si>
    <t>ﾛｰﾑ</t>
    <phoneticPr fontId="4"/>
  </si>
  <si>
    <t>16m</t>
    <phoneticPr fontId="4"/>
  </si>
  <si>
    <t>7m</t>
    <phoneticPr fontId="4"/>
  </si>
  <si>
    <t>多機能型事業所ふれんず</t>
    <rPh sb="0" eb="3">
      <t>タキノウ</t>
    </rPh>
    <rPh sb="3" eb="4">
      <t>ガタ</t>
    </rPh>
    <rPh sb="4" eb="6">
      <t>ジギョウ</t>
    </rPh>
    <rPh sb="6" eb="7">
      <t>ショ</t>
    </rPh>
    <phoneticPr fontId="4"/>
  </si>
  <si>
    <t>中通</t>
    <rPh sb="0" eb="1">
      <t>ナカ</t>
    </rPh>
    <rPh sb="1" eb="2">
      <t>ドオ</t>
    </rPh>
    <phoneticPr fontId="4"/>
  </si>
  <si>
    <t>3F建</t>
    <phoneticPr fontId="4"/>
  </si>
  <si>
    <t>株式会社 ノルド設計</t>
    <rPh sb="0" eb="2">
      <t>カブシキ</t>
    </rPh>
    <rPh sb="2" eb="4">
      <t>カイシャ</t>
    </rPh>
    <phoneticPr fontId="4"/>
  </si>
  <si>
    <t>カブシキガイシャ ノルドセッケイ</t>
    <phoneticPr fontId="4"/>
  </si>
  <si>
    <t>株式会社 構創計画</t>
    <rPh sb="0" eb="2">
      <t>カブシキ</t>
    </rPh>
    <rPh sb="2" eb="4">
      <t>カイシャ</t>
    </rPh>
    <rPh sb="5" eb="6">
      <t>カマ</t>
    </rPh>
    <rPh sb="6" eb="7">
      <t>ソウ</t>
    </rPh>
    <rPh sb="7" eb="9">
      <t>ケイカク</t>
    </rPh>
    <phoneticPr fontId="4"/>
  </si>
  <si>
    <t>株式会社 構創計画</t>
    <phoneticPr fontId="4"/>
  </si>
  <si>
    <t>カブシキガイシャ コウソウケイカク</t>
    <phoneticPr fontId="4"/>
  </si>
  <si>
    <t>株式会社 現代構造</t>
    <rPh sb="0" eb="2">
      <t>カブシキ</t>
    </rPh>
    <rPh sb="2" eb="4">
      <t>カイシャ</t>
    </rPh>
    <rPh sb="5" eb="7">
      <t>ゲンダイ</t>
    </rPh>
    <rPh sb="7" eb="9">
      <t>コウゾウ</t>
    </rPh>
    <phoneticPr fontId="4"/>
  </si>
  <si>
    <t>株式会社 現代構造</t>
    <phoneticPr fontId="4"/>
  </si>
  <si>
    <t>カブシキガイシャ ゲンダイコウゾウ</t>
    <phoneticPr fontId="4"/>
  </si>
  <si>
    <t>株式会社 ユーアイ設計</t>
    <rPh sb="0" eb="4">
      <t>カブシキガイシャ</t>
    </rPh>
    <rPh sb="9" eb="11">
      <t>セッケイ</t>
    </rPh>
    <phoneticPr fontId="4"/>
  </si>
  <si>
    <t>株式会社 ユーアイ設計</t>
    <phoneticPr fontId="4"/>
  </si>
  <si>
    <t>カブシキガイシャ ユーアイセッケイ</t>
    <phoneticPr fontId="4"/>
  </si>
  <si>
    <t>村松設計</t>
    <rPh sb="0" eb="2">
      <t>ムラマツ</t>
    </rPh>
    <rPh sb="2" eb="4">
      <t>セッケイ</t>
    </rPh>
    <phoneticPr fontId="4"/>
  </si>
  <si>
    <t>村松設計</t>
    <phoneticPr fontId="4"/>
  </si>
  <si>
    <t>ムラマツセッケイ</t>
    <phoneticPr fontId="4"/>
  </si>
  <si>
    <t>-</t>
    <phoneticPr fontId="4"/>
  </si>
  <si>
    <t>山形県 庄内総合支庁</t>
    <phoneticPr fontId="4"/>
  </si>
  <si>
    <t>3m</t>
    <phoneticPr fontId="4"/>
  </si>
  <si>
    <t>礫混じり砂質土</t>
    <rPh sb="0" eb="1">
      <t>レキ</t>
    </rPh>
    <rPh sb="1" eb="2">
      <t>マ</t>
    </rPh>
    <rPh sb="4" eb="7">
      <t>サシツド</t>
    </rPh>
    <phoneticPr fontId="4"/>
  </si>
  <si>
    <t>6m</t>
    <phoneticPr fontId="4"/>
  </si>
  <si>
    <t>2m</t>
    <phoneticPr fontId="4"/>
  </si>
  <si>
    <t>株式会社 松岡設計</t>
    <rPh sb="0" eb="2">
      <t>カブシキ</t>
    </rPh>
    <rPh sb="2" eb="4">
      <t>ガイシャ</t>
    </rPh>
    <rPh sb="5" eb="7">
      <t>マツオカ</t>
    </rPh>
    <rPh sb="7" eb="9">
      <t>セッケイ</t>
    </rPh>
    <phoneticPr fontId="4"/>
  </si>
  <si>
    <t>株式会社 松岡設計</t>
    <phoneticPr fontId="4"/>
  </si>
  <si>
    <t>カブシキガイシャ ムラマツセッケイ</t>
    <phoneticPr fontId="4"/>
  </si>
  <si>
    <t>カインズ宇土</t>
    <rPh sb="4" eb="6">
      <t>ウド</t>
    </rPh>
    <phoneticPr fontId="4"/>
  </si>
  <si>
    <t>宇土市</t>
    <rPh sb="0" eb="2">
      <t>ウド</t>
    </rPh>
    <rPh sb="2" eb="3">
      <t>シ</t>
    </rPh>
    <phoneticPr fontId="4"/>
  </si>
  <si>
    <t>二拾町</t>
    <rPh sb="0" eb="1">
      <t>ニ</t>
    </rPh>
    <rPh sb="1" eb="2">
      <t>ヒロ</t>
    </rPh>
    <rPh sb="2" eb="3">
      <t>マチ</t>
    </rPh>
    <phoneticPr fontId="4"/>
  </si>
  <si>
    <t>6m</t>
    <phoneticPr fontId="4"/>
  </si>
  <si>
    <t>3m</t>
    <phoneticPr fontId="4"/>
  </si>
  <si>
    <t>ｼﾙﾄ質礫質砂</t>
    <rPh sb="3" eb="4">
      <t>シツ</t>
    </rPh>
    <rPh sb="4" eb="5">
      <t>レキ</t>
    </rPh>
    <rPh sb="5" eb="6">
      <t>シツ</t>
    </rPh>
    <rPh sb="6" eb="7">
      <t>スナ</t>
    </rPh>
    <phoneticPr fontId="4"/>
  </si>
  <si>
    <t>ASD共同主宰</t>
    <rPh sb="3" eb="5">
      <t>キョウドウ</t>
    </rPh>
    <rPh sb="5" eb="7">
      <t>シュサイ</t>
    </rPh>
    <phoneticPr fontId="4"/>
  </si>
  <si>
    <t>ASD共同主宰</t>
    <phoneticPr fontId="4"/>
  </si>
  <si>
    <t>ASDキョウドウシュサイ</t>
    <phoneticPr fontId="4"/>
  </si>
  <si>
    <t>有限会社 バルバデザイン</t>
    <rPh sb="0" eb="4">
      <t>ユウゲンガイシャ</t>
    </rPh>
    <phoneticPr fontId="4"/>
  </si>
  <si>
    <t>有限会社 バルバデザイン</t>
    <phoneticPr fontId="4"/>
  </si>
  <si>
    <t>ユウゲンガイシャ バルバデザイン</t>
    <phoneticPr fontId="4"/>
  </si>
  <si>
    <t>株式会社 山形県建築サポートセンター</t>
    <phoneticPr fontId="4"/>
  </si>
  <si>
    <t>株式会社 建築住宅センター</t>
    <phoneticPr fontId="4"/>
  </si>
  <si>
    <t>財団法人 日本建築総合試験所</t>
    <phoneticPr fontId="4"/>
  </si>
  <si>
    <t>財団法人 兵庫県住宅建築総合センター</t>
    <phoneticPr fontId="4"/>
  </si>
  <si>
    <t>富士建築センター 株式会社</t>
    <phoneticPr fontId="4"/>
  </si>
  <si>
    <t>日進市</t>
    <rPh sb="0" eb="2">
      <t>ニッシン</t>
    </rPh>
    <rPh sb="2" eb="3">
      <t>シ</t>
    </rPh>
    <phoneticPr fontId="4"/>
  </si>
  <si>
    <t>赤池</t>
    <rPh sb="0" eb="2">
      <t>アカイケ</t>
    </rPh>
    <phoneticPr fontId="4"/>
  </si>
  <si>
    <t>1m</t>
    <phoneticPr fontId="4"/>
  </si>
  <si>
    <t>ｼﾙﾄ質中砂</t>
    <rPh sb="3" eb="4">
      <t>シツ</t>
    </rPh>
    <rPh sb="4" eb="5">
      <t>ナカ</t>
    </rPh>
    <rPh sb="5" eb="6">
      <t>スナ</t>
    </rPh>
    <phoneticPr fontId="4"/>
  </si>
  <si>
    <t>4m</t>
    <phoneticPr fontId="4"/>
  </si>
  <si>
    <t>4m</t>
    <phoneticPr fontId="4"/>
  </si>
  <si>
    <t>有機物混り砂質ｼﾙﾄ</t>
    <rPh sb="0" eb="3">
      <t>ユウキブツ</t>
    </rPh>
    <rPh sb="3" eb="4">
      <t>マジ</t>
    </rPh>
    <rPh sb="5" eb="7">
      <t>サシツ</t>
    </rPh>
    <phoneticPr fontId="4"/>
  </si>
  <si>
    <t>2m</t>
    <phoneticPr fontId="4"/>
  </si>
  <si>
    <t>6m</t>
    <phoneticPr fontId="4"/>
  </si>
  <si>
    <t>1m</t>
    <phoneticPr fontId="4"/>
  </si>
  <si>
    <t>平屋,2F建</t>
    <rPh sb="0" eb="2">
      <t>ヒラヤ</t>
    </rPh>
    <rPh sb="5" eb="6">
      <t>タ</t>
    </rPh>
    <phoneticPr fontId="4"/>
  </si>
  <si>
    <t>ツルハドラッグ登米加賀野</t>
    <rPh sb="7" eb="8">
      <t>ノボル</t>
    </rPh>
    <rPh sb="8" eb="9">
      <t>コメ</t>
    </rPh>
    <rPh sb="9" eb="11">
      <t>カガ</t>
    </rPh>
    <rPh sb="11" eb="12">
      <t>ノ</t>
    </rPh>
    <phoneticPr fontId="4"/>
  </si>
  <si>
    <t>宮城県</t>
    <phoneticPr fontId="4"/>
  </si>
  <si>
    <t>登米市</t>
    <phoneticPr fontId="4"/>
  </si>
  <si>
    <t>中田町石森字宇加賀野</t>
    <rPh sb="0" eb="2">
      <t>ナカタ</t>
    </rPh>
    <rPh sb="2" eb="3">
      <t>マチ</t>
    </rPh>
    <rPh sb="3" eb="5">
      <t>イシモリ</t>
    </rPh>
    <rPh sb="5" eb="6">
      <t>アザ</t>
    </rPh>
    <rPh sb="6" eb="7">
      <t>ウ</t>
    </rPh>
    <rPh sb="7" eb="10">
      <t>カガノ</t>
    </rPh>
    <phoneticPr fontId="4"/>
  </si>
  <si>
    <t>1m</t>
    <phoneticPr fontId="4"/>
  </si>
  <si>
    <t>2m</t>
    <phoneticPr fontId="4"/>
  </si>
  <si>
    <t>3m</t>
    <phoneticPr fontId="4"/>
  </si>
  <si>
    <t>ｼﾙﾄ</t>
    <phoneticPr fontId="4"/>
  </si>
  <si>
    <t>4m</t>
    <phoneticPr fontId="4"/>
  </si>
  <si>
    <t>ユウゲンガイシャ アイテムセッケイ</t>
    <phoneticPr fontId="4"/>
  </si>
  <si>
    <t>有限会社 アイテム設計</t>
    <phoneticPr fontId="4"/>
  </si>
  <si>
    <t>株式会社 サンプラス建築設計</t>
  </si>
  <si>
    <t>株式会社 サンプラス建築設計</t>
    <rPh sb="0" eb="4">
      <t>カブシキガイシャ</t>
    </rPh>
    <rPh sb="10" eb="12">
      <t>ケンチク</t>
    </rPh>
    <rPh sb="12" eb="14">
      <t>セッケイ</t>
    </rPh>
    <phoneticPr fontId="4"/>
  </si>
  <si>
    <t>カブシキガイシャ サンプラスケンチクセッケイ</t>
    <phoneticPr fontId="4"/>
  </si>
  <si>
    <t>平安神宮</t>
    <rPh sb="0" eb="2">
      <t>ヘイアン</t>
    </rPh>
    <rPh sb="2" eb="4">
      <t>ジングウ</t>
    </rPh>
    <phoneticPr fontId="4"/>
  </si>
  <si>
    <t>京都市</t>
    <phoneticPr fontId="4"/>
  </si>
  <si>
    <t>左京区岡崎西天王町</t>
    <phoneticPr fontId="4"/>
  </si>
  <si>
    <t>京都府</t>
    <phoneticPr fontId="4"/>
  </si>
  <si>
    <t>株式会社 国際確認検査センター</t>
    <phoneticPr fontId="4"/>
  </si>
  <si>
    <t>広島県庁</t>
    <phoneticPr fontId="4"/>
  </si>
  <si>
    <t>日本ERI 株式会社(三重)</t>
    <rPh sb="11" eb="13">
      <t>ミエ</t>
    </rPh>
    <phoneticPr fontId="4"/>
  </si>
  <si>
    <t>財団法人 三重県建設技術センター</t>
    <phoneticPr fontId="4"/>
  </si>
  <si>
    <t>株式会社 サンプラス建築設計</t>
    <phoneticPr fontId="4"/>
  </si>
  <si>
    <t>株式会社 横河システム建築</t>
    <phoneticPr fontId="4"/>
  </si>
  <si>
    <t>3</t>
    <phoneticPr fontId="4"/>
  </si>
  <si>
    <t>財団法人 兵庫県住宅建築総合センター</t>
    <phoneticPr fontId="4"/>
  </si>
  <si>
    <t>株式会社 アスコ建築構造室</t>
    <phoneticPr fontId="4"/>
  </si>
  <si>
    <t>株式会社 総合住研</t>
    <phoneticPr fontId="4"/>
  </si>
  <si>
    <t>日本土建 株式会社</t>
    <phoneticPr fontId="4"/>
  </si>
  <si>
    <t>株式会社 コンパース</t>
    <phoneticPr fontId="4"/>
  </si>
  <si>
    <t>株式会社 八洲建築設計事務所</t>
    <phoneticPr fontId="4"/>
  </si>
  <si>
    <t>株式会社 澄建築設計事務所</t>
    <phoneticPr fontId="4"/>
  </si>
  <si>
    <t>ワークデザイン</t>
    <phoneticPr fontId="4"/>
  </si>
  <si>
    <t>有限会社 辺見美津男設計室</t>
    <phoneticPr fontId="4"/>
  </si>
  <si>
    <t>渡部栄蔵建築設計事務所</t>
    <phoneticPr fontId="4"/>
  </si>
  <si>
    <t>清水構造設計</t>
    <phoneticPr fontId="4"/>
  </si>
  <si>
    <t>株式会社 青山建築設計事務所</t>
    <phoneticPr fontId="4"/>
  </si>
  <si>
    <t>けやき設計</t>
    <phoneticPr fontId="4"/>
  </si>
  <si>
    <t>旭ブロック建設 株式会社</t>
    <phoneticPr fontId="4"/>
  </si>
  <si>
    <t>株式会社 ナカノフドー建設</t>
    <phoneticPr fontId="4"/>
  </si>
  <si>
    <t>アラシキケンチクセッケイジムショ</t>
    <phoneticPr fontId="4"/>
  </si>
  <si>
    <t>カブシキガイシャ ナカノフドーケンセツ</t>
    <phoneticPr fontId="4"/>
  </si>
  <si>
    <t>株式会社 ヤマトアパレイユ</t>
    <phoneticPr fontId="4"/>
  </si>
  <si>
    <t>カブシキガイシャ ヤマトアパレイユ</t>
    <phoneticPr fontId="4"/>
  </si>
  <si>
    <t>テクノブリッジ</t>
    <phoneticPr fontId="4"/>
  </si>
  <si>
    <t>テクノブリッジ</t>
    <phoneticPr fontId="4"/>
  </si>
  <si>
    <t>下風構造設計</t>
    <phoneticPr fontId="4"/>
  </si>
  <si>
    <t>富樫建設工業 株式会社</t>
    <phoneticPr fontId="4"/>
  </si>
  <si>
    <t>トガシケンセツコウギョウ カブシキガイシャ</t>
    <phoneticPr fontId="4"/>
  </si>
  <si>
    <t>サノヤス造船 株式会社</t>
    <phoneticPr fontId="4"/>
  </si>
  <si>
    <t>サノヤスゾウセン カブシキガイシャ</t>
    <phoneticPr fontId="4"/>
  </si>
  <si>
    <t>株式会社 新田一級建築設計事務所</t>
    <phoneticPr fontId="4"/>
  </si>
  <si>
    <t>カブシキガイシャ ニッタイッキュウケンチクシジムショ</t>
    <phoneticPr fontId="4"/>
  </si>
  <si>
    <t>株式会社 丸川</t>
    <phoneticPr fontId="4"/>
  </si>
  <si>
    <t>カブシキガイシャ マルカワ</t>
    <phoneticPr fontId="4"/>
  </si>
  <si>
    <t>カブシキガイシャ アークリエイト</t>
    <phoneticPr fontId="4"/>
  </si>
  <si>
    <t>株式会社 新建築</t>
    <phoneticPr fontId="4"/>
  </si>
  <si>
    <t>カブシキガイシャ シンケンチク</t>
    <phoneticPr fontId="4"/>
  </si>
  <si>
    <t>ブレンスタッフ株式会社</t>
    <phoneticPr fontId="4"/>
  </si>
  <si>
    <t>大阪府 大阪市役所</t>
    <rPh sb="0" eb="3">
      <t>オオサカフ</t>
    </rPh>
    <rPh sb="4" eb="6">
      <t>オオサカ</t>
    </rPh>
    <phoneticPr fontId="4"/>
  </si>
  <si>
    <t>コア構造研究所</t>
    <phoneticPr fontId="4"/>
  </si>
  <si>
    <t>コア構造研究所</t>
    <phoneticPr fontId="4"/>
  </si>
  <si>
    <t>コアコウゾウケンキュウショ</t>
    <phoneticPr fontId="4"/>
  </si>
  <si>
    <t>新高岡ストックヤード(ﾌﾟﾗｯﾄﾎｰﾑ)</t>
    <rPh sb="0" eb="1">
      <t>シン</t>
    </rPh>
    <rPh sb="1" eb="3">
      <t>タカオカ</t>
    </rPh>
    <phoneticPr fontId="4"/>
  </si>
  <si>
    <t>新高岡ストックヤード(ｽﾄｯｸﾔｰﾄﾞA)</t>
    <rPh sb="0" eb="1">
      <t>シン</t>
    </rPh>
    <rPh sb="1" eb="3">
      <t>タカオカ</t>
    </rPh>
    <phoneticPr fontId="4"/>
  </si>
  <si>
    <t>新高岡ストックヤード(ｽﾄｯｸﾔｰﾄﾞB)</t>
    <rPh sb="0" eb="1">
      <t>シン</t>
    </rPh>
    <rPh sb="1" eb="3">
      <t>タカオカ</t>
    </rPh>
    <phoneticPr fontId="4"/>
  </si>
  <si>
    <t>新高岡ストックヤード(受付棟)</t>
    <rPh sb="0" eb="1">
      <t>シン</t>
    </rPh>
    <rPh sb="1" eb="3">
      <t>タカオカ</t>
    </rPh>
    <rPh sb="11" eb="13">
      <t>ウケツケ</t>
    </rPh>
    <rPh sb="13" eb="14">
      <t>トウ</t>
    </rPh>
    <phoneticPr fontId="4"/>
  </si>
  <si>
    <t>ｼﾝｼｮｳﾄﾞｳ広島事務所・倉庫</t>
    <rPh sb="8" eb="10">
      <t>ヒロシマ</t>
    </rPh>
    <rPh sb="10" eb="12">
      <t>ジム</t>
    </rPh>
    <rPh sb="12" eb="13">
      <t>ショ</t>
    </rPh>
    <rPh sb="14" eb="16">
      <t>ソウコ</t>
    </rPh>
    <phoneticPr fontId="4"/>
  </si>
  <si>
    <t>西区</t>
    <rPh sb="0" eb="2">
      <t>ニシク</t>
    </rPh>
    <phoneticPr fontId="4"/>
  </si>
  <si>
    <t>観音新町</t>
    <rPh sb="0" eb="2">
      <t>カンノン</t>
    </rPh>
    <rPh sb="2" eb="4">
      <t>シンマチ</t>
    </rPh>
    <phoneticPr fontId="4"/>
  </si>
  <si>
    <t>10m</t>
    <phoneticPr fontId="4"/>
  </si>
  <si>
    <t>ｼﾙﾄ</t>
    <phoneticPr fontId="4"/>
  </si>
  <si>
    <t>3m</t>
    <phoneticPr fontId="4"/>
  </si>
  <si>
    <t>5m</t>
    <phoneticPr fontId="4"/>
  </si>
  <si>
    <t>3</t>
    <phoneticPr fontId="4"/>
  </si>
  <si>
    <t>有限会社 吉村建築設計室</t>
    <phoneticPr fontId="4"/>
  </si>
  <si>
    <t>TADニキュウケンチクシジムショ</t>
    <phoneticPr fontId="4"/>
  </si>
  <si>
    <t>大和ハウス工業 株式会社</t>
    <phoneticPr fontId="4"/>
  </si>
  <si>
    <t>ダイワハウスコウギョウ カブシキガイシャ</t>
    <phoneticPr fontId="4"/>
  </si>
  <si>
    <t>EMAイッキュウケンチクシジムショ</t>
    <phoneticPr fontId="4"/>
  </si>
  <si>
    <t>株式会社 INABA建築設計事務所</t>
    <phoneticPr fontId="4"/>
  </si>
  <si>
    <t>カブシキガイシャ INABAケンチクセッケイジムショ</t>
    <phoneticPr fontId="4"/>
  </si>
  <si>
    <t>株式会社 Scube</t>
    <phoneticPr fontId="4"/>
  </si>
  <si>
    <t>カブシキガイシャ Scube</t>
    <phoneticPr fontId="4"/>
  </si>
  <si>
    <t>株式会社 GEN設計</t>
    <phoneticPr fontId="4"/>
  </si>
  <si>
    <t>カブシキガイシャ GENセッケイ</t>
    <phoneticPr fontId="4"/>
  </si>
  <si>
    <t>カブシキカイシャ ZZAPデザイン</t>
    <phoneticPr fontId="4"/>
  </si>
  <si>
    <t>株式会社 プロ1</t>
    <phoneticPr fontId="4"/>
  </si>
  <si>
    <t>カブシキガイシャ プロ1</t>
    <phoneticPr fontId="4"/>
  </si>
  <si>
    <t>カブシキカイシャ RISEコウゾウセッケイジムショ</t>
    <phoneticPr fontId="4"/>
  </si>
  <si>
    <t>KITA建築設計事務所</t>
    <phoneticPr fontId="4"/>
  </si>
  <si>
    <t>KITAケンチクセッケイジムショ</t>
    <phoneticPr fontId="4"/>
  </si>
  <si>
    <t>空間考房 YAMADA</t>
    <phoneticPr fontId="4"/>
  </si>
  <si>
    <t>クウカンコウボウ YAMADA</t>
    <phoneticPr fontId="4"/>
  </si>
  <si>
    <t>K-eins</t>
    <phoneticPr fontId="4"/>
  </si>
  <si>
    <t>K2-DESIGN</t>
    <phoneticPr fontId="4"/>
  </si>
  <si>
    <t>K2-DESIGN</t>
    <phoneticPr fontId="4"/>
  </si>
  <si>
    <t>KENT建築設計事務所</t>
    <phoneticPr fontId="4"/>
  </si>
  <si>
    <t>KENTケンチクセッケイジムショ</t>
    <phoneticPr fontId="4"/>
  </si>
  <si>
    <t>As-Unit一級建築士事務所</t>
    <phoneticPr fontId="4"/>
  </si>
  <si>
    <t>As-Unitイッキュウケンチクシジムショ</t>
    <phoneticPr fontId="4"/>
  </si>
  <si>
    <t>ATORIE70設計</t>
    <phoneticPr fontId="4"/>
  </si>
  <si>
    <t>ATORIE70セッケイ</t>
    <phoneticPr fontId="4"/>
  </si>
  <si>
    <t>ATELIER J-in</t>
    <phoneticPr fontId="4"/>
  </si>
  <si>
    <t>有限会社 S&amp;A建築事務所</t>
    <phoneticPr fontId="4"/>
  </si>
  <si>
    <t>ユウゲンガイシャ S&amp;Aケンチクジムショ</t>
    <phoneticPr fontId="4"/>
  </si>
  <si>
    <t>ユウゲンガイシャ AIセッケイジムショ</t>
    <phoneticPr fontId="4"/>
  </si>
  <si>
    <t>BUS建築設計事務所</t>
    <phoneticPr fontId="4"/>
  </si>
  <si>
    <t>BUSケンチクセッケイジムショ</t>
    <phoneticPr fontId="4"/>
  </si>
  <si>
    <t>DUケンチクキカク</t>
    <phoneticPr fontId="4"/>
  </si>
  <si>
    <t>たかせao</t>
    <phoneticPr fontId="4"/>
  </si>
  <si>
    <t>OHNISHIイッキュウケンチクシジムショ</t>
    <phoneticPr fontId="4"/>
  </si>
  <si>
    <t>株式会社 アイプランニング</t>
    <phoneticPr fontId="4"/>
  </si>
  <si>
    <t>株式会社 アイプランニング</t>
    <phoneticPr fontId="4"/>
  </si>
  <si>
    <t>カブシキカイシャ TEAM IWAKIRI JAPAN</t>
    <phoneticPr fontId="4"/>
  </si>
  <si>
    <t>カブシキカイシャ Ciaociaruケンチクセッケイジムショ</t>
    <phoneticPr fontId="4"/>
  </si>
  <si>
    <t>カブシキカイシャ Fujitaka</t>
    <phoneticPr fontId="4"/>
  </si>
  <si>
    <t>JAトウホクセッケイセンター</t>
    <phoneticPr fontId="4"/>
  </si>
  <si>
    <t>JFEシビル カブシキカイシャ</t>
    <phoneticPr fontId="4"/>
  </si>
  <si>
    <t>16アーキテクツ</t>
    <phoneticPr fontId="4"/>
  </si>
  <si>
    <t>JUNTA PLANNING OFFICE</t>
    <phoneticPr fontId="4"/>
  </si>
  <si>
    <t>JUNTA PLANNING OFFICE</t>
    <phoneticPr fontId="4"/>
  </si>
  <si>
    <t>タカセao</t>
    <phoneticPr fontId="4"/>
  </si>
  <si>
    <t>JA全農とうほく設計センター</t>
    <phoneticPr fontId="4"/>
  </si>
  <si>
    <t>S.D.E 一級建築士事務所</t>
    <phoneticPr fontId="4"/>
  </si>
  <si>
    <t>S.O.E建築設計事務所</t>
    <rPh sb="5" eb="7">
      <t>ケンチク</t>
    </rPh>
    <rPh sb="7" eb="9">
      <t>セッケイ</t>
    </rPh>
    <rPh sb="9" eb="11">
      <t>ジム</t>
    </rPh>
    <rPh sb="11" eb="12">
      <t>ショ</t>
    </rPh>
    <phoneticPr fontId="4"/>
  </si>
  <si>
    <t>S.O.Eケンチクセッケイジムショ</t>
    <phoneticPr fontId="4"/>
  </si>
  <si>
    <t>Y・M・Rケンチクコウゾウジムショ</t>
    <phoneticPr fontId="4"/>
  </si>
  <si>
    <t>Y・M・R建築構造事務所</t>
    <rPh sb="11" eb="12">
      <t>ショ</t>
    </rPh>
    <phoneticPr fontId="4"/>
  </si>
  <si>
    <t>一級建築士事務所 アトリエＦ</t>
    <phoneticPr fontId="4"/>
  </si>
  <si>
    <t>イッキュウケンチクシジムショ アトリエＦ</t>
    <phoneticPr fontId="4"/>
  </si>
  <si>
    <t>-</t>
    <phoneticPr fontId="4"/>
  </si>
  <si>
    <t>株式会社 アーキプラン</t>
    <rPh sb="0" eb="4">
      <t>カブシキガイシャ</t>
    </rPh>
    <phoneticPr fontId="4"/>
  </si>
  <si>
    <t>カブシキガイシャ アーキプラン</t>
    <phoneticPr fontId="4"/>
  </si>
  <si>
    <t>株式会社 アーキプラン</t>
    <phoneticPr fontId="4"/>
  </si>
  <si>
    <t>株式会社 川又設計事務所</t>
    <phoneticPr fontId="4"/>
  </si>
  <si>
    <t>株式会社 川又設計事務所</t>
    <phoneticPr fontId="4"/>
  </si>
  <si>
    <t>カブシキガイシャ カワマタセッケイジムショ</t>
    <phoneticPr fontId="4"/>
  </si>
  <si>
    <t>ビューローベリタスジャパン株式会社</t>
    <phoneticPr fontId="4"/>
  </si>
  <si>
    <t>0.8,1.4</t>
    <phoneticPr fontId="4"/>
  </si>
  <si>
    <t>-</t>
    <phoneticPr fontId="4"/>
  </si>
  <si>
    <t>日成ビルド工業 株式会社</t>
    <phoneticPr fontId="4"/>
  </si>
  <si>
    <t>さくら建築設計 株式会社</t>
    <rPh sb="3" eb="5">
      <t>ケンチク</t>
    </rPh>
    <rPh sb="5" eb="7">
      <t>セッケイ</t>
    </rPh>
    <rPh sb="8" eb="10">
      <t>カブシキ</t>
    </rPh>
    <rPh sb="10" eb="12">
      <t>カイシャ</t>
    </rPh>
    <phoneticPr fontId="4"/>
  </si>
  <si>
    <t>さくら建築設計 株式会社</t>
    <phoneticPr fontId="4"/>
  </si>
  <si>
    <t>サクラケンチクセッケイ カブシキガイシャ</t>
    <phoneticPr fontId="4"/>
  </si>
  <si>
    <t>高岡市</t>
    <phoneticPr fontId="4"/>
  </si>
  <si>
    <t>長慶寺</t>
    <rPh sb="0" eb="3">
      <t>チョウケイジ</t>
    </rPh>
    <phoneticPr fontId="4"/>
  </si>
  <si>
    <t>事務所</t>
    <phoneticPr fontId="4"/>
  </si>
  <si>
    <t>財団法人 日本建築センター</t>
    <phoneticPr fontId="4"/>
  </si>
  <si>
    <t>財団法人 三重県建設技術センター</t>
    <phoneticPr fontId="4"/>
  </si>
  <si>
    <t>今池町</t>
    <rPh sb="0" eb="1">
      <t>イマ</t>
    </rPh>
    <rPh sb="1" eb="2">
      <t>イケ</t>
    </rPh>
    <rPh sb="2" eb="3">
      <t>マチ</t>
    </rPh>
    <phoneticPr fontId="4"/>
  </si>
  <si>
    <t>2m</t>
    <phoneticPr fontId="4"/>
  </si>
  <si>
    <t>8m</t>
    <phoneticPr fontId="4"/>
  </si>
  <si>
    <t>ﾃﾝﾎｳ・ﾌｰｽﾞ工場</t>
    <rPh sb="9" eb="11">
      <t>コウジョウ</t>
    </rPh>
    <phoneticPr fontId="4"/>
  </si>
  <si>
    <t>諏訪市</t>
    <phoneticPr fontId="4"/>
  </si>
  <si>
    <t>中洲</t>
    <phoneticPr fontId="4"/>
  </si>
  <si>
    <t>1m</t>
    <phoneticPr fontId="4"/>
  </si>
  <si>
    <t>5m</t>
    <phoneticPr fontId="4"/>
  </si>
  <si>
    <t>3m</t>
    <phoneticPr fontId="4"/>
  </si>
  <si>
    <t>ｼﾙﾄ混り細砂</t>
    <rPh sb="3" eb="4">
      <t>マジ</t>
    </rPh>
    <rPh sb="5" eb="6">
      <t>サイ</t>
    </rPh>
    <rPh sb="6" eb="7">
      <t>サ</t>
    </rPh>
    <phoneticPr fontId="4"/>
  </si>
  <si>
    <t>赤田運輸産業様 倉庫・事務所</t>
    <rPh sb="0" eb="2">
      <t>アカタ</t>
    </rPh>
    <rPh sb="2" eb="4">
      <t>ウンユ</t>
    </rPh>
    <rPh sb="4" eb="6">
      <t>サンギョウ</t>
    </rPh>
    <rPh sb="6" eb="7">
      <t>サマ</t>
    </rPh>
    <rPh sb="8" eb="10">
      <t>ソウコ</t>
    </rPh>
    <rPh sb="11" eb="13">
      <t>ジム</t>
    </rPh>
    <rPh sb="13" eb="14">
      <t>ショ</t>
    </rPh>
    <phoneticPr fontId="4"/>
  </si>
  <si>
    <t>岡山県</t>
    <phoneticPr fontId="4"/>
  </si>
  <si>
    <t>16m</t>
    <phoneticPr fontId="4"/>
  </si>
  <si>
    <t>6m</t>
    <phoneticPr fontId="4"/>
  </si>
  <si>
    <t>4m</t>
    <phoneticPr fontId="4"/>
  </si>
  <si>
    <t>2</t>
    <phoneticPr fontId="4"/>
  </si>
  <si>
    <t>四日市海運(株)霞事務所</t>
    <rPh sb="0" eb="3">
      <t>ヨッカイチ</t>
    </rPh>
    <rPh sb="3" eb="5">
      <t>カイウン</t>
    </rPh>
    <rPh sb="5" eb="8">
      <t>カブ</t>
    </rPh>
    <rPh sb="8" eb="9">
      <t>カスミ</t>
    </rPh>
    <rPh sb="9" eb="11">
      <t>ジム</t>
    </rPh>
    <rPh sb="11" eb="12">
      <t>ショ</t>
    </rPh>
    <phoneticPr fontId="4"/>
  </si>
  <si>
    <t>四日市市</t>
    <phoneticPr fontId="4"/>
  </si>
  <si>
    <t>霞</t>
    <rPh sb="0" eb="1">
      <t>カスミ</t>
    </rPh>
    <phoneticPr fontId="4"/>
  </si>
  <si>
    <t>3m</t>
    <phoneticPr fontId="4"/>
  </si>
  <si>
    <t>ｼﾙﾄ</t>
    <phoneticPr fontId="4"/>
  </si>
  <si>
    <t>16m</t>
    <phoneticPr fontId="4"/>
  </si>
  <si>
    <t>1m</t>
    <phoneticPr fontId="4"/>
  </si>
  <si>
    <t>ヤンマーアグリジャパン(株)白石支店倉庫</t>
    <rPh sb="11" eb="14">
      <t>カブ</t>
    </rPh>
    <rPh sb="14" eb="15">
      <t>シロ</t>
    </rPh>
    <rPh sb="15" eb="16">
      <t>イシ</t>
    </rPh>
    <rPh sb="16" eb="18">
      <t>シテン</t>
    </rPh>
    <rPh sb="18" eb="20">
      <t>ソウコ</t>
    </rPh>
    <phoneticPr fontId="4"/>
  </si>
  <si>
    <t>佐賀県</t>
    <phoneticPr fontId="4"/>
  </si>
  <si>
    <t>杵島郡</t>
    <rPh sb="0" eb="1">
      <t>キネ</t>
    </rPh>
    <rPh sb="1" eb="2">
      <t>シマ</t>
    </rPh>
    <rPh sb="2" eb="3">
      <t>グン</t>
    </rPh>
    <phoneticPr fontId="4"/>
  </si>
  <si>
    <t>白市町戸ヶ里</t>
    <rPh sb="0" eb="2">
      <t>シライチ</t>
    </rPh>
    <rPh sb="2" eb="3">
      <t>マチ</t>
    </rPh>
    <rPh sb="3" eb="4">
      <t>ト</t>
    </rPh>
    <rPh sb="5" eb="6">
      <t>サト</t>
    </rPh>
    <phoneticPr fontId="4"/>
  </si>
  <si>
    <t>20m</t>
    <phoneticPr fontId="4"/>
  </si>
  <si>
    <t>株式会社 エーシーエ設計</t>
    <phoneticPr fontId="4"/>
  </si>
  <si>
    <t>株式会社 エーシーエ設計</t>
    <phoneticPr fontId="4"/>
  </si>
  <si>
    <t>カブシキガイシャ エーシーエセッケイ</t>
    <phoneticPr fontId="4"/>
  </si>
  <si>
    <t>株式会社 アイ・ティ・エス</t>
    <rPh sb="0" eb="2">
      <t>カブシキ</t>
    </rPh>
    <rPh sb="2" eb="4">
      <t>カイシャ</t>
    </rPh>
    <phoneticPr fontId="4"/>
  </si>
  <si>
    <t>株式会社 アイ・ティ・エス</t>
    <phoneticPr fontId="4"/>
  </si>
  <si>
    <t>カブシキガイシャ アイ・ティ・エス</t>
    <phoneticPr fontId="4"/>
  </si>
  <si>
    <t>財団法人 兵庫県住宅建築総合センター</t>
    <phoneticPr fontId="4"/>
  </si>
  <si>
    <t>財団法人 宮城県建築住宅センター</t>
    <phoneticPr fontId="4"/>
  </si>
  <si>
    <t>株式会社 仙台都市整備センター</t>
    <phoneticPr fontId="4"/>
  </si>
  <si>
    <t>ライオンズ平野町北</t>
    <rPh sb="5" eb="7">
      <t>ヒラノ</t>
    </rPh>
    <rPh sb="7" eb="8">
      <t>マチ</t>
    </rPh>
    <rPh sb="8" eb="9">
      <t>キタ</t>
    </rPh>
    <phoneticPr fontId="4"/>
  </si>
  <si>
    <t>広島市</t>
    <phoneticPr fontId="4"/>
  </si>
  <si>
    <t>中区平野町</t>
    <rPh sb="0" eb="2">
      <t>ナカク</t>
    </rPh>
    <rPh sb="2" eb="4">
      <t>ヒラノ</t>
    </rPh>
    <rPh sb="4" eb="5">
      <t>マチ</t>
    </rPh>
    <phoneticPr fontId="4"/>
  </si>
  <si>
    <t>10m</t>
    <phoneticPr fontId="4"/>
  </si>
  <si>
    <t>5m</t>
    <phoneticPr fontId="4"/>
  </si>
  <si>
    <t>○</t>
    <phoneticPr fontId="4"/>
  </si>
  <si>
    <t>株式会社 U建築設計事務所</t>
    <rPh sb="0" eb="2">
      <t>カブシキ</t>
    </rPh>
    <rPh sb="2" eb="4">
      <t>カイシャ</t>
    </rPh>
    <rPh sb="6" eb="8">
      <t>ケンチク</t>
    </rPh>
    <rPh sb="8" eb="10">
      <t>セッケイ</t>
    </rPh>
    <rPh sb="10" eb="12">
      <t>ジム</t>
    </rPh>
    <rPh sb="12" eb="13">
      <t>ショ</t>
    </rPh>
    <phoneticPr fontId="4"/>
  </si>
  <si>
    <t>株式会社 U建築設計事務所</t>
    <phoneticPr fontId="4"/>
  </si>
  <si>
    <t>カブシキガイシャ Uケンチクセッケイジムショ</t>
    <phoneticPr fontId="4"/>
  </si>
  <si>
    <t>雄健工業 株式会社</t>
    <rPh sb="0" eb="1">
      <t>オス</t>
    </rPh>
    <rPh sb="1" eb="2">
      <t>ケン</t>
    </rPh>
    <rPh sb="2" eb="4">
      <t>コウギョウ</t>
    </rPh>
    <rPh sb="5" eb="7">
      <t>カブシキ</t>
    </rPh>
    <rPh sb="7" eb="9">
      <t>ガイシャ</t>
    </rPh>
    <phoneticPr fontId="4"/>
  </si>
  <si>
    <t>雄健工業 株式会社</t>
    <phoneticPr fontId="4"/>
  </si>
  <si>
    <t>ユウケンコウギョウ カブシキガイシャ</t>
    <phoneticPr fontId="4"/>
  </si>
  <si>
    <t>上組 名古屋支店 飛鳥ｺﾝﾃﾅｾﾝﾀｰ</t>
    <rPh sb="0" eb="1">
      <t>ウエ</t>
    </rPh>
    <rPh sb="1" eb="2">
      <t>クミ</t>
    </rPh>
    <rPh sb="3" eb="6">
      <t>ナゴヤ</t>
    </rPh>
    <rPh sb="6" eb="8">
      <t>シテン</t>
    </rPh>
    <rPh sb="9" eb="11">
      <t>アスカ</t>
    </rPh>
    <phoneticPr fontId="4"/>
  </si>
  <si>
    <t>海部郡</t>
    <phoneticPr fontId="4"/>
  </si>
  <si>
    <t>飛鳥村西浜</t>
    <rPh sb="0" eb="2">
      <t>アスカ</t>
    </rPh>
    <rPh sb="2" eb="3">
      <t>ムラ</t>
    </rPh>
    <rPh sb="3" eb="4">
      <t>ニシ</t>
    </rPh>
    <rPh sb="4" eb="5">
      <t>ハマ</t>
    </rPh>
    <phoneticPr fontId="4"/>
  </si>
  <si>
    <t>5m</t>
    <phoneticPr fontId="4"/>
  </si>
  <si>
    <t>ｼﾙﾄ</t>
    <phoneticPr fontId="4"/>
  </si>
  <si>
    <t>15m</t>
    <phoneticPr fontId="4"/>
  </si>
  <si>
    <t>2m</t>
    <phoneticPr fontId="4"/>
  </si>
  <si>
    <t>内山商事 東京営業所</t>
    <rPh sb="0" eb="2">
      <t>ウチヤマ</t>
    </rPh>
    <rPh sb="2" eb="4">
      <t>ショウジ</t>
    </rPh>
    <rPh sb="5" eb="7">
      <t>トウキョウ</t>
    </rPh>
    <rPh sb="7" eb="9">
      <t>エイギョウ</t>
    </rPh>
    <rPh sb="9" eb="10">
      <t>ショ</t>
    </rPh>
    <phoneticPr fontId="4"/>
  </si>
  <si>
    <t>足立区</t>
    <phoneticPr fontId="4"/>
  </si>
  <si>
    <t>入谷</t>
    <rPh sb="0" eb="2">
      <t>イリタニ</t>
    </rPh>
    <phoneticPr fontId="4"/>
  </si>
  <si>
    <t>2m</t>
    <phoneticPr fontId="4"/>
  </si>
  <si>
    <t>ｼﾙﾄ</t>
    <phoneticPr fontId="4"/>
  </si>
  <si>
    <t>4m</t>
    <phoneticPr fontId="4"/>
  </si>
  <si>
    <t>9m</t>
    <phoneticPr fontId="4"/>
  </si>
  <si>
    <t>-</t>
    <phoneticPr fontId="4"/>
  </si>
  <si>
    <t>株式会社 東京建築</t>
    <rPh sb="0" eb="2">
      <t>カブシキ</t>
    </rPh>
    <rPh sb="2" eb="4">
      <t>カイシャ</t>
    </rPh>
    <rPh sb="5" eb="7">
      <t>トウキョウ</t>
    </rPh>
    <rPh sb="7" eb="9">
      <t>ケンチク</t>
    </rPh>
    <phoneticPr fontId="4"/>
  </si>
  <si>
    <t>カブシキガイシャ トウキョウケンチク</t>
    <phoneticPr fontId="4"/>
  </si>
  <si>
    <t>株式会社 建築構造センター</t>
    <phoneticPr fontId="4"/>
  </si>
  <si>
    <t>益田市</t>
    <phoneticPr fontId="4"/>
  </si>
  <si>
    <t>乙吉町</t>
    <rPh sb="0" eb="1">
      <t>オツ</t>
    </rPh>
    <rPh sb="1" eb="2">
      <t>キチ</t>
    </rPh>
    <rPh sb="2" eb="3">
      <t>マチ</t>
    </rPh>
    <phoneticPr fontId="4"/>
  </si>
  <si>
    <t>益田乙吉町(ｾﾌﾞﾝｲﾚﾌﾞﾝ)</t>
    <rPh sb="0" eb="2">
      <t>マスダ</t>
    </rPh>
    <rPh sb="2" eb="3">
      <t>オツ</t>
    </rPh>
    <rPh sb="3" eb="4">
      <t>キチ</t>
    </rPh>
    <rPh sb="4" eb="5">
      <t>マチ</t>
    </rPh>
    <phoneticPr fontId="4"/>
  </si>
  <si>
    <t>1m</t>
    <phoneticPr fontId="4"/>
  </si>
  <si>
    <t>13m</t>
    <phoneticPr fontId="4"/>
  </si>
  <si>
    <t>4m</t>
    <phoneticPr fontId="4"/>
  </si>
  <si>
    <t>株式会社 藤原・山下設計事務所</t>
    <rPh sb="0" eb="2">
      <t>カブシキ</t>
    </rPh>
    <rPh sb="2" eb="4">
      <t>カイシャ</t>
    </rPh>
    <rPh sb="5" eb="7">
      <t>フジワラ</t>
    </rPh>
    <rPh sb="8" eb="10">
      <t>ヤマシタ</t>
    </rPh>
    <rPh sb="10" eb="12">
      <t>セッケイ</t>
    </rPh>
    <rPh sb="12" eb="14">
      <t>ジム</t>
    </rPh>
    <rPh sb="14" eb="15">
      <t>ショ</t>
    </rPh>
    <phoneticPr fontId="4"/>
  </si>
  <si>
    <t>株式会社 藤原・山下設計事務所</t>
    <phoneticPr fontId="4"/>
  </si>
  <si>
    <t>カブシキガイシャ フジワラ・ヤマシタセッケイジムショ</t>
    <phoneticPr fontId="4"/>
  </si>
  <si>
    <t>ハローズ万代</t>
    <rPh sb="4" eb="6">
      <t>バンダイ</t>
    </rPh>
    <phoneticPr fontId="4"/>
  </si>
  <si>
    <t>万代町</t>
    <rPh sb="0" eb="2">
      <t>マンダイ</t>
    </rPh>
    <rPh sb="2" eb="3">
      <t>マチ</t>
    </rPh>
    <phoneticPr fontId="4"/>
  </si>
  <si>
    <t>阿久津医院</t>
    <rPh sb="0" eb="3">
      <t>アクツ</t>
    </rPh>
    <rPh sb="3" eb="5">
      <t>イイン</t>
    </rPh>
    <phoneticPr fontId="4"/>
  </si>
  <si>
    <t>高砂</t>
    <rPh sb="0" eb="2">
      <t>タカサゴ</t>
    </rPh>
    <phoneticPr fontId="4"/>
  </si>
  <si>
    <t>株式会社 ユー・シー・コーディネート</t>
    <rPh sb="0" eb="2">
      <t>カブシキ</t>
    </rPh>
    <rPh sb="2" eb="4">
      <t>カイシャ</t>
    </rPh>
    <phoneticPr fontId="4"/>
  </si>
  <si>
    <t>カブシキガイシャ ユー・シー・コーディネート</t>
    <phoneticPr fontId="4"/>
  </si>
  <si>
    <t>アービア設計事務所</t>
    <rPh sb="4" eb="6">
      <t>セッケイ</t>
    </rPh>
    <rPh sb="6" eb="8">
      <t>ジム</t>
    </rPh>
    <rPh sb="8" eb="9">
      <t>ショ</t>
    </rPh>
    <phoneticPr fontId="4"/>
  </si>
  <si>
    <t>アービア設計事務所</t>
    <phoneticPr fontId="4"/>
  </si>
  <si>
    <t>アービアセッケイジムショ</t>
    <phoneticPr fontId="4"/>
  </si>
  <si>
    <t>診療所</t>
    <phoneticPr fontId="4"/>
  </si>
  <si>
    <t>5m</t>
    <phoneticPr fontId="4"/>
  </si>
  <si>
    <t>1m</t>
    <phoneticPr fontId="4"/>
  </si>
  <si>
    <t>160378-1</t>
    <phoneticPr fontId="4"/>
  </si>
  <si>
    <t>160378-2</t>
  </si>
  <si>
    <t>160378-3</t>
  </si>
  <si>
    <t>160378-4</t>
  </si>
  <si>
    <t>島根県 出雲市役所</t>
    <phoneticPr fontId="4"/>
  </si>
  <si>
    <t>未来建設 株式会社</t>
    <rPh sb="0" eb="2">
      <t>ミライ</t>
    </rPh>
    <rPh sb="2" eb="4">
      <t>ケンセツ</t>
    </rPh>
    <rPh sb="5" eb="7">
      <t>カブシキ</t>
    </rPh>
    <rPh sb="7" eb="9">
      <t>カイシャ</t>
    </rPh>
    <phoneticPr fontId="4"/>
  </si>
  <si>
    <t>未来建設 株式会社</t>
    <phoneticPr fontId="4"/>
  </si>
  <si>
    <t>ミライケンセツ カブシキガイシャ</t>
    <phoneticPr fontId="4"/>
  </si>
  <si>
    <t>東名電機 株式会社 事務所</t>
    <rPh sb="0" eb="2">
      <t>トウメイ</t>
    </rPh>
    <rPh sb="2" eb="4">
      <t>デンキ</t>
    </rPh>
    <rPh sb="5" eb="7">
      <t>カブシキ</t>
    </rPh>
    <rPh sb="7" eb="9">
      <t>カイシャ</t>
    </rPh>
    <rPh sb="10" eb="12">
      <t>ジム</t>
    </rPh>
    <rPh sb="12" eb="13">
      <t>ショ</t>
    </rPh>
    <phoneticPr fontId="4"/>
  </si>
  <si>
    <t>静岡県</t>
    <phoneticPr fontId="4"/>
  </si>
  <si>
    <t>富士市</t>
    <rPh sb="0" eb="2">
      <t>フジ</t>
    </rPh>
    <rPh sb="2" eb="3">
      <t>シ</t>
    </rPh>
    <phoneticPr fontId="4"/>
  </si>
  <si>
    <t>今泉</t>
    <rPh sb="0" eb="1">
      <t>イマ</t>
    </rPh>
    <rPh sb="1" eb="2">
      <t>イズミ</t>
    </rPh>
    <phoneticPr fontId="4"/>
  </si>
  <si>
    <t>2m</t>
    <phoneticPr fontId="4"/>
  </si>
  <si>
    <t>ｼﾙﾄ</t>
    <phoneticPr fontId="4"/>
  </si>
  <si>
    <t>ｼﾙﾄ混り粘土</t>
    <rPh sb="3" eb="4">
      <t>マジ</t>
    </rPh>
    <rPh sb="5" eb="7">
      <t>ネンド</t>
    </rPh>
    <phoneticPr fontId="4"/>
  </si>
  <si>
    <t>8m</t>
    <phoneticPr fontId="4"/>
  </si>
  <si>
    <t>秀 一級建築士事務所</t>
    <rPh sb="0" eb="1">
      <t>ヒデ</t>
    </rPh>
    <rPh sb="2" eb="4">
      <t>イッキュウ</t>
    </rPh>
    <rPh sb="4" eb="7">
      <t>ケンチクシ</t>
    </rPh>
    <rPh sb="7" eb="9">
      <t>ジム</t>
    </rPh>
    <rPh sb="9" eb="10">
      <t>ショ</t>
    </rPh>
    <phoneticPr fontId="4"/>
  </si>
  <si>
    <t>ヒデ イッキュウケンチクシジムショ</t>
    <phoneticPr fontId="4"/>
  </si>
  <si>
    <t>ﾄﾖﾀｶﾛｰﾗ帯広</t>
    <rPh sb="7" eb="9">
      <t>オビヒロ</t>
    </rPh>
    <phoneticPr fontId="4"/>
  </si>
  <si>
    <t>帯広市</t>
    <rPh sb="0" eb="3">
      <t>オビヒロシ</t>
    </rPh>
    <phoneticPr fontId="4"/>
  </si>
  <si>
    <t>通西</t>
    <rPh sb="0" eb="1">
      <t>トオ</t>
    </rPh>
    <rPh sb="1" eb="2">
      <t>ニシ</t>
    </rPh>
    <phoneticPr fontId="4"/>
  </si>
  <si>
    <t>永田康彦総合設計事務所</t>
    <rPh sb="0" eb="2">
      <t>ナガタ</t>
    </rPh>
    <rPh sb="2" eb="4">
      <t>ヤスヒコ</t>
    </rPh>
    <rPh sb="4" eb="6">
      <t>ソウゴウ</t>
    </rPh>
    <rPh sb="6" eb="8">
      <t>セッケイ</t>
    </rPh>
    <rPh sb="8" eb="10">
      <t>ジム</t>
    </rPh>
    <rPh sb="10" eb="11">
      <t>ショ</t>
    </rPh>
    <phoneticPr fontId="4"/>
  </si>
  <si>
    <t>永田康彦総合設計事務所</t>
    <phoneticPr fontId="4"/>
  </si>
  <si>
    <t>ナガタヤスヒコソウゴウセッケイジムショ</t>
    <phoneticPr fontId="4"/>
  </si>
  <si>
    <t>鈴木徹建築設計室</t>
    <rPh sb="0" eb="2">
      <t>スズキ</t>
    </rPh>
    <rPh sb="2" eb="3">
      <t>トオル</t>
    </rPh>
    <rPh sb="3" eb="5">
      <t>ケンチク</t>
    </rPh>
    <rPh sb="5" eb="7">
      <t>セッケイ</t>
    </rPh>
    <rPh sb="7" eb="8">
      <t>シツ</t>
    </rPh>
    <phoneticPr fontId="4"/>
  </si>
  <si>
    <t>鈴木徹建築設計室</t>
    <phoneticPr fontId="4"/>
  </si>
  <si>
    <t>スズキトオルケンチクセッケイシツ</t>
    <phoneticPr fontId="4"/>
  </si>
  <si>
    <t>2m</t>
    <phoneticPr fontId="4"/>
  </si>
  <si>
    <t>礫混り有機質土</t>
    <rPh sb="0" eb="1">
      <t>レキ</t>
    </rPh>
    <rPh sb="1" eb="2">
      <t>マジ</t>
    </rPh>
    <rPh sb="3" eb="6">
      <t>ユウキシツ</t>
    </rPh>
    <rPh sb="6" eb="7">
      <t>ド</t>
    </rPh>
    <phoneticPr fontId="4"/>
  </si>
  <si>
    <t>ﾌﾟﾗｯﾄ
ﾎｰﾑ</t>
    <phoneticPr fontId="4"/>
  </si>
  <si>
    <t>積載
荷重
[kN/㎡]</t>
    <rPh sb="0" eb="2">
      <t>セキサイ</t>
    </rPh>
    <rPh sb="3" eb="5">
      <t>カジュウ</t>
    </rPh>
    <phoneticPr fontId="4"/>
  </si>
  <si>
    <t>-</t>
    <phoneticPr fontId="4"/>
  </si>
  <si>
    <t>土間下
砕石</t>
    <rPh sb="0" eb="2">
      <t>ドマ</t>
    </rPh>
    <rPh sb="2" eb="3">
      <t>シタ</t>
    </rPh>
    <rPh sb="4" eb="6">
      <t>サイセキ</t>
    </rPh>
    <phoneticPr fontId="4"/>
  </si>
  <si>
    <t>K2-DESIGN</t>
    <phoneticPr fontId="4"/>
  </si>
  <si>
    <t>基礎
仕様</t>
    <rPh sb="0" eb="2">
      <t>キソ</t>
    </rPh>
    <rPh sb="3" eb="5">
      <t>シヨウ</t>
    </rPh>
    <phoneticPr fontId="4"/>
  </si>
  <si>
    <t>独立</t>
    <rPh sb="0" eb="2">
      <t>ドクリツ</t>
    </rPh>
    <phoneticPr fontId="4"/>
  </si>
  <si>
    <t>布</t>
    <rPh sb="0" eb="1">
      <t>ヌノ</t>
    </rPh>
    <phoneticPr fontId="4"/>
  </si>
  <si>
    <t>べた</t>
  </si>
  <si>
    <t>べた</t>
    <phoneticPr fontId="4"/>
  </si>
  <si>
    <t>べた(二重ｽﾗﾌﾞ)</t>
    <rPh sb="3" eb="5">
      <t>ニジュウ</t>
    </rPh>
    <phoneticPr fontId="4"/>
  </si>
  <si>
    <t>擁壁</t>
    <rPh sb="0" eb="2">
      <t>ヨウヘキ</t>
    </rPh>
    <phoneticPr fontId="4"/>
  </si>
  <si>
    <t>「いわて純情米」県北広域集出荷施設</t>
    <rPh sb="4" eb="6">
      <t>ジュンジョウ</t>
    </rPh>
    <rPh sb="6" eb="7">
      <t>マイ</t>
    </rPh>
    <rPh sb="8" eb="10">
      <t>ケンホク</t>
    </rPh>
    <rPh sb="10" eb="12">
      <t>コウイキ</t>
    </rPh>
    <rPh sb="12" eb="13">
      <t>シュウ</t>
    </rPh>
    <rPh sb="13" eb="15">
      <t>シュッカ</t>
    </rPh>
    <rPh sb="15" eb="17">
      <t>シセツ</t>
    </rPh>
    <phoneticPr fontId="4"/>
  </si>
  <si>
    <t>滝沢市</t>
    <rPh sb="0" eb="2">
      <t>タキザワ</t>
    </rPh>
    <rPh sb="2" eb="3">
      <t>シ</t>
    </rPh>
    <phoneticPr fontId="4"/>
  </si>
  <si>
    <t>7m</t>
    <phoneticPr fontId="4"/>
  </si>
  <si>
    <t>15m</t>
    <phoneticPr fontId="4"/>
  </si>
  <si>
    <t>5m</t>
    <phoneticPr fontId="4"/>
  </si>
  <si>
    <t>高知県 高知市役所</t>
    <rPh sb="0" eb="3">
      <t>コウチケン</t>
    </rPh>
    <rPh sb="4" eb="9">
      <t>コウチシヤクショ</t>
    </rPh>
    <phoneticPr fontId="4"/>
  </si>
  <si>
    <t>高知県 高知市役所</t>
    <phoneticPr fontId="4"/>
  </si>
  <si>
    <t>三和シャッター工業(株)広島工場塗装ライン</t>
    <rPh sb="0" eb="2">
      <t>サンワ</t>
    </rPh>
    <rPh sb="7" eb="9">
      <t>コウギョウ</t>
    </rPh>
    <rPh sb="9" eb="12">
      <t>カブ</t>
    </rPh>
    <rPh sb="12" eb="14">
      <t>ヒロシマ</t>
    </rPh>
    <rPh sb="14" eb="16">
      <t>コウジョウ</t>
    </rPh>
    <rPh sb="16" eb="18">
      <t>トソウ</t>
    </rPh>
    <phoneticPr fontId="4"/>
  </si>
  <si>
    <t>安芸高田市</t>
    <rPh sb="0" eb="5">
      <t>アキタカタシ</t>
    </rPh>
    <phoneticPr fontId="4"/>
  </si>
  <si>
    <t>吉田町</t>
    <rPh sb="0" eb="2">
      <t>ヨシダ</t>
    </rPh>
    <rPh sb="2" eb="3">
      <t>マチ</t>
    </rPh>
    <phoneticPr fontId="4"/>
  </si>
  <si>
    <t>S造</t>
    <phoneticPr fontId="4"/>
  </si>
  <si>
    <t>平屋建</t>
    <phoneticPr fontId="4"/>
  </si>
  <si>
    <t>-</t>
    <phoneticPr fontId="4"/>
  </si>
  <si>
    <t>株式会社 エーシック</t>
    <rPh sb="0" eb="2">
      <t>カブシキ</t>
    </rPh>
    <rPh sb="2" eb="4">
      <t>カイシャ</t>
    </rPh>
    <phoneticPr fontId="4"/>
  </si>
  <si>
    <t>株式会社 アルテス</t>
    <rPh sb="0" eb="2">
      <t>カブシキ</t>
    </rPh>
    <rPh sb="2" eb="4">
      <t>カイシャ</t>
    </rPh>
    <phoneticPr fontId="4"/>
  </si>
  <si>
    <t>ドラッグコスモス八幡屋</t>
    <rPh sb="8" eb="10">
      <t>ヤハタ</t>
    </rPh>
    <rPh sb="10" eb="11">
      <t>ヤ</t>
    </rPh>
    <phoneticPr fontId="4"/>
  </si>
  <si>
    <t>大阪市</t>
    <phoneticPr fontId="4"/>
  </si>
  <si>
    <t>港区八幡屋</t>
    <rPh sb="0" eb="2">
      <t>ミナトク</t>
    </rPh>
    <rPh sb="2" eb="5">
      <t>ヤハタヤ</t>
    </rPh>
    <phoneticPr fontId="4"/>
  </si>
  <si>
    <t>3m</t>
    <phoneticPr fontId="4"/>
  </si>
  <si>
    <t>ｼﾙﾄ</t>
    <phoneticPr fontId="4"/>
  </si>
  <si>
    <t>13m</t>
    <phoneticPr fontId="4"/>
  </si>
  <si>
    <t>2m</t>
    <phoneticPr fontId="4"/>
  </si>
  <si>
    <t>カブシキガイシャ ジープラン</t>
    <phoneticPr fontId="4"/>
  </si>
  <si>
    <t>株式会社 アルテス</t>
    <phoneticPr fontId="4"/>
  </si>
  <si>
    <t>株式会社 エーシック</t>
    <phoneticPr fontId="4"/>
  </si>
  <si>
    <t>カブシキガイシャ アルテス</t>
    <phoneticPr fontId="4"/>
  </si>
  <si>
    <t>カブシキガイシャ エーシック</t>
    <phoneticPr fontId="4"/>
  </si>
  <si>
    <t>Honda Cars熊本東 新車置場</t>
    <rPh sb="10" eb="12">
      <t>クマモト</t>
    </rPh>
    <rPh sb="12" eb="13">
      <t>ヒガシ</t>
    </rPh>
    <rPh sb="14" eb="16">
      <t>シンシャ</t>
    </rPh>
    <rPh sb="16" eb="18">
      <t>オキバ</t>
    </rPh>
    <phoneticPr fontId="4"/>
  </si>
  <si>
    <t>熊本市</t>
    <phoneticPr fontId="4"/>
  </si>
  <si>
    <t>東区沼山津</t>
    <rPh sb="0" eb="2">
      <t>ヒガシク</t>
    </rPh>
    <rPh sb="2" eb="3">
      <t>ヌマ</t>
    </rPh>
    <rPh sb="3" eb="4">
      <t>ヤマ</t>
    </rPh>
    <rPh sb="4" eb="5">
      <t>ツ</t>
    </rPh>
    <phoneticPr fontId="4"/>
  </si>
  <si>
    <t>なす建築設計室</t>
    <rPh sb="2" eb="4">
      <t>ケンチク</t>
    </rPh>
    <rPh sb="4" eb="6">
      <t>セッケイ</t>
    </rPh>
    <rPh sb="6" eb="7">
      <t>シツ</t>
    </rPh>
    <phoneticPr fontId="4"/>
  </si>
  <si>
    <t>なす建築設計室</t>
    <phoneticPr fontId="4"/>
  </si>
  <si>
    <t>ナスケンチクセッケイシツ</t>
    <phoneticPr fontId="4"/>
  </si>
  <si>
    <t>村上構造設計室</t>
    <rPh sb="0" eb="2">
      <t>ムラカミ</t>
    </rPh>
    <rPh sb="2" eb="4">
      <t>コウゾウ</t>
    </rPh>
    <rPh sb="4" eb="6">
      <t>セッケイ</t>
    </rPh>
    <rPh sb="6" eb="7">
      <t>シツ</t>
    </rPh>
    <phoneticPr fontId="4"/>
  </si>
  <si>
    <t>村上構造設計室</t>
    <phoneticPr fontId="4"/>
  </si>
  <si>
    <t>ムラカミコウゾウセッケイシツ</t>
    <phoneticPr fontId="4"/>
  </si>
  <si>
    <t>?</t>
    <phoneticPr fontId="4"/>
  </si>
  <si>
    <t>SDTソーラーパワー山口発電所</t>
    <rPh sb="10" eb="12">
      <t>ヤマグチ</t>
    </rPh>
    <rPh sb="12" eb="14">
      <t>ハツデン</t>
    </rPh>
    <rPh sb="14" eb="15">
      <t>ショ</t>
    </rPh>
    <phoneticPr fontId="4"/>
  </si>
  <si>
    <t>山口県</t>
    <phoneticPr fontId="4"/>
  </si>
  <si>
    <t>大字西沖ノ西沖</t>
    <rPh sb="0" eb="2">
      <t>オオアザ</t>
    </rPh>
    <rPh sb="2" eb="3">
      <t>ニシ</t>
    </rPh>
    <rPh sb="3" eb="4">
      <t>オキ</t>
    </rPh>
    <rPh sb="5" eb="6">
      <t>ニシ</t>
    </rPh>
    <rPh sb="6" eb="7">
      <t>オキ</t>
    </rPh>
    <phoneticPr fontId="4"/>
  </si>
  <si>
    <t>15m</t>
    <phoneticPr fontId="4"/>
  </si>
  <si>
    <t>ｼﾙﾄ</t>
    <phoneticPr fontId="4"/>
  </si>
  <si>
    <t>2m</t>
    <phoneticPr fontId="4"/>
  </si>
  <si>
    <t>発電所</t>
    <rPh sb="0" eb="2">
      <t>ハツデン</t>
    </rPh>
    <rPh sb="2" eb="3">
      <t>ショ</t>
    </rPh>
    <phoneticPr fontId="4"/>
  </si>
  <si>
    <t>-</t>
    <phoneticPr fontId="4"/>
  </si>
  <si>
    <t>西松建設 株式会社</t>
    <rPh sb="0" eb="2">
      <t>ニシマツ</t>
    </rPh>
    <rPh sb="2" eb="4">
      <t>ケンセツ</t>
    </rPh>
    <rPh sb="5" eb="7">
      <t>カブシキ</t>
    </rPh>
    <rPh sb="7" eb="9">
      <t>カイシャ</t>
    </rPh>
    <phoneticPr fontId="4"/>
  </si>
  <si>
    <t>南小泉複合施設</t>
    <rPh sb="0" eb="1">
      <t>ミナミ</t>
    </rPh>
    <rPh sb="1" eb="3">
      <t>コイズミ</t>
    </rPh>
    <rPh sb="3" eb="5">
      <t>フクゴウ</t>
    </rPh>
    <rPh sb="5" eb="7">
      <t>シセツ</t>
    </rPh>
    <phoneticPr fontId="4"/>
  </si>
  <si>
    <t>宮城県</t>
    <phoneticPr fontId="4"/>
  </si>
  <si>
    <t>若林区遠見塚</t>
    <rPh sb="0" eb="3">
      <t>ワカバヤシク</t>
    </rPh>
    <rPh sb="3" eb="4">
      <t>トオ</t>
    </rPh>
    <rPh sb="4" eb="5">
      <t>ミ</t>
    </rPh>
    <rPh sb="5" eb="6">
      <t>ツカ</t>
    </rPh>
    <phoneticPr fontId="4"/>
  </si>
  <si>
    <t>有限会社 飛沢構造設計</t>
    <rPh sb="0" eb="2">
      <t>ユウゲン</t>
    </rPh>
    <rPh sb="2" eb="4">
      <t>カイシャ</t>
    </rPh>
    <phoneticPr fontId="4"/>
  </si>
  <si>
    <t>有限会社 飛沢構造設計</t>
    <phoneticPr fontId="4"/>
  </si>
  <si>
    <t>ユウゲンガイシャ トビサワコウゾウセッケイ</t>
    <phoneticPr fontId="4"/>
  </si>
  <si>
    <t>3m</t>
    <phoneticPr fontId="4"/>
  </si>
  <si>
    <t>ｼﾙﾄ</t>
    <phoneticPr fontId="4"/>
  </si>
  <si>
    <t>1m</t>
    <phoneticPr fontId="4"/>
  </si>
  <si>
    <t>岡山県建築住宅センター 株式会社</t>
    <rPh sb="0" eb="3">
      <t>オカヤマケン</t>
    </rPh>
    <rPh sb="3" eb="5">
      <t>ケンチク</t>
    </rPh>
    <rPh sb="5" eb="7">
      <t>ジュウタク</t>
    </rPh>
    <rPh sb="12" eb="14">
      <t>カブシキ</t>
    </rPh>
    <rPh sb="14" eb="16">
      <t>カイシャ</t>
    </rPh>
    <phoneticPr fontId="4"/>
  </si>
  <si>
    <t>岡山県建築住宅センター 株式会社</t>
    <phoneticPr fontId="4"/>
  </si>
  <si>
    <t>株式会社 建築構造センター(仙台)</t>
    <rPh sb="14" eb="16">
      <t>センダイ</t>
    </rPh>
    <phoneticPr fontId="4"/>
  </si>
  <si>
    <t>株式会社 東日本住宅評価センター</t>
    <phoneticPr fontId="4"/>
  </si>
  <si>
    <t>株式会社 西日本住宅評価センター</t>
    <rPh sb="5" eb="6">
      <t>ニシ</t>
    </rPh>
    <phoneticPr fontId="4"/>
  </si>
  <si>
    <t>株式会社 西日本住宅評価センター</t>
    <phoneticPr fontId="4"/>
  </si>
  <si>
    <t>京都府 京都市役所</t>
    <rPh sb="0" eb="3">
      <t>キョウトフ</t>
    </rPh>
    <rPh sb="4" eb="6">
      <t>キョウト</t>
    </rPh>
    <rPh sb="6" eb="7">
      <t>シ</t>
    </rPh>
    <rPh sb="7" eb="9">
      <t>ヤクショ</t>
    </rPh>
    <phoneticPr fontId="4"/>
  </si>
  <si>
    <t>京都府 京都市役所</t>
    <phoneticPr fontId="4"/>
  </si>
  <si>
    <t>株式会社 札幌工業検査</t>
    <rPh sb="0" eb="2">
      <t>カブシキ</t>
    </rPh>
    <rPh sb="2" eb="4">
      <t>カイシャ</t>
    </rPh>
    <rPh sb="5" eb="7">
      <t>サッポロ</t>
    </rPh>
    <rPh sb="7" eb="9">
      <t>コウギョウ</t>
    </rPh>
    <rPh sb="9" eb="11">
      <t>ケンサ</t>
    </rPh>
    <phoneticPr fontId="4"/>
  </si>
  <si>
    <t>株式会社 札幌工業検査</t>
    <phoneticPr fontId="4"/>
  </si>
  <si>
    <t>薬王堂青森五所川原稲実</t>
    <rPh sb="0" eb="1">
      <t>ヤク</t>
    </rPh>
    <rPh sb="1" eb="2">
      <t>オウ</t>
    </rPh>
    <rPh sb="2" eb="3">
      <t>ドウ</t>
    </rPh>
    <rPh sb="3" eb="5">
      <t>アオモリ</t>
    </rPh>
    <rPh sb="5" eb="9">
      <t>ゴショガワラ</t>
    </rPh>
    <rPh sb="9" eb="10">
      <t>イナ</t>
    </rPh>
    <rPh sb="10" eb="11">
      <t>ミ</t>
    </rPh>
    <phoneticPr fontId="4"/>
  </si>
  <si>
    <t>五所川原市</t>
    <phoneticPr fontId="4"/>
  </si>
  <si>
    <t>大字稲実字米崎</t>
    <rPh sb="0" eb="2">
      <t>オオアザ</t>
    </rPh>
    <rPh sb="2" eb="3">
      <t>イナ</t>
    </rPh>
    <rPh sb="3" eb="4">
      <t>ミ</t>
    </rPh>
    <rPh sb="4" eb="5">
      <t>アザ</t>
    </rPh>
    <rPh sb="5" eb="6">
      <t>コメ</t>
    </rPh>
    <rPh sb="6" eb="7">
      <t>サキ</t>
    </rPh>
    <phoneticPr fontId="4"/>
  </si>
  <si>
    <t>ｼﾙﾄ</t>
    <phoneticPr fontId="4"/>
  </si>
  <si>
    <t>8m</t>
    <phoneticPr fontId="4"/>
  </si>
  <si>
    <t>1m</t>
    <phoneticPr fontId="4"/>
  </si>
  <si>
    <t>2m</t>
    <phoneticPr fontId="4"/>
  </si>
  <si>
    <t>フレームデザイン</t>
    <phoneticPr fontId="4"/>
  </si>
  <si>
    <t>フレームデザイン</t>
    <phoneticPr fontId="4"/>
  </si>
  <si>
    <t>株式会社 高橋勲設計</t>
  </si>
  <si>
    <t>株式会社 高橋勲設計</t>
    <rPh sb="0" eb="2">
      <t>カブシキ</t>
    </rPh>
    <rPh sb="2" eb="4">
      <t>カイシャ</t>
    </rPh>
    <rPh sb="5" eb="7">
      <t>タカハシ</t>
    </rPh>
    <rPh sb="7" eb="8">
      <t>イサム</t>
    </rPh>
    <rPh sb="8" eb="10">
      <t>セッケイ</t>
    </rPh>
    <phoneticPr fontId="4"/>
  </si>
  <si>
    <t>カブシキガイシャ タカハシイサムセッケイ</t>
    <phoneticPr fontId="4"/>
  </si>
  <si>
    <t>バロー勝川</t>
    <rPh sb="3" eb="5">
      <t>カツカワ</t>
    </rPh>
    <phoneticPr fontId="4"/>
  </si>
  <si>
    <t>錦織運送(株)倉庫</t>
    <rPh sb="0" eb="2">
      <t>ニシキオリ</t>
    </rPh>
    <rPh sb="2" eb="4">
      <t>ウンソウ</t>
    </rPh>
    <rPh sb="4" eb="7">
      <t>カブ</t>
    </rPh>
    <rPh sb="7" eb="9">
      <t>ソウコ</t>
    </rPh>
    <phoneticPr fontId="4"/>
  </si>
  <si>
    <t>常松</t>
    <rPh sb="0" eb="1">
      <t>ツネ</t>
    </rPh>
    <rPh sb="1" eb="2">
      <t>マツ</t>
    </rPh>
    <phoneticPr fontId="4"/>
  </si>
  <si>
    <t>3m</t>
    <phoneticPr fontId="4"/>
  </si>
  <si>
    <t>1m</t>
    <phoneticPr fontId="4"/>
  </si>
  <si>
    <t>4m</t>
    <phoneticPr fontId="4"/>
  </si>
  <si>
    <t>6m</t>
    <phoneticPr fontId="4"/>
  </si>
  <si>
    <t>8m</t>
    <phoneticPr fontId="4"/>
  </si>
  <si>
    <t>礫混り粘土</t>
    <rPh sb="0" eb="1">
      <t>レキ</t>
    </rPh>
    <rPh sb="1" eb="2">
      <t>マジ</t>
    </rPh>
    <rPh sb="3" eb="5">
      <t>ネンド</t>
    </rPh>
    <phoneticPr fontId="4"/>
  </si>
  <si>
    <t>ヤマザワ村山駅西町 ダイソー棟</t>
    <rPh sb="14" eb="15">
      <t>トウ</t>
    </rPh>
    <phoneticPr fontId="4"/>
  </si>
  <si>
    <t>山形県</t>
    <phoneticPr fontId="4"/>
  </si>
  <si>
    <t>1m</t>
    <phoneticPr fontId="4"/>
  </si>
  <si>
    <t>6m</t>
    <phoneticPr fontId="4"/>
  </si>
  <si>
    <t>ｼﾙﾄ</t>
    <phoneticPr fontId="4"/>
  </si>
  <si>
    <t>介護付き有料老人ﾎｰﾑ さわやかあおい館</t>
    <rPh sb="0" eb="2">
      <t>カイゴ</t>
    </rPh>
    <rPh sb="2" eb="3">
      <t>ツキ</t>
    </rPh>
    <rPh sb="4" eb="6">
      <t>ユウリョウ</t>
    </rPh>
    <rPh sb="6" eb="8">
      <t>ロウジン</t>
    </rPh>
    <rPh sb="19" eb="20">
      <t>カン</t>
    </rPh>
    <phoneticPr fontId="4"/>
  </si>
  <si>
    <t>静岡県</t>
    <phoneticPr fontId="4"/>
  </si>
  <si>
    <t>静岡市</t>
    <phoneticPr fontId="4"/>
  </si>
  <si>
    <t>葵区唐瀬</t>
    <rPh sb="0" eb="1">
      <t>アオイ</t>
    </rPh>
    <rPh sb="1" eb="2">
      <t>ク</t>
    </rPh>
    <rPh sb="2" eb="4">
      <t>カラセ</t>
    </rPh>
    <phoneticPr fontId="4"/>
  </si>
  <si>
    <t>3</t>
    <phoneticPr fontId="4"/>
  </si>
  <si>
    <t>高橋茂弥建築設計事務所</t>
    <rPh sb="0" eb="2">
      <t>タカハシ</t>
    </rPh>
    <rPh sb="2" eb="3">
      <t>シゲル</t>
    </rPh>
    <rPh sb="4" eb="6">
      <t>ケンチク</t>
    </rPh>
    <rPh sb="6" eb="8">
      <t>セッケイ</t>
    </rPh>
    <rPh sb="8" eb="10">
      <t>ジム</t>
    </rPh>
    <rPh sb="10" eb="11">
      <t>ショ</t>
    </rPh>
    <phoneticPr fontId="4"/>
  </si>
  <si>
    <t>高橋茂弥建築設計事務所</t>
    <phoneticPr fontId="4"/>
  </si>
  <si>
    <t>タカハシシゲヤケンチクセッケイジムショ</t>
    <phoneticPr fontId="4"/>
  </si>
  <si>
    <t>カブシキガイシャ ハラダイッキュウケンチクシジムショ</t>
    <phoneticPr fontId="4"/>
  </si>
  <si>
    <t>株式会社 原田一級建築士事務所</t>
    <phoneticPr fontId="4"/>
  </si>
  <si>
    <t>株式会社 原田一級建築士事務所</t>
    <phoneticPr fontId="4"/>
  </si>
  <si>
    <t>8m</t>
    <phoneticPr fontId="4"/>
  </si>
  <si>
    <t>9m</t>
    <phoneticPr fontId="4"/>
  </si>
  <si>
    <t>クリハラ工場</t>
    <rPh sb="4" eb="6">
      <t>コウジョウ</t>
    </rPh>
    <phoneticPr fontId="4"/>
  </si>
  <si>
    <t>群馬県</t>
    <phoneticPr fontId="4"/>
  </si>
  <si>
    <t>伊勢崎市</t>
    <rPh sb="0" eb="3">
      <t>イセザキ</t>
    </rPh>
    <rPh sb="3" eb="4">
      <t>シ</t>
    </rPh>
    <phoneticPr fontId="4"/>
  </si>
  <si>
    <t>境島</t>
    <rPh sb="0" eb="1">
      <t>サカイ</t>
    </rPh>
    <rPh sb="1" eb="2">
      <t>シマ</t>
    </rPh>
    <phoneticPr fontId="4"/>
  </si>
  <si>
    <t>株式会社 タカヤ</t>
    <phoneticPr fontId="4"/>
  </si>
  <si>
    <t>3m</t>
    <phoneticPr fontId="4"/>
  </si>
  <si>
    <t>高村建築設計事務所</t>
    <rPh sb="0" eb="2">
      <t>タカムラ</t>
    </rPh>
    <rPh sb="2" eb="4">
      <t>ケンチク</t>
    </rPh>
    <rPh sb="4" eb="6">
      <t>セッケイ</t>
    </rPh>
    <rPh sb="6" eb="8">
      <t>ジム</t>
    </rPh>
    <rPh sb="8" eb="9">
      <t>ショ</t>
    </rPh>
    <phoneticPr fontId="4"/>
  </si>
  <si>
    <t>高村建築設計事務所</t>
    <phoneticPr fontId="4"/>
  </si>
  <si>
    <t>タカムラケンチクセッケイジムショ</t>
    <phoneticPr fontId="4"/>
  </si>
  <si>
    <t>都市環境建築設計事務所</t>
    <rPh sb="0" eb="2">
      <t>トシ</t>
    </rPh>
    <rPh sb="2" eb="4">
      <t>カンキョウ</t>
    </rPh>
    <rPh sb="4" eb="6">
      <t>ケンチク</t>
    </rPh>
    <rPh sb="6" eb="8">
      <t>セッケイ</t>
    </rPh>
    <rPh sb="8" eb="10">
      <t>ジム</t>
    </rPh>
    <rPh sb="10" eb="11">
      <t>ショ</t>
    </rPh>
    <phoneticPr fontId="4"/>
  </si>
  <si>
    <t>トシカンキョウケンチクセッケイジムショ</t>
    <phoneticPr fontId="4"/>
  </si>
  <si>
    <t>ツルハドラッグ紀三井寺</t>
    <rPh sb="7" eb="11">
      <t>キミイデラ</t>
    </rPh>
    <phoneticPr fontId="4"/>
  </si>
  <si>
    <t>ラムー和歌山紀三井寺</t>
    <rPh sb="6" eb="10">
      <t>キミイデラ</t>
    </rPh>
    <phoneticPr fontId="4"/>
  </si>
  <si>
    <t>安楽亭 加平</t>
    <rPh sb="0" eb="2">
      <t>アンラク</t>
    </rPh>
    <rPh sb="2" eb="3">
      <t>テイ</t>
    </rPh>
    <rPh sb="4" eb="5">
      <t>クワ</t>
    </rPh>
    <rPh sb="5" eb="6">
      <t>ヒラ</t>
    </rPh>
    <phoneticPr fontId="4"/>
  </si>
  <si>
    <t>足立区</t>
    <phoneticPr fontId="4"/>
  </si>
  <si>
    <t>西加平</t>
    <rPh sb="0" eb="1">
      <t>ニシ</t>
    </rPh>
    <rPh sb="1" eb="2">
      <t>クワ</t>
    </rPh>
    <rPh sb="2" eb="3">
      <t>ヒラ</t>
    </rPh>
    <phoneticPr fontId="4"/>
  </si>
  <si>
    <t>12m</t>
    <phoneticPr fontId="4"/>
  </si>
  <si>
    <t>ｼﾙﾄ</t>
    <phoneticPr fontId="4"/>
  </si>
  <si>
    <t>9m</t>
    <phoneticPr fontId="4"/>
  </si>
  <si>
    <t>11m</t>
    <phoneticPr fontId="4"/>
  </si>
  <si>
    <t>-</t>
    <phoneticPr fontId="4"/>
  </si>
  <si>
    <t>ゆうび苑</t>
    <rPh sb="3" eb="4">
      <t>エン</t>
    </rPh>
    <phoneticPr fontId="4"/>
  </si>
  <si>
    <t>造道複合物販店舗</t>
    <rPh sb="0" eb="1">
      <t>ゾウ</t>
    </rPh>
    <rPh sb="1" eb="2">
      <t>ミチ</t>
    </rPh>
    <rPh sb="2" eb="4">
      <t>フクゴウ</t>
    </rPh>
    <rPh sb="4" eb="6">
      <t>ブッパン</t>
    </rPh>
    <rPh sb="6" eb="8">
      <t>テンポ</t>
    </rPh>
    <phoneticPr fontId="4"/>
  </si>
  <si>
    <t>青森市</t>
    <phoneticPr fontId="4"/>
  </si>
  <si>
    <t>造道</t>
    <rPh sb="0" eb="1">
      <t>ゾウ</t>
    </rPh>
    <rPh sb="1" eb="2">
      <t>ドウ</t>
    </rPh>
    <phoneticPr fontId="4"/>
  </si>
  <si>
    <t>フレスポいわき泉(ﾏﾂｷﾖ)</t>
    <rPh sb="7" eb="8">
      <t>イズミ</t>
    </rPh>
    <phoneticPr fontId="4"/>
  </si>
  <si>
    <t>いわき市</t>
    <phoneticPr fontId="4"/>
  </si>
  <si>
    <t>ビューローベリタスジャパン株式会社</t>
    <phoneticPr fontId="4"/>
  </si>
  <si>
    <t>ユーイック UHEC 株式会社 都市居住評価センター</t>
    <phoneticPr fontId="4"/>
  </si>
  <si>
    <t>財団法人 愛知県建築住宅センター</t>
    <phoneticPr fontId="4"/>
  </si>
  <si>
    <t>刈谷市</t>
    <rPh sb="0" eb="2">
      <t>カリヤ</t>
    </rPh>
    <rPh sb="2" eb="3">
      <t>シ</t>
    </rPh>
    <phoneticPr fontId="4"/>
  </si>
  <si>
    <t>下重原</t>
    <rPh sb="0" eb="1">
      <t>シタ</t>
    </rPh>
    <rPh sb="1" eb="2">
      <t>シゲ</t>
    </rPh>
    <rPh sb="2" eb="3">
      <t>ハラ</t>
    </rPh>
    <phoneticPr fontId="4"/>
  </si>
  <si>
    <t>1m</t>
    <phoneticPr fontId="4"/>
  </si>
  <si>
    <t>2m</t>
    <phoneticPr fontId="4"/>
  </si>
  <si>
    <t>清光 新工場</t>
    <rPh sb="0" eb="2">
      <t>キヨミツ</t>
    </rPh>
    <rPh sb="3" eb="4">
      <t>シン</t>
    </rPh>
    <rPh sb="4" eb="6">
      <t>コウジョウ</t>
    </rPh>
    <phoneticPr fontId="4"/>
  </si>
  <si>
    <t>新家</t>
    <rPh sb="0" eb="1">
      <t>シン</t>
    </rPh>
    <rPh sb="1" eb="2">
      <t>イエ</t>
    </rPh>
    <phoneticPr fontId="4"/>
  </si>
  <si>
    <t>1m</t>
    <phoneticPr fontId="4"/>
  </si>
  <si>
    <t>3m</t>
    <phoneticPr fontId="4"/>
  </si>
  <si>
    <t>4m</t>
    <phoneticPr fontId="4"/>
  </si>
  <si>
    <t>ユーイック UHEC 株式会社 都市居住評価センター</t>
    <phoneticPr fontId="4"/>
  </si>
  <si>
    <t>春日井市</t>
    <phoneticPr fontId="4"/>
  </si>
  <si>
    <t>小野町</t>
    <rPh sb="0" eb="2">
      <t>オノ</t>
    </rPh>
    <rPh sb="2" eb="3">
      <t>チョウ</t>
    </rPh>
    <phoneticPr fontId="4"/>
  </si>
  <si>
    <t>1m</t>
    <phoneticPr fontId="4"/>
  </si>
  <si>
    <t>盛土(砂質シルト)</t>
    <rPh sb="0" eb="2">
      <t>モリド</t>
    </rPh>
    <rPh sb="3" eb="5">
      <t>サシツ</t>
    </rPh>
    <phoneticPr fontId="4"/>
  </si>
  <si>
    <t>SVH大垣</t>
    <rPh sb="3" eb="5">
      <t>オオガキ</t>
    </rPh>
    <phoneticPr fontId="4"/>
  </si>
  <si>
    <t>岐阜県</t>
    <phoneticPr fontId="4"/>
  </si>
  <si>
    <t>大垣市</t>
    <phoneticPr fontId="4"/>
  </si>
  <si>
    <t>外野</t>
    <rPh sb="0" eb="2">
      <t>ガイヤ</t>
    </rPh>
    <phoneticPr fontId="4"/>
  </si>
  <si>
    <t>ｼﾙﾄ</t>
    <phoneticPr fontId="4"/>
  </si>
  <si>
    <t>10m</t>
    <phoneticPr fontId="4"/>
  </si>
  <si>
    <t>3m</t>
    <phoneticPr fontId="4"/>
  </si>
  <si>
    <t>財団法人 愛知県建築住宅センター</t>
    <phoneticPr fontId="4"/>
  </si>
  <si>
    <t>3</t>
    <phoneticPr fontId="4"/>
  </si>
  <si>
    <t>仙北信用組合迫</t>
    <phoneticPr fontId="4"/>
  </si>
  <si>
    <t>辻徳産業</t>
    <rPh sb="0" eb="1">
      <t>ツジ</t>
    </rPh>
    <rPh sb="1" eb="2">
      <t>トク</t>
    </rPh>
    <rPh sb="2" eb="4">
      <t>サンギョウ</t>
    </rPh>
    <phoneticPr fontId="4"/>
  </si>
  <si>
    <t>川口市</t>
    <rPh sb="0" eb="2">
      <t>カワグチ</t>
    </rPh>
    <rPh sb="2" eb="3">
      <t>シ</t>
    </rPh>
    <phoneticPr fontId="4"/>
  </si>
  <si>
    <t>江戸</t>
    <rPh sb="0" eb="2">
      <t>エド</t>
    </rPh>
    <phoneticPr fontId="4"/>
  </si>
  <si>
    <t>2m</t>
    <phoneticPr fontId="4"/>
  </si>
  <si>
    <t>16m</t>
    <phoneticPr fontId="4"/>
  </si>
  <si>
    <t>水崎喜章一級建築士事務所</t>
    <rPh sb="0" eb="2">
      <t>ミズサキ</t>
    </rPh>
    <rPh sb="2" eb="3">
      <t>ヨロコ</t>
    </rPh>
    <rPh sb="4" eb="6">
      <t>イッキュウ</t>
    </rPh>
    <rPh sb="6" eb="9">
      <t>ケンチクシ</t>
    </rPh>
    <rPh sb="9" eb="11">
      <t>ジム</t>
    </rPh>
    <rPh sb="11" eb="12">
      <t>ショ</t>
    </rPh>
    <phoneticPr fontId="4"/>
  </si>
  <si>
    <t>宮城県</t>
    <phoneticPr fontId="4"/>
  </si>
  <si>
    <t>登米市</t>
    <phoneticPr fontId="4"/>
  </si>
  <si>
    <t>迫町佐沼</t>
    <rPh sb="0" eb="1">
      <t>サコ</t>
    </rPh>
    <rPh sb="1" eb="2">
      <t>マチ</t>
    </rPh>
    <rPh sb="2" eb="3">
      <t>サ</t>
    </rPh>
    <rPh sb="3" eb="4">
      <t>ヌマ</t>
    </rPh>
    <phoneticPr fontId="4"/>
  </si>
  <si>
    <t>信用金庫</t>
    <rPh sb="0" eb="2">
      <t>シンヨウ</t>
    </rPh>
    <rPh sb="2" eb="4">
      <t>キンコ</t>
    </rPh>
    <phoneticPr fontId="4"/>
  </si>
  <si>
    <t>○</t>
    <phoneticPr fontId="4"/>
  </si>
  <si>
    <t>-</t>
    <phoneticPr fontId="4"/>
  </si>
  <si>
    <t>ﾌｧｰｽﾄｷｬﾋﾞﾝ西梅田</t>
    <rPh sb="10" eb="11">
      <t>ニシ</t>
    </rPh>
    <rPh sb="11" eb="13">
      <t>ウメダ</t>
    </rPh>
    <phoneticPr fontId="4"/>
  </si>
  <si>
    <t>大阪府</t>
    <phoneticPr fontId="4"/>
  </si>
  <si>
    <t>大阪市</t>
    <phoneticPr fontId="4"/>
  </si>
  <si>
    <t>福島区福島</t>
    <rPh sb="0" eb="3">
      <t>フクシマク</t>
    </rPh>
    <rPh sb="3" eb="5">
      <t>フクシマ</t>
    </rPh>
    <phoneticPr fontId="4"/>
  </si>
  <si>
    <t>4m</t>
    <phoneticPr fontId="4"/>
  </si>
  <si>
    <t>8m</t>
    <phoneticPr fontId="4"/>
  </si>
  <si>
    <t>貝殻混り粘土</t>
    <rPh sb="0" eb="2">
      <t>カイガラ</t>
    </rPh>
    <rPh sb="2" eb="3">
      <t>マジ</t>
    </rPh>
    <rPh sb="4" eb="6">
      <t>ネンド</t>
    </rPh>
    <phoneticPr fontId="4"/>
  </si>
  <si>
    <t>9m</t>
    <phoneticPr fontId="4"/>
  </si>
  <si>
    <t>宿泊施設</t>
    <rPh sb="0" eb="2">
      <t>シュクハク</t>
    </rPh>
    <rPh sb="2" eb="4">
      <t>シセツ</t>
    </rPh>
    <phoneticPr fontId="4"/>
  </si>
  <si>
    <t>プランテックソウゴウケンキュウジムショ</t>
    <phoneticPr fontId="4"/>
  </si>
  <si>
    <t>プランテック総合研究事務所</t>
    <phoneticPr fontId="4"/>
  </si>
  <si>
    <t>プランテック総合研究事務所</t>
    <rPh sb="6" eb="8">
      <t>ソウゴウ</t>
    </rPh>
    <rPh sb="8" eb="10">
      <t>ケンキュウ</t>
    </rPh>
    <rPh sb="10" eb="12">
      <t>ジム</t>
    </rPh>
    <rPh sb="12" eb="13">
      <t>ショ</t>
    </rPh>
    <phoneticPr fontId="4"/>
  </si>
  <si>
    <t>水崎喜章一級建築士事務所</t>
    <phoneticPr fontId="4"/>
  </si>
  <si>
    <t>ミズサキヨシアキイッキュウケンチクシジムショ</t>
    <phoneticPr fontId="4"/>
  </si>
  <si>
    <t>2</t>
    <phoneticPr fontId="4"/>
  </si>
  <si>
    <t>岐阜県</t>
    <phoneticPr fontId="4"/>
  </si>
  <si>
    <t>下奈良</t>
    <rPh sb="0" eb="1">
      <t>シタ</t>
    </rPh>
    <rPh sb="1" eb="3">
      <t>ナラ</t>
    </rPh>
    <phoneticPr fontId="4"/>
  </si>
  <si>
    <t>田川商運(株)定温倉庫</t>
    <rPh sb="0" eb="2">
      <t>タガワ</t>
    </rPh>
    <rPh sb="2" eb="4">
      <t>ショウウン</t>
    </rPh>
    <rPh sb="4" eb="7">
      <t>カブ</t>
    </rPh>
    <rPh sb="7" eb="9">
      <t>テイオン</t>
    </rPh>
    <rPh sb="9" eb="11">
      <t>ソウコ</t>
    </rPh>
    <phoneticPr fontId="4"/>
  </si>
  <si>
    <t>山形県</t>
    <phoneticPr fontId="4"/>
  </si>
  <si>
    <t>東田川郡</t>
    <rPh sb="1" eb="3">
      <t>タガワ</t>
    </rPh>
    <rPh sb="3" eb="4">
      <t>グン</t>
    </rPh>
    <phoneticPr fontId="4"/>
  </si>
  <si>
    <t>庄内町前田野目北浦地</t>
    <rPh sb="0" eb="2">
      <t>ショウナイ</t>
    </rPh>
    <rPh sb="2" eb="3">
      <t>マチ</t>
    </rPh>
    <rPh sb="3" eb="5">
      <t>マエダ</t>
    </rPh>
    <rPh sb="5" eb="6">
      <t>ノ</t>
    </rPh>
    <rPh sb="6" eb="7">
      <t>メ</t>
    </rPh>
    <rPh sb="7" eb="8">
      <t>キタ</t>
    </rPh>
    <rPh sb="8" eb="9">
      <t>ウラ</t>
    </rPh>
    <rPh sb="9" eb="10">
      <t>チ</t>
    </rPh>
    <phoneticPr fontId="4"/>
  </si>
  <si>
    <t>1m</t>
    <phoneticPr fontId="4"/>
  </si>
  <si>
    <t>3m</t>
    <phoneticPr fontId="4"/>
  </si>
  <si>
    <t>3</t>
    <phoneticPr fontId="4"/>
  </si>
  <si>
    <t>オクヤマソウゴウセッケイジムショ</t>
    <phoneticPr fontId="4"/>
  </si>
  <si>
    <t>8m</t>
    <phoneticPr fontId="4"/>
  </si>
  <si>
    <t>10m</t>
    <phoneticPr fontId="4"/>
  </si>
  <si>
    <t>ｼﾙﾄ</t>
    <phoneticPr fontId="4"/>
  </si>
  <si>
    <t>礫混りｼﾙﾄ</t>
    <rPh sb="0" eb="1">
      <t>レキ</t>
    </rPh>
    <rPh sb="1" eb="2">
      <t>マジ</t>
    </rPh>
    <phoneticPr fontId="4"/>
  </si>
  <si>
    <t>2m</t>
    <phoneticPr fontId="4"/>
  </si>
  <si>
    <t>4m</t>
    <phoneticPr fontId="4"/>
  </si>
  <si>
    <t>6m</t>
    <phoneticPr fontId="4"/>
  </si>
  <si>
    <t>有機質粘土</t>
    <rPh sb="0" eb="3">
      <t>ユウキシツ</t>
    </rPh>
    <rPh sb="3" eb="5">
      <t>ネンド</t>
    </rPh>
    <phoneticPr fontId="4"/>
  </si>
  <si>
    <t>財団法人 静岡県建築住宅まちづくりセンター</t>
    <phoneticPr fontId="4"/>
  </si>
  <si>
    <t>財団法人 日本建築センター</t>
    <phoneticPr fontId="4"/>
  </si>
  <si>
    <t>財団法人 群馬県建築構造技術センター</t>
    <rPh sb="5" eb="8">
      <t>グンマケン</t>
    </rPh>
    <rPh sb="8" eb="10">
      <t>ケンチク</t>
    </rPh>
    <rPh sb="10" eb="12">
      <t>コウゾウ</t>
    </rPh>
    <rPh sb="12" eb="14">
      <t>ギジュツ</t>
    </rPh>
    <phoneticPr fontId="4"/>
  </si>
  <si>
    <t>財団法人 群馬県建築構造技術センター</t>
    <phoneticPr fontId="4"/>
  </si>
  <si>
    <t>みどりｻｰﾋﾞｽやすらぎﾎｰﾙさかた</t>
    <phoneticPr fontId="4"/>
  </si>
  <si>
    <t>山形県</t>
    <phoneticPr fontId="4"/>
  </si>
  <si>
    <t>酒田市</t>
    <phoneticPr fontId="4"/>
  </si>
  <si>
    <t>曙町</t>
    <rPh sb="0" eb="1">
      <t>アケボノ</t>
    </rPh>
    <rPh sb="1" eb="2">
      <t>マチ</t>
    </rPh>
    <phoneticPr fontId="4"/>
  </si>
  <si>
    <t>4m</t>
    <phoneticPr fontId="4"/>
  </si>
  <si>
    <t>6m</t>
    <phoneticPr fontId="4"/>
  </si>
  <si>
    <t>2m</t>
    <phoneticPr fontId="4"/>
  </si>
  <si>
    <t>ｼﾙﾄ混じり細砂</t>
    <rPh sb="3" eb="4">
      <t>マ</t>
    </rPh>
    <rPh sb="6" eb="7">
      <t>サイ</t>
    </rPh>
    <rPh sb="7" eb="8">
      <t>サ</t>
    </rPh>
    <phoneticPr fontId="4"/>
  </si>
  <si>
    <t>集会場</t>
    <phoneticPr fontId="4"/>
  </si>
  <si>
    <t>春日部市</t>
    <phoneticPr fontId="4"/>
  </si>
  <si>
    <t>小渕字内田</t>
    <rPh sb="0" eb="2">
      <t>オブチ</t>
    </rPh>
    <rPh sb="2" eb="3">
      <t>アザ</t>
    </rPh>
    <rPh sb="3" eb="5">
      <t>ウチダ</t>
    </rPh>
    <phoneticPr fontId="4"/>
  </si>
  <si>
    <t>12m</t>
    <phoneticPr fontId="4"/>
  </si>
  <si>
    <t>ｼﾙﾄ</t>
    <phoneticPr fontId="4"/>
  </si>
  <si>
    <t>3m</t>
    <phoneticPr fontId="4"/>
  </si>
  <si>
    <t>山形県</t>
    <phoneticPr fontId="4"/>
  </si>
  <si>
    <t>落合</t>
    <rPh sb="0" eb="2">
      <t>オチアイ</t>
    </rPh>
    <phoneticPr fontId="4"/>
  </si>
  <si>
    <t>2m</t>
    <phoneticPr fontId="4"/>
  </si>
  <si>
    <t>1m</t>
    <phoneticPr fontId="4"/>
  </si>
  <si>
    <t>6m</t>
    <phoneticPr fontId="4"/>
  </si>
  <si>
    <t>薬王堂気仙沼鹿折</t>
    <rPh sb="0" eb="1">
      <t>ヤク</t>
    </rPh>
    <rPh sb="1" eb="2">
      <t>オウ</t>
    </rPh>
    <rPh sb="2" eb="3">
      <t>ドウ</t>
    </rPh>
    <rPh sb="3" eb="6">
      <t>ケセンヌマ</t>
    </rPh>
    <rPh sb="6" eb="7">
      <t>シカ</t>
    </rPh>
    <rPh sb="7" eb="8">
      <t>オ</t>
    </rPh>
    <phoneticPr fontId="4"/>
  </si>
  <si>
    <t>宮城県</t>
    <phoneticPr fontId="4"/>
  </si>
  <si>
    <t>鹿折</t>
    <rPh sb="0" eb="1">
      <t>シカ</t>
    </rPh>
    <rPh sb="1" eb="2">
      <t>オ</t>
    </rPh>
    <phoneticPr fontId="4"/>
  </si>
  <si>
    <t>11m</t>
    <phoneticPr fontId="4"/>
  </si>
  <si>
    <t>5m</t>
    <phoneticPr fontId="4"/>
  </si>
  <si>
    <t>有限会社 商業施設マネジメント</t>
    <rPh sb="0" eb="2">
      <t>ユウゲン</t>
    </rPh>
    <rPh sb="2" eb="4">
      <t>カイシャ</t>
    </rPh>
    <rPh sb="5" eb="7">
      <t>ショウギョウ</t>
    </rPh>
    <rPh sb="7" eb="9">
      <t>シセツ</t>
    </rPh>
    <phoneticPr fontId="4"/>
  </si>
  <si>
    <t>有限会社 商業施設マネジメント</t>
    <phoneticPr fontId="4"/>
  </si>
  <si>
    <t>ユウゲンガイシャ ショウギョウシセツマネジメント</t>
    <phoneticPr fontId="4"/>
  </si>
  <si>
    <t>ｹｲｽﾞﾍﾞﾙﾃｯｸ</t>
    <phoneticPr fontId="4"/>
  </si>
  <si>
    <t>足立区</t>
    <phoneticPr fontId="4"/>
  </si>
  <si>
    <t>入谷</t>
    <rPh sb="0" eb="2">
      <t>イリヤ</t>
    </rPh>
    <phoneticPr fontId="4"/>
  </si>
  <si>
    <t>4m</t>
    <phoneticPr fontId="4"/>
  </si>
  <si>
    <t>12m</t>
    <phoneticPr fontId="4"/>
  </si>
  <si>
    <t>3m</t>
    <phoneticPr fontId="4"/>
  </si>
  <si>
    <t>1m</t>
    <phoneticPr fontId="4"/>
  </si>
  <si>
    <t>平屋建</t>
    <phoneticPr fontId="4"/>
  </si>
  <si>
    <t>工場</t>
    <phoneticPr fontId="4"/>
  </si>
  <si>
    <t>株式会社 サードパーティ</t>
    <rPh sb="0" eb="2">
      <t>カブシキ</t>
    </rPh>
    <rPh sb="2" eb="4">
      <t>カイシャ</t>
    </rPh>
    <phoneticPr fontId="4"/>
  </si>
  <si>
    <t>yAt構造設計事務所</t>
    <rPh sb="3" eb="5">
      <t>コウゾウ</t>
    </rPh>
    <rPh sb="5" eb="7">
      <t>セッケイ</t>
    </rPh>
    <rPh sb="7" eb="9">
      <t>ジム</t>
    </rPh>
    <rPh sb="9" eb="10">
      <t>ショ</t>
    </rPh>
    <phoneticPr fontId="4"/>
  </si>
  <si>
    <t>株式会社 サードパーティ</t>
    <phoneticPr fontId="4"/>
  </si>
  <si>
    <t>yAt構造設計事務所</t>
    <phoneticPr fontId="4"/>
  </si>
  <si>
    <t>カブシキガイシャ サードパーティ</t>
    <phoneticPr fontId="4"/>
  </si>
  <si>
    <t>yAtコウゾウセッケイジムショ</t>
    <phoneticPr fontId="4"/>
  </si>
  <si>
    <t>尾道市</t>
    <rPh sb="0" eb="3">
      <t>オノミチシ</t>
    </rPh>
    <phoneticPr fontId="4"/>
  </si>
  <si>
    <t>向島町</t>
    <rPh sb="0" eb="2">
      <t>ムカイシマ</t>
    </rPh>
    <rPh sb="2" eb="3">
      <t>マチ</t>
    </rPh>
    <phoneticPr fontId="4"/>
  </si>
  <si>
    <t>TSUCHIYA　CORPORATION</t>
    <phoneticPr fontId="4"/>
  </si>
  <si>
    <t>エス・アイ・アール建築計画事務所</t>
    <phoneticPr fontId="4"/>
  </si>
  <si>
    <t>エス・アイ・アール建築計画事務所</t>
    <phoneticPr fontId="4"/>
  </si>
  <si>
    <t>エス・アイ・アールケンチクケイカクジムショ</t>
    <phoneticPr fontId="4"/>
  </si>
  <si>
    <t>ﾎｸｽｲ工場</t>
    <rPh sb="4" eb="6">
      <t>コウジョウ</t>
    </rPh>
    <phoneticPr fontId="4"/>
  </si>
  <si>
    <t>境港市</t>
    <rPh sb="0" eb="1">
      <t>サカイ</t>
    </rPh>
    <rPh sb="1" eb="2">
      <t>ミナト</t>
    </rPh>
    <rPh sb="2" eb="3">
      <t>シ</t>
    </rPh>
    <phoneticPr fontId="4"/>
  </si>
  <si>
    <t>昭和町</t>
    <phoneticPr fontId="4"/>
  </si>
  <si>
    <t>2m</t>
    <phoneticPr fontId="4"/>
  </si>
  <si>
    <t>3m</t>
    <phoneticPr fontId="4"/>
  </si>
  <si>
    <t>砂混じり粘土</t>
    <rPh sb="0" eb="1">
      <t>スナ</t>
    </rPh>
    <rPh sb="1" eb="2">
      <t>マ</t>
    </rPh>
    <rPh sb="4" eb="6">
      <t>ネンド</t>
    </rPh>
    <phoneticPr fontId="4"/>
  </si>
  <si>
    <t>1m</t>
    <phoneticPr fontId="4"/>
  </si>
  <si>
    <t>9m</t>
    <phoneticPr fontId="4"/>
  </si>
  <si>
    <t>5m</t>
    <phoneticPr fontId="4"/>
  </si>
  <si>
    <t>桑本総合設計事務所</t>
    <rPh sb="0" eb="2">
      <t>クワモト</t>
    </rPh>
    <rPh sb="2" eb="4">
      <t>ソウゴウ</t>
    </rPh>
    <rPh sb="4" eb="6">
      <t>セッケイ</t>
    </rPh>
    <rPh sb="6" eb="8">
      <t>ジム</t>
    </rPh>
    <rPh sb="8" eb="9">
      <t>ショ</t>
    </rPh>
    <phoneticPr fontId="4"/>
  </si>
  <si>
    <t>クワモトソウゴウセッケイジムショ</t>
    <phoneticPr fontId="4"/>
  </si>
  <si>
    <t>ﾊﾆｰｽﾞ物流ｾﾝﾀｰ倉庫</t>
    <rPh sb="5" eb="7">
      <t>ブツリュウ</t>
    </rPh>
    <rPh sb="11" eb="13">
      <t>ソウコ</t>
    </rPh>
    <phoneticPr fontId="4"/>
  </si>
  <si>
    <t>いわき市</t>
    <phoneticPr fontId="4"/>
  </si>
  <si>
    <t>常磐水野錦沢</t>
    <rPh sb="0" eb="2">
      <t>ジョウバン</t>
    </rPh>
    <rPh sb="2" eb="3">
      <t>ミズ</t>
    </rPh>
    <rPh sb="3" eb="4">
      <t>ノ</t>
    </rPh>
    <rPh sb="4" eb="5">
      <t>ニシキ</t>
    </rPh>
    <rPh sb="5" eb="6">
      <t>サワ</t>
    </rPh>
    <phoneticPr fontId="4"/>
  </si>
  <si>
    <t>2m</t>
    <phoneticPr fontId="4"/>
  </si>
  <si>
    <t>7m</t>
    <phoneticPr fontId="4"/>
  </si>
  <si>
    <t>クレハ錦建設 株式会社</t>
    <rPh sb="3" eb="4">
      <t>ニシキ</t>
    </rPh>
    <rPh sb="4" eb="6">
      <t>ケンセツ</t>
    </rPh>
    <rPh sb="7" eb="9">
      <t>カブシキ</t>
    </rPh>
    <rPh sb="9" eb="11">
      <t>カイシャ</t>
    </rPh>
    <phoneticPr fontId="4"/>
  </si>
  <si>
    <t>クレハ錦建設 株式会社</t>
    <phoneticPr fontId="4"/>
  </si>
  <si>
    <t>クレハニシキケンセツ カブシキガイシャ</t>
    <phoneticPr fontId="4"/>
  </si>
  <si>
    <t>財団法人 宮城県建築住宅センター</t>
    <phoneticPr fontId="4"/>
  </si>
  <si>
    <t>株式会社 アトリエノルド</t>
    <phoneticPr fontId="4"/>
  </si>
  <si>
    <t>カブシキガイシャ アトリエノルド</t>
    <phoneticPr fontId="4"/>
  </si>
  <si>
    <t>宮城県</t>
    <phoneticPr fontId="4"/>
  </si>
  <si>
    <t>大崎市</t>
    <rPh sb="0" eb="2">
      <t>オオサキ</t>
    </rPh>
    <rPh sb="2" eb="3">
      <t>シ</t>
    </rPh>
    <phoneticPr fontId="4"/>
  </si>
  <si>
    <t>古川駅東</t>
    <rPh sb="0" eb="2">
      <t>フルカワ</t>
    </rPh>
    <rPh sb="2" eb="3">
      <t>エキ</t>
    </rPh>
    <rPh sb="3" eb="4">
      <t>ヒガシ</t>
    </rPh>
    <phoneticPr fontId="4"/>
  </si>
  <si>
    <t>3m</t>
    <phoneticPr fontId="4"/>
  </si>
  <si>
    <t>有機物混じり粘土</t>
    <rPh sb="0" eb="2">
      <t>ユウキ</t>
    </rPh>
    <rPh sb="2" eb="3">
      <t>ブツ</t>
    </rPh>
    <rPh sb="3" eb="4">
      <t>マジ</t>
    </rPh>
    <rPh sb="6" eb="8">
      <t>ネンド</t>
    </rPh>
    <phoneticPr fontId="4"/>
  </si>
  <si>
    <t>2m</t>
    <phoneticPr fontId="4"/>
  </si>
  <si>
    <t>高有機質土</t>
    <rPh sb="0" eb="1">
      <t>コウ</t>
    </rPh>
    <rPh sb="1" eb="4">
      <t>ユウキシツ</t>
    </rPh>
    <rPh sb="4" eb="5">
      <t>ド</t>
    </rPh>
    <phoneticPr fontId="4"/>
  </si>
  <si>
    <t>5m</t>
    <phoneticPr fontId="4"/>
  </si>
  <si>
    <t>株式会社 蔵建築設計事務所</t>
    <rPh sb="0" eb="2">
      <t>カブシキ</t>
    </rPh>
    <rPh sb="2" eb="4">
      <t>カイシャ</t>
    </rPh>
    <rPh sb="5" eb="6">
      <t>クラ</t>
    </rPh>
    <rPh sb="6" eb="8">
      <t>ケンチク</t>
    </rPh>
    <rPh sb="8" eb="10">
      <t>セッケイ</t>
    </rPh>
    <rPh sb="10" eb="12">
      <t>ジム</t>
    </rPh>
    <rPh sb="12" eb="13">
      <t>ショ</t>
    </rPh>
    <phoneticPr fontId="4"/>
  </si>
  <si>
    <t>株式会社 蔵建築設計事務所</t>
    <phoneticPr fontId="4"/>
  </si>
  <si>
    <t>カブシキガイシャ クラケンチクセッケイジムショ</t>
    <phoneticPr fontId="4"/>
  </si>
  <si>
    <t>財団法人 静岡県建築住宅まちづくりセンター</t>
    <phoneticPr fontId="4"/>
  </si>
  <si>
    <t>財団法人 日本建築総合試験所</t>
    <phoneticPr fontId="4"/>
  </si>
  <si>
    <t>物件名</t>
    <rPh sb="0" eb="2">
      <t>ブッケン</t>
    </rPh>
    <rPh sb="2" eb="3">
      <t>メイ</t>
    </rPh>
    <phoneticPr fontId="4"/>
  </si>
  <si>
    <t>建設地</t>
    <rPh sb="0" eb="3">
      <t>ケンセツチ</t>
    </rPh>
    <phoneticPr fontId="4"/>
  </si>
  <si>
    <t>設計
担当者</t>
    <rPh sb="0" eb="2">
      <t>セッケイ</t>
    </rPh>
    <rPh sb="3" eb="6">
      <t>タントウシャ</t>
    </rPh>
    <phoneticPr fontId="4"/>
  </si>
  <si>
    <t>TNF</t>
    <phoneticPr fontId="4"/>
  </si>
  <si>
    <t>ユイ</t>
    <phoneticPr fontId="4"/>
  </si>
  <si>
    <t>質疑受</t>
    <phoneticPr fontId="4"/>
  </si>
  <si>
    <t>村上</t>
    <rPh sb="0" eb="2">
      <t>ムラカミ</t>
    </rPh>
    <phoneticPr fontId="4"/>
  </si>
  <si>
    <t>申請中</t>
    <rPh sb="0" eb="2">
      <t>シンセイ</t>
    </rPh>
    <rPh sb="2" eb="3">
      <t>ナカ</t>
    </rPh>
    <phoneticPr fontId="4"/>
  </si>
  <si>
    <t>質疑対応中</t>
    <rPh sb="0" eb="2">
      <t>シツギ</t>
    </rPh>
    <rPh sb="2" eb="4">
      <t>タイオウ</t>
    </rPh>
    <rPh sb="4" eb="5">
      <t>ナカ</t>
    </rPh>
    <phoneticPr fontId="4"/>
  </si>
  <si>
    <t>構造
TNF</t>
    <rPh sb="0" eb="2">
      <t>コウゾウ</t>
    </rPh>
    <phoneticPr fontId="4"/>
  </si>
  <si>
    <t>近藤
和田</t>
    <rPh sb="0" eb="2">
      <t>コンドウ</t>
    </rPh>
    <rPh sb="3" eb="5">
      <t>ワダ</t>
    </rPh>
    <phoneticPr fontId="4"/>
  </si>
  <si>
    <t>近藤</t>
    <rPh sb="0" eb="2">
      <t>コンドウ</t>
    </rPh>
    <phoneticPr fontId="4"/>
  </si>
  <si>
    <t>設計中</t>
    <rPh sb="0" eb="2">
      <t>セッケイ</t>
    </rPh>
    <rPh sb="2" eb="3">
      <t>ナカ</t>
    </rPh>
    <phoneticPr fontId="4"/>
  </si>
  <si>
    <t>金</t>
    <rPh sb="0" eb="1">
      <t>キン</t>
    </rPh>
    <phoneticPr fontId="4"/>
  </si>
  <si>
    <t>埋込柱脚</t>
    <rPh sb="0" eb="1">
      <t>ウ</t>
    </rPh>
    <rPh sb="1" eb="2">
      <t>コミ</t>
    </rPh>
    <rPh sb="2" eb="4">
      <t>チュウキャク</t>
    </rPh>
    <phoneticPr fontId="4"/>
  </si>
  <si>
    <t>株式会社 国際確認検査センター</t>
    <phoneticPr fontId="4"/>
  </si>
  <si>
    <t>THE GARDEN ORIENTAL OSAKA 西庭プロジェクト</t>
    <rPh sb="26" eb="27">
      <t>ニシ</t>
    </rPh>
    <rPh sb="27" eb="28">
      <t>ニワ</t>
    </rPh>
    <phoneticPr fontId="4"/>
  </si>
  <si>
    <t>大阪市</t>
    <phoneticPr fontId="4"/>
  </si>
  <si>
    <t>都島区網町</t>
    <rPh sb="0" eb="1">
      <t>ミヤコ</t>
    </rPh>
    <rPh sb="1" eb="2">
      <t>シマ</t>
    </rPh>
    <rPh sb="2" eb="3">
      <t>ク</t>
    </rPh>
    <rPh sb="3" eb="4">
      <t>アミ</t>
    </rPh>
    <rPh sb="4" eb="5">
      <t>マチ</t>
    </rPh>
    <phoneticPr fontId="4"/>
  </si>
  <si>
    <t>6m</t>
    <phoneticPr fontId="4"/>
  </si>
  <si>
    <t>礫混じり砂質ｼﾙﾄ</t>
    <rPh sb="0" eb="1">
      <t>レキ</t>
    </rPh>
    <rPh sb="1" eb="2">
      <t>マ</t>
    </rPh>
    <rPh sb="4" eb="6">
      <t>サシツ</t>
    </rPh>
    <phoneticPr fontId="4"/>
  </si>
  <si>
    <t>埋土(砂)</t>
    <rPh sb="0" eb="1">
      <t>ウ</t>
    </rPh>
    <rPh sb="1" eb="2">
      <t>ド</t>
    </rPh>
    <rPh sb="3" eb="4">
      <t>スナ</t>
    </rPh>
    <phoneticPr fontId="4"/>
  </si>
  <si>
    <t>5m</t>
    <phoneticPr fontId="4"/>
  </si>
  <si>
    <t>ハウスプラス確認検査 株式会社</t>
    <phoneticPr fontId="4"/>
  </si>
  <si>
    <t>ｱﾄﾞ・ﾜﾝ・ﾌｧｰﾑ丘珠農場</t>
    <rPh sb="11" eb="12">
      <t>オカ</t>
    </rPh>
    <rPh sb="12" eb="13">
      <t>タマ</t>
    </rPh>
    <rPh sb="13" eb="15">
      <t>ノウジョウ</t>
    </rPh>
    <phoneticPr fontId="4"/>
  </si>
  <si>
    <t>東区丘珠町</t>
    <rPh sb="0" eb="2">
      <t>ヒガシク</t>
    </rPh>
    <rPh sb="2" eb="3">
      <t>オカ</t>
    </rPh>
    <rPh sb="3" eb="4">
      <t>タマ</t>
    </rPh>
    <rPh sb="4" eb="5">
      <t>マチ</t>
    </rPh>
    <phoneticPr fontId="4"/>
  </si>
  <si>
    <t>17m</t>
    <phoneticPr fontId="4"/>
  </si>
  <si>
    <t>4m</t>
    <phoneticPr fontId="4"/>
  </si>
  <si>
    <t>2m</t>
    <phoneticPr fontId="4"/>
  </si>
  <si>
    <t>3m</t>
    <phoneticPr fontId="4"/>
  </si>
  <si>
    <t>微細砂</t>
    <rPh sb="0" eb="1">
      <t>ビ</t>
    </rPh>
    <rPh sb="1" eb="2">
      <t>サイ</t>
    </rPh>
    <rPh sb="2" eb="3">
      <t>サ</t>
    </rPh>
    <phoneticPr fontId="4"/>
  </si>
  <si>
    <t>株式会社 MURAKAMI DESIGN ASSOCIATES</t>
    <rPh sb="0" eb="2">
      <t>カブシキ</t>
    </rPh>
    <rPh sb="2" eb="4">
      <t>カイシャ</t>
    </rPh>
    <phoneticPr fontId="4"/>
  </si>
  <si>
    <t>株式会社 MURAKAMI DESIGN ASSOCIATES</t>
    <phoneticPr fontId="4"/>
  </si>
  <si>
    <t>カブシキガイシャ MURAKAMI DESIGN ASSOCIATES</t>
    <phoneticPr fontId="4"/>
  </si>
  <si>
    <t>中国醸造 蒸留酒製造工場</t>
    <rPh sb="0" eb="2">
      <t>チュウゴク</t>
    </rPh>
    <rPh sb="2" eb="4">
      <t>ジョウゾウ</t>
    </rPh>
    <rPh sb="5" eb="7">
      <t>ジョウリュウ</t>
    </rPh>
    <rPh sb="7" eb="8">
      <t>サケ</t>
    </rPh>
    <rPh sb="8" eb="10">
      <t>セイゾウ</t>
    </rPh>
    <rPh sb="10" eb="12">
      <t>コウジョウ</t>
    </rPh>
    <phoneticPr fontId="4"/>
  </si>
  <si>
    <t>桜尾</t>
    <rPh sb="0" eb="1">
      <t>サクラ</t>
    </rPh>
    <rPh sb="1" eb="2">
      <t>オ</t>
    </rPh>
    <phoneticPr fontId="4"/>
  </si>
  <si>
    <t>4m</t>
    <phoneticPr fontId="4"/>
  </si>
  <si>
    <t>6m</t>
    <phoneticPr fontId="4"/>
  </si>
  <si>
    <t>株式会社 増岡組</t>
    <rPh sb="0" eb="2">
      <t>カブシキ</t>
    </rPh>
    <rPh sb="2" eb="4">
      <t>カイシャ</t>
    </rPh>
    <rPh sb="5" eb="7">
      <t>マスオカ</t>
    </rPh>
    <rPh sb="7" eb="8">
      <t>クミ</t>
    </rPh>
    <phoneticPr fontId="4"/>
  </si>
  <si>
    <t>カブシキガイシャ マスオカグミ</t>
    <phoneticPr fontId="4"/>
  </si>
  <si>
    <t>日本ERI 株式会社(高崎)</t>
    <rPh sb="11" eb="13">
      <t>タカサキ</t>
    </rPh>
    <phoneticPr fontId="4"/>
  </si>
  <si>
    <t>株式会社 山形県建築サポートセンター</t>
    <phoneticPr fontId="4"/>
  </si>
  <si>
    <t>財団法人 宮城県建築住宅センター</t>
    <phoneticPr fontId="4"/>
  </si>
  <si>
    <t>新発寒2条1丁目計画(ﾏｯｸｽﾊﾞﾘｭ棟)</t>
    <rPh sb="0" eb="1">
      <t>シン</t>
    </rPh>
    <rPh sb="1" eb="3">
      <t>ハッサム</t>
    </rPh>
    <rPh sb="4" eb="5">
      <t>ジョウ</t>
    </rPh>
    <rPh sb="6" eb="8">
      <t>チョウメ</t>
    </rPh>
    <rPh sb="8" eb="10">
      <t>ケイカク</t>
    </rPh>
    <rPh sb="19" eb="20">
      <t>トウ</t>
    </rPh>
    <phoneticPr fontId="4"/>
  </si>
  <si>
    <t>株式会社 日本確認検査センター</t>
    <phoneticPr fontId="4"/>
  </si>
  <si>
    <t>関西トランスウェイA棟(冷蔵)</t>
    <rPh sb="0" eb="2">
      <t>カンサイ</t>
    </rPh>
    <rPh sb="10" eb="11">
      <t>トウ</t>
    </rPh>
    <rPh sb="12" eb="14">
      <t>レイゾウ</t>
    </rPh>
    <phoneticPr fontId="4"/>
  </si>
  <si>
    <t>関西トランスウェイB棟(常温)</t>
    <rPh sb="0" eb="2">
      <t>カンサイ</t>
    </rPh>
    <rPh sb="10" eb="11">
      <t>トウ</t>
    </rPh>
    <rPh sb="12" eb="14">
      <t>ジョウオン</t>
    </rPh>
    <phoneticPr fontId="4"/>
  </si>
  <si>
    <t>ユーディーアイ確認検査株式会社</t>
    <phoneticPr fontId="4"/>
  </si>
  <si>
    <t>奈良日産自動車</t>
    <rPh sb="0" eb="2">
      <t>ナラ</t>
    </rPh>
    <rPh sb="2" eb="4">
      <t>ニッサン</t>
    </rPh>
    <rPh sb="4" eb="7">
      <t>ジドウシャ</t>
    </rPh>
    <phoneticPr fontId="4"/>
  </si>
  <si>
    <t>株式会社 サンコウ設計</t>
    <rPh sb="0" eb="2">
      <t>カブシキ</t>
    </rPh>
    <rPh sb="2" eb="4">
      <t>カイシャ</t>
    </rPh>
    <rPh sb="9" eb="11">
      <t>セッケイ</t>
    </rPh>
    <phoneticPr fontId="4"/>
  </si>
  <si>
    <t>株式会社 サンコウ設計</t>
    <phoneticPr fontId="4"/>
  </si>
  <si>
    <t>カブシキガイシャ サンコウセッケイ</t>
    <phoneticPr fontId="4"/>
  </si>
  <si>
    <t>静岡県建築技術安心支援センター</t>
    <phoneticPr fontId="4"/>
  </si>
  <si>
    <t>3</t>
    <phoneticPr fontId="4"/>
  </si>
  <si>
    <t>財団法人 住宅金融普及協会</t>
    <phoneticPr fontId="4"/>
  </si>
  <si>
    <t>埋土・礫混り粘土質砂</t>
    <rPh sb="0" eb="1">
      <t>ウ</t>
    </rPh>
    <rPh sb="1" eb="2">
      <t>ド</t>
    </rPh>
    <rPh sb="3" eb="4">
      <t>レキ</t>
    </rPh>
    <rPh sb="4" eb="5">
      <t>マジ</t>
    </rPh>
    <rPh sb="6" eb="8">
      <t>ネンド</t>
    </rPh>
    <rPh sb="8" eb="9">
      <t>シツ</t>
    </rPh>
    <rPh sb="9" eb="10">
      <t>スナ</t>
    </rPh>
    <phoneticPr fontId="4"/>
  </si>
  <si>
    <t>4m</t>
    <phoneticPr fontId="4"/>
  </si>
  <si>
    <t>170038-1</t>
    <phoneticPr fontId="4"/>
  </si>
  <si>
    <t>170038-2</t>
    <phoneticPr fontId="4"/>
  </si>
  <si>
    <t>株式会社 確認検査機構トラスト</t>
    <phoneticPr fontId="4"/>
  </si>
  <si>
    <t>株式会社 国際確認検査センター</t>
    <phoneticPr fontId="4"/>
  </si>
  <si>
    <t>財団法人 日本建築総合試験所</t>
    <phoneticPr fontId="4"/>
  </si>
  <si>
    <t>事務所北側倉庫</t>
    <rPh sb="0" eb="2">
      <t>ジム</t>
    </rPh>
    <rPh sb="2" eb="3">
      <t>ショ</t>
    </rPh>
    <rPh sb="3" eb="5">
      <t>キタガワ</t>
    </rPh>
    <rPh sb="5" eb="7">
      <t>ソウコ</t>
    </rPh>
    <phoneticPr fontId="4"/>
  </si>
  <si>
    <t>碧南市</t>
    <rPh sb="0" eb="3">
      <t>ヘキナンシ</t>
    </rPh>
    <phoneticPr fontId="4"/>
  </si>
  <si>
    <t>玉津浦町</t>
    <rPh sb="0" eb="1">
      <t>タマ</t>
    </rPh>
    <rPh sb="1" eb="2">
      <t>ツ</t>
    </rPh>
    <rPh sb="2" eb="3">
      <t>ウラ</t>
    </rPh>
    <rPh sb="3" eb="4">
      <t>マチ</t>
    </rPh>
    <phoneticPr fontId="4"/>
  </si>
  <si>
    <t>4m</t>
    <phoneticPr fontId="4"/>
  </si>
  <si>
    <t>2m</t>
    <phoneticPr fontId="4"/>
  </si>
  <si>
    <t>13m</t>
    <phoneticPr fontId="4"/>
  </si>
  <si>
    <t>3m</t>
    <phoneticPr fontId="4"/>
  </si>
  <si>
    <t>新発寒2条1丁目計画(ｻﾂﾄﾞﾗﾀﾞｲｿｰ棟)</t>
    <rPh sb="0" eb="1">
      <t>シン</t>
    </rPh>
    <rPh sb="1" eb="3">
      <t>ハッサム</t>
    </rPh>
    <rPh sb="4" eb="5">
      <t>ジョウ</t>
    </rPh>
    <rPh sb="6" eb="8">
      <t>チョウメ</t>
    </rPh>
    <rPh sb="8" eb="10">
      <t>ケイカク</t>
    </rPh>
    <phoneticPr fontId="4"/>
  </si>
  <si>
    <t>手稲区新発寒</t>
    <rPh sb="0" eb="1">
      <t>テ</t>
    </rPh>
    <rPh sb="1" eb="2">
      <t>イナ</t>
    </rPh>
    <rPh sb="2" eb="3">
      <t>ク</t>
    </rPh>
    <rPh sb="3" eb="4">
      <t>シン</t>
    </rPh>
    <rPh sb="4" eb="6">
      <t>ハッサム</t>
    </rPh>
    <phoneticPr fontId="4"/>
  </si>
  <si>
    <t>5m</t>
    <phoneticPr fontId="4"/>
  </si>
  <si>
    <t>泥炭・ｼﾙﾄ</t>
    <rPh sb="0" eb="2">
      <t>デイタン</t>
    </rPh>
    <phoneticPr fontId="4"/>
  </si>
  <si>
    <t>1m</t>
    <phoneticPr fontId="4"/>
  </si>
  <si>
    <t>ｼﾙﾄ</t>
    <phoneticPr fontId="4"/>
  </si>
  <si>
    <t>財団法人 ふくしま建築住宅センター</t>
    <phoneticPr fontId="4"/>
  </si>
  <si>
    <t>豊頃町農業協同組合種子馬鈴薯選別貯蔵施設</t>
    <rPh sb="0" eb="2">
      <t>トヨコロ</t>
    </rPh>
    <rPh sb="2" eb="3">
      <t>マチ</t>
    </rPh>
    <rPh sb="3" eb="5">
      <t>ノウギョウ</t>
    </rPh>
    <rPh sb="5" eb="7">
      <t>キョウドウ</t>
    </rPh>
    <rPh sb="7" eb="9">
      <t>クミアイ</t>
    </rPh>
    <rPh sb="9" eb="10">
      <t>タネ</t>
    </rPh>
    <rPh sb="10" eb="11">
      <t>コ</t>
    </rPh>
    <rPh sb="11" eb="12">
      <t>ウマ</t>
    </rPh>
    <rPh sb="12" eb="13">
      <t>スズ</t>
    </rPh>
    <rPh sb="14" eb="16">
      <t>センベツ</t>
    </rPh>
    <rPh sb="16" eb="18">
      <t>チョゾウ</t>
    </rPh>
    <rPh sb="18" eb="20">
      <t>シセツ</t>
    </rPh>
    <phoneticPr fontId="4"/>
  </si>
  <si>
    <t>大字山中宇部ﾃｸﾉﾊﾟｰｸ</t>
    <rPh sb="0" eb="2">
      <t>オオアザ</t>
    </rPh>
    <rPh sb="2" eb="4">
      <t>ヤマナカ</t>
    </rPh>
    <rPh sb="4" eb="6">
      <t>ウベ</t>
    </rPh>
    <phoneticPr fontId="4"/>
  </si>
  <si>
    <t>150604-1</t>
    <phoneticPr fontId="4"/>
  </si>
  <si>
    <t>150604-2</t>
    <phoneticPr fontId="4"/>
  </si>
  <si>
    <t>味の素Customer Technology Center</t>
    <rPh sb="0" eb="1">
      <t>アジ</t>
    </rPh>
    <rPh sb="2" eb="3">
      <t>モト</t>
    </rPh>
    <phoneticPr fontId="4"/>
  </si>
  <si>
    <t>株式会社 類設計室</t>
    <rPh sb="0" eb="2">
      <t>カブシキ</t>
    </rPh>
    <rPh sb="2" eb="4">
      <t>カイシャ</t>
    </rPh>
    <rPh sb="5" eb="6">
      <t>ルイ</t>
    </rPh>
    <rPh sb="6" eb="8">
      <t>セッケイ</t>
    </rPh>
    <rPh sb="8" eb="9">
      <t>シツ</t>
    </rPh>
    <phoneticPr fontId="4"/>
  </si>
  <si>
    <t>株式会社 類設計室</t>
    <phoneticPr fontId="4"/>
  </si>
  <si>
    <t>カブシキガイシャ ルイセッケイシツ</t>
    <phoneticPr fontId="4"/>
  </si>
  <si>
    <t>川崎市</t>
    <phoneticPr fontId="4"/>
  </si>
  <si>
    <t>川崎区鈴木町</t>
    <phoneticPr fontId="4"/>
  </si>
  <si>
    <t>12m</t>
    <phoneticPr fontId="4"/>
  </si>
  <si>
    <t>ｺﾐｭﾆｹｰｼｮﾝﾎｰﾙ</t>
    <phoneticPr fontId="4"/>
  </si>
  <si>
    <t>株式会社 グッド・アイズ建築検査機構</t>
    <phoneticPr fontId="4"/>
  </si>
  <si>
    <t>日本ERI 株式会社</t>
    <phoneticPr fontId="4"/>
  </si>
  <si>
    <t>三重県</t>
    <phoneticPr fontId="4"/>
  </si>
  <si>
    <t>桑名市</t>
    <phoneticPr fontId="4"/>
  </si>
  <si>
    <t>株式会社 北村組</t>
    <rPh sb="0" eb="2">
      <t>カブシキ</t>
    </rPh>
    <rPh sb="2" eb="4">
      <t>カイシャ</t>
    </rPh>
    <rPh sb="5" eb="7">
      <t>キタムラ</t>
    </rPh>
    <rPh sb="7" eb="8">
      <t>クミ</t>
    </rPh>
    <phoneticPr fontId="4"/>
  </si>
  <si>
    <t>静岡県</t>
    <phoneticPr fontId="4"/>
  </si>
  <si>
    <t>静岡市</t>
    <phoneticPr fontId="4"/>
  </si>
  <si>
    <t>株式会社 中林建築設計事務所</t>
    <phoneticPr fontId="4"/>
  </si>
  <si>
    <t>島根県</t>
    <phoneticPr fontId="4"/>
  </si>
  <si>
    <t>安来市</t>
    <phoneticPr fontId="4"/>
  </si>
  <si>
    <t>広島県</t>
    <phoneticPr fontId="4"/>
  </si>
  <si>
    <t>福山市</t>
    <phoneticPr fontId="4"/>
  </si>
  <si>
    <t>山形県</t>
    <phoneticPr fontId="4"/>
  </si>
  <si>
    <t>山形市</t>
    <phoneticPr fontId="4"/>
  </si>
  <si>
    <t>株式会社 北村組</t>
    <phoneticPr fontId="4"/>
  </si>
  <si>
    <t>カブシキガイシャ キタムラグミ</t>
    <phoneticPr fontId="4"/>
  </si>
  <si>
    <t>株式会社 ナガワ</t>
    <rPh sb="0" eb="2">
      <t>カブシキ</t>
    </rPh>
    <rPh sb="2" eb="4">
      <t>カイシャ</t>
    </rPh>
    <phoneticPr fontId="4"/>
  </si>
  <si>
    <t>株式会社 ナガワ</t>
    <phoneticPr fontId="4"/>
  </si>
  <si>
    <t>カブシキガイシャ ナガワ</t>
    <phoneticPr fontId="4"/>
  </si>
  <si>
    <t>山口県</t>
    <phoneticPr fontId="4"/>
  </si>
  <si>
    <t>宇部市</t>
    <phoneticPr fontId="4"/>
  </si>
  <si>
    <t>日立建機日本(株)徳島南営業所</t>
    <phoneticPr fontId="4"/>
  </si>
  <si>
    <t>徳島県</t>
    <phoneticPr fontId="4"/>
  </si>
  <si>
    <t>徳島市</t>
    <phoneticPr fontId="4"/>
  </si>
  <si>
    <t>株式会社 ビーイー設計</t>
    <phoneticPr fontId="4"/>
  </si>
  <si>
    <t>愛知県</t>
    <phoneticPr fontId="4"/>
  </si>
  <si>
    <t>大阪府</t>
    <phoneticPr fontId="4"/>
  </si>
  <si>
    <t>松原市</t>
    <phoneticPr fontId="4"/>
  </si>
  <si>
    <t>株式会社 コホーネス</t>
    <rPh sb="0" eb="2">
      <t>カブシキ</t>
    </rPh>
    <rPh sb="2" eb="4">
      <t>カイシャ</t>
    </rPh>
    <phoneticPr fontId="4"/>
  </si>
  <si>
    <t>株式会社 コホーネス</t>
    <phoneticPr fontId="4"/>
  </si>
  <si>
    <t>カブシキガイシャ コホーネス</t>
    <phoneticPr fontId="4"/>
  </si>
  <si>
    <t>株式会社 ヤマトアパレイユ</t>
    <phoneticPr fontId="4"/>
  </si>
  <si>
    <t>伊豆市</t>
    <phoneticPr fontId="4"/>
  </si>
  <si>
    <t>株式会社 建築企画</t>
    <phoneticPr fontId="4"/>
  </si>
  <si>
    <t>秋田県</t>
    <phoneticPr fontId="4"/>
  </si>
  <si>
    <t>横手市</t>
    <phoneticPr fontId="4"/>
  </si>
  <si>
    <t>株式会社 エムティプラン</t>
    <phoneticPr fontId="4"/>
  </si>
  <si>
    <t>株式会社 名構設計</t>
    <phoneticPr fontId="4"/>
  </si>
  <si>
    <t>5m</t>
    <phoneticPr fontId="4"/>
  </si>
  <si>
    <t>2m</t>
    <phoneticPr fontId="4"/>
  </si>
  <si>
    <t>-</t>
    <phoneticPr fontId="4"/>
  </si>
  <si>
    <t>8m</t>
    <phoneticPr fontId="4"/>
  </si>
  <si>
    <t>DCMｶｰﾏ豊田五ヶ丘</t>
    <rPh sb="6" eb="8">
      <t>トヨタ</t>
    </rPh>
    <rPh sb="8" eb="9">
      <t>ゴ</t>
    </rPh>
    <rPh sb="10" eb="11">
      <t>オカ</t>
    </rPh>
    <phoneticPr fontId="4"/>
  </si>
  <si>
    <t>豊田市</t>
    <rPh sb="0" eb="3">
      <t>トヨタシ</t>
    </rPh>
    <phoneticPr fontId="4"/>
  </si>
  <si>
    <t>五ヶ丘</t>
    <rPh sb="0" eb="1">
      <t>ゴ</t>
    </rPh>
    <rPh sb="2" eb="3">
      <t>オカ</t>
    </rPh>
    <phoneticPr fontId="4"/>
  </si>
  <si>
    <t>4m</t>
    <phoneticPr fontId="4"/>
  </si>
  <si>
    <t>山田建築企画</t>
    <rPh sb="0" eb="2">
      <t>ヤマダ</t>
    </rPh>
    <rPh sb="2" eb="4">
      <t>ケンチク</t>
    </rPh>
    <rPh sb="4" eb="6">
      <t>キカク</t>
    </rPh>
    <phoneticPr fontId="4"/>
  </si>
  <si>
    <t>山田建築企画</t>
    <phoneticPr fontId="4"/>
  </si>
  <si>
    <t>ヤマダケンチクキカク</t>
    <phoneticPr fontId="4"/>
  </si>
  <si>
    <t>四国ｽﾊﾞﾙ(株)高知桟橋通</t>
    <rPh sb="0" eb="2">
      <t>シコク</t>
    </rPh>
    <rPh sb="6" eb="9">
      <t>カブ</t>
    </rPh>
    <rPh sb="9" eb="11">
      <t>コウチ</t>
    </rPh>
    <rPh sb="11" eb="13">
      <t>サンバシ</t>
    </rPh>
    <rPh sb="13" eb="14">
      <t>トオ</t>
    </rPh>
    <phoneticPr fontId="4"/>
  </si>
  <si>
    <t>高知県</t>
    <phoneticPr fontId="4"/>
  </si>
  <si>
    <t>桟橋通</t>
    <rPh sb="0" eb="2">
      <t>サンバシ</t>
    </rPh>
    <rPh sb="2" eb="3">
      <t>トオ</t>
    </rPh>
    <phoneticPr fontId="4"/>
  </si>
  <si>
    <t>2m</t>
    <phoneticPr fontId="4"/>
  </si>
  <si>
    <t>21m</t>
    <phoneticPr fontId="4"/>
  </si>
  <si>
    <t>1m</t>
    <phoneticPr fontId="4"/>
  </si>
  <si>
    <t>駿河区北丸子</t>
    <rPh sb="0" eb="2">
      <t>スルガ</t>
    </rPh>
    <rPh sb="2" eb="3">
      <t>ク</t>
    </rPh>
    <rPh sb="3" eb="4">
      <t>キタ</t>
    </rPh>
    <rPh sb="4" eb="5">
      <t>マル</t>
    </rPh>
    <rPh sb="5" eb="6">
      <t>コ</t>
    </rPh>
    <phoneticPr fontId="4"/>
  </si>
  <si>
    <t>2m</t>
    <phoneticPr fontId="4"/>
  </si>
  <si>
    <t>ｼﾙﾄ</t>
    <phoneticPr fontId="4"/>
  </si>
  <si>
    <t>中川郡</t>
    <rPh sb="0" eb="2">
      <t>ナカガワ</t>
    </rPh>
    <rPh sb="2" eb="3">
      <t>グン</t>
    </rPh>
    <phoneticPr fontId="4"/>
  </si>
  <si>
    <t>豊頃町幌岡</t>
    <rPh sb="0" eb="2">
      <t>トヨコロ</t>
    </rPh>
    <rPh sb="2" eb="3">
      <t>マチ</t>
    </rPh>
    <rPh sb="3" eb="4">
      <t>ホロ</t>
    </rPh>
    <rPh sb="4" eb="5">
      <t>オカ</t>
    </rPh>
    <phoneticPr fontId="4"/>
  </si>
  <si>
    <t>8m</t>
    <phoneticPr fontId="4"/>
  </si>
  <si>
    <t>1m</t>
    <phoneticPr fontId="4"/>
  </si>
  <si>
    <t>安本南御所野</t>
    <rPh sb="0" eb="2">
      <t>ヤスモト</t>
    </rPh>
    <rPh sb="2" eb="3">
      <t>ミナミ</t>
    </rPh>
    <rPh sb="3" eb="5">
      <t>ゴショ</t>
    </rPh>
    <rPh sb="5" eb="6">
      <t>ノ</t>
    </rPh>
    <phoneticPr fontId="4"/>
  </si>
  <si>
    <t>3m</t>
    <phoneticPr fontId="4"/>
  </si>
  <si>
    <t>7m</t>
    <phoneticPr fontId="4"/>
  </si>
  <si>
    <t>ｼﾙﾄ</t>
    <phoneticPr fontId="4"/>
  </si>
  <si>
    <t>島根県 出雲市役所</t>
    <phoneticPr fontId="4"/>
  </si>
  <si>
    <t>株式会社 山形県建築サポートセンター</t>
    <phoneticPr fontId="4"/>
  </si>
  <si>
    <t>広島市</t>
    <phoneticPr fontId="4"/>
  </si>
  <si>
    <t>南区出島</t>
    <rPh sb="0" eb="2">
      <t>ミナミク</t>
    </rPh>
    <rPh sb="2" eb="4">
      <t>デジマ</t>
    </rPh>
    <phoneticPr fontId="4"/>
  </si>
  <si>
    <t>新星工業社出島第二工場(工場棟)</t>
    <rPh sb="0" eb="1">
      <t>シン</t>
    </rPh>
    <rPh sb="1" eb="2">
      <t>ホシ</t>
    </rPh>
    <rPh sb="2" eb="4">
      <t>コウギョウ</t>
    </rPh>
    <rPh sb="4" eb="5">
      <t>シャ</t>
    </rPh>
    <rPh sb="5" eb="7">
      <t>デジマ</t>
    </rPh>
    <rPh sb="7" eb="9">
      <t>ダイニ</t>
    </rPh>
    <rPh sb="9" eb="11">
      <t>コウジョウ</t>
    </rPh>
    <rPh sb="12" eb="14">
      <t>コウジョウ</t>
    </rPh>
    <rPh sb="14" eb="15">
      <t>トウ</t>
    </rPh>
    <phoneticPr fontId="4"/>
  </si>
  <si>
    <t>新星工業社出島第二工場(事務所棟)</t>
    <rPh sb="0" eb="1">
      <t>シン</t>
    </rPh>
    <rPh sb="1" eb="2">
      <t>ホシ</t>
    </rPh>
    <rPh sb="2" eb="4">
      <t>コウギョウ</t>
    </rPh>
    <rPh sb="4" eb="5">
      <t>シャ</t>
    </rPh>
    <rPh sb="5" eb="7">
      <t>デジマ</t>
    </rPh>
    <rPh sb="7" eb="9">
      <t>ダイニ</t>
    </rPh>
    <rPh sb="9" eb="11">
      <t>コウジョウ</t>
    </rPh>
    <rPh sb="12" eb="14">
      <t>ジム</t>
    </rPh>
    <rPh sb="14" eb="15">
      <t>ショ</t>
    </rPh>
    <rPh sb="15" eb="16">
      <t>トウ</t>
    </rPh>
    <phoneticPr fontId="4"/>
  </si>
  <si>
    <t>財団法人 東京都防災・建築まちづくりセンター</t>
    <rPh sb="0" eb="2">
      <t>ザイダン</t>
    </rPh>
    <rPh sb="2" eb="4">
      <t>ホウジン</t>
    </rPh>
    <rPh sb="5" eb="8">
      <t>トウキョウト</t>
    </rPh>
    <rPh sb="8" eb="10">
      <t>ボウサイ</t>
    </rPh>
    <rPh sb="11" eb="13">
      <t>ケンチク</t>
    </rPh>
    <phoneticPr fontId="4"/>
  </si>
  <si>
    <t>財団法人 東京都防災・建築まちづくりセンター</t>
    <phoneticPr fontId="4"/>
  </si>
  <si>
    <t>いりあいﾌｧｰﾑ滝の頭 ﾗｲｽｾﾝﾀｰ</t>
    <rPh sb="8" eb="9">
      <t>タキ</t>
    </rPh>
    <rPh sb="10" eb="11">
      <t>アタマ</t>
    </rPh>
    <phoneticPr fontId="4"/>
  </si>
  <si>
    <t>男鹿市</t>
    <rPh sb="0" eb="1">
      <t>オトコ</t>
    </rPh>
    <rPh sb="1" eb="2">
      <t>シカ</t>
    </rPh>
    <rPh sb="2" eb="3">
      <t>シ</t>
    </rPh>
    <phoneticPr fontId="4"/>
  </si>
  <si>
    <t>五里合神谷</t>
    <rPh sb="0" eb="2">
      <t>ゴリ</t>
    </rPh>
    <rPh sb="2" eb="3">
      <t>ア</t>
    </rPh>
    <rPh sb="3" eb="4">
      <t>カミ</t>
    </rPh>
    <rPh sb="4" eb="5">
      <t>タニ</t>
    </rPh>
    <phoneticPr fontId="4"/>
  </si>
  <si>
    <t>4m</t>
    <phoneticPr fontId="4"/>
  </si>
  <si>
    <t>6m</t>
    <phoneticPr fontId="4"/>
  </si>
  <si>
    <t>3m</t>
    <phoneticPr fontId="4"/>
  </si>
  <si>
    <t>ｼﾙﾄ混り細砂</t>
    <rPh sb="3" eb="4">
      <t>マジ</t>
    </rPh>
    <rPh sb="5" eb="6">
      <t>サイ</t>
    </rPh>
    <rPh sb="6" eb="7">
      <t>スナ</t>
    </rPh>
    <phoneticPr fontId="4"/>
  </si>
  <si>
    <t>ﾗｲｽｾﾝﾀｰ</t>
    <phoneticPr fontId="4"/>
  </si>
  <si>
    <t>株式会社 草階建築創作所</t>
    <rPh sb="0" eb="2">
      <t>カブシキ</t>
    </rPh>
    <rPh sb="2" eb="4">
      <t>カイシャ</t>
    </rPh>
    <rPh sb="5" eb="6">
      <t>クサ</t>
    </rPh>
    <rPh sb="6" eb="7">
      <t>カイ</t>
    </rPh>
    <rPh sb="7" eb="9">
      <t>ケンチク</t>
    </rPh>
    <rPh sb="9" eb="11">
      <t>ソウサク</t>
    </rPh>
    <rPh sb="11" eb="12">
      <t>ショ</t>
    </rPh>
    <phoneticPr fontId="4"/>
  </si>
  <si>
    <t>株式会社 草階建築創作所</t>
    <phoneticPr fontId="4"/>
  </si>
  <si>
    <t>カブシキガイシャ クサカイケンチクソウサクショ</t>
    <phoneticPr fontId="4"/>
  </si>
  <si>
    <t>空知郡</t>
    <rPh sb="0" eb="1">
      <t>ソラ</t>
    </rPh>
    <rPh sb="1" eb="2">
      <t>チ</t>
    </rPh>
    <rPh sb="2" eb="3">
      <t>グン</t>
    </rPh>
    <phoneticPr fontId="4"/>
  </si>
  <si>
    <t>南幌町中央</t>
    <rPh sb="0" eb="1">
      <t>ミナミ</t>
    </rPh>
    <rPh sb="1" eb="2">
      <t>ホロ</t>
    </rPh>
    <rPh sb="2" eb="3">
      <t>マチ</t>
    </rPh>
    <rPh sb="3" eb="5">
      <t>チュウオウ</t>
    </rPh>
    <phoneticPr fontId="4"/>
  </si>
  <si>
    <t>5m</t>
    <phoneticPr fontId="4"/>
  </si>
  <si>
    <t>6m</t>
    <phoneticPr fontId="4"/>
  </si>
  <si>
    <t>2m</t>
    <phoneticPr fontId="4"/>
  </si>
  <si>
    <t>株式会社 マキタ設計事務所</t>
    <rPh sb="0" eb="2">
      <t>カブシキ</t>
    </rPh>
    <rPh sb="2" eb="4">
      <t>カイシャ</t>
    </rPh>
    <rPh sb="8" eb="10">
      <t>セッケイ</t>
    </rPh>
    <rPh sb="10" eb="12">
      <t>ジム</t>
    </rPh>
    <rPh sb="12" eb="13">
      <t>ショ</t>
    </rPh>
    <phoneticPr fontId="4"/>
  </si>
  <si>
    <t>株式会社 マキタ設計事務所</t>
    <phoneticPr fontId="4"/>
  </si>
  <si>
    <t>カブシキガイシャ マキタセッケイジムショ</t>
    <phoneticPr fontId="4"/>
  </si>
  <si>
    <t>株式会社 北洋設備設計事務所</t>
    <rPh sb="0" eb="2">
      <t>カブシキ</t>
    </rPh>
    <rPh sb="2" eb="4">
      <t>カイシャ</t>
    </rPh>
    <rPh sb="5" eb="7">
      <t>ホクヨウ</t>
    </rPh>
    <rPh sb="7" eb="9">
      <t>セツビ</t>
    </rPh>
    <rPh sb="9" eb="11">
      <t>セッケイ</t>
    </rPh>
    <rPh sb="11" eb="13">
      <t>ジム</t>
    </rPh>
    <rPh sb="13" eb="14">
      <t>ショ</t>
    </rPh>
    <phoneticPr fontId="4"/>
  </si>
  <si>
    <t>株式会社 北洋設備設計事務所</t>
    <phoneticPr fontId="4"/>
  </si>
  <si>
    <t>カブシキガイシャ ホクヨウセツビセッケイジムショ</t>
    <phoneticPr fontId="4"/>
  </si>
  <si>
    <t>1m</t>
    <phoneticPr fontId="4"/>
  </si>
  <si>
    <t>2m</t>
    <phoneticPr fontId="4"/>
  </si>
  <si>
    <t>4m</t>
    <phoneticPr fontId="4"/>
  </si>
  <si>
    <t>引野町</t>
    <rPh sb="0" eb="2">
      <t>ヒキノ</t>
    </rPh>
    <rPh sb="2" eb="3">
      <t>マチ</t>
    </rPh>
    <phoneticPr fontId="4"/>
  </si>
  <si>
    <t>8m</t>
    <phoneticPr fontId="4"/>
  </si>
  <si>
    <t>ｼﾙﾄ</t>
    <phoneticPr fontId="4"/>
  </si>
  <si>
    <t>2m</t>
    <phoneticPr fontId="4"/>
  </si>
  <si>
    <t>4m</t>
    <phoneticPr fontId="4"/>
  </si>
  <si>
    <t>有限会社 広島技術ｾﾝﾀｰ</t>
    <rPh sb="0" eb="2">
      <t>ユウゲン</t>
    </rPh>
    <rPh sb="2" eb="4">
      <t>カイシャ</t>
    </rPh>
    <phoneticPr fontId="4"/>
  </si>
  <si>
    <t>有限会社 広島技術ｾﾝﾀｰ</t>
    <phoneticPr fontId="4"/>
  </si>
  <si>
    <t>ユウゲンガイシャ ヒロシマギジュツセンター</t>
    <phoneticPr fontId="4"/>
  </si>
  <si>
    <t>株式会社 ラックス</t>
    <rPh sb="0" eb="2">
      <t>カブシキ</t>
    </rPh>
    <rPh sb="2" eb="4">
      <t>カイシャ</t>
    </rPh>
    <phoneticPr fontId="4"/>
  </si>
  <si>
    <t>株式会社 ラックス</t>
    <phoneticPr fontId="4"/>
  </si>
  <si>
    <t>カブシキガイシャ ラックス</t>
    <phoneticPr fontId="4"/>
  </si>
  <si>
    <t>東区丘珠流通施設</t>
    <rPh sb="0" eb="2">
      <t>ヒガシク</t>
    </rPh>
    <rPh sb="2" eb="3">
      <t>オカ</t>
    </rPh>
    <rPh sb="3" eb="4">
      <t>タマ</t>
    </rPh>
    <rPh sb="4" eb="6">
      <t>リュウツウ</t>
    </rPh>
    <rPh sb="6" eb="8">
      <t>シセツ</t>
    </rPh>
    <phoneticPr fontId="4"/>
  </si>
  <si>
    <t>1m</t>
    <phoneticPr fontId="4"/>
  </si>
  <si>
    <t>6m</t>
    <phoneticPr fontId="4"/>
  </si>
  <si>
    <t>ｼﾙﾄ</t>
    <phoneticPr fontId="4"/>
  </si>
  <si>
    <t>9m</t>
    <phoneticPr fontId="4"/>
  </si>
  <si>
    <t>ノースエンジニアリング 株式会社</t>
    <rPh sb="12" eb="14">
      <t>カブシキ</t>
    </rPh>
    <rPh sb="14" eb="16">
      <t>カイシャ</t>
    </rPh>
    <phoneticPr fontId="4"/>
  </si>
  <si>
    <t>ノースエンジニアリング 株式会社</t>
    <phoneticPr fontId="4"/>
  </si>
  <si>
    <t>ノースエンジニアリング カブシキガイシャ</t>
    <phoneticPr fontId="4"/>
  </si>
  <si>
    <t>有限会社 キューブプランニング</t>
    <rPh sb="0" eb="2">
      <t>ユウゲン</t>
    </rPh>
    <rPh sb="2" eb="4">
      <t>カイシャ</t>
    </rPh>
    <phoneticPr fontId="4"/>
  </si>
  <si>
    <t>有限会社 キューブプランニング</t>
    <phoneticPr fontId="4"/>
  </si>
  <si>
    <t>ユウゲンガイシャ キューブプランニング</t>
    <phoneticPr fontId="4"/>
  </si>
  <si>
    <t>弘前貨物米倉庫</t>
    <rPh sb="0" eb="2">
      <t>ヒロサキ</t>
    </rPh>
    <rPh sb="2" eb="4">
      <t>カモツ</t>
    </rPh>
    <rPh sb="4" eb="5">
      <t>コメ</t>
    </rPh>
    <rPh sb="5" eb="7">
      <t>ソウコ</t>
    </rPh>
    <phoneticPr fontId="4"/>
  </si>
  <si>
    <t>オサ建設工業 一級建築士事務所</t>
    <rPh sb="2" eb="4">
      <t>ケンセツ</t>
    </rPh>
    <rPh sb="4" eb="6">
      <t>コウギョウ</t>
    </rPh>
    <rPh sb="7" eb="9">
      <t>イッキュウ</t>
    </rPh>
    <rPh sb="9" eb="12">
      <t>ケンチクシ</t>
    </rPh>
    <rPh sb="12" eb="14">
      <t>ジム</t>
    </rPh>
    <rPh sb="14" eb="15">
      <t>ショ</t>
    </rPh>
    <phoneticPr fontId="4"/>
  </si>
  <si>
    <t>オサ建設工業 一級建築士事務所</t>
    <phoneticPr fontId="4"/>
  </si>
  <si>
    <t>オサケンセツコウギョウ イッキュウケンチクシジムショ</t>
    <phoneticPr fontId="4"/>
  </si>
  <si>
    <t>中川区十番町</t>
    <rPh sb="0" eb="2">
      <t>ナカガワ</t>
    </rPh>
    <rPh sb="2" eb="3">
      <t>ク</t>
    </rPh>
    <rPh sb="3" eb="5">
      <t>ジュウバン</t>
    </rPh>
    <rPh sb="5" eb="6">
      <t>マチ</t>
    </rPh>
    <phoneticPr fontId="4"/>
  </si>
  <si>
    <t>論田町</t>
    <rPh sb="0" eb="1">
      <t>ロン</t>
    </rPh>
    <rPh sb="1" eb="2">
      <t>タ</t>
    </rPh>
    <rPh sb="2" eb="3">
      <t>マチ</t>
    </rPh>
    <phoneticPr fontId="4"/>
  </si>
  <si>
    <t>砂質ｼﾙﾄ</t>
    <rPh sb="0" eb="1">
      <t>サ</t>
    </rPh>
    <rPh sb="1" eb="2">
      <t>シツ</t>
    </rPh>
    <phoneticPr fontId="4"/>
  </si>
  <si>
    <t>17m</t>
    <phoneticPr fontId="4"/>
  </si>
  <si>
    <t>6m</t>
    <phoneticPr fontId="4"/>
  </si>
  <si>
    <t>門外</t>
    <rPh sb="0" eb="1">
      <t>モン</t>
    </rPh>
    <rPh sb="1" eb="2">
      <t>ソト</t>
    </rPh>
    <phoneticPr fontId="4"/>
  </si>
  <si>
    <t>西二区事務所兼倉庫</t>
    <rPh sb="0" eb="1">
      <t>ニシ</t>
    </rPh>
    <rPh sb="1" eb="3">
      <t>ニク</t>
    </rPh>
    <rPh sb="3" eb="5">
      <t>ジム</t>
    </rPh>
    <rPh sb="5" eb="6">
      <t>ショ</t>
    </rPh>
    <rPh sb="6" eb="7">
      <t>ケン</t>
    </rPh>
    <rPh sb="7" eb="9">
      <t>ソウコ</t>
    </rPh>
    <phoneticPr fontId="4"/>
  </si>
  <si>
    <t>海部郡</t>
    <phoneticPr fontId="4"/>
  </si>
  <si>
    <t>飛鳥村金岡</t>
    <rPh sb="0" eb="2">
      <t>アスカ</t>
    </rPh>
    <rPh sb="2" eb="3">
      <t>ムラ</t>
    </rPh>
    <rPh sb="3" eb="5">
      <t>カナオカ</t>
    </rPh>
    <phoneticPr fontId="4"/>
  </si>
  <si>
    <t>2m</t>
    <phoneticPr fontId="4"/>
  </si>
  <si>
    <t>9m</t>
    <phoneticPr fontId="4"/>
  </si>
  <si>
    <t>3m</t>
    <phoneticPr fontId="4"/>
  </si>
  <si>
    <t>ｼﾙﾄ質粗中砂</t>
    <rPh sb="3" eb="4">
      <t>シツ</t>
    </rPh>
    <rPh sb="4" eb="5">
      <t>ソ</t>
    </rPh>
    <rPh sb="5" eb="6">
      <t>ナカ</t>
    </rPh>
    <rPh sb="6" eb="7">
      <t>スナ</t>
    </rPh>
    <phoneticPr fontId="4"/>
  </si>
  <si>
    <t>空調技研工業様倉庫</t>
    <rPh sb="0" eb="2">
      <t>クウチョウ</t>
    </rPh>
    <rPh sb="2" eb="4">
      <t>ギケン</t>
    </rPh>
    <rPh sb="4" eb="6">
      <t>コウギョウ</t>
    </rPh>
    <rPh sb="6" eb="7">
      <t>サマ</t>
    </rPh>
    <rPh sb="7" eb="9">
      <t>ソウコ</t>
    </rPh>
    <phoneticPr fontId="4"/>
  </si>
  <si>
    <t>糸島市</t>
    <rPh sb="0" eb="1">
      <t>イト</t>
    </rPh>
    <rPh sb="1" eb="2">
      <t>シマ</t>
    </rPh>
    <rPh sb="2" eb="3">
      <t>シ</t>
    </rPh>
    <phoneticPr fontId="4"/>
  </si>
  <si>
    <t>志摩小富士</t>
    <rPh sb="0" eb="2">
      <t>シマ</t>
    </rPh>
    <rPh sb="2" eb="3">
      <t>コ</t>
    </rPh>
    <rPh sb="3" eb="5">
      <t>フジ</t>
    </rPh>
    <phoneticPr fontId="4"/>
  </si>
  <si>
    <t>株式会社 へいせい</t>
    <rPh sb="0" eb="2">
      <t>カブシキ</t>
    </rPh>
    <rPh sb="2" eb="4">
      <t>カイシャ</t>
    </rPh>
    <phoneticPr fontId="4"/>
  </si>
  <si>
    <t>株式会社 へいせい</t>
    <phoneticPr fontId="4"/>
  </si>
  <si>
    <t>カブシキガイシャ ヘイセイ</t>
    <phoneticPr fontId="4"/>
  </si>
  <si>
    <t>8m</t>
    <phoneticPr fontId="4"/>
  </si>
  <si>
    <t>3m</t>
    <phoneticPr fontId="4"/>
  </si>
  <si>
    <t>粘土混じり砂</t>
    <rPh sb="0" eb="2">
      <t>ネンド</t>
    </rPh>
    <rPh sb="2" eb="3">
      <t>マ</t>
    </rPh>
    <rPh sb="5" eb="6">
      <t>スナ</t>
    </rPh>
    <phoneticPr fontId="4"/>
  </si>
  <si>
    <t>2m</t>
    <phoneticPr fontId="4"/>
  </si>
  <si>
    <t>礫混じり砂</t>
    <rPh sb="0" eb="1">
      <t>レキ</t>
    </rPh>
    <rPh sb="1" eb="2">
      <t>マ</t>
    </rPh>
    <rPh sb="4" eb="5">
      <t>スナ</t>
    </rPh>
    <phoneticPr fontId="4"/>
  </si>
  <si>
    <t>京伸精機</t>
    <rPh sb="0" eb="1">
      <t>キョウ</t>
    </rPh>
    <rPh sb="1" eb="2">
      <t>シン</t>
    </rPh>
    <rPh sb="2" eb="4">
      <t>セイキ</t>
    </rPh>
    <phoneticPr fontId="4"/>
  </si>
  <si>
    <t>岡山県</t>
    <phoneticPr fontId="4"/>
  </si>
  <si>
    <t>2F建</t>
    <phoneticPr fontId="4"/>
  </si>
  <si>
    <t>3m</t>
    <phoneticPr fontId="4"/>
  </si>
  <si>
    <t>はま寿司 益田</t>
    <rPh sb="2" eb="4">
      <t>スシ</t>
    </rPh>
    <rPh sb="5" eb="7">
      <t>マスダ</t>
    </rPh>
    <phoneticPr fontId="4"/>
  </si>
  <si>
    <t>島田設計</t>
    <rPh sb="0" eb="2">
      <t>シマダ</t>
    </rPh>
    <rPh sb="2" eb="4">
      <t>セッケイ</t>
    </rPh>
    <phoneticPr fontId="4"/>
  </si>
  <si>
    <t>島田設計</t>
    <phoneticPr fontId="4"/>
  </si>
  <si>
    <t>シマダセッケイ</t>
    <phoneticPr fontId="4"/>
  </si>
  <si>
    <t>JA山形おきたま営農ｾﾝﾀｰ</t>
    <rPh sb="2" eb="4">
      <t>ヤマガタ</t>
    </rPh>
    <rPh sb="8" eb="10">
      <t>エイノウ</t>
    </rPh>
    <phoneticPr fontId="4"/>
  </si>
  <si>
    <t>東置賜郡</t>
    <rPh sb="0" eb="1">
      <t>ヒガシ</t>
    </rPh>
    <rPh sb="1" eb="2">
      <t>オ</t>
    </rPh>
    <rPh sb="2" eb="3">
      <t>タマワ</t>
    </rPh>
    <rPh sb="3" eb="4">
      <t>グン</t>
    </rPh>
    <phoneticPr fontId="4"/>
  </si>
  <si>
    <t>川西町上小松</t>
    <rPh sb="0" eb="2">
      <t>カワニシ</t>
    </rPh>
    <rPh sb="2" eb="3">
      <t>マチ</t>
    </rPh>
    <rPh sb="3" eb="4">
      <t>ウエ</t>
    </rPh>
    <rPh sb="4" eb="6">
      <t>コマツ</t>
    </rPh>
    <phoneticPr fontId="4"/>
  </si>
  <si>
    <t>ｼﾙﾄ</t>
    <phoneticPr fontId="4"/>
  </si>
  <si>
    <t>2m</t>
    <phoneticPr fontId="4"/>
  </si>
  <si>
    <t>12m</t>
    <phoneticPr fontId="4"/>
  </si>
  <si>
    <t>事務所</t>
    <phoneticPr fontId="4"/>
  </si>
  <si>
    <t>富樫設計室</t>
    <rPh sb="0" eb="2">
      <t>トガシ</t>
    </rPh>
    <rPh sb="2" eb="4">
      <t>セッケイ</t>
    </rPh>
    <rPh sb="4" eb="5">
      <t>シツ</t>
    </rPh>
    <phoneticPr fontId="4"/>
  </si>
  <si>
    <t>富樫設計室</t>
    <phoneticPr fontId="4"/>
  </si>
  <si>
    <t>トガシセッケイシツ</t>
    <phoneticPr fontId="4"/>
  </si>
  <si>
    <t>2m</t>
    <phoneticPr fontId="4"/>
  </si>
  <si>
    <t>8m</t>
    <phoneticPr fontId="4"/>
  </si>
  <si>
    <t>TREO基礎</t>
    <rPh sb="4" eb="6">
      <t>キソ</t>
    </rPh>
    <phoneticPr fontId="4"/>
  </si>
  <si>
    <t>多度力尾</t>
    <rPh sb="0" eb="1">
      <t>タ</t>
    </rPh>
    <rPh sb="1" eb="2">
      <t>ド</t>
    </rPh>
    <rPh sb="2" eb="3">
      <t>チカラ</t>
    </rPh>
    <rPh sb="3" eb="4">
      <t>オ</t>
    </rPh>
    <phoneticPr fontId="4"/>
  </si>
  <si>
    <t>5m</t>
    <phoneticPr fontId="4"/>
  </si>
  <si>
    <t>7m</t>
    <phoneticPr fontId="4"/>
  </si>
  <si>
    <t>1m</t>
    <phoneticPr fontId="4"/>
  </si>
  <si>
    <t>2m</t>
    <phoneticPr fontId="4"/>
  </si>
  <si>
    <t>細中砂</t>
    <rPh sb="0" eb="1">
      <t>サイ</t>
    </rPh>
    <rPh sb="1" eb="2">
      <t>チュウ</t>
    </rPh>
    <rPh sb="2" eb="3">
      <t>サ</t>
    </rPh>
    <phoneticPr fontId="4"/>
  </si>
  <si>
    <t>2</t>
    <phoneticPr fontId="4"/>
  </si>
  <si>
    <t>秋田市広面診療所</t>
    <rPh sb="0" eb="3">
      <t>アキタシ</t>
    </rPh>
    <rPh sb="3" eb="4">
      <t>ヒロ</t>
    </rPh>
    <rPh sb="4" eb="5">
      <t>オモテ</t>
    </rPh>
    <rPh sb="5" eb="8">
      <t>シンリョウジョ</t>
    </rPh>
    <phoneticPr fontId="4"/>
  </si>
  <si>
    <t>広面字近藤</t>
    <rPh sb="0" eb="1">
      <t>ヒロ</t>
    </rPh>
    <rPh sb="1" eb="2">
      <t>オモテ</t>
    </rPh>
    <rPh sb="2" eb="3">
      <t>アザ</t>
    </rPh>
    <rPh sb="3" eb="5">
      <t>コンドウ</t>
    </rPh>
    <phoneticPr fontId="4"/>
  </si>
  <si>
    <t>9m</t>
    <phoneticPr fontId="4"/>
  </si>
  <si>
    <t>6m</t>
    <phoneticPr fontId="4"/>
  </si>
  <si>
    <t>ｼﾙﾄ</t>
    <phoneticPr fontId="4"/>
  </si>
  <si>
    <t>4m</t>
    <phoneticPr fontId="4"/>
  </si>
  <si>
    <t>株式会社 ビームス・デザイン・コンサルタント</t>
    <rPh sb="0" eb="2">
      <t>カブシキ</t>
    </rPh>
    <rPh sb="2" eb="4">
      <t>カイシャ</t>
    </rPh>
    <phoneticPr fontId="4"/>
  </si>
  <si>
    <t>株式会社 ビームス・デザイン・コンサルタント</t>
    <phoneticPr fontId="4"/>
  </si>
  <si>
    <t>カブシキガイシャ ビームスデザインコサルタント</t>
    <phoneticPr fontId="4"/>
  </si>
  <si>
    <t>170088-1</t>
    <phoneticPr fontId="4"/>
  </si>
  <si>
    <t>170088-2</t>
    <phoneticPr fontId="4"/>
  </si>
  <si>
    <t>廃棄物</t>
    <rPh sb="0" eb="3">
      <t>ハイキブツ</t>
    </rPh>
    <phoneticPr fontId="4"/>
  </si>
  <si>
    <t>奈良県</t>
    <phoneticPr fontId="4"/>
  </si>
  <si>
    <t>橿原市</t>
    <phoneticPr fontId="4"/>
  </si>
  <si>
    <t>常磐町</t>
    <rPh sb="0" eb="2">
      <t>ジョウバン</t>
    </rPh>
    <rPh sb="2" eb="3">
      <t>チョウ</t>
    </rPh>
    <phoneticPr fontId="4"/>
  </si>
  <si>
    <t>三宅西</t>
    <rPh sb="0" eb="2">
      <t>ミヤケ</t>
    </rPh>
    <rPh sb="2" eb="3">
      <t>ニシ</t>
    </rPh>
    <phoneticPr fontId="4"/>
  </si>
  <si>
    <t>粘土混じり砂礫</t>
    <rPh sb="0" eb="2">
      <t>ネンド</t>
    </rPh>
    <rPh sb="2" eb="3">
      <t>マ</t>
    </rPh>
    <rPh sb="5" eb="7">
      <t>サレキ</t>
    </rPh>
    <phoneticPr fontId="4"/>
  </si>
  <si>
    <t>度会郡</t>
    <phoneticPr fontId="4"/>
  </si>
  <si>
    <t>南伊勢町</t>
    <rPh sb="0" eb="4">
      <t>ミナミイセチョウ</t>
    </rPh>
    <phoneticPr fontId="4"/>
  </si>
  <si>
    <t>特別養護老人ホーム</t>
    <rPh sb="0" eb="2">
      <t>トクベツ</t>
    </rPh>
    <rPh sb="2" eb="4">
      <t>ヨウゴ</t>
    </rPh>
    <rPh sb="4" eb="6">
      <t>ロウジン</t>
    </rPh>
    <phoneticPr fontId="4"/>
  </si>
  <si>
    <t>既存タンク基礎下柱状改良有り。</t>
    <rPh sb="0" eb="2">
      <t>キソン</t>
    </rPh>
    <rPh sb="5" eb="7">
      <t>キソ</t>
    </rPh>
    <rPh sb="7" eb="8">
      <t>シタ</t>
    </rPh>
    <rPh sb="8" eb="10">
      <t>チュウジョウ</t>
    </rPh>
    <rPh sb="10" eb="12">
      <t>カイリョウ</t>
    </rPh>
    <rPh sb="12" eb="13">
      <t>ア</t>
    </rPh>
    <phoneticPr fontId="4"/>
  </si>
  <si>
    <t>漆山</t>
    <rPh sb="0" eb="2">
      <t>ウルシヤマ</t>
    </rPh>
    <phoneticPr fontId="4"/>
  </si>
  <si>
    <t>3m</t>
    <phoneticPr fontId="4"/>
  </si>
  <si>
    <t>10m</t>
    <phoneticPr fontId="4"/>
  </si>
  <si>
    <t>財団法人 ベターリビング</t>
    <phoneticPr fontId="4"/>
  </si>
  <si>
    <t>静岡県建築技術安心支援センター</t>
    <phoneticPr fontId="4"/>
  </si>
  <si>
    <t>宮城県</t>
    <phoneticPr fontId="4"/>
  </si>
  <si>
    <t>大崎市</t>
    <rPh sb="0" eb="3">
      <t>オオサキシ</t>
    </rPh>
    <phoneticPr fontId="4"/>
  </si>
  <si>
    <t>鹿島台気間塚字小谷地</t>
    <rPh sb="0" eb="3">
      <t>カシマダイ</t>
    </rPh>
    <rPh sb="3" eb="4">
      <t>キ</t>
    </rPh>
    <rPh sb="4" eb="5">
      <t>マ</t>
    </rPh>
    <rPh sb="5" eb="6">
      <t>ツカ</t>
    </rPh>
    <rPh sb="6" eb="7">
      <t>ジ</t>
    </rPh>
    <rPh sb="7" eb="9">
      <t>コタニ</t>
    </rPh>
    <rPh sb="9" eb="10">
      <t>チ</t>
    </rPh>
    <phoneticPr fontId="4"/>
  </si>
  <si>
    <t>7m</t>
    <phoneticPr fontId="4"/>
  </si>
  <si>
    <t>ｼﾙﾄ</t>
    <phoneticPr fontId="4"/>
  </si>
  <si>
    <t>4m</t>
    <phoneticPr fontId="4"/>
  </si>
  <si>
    <t>1m</t>
    <phoneticPr fontId="4"/>
  </si>
  <si>
    <t>ワコウゾウセッケイジムショ</t>
    <phoneticPr fontId="4"/>
  </si>
  <si>
    <t>診療所</t>
    <phoneticPr fontId="4"/>
  </si>
  <si>
    <t>PCMC・ｱｰｷﾃｸﾄ・ｻﾎﾟｰﾄ 株式会社</t>
    <rPh sb="18" eb="20">
      <t>カブシキ</t>
    </rPh>
    <rPh sb="20" eb="22">
      <t>カイシャ</t>
    </rPh>
    <phoneticPr fontId="4"/>
  </si>
  <si>
    <t>PCMC・ｱｰｷﾃｸﾄ・ｻﾎﾟｰﾄ 株式会社</t>
    <phoneticPr fontId="4"/>
  </si>
  <si>
    <t>PCMCアーキテクトサポート カブシキガイシャ</t>
    <phoneticPr fontId="4"/>
  </si>
  <si>
    <t>ｻﾂﾄﾞﾗ倶知安</t>
    <rPh sb="5" eb="8">
      <t>クッチャン</t>
    </rPh>
    <phoneticPr fontId="4"/>
  </si>
  <si>
    <t>虻田郡</t>
    <phoneticPr fontId="4"/>
  </si>
  <si>
    <t>倶知安町南</t>
    <rPh sb="0" eb="3">
      <t>クッチャン</t>
    </rPh>
    <rPh sb="3" eb="4">
      <t>マチ</t>
    </rPh>
    <rPh sb="4" eb="5">
      <t>ミナミ</t>
    </rPh>
    <phoneticPr fontId="4"/>
  </si>
  <si>
    <t>2m</t>
    <phoneticPr fontId="4"/>
  </si>
  <si>
    <t>火山灰質砂</t>
    <rPh sb="0" eb="3">
      <t>カザンバイ</t>
    </rPh>
    <rPh sb="3" eb="4">
      <t>シツ</t>
    </rPh>
    <rPh sb="4" eb="5">
      <t>スナ</t>
    </rPh>
    <phoneticPr fontId="4"/>
  </si>
  <si>
    <t>10m</t>
    <phoneticPr fontId="4"/>
  </si>
  <si>
    <t>8m</t>
    <phoneticPr fontId="4"/>
  </si>
  <si>
    <t>株式会社 札幌構造設計事務所</t>
    <rPh sb="0" eb="2">
      <t>カブシキ</t>
    </rPh>
    <rPh sb="2" eb="4">
      <t>カイシャ</t>
    </rPh>
    <rPh sb="5" eb="7">
      <t>サッポロ</t>
    </rPh>
    <rPh sb="7" eb="9">
      <t>コウゾウ</t>
    </rPh>
    <rPh sb="9" eb="11">
      <t>セッケイ</t>
    </rPh>
    <rPh sb="11" eb="13">
      <t>ジム</t>
    </rPh>
    <rPh sb="13" eb="14">
      <t>ショ</t>
    </rPh>
    <phoneticPr fontId="4"/>
  </si>
  <si>
    <t>株式会社 札幌構造設計事務所</t>
    <phoneticPr fontId="4"/>
  </si>
  <si>
    <t>カブシキガイシャ サッポロコウゾウセッケイジムショ</t>
    <phoneticPr fontId="4"/>
  </si>
  <si>
    <t>フレスポいわき泉(ｻｰﾋﾞｽ棟)</t>
    <rPh sb="7" eb="8">
      <t>イズミ</t>
    </rPh>
    <rPh sb="14" eb="15">
      <t>トウ</t>
    </rPh>
    <phoneticPr fontId="4"/>
  </si>
  <si>
    <t>優構造設計</t>
    <phoneticPr fontId="4"/>
  </si>
  <si>
    <t>ユウコウゾウセッケイ</t>
    <phoneticPr fontId="4"/>
  </si>
  <si>
    <t>・</t>
    <phoneticPr fontId="4"/>
  </si>
  <si>
    <t>○今週の設計完了案件</t>
    <rPh sb="1" eb="3">
      <t>コンシュウ</t>
    </rPh>
    <rPh sb="4" eb="6">
      <t>セッケイ</t>
    </rPh>
    <rPh sb="6" eb="8">
      <t>カンリョウ</t>
    </rPh>
    <rPh sb="8" eb="10">
      <t>アンケン</t>
    </rPh>
    <phoneticPr fontId="4"/>
  </si>
  <si>
    <t>ARCHITECTURAL PARTNERSHIP FOR TRANSCENDENCE</t>
    <phoneticPr fontId="4"/>
  </si>
  <si>
    <t>2</t>
    <phoneticPr fontId="4"/>
  </si>
  <si>
    <t>2m</t>
    <phoneticPr fontId="4"/>
  </si>
  <si>
    <t>玉石混じり砂</t>
    <rPh sb="0" eb="2">
      <t>タマイシ</t>
    </rPh>
    <rPh sb="2" eb="3">
      <t>マ</t>
    </rPh>
    <rPh sb="5" eb="6">
      <t>スナ</t>
    </rPh>
    <phoneticPr fontId="4"/>
  </si>
  <si>
    <t>山鹿市</t>
    <rPh sb="0" eb="1">
      <t>ヤマ</t>
    </rPh>
    <rPh sb="1" eb="2">
      <t>シカ</t>
    </rPh>
    <rPh sb="2" eb="3">
      <t>シ</t>
    </rPh>
    <phoneticPr fontId="4"/>
  </si>
  <si>
    <t>鹿本町津袋</t>
    <rPh sb="0" eb="1">
      <t>シカ</t>
    </rPh>
    <rPh sb="1" eb="3">
      <t>ホンマチ</t>
    </rPh>
    <rPh sb="3" eb="4">
      <t>ツ</t>
    </rPh>
    <rPh sb="4" eb="5">
      <t>フクロ</t>
    </rPh>
    <phoneticPr fontId="4"/>
  </si>
  <si>
    <t>牟田建設 株式会社</t>
    <rPh sb="0" eb="2">
      <t>ムタ</t>
    </rPh>
    <rPh sb="2" eb="4">
      <t>ケンセツ</t>
    </rPh>
    <rPh sb="5" eb="7">
      <t>カブシキ</t>
    </rPh>
    <rPh sb="7" eb="9">
      <t>カイシャ</t>
    </rPh>
    <phoneticPr fontId="4"/>
  </si>
  <si>
    <t>牟田建設 株式会社</t>
    <phoneticPr fontId="4"/>
  </si>
  <si>
    <t>ムタケンセツ カブシキガイシャ</t>
    <phoneticPr fontId="4"/>
  </si>
  <si>
    <t>大建シティプランニング 株式会社</t>
    <rPh sb="0" eb="2">
      <t>ダイケン</t>
    </rPh>
    <rPh sb="12" eb="16">
      <t>カブシキガイシャ</t>
    </rPh>
    <phoneticPr fontId="4"/>
  </si>
  <si>
    <t>大建シティプランニング 株式会社</t>
    <phoneticPr fontId="4"/>
  </si>
  <si>
    <t>ダイケンシティプランニング カブシキガイシャ</t>
    <phoneticPr fontId="4"/>
  </si>
  <si>
    <t>仁平自動車工場・事務所</t>
    <rPh sb="1" eb="2">
      <t>ヒラ</t>
    </rPh>
    <rPh sb="2" eb="5">
      <t>ジドウシャ</t>
    </rPh>
    <rPh sb="5" eb="7">
      <t>コウジョウ</t>
    </rPh>
    <rPh sb="8" eb="10">
      <t>ジム</t>
    </rPh>
    <rPh sb="10" eb="11">
      <t>ショ</t>
    </rPh>
    <phoneticPr fontId="4"/>
  </si>
  <si>
    <t>杉戸大字本郷字東中</t>
    <rPh sb="0" eb="1">
      <t>スギ</t>
    </rPh>
    <rPh sb="1" eb="2">
      <t>ト</t>
    </rPh>
    <rPh sb="2" eb="4">
      <t>オオアザ</t>
    </rPh>
    <rPh sb="4" eb="6">
      <t>ホンゴウ</t>
    </rPh>
    <rPh sb="6" eb="7">
      <t>アザ</t>
    </rPh>
    <rPh sb="7" eb="8">
      <t>ヒガシ</t>
    </rPh>
    <rPh sb="8" eb="9">
      <t>ナカ</t>
    </rPh>
    <phoneticPr fontId="4"/>
  </si>
  <si>
    <t>10m</t>
    <phoneticPr fontId="4"/>
  </si>
  <si>
    <t>1m</t>
    <phoneticPr fontId="4"/>
  </si>
  <si>
    <t>腐食物混じりｼﾙﾄ質細砂</t>
    <rPh sb="0" eb="2">
      <t>フショク</t>
    </rPh>
    <rPh sb="2" eb="3">
      <t>ブツ</t>
    </rPh>
    <rPh sb="3" eb="4">
      <t>マ</t>
    </rPh>
    <rPh sb="9" eb="10">
      <t>シツ</t>
    </rPh>
    <rPh sb="10" eb="11">
      <t>サイ</t>
    </rPh>
    <rPh sb="11" eb="12">
      <t>スナ</t>
    </rPh>
    <phoneticPr fontId="4"/>
  </si>
  <si>
    <t>山田安司建築工房</t>
    <rPh sb="0" eb="2">
      <t>ヤマダ</t>
    </rPh>
    <rPh sb="2" eb="3">
      <t>ヤス</t>
    </rPh>
    <rPh sb="3" eb="4">
      <t>ツカサ</t>
    </rPh>
    <rPh sb="4" eb="6">
      <t>ケンチク</t>
    </rPh>
    <rPh sb="6" eb="8">
      <t>コウボウ</t>
    </rPh>
    <phoneticPr fontId="4"/>
  </si>
  <si>
    <t>山田安司建築工房</t>
    <phoneticPr fontId="4"/>
  </si>
  <si>
    <t>ヤマダヤスシケンチクコウボウ</t>
    <phoneticPr fontId="4"/>
  </si>
  <si>
    <t>株式会社 コア</t>
    <rPh sb="0" eb="2">
      <t>カブシキ</t>
    </rPh>
    <rPh sb="2" eb="4">
      <t>カイシャ</t>
    </rPh>
    <phoneticPr fontId="4"/>
  </si>
  <si>
    <t>株式会社 コア</t>
    <phoneticPr fontId="4"/>
  </si>
  <si>
    <t>カブシキガイシャ コア</t>
    <phoneticPr fontId="4"/>
  </si>
  <si>
    <t>九州薬品工業 山鹿工場</t>
    <rPh sb="0" eb="2">
      <t>キュウシュウ</t>
    </rPh>
    <rPh sb="2" eb="4">
      <t>ヤクヒン</t>
    </rPh>
    <rPh sb="4" eb="6">
      <t>コウギョウ</t>
    </rPh>
    <rPh sb="7" eb="8">
      <t>ヤマ</t>
    </rPh>
    <rPh sb="8" eb="9">
      <t>シカ</t>
    </rPh>
    <rPh sb="9" eb="11">
      <t>コウジョウ</t>
    </rPh>
    <phoneticPr fontId="4"/>
  </si>
  <si>
    <t>士別市</t>
    <rPh sb="0" eb="3">
      <t>シベツシ</t>
    </rPh>
    <phoneticPr fontId="4"/>
  </si>
  <si>
    <t>西9条</t>
    <rPh sb="0" eb="1">
      <t>ニシ</t>
    </rPh>
    <rPh sb="2" eb="3">
      <t>ジョウ</t>
    </rPh>
    <phoneticPr fontId="4"/>
  </si>
  <si>
    <t>日通不動産 株式会社</t>
    <rPh sb="0" eb="2">
      <t>ニッツウ</t>
    </rPh>
    <rPh sb="2" eb="5">
      <t>フドウサン</t>
    </rPh>
    <rPh sb="6" eb="8">
      <t>カブシキ</t>
    </rPh>
    <rPh sb="8" eb="10">
      <t>カイシャ</t>
    </rPh>
    <phoneticPr fontId="4"/>
  </si>
  <si>
    <t>日通不動産 株式会社</t>
    <phoneticPr fontId="4"/>
  </si>
  <si>
    <t>ニッツウフドウサン カブシキガイシャ</t>
    <phoneticPr fontId="4"/>
  </si>
  <si>
    <t>有限会社 海老名構造研究所</t>
    <rPh sb="0" eb="2">
      <t>ユウゲン</t>
    </rPh>
    <rPh sb="2" eb="4">
      <t>カイシャ</t>
    </rPh>
    <rPh sb="5" eb="8">
      <t>エビナ</t>
    </rPh>
    <rPh sb="8" eb="10">
      <t>コウゾウ</t>
    </rPh>
    <rPh sb="10" eb="13">
      <t>ケンキュウショ</t>
    </rPh>
    <phoneticPr fontId="4"/>
  </si>
  <si>
    <t>有限会社 海老名構造研究所</t>
    <phoneticPr fontId="4"/>
  </si>
  <si>
    <t>ユウゲンガイシャ エビナコウゾウケンキュウショ</t>
    <phoneticPr fontId="4"/>
  </si>
  <si>
    <t>茨城県</t>
    <rPh sb="0" eb="3">
      <t>イバラギケン</t>
    </rPh>
    <phoneticPr fontId="4"/>
  </si>
  <si>
    <t>北茨城市</t>
    <rPh sb="0" eb="1">
      <t>キタ</t>
    </rPh>
    <rPh sb="1" eb="3">
      <t>イバラキ</t>
    </rPh>
    <rPh sb="3" eb="4">
      <t>シ</t>
    </rPh>
    <phoneticPr fontId="4"/>
  </si>
  <si>
    <t>磯原町木皿</t>
    <rPh sb="0" eb="2">
      <t>イソハラ</t>
    </rPh>
    <rPh sb="2" eb="3">
      <t>マチ</t>
    </rPh>
    <rPh sb="3" eb="4">
      <t>キ</t>
    </rPh>
    <rPh sb="4" eb="5">
      <t>サラ</t>
    </rPh>
    <phoneticPr fontId="4"/>
  </si>
  <si>
    <t>ハウスプラス確認検査 株式会社</t>
    <phoneticPr fontId="4"/>
  </si>
  <si>
    <t>ユイ
金</t>
    <rPh sb="3" eb="4">
      <t>キン</t>
    </rPh>
    <phoneticPr fontId="4"/>
  </si>
  <si>
    <t>㈱ARCA新社屋</t>
    <rPh sb="5" eb="6">
      <t>シン</t>
    </rPh>
    <rPh sb="6" eb="8">
      <t>シャオク</t>
    </rPh>
    <phoneticPr fontId="4"/>
  </si>
  <si>
    <t>宮城県</t>
    <phoneticPr fontId="4"/>
  </si>
  <si>
    <t>株式会社 COS設計</t>
    <phoneticPr fontId="4"/>
  </si>
  <si>
    <t>福井県</t>
    <phoneticPr fontId="4"/>
  </si>
  <si>
    <t>有限会社 岸田建築設計事務所</t>
    <rPh sb="0" eb="2">
      <t>ユウゲン</t>
    </rPh>
    <rPh sb="2" eb="4">
      <t>カイシャ</t>
    </rPh>
    <rPh sb="5" eb="7">
      <t>キシダ</t>
    </rPh>
    <rPh sb="7" eb="9">
      <t>ケンチク</t>
    </rPh>
    <rPh sb="9" eb="11">
      <t>セッケイ</t>
    </rPh>
    <rPh sb="11" eb="13">
      <t>ジム</t>
    </rPh>
    <rPh sb="13" eb="14">
      <t>ショ</t>
    </rPh>
    <phoneticPr fontId="4"/>
  </si>
  <si>
    <t>有限会社 岸田建築設計事務所</t>
    <phoneticPr fontId="4"/>
  </si>
  <si>
    <t>ユウゲンガイシャ キシダケンチクセッケイジムショ</t>
    <phoneticPr fontId="4"/>
  </si>
  <si>
    <t>日本通運株式会社 士別倉庫</t>
    <rPh sb="0" eb="2">
      <t>ニホン</t>
    </rPh>
    <rPh sb="2" eb="4">
      <t>ツウウン</t>
    </rPh>
    <rPh sb="4" eb="6">
      <t>カブシキ</t>
    </rPh>
    <rPh sb="6" eb="8">
      <t>カイシャ</t>
    </rPh>
    <rPh sb="9" eb="11">
      <t>シベツ</t>
    </rPh>
    <rPh sb="11" eb="13">
      <t>ソウコ</t>
    </rPh>
    <phoneticPr fontId="4"/>
  </si>
  <si>
    <t>北陸マツダ開発</t>
    <rPh sb="0" eb="2">
      <t>ホクリク</t>
    </rPh>
    <rPh sb="5" eb="7">
      <t>カイハツ</t>
    </rPh>
    <phoneticPr fontId="4"/>
  </si>
  <si>
    <t>認定こども園</t>
    <rPh sb="0" eb="2">
      <t>ニンテイ</t>
    </rPh>
    <rPh sb="5" eb="6">
      <t>エン</t>
    </rPh>
    <phoneticPr fontId="4"/>
  </si>
  <si>
    <t>宮城県</t>
    <phoneticPr fontId="4"/>
  </si>
  <si>
    <t>伊具郡</t>
    <rPh sb="0" eb="1">
      <t>イ</t>
    </rPh>
    <rPh sb="1" eb="2">
      <t>グ</t>
    </rPh>
    <rPh sb="2" eb="3">
      <t>グン</t>
    </rPh>
    <phoneticPr fontId="4"/>
  </si>
  <si>
    <t>丸森町矢間館山字玉川</t>
    <rPh sb="0" eb="2">
      <t>マルモリ</t>
    </rPh>
    <rPh sb="2" eb="3">
      <t>マチ</t>
    </rPh>
    <rPh sb="3" eb="4">
      <t>ヤ</t>
    </rPh>
    <rPh sb="4" eb="5">
      <t>マ</t>
    </rPh>
    <rPh sb="5" eb="7">
      <t>タテヤマ</t>
    </rPh>
    <rPh sb="7" eb="8">
      <t>アザ</t>
    </rPh>
    <rPh sb="8" eb="10">
      <t>タマカワ</t>
    </rPh>
    <phoneticPr fontId="4"/>
  </si>
  <si>
    <t>広島県庁</t>
    <phoneticPr fontId="4"/>
  </si>
  <si>
    <t>有限会社 テラ構造設計</t>
    <rPh sb="0" eb="2">
      <t>ユウゲン</t>
    </rPh>
    <rPh sb="2" eb="4">
      <t>カイシャ</t>
    </rPh>
    <phoneticPr fontId="4"/>
  </si>
  <si>
    <t>有限会社 テラ構造設計</t>
    <phoneticPr fontId="4"/>
  </si>
  <si>
    <t>ユウゲンガイシャ テラコウゾウセッケイ</t>
    <phoneticPr fontId="4"/>
  </si>
  <si>
    <t>狭小地
境界近い</t>
    <rPh sb="4" eb="6">
      <t>キョウカイ</t>
    </rPh>
    <rPh sb="6" eb="7">
      <t>チカ</t>
    </rPh>
    <phoneticPr fontId="4"/>
  </si>
  <si>
    <t>土質</t>
    <rPh sb="0" eb="2">
      <t>ドシツ</t>
    </rPh>
    <phoneticPr fontId="4"/>
  </si>
  <si>
    <t>二次改良</t>
    <rPh sb="0" eb="2">
      <t>ニジ</t>
    </rPh>
    <rPh sb="2" eb="4">
      <t>カイリョウ</t>
    </rPh>
    <phoneticPr fontId="4"/>
  </si>
  <si>
    <t>一次改良</t>
    <rPh sb="0" eb="2">
      <t>イチジ</t>
    </rPh>
    <rPh sb="2" eb="4">
      <t>カイリョウ</t>
    </rPh>
    <phoneticPr fontId="4"/>
  </si>
  <si>
    <t>厚[m]</t>
    <rPh sb="0" eb="1">
      <t>アツ</t>
    </rPh>
    <phoneticPr fontId="4"/>
  </si>
  <si>
    <t>埋土</t>
    <phoneticPr fontId="4"/>
  </si>
  <si>
    <t>埋土(有機物混入)</t>
    <phoneticPr fontId="4"/>
  </si>
  <si>
    <t>土質・地盤改良厚[m]</t>
    <rPh sb="0" eb="2">
      <t>ドシツ</t>
    </rPh>
    <rPh sb="3" eb="5">
      <t>ジバン</t>
    </rPh>
    <rPh sb="5" eb="7">
      <t>カイリョウ</t>
    </rPh>
    <rPh sb="7" eb="8">
      <t>アツ</t>
    </rPh>
    <phoneticPr fontId="4"/>
  </si>
  <si>
    <t>-</t>
    <phoneticPr fontId="4"/>
  </si>
  <si>
    <t>近隣状況</t>
    <rPh sb="2" eb="4">
      <t>ジョウキョウ</t>
    </rPh>
    <phoneticPr fontId="4"/>
  </si>
  <si>
    <t>駐車場</t>
    <rPh sb="0" eb="3">
      <t>チュウシャジョウ</t>
    </rPh>
    <phoneticPr fontId="4"/>
  </si>
  <si>
    <t>近隣
状況</t>
    <rPh sb="0" eb="2">
      <t>キンリン</t>
    </rPh>
    <rPh sb="3" eb="5">
      <t>ジョウキョウ</t>
    </rPh>
    <phoneticPr fontId="4"/>
  </si>
  <si>
    <t>ｼﾙﾄ</t>
    <phoneticPr fontId="4"/>
  </si>
  <si>
    <t>盛土</t>
    <rPh sb="0" eb="1">
      <t>モ</t>
    </rPh>
    <rPh sb="1" eb="2">
      <t>ド</t>
    </rPh>
    <phoneticPr fontId="4"/>
  </si>
  <si>
    <t>２期(以上)
工事</t>
    <rPh sb="1" eb="2">
      <t>キ</t>
    </rPh>
    <rPh sb="3" eb="5">
      <t>イジョウ</t>
    </rPh>
    <rPh sb="7" eb="9">
      <t>コウジ</t>
    </rPh>
    <phoneticPr fontId="4"/>
  </si>
  <si>
    <t>地下
水位
[m]</t>
    <rPh sb="0" eb="2">
      <t>チカ</t>
    </rPh>
    <rPh sb="3" eb="5">
      <t>スイイ</t>
    </rPh>
    <phoneticPr fontId="4"/>
  </si>
  <si>
    <t>狭小地
境界近い</t>
    <phoneticPr fontId="4"/>
  </si>
  <si>
    <t>盛土
計画有</t>
    <rPh sb="0" eb="2">
      <t>モリド</t>
    </rPh>
    <rPh sb="3" eb="5">
      <t>ケイカク</t>
    </rPh>
    <rPh sb="5" eb="6">
      <t>アリ</t>
    </rPh>
    <phoneticPr fontId="4"/>
  </si>
  <si>
    <t>○</t>
    <phoneticPr fontId="4"/>
  </si>
  <si>
    <t>火山灰質ｼﾙﾄ</t>
    <rPh sb="0" eb="2">
      <t>カザン</t>
    </rPh>
    <rPh sb="2" eb="3">
      <t>ハイ</t>
    </rPh>
    <rPh sb="3" eb="4">
      <t>シツ</t>
    </rPh>
    <phoneticPr fontId="4"/>
  </si>
  <si>
    <t>空地</t>
    <rPh sb="0" eb="2">
      <t>クウチ</t>
    </rPh>
    <phoneticPr fontId="4"/>
  </si>
  <si>
    <t>ケーズデンキ下関</t>
    <rPh sb="6" eb="8">
      <t>シモノセキ</t>
    </rPh>
    <phoneticPr fontId="4"/>
  </si>
  <si>
    <t>下関市</t>
    <rPh sb="0" eb="2">
      <t>シモノセキ</t>
    </rPh>
    <rPh sb="2" eb="3">
      <t>シ</t>
    </rPh>
    <phoneticPr fontId="4"/>
  </si>
  <si>
    <t>長府才川</t>
    <rPh sb="0" eb="2">
      <t>チョウフ</t>
    </rPh>
    <rPh sb="2" eb="3">
      <t>サイ</t>
    </rPh>
    <rPh sb="3" eb="4">
      <t>カワ</t>
    </rPh>
    <phoneticPr fontId="4"/>
  </si>
  <si>
    <t>株式会社 ワイケイシイ</t>
    <rPh sb="0" eb="2">
      <t>カブシキ</t>
    </rPh>
    <rPh sb="2" eb="4">
      <t>カイシャ</t>
    </rPh>
    <phoneticPr fontId="4"/>
  </si>
  <si>
    <t>有限会社 構造プラン</t>
    <rPh sb="0" eb="2">
      <t>ユウゲン</t>
    </rPh>
    <rPh sb="2" eb="4">
      <t>カイシャ</t>
    </rPh>
    <rPh sb="5" eb="7">
      <t>コウゾウ</t>
    </rPh>
    <phoneticPr fontId="4"/>
  </si>
  <si>
    <t>有限会社 構造プラン</t>
    <phoneticPr fontId="4"/>
  </si>
  <si>
    <t>株式会社 ワイケイシイ</t>
    <phoneticPr fontId="4"/>
  </si>
  <si>
    <t>カブシキガイシャ ワイケイシイ</t>
    <phoneticPr fontId="4"/>
  </si>
  <si>
    <t>ユウゲンガイシャ コウゾウプラン</t>
    <phoneticPr fontId="4"/>
  </si>
  <si>
    <t>大和町</t>
    <rPh sb="0" eb="2">
      <t>ダイワ</t>
    </rPh>
    <rPh sb="2" eb="3">
      <t>マチ</t>
    </rPh>
    <phoneticPr fontId="4"/>
  </si>
  <si>
    <t>盛土</t>
    <rPh sb="0" eb="1">
      <t>モリ</t>
    </rPh>
    <rPh sb="1" eb="2">
      <t>ド</t>
    </rPh>
    <phoneticPr fontId="4"/>
  </si>
  <si>
    <t>ユウゲンガイシャ ナガシマケンチクセッケイジムショ</t>
    <phoneticPr fontId="4"/>
  </si>
  <si>
    <t>ｻﾂﾄﾞﾗﾆｾｺ</t>
    <phoneticPr fontId="4"/>
  </si>
  <si>
    <t>虻田郡</t>
    <rPh sb="0" eb="1">
      <t>アブ</t>
    </rPh>
    <rPh sb="1" eb="2">
      <t>タ</t>
    </rPh>
    <rPh sb="2" eb="3">
      <t>グン</t>
    </rPh>
    <phoneticPr fontId="4"/>
  </si>
  <si>
    <t>ニセコ町</t>
    <rPh sb="3" eb="4">
      <t>マチ</t>
    </rPh>
    <phoneticPr fontId="4"/>
  </si>
  <si>
    <t>株式会社 アイプランニング</t>
    <rPh sb="0" eb="2">
      <t>カブシキ</t>
    </rPh>
    <rPh sb="2" eb="4">
      <t>カイシャ</t>
    </rPh>
    <phoneticPr fontId="4"/>
  </si>
  <si>
    <t>JAにしみの上多度農業倉庫</t>
    <rPh sb="6" eb="7">
      <t>ウエ</t>
    </rPh>
    <rPh sb="7" eb="8">
      <t>タ</t>
    </rPh>
    <rPh sb="8" eb="9">
      <t>ド</t>
    </rPh>
    <rPh sb="9" eb="11">
      <t>ノウギョウ</t>
    </rPh>
    <rPh sb="11" eb="13">
      <t>ソウコ</t>
    </rPh>
    <phoneticPr fontId="4"/>
  </si>
  <si>
    <t>岐阜県</t>
    <phoneticPr fontId="4"/>
  </si>
  <si>
    <t>養老郡</t>
    <rPh sb="0" eb="3">
      <t>ヨウロウグン</t>
    </rPh>
    <phoneticPr fontId="4"/>
  </si>
  <si>
    <t>養老町有尾</t>
    <rPh sb="0" eb="3">
      <t>ヨウロウチョウ</t>
    </rPh>
    <rPh sb="3" eb="4">
      <t>ユウ</t>
    </rPh>
    <rPh sb="4" eb="5">
      <t>ビ</t>
    </rPh>
    <phoneticPr fontId="4"/>
  </si>
  <si>
    <t>31m</t>
    <phoneticPr fontId="4"/>
  </si>
  <si>
    <t>全農岐阜 一級建築士事務所</t>
    <phoneticPr fontId="4"/>
  </si>
  <si>
    <t>全農岐阜 一級建築士事務所</t>
    <rPh sb="0" eb="2">
      <t>ゼンノウ</t>
    </rPh>
    <rPh sb="2" eb="4">
      <t>ギフ</t>
    </rPh>
    <rPh sb="5" eb="7">
      <t>イッキュウ</t>
    </rPh>
    <rPh sb="7" eb="10">
      <t>ケンチクシ</t>
    </rPh>
    <rPh sb="10" eb="12">
      <t>ジム</t>
    </rPh>
    <rPh sb="12" eb="13">
      <t>ショ</t>
    </rPh>
    <phoneticPr fontId="4"/>
  </si>
  <si>
    <t>S_プランズ</t>
    <phoneticPr fontId="4"/>
  </si>
  <si>
    <t>S_プランズ</t>
    <phoneticPr fontId="4"/>
  </si>
  <si>
    <t>富山産業</t>
    <rPh sb="0" eb="2">
      <t>トヤマ</t>
    </rPh>
    <rPh sb="2" eb="4">
      <t>サンギョウ</t>
    </rPh>
    <phoneticPr fontId="4"/>
  </si>
  <si>
    <t>大阪市</t>
    <phoneticPr fontId="4"/>
  </si>
  <si>
    <t>住之江区南港北</t>
    <rPh sb="0" eb="3">
      <t>スミノエ</t>
    </rPh>
    <rPh sb="3" eb="4">
      <t>ク</t>
    </rPh>
    <rPh sb="4" eb="5">
      <t>ミナミ</t>
    </rPh>
    <rPh sb="5" eb="6">
      <t>ミナト</t>
    </rPh>
    <rPh sb="6" eb="7">
      <t>キタ</t>
    </rPh>
    <phoneticPr fontId="4"/>
  </si>
  <si>
    <t>砂混り粘土</t>
    <rPh sb="0" eb="1">
      <t>スナ</t>
    </rPh>
    <rPh sb="1" eb="2">
      <t>マ</t>
    </rPh>
    <rPh sb="3" eb="5">
      <t>ネンド</t>
    </rPh>
    <phoneticPr fontId="4"/>
  </si>
  <si>
    <t>2m</t>
    <phoneticPr fontId="4"/>
  </si>
  <si>
    <t>礫混じり火山灰</t>
    <rPh sb="0" eb="1">
      <t>レキ</t>
    </rPh>
    <rPh sb="1" eb="2">
      <t>マ</t>
    </rPh>
    <rPh sb="4" eb="6">
      <t>カザン</t>
    </rPh>
    <rPh sb="6" eb="7">
      <t>ハイ</t>
    </rPh>
    <phoneticPr fontId="4"/>
  </si>
  <si>
    <t>西開発</t>
    <rPh sb="0" eb="1">
      <t>ニシ</t>
    </rPh>
    <rPh sb="1" eb="3">
      <t>カイハツ</t>
    </rPh>
    <phoneticPr fontId="4"/>
  </si>
  <si>
    <t>山名</t>
    <rPh sb="0" eb="2">
      <t>ヤマナ</t>
    </rPh>
    <phoneticPr fontId="4"/>
  </si>
  <si>
    <t>BPS上甲子園</t>
    <rPh sb="3" eb="4">
      <t>ウエ</t>
    </rPh>
    <rPh sb="4" eb="7">
      <t>コウシエン</t>
    </rPh>
    <phoneticPr fontId="4"/>
  </si>
  <si>
    <t>兵庫県</t>
    <phoneticPr fontId="4"/>
  </si>
  <si>
    <t>西宮市</t>
    <rPh sb="0" eb="3">
      <t>ニシノミヤシ</t>
    </rPh>
    <phoneticPr fontId="4"/>
  </si>
  <si>
    <t>4m</t>
    <phoneticPr fontId="4"/>
  </si>
  <si>
    <t>セイムス古川東</t>
    <rPh sb="4" eb="6">
      <t>フルカワ</t>
    </rPh>
    <rPh sb="6" eb="7">
      <t>ヒガシ</t>
    </rPh>
    <phoneticPr fontId="4"/>
  </si>
  <si>
    <t>株式会社 建築構造センター(福岡)</t>
    <rPh sb="14" eb="16">
      <t>フクオカ</t>
    </rPh>
    <phoneticPr fontId="4"/>
  </si>
  <si>
    <t>有機物混じり粘土</t>
    <rPh sb="0" eb="3">
      <t>ユウキブツ</t>
    </rPh>
    <rPh sb="3" eb="4">
      <t>マ</t>
    </rPh>
    <rPh sb="6" eb="8">
      <t>ネンド</t>
    </rPh>
    <phoneticPr fontId="4"/>
  </si>
  <si>
    <t>地下水位</t>
    <rPh sb="0" eb="2">
      <t>チカ</t>
    </rPh>
    <rPh sb="2" eb="4">
      <t>スイイ</t>
    </rPh>
    <phoneticPr fontId="4"/>
  </si>
  <si>
    <t>ビューローベリタスジャパン株式会社(福岡)</t>
    <rPh sb="18" eb="20">
      <t>フクオカ</t>
    </rPh>
    <phoneticPr fontId="4"/>
  </si>
  <si>
    <t>アウェイ建築評価ネット株式会社</t>
    <phoneticPr fontId="4"/>
  </si>
  <si>
    <t>財団法人 愛知県建築住宅センター</t>
    <phoneticPr fontId="4"/>
  </si>
  <si>
    <t>粘土質ｼﾙﾄ</t>
    <rPh sb="0" eb="3">
      <t>ネンドシツ</t>
    </rPh>
    <phoneticPr fontId="4"/>
  </si>
  <si>
    <t>池田市</t>
    <rPh sb="0" eb="2">
      <t>イケダ</t>
    </rPh>
    <rPh sb="2" eb="3">
      <t>シ</t>
    </rPh>
    <phoneticPr fontId="4"/>
  </si>
  <si>
    <t>城南</t>
    <rPh sb="0" eb="1">
      <t>シロ</t>
    </rPh>
    <rPh sb="1" eb="2">
      <t>ミナミ</t>
    </rPh>
    <phoneticPr fontId="4"/>
  </si>
  <si>
    <t>2m</t>
    <phoneticPr fontId="4"/>
  </si>
  <si>
    <t>株式会社 赤澤設計事務所</t>
    <rPh sb="0" eb="2">
      <t>カブシキ</t>
    </rPh>
    <rPh sb="2" eb="4">
      <t>カイシャ</t>
    </rPh>
    <rPh sb="5" eb="7">
      <t>アカサワ</t>
    </rPh>
    <rPh sb="7" eb="9">
      <t>セッケイ</t>
    </rPh>
    <rPh sb="9" eb="11">
      <t>ジム</t>
    </rPh>
    <rPh sb="11" eb="12">
      <t>ショ</t>
    </rPh>
    <phoneticPr fontId="4"/>
  </si>
  <si>
    <t>株式会社 赤澤設計事務所</t>
    <phoneticPr fontId="4"/>
  </si>
  <si>
    <t>基建築設計事務所</t>
    <phoneticPr fontId="4"/>
  </si>
  <si>
    <t>厚岸郡</t>
    <rPh sb="0" eb="1">
      <t>アツ</t>
    </rPh>
    <rPh sb="1" eb="2">
      <t>キシ</t>
    </rPh>
    <rPh sb="2" eb="3">
      <t>グン</t>
    </rPh>
    <phoneticPr fontId="4"/>
  </si>
  <si>
    <t>厚岸町若竹</t>
    <rPh sb="0" eb="1">
      <t>アツ</t>
    </rPh>
    <rPh sb="1" eb="2">
      <t>キシ</t>
    </rPh>
    <rPh sb="2" eb="3">
      <t>マチ</t>
    </rPh>
    <rPh sb="3" eb="4">
      <t>ワカ</t>
    </rPh>
    <rPh sb="4" eb="5">
      <t>タケ</t>
    </rPh>
    <phoneticPr fontId="4"/>
  </si>
  <si>
    <t>一級建築士事務所 インテックオフィス</t>
    <rPh sb="0" eb="2">
      <t>イッキュウ</t>
    </rPh>
    <rPh sb="2" eb="5">
      <t>ケンチクシ</t>
    </rPh>
    <rPh sb="5" eb="7">
      <t>ジム</t>
    </rPh>
    <rPh sb="7" eb="8">
      <t>ショ</t>
    </rPh>
    <phoneticPr fontId="4"/>
  </si>
  <si>
    <t>一級建築士事務所 インテックオフィス</t>
    <phoneticPr fontId="4"/>
  </si>
  <si>
    <t>イッキュウケンチクシジムショ インテックオフィス</t>
    <phoneticPr fontId="4"/>
  </si>
  <si>
    <t>カブシキガイシャ アカザワセッケイジムショ</t>
    <phoneticPr fontId="4"/>
  </si>
  <si>
    <t>春日部市</t>
    <phoneticPr fontId="4"/>
  </si>
  <si>
    <t>水角</t>
    <rPh sb="0" eb="1">
      <t>ミズ</t>
    </rPh>
    <rPh sb="1" eb="2">
      <t>カク</t>
    </rPh>
    <phoneticPr fontId="4"/>
  </si>
  <si>
    <t>雅デザイン</t>
    <rPh sb="0" eb="1">
      <t>ミヤビ</t>
    </rPh>
    <phoneticPr fontId="4"/>
  </si>
  <si>
    <t>雅デザイン</t>
    <phoneticPr fontId="4"/>
  </si>
  <si>
    <t>ミヤビデザイン</t>
    <phoneticPr fontId="4"/>
  </si>
  <si>
    <t>ヒロテツ工業 株式会社</t>
    <rPh sb="4" eb="6">
      <t>コウギョウ</t>
    </rPh>
    <rPh sb="7" eb="9">
      <t>カブシキ</t>
    </rPh>
    <rPh sb="9" eb="11">
      <t>カイシャ</t>
    </rPh>
    <phoneticPr fontId="4"/>
  </si>
  <si>
    <t>ヒロテツ工業 株式会社</t>
    <phoneticPr fontId="4"/>
  </si>
  <si>
    <t>ヒロテツコウギョウ カブシキガイシャ</t>
    <phoneticPr fontId="4"/>
  </si>
  <si>
    <t>山下建築事務所</t>
    <rPh sb="0" eb="2">
      <t>ヤマシタ</t>
    </rPh>
    <rPh sb="2" eb="4">
      <t>ケンチク</t>
    </rPh>
    <rPh sb="4" eb="6">
      <t>ジム</t>
    </rPh>
    <rPh sb="6" eb="7">
      <t>ショ</t>
    </rPh>
    <phoneticPr fontId="4"/>
  </si>
  <si>
    <t>山下建築事務所</t>
    <phoneticPr fontId="4"/>
  </si>
  <si>
    <t>ヤマシタケンチクジムショ</t>
    <phoneticPr fontId="4"/>
  </si>
  <si>
    <t>エスキー工機㈱組立工場</t>
    <rPh sb="4" eb="6">
      <t>コウキ</t>
    </rPh>
    <rPh sb="7" eb="9">
      <t>クミタテ</t>
    </rPh>
    <rPh sb="9" eb="11">
      <t>コウジョウ</t>
    </rPh>
    <phoneticPr fontId="4"/>
  </si>
  <si>
    <t>飽海郡</t>
    <rPh sb="0" eb="1">
      <t>ア</t>
    </rPh>
    <rPh sb="1" eb="2">
      <t>ウミ</t>
    </rPh>
    <rPh sb="2" eb="3">
      <t>グン</t>
    </rPh>
    <phoneticPr fontId="4"/>
  </si>
  <si>
    <t>遊佐町藤崎</t>
    <rPh sb="0" eb="1">
      <t>アソ</t>
    </rPh>
    <rPh sb="1" eb="2">
      <t>サ</t>
    </rPh>
    <rPh sb="2" eb="3">
      <t>マチ</t>
    </rPh>
    <rPh sb="3" eb="5">
      <t>フジサキ</t>
    </rPh>
    <phoneticPr fontId="4"/>
  </si>
  <si>
    <t>あべ構房建築設計事務所</t>
    <rPh sb="2" eb="3">
      <t>カマエ</t>
    </rPh>
    <rPh sb="3" eb="4">
      <t>フサ</t>
    </rPh>
    <rPh sb="4" eb="6">
      <t>ケンチク</t>
    </rPh>
    <rPh sb="6" eb="8">
      <t>セッケイ</t>
    </rPh>
    <rPh sb="8" eb="10">
      <t>ジム</t>
    </rPh>
    <rPh sb="10" eb="11">
      <t>ショ</t>
    </rPh>
    <phoneticPr fontId="4"/>
  </si>
  <si>
    <t>大和製作所</t>
    <rPh sb="0" eb="2">
      <t>ヤマト</t>
    </rPh>
    <rPh sb="2" eb="5">
      <t>セイサクショ</t>
    </rPh>
    <phoneticPr fontId="4"/>
  </si>
  <si>
    <t>岡谷市</t>
    <rPh sb="0" eb="1">
      <t>オカ</t>
    </rPh>
    <rPh sb="1" eb="2">
      <t>タニ</t>
    </rPh>
    <rPh sb="2" eb="3">
      <t>シ</t>
    </rPh>
    <phoneticPr fontId="4"/>
  </si>
  <si>
    <t>川岸</t>
    <rPh sb="0" eb="2">
      <t>カワギシ</t>
    </rPh>
    <phoneticPr fontId="4"/>
  </si>
  <si>
    <t>諏訪総合設計 株式会社</t>
    <rPh sb="0" eb="2">
      <t>スワ</t>
    </rPh>
    <rPh sb="2" eb="4">
      <t>ソウゴウ</t>
    </rPh>
    <rPh sb="4" eb="6">
      <t>セッケイ</t>
    </rPh>
    <rPh sb="7" eb="9">
      <t>カブシキ</t>
    </rPh>
    <rPh sb="9" eb="11">
      <t>カイシャ</t>
    </rPh>
    <phoneticPr fontId="4"/>
  </si>
  <si>
    <t>諏訪総合設計 株式会社</t>
    <phoneticPr fontId="4"/>
  </si>
  <si>
    <t>スワソウゴウセッケイ カブシキガイシャ</t>
    <phoneticPr fontId="4"/>
  </si>
  <si>
    <t>4m</t>
    <phoneticPr fontId="4"/>
  </si>
  <si>
    <t>ｼﾙﾄ</t>
    <phoneticPr fontId="4"/>
  </si>
  <si>
    <t>21m</t>
    <phoneticPr fontId="4"/>
  </si>
  <si>
    <t>20m</t>
    <phoneticPr fontId="4"/>
  </si>
  <si>
    <t>グローバル構造設計</t>
    <rPh sb="5" eb="7">
      <t>コウゾウ</t>
    </rPh>
    <rPh sb="7" eb="9">
      <t>セッケイ</t>
    </rPh>
    <phoneticPr fontId="4"/>
  </si>
  <si>
    <t>グローバル構造設計</t>
    <phoneticPr fontId="4"/>
  </si>
  <si>
    <t>グローバルコウゾウセッケイ</t>
    <phoneticPr fontId="4"/>
  </si>
  <si>
    <t>ふじよし川崎工場</t>
    <rPh sb="4" eb="6">
      <t>カワサキ</t>
    </rPh>
    <rPh sb="6" eb="8">
      <t>コウジョウ</t>
    </rPh>
    <phoneticPr fontId="4"/>
  </si>
  <si>
    <t>川崎区出来野</t>
    <rPh sb="0" eb="3">
      <t>カワサキク</t>
    </rPh>
    <rPh sb="3" eb="5">
      <t>デキ</t>
    </rPh>
    <rPh sb="5" eb="6">
      <t>ノ</t>
    </rPh>
    <phoneticPr fontId="4"/>
  </si>
  <si>
    <t>北建土建 株式会社</t>
    <rPh sb="0" eb="1">
      <t>キタ</t>
    </rPh>
    <rPh sb="1" eb="2">
      <t>ダテ</t>
    </rPh>
    <rPh sb="2" eb="4">
      <t>ドケン</t>
    </rPh>
    <rPh sb="5" eb="9">
      <t>カブシキガイシャ</t>
    </rPh>
    <phoneticPr fontId="4"/>
  </si>
  <si>
    <t>北建土建 株式会社</t>
    <phoneticPr fontId="4"/>
  </si>
  <si>
    <t>ホクケンドケン カブシキガイシャ</t>
    <phoneticPr fontId="4"/>
  </si>
  <si>
    <t>株式会社 富永建築構造設計事務所</t>
    <rPh sb="0" eb="2">
      <t>カブシキ</t>
    </rPh>
    <rPh sb="2" eb="4">
      <t>カイシャ</t>
    </rPh>
    <rPh sb="5" eb="7">
      <t>トミナガ</t>
    </rPh>
    <rPh sb="7" eb="9">
      <t>ケンチク</t>
    </rPh>
    <rPh sb="9" eb="11">
      <t>コウゾウ</t>
    </rPh>
    <rPh sb="11" eb="13">
      <t>セッケイ</t>
    </rPh>
    <rPh sb="13" eb="15">
      <t>ジム</t>
    </rPh>
    <rPh sb="15" eb="16">
      <t>ショ</t>
    </rPh>
    <phoneticPr fontId="4"/>
  </si>
  <si>
    <t>株式会社 富永建築構造設計事務所</t>
    <phoneticPr fontId="4"/>
  </si>
  <si>
    <t>カブシキガイシャ トミナガケンチクコウゾウセッケイジムショ</t>
    <phoneticPr fontId="4"/>
  </si>
  <si>
    <t>株式会社 アークリエイト</t>
    <phoneticPr fontId="4"/>
  </si>
  <si>
    <t>ユーイック UHEC 株式会社 都市居住評価センター</t>
    <phoneticPr fontId="4"/>
  </si>
  <si>
    <t>べた</t>
    <phoneticPr fontId="4"/>
  </si>
  <si>
    <t>株式会社 片平設計</t>
    <rPh sb="0" eb="2">
      <t>カブシキ</t>
    </rPh>
    <rPh sb="2" eb="4">
      <t>カイシャ</t>
    </rPh>
    <rPh sb="5" eb="7">
      <t>カタヒラ</t>
    </rPh>
    <rPh sb="7" eb="9">
      <t>セッケイ</t>
    </rPh>
    <phoneticPr fontId="4"/>
  </si>
  <si>
    <t>株式会社 片平設計</t>
    <phoneticPr fontId="4"/>
  </si>
  <si>
    <t>カブシキガイシャ カタヒラセッケイ</t>
    <phoneticPr fontId="4"/>
  </si>
  <si>
    <t>日本テクノロジーソリューション</t>
    <rPh sb="0" eb="2">
      <t>ニホン</t>
    </rPh>
    <phoneticPr fontId="4"/>
  </si>
  <si>
    <t>中央区港町南町</t>
    <rPh sb="0" eb="3">
      <t>チュウオウク</t>
    </rPh>
    <rPh sb="3" eb="5">
      <t>ミナトマチ</t>
    </rPh>
    <rPh sb="5" eb="6">
      <t>ミナミ</t>
    </rPh>
    <rPh sb="6" eb="7">
      <t>マチ</t>
    </rPh>
    <phoneticPr fontId="4"/>
  </si>
  <si>
    <t>株式会社 タカヤ</t>
    <phoneticPr fontId="4"/>
  </si>
  <si>
    <t>株式会社 タカヤ</t>
    <phoneticPr fontId="4"/>
  </si>
  <si>
    <t>アクティオ千葉</t>
    <rPh sb="5" eb="7">
      <t>チバ</t>
    </rPh>
    <phoneticPr fontId="4"/>
  </si>
  <si>
    <t>6m</t>
    <phoneticPr fontId="4"/>
  </si>
  <si>
    <t>1m</t>
    <phoneticPr fontId="4"/>
  </si>
  <si>
    <t>7m</t>
    <phoneticPr fontId="4"/>
  </si>
  <si>
    <t>6m</t>
    <phoneticPr fontId="4"/>
  </si>
  <si>
    <t>和田</t>
    <rPh sb="0" eb="2">
      <t>ワダ</t>
    </rPh>
    <phoneticPr fontId="4"/>
  </si>
  <si>
    <t>ユイ</t>
    <phoneticPr fontId="4"/>
  </si>
  <si>
    <t>ハウスプラス確認検査 株式会社</t>
    <phoneticPr fontId="4"/>
  </si>
  <si>
    <t>株式会社 I.E.C建築研究所</t>
    <phoneticPr fontId="4"/>
  </si>
  <si>
    <t>広島市</t>
    <phoneticPr fontId="4"/>
  </si>
  <si>
    <t>西区扇</t>
    <rPh sb="2" eb="3">
      <t>オオギ</t>
    </rPh>
    <phoneticPr fontId="4"/>
  </si>
  <si>
    <t>14m</t>
    <phoneticPr fontId="4"/>
  </si>
  <si>
    <t>7m</t>
    <phoneticPr fontId="4"/>
  </si>
  <si>
    <t>ｼﾙﾄ混り砂</t>
    <rPh sb="3" eb="4">
      <t>マ</t>
    </rPh>
    <rPh sb="5" eb="6">
      <t>スナ</t>
    </rPh>
    <phoneticPr fontId="4"/>
  </si>
  <si>
    <t>構設一級建築士事務所</t>
    <phoneticPr fontId="4"/>
  </si>
  <si>
    <t>構設一級建築士事務所</t>
    <phoneticPr fontId="4"/>
  </si>
  <si>
    <t>コウセツイッキュウケンチクシジムショ</t>
    <phoneticPr fontId="4"/>
  </si>
  <si>
    <t>株式会社 北日本建築検査機構</t>
    <phoneticPr fontId="4"/>
  </si>
  <si>
    <t>粘土質砂礫</t>
    <rPh sb="0" eb="3">
      <t>ネンドシツ</t>
    </rPh>
    <rPh sb="3" eb="5">
      <t>サレキ</t>
    </rPh>
    <phoneticPr fontId="4"/>
  </si>
  <si>
    <t>砂質粘土</t>
    <rPh sb="0" eb="1">
      <t>サ</t>
    </rPh>
    <rPh sb="1" eb="2">
      <t>シツ</t>
    </rPh>
    <rPh sb="2" eb="4">
      <t>ネンド</t>
    </rPh>
    <phoneticPr fontId="4"/>
  </si>
  <si>
    <t>財団法人 山口県建築住宅センター</t>
    <rPh sb="0" eb="2">
      <t>ザイダン</t>
    </rPh>
    <rPh sb="2" eb="4">
      <t>ホウジン</t>
    </rPh>
    <rPh sb="5" eb="8">
      <t>ヤマグチケン</t>
    </rPh>
    <rPh sb="8" eb="10">
      <t>ケンチク</t>
    </rPh>
    <rPh sb="10" eb="12">
      <t>ジュウタク</t>
    </rPh>
    <phoneticPr fontId="4"/>
  </si>
  <si>
    <t>財団法人 山口県建築住宅センター</t>
    <phoneticPr fontId="4"/>
  </si>
  <si>
    <t>野間</t>
    <rPh sb="0" eb="2">
      <t>ノマ</t>
    </rPh>
    <phoneticPr fontId="4"/>
  </si>
  <si>
    <t>大田</t>
    <rPh sb="0" eb="2">
      <t>オオタ</t>
    </rPh>
    <phoneticPr fontId="4"/>
  </si>
  <si>
    <t>沖本</t>
    <rPh sb="0" eb="2">
      <t>オキモト</t>
    </rPh>
    <phoneticPr fontId="4"/>
  </si>
  <si>
    <t>市原市</t>
    <rPh sb="0" eb="3">
      <t>イチハラシ</t>
    </rPh>
    <phoneticPr fontId="4"/>
  </si>
  <si>
    <t>八幡浦</t>
    <rPh sb="0" eb="2">
      <t>ヤハタ</t>
    </rPh>
    <rPh sb="2" eb="3">
      <t>ウラ</t>
    </rPh>
    <phoneticPr fontId="4"/>
  </si>
  <si>
    <t>学建工業 株式会社</t>
    <rPh sb="0" eb="1">
      <t>ガク</t>
    </rPh>
    <rPh sb="1" eb="2">
      <t>ダテ</t>
    </rPh>
    <rPh sb="2" eb="4">
      <t>コウギョウ</t>
    </rPh>
    <rPh sb="5" eb="9">
      <t>カブシキガイシャ</t>
    </rPh>
    <phoneticPr fontId="4"/>
  </si>
  <si>
    <t>学建工業 株式会社</t>
    <phoneticPr fontId="4"/>
  </si>
  <si>
    <t>ガッケンコウギョウ カブシキガイシャ</t>
    <phoneticPr fontId="4"/>
  </si>
  <si>
    <t>株式会社 建築住宅センター(青森)</t>
    <rPh sb="0" eb="2">
      <t>カブシキ</t>
    </rPh>
    <rPh sb="2" eb="4">
      <t>カイシャ</t>
    </rPh>
    <rPh sb="5" eb="7">
      <t>ケンチク</t>
    </rPh>
    <rPh sb="7" eb="9">
      <t>ジュウタク</t>
    </rPh>
    <rPh sb="14" eb="16">
      <t>アオモリ</t>
    </rPh>
    <phoneticPr fontId="4"/>
  </si>
  <si>
    <t>営業
担当者</t>
    <rPh sb="0" eb="2">
      <t>エイギョウ</t>
    </rPh>
    <rPh sb="3" eb="6">
      <t>タントウシャ</t>
    </rPh>
    <phoneticPr fontId="4"/>
  </si>
  <si>
    <t>変更履歴</t>
    <rPh sb="0" eb="2">
      <t>ヘンコウ</t>
    </rPh>
    <rPh sb="2" eb="4">
      <t>リレキ</t>
    </rPh>
    <phoneticPr fontId="4"/>
  </si>
  <si>
    <t>埋設文化財</t>
    <rPh sb="0" eb="2">
      <t>マイセツ</t>
    </rPh>
    <rPh sb="2" eb="5">
      <t>ブンカザイ</t>
    </rPh>
    <phoneticPr fontId="4"/>
  </si>
  <si>
    <t>盛土・玉石混り土</t>
    <rPh sb="0" eb="1">
      <t>モリ</t>
    </rPh>
    <rPh sb="1" eb="2">
      <t>ド</t>
    </rPh>
    <rPh sb="3" eb="5">
      <t>タマイシ</t>
    </rPh>
    <rPh sb="5" eb="6">
      <t>マ</t>
    </rPh>
    <rPh sb="7" eb="8">
      <t>ド</t>
    </rPh>
    <phoneticPr fontId="4"/>
  </si>
  <si>
    <t>釧路厚生社 発酵2号棟</t>
    <rPh sb="0" eb="2">
      <t>クシロ</t>
    </rPh>
    <rPh sb="2" eb="4">
      <t>コウセイ</t>
    </rPh>
    <rPh sb="4" eb="5">
      <t>シャ</t>
    </rPh>
    <rPh sb="6" eb="8">
      <t>ハッコウ</t>
    </rPh>
    <rPh sb="9" eb="11">
      <t>ゴウトウ</t>
    </rPh>
    <phoneticPr fontId="4"/>
  </si>
  <si>
    <t>新野</t>
    <rPh sb="0" eb="2">
      <t>シンノ</t>
    </rPh>
    <phoneticPr fontId="4"/>
  </si>
  <si>
    <t>1m</t>
    <phoneticPr fontId="4"/>
  </si>
  <si>
    <t>盛土・礫混じりｼﾙﾄ</t>
    <rPh sb="0" eb="1">
      <t>モリ</t>
    </rPh>
    <rPh sb="1" eb="2">
      <t>ド</t>
    </rPh>
    <rPh sb="3" eb="4">
      <t>レキ</t>
    </rPh>
    <rPh sb="4" eb="5">
      <t>マ</t>
    </rPh>
    <phoneticPr fontId="4"/>
  </si>
  <si>
    <t>2m</t>
    <phoneticPr fontId="4"/>
  </si>
  <si>
    <t>工場等</t>
    <rPh sb="0" eb="2">
      <t>コウジョウ</t>
    </rPh>
    <rPh sb="2" eb="3">
      <t>トウ</t>
    </rPh>
    <phoneticPr fontId="4"/>
  </si>
  <si>
    <t>礫混り砂(盛土)</t>
    <rPh sb="0" eb="1">
      <t>レキ</t>
    </rPh>
    <rPh sb="1" eb="2">
      <t>マ</t>
    </rPh>
    <rPh sb="3" eb="4">
      <t>スナ</t>
    </rPh>
    <rPh sb="5" eb="6">
      <t>モリ</t>
    </rPh>
    <rPh sb="6" eb="7">
      <t>ド</t>
    </rPh>
    <phoneticPr fontId="4"/>
  </si>
  <si>
    <t>砂(盛土)</t>
    <rPh sb="0" eb="1">
      <t>スナ</t>
    </rPh>
    <rPh sb="2" eb="3">
      <t>モリ</t>
    </rPh>
    <rPh sb="3" eb="4">
      <t>ド</t>
    </rPh>
    <phoneticPr fontId="4"/>
  </si>
  <si>
    <t>独立(TREO)</t>
    <rPh sb="0" eb="2">
      <t>ドクリツ</t>
    </rPh>
    <phoneticPr fontId="4"/>
  </si>
  <si>
    <t>ｼﾙﾄ</t>
    <phoneticPr fontId="4"/>
  </si>
  <si>
    <t>盛土・礫混じり砂</t>
    <rPh sb="0" eb="1">
      <t>モリ</t>
    </rPh>
    <rPh sb="1" eb="2">
      <t>ド</t>
    </rPh>
    <rPh sb="3" eb="4">
      <t>レキ</t>
    </rPh>
    <rPh sb="4" eb="5">
      <t>マ</t>
    </rPh>
    <rPh sb="7" eb="8">
      <t>スナ</t>
    </rPh>
    <phoneticPr fontId="4"/>
  </si>
  <si>
    <t>シルト質粘土</t>
    <rPh sb="3" eb="4">
      <t>シツ</t>
    </rPh>
    <rPh sb="4" eb="6">
      <t>ネンド</t>
    </rPh>
    <phoneticPr fontId="4"/>
  </si>
  <si>
    <t>砂礫・細砂</t>
    <rPh sb="0" eb="2">
      <t>サレキ</t>
    </rPh>
    <rPh sb="3" eb="4">
      <t>サイ</t>
    </rPh>
    <rPh sb="4" eb="5">
      <t>スナ</t>
    </rPh>
    <phoneticPr fontId="4"/>
  </si>
  <si>
    <t>盛土(玉石混じり砂礫)</t>
    <rPh sb="0" eb="1">
      <t>モリ</t>
    </rPh>
    <rPh sb="1" eb="2">
      <t>ド</t>
    </rPh>
    <rPh sb="3" eb="5">
      <t>タマイシ</t>
    </rPh>
    <rPh sb="5" eb="6">
      <t>マ</t>
    </rPh>
    <rPh sb="8" eb="10">
      <t>サレキ</t>
    </rPh>
    <phoneticPr fontId="4"/>
  </si>
  <si>
    <t>ｼﾙﾄ</t>
    <phoneticPr fontId="4"/>
  </si>
  <si>
    <t>盛土・粘土質砂礫</t>
    <rPh sb="0" eb="1">
      <t>モリ</t>
    </rPh>
    <rPh sb="1" eb="2">
      <t>ド</t>
    </rPh>
    <rPh sb="3" eb="6">
      <t>ネンドシツ</t>
    </rPh>
    <rPh sb="6" eb="8">
      <t>サレキ</t>
    </rPh>
    <phoneticPr fontId="4"/>
  </si>
  <si>
    <t>道路・空地・ﾋﾞﾙ</t>
    <rPh sb="0" eb="2">
      <t>ドウロ</t>
    </rPh>
    <rPh sb="3" eb="5">
      <t>クウチ</t>
    </rPh>
    <phoneticPr fontId="4"/>
  </si>
  <si>
    <t>冷凍庫
温度</t>
    <rPh sb="0" eb="3">
      <t>レイトウコ</t>
    </rPh>
    <rPh sb="4" eb="6">
      <t>オンド</t>
    </rPh>
    <phoneticPr fontId="4"/>
  </si>
  <si>
    <t>設計
担当</t>
    <rPh sb="0" eb="2">
      <t>セッケイ</t>
    </rPh>
    <rPh sb="3" eb="5">
      <t>タントウ</t>
    </rPh>
    <phoneticPr fontId="4"/>
  </si>
  <si>
    <t>営業
担当</t>
    <rPh sb="0" eb="2">
      <t>エイギョウ</t>
    </rPh>
    <rPh sb="3" eb="5">
      <t>タントウ</t>
    </rPh>
    <phoneticPr fontId="4"/>
  </si>
  <si>
    <t>大勢シェル工場</t>
    <rPh sb="0" eb="1">
      <t>オオ</t>
    </rPh>
    <rPh sb="1" eb="2">
      <t>イキオ</t>
    </rPh>
    <rPh sb="5" eb="7">
      <t>コウジョウ</t>
    </rPh>
    <phoneticPr fontId="4"/>
  </si>
  <si>
    <t>松江市</t>
    <phoneticPr fontId="4"/>
  </si>
  <si>
    <t>東出雲町揖屋</t>
    <rPh sb="0" eb="1">
      <t>ヒガシ</t>
    </rPh>
    <rPh sb="1" eb="3">
      <t>イズモ</t>
    </rPh>
    <rPh sb="3" eb="4">
      <t>マチ</t>
    </rPh>
    <rPh sb="4" eb="5">
      <t>イ</t>
    </rPh>
    <rPh sb="5" eb="6">
      <t>ヤ</t>
    </rPh>
    <phoneticPr fontId="4"/>
  </si>
  <si>
    <t>蔵本総建コンサルタント</t>
    <rPh sb="0" eb="2">
      <t>ゾウホン</t>
    </rPh>
    <rPh sb="2" eb="3">
      <t>フサ</t>
    </rPh>
    <rPh sb="3" eb="4">
      <t>ダテ</t>
    </rPh>
    <phoneticPr fontId="4"/>
  </si>
  <si>
    <t>蔵本総建コンサルタント</t>
    <phoneticPr fontId="4"/>
  </si>
  <si>
    <t>クラモトソウケンコンサルタント</t>
    <phoneticPr fontId="4"/>
  </si>
  <si>
    <t>5m</t>
    <phoneticPr fontId="4"/>
  </si>
  <si>
    <t>11m</t>
    <phoneticPr fontId="4"/>
  </si>
  <si>
    <t>-</t>
    <phoneticPr fontId="4"/>
  </si>
  <si>
    <t>地盤改良
面積
[㎡]</t>
    <rPh sb="0" eb="2">
      <t>ジバン</t>
    </rPh>
    <rPh sb="2" eb="4">
      <t>カイリョウ</t>
    </rPh>
    <rPh sb="5" eb="7">
      <t>メンセキ</t>
    </rPh>
    <phoneticPr fontId="4"/>
  </si>
  <si>
    <t>その他 敷地状況等</t>
    <rPh sb="2" eb="3">
      <t>タ</t>
    </rPh>
    <rPh sb="4" eb="6">
      <t>シキチ</t>
    </rPh>
    <rPh sb="6" eb="8">
      <t>ジョウキョウ</t>
    </rPh>
    <rPh sb="8" eb="9">
      <t>トウ</t>
    </rPh>
    <phoneticPr fontId="4"/>
  </si>
  <si>
    <t>竹岡</t>
    <rPh sb="0" eb="2">
      <t>タケオカ</t>
    </rPh>
    <phoneticPr fontId="4"/>
  </si>
  <si>
    <t>ユイ</t>
    <phoneticPr fontId="4"/>
  </si>
  <si>
    <t>HO-HOUSE</t>
    <phoneticPr fontId="4"/>
  </si>
  <si>
    <t>窪田建築アトリエ</t>
    <phoneticPr fontId="4"/>
  </si>
  <si>
    <t>計算書</t>
    <rPh sb="0" eb="3">
      <t>ケイサンショ</t>
    </rPh>
    <phoneticPr fontId="4"/>
  </si>
  <si>
    <t>ｼﾙﾄ</t>
    <phoneticPr fontId="4"/>
  </si>
  <si>
    <t>-</t>
    <phoneticPr fontId="4"/>
  </si>
  <si>
    <t>-</t>
    <phoneticPr fontId="4"/>
  </si>
  <si>
    <t>-</t>
    <phoneticPr fontId="4"/>
  </si>
  <si>
    <t>-</t>
    <phoneticPr fontId="4"/>
  </si>
  <si>
    <t>-20,-50</t>
    <phoneticPr fontId="4"/>
  </si>
  <si>
    <t>ユイ</t>
    <phoneticPr fontId="4"/>
  </si>
  <si>
    <t>ユイ</t>
    <phoneticPr fontId="4"/>
  </si>
  <si>
    <t>ユイ</t>
    <phoneticPr fontId="4"/>
  </si>
  <si>
    <t>尾川</t>
    <rPh sb="0" eb="2">
      <t>オガワ</t>
    </rPh>
    <phoneticPr fontId="4"/>
  </si>
  <si>
    <t>西四国マツダ高知中央</t>
    <rPh sb="0" eb="1">
      <t>ニシ</t>
    </rPh>
    <rPh sb="1" eb="3">
      <t>シコク</t>
    </rPh>
    <rPh sb="6" eb="8">
      <t>コウチ</t>
    </rPh>
    <rPh sb="8" eb="10">
      <t>チュウオウ</t>
    </rPh>
    <phoneticPr fontId="4"/>
  </si>
  <si>
    <t>高知市</t>
    <rPh sb="0" eb="3">
      <t>コウチシ</t>
    </rPh>
    <phoneticPr fontId="4"/>
  </si>
  <si>
    <t>株式会社 キュウアンドキュウ設計</t>
    <phoneticPr fontId="4"/>
  </si>
  <si>
    <t>株式会社 キュウアンドキュウ設計</t>
    <phoneticPr fontId="4"/>
  </si>
  <si>
    <t>ｼﾙﾄ</t>
    <phoneticPr fontId="4"/>
  </si>
  <si>
    <t>9m</t>
    <phoneticPr fontId="4"/>
  </si>
  <si>
    <t>山名
和田</t>
    <rPh sb="0" eb="2">
      <t>ヤマナ</t>
    </rPh>
    <rPh sb="3" eb="5">
      <t>ワダ</t>
    </rPh>
    <phoneticPr fontId="4"/>
  </si>
  <si>
    <t>財団法人 日本建築設備・昇降機センター</t>
    <phoneticPr fontId="4"/>
  </si>
  <si>
    <t>北海道 上川振興局</t>
    <rPh sb="0" eb="3">
      <t>ホッカイドウ</t>
    </rPh>
    <phoneticPr fontId="4"/>
  </si>
  <si>
    <t>北海道 上川振興局</t>
    <phoneticPr fontId="4"/>
  </si>
  <si>
    <t>確認機関</t>
    <rPh sb="0" eb="2">
      <t>カクニン</t>
    </rPh>
    <rPh sb="2" eb="4">
      <t>キカン</t>
    </rPh>
    <phoneticPr fontId="4"/>
  </si>
  <si>
    <t>適判機関</t>
    <rPh sb="0" eb="1">
      <t>テキ</t>
    </rPh>
    <rPh sb="1" eb="2">
      <t>ハン</t>
    </rPh>
    <rPh sb="2" eb="4">
      <t>キカン</t>
    </rPh>
    <phoneticPr fontId="4"/>
  </si>
  <si>
    <t>香川県</t>
    <rPh sb="0" eb="3">
      <t>カガワケン</t>
    </rPh>
    <phoneticPr fontId="4"/>
  </si>
  <si>
    <t>小豆郡</t>
    <rPh sb="0" eb="2">
      <t>アズキ</t>
    </rPh>
    <rPh sb="2" eb="3">
      <t>グン</t>
    </rPh>
    <phoneticPr fontId="4"/>
  </si>
  <si>
    <t>土庄町甲</t>
    <rPh sb="0" eb="1">
      <t>ツチ</t>
    </rPh>
    <rPh sb="1" eb="2">
      <t>ショウ</t>
    </rPh>
    <rPh sb="2" eb="3">
      <t>マチ</t>
    </rPh>
    <rPh sb="3" eb="4">
      <t>コウ</t>
    </rPh>
    <phoneticPr fontId="4"/>
  </si>
  <si>
    <t>搾油工場</t>
    <rPh sb="0" eb="2">
      <t>サクユ</t>
    </rPh>
    <rPh sb="2" eb="4">
      <t>コウジョウ</t>
    </rPh>
    <phoneticPr fontId="4"/>
  </si>
  <si>
    <t>アイサワ工業 株式会社</t>
    <rPh sb="4" eb="6">
      <t>コウギョウ</t>
    </rPh>
    <rPh sb="7" eb="9">
      <t>カブシキ</t>
    </rPh>
    <rPh sb="9" eb="11">
      <t>カイシャ</t>
    </rPh>
    <phoneticPr fontId="4"/>
  </si>
  <si>
    <t>アイサワ工業 株式会社</t>
    <phoneticPr fontId="4"/>
  </si>
  <si>
    <t>アイサワコウギョウ カブシキガイシャ</t>
    <phoneticPr fontId="4"/>
  </si>
  <si>
    <t>3m</t>
    <phoneticPr fontId="4"/>
  </si>
  <si>
    <t>1m</t>
    <phoneticPr fontId="4"/>
  </si>
  <si>
    <t>7m</t>
    <phoneticPr fontId="4"/>
  </si>
  <si>
    <t>ｼﾙﾄ混じり礫質土</t>
    <rPh sb="3" eb="4">
      <t>マ</t>
    </rPh>
    <rPh sb="6" eb="7">
      <t>レキ</t>
    </rPh>
    <rPh sb="7" eb="8">
      <t>シツ</t>
    </rPh>
    <rPh sb="8" eb="9">
      <t>ド</t>
    </rPh>
    <phoneticPr fontId="4"/>
  </si>
  <si>
    <t>3m</t>
    <phoneticPr fontId="4"/>
  </si>
  <si>
    <t>盛土・ｼﾙﾄ混り砂</t>
    <rPh sb="0" eb="1">
      <t>モリ</t>
    </rPh>
    <rPh sb="1" eb="2">
      <t>ド</t>
    </rPh>
    <rPh sb="6" eb="7">
      <t>マ</t>
    </rPh>
    <rPh sb="8" eb="9">
      <t>スナ</t>
    </rPh>
    <phoneticPr fontId="4"/>
  </si>
  <si>
    <t>和歌山市</t>
    <phoneticPr fontId="4"/>
  </si>
  <si>
    <t>狐島字東淀屋</t>
    <rPh sb="0" eb="1">
      <t>キツネ</t>
    </rPh>
    <rPh sb="1" eb="2">
      <t>シマ</t>
    </rPh>
    <rPh sb="2" eb="3">
      <t>アザ</t>
    </rPh>
    <rPh sb="3" eb="4">
      <t>ヒガシ</t>
    </rPh>
    <rPh sb="4" eb="5">
      <t>ヨド</t>
    </rPh>
    <rPh sb="5" eb="6">
      <t>ヤ</t>
    </rPh>
    <phoneticPr fontId="4"/>
  </si>
  <si>
    <t>三原設計 株式会社</t>
    <rPh sb="0" eb="2">
      <t>ミハラ</t>
    </rPh>
    <rPh sb="2" eb="4">
      <t>セッケイ</t>
    </rPh>
    <rPh sb="5" eb="7">
      <t>カブシキ</t>
    </rPh>
    <rPh sb="7" eb="9">
      <t>カイシャ</t>
    </rPh>
    <phoneticPr fontId="4"/>
  </si>
  <si>
    <t>三原設計 株式会社</t>
    <phoneticPr fontId="4"/>
  </si>
  <si>
    <t>ミハラセッケイ カブシキガイシャ</t>
    <phoneticPr fontId="4"/>
  </si>
  <si>
    <t>株式会社 黒田組</t>
    <rPh sb="0" eb="2">
      <t>カブシキ</t>
    </rPh>
    <rPh sb="2" eb="4">
      <t>カイシャ</t>
    </rPh>
    <rPh sb="5" eb="7">
      <t>クロダ</t>
    </rPh>
    <rPh sb="7" eb="8">
      <t>クミ</t>
    </rPh>
    <phoneticPr fontId="4"/>
  </si>
  <si>
    <t>株式会社 黒田組</t>
    <phoneticPr fontId="4"/>
  </si>
  <si>
    <t>カブシキガイシャ クロダグミ</t>
    <phoneticPr fontId="4"/>
  </si>
  <si>
    <t>設計案件状況1/2</t>
    <rPh sb="0" eb="2">
      <t>セッケイ</t>
    </rPh>
    <rPh sb="2" eb="4">
      <t>アンケン</t>
    </rPh>
    <rPh sb="4" eb="6">
      <t>ジョウキョウ</t>
    </rPh>
    <phoneticPr fontId="4"/>
  </si>
  <si>
    <t>設計案件状況2/2</t>
    <rPh sb="0" eb="2">
      <t>セッケイ</t>
    </rPh>
    <rPh sb="2" eb="4">
      <t>アンケン</t>
    </rPh>
    <rPh sb="4" eb="6">
      <t>ジョウキョウ</t>
    </rPh>
    <phoneticPr fontId="4"/>
  </si>
  <si>
    <t>兵庫県</t>
    <phoneticPr fontId="4"/>
  </si>
  <si>
    <t>武庫山</t>
    <rPh sb="0" eb="3">
      <t>ムコヤマ</t>
    </rPh>
    <phoneticPr fontId="4"/>
  </si>
  <si>
    <t>1</t>
    <phoneticPr fontId="4"/>
  </si>
  <si>
    <t>玉石混り砂礫</t>
    <rPh sb="0" eb="2">
      <t>タマイシ</t>
    </rPh>
    <rPh sb="2" eb="3">
      <t>マ</t>
    </rPh>
    <rPh sb="4" eb="6">
      <t>サレキ</t>
    </rPh>
    <phoneticPr fontId="4"/>
  </si>
  <si>
    <t>ﾎﾟﾙｼｪｾﾝﾀｰ岡山ｼｮｰﾙｰﾑ</t>
    <rPh sb="9" eb="11">
      <t>オカヤマ</t>
    </rPh>
    <phoneticPr fontId="4"/>
  </si>
  <si>
    <t>岡山県</t>
    <phoneticPr fontId="4"/>
  </si>
  <si>
    <t>岡山市</t>
    <rPh sb="0" eb="3">
      <t>オカヤマシ</t>
    </rPh>
    <phoneticPr fontId="4"/>
  </si>
  <si>
    <t>積水ハウス 株式会社</t>
    <rPh sb="0" eb="2">
      <t>セキスイ</t>
    </rPh>
    <rPh sb="6" eb="8">
      <t>カブシキ</t>
    </rPh>
    <rPh sb="8" eb="10">
      <t>カイシャ</t>
    </rPh>
    <phoneticPr fontId="4"/>
  </si>
  <si>
    <t>セキスイハウス カブシキガイシャ</t>
    <phoneticPr fontId="4"/>
  </si>
  <si>
    <t>粘土混じりｼﾙﾄ</t>
    <rPh sb="0" eb="2">
      <t>ネンド</t>
    </rPh>
    <rPh sb="2" eb="3">
      <t>マ</t>
    </rPh>
    <phoneticPr fontId="4"/>
  </si>
  <si>
    <t>5m</t>
    <phoneticPr fontId="4"/>
  </si>
  <si>
    <t>○</t>
    <phoneticPr fontId="4"/>
  </si>
  <si>
    <t>擁壁</t>
    <rPh sb="0" eb="1">
      <t>ヨウ</t>
    </rPh>
    <rPh sb="1" eb="2">
      <t>ヘキ</t>
    </rPh>
    <phoneticPr fontId="4"/>
  </si>
  <si>
    <t>2</t>
    <phoneticPr fontId="4"/>
  </si>
  <si>
    <t>株式会社 Ｊ 建築検査センター</t>
    <phoneticPr fontId="4"/>
  </si>
  <si>
    <t>株式会社 東京建築検査機構</t>
    <phoneticPr fontId="4"/>
  </si>
  <si>
    <t>株式会社 ADO建築設計事務所</t>
    <rPh sb="0" eb="2">
      <t>カブシキ</t>
    </rPh>
    <rPh sb="2" eb="4">
      <t>カイシャ</t>
    </rPh>
    <rPh sb="8" eb="10">
      <t>ケンチク</t>
    </rPh>
    <rPh sb="10" eb="12">
      <t>セッケイ</t>
    </rPh>
    <rPh sb="12" eb="14">
      <t>ジム</t>
    </rPh>
    <rPh sb="14" eb="15">
      <t>ショ</t>
    </rPh>
    <phoneticPr fontId="4"/>
  </si>
  <si>
    <t>株式会社 ADO建築設計事務所</t>
    <phoneticPr fontId="4"/>
  </si>
  <si>
    <t>カブシキガイシャ ADOケンチクセッケイジムショ</t>
    <phoneticPr fontId="4"/>
  </si>
  <si>
    <t>-</t>
    <phoneticPr fontId="4"/>
  </si>
  <si>
    <t>工場等</t>
    <rPh sb="0" eb="2">
      <t>コウジョウ</t>
    </rPh>
    <rPh sb="2" eb="3">
      <t>ナド</t>
    </rPh>
    <phoneticPr fontId="4"/>
  </si>
  <si>
    <t>長岡</t>
    <rPh sb="0" eb="2">
      <t>ナガオカ</t>
    </rPh>
    <phoneticPr fontId="4"/>
  </si>
  <si>
    <t>RC造</t>
    <phoneticPr fontId="4"/>
  </si>
  <si>
    <t>学校</t>
    <rPh sb="0" eb="2">
      <t>ガッコウ</t>
    </rPh>
    <phoneticPr fontId="4"/>
  </si>
  <si>
    <t>崩積土</t>
    <rPh sb="0" eb="1">
      <t>ホウ</t>
    </rPh>
    <rPh sb="1" eb="2">
      <t>セキ</t>
    </rPh>
    <rPh sb="2" eb="3">
      <t>ド</t>
    </rPh>
    <phoneticPr fontId="4"/>
  </si>
  <si>
    <t>2m</t>
    <phoneticPr fontId="4"/>
  </si>
  <si>
    <t>3m</t>
    <phoneticPr fontId="4"/>
  </si>
  <si>
    <t>風化凝灰岩</t>
    <rPh sb="0" eb="2">
      <t>フウカ</t>
    </rPh>
    <rPh sb="2" eb="5">
      <t>ギョウカイガン</t>
    </rPh>
    <phoneticPr fontId="4"/>
  </si>
  <si>
    <t>シルト質微細砂</t>
    <rPh sb="3" eb="4">
      <t>シツ</t>
    </rPh>
    <rPh sb="4" eb="5">
      <t>ビ</t>
    </rPh>
    <rPh sb="5" eb="6">
      <t>サイ</t>
    </rPh>
    <rPh sb="6" eb="7">
      <t>サ</t>
    </rPh>
    <phoneticPr fontId="4"/>
  </si>
  <si>
    <t>3m</t>
    <phoneticPr fontId="4"/>
  </si>
  <si>
    <t>5m</t>
    <phoneticPr fontId="4"/>
  </si>
  <si>
    <t>盛土･砂礫</t>
    <rPh sb="0" eb="1">
      <t>モリ</t>
    </rPh>
    <rPh sb="1" eb="2">
      <t>ド</t>
    </rPh>
    <rPh sb="3" eb="5">
      <t>サレキ</t>
    </rPh>
    <phoneticPr fontId="4"/>
  </si>
  <si>
    <t>砂質シルト</t>
    <rPh sb="0" eb="1">
      <t>サ</t>
    </rPh>
    <rPh sb="1" eb="2">
      <t>シツ</t>
    </rPh>
    <phoneticPr fontId="4"/>
  </si>
  <si>
    <t>-</t>
    <phoneticPr fontId="4"/>
  </si>
  <si>
    <t>-</t>
    <phoneticPr fontId="4"/>
  </si>
  <si>
    <t>-</t>
    <phoneticPr fontId="4"/>
  </si>
  <si>
    <t>-</t>
    <phoneticPr fontId="4"/>
  </si>
  <si>
    <t>川岸上</t>
    <rPh sb="0" eb="2">
      <t>カワギシ</t>
    </rPh>
    <rPh sb="2" eb="3">
      <t>ウエ</t>
    </rPh>
    <phoneticPr fontId="4"/>
  </si>
  <si>
    <t>-</t>
    <phoneticPr fontId="4"/>
  </si>
  <si>
    <t>○</t>
    <phoneticPr fontId="4"/>
  </si>
  <si>
    <t>ｷｬﾉﾋﾟｰ4棟+建屋棟+地下ﾀﾝｸ(WT)</t>
    <rPh sb="7" eb="8">
      <t>トウ</t>
    </rPh>
    <rPh sb="9" eb="10">
      <t>タ</t>
    </rPh>
    <rPh sb="10" eb="11">
      <t>ヤ</t>
    </rPh>
    <rPh sb="11" eb="12">
      <t>トウ</t>
    </rPh>
    <rPh sb="13" eb="15">
      <t>チカ</t>
    </rPh>
    <phoneticPr fontId="4"/>
  </si>
  <si>
    <t>工場棟と事務所棟(布基礎)の2棟</t>
    <rPh sb="0" eb="2">
      <t>コウジョウ</t>
    </rPh>
    <rPh sb="2" eb="3">
      <t>トウ</t>
    </rPh>
    <rPh sb="4" eb="6">
      <t>ジム</t>
    </rPh>
    <rPh sb="6" eb="7">
      <t>ショ</t>
    </rPh>
    <rPh sb="7" eb="8">
      <t>トウ</t>
    </rPh>
    <rPh sb="9" eb="10">
      <t>ヌノ</t>
    </rPh>
    <rPh sb="10" eb="12">
      <t>キソ</t>
    </rPh>
    <rPh sb="15" eb="16">
      <t>トウ</t>
    </rPh>
    <phoneticPr fontId="4"/>
  </si>
  <si>
    <t>ｼﾙﾄ</t>
    <phoneticPr fontId="4"/>
  </si>
  <si>
    <t>7m</t>
    <phoneticPr fontId="4"/>
  </si>
  <si>
    <t>財団法人 静岡県建築住宅まちづくりセンター</t>
    <phoneticPr fontId="4"/>
  </si>
  <si>
    <t>静岡県建築技術安心支援センター</t>
    <phoneticPr fontId="4"/>
  </si>
  <si>
    <t>砂質粘性土</t>
    <rPh sb="0" eb="1">
      <t>サ</t>
    </rPh>
    <rPh sb="1" eb="2">
      <t>シツ</t>
    </rPh>
    <rPh sb="2" eb="4">
      <t>ネンセイ</t>
    </rPh>
    <rPh sb="4" eb="5">
      <t>ツチ</t>
    </rPh>
    <phoneticPr fontId="4"/>
  </si>
  <si>
    <t>枚方信用金庫</t>
    <rPh sb="0" eb="1">
      <t>マイ</t>
    </rPh>
    <rPh sb="1" eb="2">
      <t>カタ</t>
    </rPh>
    <rPh sb="2" eb="4">
      <t>シンヨウ</t>
    </rPh>
    <rPh sb="4" eb="6">
      <t>キンコ</t>
    </rPh>
    <phoneticPr fontId="4"/>
  </si>
  <si>
    <t>門真市</t>
    <rPh sb="0" eb="2">
      <t>カドマ</t>
    </rPh>
    <rPh sb="2" eb="3">
      <t>シ</t>
    </rPh>
    <phoneticPr fontId="4"/>
  </si>
  <si>
    <t>下馬伏町</t>
    <rPh sb="0" eb="1">
      <t>シタ</t>
    </rPh>
    <rPh sb="1" eb="2">
      <t>ウマ</t>
    </rPh>
    <rPh sb="2" eb="3">
      <t>フ</t>
    </rPh>
    <rPh sb="3" eb="4">
      <t>マチ</t>
    </rPh>
    <phoneticPr fontId="4"/>
  </si>
  <si>
    <t>銀行</t>
    <phoneticPr fontId="4"/>
  </si>
  <si>
    <t>株式会社 伸構造事務所</t>
    <phoneticPr fontId="4"/>
  </si>
  <si>
    <t>9m</t>
    <phoneticPr fontId="4"/>
  </si>
  <si>
    <t>2m</t>
    <phoneticPr fontId="4"/>
  </si>
  <si>
    <t>財団法人 宮城県建築住宅センター</t>
    <phoneticPr fontId="4"/>
  </si>
  <si>
    <t>-</t>
    <phoneticPr fontId="4"/>
  </si>
  <si>
    <t>○</t>
    <phoneticPr fontId="4"/>
  </si>
  <si>
    <t>○</t>
    <phoneticPr fontId="4"/>
  </si>
  <si>
    <t>道路・ﾋﾞﾙ</t>
    <rPh sb="0" eb="2">
      <t>ドウロ</t>
    </rPh>
    <phoneticPr fontId="4"/>
  </si>
  <si>
    <t>N=0
層</t>
    <rPh sb="4" eb="5">
      <t>ソウ</t>
    </rPh>
    <phoneticPr fontId="4"/>
  </si>
  <si>
    <t>確認
申請
提出日</t>
    <rPh sb="0" eb="2">
      <t>カクニン</t>
    </rPh>
    <rPh sb="3" eb="5">
      <t>シンセイ</t>
    </rPh>
    <rPh sb="6" eb="8">
      <t>テイシュツ</t>
    </rPh>
    <rPh sb="8" eb="9">
      <t>ヒ</t>
    </rPh>
    <phoneticPr fontId="4"/>
  </si>
  <si>
    <t>山名
村上</t>
    <rPh sb="0" eb="2">
      <t>ヤマナ</t>
    </rPh>
    <rPh sb="3" eb="5">
      <t>ムラカミ</t>
    </rPh>
    <phoneticPr fontId="4"/>
  </si>
  <si>
    <t>あべ構房建築設計事務所</t>
    <phoneticPr fontId="4"/>
  </si>
  <si>
    <t>アベコウボウケンチクセッケイジムショ</t>
    <phoneticPr fontId="4"/>
  </si>
  <si>
    <t>西松建設 株式会社</t>
    <phoneticPr fontId="4"/>
  </si>
  <si>
    <t>ニシマツケンセツ カブシキガイシャ</t>
    <phoneticPr fontId="4"/>
  </si>
  <si>
    <t>株式会社 ジェイ・イー・サポート(東京)</t>
    <rPh sb="17" eb="19">
      <t>トウキョウ</t>
    </rPh>
    <phoneticPr fontId="4"/>
  </si>
  <si>
    <t>株式会社 ジェイ・イー・サポート</t>
    <phoneticPr fontId="4"/>
  </si>
  <si>
    <t>株式会社 ジェイ・イー・サポート</t>
    <phoneticPr fontId="4"/>
  </si>
  <si>
    <t>株式会社 ジェイ・イー・サポート</t>
    <phoneticPr fontId="4"/>
  </si>
  <si>
    <t>株式会社 ジェイ・イー・サポート</t>
    <phoneticPr fontId="4"/>
  </si>
  <si>
    <t>株式会社 ジェイ・イー・サポート</t>
    <rPh sb="0" eb="4">
      <t>カブシキガイシャ</t>
    </rPh>
    <phoneticPr fontId="4"/>
  </si>
  <si>
    <t>A棟、B棟の2棟。既存L型擁壁と近接</t>
    <rPh sb="1" eb="2">
      <t>トウ</t>
    </rPh>
    <rPh sb="4" eb="5">
      <t>トウ</t>
    </rPh>
    <rPh sb="7" eb="8">
      <t>トウ</t>
    </rPh>
    <rPh sb="9" eb="11">
      <t>キソン</t>
    </rPh>
    <rPh sb="12" eb="13">
      <t>ガタ</t>
    </rPh>
    <rPh sb="13" eb="14">
      <t>ヨウ</t>
    </rPh>
    <rPh sb="14" eb="15">
      <t>ヘキ</t>
    </rPh>
    <rPh sb="16" eb="18">
      <t>キンセツ</t>
    </rPh>
    <phoneticPr fontId="4"/>
  </si>
  <si>
    <t>礫混じり粘土</t>
    <rPh sb="0" eb="1">
      <t>レキ</t>
    </rPh>
    <rPh sb="1" eb="2">
      <t>マ</t>
    </rPh>
    <rPh sb="4" eb="6">
      <t>ネンド</t>
    </rPh>
    <phoneticPr fontId="4"/>
  </si>
  <si>
    <t>道路・店舗</t>
    <rPh sb="0" eb="2">
      <t>ドウロ</t>
    </rPh>
    <rPh sb="3" eb="5">
      <t>テンポ</t>
    </rPh>
    <phoneticPr fontId="4"/>
  </si>
  <si>
    <t>4号建築物。以前設計したﾖｰｸﾍﾞﾆﾏﾙ古川、ｾｲﾑｽ古川と同敷地</t>
    <rPh sb="1" eb="2">
      <t>ゴウ</t>
    </rPh>
    <rPh sb="2" eb="5">
      <t>ケンチクブツ</t>
    </rPh>
    <rPh sb="6" eb="8">
      <t>イゼン</t>
    </rPh>
    <rPh sb="8" eb="10">
      <t>セッケイ</t>
    </rPh>
    <rPh sb="20" eb="22">
      <t>フルカワ</t>
    </rPh>
    <rPh sb="27" eb="29">
      <t>フルカワ</t>
    </rPh>
    <rPh sb="30" eb="31">
      <t>ドウ</t>
    </rPh>
    <rPh sb="31" eb="33">
      <t>シキチ</t>
    </rPh>
    <phoneticPr fontId="4"/>
  </si>
  <si>
    <t>塩治町</t>
    <rPh sb="0" eb="1">
      <t>シオ</t>
    </rPh>
    <rPh sb="1" eb="2">
      <t>オサ</t>
    </rPh>
    <rPh sb="2" eb="3">
      <t>マチ</t>
    </rPh>
    <phoneticPr fontId="4"/>
  </si>
  <si>
    <t>島根大学医学部付属病院ｱﾒﾆﾃｨｰ施設</t>
    <rPh sb="0" eb="2">
      <t>シマネ</t>
    </rPh>
    <rPh sb="2" eb="4">
      <t>ダイガク</t>
    </rPh>
    <rPh sb="4" eb="6">
      <t>イガク</t>
    </rPh>
    <rPh sb="6" eb="7">
      <t>ブ</t>
    </rPh>
    <rPh sb="7" eb="9">
      <t>フゾク</t>
    </rPh>
    <rPh sb="9" eb="11">
      <t>ビョウイン</t>
    </rPh>
    <rPh sb="17" eb="19">
      <t>シセツ</t>
    </rPh>
    <phoneticPr fontId="4"/>
  </si>
  <si>
    <t>店舗・集会施設</t>
    <rPh sb="0" eb="2">
      <t>テンポ</t>
    </rPh>
    <rPh sb="3" eb="5">
      <t>シュウカイ</t>
    </rPh>
    <rPh sb="5" eb="7">
      <t>シセツ</t>
    </rPh>
    <phoneticPr fontId="4"/>
  </si>
  <si>
    <t>1m</t>
    <phoneticPr fontId="4"/>
  </si>
  <si>
    <t>2m</t>
    <phoneticPr fontId="4"/>
  </si>
  <si>
    <t>株式会社 日本確認検査センター</t>
    <phoneticPr fontId="4"/>
  </si>
  <si>
    <t>北海道 札幌市</t>
    <rPh sb="0" eb="3">
      <t>ホッカイドウ</t>
    </rPh>
    <rPh sb="4" eb="6">
      <t>サッポロ</t>
    </rPh>
    <rPh sb="6" eb="7">
      <t>シ</t>
    </rPh>
    <phoneticPr fontId="4"/>
  </si>
  <si>
    <t>北海道 札幌市</t>
    <phoneticPr fontId="4"/>
  </si>
  <si>
    <t>青森県 弘前市役所</t>
    <rPh sb="0" eb="3">
      <t>アオモリケン</t>
    </rPh>
    <rPh sb="4" eb="6">
      <t>ヒロサキ</t>
    </rPh>
    <rPh sb="6" eb="9">
      <t>シヤクショ</t>
    </rPh>
    <phoneticPr fontId="4"/>
  </si>
  <si>
    <t>青森県 弘前市役所</t>
    <phoneticPr fontId="4"/>
  </si>
  <si>
    <t>K-eins</t>
    <phoneticPr fontId="4"/>
  </si>
  <si>
    <t>滋賀県</t>
    <phoneticPr fontId="4"/>
  </si>
  <si>
    <t>東大江市</t>
    <rPh sb="0" eb="1">
      <t>ヒガシ</t>
    </rPh>
    <rPh sb="1" eb="3">
      <t>オオエ</t>
    </rPh>
    <rPh sb="3" eb="4">
      <t>シ</t>
    </rPh>
    <phoneticPr fontId="4"/>
  </si>
  <si>
    <t>大清水町</t>
    <rPh sb="0" eb="3">
      <t>オオシミズ</t>
    </rPh>
    <rPh sb="3" eb="4">
      <t>マチ</t>
    </rPh>
    <phoneticPr fontId="4"/>
  </si>
  <si>
    <t>四方建築設計事務所</t>
    <rPh sb="0" eb="2">
      <t>シホウ</t>
    </rPh>
    <rPh sb="2" eb="4">
      <t>ケンチク</t>
    </rPh>
    <rPh sb="4" eb="6">
      <t>セッケイ</t>
    </rPh>
    <rPh sb="6" eb="8">
      <t>ジム</t>
    </rPh>
    <rPh sb="8" eb="9">
      <t>ショ</t>
    </rPh>
    <phoneticPr fontId="4"/>
  </si>
  <si>
    <t>四方建築設計事務所</t>
    <phoneticPr fontId="4"/>
  </si>
  <si>
    <t>シホウケンチクセッケイジムショ</t>
    <phoneticPr fontId="4"/>
  </si>
  <si>
    <t>埋設文化財による掘削制限あり</t>
    <phoneticPr fontId="4"/>
  </si>
  <si>
    <t>地盤改良のみの設計。</t>
    <phoneticPr fontId="4"/>
  </si>
  <si>
    <t>ヨークベニマル古川と同敷地。地盤改良のみの設計。</t>
    <phoneticPr fontId="4"/>
  </si>
  <si>
    <t>飛鳥ｺﾝﾃﾅｾﾝﾀｰと同敷地。</t>
    <phoneticPr fontId="4"/>
  </si>
  <si>
    <t>事務所北側倉庫と同敷地。</t>
    <phoneticPr fontId="4"/>
  </si>
  <si>
    <t>水路が近く、施工検討要。</t>
    <phoneticPr fontId="4"/>
  </si>
  <si>
    <t>海に近い。既存建物に近接して計画。</t>
    <phoneticPr fontId="4"/>
  </si>
  <si>
    <t>地盤改良内に鉄骨梁配置。</t>
    <phoneticPr fontId="4"/>
  </si>
  <si>
    <t>RC3棟。8/31申請済。</t>
    <phoneticPr fontId="4"/>
  </si>
  <si>
    <t>タンク下WT改良</t>
    <phoneticPr fontId="4"/>
  </si>
  <si>
    <t>既存建物への増築。本体棟と渡り廊下棟の2棟。</t>
    <phoneticPr fontId="4"/>
  </si>
  <si>
    <t>財団法人 兵庫県住宅建築総合センター</t>
    <phoneticPr fontId="4"/>
  </si>
  <si>
    <t>盛土(礫・ｼﾙﾄ混り砂)</t>
    <rPh sb="0" eb="1">
      <t>モリ</t>
    </rPh>
    <rPh sb="1" eb="2">
      <t>ド</t>
    </rPh>
    <rPh sb="3" eb="4">
      <t>レキ</t>
    </rPh>
    <rPh sb="8" eb="9">
      <t>マ</t>
    </rPh>
    <rPh sb="10" eb="11">
      <t>スナ</t>
    </rPh>
    <phoneticPr fontId="4"/>
  </si>
  <si>
    <t>その他</t>
    <rPh sb="2" eb="3">
      <t>タ</t>
    </rPh>
    <phoneticPr fontId="4"/>
  </si>
  <si>
    <t>H29.7.5 沖本部長打合せ時に三木様に伝える。</t>
    <rPh sb="8" eb="10">
      <t>オキモト</t>
    </rPh>
    <rPh sb="10" eb="12">
      <t>ブチョウ</t>
    </rPh>
    <rPh sb="12" eb="14">
      <t>ウチアワ</t>
    </rPh>
    <rPh sb="15" eb="16">
      <t>ジ</t>
    </rPh>
    <rPh sb="17" eb="19">
      <t>ミキ</t>
    </rPh>
    <rPh sb="19" eb="20">
      <t>サマ</t>
    </rPh>
    <rPh sb="21" eb="22">
      <t>ツタ</t>
    </rPh>
    <phoneticPr fontId="4"/>
  </si>
  <si>
    <t>H29.7.5 平塚様にメールにて</t>
    <rPh sb="8" eb="10">
      <t>ヒラツカ</t>
    </rPh>
    <rPh sb="10" eb="11">
      <t>サマ</t>
    </rPh>
    <phoneticPr fontId="4"/>
  </si>
  <si>
    <t>設計者変更の連絡(沖本部長→村上)</t>
    <rPh sb="0" eb="3">
      <t>セッケイシャ</t>
    </rPh>
    <rPh sb="3" eb="5">
      <t>ヘンコウ</t>
    </rPh>
    <rPh sb="6" eb="8">
      <t>レンラク</t>
    </rPh>
    <rPh sb="9" eb="11">
      <t>オキモト</t>
    </rPh>
    <rPh sb="11" eb="13">
      <t>ブチョウ</t>
    </rPh>
    <rPh sb="14" eb="16">
      <t>ムラカミ</t>
    </rPh>
    <phoneticPr fontId="4"/>
  </si>
  <si>
    <t>紋別郡</t>
    <rPh sb="0" eb="1">
      <t>モン</t>
    </rPh>
    <rPh sb="1" eb="2">
      <t>ベツ</t>
    </rPh>
    <rPh sb="2" eb="3">
      <t>グン</t>
    </rPh>
    <phoneticPr fontId="4"/>
  </si>
  <si>
    <t>興部町</t>
    <rPh sb="0" eb="2">
      <t>オコッペ</t>
    </rPh>
    <rPh sb="2" eb="3">
      <t>チョウ</t>
    </rPh>
    <phoneticPr fontId="4"/>
  </si>
  <si>
    <t>畜舎(牛舎)</t>
    <phoneticPr fontId="4"/>
  </si>
  <si>
    <t>鈴木徹建築設計室</t>
    <phoneticPr fontId="4"/>
  </si>
  <si>
    <t>安田建築設計事務所</t>
    <rPh sb="0" eb="2">
      <t>ヤスダ</t>
    </rPh>
    <rPh sb="2" eb="4">
      <t>ケンチク</t>
    </rPh>
    <rPh sb="4" eb="6">
      <t>セッケイ</t>
    </rPh>
    <rPh sb="6" eb="8">
      <t>ジム</t>
    </rPh>
    <rPh sb="8" eb="9">
      <t>ショ</t>
    </rPh>
    <phoneticPr fontId="4"/>
  </si>
  <si>
    <t>安田建築設計事務所</t>
    <phoneticPr fontId="4"/>
  </si>
  <si>
    <t>ヤスダケンチクセッケイジムショ</t>
    <phoneticPr fontId="4"/>
  </si>
  <si>
    <t>1m</t>
    <phoneticPr fontId="4"/>
  </si>
  <si>
    <t>柱状改良からの計画変更</t>
    <rPh sb="0" eb="2">
      <t>チュウジョウ</t>
    </rPh>
    <rPh sb="2" eb="4">
      <t>カイリョウ</t>
    </rPh>
    <rPh sb="7" eb="9">
      <t>ケイカク</t>
    </rPh>
    <rPh sb="9" eb="11">
      <t>ヘンコウ</t>
    </rPh>
    <phoneticPr fontId="4"/>
  </si>
  <si>
    <t>かどや製油㈱小豆島工場焙煎工場</t>
    <rPh sb="3" eb="6">
      <t>セイユカブ</t>
    </rPh>
    <rPh sb="6" eb="9">
      <t>ショウドシマ</t>
    </rPh>
    <rPh sb="9" eb="11">
      <t>コウジョウ</t>
    </rPh>
    <rPh sb="11" eb="13">
      <t>バイセン</t>
    </rPh>
    <rPh sb="13" eb="15">
      <t>コウジョウ</t>
    </rPh>
    <phoneticPr fontId="4"/>
  </si>
  <si>
    <t>3</t>
    <phoneticPr fontId="4"/>
  </si>
  <si>
    <t>○</t>
    <phoneticPr fontId="4"/>
  </si>
  <si>
    <t>財団法人 福井県建築住宅センター</t>
    <phoneticPr fontId="4"/>
  </si>
  <si>
    <t>有機質シルト</t>
    <rPh sb="0" eb="3">
      <t>ユウキシツ</t>
    </rPh>
    <phoneticPr fontId="4"/>
  </si>
  <si>
    <t>アウェイ建築評価ネット株式会社</t>
    <phoneticPr fontId="4"/>
  </si>
  <si>
    <t>財団法人 なら建築住宅センター</t>
    <phoneticPr fontId="4"/>
  </si>
  <si>
    <t>久保田工業 本社工場【工場棟】</t>
    <rPh sb="0" eb="3">
      <t>クボタ</t>
    </rPh>
    <rPh sb="3" eb="5">
      <t>コウギョウ</t>
    </rPh>
    <rPh sb="6" eb="8">
      <t>ホンシャ</t>
    </rPh>
    <rPh sb="8" eb="10">
      <t>コウジョウ</t>
    </rPh>
    <rPh sb="11" eb="13">
      <t>コウジョウ</t>
    </rPh>
    <rPh sb="13" eb="14">
      <t>トウ</t>
    </rPh>
    <phoneticPr fontId="4"/>
  </si>
  <si>
    <t>2m</t>
    <phoneticPr fontId="4"/>
  </si>
  <si>
    <t>17m</t>
    <phoneticPr fontId="4"/>
  </si>
  <si>
    <t>工場と事務所の2棟。1期：工場棟、2期：事務所。</t>
    <rPh sb="0" eb="2">
      <t>コウジョウ</t>
    </rPh>
    <rPh sb="3" eb="5">
      <t>ジム</t>
    </rPh>
    <rPh sb="5" eb="6">
      <t>ショ</t>
    </rPh>
    <rPh sb="8" eb="9">
      <t>トウ</t>
    </rPh>
    <rPh sb="11" eb="12">
      <t>キ</t>
    </rPh>
    <rPh sb="13" eb="15">
      <t>コウジョウ</t>
    </rPh>
    <rPh sb="15" eb="16">
      <t>トウ</t>
    </rPh>
    <rPh sb="18" eb="19">
      <t>キ</t>
    </rPh>
    <rPh sb="20" eb="22">
      <t>ジム</t>
    </rPh>
    <rPh sb="22" eb="23">
      <t>ショ</t>
    </rPh>
    <phoneticPr fontId="4"/>
  </si>
  <si>
    <t>着工
時期
(予定)</t>
    <rPh sb="0" eb="2">
      <t>チャッコウ</t>
    </rPh>
    <rPh sb="3" eb="5">
      <t>ジキ</t>
    </rPh>
    <rPh sb="7" eb="9">
      <t>ヨテイ</t>
    </rPh>
    <phoneticPr fontId="4"/>
  </si>
  <si>
    <t>H29.7.11 吉永様に マツダ高知中央 設計時 メールにて</t>
    <rPh sb="9" eb="11">
      <t>ヨシナガ</t>
    </rPh>
    <rPh sb="11" eb="12">
      <t>サマ</t>
    </rPh>
    <rPh sb="17" eb="19">
      <t>コウチ</t>
    </rPh>
    <rPh sb="19" eb="21">
      <t>チュウオウ</t>
    </rPh>
    <rPh sb="22" eb="24">
      <t>セッケイ</t>
    </rPh>
    <rPh sb="24" eb="25">
      <t>ジ</t>
    </rPh>
    <phoneticPr fontId="4"/>
  </si>
  <si>
    <t>4号建築物。海に近い。</t>
    <rPh sb="1" eb="2">
      <t>ゴウ</t>
    </rPh>
    <rPh sb="2" eb="5">
      <t>ケンチクブツ</t>
    </rPh>
    <rPh sb="6" eb="7">
      <t>ウミ</t>
    </rPh>
    <rPh sb="8" eb="9">
      <t>チカ</t>
    </rPh>
    <phoneticPr fontId="4"/>
  </si>
  <si>
    <t>工場棟・ｷｬﾉﾋﾟｰ棟の2棟。既存建物・電柱が近接。</t>
    <rPh sb="0" eb="2">
      <t>コウジョウ</t>
    </rPh>
    <rPh sb="2" eb="3">
      <t>トウ</t>
    </rPh>
    <rPh sb="10" eb="11">
      <t>トウ</t>
    </rPh>
    <rPh sb="13" eb="14">
      <t>トウ</t>
    </rPh>
    <rPh sb="15" eb="17">
      <t>キソン</t>
    </rPh>
    <rPh sb="17" eb="19">
      <t>タテモノ</t>
    </rPh>
    <rPh sb="20" eb="22">
      <t>デンチュウ</t>
    </rPh>
    <rPh sb="23" eb="25">
      <t>キンセツ</t>
    </rPh>
    <phoneticPr fontId="4"/>
  </si>
  <si>
    <t>台形基礎</t>
    <rPh sb="0" eb="2">
      <t>ダイケイ</t>
    </rPh>
    <rPh sb="2" eb="4">
      <t>キソ</t>
    </rPh>
    <phoneticPr fontId="4"/>
  </si>
  <si>
    <t>仁徳砂利社屋</t>
    <rPh sb="0" eb="2">
      <t>ジントク</t>
    </rPh>
    <rPh sb="2" eb="4">
      <t>ジャリ</t>
    </rPh>
    <rPh sb="4" eb="6">
      <t>シャオク</t>
    </rPh>
    <phoneticPr fontId="4"/>
  </si>
  <si>
    <t>ユイ</t>
    <phoneticPr fontId="4"/>
  </si>
  <si>
    <t>鳥取県</t>
    <phoneticPr fontId="4"/>
  </si>
  <si>
    <t>安長</t>
    <rPh sb="0" eb="2">
      <t>ヤスナガ</t>
    </rPh>
    <phoneticPr fontId="4"/>
  </si>
  <si>
    <t>車庫・工場</t>
    <rPh sb="0" eb="2">
      <t>シャコ</t>
    </rPh>
    <rPh sb="3" eb="5">
      <t>コウジョウ</t>
    </rPh>
    <phoneticPr fontId="4"/>
  </si>
  <si>
    <t>有限会社 塚田隆建築研究所</t>
    <rPh sb="0" eb="2">
      <t>ユウゲン</t>
    </rPh>
    <rPh sb="2" eb="4">
      <t>カイシャ</t>
    </rPh>
    <rPh sb="5" eb="7">
      <t>ツカダ</t>
    </rPh>
    <rPh sb="7" eb="8">
      <t>タカシ</t>
    </rPh>
    <rPh sb="8" eb="10">
      <t>ケンチク</t>
    </rPh>
    <rPh sb="10" eb="13">
      <t>ケンキュウショ</t>
    </rPh>
    <phoneticPr fontId="4"/>
  </si>
  <si>
    <t>有限会社 塚田隆建築研究所</t>
    <phoneticPr fontId="4"/>
  </si>
  <si>
    <t>ユウゲンガイシャ ツカダタカシケンチクケンキュウショ</t>
    <phoneticPr fontId="4"/>
  </si>
  <si>
    <t>3m</t>
    <phoneticPr fontId="4"/>
  </si>
  <si>
    <t>ｼﾙﾄ</t>
    <phoneticPr fontId="4"/>
  </si>
  <si>
    <t>8m</t>
    <phoneticPr fontId="4"/>
  </si>
  <si>
    <t>3m</t>
    <phoneticPr fontId="4"/>
  </si>
  <si>
    <t>開発工事あり。擁壁と一体の地盤改良。二回に分けた施工が必要。</t>
    <rPh sb="0" eb="2">
      <t>カイハツ</t>
    </rPh>
    <rPh sb="2" eb="4">
      <t>コウジ</t>
    </rPh>
    <rPh sb="7" eb="8">
      <t>ヨウ</t>
    </rPh>
    <rPh sb="8" eb="9">
      <t>ヘキ</t>
    </rPh>
    <rPh sb="10" eb="12">
      <t>イッタイ</t>
    </rPh>
    <rPh sb="13" eb="15">
      <t>ジバン</t>
    </rPh>
    <rPh sb="15" eb="17">
      <t>カイリョウ</t>
    </rPh>
    <rPh sb="18" eb="20">
      <t>ニカイ</t>
    </rPh>
    <rPh sb="21" eb="22">
      <t>ワ</t>
    </rPh>
    <rPh sb="24" eb="26">
      <t>セコウ</t>
    </rPh>
    <rPh sb="27" eb="29">
      <t>ヒツヨウ</t>
    </rPh>
    <phoneticPr fontId="4"/>
  </si>
  <si>
    <t>上甲子園</t>
    <rPh sb="0" eb="1">
      <t>ウエ</t>
    </rPh>
    <rPh sb="1" eb="4">
      <t>コウシエン</t>
    </rPh>
    <phoneticPr fontId="4"/>
  </si>
  <si>
    <t>盛土/ｼﾙﾄ混じり砂礫</t>
    <rPh sb="0" eb="1">
      <t>モリ</t>
    </rPh>
    <rPh sb="1" eb="2">
      <t>ド</t>
    </rPh>
    <rPh sb="6" eb="7">
      <t>マ</t>
    </rPh>
    <rPh sb="9" eb="10">
      <t>スナ</t>
    </rPh>
    <rPh sb="10" eb="11">
      <t>レキ</t>
    </rPh>
    <phoneticPr fontId="4"/>
  </si>
  <si>
    <t>盛土(礫質土)</t>
    <rPh sb="0" eb="1">
      <t>モリ</t>
    </rPh>
    <rPh sb="1" eb="2">
      <t>ド</t>
    </rPh>
    <rPh sb="3" eb="4">
      <t>レキ</t>
    </rPh>
    <rPh sb="4" eb="5">
      <t>シツ</t>
    </rPh>
    <rPh sb="5" eb="6">
      <t>ド</t>
    </rPh>
    <phoneticPr fontId="4"/>
  </si>
  <si>
    <t>○</t>
    <phoneticPr fontId="4"/>
  </si>
  <si>
    <t>大学敷地内</t>
    <rPh sb="0" eb="2">
      <t>ダイガク</t>
    </rPh>
    <rPh sb="2" eb="4">
      <t>シキチ</t>
    </rPh>
    <rPh sb="4" eb="5">
      <t>ナイ</t>
    </rPh>
    <phoneticPr fontId="4"/>
  </si>
  <si>
    <t>畑</t>
    <rPh sb="0" eb="1">
      <t>ハタケ</t>
    </rPh>
    <phoneticPr fontId="4"/>
  </si>
  <si>
    <t>1-2</t>
    <phoneticPr fontId="4"/>
  </si>
  <si>
    <t>道路</t>
    <rPh sb="0" eb="2">
      <t>ドウロ</t>
    </rPh>
    <phoneticPr fontId="4"/>
  </si>
  <si>
    <t>株式会社 日本確認検査センター</t>
    <phoneticPr fontId="4"/>
  </si>
  <si>
    <t>由利本荘市</t>
    <phoneticPr fontId="4"/>
  </si>
  <si>
    <t>石脇字田尻野</t>
    <rPh sb="0" eb="1">
      <t>イシ</t>
    </rPh>
    <rPh sb="1" eb="2">
      <t>ワキ</t>
    </rPh>
    <rPh sb="2" eb="3">
      <t>ジ</t>
    </rPh>
    <rPh sb="3" eb="5">
      <t>タジリ</t>
    </rPh>
    <rPh sb="5" eb="6">
      <t>ノ</t>
    </rPh>
    <phoneticPr fontId="4"/>
  </si>
  <si>
    <t>2m</t>
    <phoneticPr fontId="4"/>
  </si>
  <si>
    <t>株式会社上組名古屋支店飛島埠頭内野積場及び事務所</t>
    <rPh sb="0" eb="4">
      <t>カブシキガイシャ</t>
    </rPh>
    <rPh sb="4" eb="6">
      <t>カミグミ</t>
    </rPh>
    <rPh sb="6" eb="9">
      <t>ナゴヤ</t>
    </rPh>
    <rPh sb="9" eb="11">
      <t>シテン</t>
    </rPh>
    <rPh sb="11" eb="13">
      <t>トビシマ</t>
    </rPh>
    <rPh sb="13" eb="15">
      <t>フトウ</t>
    </rPh>
    <rPh sb="15" eb="17">
      <t>ナイヤ</t>
    </rPh>
    <rPh sb="17" eb="18">
      <t>セキ</t>
    </rPh>
    <rPh sb="18" eb="19">
      <t>バ</t>
    </rPh>
    <rPh sb="19" eb="20">
      <t>オヨ</t>
    </rPh>
    <rPh sb="21" eb="23">
      <t>ジム</t>
    </rPh>
    <rPh sb="23" eb="24">
      <t>ショ</t>
    </rPh>
    <phoneticPr fontId="4"/>
  </si>
  <si>
    <t>福島FRC製造設備</t>
    <rPh sb="5" eb="7">
      <t>セイゾウ</t>
    </rPh>
    <rPh sb="7" eb="9">
      <t>セツビ</t>
    </rPh>
    <phoneticPr fontId="4"/>
  </si>
  <si>
    <t>相馬郡</t>
    <phoneticPr fontId="4"/>
  </si>
  <si>
    <t>新地町字福田</t>
    <rPh sb="0" eb="2">
      <t>シンチ</t>
    </rPh>
    <rPh sb="2" eb="3">
      <t>マチ</t>
    </rPh>
    <rPh sb="3" eb="4">
      <t>アザ</t>
    </rPh>
    <rPh sb="4" eb="6">
      <t>フクダ</t>
    </rPh>
    <phoneticPr fontId="4"/>
  </si>
  <si>
    <t>有限会社 安島建築構造設計事務所</t>
    <phoneticPr fontId="4"/>
  </si>
  <si>
    <t>酒井鈴木工業 株式会社</t>
    <rPh sb="0" eb="2">
      <t>サカイ</t>
    </rPh>
    <rPh sb="2" eb="4">
      <t>スズキ</t>
    </rPh>
    <rPh sb="4" eb="6">
      <t>コウギョウ</t>
    </rPh>
    <rPh sb="7" eb="9">
      <t>カブシキ</t>
    </rPh>
    <rPh sb="9" eb="11">
      <t>カイシャ</t>
    </rPh>
    <phoneticPr fontId="4"/>
  </si>
  <si>
    <t>酒井鈴木工業 株式会社</t>
    <phoneticPr fontId="4"/>
  </si>
  <si>
    <t>サカイスズキコウギョウ カブシキガイシャ</t>
    <phoneticPr fontId="4"/>
  </si>
  <si>
    <t>大嘉産業 株式会社</t>
    <rPh sb="0" eb="1">
      <t>オオ</t>
    </rPh>
    <rPh sb="1" eb="2">
      <t>カ</t>
    </rPh>
    <rPh sb="2" eb="4">
      <t>サンギョウ</t>
    </rPh>
    <rPh sb="5" eb="7">
      <t>カブシキ</t>
    </rPh>
    <rPh sb="7" eb="9">
      <t>ガイシャ</t>
    </rPh>
    <phoneticPr fontId="4"/>
  </si>
  <si>
    <t>大嘉産業 株式会社</t>
    <phoneticPr fontId="4"/>
  </si>
  <si>
    <t>ダイカサンギョウ カブシキガイシャ</t>
    <phoneticPr fontId="4"/>
  </si>
  <si>
    <t>4m</t>
    <phoneticPr fontId="4"/>
  </si>
  <si>
    <t>未固結砂岩</t>
    <rPh sb="0" eb="1">
      <t>ミ</t>
    </rPh>
    <rPh sb="1" eb="2">
      <t>コ</t>
    </rPh>
    <rPh sb="2" eb="3">
      <t>ケツ</t>
    </rPh>
    <rPh sb="3" eb="4">
      <t>スナ</t>
    </rPh>
    <rPh sb="4" eb="5">
      <t>イワ</t>
    </rPh>
    <phoneticPr fontId="4"/>
  </si>
  <si>
    <t>敷地内 製品ﾌﾞﾛｯｸ保管倉庫、原料貯蔵倉庫、他棟</t>
    <rPh sb="0" eb="2">
      <t>シキチ</t>
    </rPh>
    <rPh sb="2" eb="3">
      <t>ナイ</t>
    </rPh>
    <rPh sb="4" eb="6">
      <t>セイヒン</t>
    </rPh>
    <rPh sb="11" eb="13">
      <t>ホカン</t>
    </rPh>
    <rPh sb="13" eb="15">
      <t>ソウコ</t>
    </rPh>
    <rPh sb="16" eb="18">
      <t>ゲンリョウ</t>
    </rPh>
    <rPh sb="18" eb="20">
      <t>チョゾウ</t>
    </rPh>
    <rPh sb="20" eb="22">
      <t>ソウコ</t>
    </rPh>
    <rPh sb="23" eb="24">
      <t>ホカ</t>
    </rPh>
    <rPh sb="24" eb="25">
      <t>トウ</t>
    </rPh>
    <phoneticPr fontId="4"/>
  </si>
  <si>
    <t>ユーイック UHEC 株式会社 都市居住評価センター</t>
    <phoneticPr fontId="4"/>
  </si>
  <si>
    <t>桑本総合設計事務所</t>
    <phoneticPr fontId="4"/>
  </si>
  <si>
    <t>東西建築サービス 株式会社</t>
    <rPh sb="0" eb="2">
      <t>トウザイ</t>
    </rPh>
    <rPh sb="2" eb="4">
      <t>ケンチク</t>
    </rPh>
    <rPh sb="9" eb="13">
      <t>カブシキガイシャ</t>
    </rPh>
    <phoneticPr fontId="4"/>
  </si>
  <si>
    <t>東西建築サービス 株式会社</t>
    <phoneticPr fontId="4"/>
  </si>
  <si>
    <t>H29.7.19　プラージュ古川UP時　仙台支店上部様にメール</t>
    <rPh sb="14" eb="16">
      <t>フルカワ</t>
    </rPh>
    <rPh sb="18" eb="19">
      <t>ジ</t>
    </rPh>
    <rPh sb="20" eb="22">
      <t>センダイ</t>
    </rPh>
    <rPh sb="22" eb="24">
      <t>シテン</t>
    </rPh>
    <rPh sb="24" eb="25">
      <t>ウワ</t>
    </rPh>
    <rPh sb="25" eb="26">
      <t>ベ</t>
    </rPh>
    <rPh sb="26" eb="27">
      <t>サマ</t>
    </rPh>
    <phoneticPr fontId="4"/>
  </si>
  <si>
    <t>財団法人 日本建築設備・昇降機センター</t>
    <phoneticPr fontId="4"/>
  </si>
  <si>
    <t>1m</t>
    <phoneticPr fontId="4"/>
  </si>
  <si>
    <t>シルト質砂</t>
    <rPh sb="3" eb="4">
      <t>シツ</t>
    </rPh>
    <rPh sb="4" eb="5">
      <t>スナ</t>
    </rPh>
    <phoneticPr fontId="4"/>
  </si>
  <si>
    <t>3</t>
    <phoneticPr fontId="4"/>
  </si>
  <si>
    <t>沖本</t>
    <phoneticPr fontId="4"/>
  </si>
  <si>
    <t>三昇新工場</t>
    <rPh sb="0" eb="1">
      <t>サン</t>
    </rPh>
    <rPh sb="1" eb="2">
      <t>ノボ</t>
    </rPh>
    <rPh sb="2" eb="3">
      <t>シン</t>
    </rPh>
    <rPh sb="3" eb="5">
      <t>コウジョウ</t>
    </rPh>
    <phoneticPr fontId="4"/>
  </si>
  <si>
    <t>近藤
金</t>
    <rPh sb="0" eb="2">
      <t>コンドウ</t>
    </rPh>
    <rPh sb="3" eb="4">
      <t>キン</t>
    </rPh>
    <phoneticPr fontId="4"/>
  </si>
  <si>
    <t>岡山県</t>
    <phoneticPr fontId="4"/>
  </si>
  <si>
    <t>倉敷市</t>
    <phoneticPr fontId="4"/>
  </si>
  <si>
    <t>中畝</t>
    <rPh sb="0" eb="1">
      <t>ナカ</t>
    </rPh>
    <rPh sb="1" eb="2">
      <t>ウネ</t>
    </rPh>
    <phoneticPr fontId="4"/>
  </si>
  <si>
    <t>新設計コンサルタンツ 株式会社</t>
    <rPh sb="0" eb="1">
      <t>シン</t>
    </rPh>
    <rPh sb="1" eb="3">
      <t>セッケイ</t>
    </rPh>
    <rPh sb="11" eb="13">
      <t>カブシキ</t>
    </rPh>
    <rPh sb="13" eb="15">
      <t>カイシャ</t>
    </rPh>
    <phoneticPr fontId="4"/>
  </si>
  <si>
    <t>4m</t>
    <phoneticPr fontId="4"/>
  </si>
  <si>
    <t>ｼﾙﾄ</t>
    <phoneticPr fontId="4"/>
  </si>
  <si>
    <t>1m</t>
    <phoneticPr fontId="4"/>
  </si>
  <si>
    <t>2m</t>
    <phoneticPr fontId="4"/>
  </si>
  <si>
    <t>2m</t>
    <phoneticPr fontId="4"/>
  </si>
  <si>
    <t>工場・田んぼ</t>
    <rPh sb="0" eb="2">
      <t>コウジョウ</t>
    </rPh>
    <rPh sb="3" eb="4">
      <t>タ</t>
    </rPh>
    <phoneticPr fontId="4"/>
  </si>
  <si>
    <t>1-2</t>
    <phoneticPr fontId="4"/>
  </si>
  <si>
    <t>S造</t>
    <phoneticPr fontId="4"/>
  </si>
  <si>
    <t>平屋建</t>
    <phoneticPr fontId="4"/>
  </si>
  <si>
    <t>株式会社 横河システム建築</t>
    <phoneticPr fontId="4"/>
  </si>
  <si>
    <t>-</t>
    <phoneticPr fontId="4"/>
  </si>
  <si>
    <t>盛土・風化砂岩</t>
    <rPh sb="0" eb="1">
      <t>モリ</t>
    </rPh>
    <rPh sb="1" eb="2">
      <t>ド</t>
    </rPh>
    <rPh sb="3" eb="5">
      <t>フウカ</t>
    </rPh>
    <rPh sb="5" eb="7">
      <t>サガン</t>
    </rPh>
    <phoneticPr fontId="4"/>
  </si>
  <si>
    <t>風化砂岩</t>
    <rPh sb="0" eb="2">
      <t>フウカ</t>
    </rPh>
    <rPh sb="2" eb="4">
      <t>サガン</t>
    </rPh>
    <phoneticPr fontId="4"/>
  </si>
  <si>
    <t>敷地内 改築工事。本建物施工後、既存工場を解体。</t>
    <rPh sb="0" eb="2">
      <t>シキチ</t>
    </rPh>
    <rPh sb="2" eb="3">
      <t>ナイ</t>
    </rPh>
    <rPh sb="4" eb="6">
      <t>カイチク</t>
    </rPh>
    <rPh sb="6" eb="8">
      <t>コウジ</t>
    </rPh>
    <rPh sb="9" eb="10">
      <t>ホン</t>
    </rPh>
    <rPh sb="10" eb="12">
      <t>タテモノ</t>
    </rPh>
    <rPh sb="12" eb="14">
      <t>セコウ</t>
    </rPh>
    <rPh sb="14" eb="15">
      <t>ゴ</t>
    </rPh>
    <rPh sb="16" eb="18">
      <t>キソン</t>
    </rPh>
    <rPh sb="18" eb="20">
      <t>コウジョウ</t>
    </rPh>
    <rPh sb="21" eb="23">
      <t>カイタイ</t>
    </rPh>
    <phoneticPr fontId="4"/>
  </si>
  <si>
    <t>バロー国高</t>
    <rPh sb="3" eb="4">
      <t>クニ</t>
    </rPh>
    <rPh sb="4" eb="5">
      <t>タカ</t>
    </rPh>
    <phoneticPr fontId="4"/>
  </si>
  <si>
    <t>福井県</t>
    <phoneticPr fontId="4"/>
  </si>
  <si>
    <t>越前市</t>
    <phoneticPr fontId="4"/>
  </si>
  <si>
    <t>株式会社 新建築設計事務所</t>
  </si>
  <si>
    <t>国高</t>
    <rPh sb="0" eb="1">
      <t>クニ</t>
    </rPh>
    <rPh sb="1" eb="2">
      <t>タカ</t>
    </rPh>
    <phoneticPr fontId="4"/>
  </si>
  <si>
    <t>7/31 中畠様 ﾒｰﾙにて(四国スバル高知)</t>
    <rPh sb="5" eb="6">
      <t>ナカ</t>
    </rPh>
    <rPh sb="6" eb="7">
      <t>ハタ</t>
    </rPh>
    <rPh sb="7" eb="8">
      <t>サマ</t>
    </rPh>
    <rPh sb="15" eb="17">
      <t>シコク</t>
    </rPh>
    <rPh sb="20" eb="22">
      <t>コウチ</t>
    </rPh>
    <phoneticPr fontId="4"/>
  </si>
  <si>
    <t>北方建築総合研究所</t>
    <rPh sb="0" eb="1">
      <t>キタ</t>
    </rPh>
    <rPh sb="1" eb="2">
      <t>ホウ</t>
    </rPh>
    <rPh sb="2" eb="4">
      <t>ケンチク</t>
    </rPh>
    <rPh sb="4" eb="6">
      <t>ソウゴウ</t>
    </rPh>
    <rPh sb="6" eb="9">
      <t>ケンキュウジョ</t>
    </rPh>
    <phoneticPr fontId="4"/>
  </si>
  <si>
    <t>豊洲プロジェクト</t>
    <rPh sb="0" eb="2">
      <t>トヨス</t>
    </rPh>
    <phoneticPr fontId="4"/>
  </si>
  <si>
    <t>TSUCHIYA　CORPORATION</t>
    <phoneticPr fontId="4"/>
  </si>
  <si>
    <t>豊洲</t>
    <rPh sb="0" eb="2">
      <t>トヨス</t>
    </rPh>
    <phoneticPr fontId="4"/>
  </si>
  <si>
    <t>5m</t>
    <phoneticPr fontId="4"/>
  </si>
  <si>
    <t>3m</t>
    <phoneticPr fontId="4"/>
  </si>
  <si>
    <t>ｼﾙﾄ混り細砂</t>
    <rPh sb="3" eb="4">
      <t>マ</t>
    </rPh>
    <rPh sb="5" eb="6">
      <t>サイ</t>
    </rPh>
    <rPh sb="6" eb="7">
      <t>スナ</t>
    </rPh>
    <phoneticPr fontId="4"/>
  </si>
  <si>
    <t>KO-HOUSE</t>
    <phoneticPr fontId="4"/>
  </si>
  <si>
    <t>栃木県</t>
    <phoneticPr fontId="4"/>
  </si>
  <si>
    <t>那須郡</t>
    <rPh sb="0" eb="2">
      <t>ナス</t>
    </rPh>
    <rPh sb="2" eb="3">
      <t>グン</t>
    </rPh>
    <phoneticPr fontId="4"/>
  </si>
  <si>
    <t>那須町大字高久丙字湯道東</t>
    <rPh sb="0" eb="2">
      <t>ナス</t>
    </rPh>
    <rPh sb="2" eb="3">
      <t>マチ</t>
    </rPh>
    <rPh sb="3" eb="5">
      <t>オオアザ</t>
    </rPh>
    <rPh sb="5" eb="8">
      <t>タカクヘイ</t>
    </rPh>
    <rPh sb="8" eb="9">
      <t>ジ</t>
    </rPh>
    <rPh sb="9" eb="10">
      <t>ユ</t>
    </rPh>
    <rPh sb="10" eb="12">
      <t>ミチヒガシ</t>
    </rPh>
    <phoneticPr fontId="4"/>
  </si>
  <si>
    <t>黒ボク</t>
    <rPh sb="0" eb="1">
      <t>クロ</t>
    </rPh>
    <phoneticPr fontId="4"/>
  </si>
  <si>
    <t>3m</t>
    <phoneticPr fontId="4"/>
  </si>
  <si>
    <t>ﾛｰﾑ</t>
    <phoneticPr fontId="4"/>
  </si>
  <si>
    <t>斜面</t>
    <rPh sb="0" eb="2">
      <t>シャメン</t>
    </rPh>
    <phoneticPr fontId="4"/>
  </si>
  <si>
    <t>既存擁壁と近接。ハイブリット</t>
    <rPh sb="0" eb="2">
      <t>キソン</t>
    </rPh>
    <rPh sb="2" eb="3">
      <t>ヨウ</t>
    </rPh>
    <rPh sb="3" eb="4">
      <t>ヘキ</t>
    </rPh>
    <rPh sb="5" eb="7">
      <t>キンセツ</t>
    </rPh>
    <phoneticPr fontId="4"/>
  </si>
  <si>
    <t>盛土/砂質粘土</t>
    <rPh sb="0" eb="1">
      <t>モリ</t>
    </rPh>
    <rPh sb="1" eb="2">
      <t>ド</t>
    </rPh>
    <rPh sb="3" eb="4">
      <t>サ</t>
    </rPh>
    <rPh sb="4" eb="5">
      <t>シツ</t>
    </rPh>
    <rPh sb="5" eb="7">
      <t>ネンド</t>
    </rPh>
    <phoneticPr fontId="4"/>
  </si>
  <si>
    <t>北区青江</t>
    <rPh sb="0" eb="1">
      <t>キタ</t>
    </rPh>
    <rPh sb="1" eb="2">
      <t>ク</t>
    </rPh>
    <rPh sb="2" eb="3">
      <t>アオ</t>
    </rPh>
    <rPh sb="3" eb="4">
      <t>エ</t>
    </rPh>
    <phoneticPr fontId="4"/>
  </si>
  <si>
    <t>トウザイケンチクサービス カブシキガイシャ</t>
    <phoneticPr fontId="4"/>
  </si>
  <si>
    <t>有限会社 安島建築構造設計事務所</t>
    <phoneticPr fontId="4"/>
  </si>
  <si>
    <t>洞爺湖町高砂町</t>
    <rPh sb="0" eb="1">
      <t>ドウ</t>
    </rPh>
    <rPh sb="1" eb="2">
      <t>ジイ</t>
    </rPh>
    <rPh sb="2" eb="3">
      <t>ミズウミ</t>
    </rPh>
    <rPh sb="3" eb="4">
      <t>マチ</t>
    </rPh>
    <rPh sb="4" eb="6">
      <t>タカサゴ</t>
    </rPh>
    <rPh sb="6" eb="7">
      <t>マチ</t>
    </rPh>
    <phoneticPr fontId="4"/>
  </si>
  <si>
    <t>アクティオ千葉 テント倉庫</t>
    <rPh sb="5" eb="7">
      <t>チバ</t>
    </rPh>
    <rPh sb="11" eb="13">
      <t>ソウコ</t>
    </rPh>
    <phoneticPr fontId="4"/>
  </si>
  <si>
    <t>4号建築物。以前設計したｱｸﾃｨｵ千葉と同敷地。</t>
    <rPh sb="1" eb="2">
      <t>ゴウ</t>
    </rPh>
    <rPh sb="2" eb="5">
      <t>ケンチクブツ</t>
    </rPh>
    <rPh sb="6" eb="8">
      <t>イゼン</t>
    </rPh>
    <rPh sb="8" eb="10">
      <t>セッケイ</t>
    </rPh>
    <rPh sb="17" eb="19">
      <t>チバ</t>
    </rPh>
    <rPh sb="20" eb="21">
      <t>オナ</t>
    </rPh>
    <rPh sb="21" eb="23">
      <t>シキチ</t>
    </rPh>
    <phoneticPr fontId="4"/>
  </si>
  <si>
    <t>千葉県</t>
    <phoneticPr fontId="4"/>
  </si>
  <si>
    <t>市原市</t>
    <rPh sb="0" eb="2">
      <t>イチハラ</t>
    </rPh>
    <rPh sb="2" eb="3">
      <t>シ</t>
    </rPh>
    <phoneticPr fontId="4"/>
  </si>
  <si>
    <t>安田建築士事務所</t>
    <rPh sb="0" eb="2">
      <t>ヤスダ</t>
    </rPh>
    <rPh sb="2" eb="5">
      <t>ケンチクシ</t>
    </rPh>
    <rPh sb="5" eb="7">
      <t>ジム</t>
    </rPh>
    <rPh sb="7" eb="8">
      <t>ショ</t>
    </rPh>
    <phoneticPr fontId="4"/>
  </si>
  <si>
    <t>安田建築士事務所</t>
    <phoneticPr fontId="4"/>
  </si>
  <si>
    <t>ヤスダケンチクシジムショ</t>
    <phoneticPr fontId="4"/>
  </si>
  <si>
    <t>未来建設 株式会社</t>
    <phoneticPr fontId="4"/>
  </si>
  <si>
    <t>神埼市</t>
    <rPh sb="0" eb="2">
      <t>カンザキ</t>
    </rPh>
    <rPh sb="2" eb="3">
      <t>シ</t>
    </rPh>
    <phoneticPr fontId="4"/>
  </si>
  <si>
    <t>千代田町餘江</t>
    <rPh sb="0" eb="3">
      <t>チヨダ</t>
    </rPh>
    <rPh sb="3" eb="4">
      <t>マチ</t>
    </rPh>
    <rPh sb="4" eb="5">
      <t>アマリ</t>
    </rPh>
    <rPh sb="5" eb="6">
      <t>エ</t>
    </rPh>
    <phoneticPr fontId="4"/>
  </si>
  <si>
    <t>3m</t>
    <phoneticPr fontId="4"/>
  </si>
  <si>
    <t>ｼﾙﾄ</t>
    <phoneticPr fontId="4"/>
  </si>
  <si>
    <t>道路・田んぼ</t>
    <rPh sb="0" eb="2">
      <t>ドウロ</t>
    </rPh>
    <rPh sb="3" eb="4">
      <t>タ</t>
    </rPh>
    <phoneticPr fontId="4"/>
  </si>
  <si>
    <t>日本ERI 株式会社(松本)</t>
    <rPh sb="11" eb="13">
      <t>マツモト</t>
    </rPh>
    <phoneticPr fontId="4"/>
  </si>
  <si>
    <t>若杉幼稚園</t>
    <rPh sb="0" eb="2">
      <t>ワカスギ</t>
    </rPh>
    <rPh sb="2" eb="5">
      <t>ヨウチエン</t>
    </rPh>
    <phoneticPr fontId="4"/>
  </si>
  <si>
    <t>静岡県</t>
    <phoneticPr fontId="4"/>
  </si>
  <si>
    <t>駿河区</t>
    <rPh sb="0" eb="2">
      <t>スルガ</t>
    </rPh>
    <rPh sb="2" eb="3">
      <t>ク</t>
    </rPh>
    <phoneticPr fontId="4"/>
  </si>
  <si>
    <t>丸子</t>
    <rPh sb="0" eb="1">
      <t>マル</t>
    </rPh>
    <rPh sb="1" eb="2">
      <t>コ</t>
    </rPh>
    <phoneticPr fontId="4"/>
  </si>
  <si>
    <t>幼稚園</t>
    <rPh sb="0" eb="3">
      <t>ヨウチエン</t>
    </rPh>
    <phoneticPr fontId="4"/>
  </si>
  <si>
    <t>合同会社 デザイン・アープ</t>
    <rPh sb="0" eb="2">
      <t>ゴウドウ</t>
    </rPh>
    <rPh sb="2" eb="4">
      <t>カイシャ</t>
    </rPh>
    <phoneticPr fontId="4"/>
  </si>
  <si>
    <t>合同会社 デザイン・アープ</t>
    <phoneticPr fontId="4"/>
  </si>
  <si>
    <t>ゴウドウガイシャ デザイン・アープ</t>
    <phoneticPr fontId="4"/>
  </si>
  <si>
    <t>真構造事務所</t>
    <rPh sb="0" eb="1">
      <t>シン</t>
    </rPh>
    <rPh sb="1" eb="3">
      <t>コウゾウ</t>
    </rPh>
    <rPh sb="3" eb="5">
      <t>ジム</t>
    </rPh>
    <rPh sb="5" eb="6">
      <t>ショ</t>
    </rPh>
    <phoneticPr fontId="4"/>
  </si>
  <si>
    <t>真構造事務所</t>
    <phoneticPr fontId="4"/>
  </si>
  <si>
    <t>シンコウゾウジムショ</t>
    <phoneticPr fontId="4"/>
  </si>
  <si>
    <t>3m</t>
    <phoneticPr fontId="4"/>
  </si>
  <si>
    <t>ｼﾙﾄ</t>
    <phoneticPr fontId="4"/>
  </si>
  <si>
    <t>2m</t>
    <phoneticPr fontId="4"/>
  </si>
  <si>
    <t>7m</t>
    <phoneticPr fontId="4"/>
  </si>
  <si>
    <t>林建設工業 新社屋</t>
    <rPh sb="0" eb="1">
      <t>ハヤシ</t>
    </rPh>
    <rPh sb="1" eb="3">
      <t>ケンセツ</t>
    </rPh>
    <rPh sb="3" eb="5">
      <t>コウギョウ</t>
    </rPh>
    <rPh sb="6" eb="7">
      <t>シン</t>
    </rPh>
    <rPh sb="7" eb="9">
      <t>シャオク</t>
    </rPh>
    <phoneticPr fontId="4"/>
  </si>
  <si>
    <t>山形県</t>
    <phoneticPr fontId="4"/>
  </si>
  <si>
    <t>酒田市</t>
    <phoneticPr fontId="4"/>
  </si>
  <si>
    <t>幸町</t>
    <rPh sb="0" eb="1">
      <t>サイワ</t>
    </rPh>
    <rPh sb="1" eb="2">
      <t>マチ</t>
    </rPh>
    <phoneticPr fontId="4"/>
  </si>
  <si>
    <t>事務所</t>
    <phoneticPr fontId="4"/>
  </si>
  <si>
    <t>1m</t>
    <phoneticPr fontId="4"/>
  </si>
  <si>
    <t>8m</t>
    <phoneticPr fontId="4"/>
  </si>
  <si>
    <t>8m</t>
    <phoneticPr fontId="4"/>
  </si>
  <si>
    <t>丸運ロジステック</t>
    <rPh sb="0" eb="2">
      <t>マルウン</t>
    </rPh>
    <phoneticPr fontId="4"/>
  </si>
  <si>
    <t>あべ構房建築設計事務所</t>
    <phoneticPr fontId="4"/>
  </si>
  <si>
    <t>カブシキガイシャ キャドウィング</t>
    <phoneticPr fontId="4"/>
  </si>
  <si>
    <t>モンクール北浦和</t>
    <rPh sb="5" eb="6">
      <t>キタ</t>
    </rPh>
    <rPh sb="6" eb="8">
      <t>ウラワ</t>
    </rPh>
    <phoneticPr fontId="4"/>
  </si>
  <si>
    <t>南区文蔵</t>
    <phoneticPr fontId="4"/>
  </si>
  <si>
    <t>大和リース 株式会社</t>
    <rPh sb="0" eb="2">
      <t>ヤマト</t>
    </rPh>
    <rPh sb="6" eb="10">
      <t>カブシキガイシャ</t>
    </rPh>
    <phoneticPr fontId="4"/>
  </si>
  <si>
    <t>株式会社 田中構造設計事務所</t>
    <phoneticPr fontId="4"/>
  </si>
  <si>
    <t>凝灰質粘土</t>
    <rPh sb="0" eb="1">
      <t>ギョウ</t>
    </rPh>
    <rPh sb="1" eb="2">
      <t>ハイ</t>
    </rPh>
    <rPh sb="2" eb="3">
      <t>シツ</t>
    </rPh>
    <rPh sb="3" eb="5">
      <t>ネンド</t>
    </rPh>
    <phoneticPr fontId="4"/>
  </si>
  <si>
    <t>2m</t>
    <phoneticPr fontId="4"/>
  </si>
  <si>
    <t>6m</t>
    <phoneticPr fontId="4"/>
  </si>
  <si>
    <t>4m</t>
    <phoneticPr fontId="4"/>
  </si>
  <si>
    <t>ﾛｰﾑ</t>
    <phoneticPr fontId="4"/>
  </si>
  <si>
    <t>4m</t>
    <phoneticPr fontId="4"/>
  </si>
  <si>
    <t>3m</t>
    <phoneticPr fontId="4"/>
  </si>
  <si>
    <t>株式会社 札幌工業検査</t>
    <phoneticPr fontId="4"/>
  </si>
  <si>
    <t>近藤建築構造設計</t>
    <rPh sb="0" eb="2">
      <t>コンドウ</t>
    </rPh>
    <rPh sb="2" eb="4">
      <t>ケンチク</t>
    </rPh>
    <rPh sb="4" eb="6">
      <t>コウゾウ</t>
    </rPh>
    <rPh sb="6" eb="8">
      <t>セッケイ</t>
    </rPh>
    <phoneticPr fontId="4"/>
  </si>
  <si>
    <t>近藤建築構造設計</t>
    <phoneticPr fontId="4"/>
  </si>
  <si>
    <t>コンドウケンチクコウゾウセッケイ</t>
    <phoneticPr fontId="4"/>
  </si>
  <si>
    <t>ｼﾙﾄ</t>
    <phoneticPr fontId="4"/>
  </si>
  <si>
    <t>ｼﾙﾄ</t>
    <phoneticPr fontId="4"/>
  </si>
  <si>
    <t>水路近い。ﾀﾝｸ下(2基)改良あり。</t>
    <rPh sb="0" eb="2">
      <t>スイロ</t>
    </rPh>
    <rPh sb="2" eb="3">
      <t>チカ</t>
    </rPh>
    <rPh sb="8" eb="9">
      <t>シタ</t>
    </rPh>
    <rPh sb="11" eb="12">
      <t>キ</t>
    </rPh>
    <rPh sb="13" eb="15">
      <t>カイリョウ</t>
    </rPh>
    <phoneticPr fontId="4"/>
  </si>
  <si>
    <t>遊技場</t>
    <rPh sb="0" eb="3">
      <t>ユウギジョウ</t>
    </rPh>
    <phoneticPr fontId="4"/>
  </si>
  <si>
    <t>盛土・粘性土</t>
    <rPh sb="0" eb="1">
      <t>モリ</t>
    </rPh>
    <rPh sb="1" eb="2">
      <t>ド</t>
    </rPh>
    <rPh sb="3" eb="5">
      <t>ネンセイ</t>
    </rPh>
    <rPh sb="5" eb="6">
      <t>ド</t>
    </rPh>
    <phoneticPr fontId="4"/>
  </si>
  <si>
    <t>株式会社 樹設計工房</t>
    <rPh sb="0" eb="2">
      <t>カブシキ</t>
    </rPh>
    <rPh sb="2" eb="4">
      <t>カイシャ</t>
    </rPh>
    <rPh sb="5" eb="6">
      <t>イツキ</t>
    </rPh>
    <rPh sb="6" eb="8">
      <t>セッケイ</t>
    </rPh>
    <rPh sb="8" eb="10">
      <t>コウボウ</t>
    </rPh>
    <phoneticPr fontId="4"/>
  </si>
  <si>
    <t>株式会社 樹設計工房</t>
    <phoneticPr fontId="4"/>
  </si>
  <si>
    <t>カブシキガイシャ イツキセッケイコウボウ</t>
    <phoneticPr fontId="4"/>
  </si>
  <si>
    <t>能代市</t>
    <rPh sb="0" eb="1">
      <t>ノウ</t>
    </rPh>
    <rPh sb="1" eb="2">
      <t>カ</t>
    </rPh>
    <rPh sb="2" eb="3">
      <t>シ</t>
    </rPh>
    <phoneticPr fontId="4"/>
  </si>
  <si>
    <t>寺向</t>
    <rPh sb="0" eb="1">
      <t>テラ</t>
    </rPh>
    <rPh sb="1" eb="2">
      <t>ム</t>
    </rPh>
    <phoneticPr fontId="4"/>
  </si>
  <si>
    <t>6m</t>
    <phoneticPr fontId="4"/>
  </si>
  <si>
    <t>8m</t>
    <phoneticPr fontId="4"/>
  </si>
  <si>
    <t>1m</t>
    <phoneticPr fontId="4"/>
  </si>
  <si>
    <t>A棟,B棟,C棟の3棟。一部、既存建物と干渉。</t>
    <rPh sb="1" eb="2">
      <t>トウ</t>
    </rPh>
    <rPh sb="4" eb="5">
      <t>トウ</t>
    </rPh>
    <rPh sb="7" eb="8">
      <t>トウ</t>
    </rPh>
    <rPh sb="10" eb="11">
      <t>トウ</t>
    </rPh>
    <rPh sb="12" eb="14">
      <t>イチブ</t>
    </rPh>
    <rPh sb="15" eb="17">
      <t>キソン</t>
    </rPh>
    <rPh sb="17" eb="19">
      <t>タテモノ</t>
    </rPh>
    <rPh sb="20" eb="22">
      <t>カンショウ</t>
    </rPh>
    <phoneticPr fontId="4"/>
  </si>
  <si>
    <t>ユイ</t>
    <phoneticPr fontId="4"/>
  </si>
  <si>
    <t>東北マツダ本荘</t>
    <rPh sb="0" eb="2">
      <t>トウホク</t>
    </rPh>
    <rPh sb="5" eb="7">
      <t>ホンジョウ</t>
    </rPh>
    <phoneticPr fontId="4"/>
  </si>
  <si>
    <t>伊藤様六町ﾀｶﾗｽﾀﾝﾀﾞｰﾄﾞｼｮｰﾙｰﾑ</t>
    <rPh sb="0" eb="2">
      <t>イトウ</t>
    </rPh>
    <rPh sb="2" eb="3">
      <t>サマ</t>
    </rPh>
    <rPh sb="3" eb="4">
      <t>ロク</t>
    </rPh>
    <rPh sb="4" eb="5">
      <t>マチ</t>
    </rPh>
    <phoneticPr fontId="4"/>
  </si>
  <si>
    <t>足立区</t>
    <phoneticPr fontId="4"/>
  </si>
  <si>
    <t>西加平</t>
    <rPh sb="0" eb="1">
      <t>ニシ</t>
    </rPh>
    <rPh sb="1" eb="2">
      <t>カ</t>
    </rPh>
    <rPh sb="2" eb="3">
      <t>ヒラ</t>
    </rPh>
    <phoneticPr fontId="4"/>
  </si>
  <si>
    <t>10m</t>
    <phoneticPr fontId="4"/>
  </si>
  <si>
    <t>ｼﾙﾄ</t>
    <phoneticPr fontId="4"/>
  </si>
  <si>
    <t>8m</t>
    <phoneticPr fontId="4"/>
  </si>
  <si>
    <t>2m</t>
    <phoneticPr fontId="4"/>
  </si>
  <si>
    <t>花のまちマリナヴィラ駐車場</t>
    <rPh sb="0" eb="1">
      <t>ハナ</t>
    </rPh>
    <rPh sb="10" eb="13">
      <t>チュウシャジョウ</t>
    </rPh>
    <phoneticPr fontId="4"/>
  </si>
  <si>
    <t>兵庫県</t>
    <phoneticPr fontId="4"/>
  </si>
  <si>
    <t>西宮浜</t>
    <rPh sb="0" eb="1">
      <t>ニシ</t>
    </rPh>
    <rPh sb="1" eb="2">
      <t>ミヤ</t>
    </rPh>
    <rPh sb="2" eb="3">
      <t>ハマ</t>
    </rPh>
    <phoneticPr fontId="4"/>
  </si>
  <si>
    <t>株式会社 エストルクトゥーラ</t>
    <phoneticPr fontId="4"/>
  </si>
  <si>
    <t>ニシムラ倉庫</t>
    <rPh sb="4" eb="6">
      <t>ソウコ</t>
    </rPh>
    <phoneticPr fontId="4"/>
  </si>
  <si>
    <t>東大阪市</t>
    <phoneticPr fontId="4"/>
  </si>
  <si>
    <t>菱江</t>
    <rPh sb="0" eb="2">
      <t>ヒシエ</t>
    </rPh>
    <phoneticPr fontId="4"/>
  </si>
  <si>
    <t>-</t>
    <phoneticPr fontId="4"/>
  </si>
  <si>
    <t>株式会社 浅野建築設計事務所</t>
    <rPh sb="0" eb="2">
      <t>カブシキ</t>
    </rPh>
    <rPh sb="2" eb="4">
      <t>カイシャ</t>
    </rPh>
    <rPh sb="5" eb="7">
      <t>アサノ</t>
    </rPh>
    <rPh sb="7" eb="9">
      <t>ケンチク</t>
    </rPh>
    <rPh sb="9" eb="11">
      <t>セッケイ</t>
    </rPh>
    <rPh sb="11" eb="13">
      <t>ジム</t>
    </rPh>
    <rPh sb="13" eb="14">
      <t>ショ</t>
    </rPh>
    <phoneticPr fontId="4"/>
  </si>
  <si>
    <t>株式会社 浅野建築設計事務所</t>
    <phoneticPr fontId="4"/>
  </si>
  <si>
    <t>カブシキガイシャ アサノケンチクセッケイジムショ</t>
    <phoneticPr fontId="4"/>
  </si>
  <si>
    <t>1m</t>
    <phoneticPr fontId="4"/>
  </si>
  <si>
    <t>10m</t>
    <phoneticPr fontId="4"/>
  </si>
  <si>
    <t>H29.08.23 赤谷様にメールにて</t>
    <rPh sb="10" eb="12">
      <t>アカタニ</t>
    </rPh>
    <rPh sb="12" eb="13">
      <t>サマ</t>
    </rPh>
    <phoneticPr fontId="4"/>
  </si>
  <si>
    <t>3</t>
    <phoneticPr fontId="4"/>
  </si>
  <si>
    <t>スターツCAM 株式会社</t>
    <rPh sb="8" eb="10">
      <t>カブシキ</t>
    </rPh>
    <rPh sb="10" eb="12">
      <t>カイシャ</t>
    </rPh>
    <phoneticPr fontId="4"/>
  </si>
  <si>
    <t>スターツCAM 株式会社</t>
    <phoneticPr fontId="4"/>
  </si>
  <si>
    <t>スターツCAM カブシキガイシャ</t>
    <phoneticPr fontId="4"/>
  </si>
  <si>
    <t>スターツCAM 株式会社</t>
    <phoneticPr fontId="4"/>
  </si>
  <si>
    <t>スターツCAM 株式会社</t>
    <phoneticPr fontId="4"/>
  </si>
  <si>
    <t>○</t>
    <phoneticPr fontId="4"/>
  </si>
  <si>
    <t>ｼﾙﾄ</t>
    <phoneticPr fontId="4"/>
  </si>
  <si>
    <t>田んぼ・河川</t>
    <rPh sb="0" eb="1">
      <t>タ</t>
    </rPh>
    <rPh sb="4" eb="6">
      <t>カセン</t>
    </rPh>
    <phoneticPr fontId="4"/>
  </si>
  <si>
    <t>河川近い。地盤改良内 浄化槽あり</t>
    <rPh sb="0" eb="2">
      <t>カセン</t>
    </rPh>
    <rPh sb="2" eb="3">
      <t>チカ</t>
    </rPh>
    <rPh sb="5" eb="7">
      <t>ジバン</t>
    </rPh>
    <rPh sb="7" eb="9">
      <t>カイリョウ</t>
    </rPh>
    <rPh sb="9" eb="10">
      <t>ナイ</t>
    </rPh>
    <rPh sb="11" eb="14">
      <t>ジョウカソウ</t>
    </rPh>
    <phoneticPr fontId="4"/>
  </si>
  <si>
    <t>-</t>
    <phoneticPr fontId="4"/>
  </si>
  <si>
    <t>-</t>
    <phoneticPr fontId="4"/>
  </si>
  <si>
    <t>フレッシュ物流配送センター</t>
    <rPh sb="5" eb="7">
      <t>ブツリュウ</t>
    </rPh>
    <rPh sb="7" eb="9">
      <t>ハイソウ</t>
    </rPh>
    <phoneticPr fontId="4"/>
  </si>
  <si>
    <t>四日市市</t>
    <phoneticPr fontId="4"/>
  </si>
  <si>
    <t>河原田町</t>
    <rPh sb="0" eb="1">
      <t>カワ</t>
    </rPh>
    <rPh sb="1" eb="3">
      <t>ハラダ</t>
    </rPh>
    <rPh sb="3" eb="4">
      <t>マチ</t>
    </rPh>
    <phoneticPr fontId="4"/>
  </si>
  <si>
    <t>配送ｾﾝﾀｰ</t>
    <rPh sb="0" eb="2">
      <t>ハイソウ</t>
    </rPh>
    <phoneticPr fontId="4"/>
  </si>
  <si>
    <t>株式会社 白鳳建築設計事務所</t>
    <rPh sb="0" eb="2">
      <t>カブシキ</t>
    </rPh>
    <rPh sb="2" eb="4">
      <t>カイシャ</t>
    </rPh>
    <rPh sb="5" eb="6">
      <t>シロ</t>
    </rPh>
    <rPh sb="6" eb="7">
      <t>オオトリ</t>
    </rPh>
    <rPh sb="7" eb="9">
      <t>ケンチク</t>
    </rPh>
    <rPh sb="9" eb="11">
      <t>セッケイ</t>
    </rPh>
    <rPh sb="11" eb="13">
      <t>ジム</t>
    </rPh>
    <rPh sb="13" eb="14">
      <t>ショ</t>
    </rPh>
    <phoneticPr fontId="4"/>
  </si>
  <si>
    <t>株式会社 白鳳建築設計事務所</t>
    <rPh sb="5" eb="6">
      <t>シロ</t>
    </rPh>
    <rPh sb="6" eb="7">
      <t>オオトリ</t>
    </rPh>
    <phoneticPr fontId="4"/>
  </si>
  <si>
    <t>カブシキガイシャ ハクホウケンチクセッケイジムショ</t>
    <phoneticPr fontId="4"/>
  </si>
  <si>
    <t>H29.7.25 小倉様にメールにて</t>
    <rPh sb="9" eb="12">
      <t>オグラサマ</t>
    </rPh>
    <phoneticPr fontId="4"/>
  </si>
  <si>
    <t>1m</t>
    <phoneticPr fontId="4"/>
  </si>
  <si>
    <t>4m</t>
    <phoneticPr fontId="4"/>
  </si>
  <si>
    <t>隣地が1.6～2.3mあがっている。</t>
    <phoneticPr fontId="4"/>
  </si>
  <si>
    <t>ﾛｰﾑ</t>
    <phoneticPr fontId="4"/>
  </si>
  <si>
    <t>ﾛｰﾑ</t>
    <phoneticPr fontId="4"/>
  </si>
  <si>
    <t>ビル</t>
    <phoneticPr fontId="4"/>
  </si>
  <si>
    <t>-</t>
    <phoneticPr fontId="4"/>
  </si>
  <si>
    <t>三岐通運 増築工事【二期】</t>
    <rPh sb="5" eb="7">
      <t>ゾウチク</t>
    </rPh>
    <rPh sb="7" eb="9">
      <t>コウジ</t>
    </rPh>
    <rPh sb="10" eb="12">
      <t>ニキ</t>
    </rPh>
    <phoneticPr fontId="4"/>
  </si>
  <si>
    <t>以前設計した三岐通運と同敷地内。敷地外 法面となっている。</t>
    <rPh sb="0" eb="2">
      <t>イゼン</t>
    </rPh>
    <rPh sb="2" eb="4">
      <t>セッケイ</t>
    </rPh>
    <rPh sb="6" eb="7">
      <t>サン</t>
    </rPh>
    <rPh sb="7" eb="8">
      <t>キ</t>
    </rPh>
    <rPh sb="8" eb="10">
      <t>ツウウン</t>
    </rPh>
    <rPh sb="11" eb="12">
      <t>ドウ</t>
    </rPh>
    <rPh sb="12" eb="14">
      <t>シキチ</t>
    </rPh>
    <rPh sb="14" eb="15">
      <t>ナイ</t>
    </rPh>
    <rPh sb="16" eb="18">
      <t>シキチ</t>
    </rPh>
    <rPh sb="18" eb="19">
      <t>ガイ</t>
    </rPh>
    <rPh sb="20" eb="21">
      <t>ノリ</t>
    </rPh>
    <rPh sb="21" eb="22">
      <t>メン</t>
    </rPh>
    <phoneticPr fontId="4"/>
  </si>
  <si>
    <t>H29.8.22 木村様に 三岐通運増築工事 設計時 メールにて</t>
    <rPh sb="9" eb="12">
      <t>キムラサマ</t>
    </rPh>
    <rPh sb="14" eb="15">
      <t>サン</t>
    </rPh>
    <rPh sb="15" eb="16">
      <t>キ</t>
    </rPh>
    <rPh sb="16" eb="18">
      <t>ツウウン</t>
    </rPh>
    <rPh sb="18" eb="20">
      <t>ゾウチク</t>
    </rPh>
    <rPh sb="20" eb="22">
      <t>コウジ</t>
    </rPh>
    <rPh sb="23" eb="25">
      <t>セッケイ</t>
    </rPh>
    <rPh sb="25" eb="26">
      <t>ジ</t>
    </rPh>
    <phoneticPr fontId="4"/>
  </si>
  <si>
    <t>H29.8.28 日野様に三岐通運増築工事　設計中メールにて</t>
    <rPh sb="9" eb="12">
      <t>ヒノサマ</t>
    </rPh>
    <rPh sb="13" eb="14">
      <t>サン</t>
    </rPh>
    <rPh sb="14" eb="15">
      <t>キ</t>
    </rPh>
    <rPh sb="15" eb="17">
      <t>ツウウン</t>
    </rPh>
    <rPh sb="17" eb="19">
      <t>ゾウチク</t>
    </rPh>
    <rPh sb="19" eb="21">
      <t>コウジ</t>
    </rPh>
    <rPh sb="22" eb="25">
      <t>セッケイチュウ</t>
    </rPh>
    <phoneticPr fontId="4"/>
  </si>
  <si>
    <t>たかだ原動機 新工場</t>
    <rPh sb="3" eb="6">
      <t>ゲンドウキ</t>
    </rPh>
    <rPh sb="7" eb="8">
      <t>シン</t>
    </rPh>
    <rPh sb="8" eb="10">
      <t>コウジョウ</t>
    </rPh>
    <phoneticPr fontId="4"/>
  </si>
  <si>
    <t>佐賀県</t>
    <phoneticPr fontId="4"/>
  </si>
  <si>
    <t>唐津市</t>
    <rPh sb="0" eb="3">
      <t>カラツシ</t>
    </rPh>
    <phoneticPr fontId="4"/>
  </si>
  <si>
    <t>相知町相知</t>
    <rPh sb="0" eb="1">
      <t>アイ</t>
    </rPh>
    <rPh sb="1" eb="2">
      <t>チ</t>
    </rPh>
    <rPh sb="2" eb="3">
      <t>マチ</t>
    </rPh>
    <phoneticPr fontId="4"/>
  </si>
  <si>
    <t>アトリエ ディーノ・一級建築士事務所</t>
    <rPh sb="10" eb="12">
      <t>イッキュウ</t>
    </rPh>
    <rPh sb="12" eb="15">
      <t>ケンチクシ</t>
    </rPh>
    <rPh sb="15" eb="17">
      <t>ジム</t>
    </rPh>
    <rPh sb="17" eb="18">
      <t>ショ</t>
    </rPh>
    <phoneticPr fontId="4"/>
  </si>
  <si>
    <t>アトリエ ディーノ・一級建築士事務所</t>
    <phoneticPr fontId="4"/>
  </si>
  <si>
    <t>アトリエ ディーノ・イッキュウケンチクシジムショ</t>
    <phoneticPr fontId="4"/>
  </si>
  <si>
    <t>作業場・倉庫</t>
    <rPh sb="0" eb="2">
      <t>サギョウ</t>
    </rPh>
    <rPh sb="2" eb="3">
      <t>バ</t>
    </rPh>
    <rPh sb="4" eb="6">
      <t>ソウコ</t>
    </rPh>
    <phoneticPr fontId="4"/>
  </si>
  <si>
    <t>3m</t>
    <phoneticPr fontId="4"/>
  </si>
  <si>
    <t>4m</t>
    <phoneticPr fontId="4"/>
  </si>
  <si>
    <t>玉石混じり砂礫</t>
    <rPh sb="0" eb="2">
      <t>タマイシ</t>
    </rPh>
    <rPh sb="2" eb="3">
      <t>マ</t>
    </rPh>
    <rPh sb="5" eb="7">
      <t>サレキ</t>
    </rPh>
    <phoneticPr fontId="4"/>
  </si>
  <si>
    <t>マンション</t>
    <phoneticPr fontId="4"/>
  </si>
  <si>
    <t>ﾏﾝｼｮﾝ敷地内に駐車場棟の計画。</t>
    <rPh sb="5" eb="7">
      <t>シキチ</t>
    </rPh>
    <rPh sb="7" eb="8">
      <t>ナイ</t>
    </rPh>
    <rPh sb="9" eb="12">
      <t>チュウシャジョウ</t>
    </rPh>
    <rPh sb="12" eb="13">
      <t>トウ</t>
    </rPh>
    <rPh sb="14" eb="16">
      <t>ケイカク</t>
    </rPh>
    <phoneticPr fontId="4"/>
  </si>
  <si>
    <t>礫混じりシルト質砂・盛土</t>
    <rPh sb="0" eb="1">
      <t>レキ</t>
    </rPh>
    <rPh sb="1" eb="2">
      <t>マ</t>
    </rPh>
    <rPh sb="7" eb="8">
      <t>シツ</t>
    </rPh>
    <rPh sb="8" eb="9">
      <t>スナ</t>
    </rPh>
    <rPh sb="10" eb="11">
      <t>モリ</t>
    </rPh>
    <rPh sb="11" eb="12">
      <t>ド</t>
    </rPh>
    <phoneticPr fontId="4"/>
  </si>
  <si>
    <t>表土</t>
    <rPh sb="0" eb="2">
      <t>ヒョウド</t>
    </rPh>
    <phoneticPr fontId="4"/>
  </si>
  <si>
    <t>看板下 地盤改良あり</t>
    <rPh sb="0" eb="2">
      <t>カンバン</t>
    </rPh>
    <rPh sb="2" eb="3">
      <t>シタ</t>
    </rPh>
    <rPh sb="4" eb="6">
      <t>ジバン</t>
    </rPh>
    <rPh sb="6" eb="8">
      <t>カイリョウ</t>
    </rPh>
    <phoneticPr fontId="4"/>
  </si>
  <si>
    <t>H29.8.31 薬王堂能代寺向 皆川様にメールにて</t>
    <rPh sb="9" eb="10">
      <t>ヤク</t>
    </rPh>
    <rPh sb="10" eb="11">
      <t>オウ</t>
    </rPh>
    <rPh sb="11" eb="12">
      <t>ドウ</t>
    </rPh>
    <rPh sb="12" eb="13">
      <t>ノウ</t>
    </rPh>
    <rPh sb="13" eb="14">
      <t>カ</t>
    </rPh>
    <rPh sb="14" eb="15">
      <t>テラ</t>
    </rPh>
    <rPh sb="15" eb="16">
      <t>ム</t>
    </rPh>
    <rPh sb="17" eb="19">
      <t>ミナガワ</t>
    </rPh>
    <rPh sb="19" eb="20">
      <t>サマ</t>
    </rPh>
    <phoneticPr fontId="4"/>
  </si>
  <si>
    <t>ツルハドラッグ石巻鹿又</t>
    <rPh sb="7" eb="9">
      <t>イシノマキ</t>
    </rPh>
    <rPh sb="9" eb="10">
      <t>シカ</t>
    </rPh>
    <rPh sb="10" eb="11">
      <t>マタ</t>
    </rPh>
    <phoneticPr fontId="4"/>
  </si>
  <si>
    <t>宮城県</t>
    <phoneticPr fontId="4"/>
  </si>
  <si>
    <t>鹿又字道的前</t>
    <rPh sb="0" eb="1">
      <t>シカ</t>
    </rPh>
    <rPh sb="1" eb="2">
      <t>マタ</t>
    </rPh>
    <rPh sb="2" eb="3">
      <t>アザ</t>
    </rPh>
    <rPh sb="3" eb="4">
      <t>ミチ</t>
    </rPh>
    <rPh sb="4" eb="5">
      <t>テキ</t>
    </rPh>
    <rPh sb="5" eb="6">
      <t>マエ</t>
    </rPh>
    <phoneticPr fontId="4"/>
  </si>
  <si>
    <t>ｼﾙﾄ</t>
    <phoneticPr fontId="4"/>
  </si>
  <si>
    <t>11m</t>
    <phoneticPr fontId="4"/>
  </si>
  <si>
    <t>1m</t>
    <phoneticPr fontId="4"/>
  </si>
  <si>
    <t>3m</t>
    <phoneticPr fontId="4"/>
  </si>
  <si>
    <t>シルト混じり砂</t>
    <rPh sb="3" eb="4">
      <t>マ</t>
    </rPh>
    <rPh sb="6" eb="7">
      <t>スナ</t>
    </rPh>
    <phoneticPr fontId="4"/>
  </si>
  <si>
    <t>-</t>
    <phoneticPr fontId="4"/>
  </si>
  <si>
    <t>○</t>
    <phoneticPr fontId="4"/>
  </si>
  <si>
    <t>H29.08.31　花のまち 坂田様、田渕様にメールにて</t>
    <rPh sb="10" eb="11">
      <t>ハナ</t>
    </rPh>
    <rPh sb="15" eb="18">
      <t>サカタサマ</t>
    </rPh>
    <rPh sb="19" eb="21">
      <t>タブチ</t>
    </rPh>
    <rPh sb="21" eb="22">
      <t>サマ</t>
    </rPh>
    <phoneticPr fontId="4"/>
  </si>
  <si>
    <t>H29.08.31　花のまち 増田様にメールにて</t>
    <rPh sb="10" eb="11">
      <t>ハナ</t>
    </rPh>
    <rPh sb="15" eb="17">
      <t>マスダ</t>
    </rPh>
    <rPh sb="17" eb="18">
      <t>サマ</t>
    </rPh>
    <phoneticPr fontId="4"/>
  </si>
  <si>
    <t>粗砂</t>
    <rPh sb="0" eb="1">
      <t>アラ</t>
    </rPh>
    <rPh sb="1" eb="2">
      <t>スナ</t>
    </rPh>
    <phoneticPr fontId="4"/>
  </si>
  <si>
    <t>新規</t>
    <rPh sb="0" eb="2">
      <t>シンキ</t>
    </rPh>
    <phoneticPr fontId="4"/>
  </si>
  <si>
    <t>ユイ</t>
    <phoneticPr fontId="4"/>
  </si>
  <si>
    <t>ホワイトウィング清水本社ビル</t>
    <rPh sb="8" eb="10">
      <t>シミズ</t>
    </rPh>
    <rPh sb="10" eb="12">
      <t>ホンシャ</t>
    </rPh>
    <phoneticPr fontId="4"/>
  </si>
  <si>
    <t>静岡県</t>
    <phoneticPr fontId="4"/>
  </si>
  <si>
    <t>静岡市</t>
    <phoneticPr fontId="4"/>
  </si>
  <si>
    <t>清水区楠新田</t>
    <rPh sb="0" eb="2">
      <t>シミズ</t>
    </rPh>
    <rPh sb="2" eb="3">
      <t>ク</t>
    </rPh>
    <rPh sb="3" eb="4">
      <t>クス</t>
    </rPh>
    <rPh sb="4" eb="6">
      <t>ニッタ</t>
    </rPh>
    <phoneticPr fontId="4"/>
  </si>
  <si>
    <t>M・S・D設計</t>
    <rPh sb="5" eb="7">
      <t>セッケイ</t>
    </rPh>
    <phoneticPr fontId="4"/>
  </si>
  <si>
    <t>M・S・D設計</t>
    <phoneticPr fontId="4"/>
  </si>
  <si>
    <t>M・S・Dセッケイ</t>
    <phoneticPr fontId="4"/>
  </si>
  <si>
    <t>株式会社 積志工業社</t>
    <rPh sb="0" eb="2">
      <t>カブシキ</t>
    </rPh>
    <rPh sb="2" eb="4">
      <t>カイシャ</t>
    </rPh>
    <rPh sb="5" eb="6">
      <t>ツ</t>
    </rPh>
    <rPh sb="6" eb="7">
      <t>ココロザ</t>
    </rPh>
    <rPh sb="7" eb="9">
      <t>コウギョウ</t>
    </rPh>
    <rPh sb="9" eb="10">
      <t>シャ</t>
    </rPh>
    <phoneticPr fontId="4"/>
  </si>
  <si>
    <t>株式会社 積志工業社</t>
    <rPh sb="5" eb="7">
      <t>セキシ</t>
    </rPh>
    <phoneticPr fontId="4"/>
  </si>
  <si>
    <t>カブシキガイシャ セキシコウギョウシャ</t>
    <phoneticPr fontId="4"/>
  </si>
  <si>
    <t>1m</t>
    <phoneticPr fontId="4"/>
  </si>
  <si>
    <t>8m</t>
    <phoneticPr fontId="4"/>
  </si>
  <si>
    <t>6m</t>
    <phoneticPr fontId="4"/>
  </si>
  <si>
    <t>水路近い。</t>
    <rPh sb="0" eb="2">
      <t>スイロ</t>
    </rPh>
    <rPh sb="2" eb="3">
      <t>チカ</t>
    </rPh>
    <phoneticPr fontId="4"/>
  </si>
  <si>
    <t>ヤンマーアグリジャパン(株)玉名支店</t>
    <rPh sb="12" eb="13">
      <t>カブ</t>
    </rPh>
    <rPh sb="14" eb="16">
      <t>タマナ</t>
    </rPh>
    <rPh sb="16" eb="18">
      <t>シテン</t>
    </rPh>
    <phoneticPr fontId="4"/>
  </si>
  <si>
    <t>玉名市</t>
    <rPh sb="0" eb="3">
      <t>タマナシ</t>
    </rPh>
    <phoneticPr fontId="4"/>
  </si>
  <si>
    <t>滑石甲二ノ割</t>
    <rPh sb="0" eb="1">
      <t>スベ</t>
    </rPh>
    <rPh sb="1" eb="2">
      <t>イシ</t>
    </rPh>
    <rPh sb="2" eb="3">
      <t>コウ</t>
    </rPh>
    <rPh sb="3" eb="4">
      <t>ニ</t>
    </rPh>
    <rPh sb="5" eb="6">
      <t>ワリ</t>
    </rPh>
    <phoneticPr fontId="4"/>
  </si>
  <si>
    <t>11m</t>
    <phoneticPr fontId="4"/>
  </si>
  <si>
    <t>5m</t>
    <phoneticPr fontId="4"/>
  </si>
  <si>
    <t>4m</t>
    <phoneticPr fontId="4"/>
  </si>
  <si>
    <t>水路、既存石垣あり。</t>
    <rPh sb="0" eb="2">
      <t>スイロ</t>
    </rPh>
    <rPh sb="3" eb="5">
      <t>キソン</t>
    </rPh>
    <rPh sb="5" eb="7">
      <t>イシガキ</t>
    </rPh>
    <phoneticPr fontId="4"/>
  </si>
  <si>
    <t>工場・住宅</t>
    <rPh sb="0" eb="2">
      <t>コウジョウ</t>
    </rPh>
    <rPh sb="3" eb="5">
      <t>ジュウタク</t>
    </rPh>
    <phoneticPr fontId="4"/>
  </si>
  <si>
    <t>薬王堂能代寺向</t>
    <rPh sb="5" eb="6">
      <t>テラ</t>
    </rPh>
    <rPh sb="6" eb="7">
      <t>ム</t>
    </rPh>
    <phoneticPr fontId="4"/>
  </si>
  <si>
    <t>水路・工場</t>
    <rPh sb="0" eb="2">
      <t>スイロ</t>
    </rPh>
    <rPh sb="3" eb="5">
      <t>コウジョウ</t>
    </rPh>
    <phoneticPr fontId="4"/>
  </si>
  <si>
    <t>高山設計室</t>
    <rPh sb="0" eb="2">
      <t>タカヤマ</t>
    </rPh>
    <rPh sb="2" eb="5">
      <t>セッケイシツ</t>
    </rPh>
    <phoneticPr fontId="4"/>
  </si>
  <si>
    <t>水路、既存建物と近接。</t>
    <rPh sb="0" eb="2">
      <t>スイロ</t>
    </rPh>
    <rPh sb="3" eb="5">
      <t>キソン</t>
    </rPh>
    <rPh sb="5" eb="7">
      <t>タテモノ</t>
    </rPh>
    <rPh sb="8" eb="10">
      <t>キンセツ</t>
    </rPh>
    <phoneticPr fontId="4"/>
  </si>
  <si>
    <t>H29.09.11 早野様に沖本部長からTELにて</t>
    <rPh sb="10" eb="12">
      <t>ハヤノ</t>
    </rPh>
    <rPh sb="12" eb="13">
      <t>サマ</t>
    </rPh>
    <rPh sb="14" eb="16">
      <t>オキモト</t>
    </rPh>
    <rPh sb="16" eb="18">
      <t>ブチョウ</t>
    </rPh>
    <phoneticPr fontId="4"/>
  </si>
  <si>
    <t>H29.09.11 沖本部長からTELにて</t>
    <rPh sb="10" eb="12">
      <t>オキモト</t>
    </rPh>
    <rPh sb="12" eb="14">
      <t>ブチョウ</t>
    </rPh>
    <phoneticPr fontId="4"/>
  </si>
  <si>
    <t>佐賀県</t>
    <phoneticPr fontId="4"/>
  </si>
  <si>
    <t>杵島軍</t>
    <rPh sb="0" eb="1">
      <t>キネ</t>
    </rPh>
    <rPh sb="1" eb="2">
      <t>シマ</t>
    </rPh>
    <rPh sb="2" eb="3">
      <t>グン</t>
    </rPh>
    <phoneticPr fontId="4"/>
  </si>
  <si>
    <t>白石町大字福田三本榎</t>
    <phoneticPr fontId="4"/>
  </si>
  <si>
    <t>診療所</t>
    <phoneticPr fontId="4"/>
  </si>
  <si>
    <t>株式会社 ジ－エ－・タップ</t>
    <rPh sb="0" eb="2">
      <t>カブシキ</t>
    </rPh>
    <rPh sb="2" eb="4">
      <t>カイシャ</t>
    </rPh>
    <phoneticPr fontId="4"/>
  </si>
  <si>
    <t>13m</t>
    <phoneticPr fontId="4"/>
  </si>
  <si>
    <t>1m</t>
    <phoneticPr fontId="4"/>
  </si>
  <si>
    <t>まじま歯科クリニック</t>
    <rPh sb="3" eb="5">
      <t>シカ</t>
    </rPh>
    <phoneticPr fontId="4"/>
  </si>
  <si>
    <t>美野里運送倉庫 上越営業所</t>
    <rPh sb="0" eb="1">
      <t>ウツク</t>
    </rPh>
    <rPh sb="1" eb="2">
      <t>ノ</t>
    </rPh>
    <rPh sb="2" eb="3">
      <t>サト</t>
    </rPh>
    <rPh sb="3" eb="5">
      <t>ウンソウ</t>
    </rPh>
    <rPh sb="5" eb="7">
      <t>ソウコ</t>
    </rPh>
    <rPh sb="8" eb="10">
      <t>ジョウエツ</t>
    </rPh>
    <rPh sb="10" eb="13">
      <t>エイギョウショ</t>
    </rPh>
    <phoneticPr fontId="4"/>
  </si>
  <si>
    <t>新潟県</t>
    <phoneticPr fontId="4"/>
  </si>
  <si>
    <t>上越市</t>
    <phoneticPr fontId="4"/>
  </si>
  <si>
    <t>ダムプランニング</t>
    <phoneticPr fontId="4"/>
  </si>
  <si>
    <t>4m</t>
    <phoneticPr fontId="4"/>
  </si>
  <si>
    <t>田んぼ・水路</t>
    <rPh sb="0" eb="1">
      <t>タ</t>
    </rPh>
    <rPh sb="4" eb="6">
      <t>スイロ</t>
    </rPh>
    <phoneticPr fontId="4"/>
  </si>
  <si>
    <t>株式会社 確認サービス</t>
    <phoneticPr fontId="4"/>
  </si>
  <si>
    <t>日本建築検査協会 株式会社</t>
    <phoneticPr fontId="4"/>
  </si>
  <si>
    <t>バロー下恵土</t>
    <rPh sb="3" eb="4">
      <t>シタ</t>
    </rPh>
    <rPh sb="4" eb="5">
      <t>メグ</t>
    </rPh>
    <rPh sb="5" eb="6">
      <t>ツチ</t>
    </rPh>
    <phoneticPr fontId="4"/>
  </si>
  <si>
    <t>岐阜県</t>
    <phoneticPr fontId="4"/>
  </si>
  <si>
    <t>可児市</t>
    <rPh sb="0" eb="2">
      <t>カニ</t>
    </rPh>
    <rPh sb="2" eb="3">
      <t>シ</t>
    </rPh>
    <phoneticPr fontId="4"/>
  </si>
  <si>
    <t>下恵土</t>
    <phoneticPr fontId="4"/>
  </si>
  <si>
    <t>ヨークベニマル米沢春日</t>
    <rPh sb="7" eb="9">
      <t>ヨネザワ</t>
    </rPh>
    <rPh sb="9" eb="11">
      <t>カスガ</t>
    </rPh>
    <phoneticPr fontId="4"/>
  </si>
  <si>
    <t>JA邑楽館林 板倉A重油充填施設</t>
    <rPh sb="2" eb="3">
      <t>ムラ</t>
    </rPh>
    <rPh sb="3" eb="4">
      <t>ラク</t>
    </rPh>
    <rPh sb="4" eb="5">
      <t>カン</t>
    </rPh>
    <rPh sb="5" eb="6">
      <t>ハヤシ</t>
    </rPh>
    <rPh sb="7" eb="9">
      <t>イタクラ</t>
    </rPh>
    <rPh sb="10" eb="12">
      <t>ジュウユ</t>
    </rPh>
    <rPh sb="12" eb="14">
      <t>ジュウテン</t>
    </rPh>
    <rPh sb="14" eb="16">
      <t>シセツ</t>
    </rPh>
    <phoneticPr fontId="4"/>
  </si>
  <si>
    <t>群馬県</t>
    <phoneticPr fontId="4"/>
  </si>
  <si>
    <t>邑楽郡</t>
    <rPh sb="0" eb="1">
      <t>ムラ</t>
    </rPh>
    <rPh sb="1" eb="2">
      <t>ラク</t>
    </rPh>
    <rPh sb="2" eb="3">
      <t>グン</t>
    </rPh>
    <phoneticPr fontId="4"/>
  </si>
  <si>
    <t>板倉町</t>
    <rPh sb="0" eb="2">
      <t>イタクラ</t>
    </rPh>
    <rPh sb="2" eb="3">
      <t>マチ</t>
    </rPh>
    <phoneticPr fontId="4"/>
  </si>
  <si>
    <t>ﾀﾝｸ</t>
    <phoneticPr fontId="4"/>
  </si>
  <si>
    <t>-</t>
    <phoneticPr fontId="4"/>
  </si>
  <si>
    <t>第一工業 株式会社</t>
    <rPh sb="0" eb="2">
      <t>ダイイチ</t>
    </rPh>
    <rPh sb="2" eb="4">
      <t>コウギョウ</t>
    </rPh>
    <rPh sb="5" eb="7">
      <t>カブシキ</t>
    </rPh>
    <rPh sb="7" eb="9">
      <t>カイシャ</t>
    </rPh>
    <phoneticPr fontId="4"/>
  </si>
  <si>
    <t>第一工業 株式会社</t>
    <phoneticPr fontId="4"/>
  </si>
  <si>
    <t>第一工業 株式会社</t>
    <phoneticPr fontId="4"/>
  </si>
  <si>
    <t>ダイイチコウギョウ カブシキガイシャ</t>
    <phoneticPr fontId="4"/>
  </si>
  <si>
    <t>べた</t>
    <phoneticPr fontId="4"/>
  </si>
  <si>
    <t>1m</t>
    <phoneticPr fontId="4"/>
  </si>
  <si>
    <t>粘性土</t>
    <rPh sb="0" eb="2">
      <t>ネンセイ</t>
    </rPh>
    <rPh sb="2" eb="3">
      <t>ド</t>
    </rPh>
    <phoneticPr fontId="4"/>
  </si>
  <si>
    <t>2m</t>
    <phoneticPr fontId="4"/>
  </si>
  <si>
    <t>3m</t>
    <phoneticPr fontId="4"/>
  </si>
  <si>
    <t>砂混りｼﾙﾄ</t>
    <rPh sb="0" eb="1">
      <t>スナ</t>
    </rPh>
    <rPh sb="1" eb="2">
      <t>マ</t>
    </rPh>
    <phoneticPr fontId="4"/>
  </si>
  <si>
    <t>株式会社 国際確認検査センター</t>
    <phoneticPr fontId="4"/>
  </si>
  <si>
    <t>石狩ディストリビューションセンター</t>
    <phoneticPr fontId="4"/>
  </si>
  <si>
    <t>石狩市</t>
    <phoneticPr fontId="4"/>
  </si>
  <si>
    <t>新港南</t>
    <rPh sb="0" eb="1">
      <t>シン</t>
    </rPh>
    <rPh sb="1" eb="2">
      <t>ミナト</t>
    </rPh>
    <rPh sb="2" eb="3">
      <t>ミナミ</t>
    </rPh>
    <phoneticPr fontId="4"/>
  </si>
  <si>
    <t>株式会社 T&amp;N北海道設計事務所</t>
    <rPh sb="0" eb="2">
      <t>カブシキ</t>
    </rPh>
    <rPh sb="2" eb="4">
      <t>カイシャ</t>
    </rPh>
    <rPh sb="8" eb="11">
      <t>ホッカイドウ</t>
    </rPh>
    <rPh sb="11" eb="13">
      <t>セッケイ</t>
    </rPh>
    <rPh sb="13" eb="15">
      <t>ジム</t>
    </rPh>
    <rPh sb="15" eb="16">
      <t>ショ</t>
    </rPh>
    <phoneticPr fontId="4"/>
  </si>
  <si>
    <t>株式会社 T&amp;N北海道設計事務所</t>
    <phoneticPr fontId="4"/>
  </si>
  <si>
    <t>カブシキガイシャ T&amp;Nホッカイドウセッケイジムショ</t>
    <phoneticPr fontId="4"/>
  </si>
  <si>
    <t>5m</t>
    <phoneticPr fontId="4"/>
  </si>
  <si>
    <t>道路・病院</t>
    <rPh sb="0" eb="2">
      <t>ドウロ</t>
    </rPh>
    <rPh sb="3" eb="5">
      <t>ビョウイン</t>
    </rPh>
    <phoneticPr fontId="4"/>
  </si>
  <si>
    <t>株式会社 あい設計</t>
    <phoneticPr fontId="4"/>
  </si>
  <si>
    <t>モダン・プロ本社 事務所・倉庫</t>
    <rPh sb="6" eb="8">
      <t>ホンシャ</t>
    </rPh>
    <rPh sb="9" eb="11">
      <t>ジム</t>
    </rPh>
    <rPh sb="11" eb="12">
      <t>ショ</t>
    </rPh>
    <rPh sb="13" eb="15">
      <t>ソウコ</t>
    </rPh>
    <phoneticPr fontId="4"/>
  </si>
  <si>
    <t>岡山県</t>
    <phoneticPr fontId="4"/>
  </si>
  <si>
    <t>倉敷市</t>
    <phoneticPr fontId="4"/>
  </si>
  <si>
    <t>笹沖字山後西</t>
    <rPh sb="0" eb="1">
      <t>ササ</t>
    </rPh>
    <rPh sb="1" eb="2">
      <t>オキ</t>
    </rPh>
    <rPh sb="2" eb="3">
      <t>ジ</t>
    </rPh>
    <rPh sb="3" eb="4">
      <t>ヤマ</t>
    </rPh>
    <rPh sb="4" eb="5">
      <t>アト</t>
    </rPh>
    <rPh sb="5" eb="6">
      <t>ニシ</t>
    </rPh>
    <phoneticPr fontId="4"/>
  </si>
  <si>
    <t>礫・ｼﾙﾄ混り砂</t>
    <rPh sb="0" eb="1">
      <t>レキ</t>
    </rPh>
    <rPh sb="5" eb="6">
      <t>マ</t>
    </rPh>
    <rPh sb="7" eb="8">
      <t>スナ</t>
    </rPh>
    <phoneticPr fontId="4"/>
  </si>
  <si>
    <t>礫混り砂</t>
    <rPh sb="0" eb="1">
      <t>レキ</t>
    </rPh>
    <rPh sb="1" eb="2">
      <t>マ</t>
    </rPh>
    <rPh sb="3" eb="4">
      <t>スナ</t>
    </rPh>
    <phoneticPr fontId="4"/>
  </si>
  <si>
    <t>小松島市</t>
    <rPh sb="0" eb="2">
      <t>コマツ</t>
    </rPh>
    <rPh sb="2" eb="3">
      <t>シマ</t>
    </rPh>
    <rPh sb="3" eb="4">
      <t>シ</t>
    </rPh>
    <phoneticPr fontId="4"/>
  </si>
  <si>
    <t>坂野町</t>
    <rPh sb="0" eb="1">
      <t>サカ</t>
    </rPh>
    <rPh sb="1" eb="2">
      <t>ノ</t>
    </rPh>
    <rPh sb="2" eb="3">
      <t>マチ</t>
    </rPh>
    <phoneticPr fontId="4"/>
  </si>
  <si>
    <t>ハラダエンジニアリング 株式会社</t>
    <rPh sb="12" eb="14">
      <t>カブシキ</t>
    </rPh>
    <rPh sb="14" eb="16">
      <t>カイシャ</t>
    </rPh>
    <phoneticPr fontId="4"/>
  </si>
  <si>
    <t>10m</t>
    <phoneticPr fontId="4"/>
  </si>
  <si>
    <t>埋戻土</t>
    <rPh sb="0" eb="1">
      <t>ウ</t>
    </rPh>
    <rPh sb="1" eb="2">
      <t>モド</t>
    </rPh>
    <rPh sb="2" eb="3">
      <t>ド</t>
    </rPh>
    <phoneticPr fontId="4"/>
  </si>
  <si>
    <t>空地</t>
    <rPh sb="0" eb="1">
      <t>ア</t>
    </rPh>
    <rPh sb="1" eb="2">
      <t>チ</t>
    </rPh>
    <phoneticPr fontId="4"/>
  </si>
  <si>
    <t>クリエイトエスディー足立綾瀬</t>
    <rPh sb="10" eb="12">
      <t>アダチ</t>
    </rPh>
    <rPh sb="12" eb="14">
      <t>アヤセ</t>
    </rPh>
    <phoneticPr fontId="4"/>
  </si>
  <si>
    <t>足立区</t>
    <phoneticPr fontId="4"/>
  </si>
  <si>
    <t>綾瀬</t>
    <rPh sb="0" eb="2">
      <t>アヤセ</t>
    </rPh>
    <phoneticPr fontId="4"/>
  </si>
  <si>
    <t>株式会社 渡辺建設事務所</t>
    <phoneticPr fontId="4"/>
  </si>
  <si>
    <t>カブシキガイシャ ワタナベケンセツジムショ</t>
    <phoneticPr fontId="4"/>
  </si>
  <si>
    <t>6m</t>
    <phoneticPr fontId="4"/>
  </si>
  <si>
    <t>ｼﾙﾄ</t>
    <phoneticPr fontId="4"/>
  </si>
  <si>
    <t>8m</t>
    <phoneticPr fontId="4"/>
  </si>
  <si>
    <t>ｶﾈｷﾝ川村水産 虻田工場</t>
    <rPh sb="4" eb="6">
      <t>カワムラ</t>
    </rPh>
    <rPh sb="6" eb="8">
      <t>スイサン</t>
    </rPh>
    <rPh sb="9" eb="11">
      <t>アブタ</t>
    </rPh>
    <rPh sb="11" eb="13">
      <t>コウジョウ</t>
    </rPh>
    <phoneticPr fontId="4"/>
  </si>
  <si>
    <t>ﾊｶﾙﾌﾟﾗｽ株式会社 食堂・社員寮</t>
    <rPh sb="7" eb="9">
      <t>カブシキ</t>
    </rPh>
    <rPh sb="9" eb="11">
      <t>カイシャ</t>
    </rPh>
    <rPh sb="12" eb="14">
      <t>ショクドウ</t>
    </rPh>
    <rPh sb="15" eb="17">
      <t>シャイン</t>
    </rPh>
    <rPh sb="17" eb="18">
      <t>リョウ</t>
    </rPh>
    <phoneticPr fontId="4"/>
  </si>
  <si>
    <t>淀川区田川</t>
    <rPh sb="0" eb="3">
      <t>ヨドガワク</t>
    </rPh>
    <rPh sb="3" eb="5">
      <t>タガワ</t>
    </rPh>
    <phoneticPr fontId="4"/>
  </si>
  <si>
    <t>食堂・社員寮</t>
    <phoneticPr fontId="4"/>
  </si>
  <si>
    <t>株式会社 遠藤秀平建築研究所</t>
    <rPh sb="0" eb="2">
      <t>カブシキ</t>
    </rPh>
    <rPh sb="2" eb="4">
      <t>カイシャ</t>
    </rPh>
    <rPh sb="5" eb="7">
      <t>エンドウ</t>
    </rPh>
    <rPh sb="7" eb="9">
      <t>シュウヘイ</t>
    </rPh>
    <rPh sb="9" eb="11">
      <t>ケンチク</t>
    </rPh>
    <rPh sb="11" eb="14">
      <t>ケンキュウショ</t>
    </rPh>
    <phoneticPr fontId="4"/>
  </si>
  <si>
    <t>株式会社 遠藤秀平建築研究所</t>
    <phoneticPr fontId="4"/>
  </si>
  <si>
    <t>カブシキガイシャ エンドウシュウヘイケンチクケンキュウショ</t>
    <phoneticPr fontId="4"/>
  </si>
  <si>
    <t>財団法人 静岡県建築住宅まちづくりセンター</t>
    <phoneticPr fontId="4"/>
  </si>
  <si>
    <t>長府製作所 駐車場</t>
    <rPh sb="0" eb="2">
      <t>チョウフ</t>
    </rPh>
    <rPh sb="2" eb="4">
      <t>セイサク</t>
    </rPh>
    <rPh sb="4" eb="5">
      <t>ショ</t>
    </rPh>
    <rPh sb="6" eb="9">
      <t>チュウシャジョウ</t>
    </rPh>
    <phoneticPr fontId="4"/>
  </si>
  <si>
    <t>山口県</t>
    <phoneticPr fontId="4"/>
  </si>
  <si>
    <t>長府</t>
    <rPh sb="0" eb="2">
      <t>チョウフ</t>
    </rPh>
    <phoneticPr fontId="4"/>
  </si>
  <si>
    <t>池田建築設計事務所</t>
    <rPh sb="0" eb="2">
      <t>イケダ</t>
    </rPh>
    <rPh sb="2" eb="4">
      <t>ケンチク</t>
    </rPh>
    <rPh sb="4" eb="6">
      <t>セッケイ</t>
    </rPh>
    <rPh sb="6" eb="8">
      <t>ジム</t>
    </rPh>
    <rPh sb="8" eb="9">
      <t>ショ</t>
    </rPh>
    <phoneticPr fontId="4"/>
  </si>
  <si>
    <t>池田建築設計事務所</t>
    <phoneticPr fontId="4"/>
  </si>
  <si>
    <t>有限会社 太田敦子建築設計事務所</t>
    <rPh sb="0" eb="2">
      <t>ユウゲン</t>
    </rPh>
    <rPh sb="2" eb="4">
      <t>カイシャ</t>
    </rPh>
    <rPh sb="5" eb="7">
      <t>オオタ</t>
    </rPh>
    <rPh sb="7" eb="9">
      <t>アツコ</t>
    </rPh>
    <rPh sb="9" eb="11">
      <t>ケンチク</t>
    </rPh>
    <rPh sb="11" eb="13">
      <t>セッケイ</t>
    </rPh>
    <rPh sb="13" eb="15">
      <t>ジム</t>
    </rPh>
    <rPh sb="15" eb="16">
      <t>ショ</t>
    </rPh>
    <phoneticPr fontId="4"/>
  </si>
  <si>
    <t>有限会社 太田敦子建築設計事務所</t>
    <phoneticPr fontId="4"/>
  </si>
  <si>
    <t>ユウゲンガイシャ 太田アツコケンチクセッケイジムショ</t>
    <rPh sb="9" eb="11">
      <t>オオタ</t>
    </rPh>
    <phoneticPr fontId="4"/>
  </si>
  <si>
    <t>イケダケンチクセッケイジムショ</t>
    <phoneticPr fontId="4"/>
  </si>
  <si>
    <t>3m</t>
    <phoneticPr fontId="4"/>
  </si>
  <si>
    <t>ｼﾙﾄ</t>
    <phoneticPr fontId="4"/>
  </si>
  <si>
    <t>11m</t>
    <phoneticPr fontId="4"/>
  </si>
  <si>
    <t>3棟</t>
    <rPh sb="1" eb="2">
      <t>トウ</t>
    </rPh>
    <phoneticPr fontId="4"/>
  </si>
  <si>
    <t>高知県 高知市役所</t>
    <phoneticPr fontId="4"/>
  </si>
  <si>
    <t>-</t>
    <phoneticPr fontId="4"/>
  </si>
  <si>
    <t>株式会社 武士構造設計</t>
    <rPh sb="0" eb="2">
      <t>カブシキ</t>
    </rPh>
    <rPh sb="2" eb="4">
      <t>カイシャ</t>
    </rPh>
    <rPh sb="5" eb="7">
      <t>ブシ</t>
    </rPh>
    <rPh sb="7" eb="9">
      <t>コウゾウ</t>
    </rPh>
    <rPh sb="9" eb="11">
      <t>セッケイ</t>
    </rPh>
    <phoneticPr fontId="4"/>
  </si>
  <si>
    <t>株式会社 武士構造設計</t>
    <phoneticPr fontId="4"/>
  </si>
  <si>
    <t>カブシキガイシャ タケシコウゾウセッケイ</t>
    <phoneticPr fontId="4"/>
  </si>
  <si>
    <t>山形県</t>
    <phoneticPr fontId="4"/>
  </si>
  <si>
    <t>米沢市</t>
    <phoneticPr fontId="4"/>
  </si>
  <si>
    <t>春日</t>
    <rPh sb="0" eb="2">
      <t>カスガ</t>
    </rPh>
    <phoneticPr fontId="4"/>
  </si>
  <si>
    <t>○</t>
    <phoneticPr fontId="4"/>
  </si>
  <si>
    <t>3m</t>
    <phoneticPr fontId="4"/>
  </si>
  <si>
    <t>ｼﾙﾄ</t>
    <phoneticPr fontId="4"/>
  </si>
  <si>
    <t>2</t>
    <phoneticPr fontId="4"/>
  </si>
  <si>
    <t>-</t>
    <phoneticPr fontId="4"/>
  </si>
  <si>
    <t>川崎区千鳥町</t>
    <phoneticPr fontId="4"/>
  </si>
  <si>
    <t>-</t>
    <phoneticPr fontId="4"/>
  </si>
  <si>
    <t>9m</t>
    <phoneticPr fontId="4"/>
  </si>
  <si>
    <t>3m</t>
    <phoneticPr fontId="4"/>
  </si>
  <si>
    <t>敷地内工場等</t>
    <rPh sb="0" eb="2">
      <t>シキチ</t>
    </rPh>
    <rPh sb="2" eb="3">
      <t>ナイ</t>
    </rPh>
    <rPh sb="3" eb="5">
      <t>コウジョウ</t>
    </rPh>
    <rPh sb="5" eb="6">
      <t>トウ</t>
    </rPh>
    <phoneticPr fontId="4"/>
  </si>
  <si>
    <t>ポンプ棟と充填棟の2棟</t>
    <rPh sb="3" eb="4">
      <t>トウ</t>
    </rPh>
    <rPh sb="5" eb="7">
      <t>ジュウテン</t>
    </rPh>
    <rPh sb="7" eb="8">
      <t>トウ</t>
    </rPh>
    <rPh sb="10" eb="11">
      <t>トウ</t>
    </rPh>
    <phoneticPr fontId="4"/>
  </si>
  <si>
    <t>PCB一時払出設備製作・設置・撤去工事(某川崎案件)</t>
    <rPh sb="3" eb="5">
      <t>イチジ</t>
    </rPh>
    <rPh sb="5" eb="7">
      <t>ハライダシ</t>
    </rPh>
    <rPh sb="7" eb="9">
      <t>セツビ</t>
    </rPh>
    <rPh sb="9" eb="11">
      <t>セイサク</t>
    </rPh>
    <rPh sb="12" eb="14">
      <t>セッチ</t>
    </rPh>
    <rPh sb="15" eb="17">
      <t>テッキョ</t>
    </rPh>
    <rPh sb="17" eb="19">
      <t>コウジ</t>
    </rPh>
    <rPh sb="20" eb="21">
      <t>ボウ</t>
    </rPh>
    <rPh sb="21" eb="23">
      <t>カワサキ</t>
    </rPh>
    <rPh sb="23" eb="25">
      <t>アンケン</t>
    </rPh>
    <phoneticPr fontId="4"/>
  </si>
  <si>
    <t>津市</t>
    <rPh sb="0" eb="2">
      <t>ツシ</t>
    </rPh>
    <phoneticPr fontId="4"/>
  </si>
  <si>
    <t>株式会社 安心確認検査機構</t>
    <rPh sb="0" eb="4">
      <t>カブシキガイシャ</t>
    </rPh>
    <rPh sb="5" eb="7">
      <t>アンシン</t>
    </rPh>
    <rPh sb="7" eb="9">
      <t>カクニン</t>
    </rPh>
    <rPh sb="9" eb="11">
      <t>ケンサ</t>
    </rPh>
    <rPh sb="11" eb="13">
      <t>キコウ</t>
    </rPh>
    <phoneticPr fontId="4"/>
  </si>
  <si>
    <t>株式会社 安心確認検査機構</t>
    <phoneticPr fontId="4"/>
  </si>
  <si>
    <t>宮浦</t>
    <rPh sb="0" eb="2">
      <t>ミヤウラ</t>
    </rPh>
    <phoneticPr fontId="4"/>
  </si>
  <si>
    <t>頸城区上吉字本田</t>
    <phoneticPr fontId="4"/>
  </si>
  <si>
    <t>静岡県建築技術安心支援センター</t>
    <phoneticPr fontId="4"/>
  </si>
  <si>
    <t>財団法人 静岡県建築住宅まちづくりセンター</t>
    <phoneticPr fontId="4"/>
  </si>
  <si>
    <t>栄光堂印刷所様事務所及び貸ﾃﾅﾝﾄﾋﾞﾙ</t>
    <rPh sb="0" eb="2">
      <t>エイコウ</t>
    </rPh>
    <rPh sb="2" eb="3">
      <t>ドウ</t>
    </rPh>
    <rPh sb="3" eb="5">
      <t>インサツ</t>
    </rPh>
    <rPh sb="5" eb="6">
      <t>ショ</t>
    </rPh>
    <rPh sb="6" eb="7">
      <t>サマ</t>
    </rPh>
    <rPh sb="7" eb="9">
      <t>ジム</t>
    </rPh>
    <rPh sb="9" eb="10">
      <t>ショ</t>
    </rPh>
    <rPh sb="10" eb="11">
      <t>オヨ</t>
    </rPh>
    <rPh sb="12" eb="13">
      <t>カ</t>
    </rPh>
    <phoneticPr fontId="4"/>
  </si>
  <si>
    <t>大阪市</t>
    <phoneticPr fontId="4"/>
  </si>
  <si>
    <t>大正区三軒家東</t>
    <rPh sb="0" eb="2">
      <t>タイショウ</t>
    </rPh>
    <rPh sb="2" eb="3">
      <t>ク</t>
    </rPh>
    <rPh sb="3" eb="5">
      <t>サンゲン</t>
    </rPh>
    <rPh sb="5" eb="6">
      <t>イエ</t>
    </rPh>
    <rPh sb="6" eb="7">
      <t>ヒガシ</t>
    </rPh>
    <phoneticPr fontId="4"/>
  </si>
  <si>
    <t>店舗・事務所</t>
    <rPh sb="0" eb="2">
      <t>テンポ</t>
    </rPh>
    <rPh sb="3" eb="5">
      <t>ジム</t>
    </rPh>
    <rPh sb="5" eb="6">
      <t>ショ</t>
    </rPh>
    <phoneticPr fontId="4"/>
  </si>
  <si>
    <t>株式会社 M-ars</t>
    <rPh sb="0" eb="2">
      <t>カブシキ</t>
    </rPh>
    <rPh sb="2" eb="4">
      <t>カイシャ</t>
    </rPh>
    <phoneticPr fontId="4"/>
  </si>
  <si>
    <t>株式会社 M-ars</t>
    <phoneticPr fontId="4"/>
  </si>
  <si>
    <t>カブシキガイシャ M-ars</t>
    <phoneticPr fontId="4"/>
  </si>
  <si>
    <t>株式会社 システム建築設計事務所</t>
    <rPh sb="0" eb="2">
      <t>カブシキ</t>
    </rPh>
    <rPh sb="2" eb="4">
      <t>カイシャ</t>
    </rPh>
    <rPh sb="9" eb="11">
      <t>ケンチク</t>
    </rPh>
    <rPh sb="11" eb="13">
      <t>セッケイ</t>
    </rPh>
    <rPh sb="13" eb="15">
      <t>ジム</t>
    </rPh>
    <rPh sb="15" eb="16">
      <t>ショ</t>
    </rPh>
    <phoneticPr fontId="4"/>
  </si>
  <si>
    <t>株式会社 システム建築設計事務所</t>
    <phoneticPr fontId="4"/>
  </si>
  <si>
    <t>カブシキガイシャ システムケンチクセッケイジムショ</t>
    <phoneticPr fontId="4"/>
  </si>
  <si>
    <t>株式会社 ヤマトコーポレーション</t>
    <rPh sb="0" eb="2">
      <t>カブシキ</t>
    </rPh>
    <rPh sb="2" eb="4">
      <t>カイシャ</t>
    </rPh>
    <phoneticPr fontId="4"/>
  </si>
  <si>
    <t>株式会社 ヤマトコーポレーション</t>
    <phoneticPr fontId="4"/>
  </si>
  <si>
    <t>カブシキガイシャ ヤマトコーポレーション</t>
    <phoneticPr fontId="4"/>
  </si>
  <si>
    <t>18m</t>
    <phoneticPr fontId="4"/>
  </si>
  <si>
    <t>4m</t>
    <phoneticPr fontId="4"/>
  </si>
  <si>
    <t>埋土(ｼﾙﾄ質細砂)</t>
    <rPh sb="0" eb="1">
      <t>ウ</t>
    </rPh>
    <rPh sb="1" eb="2">
      <t>ド</t>
    </rPh>
    <rPh sb="6" eb="7">
      <t>シツ</t>
    </rPh>
    <rPh sb="7" eb="8">
      <t>サイ</t>
    </rPh>
    <rPh sb="8" eb="9">
      <t>サ</t>
    </rPh>
    <phoneticPr fontId="4"/>
  </si>
  <si>
    <t>粘土質砂礫</t>
    <rPh sb="0" eb="2">
      <t>ネンド</t>
    </rPh>
    <rPh sb="2" eb="3">
      <t>シツ</t>
    </rPh>
    <rPh sb="3" eb="5">
      <t>サレキ</t>
    </rPh>
    <phoneticPr fontId="4"/>
  </si>
  <si>
    <t>ツルハドラッグ大河原</t>
    <rPh sb="7" eb="10">
      <t>オオガワラ</t>
    </rPh>
    <phoneticPr fontId="4"/>
  </si>
  <si>
    <t>ｼﾙﾄ</t>
    <phoneticPr fontId="4"/>
  </si>
  <si>
    <t>3m</t>
    <phoneticPr fontId="4"/>
  </si>
  <si>
    <t>宮城県</t>
    <phoneticPr fontId="4"/>
  </si>
  <si>
    <t>柴田郡</t>
    <phoneticPr fontId="4"/>
  </si>
  <si>
    <t>大河原町字新南</t>
    <rPh sb="0" eb="3">
      <t>オオガワラ</t>
    </rPh>
    <rPh sb="3" eb="4">
      <t>マチ</t>
    </rPh>
    <rPh sb="4" eb="5">
      <t>ジ</t>
    </rPh>
    <rPh sb="5" eb="6">
      <t>シン</t>
    </rPh>
    <rPh sb="6" eb="7">
      <t>ミナミ</t>
    </rPh>
    <phoneticPr fontId="4"/>
  </si>
  <si>
    <t>久保田工業 本社工場【事務所棟】</t>
    <rPh sb="0" eb="3">
      <t>クボタ</t>
    </rPh>
    <rPh sb="3" eb="5">
      <t>コウギョウ</t>
    </rPh>
    <rPh sb="6" eb="8">
      <t>ホンシャ</t>
    </rPh>
    <rPh sb="8" eb="10">
      <t>コウジョウ</t>
    </rPh>
    <rPh sb="11" eb="13">
      <t>ジム</t>
    </rPh>
    <rPh sb="13" eb="14">
      <t>ショ</t>
    </rPh>
    <rPh sb="14" eb="15">
      <t>トウ</t>
    </rPh>
    <phoneticPr fontId="4"/>
  </si>
  <si>
    <t>事務所</t>
    <phoneticPr fontId="4"/>
  </si>
  <si>
    <t>4号建築物</t>
    <rPh sb="1" eb="2">
      <t>ゴウ</t>
    </rPh>
    <rPh sb="2" eb="5">
      <t>ケンチクブツ</t>
    </rPh>
    <phoneticPr fontId="4"/>
  </si>
  <si>
    <t>株式会社 確認審査機構 アネックス</t>
    <phoneticPr fontId="4"/>
  </si>
  <si>
    <t>礫混じり粘土質砂</t>
    <rPh sb="0" eb="1">
      <t>レキ</t>
    </rPh>
    <rPh sb="1" eb="2">
      <t>マ</t>
    </rPh>
    <rPh sb="4" eb="6">
      <t>ネンド</t>
    </rPh>
    <rPh sb="6" eb="7">
      <t>シツ</t>
    </rPh>
    <rPh sb="7" eb="8">
      <t>スナ</t>
    </rPh>
    <phoneticPr fontId="4"/>
  </si>
  <si>
    <t>敷地内・駐車場</t>
    <rPh sb="0" eb="2">
      <t>シキチ</t>
    </rPh>
    <rPh sb="2" eb="3">
      <t>ナイ</t>
    </rPh>
    <rPh sb="4" eb="7">
      <t>チュウシャジョウ</t>
    </rPh>
    <phoneticPr fontId="4"/>
  </si>
  <si>
    <t>宮城県</t>
    <phoneticPr fontId="4"/>
  </si>
  <si>
    <t>名取市</t>
    <rPh sb="0" eb="3">
      <t>ナトリシ</t>
    </rPh>
    <phoneticPr fontId="4"/>
  </si>
  <si>
    <t>上余田千刈田</t>
    <rPh sb="0" eb="1">
      <t>ウエ</t>
    </rPh>
    <rPh sb="1" eb="2">
      <t>アマ</t>
    </rPh>
    <rPh sb="2" eb="3">
      <t>タ</t>
    </rPh>
    <rPh sb="3" eb="4">
      <t>セン</t>
    </rPh>
    <rPh sb="4" eb="5">
      <t>カ</t>
    </rPh>
    <rPh sb="5" eb="6">
      <t>タ</t>
    </rPh>
    <phoneticPr fontId="4"/>
  </si>
  <si>
    <t>4m</t>
    <phoneticPr fontId="4"/>
  </si>
  <si>
    <t>5m</t>
    <phoneticPr fontId="4"/>
  </si>
  <si>
    <t>ほのか㈱共同利用穀類乾燥調整施設</t>
    <rPh sb="4" eb="6">
      <t>キョウドウ</t>
    </rPh>
    <rPh sb="6" eb="8">
      <t>リヨウ</t>
    </rPh>
    <rPh sb="8" eb="10">
      <t>コクルイ</t>
    </rPh>
    <rPh sb="10" eb="12">
      <t>カンソウ</t>
    </rPh>
    <rPh sb="12" eb="14">
      <t>チョウセイ</t>
    </rPh>
    <rPh sb="14" eb="16">
      <t>シセツ</t>
    </rPh>
    <phoneticPr fontId="4"/>
  </si>
  <si>
    <t>和田
金</t>
    <rPh sb="0" eb="2">
      <t>ワダ</t>
    </rPh>
    <rPh sb="3" eb="4">
      <t>キン</t>
    </rPh>
    <phoneticPr fontId="4"/>
  </si>
  <si>
    <t>170142-2</t>
    <phoneticPr fontId="4"/>
  </si>
  <si>
    <t>戸木町</t>
    <rPh sb="0" eb="1">
      <t>ト</t>
    </rPh>
    <rPh sb="1" eb="2">
      <t>キ</t>
    </rPh>
    <rPh sb="2" eb="3">
      <t>マチ</t>
    </rPh>
    <phoneticPr fontId="4"/>
  </si>
  <si>
    <t>浅倉水道社屋</t>
    <rPh sb="0" eb="2">
      <t>アサクラ</t>
    </rPh>
    <rPh sb="2" eb="4">
      <t>スイドウ</t>
    </rPh>
    <rPh sb="4" eb="6">
      <t>シャオク</t>
    </rPh>
    <phoneticPr fontId="4"/>
  </si>
  <si>
    <t>川口市</t>
    <phoneticPr fontId="4"/>
  </si>
  <si>
    <t>仲町</t>
    <rPh sb="0" eb="1">
      <t>ナカ</t>
    </rPh>
    <rPh sb="1" eb="2">
      <t>マチ</t>
    </rPh>
    <phoneticPr fontId="4"/>
  </si>
  <si>
    <t>事務所</t>
    <phoneticPr fontId="4"/>
  </si>
  <si>
    <t>株式会社 M104設計</t>
    <rPh sb="9" eb="11">
      <t>セッケイ</t>
    </rPh>
    <phoneticPr fontId="4"/>
  </si>
  <si>
    <t>一級建築士事務所 関口設計</t>
    <rPh sb="0" eb="2">
      <t>イッキュウ</t>
    </rPh>
    <rPh sb="2" eb="5">
      <t>ケンチクシ</t>
    </rPh>
    <rPh sb="5" eb="7">
      <t>ジム</t>
    </rPh>
    <rPh sb="7" eb="8">
      <t>ショ</t>
    </rPh>
    <rPh sb="9" eb="11">
      <t>セキグチ</t>
    </rPh>
    <rPh sb="11" eb="13">
      <t>セッケイ</t>
    </rPh>
    <phoneticPr fontId="4"/>
  </si>
  <si>
    <t>株式会社 M104設計</t>
    <phoneticPr fontId="4"/>
  </si>
  <si>
    <t>一級建築士事務所 関口設計</t>
    <phoneticPr fontId="4"/>
  </si>
  <si>
    <t>カブシキガイシャ M104セッケイ</t>
    <phoneticPr fontId="4"/>
  </si>
  <si>
    <t>イッキュウケンチクシジムショ セキグチセッケイ</t>
    <phoneticPr fontId="4"/>
  </si>
  <si>
    <t>12m</t>
    <phoneticPr fontId="4"/>
  </si>
  <si>
    <t>5m</t>
    <phoneticPr fontId="4"/>
  </si>
  <si>
    <t>ｼﾙﾄ混り細砂</t>
    <rPh sb="3" eb="4">
      <t>マ</t>
    </rPh>
    <rPh sb="5" eb="6">
      <t>サイ</t>
    </rPh>
    <rPh sb="6" eb="7">
      <t>サ</t>
    </rPh>
    <phoneticPr fontId="4"/>
  </si>
  <si>
    <t>二重ｽﾗﾌﾞ</t>
    <rPh sb="0" eb="2">
      <t>ニジュウ</t>
    </rPh>
    <phoneticPr fontId="4"/>
  </si>
  <si>
    <t>4F建</t>
    <phoneticPr fontId="4"/>
  </si>
  <si>
    <t>株式会社 ビルディングナビゲーション 確認評価機構</t>
    <phoneticPr fontId="4"/>
  </si>
  <si>
    <t>株式会社 ビルディングナビゲーション 確認評価機構</t>
    <phoneticPr fontId="4"/>
  </si>
  <si>
    <t>オートバックス東雲</t>
    <rPh sb="7" eb="9">
      <t>シノノメ</t>
    </rPh>
    <phoneticPr fontId="4"/>
  </si>
  <si>
    <t>広島市</t>
    <phoneticPr fontId="4"/>
  </si>
  <si>
    <t>南区東雲</t>
    <rPh sb="0" eb="2">
      <t>ミナミク</t>
    </rPh>
    <rPh sb="2" eb="4">
      <t>シノノメ</t>
    </rPh>
    <phoneticPr fontId="4"/>
  </si>
  <si>
    <t>3m</t>
    <phoneticPr fontId="4"/>
  </si>
  <si>
    <t>2m</t>
    <phoneticPr fontId="4"/>
  </si>
  <si>
    <t>6m</t>
    <phoneticPr fontId="4"/>
  </si>
  <si>
    <t>バロー高辻 本体棟</t>
    <rPh sb="3" eb="5">
      <t>タカツジ</t>
    </rPh>
    <rPh sb="6" eb="8">
      <t>ホンタイ</t>
    </rPh>
    <rPh sb="8" eb="9">
      <t>トウ</t>
    </rPh>
    <phoneticPr fontId="4"/>
  </si>
  <si>
    <t>バロー高辻 テナント棟</t>
    <rPh sb="3" eb="5">
      <t>タカツジ</t>
    </rPh>
    <rPh sb="10" eb="11">
      <t>トウ</t>
    </rPh>
    <phoneticPr fontId="4"/>
  </si>
  <si>
    <t>昭和区高辻町</t>
    <rPh sb="0" eb="2">
      <t>ショウワ</t>
    </rPh>
    <rPh sb="2" eb="3">
      <t>ク</t>
    </rPh>
    <rPh sb="3" eb="5">
      <t>タカツジ</t>
    </rPh>
    <rPh sb="5" eb="6">
      <t>マチ</t>
    </rPh>
    <phoneticPr fontId="4"/>
  </si>
  <si>
    <t>キグチテクニクス切断センター</t>
    <rPh sb="8" eb="10">
      <t>セツダン</t>
    </rPh>
    <phoneticPr fontId="4"/>
  </si>
  <si>
    <t>黒井田町字隠谷</t>
    <rPh sb="0" eb="1">
      <t>クロ</t>
    </rPh>
    <rPh sb="1" eb="3">
      <t>イダ</t>
    </rPh>
    <rPh sb="3" eb="4">
      <t>マチ</t>
    </rPh>
    <rPh sb="4" eb="5">
      <t>アザ</t>
    </rPh>
    <rPh sb="5" eb="6">
      <t>カク</t>
    </rPh>
    <rPh sb="6" eb="7">
      <t>タニ</t>
    </rPh>
    <phoneticPr fontId="4"/>
  </si>
  <si>
    <t>株式会社 アイウォーク</t>
    <rPh sb="0" eb="2">
      <t>カブシキ</t>
    </rPh>
    <rPh sb="2" eb="4">
      <t>カイシャ</t>
    </rPh>
    <phoneticPr fontId="4"/>
  </si>
  <si>
    <t>有限会社 サムデイ一級建築士事務所</t>
    <rPh sb="0" eb="2">
      <t>ユウゲン</t>
    </rPh>
    <rPh sb="2" eb="4">
      <t>カイシャ</t>
    </rPh>
    <rPh sb="9" eb="11">
      <t>イッキュウ</t>
    </rPh>
    <rPh sb="11" eb="14">
      <t>ケンチクシ</t>
    </rPh>
    <rPh sb="14" eb="16">
      <t>ジム</t>
    </rPh>
    <rPh sb="16" eb="17">
      <t>ショ</t>
    </rPh>
    <phoneticPr fontId="4"/>
  </si>
  <si>
    <t>株式会社 アイウォーク</t>
    <phoneticPr fontId="4"/>
  </si>
  <si>
    <t>有限会社 サムデイ一級建築士事務所</t>
    <phoneticPr fontId="4"/>
  </si>
  <si>
    <t>カブシキガイシャ アイウォーク</t>
    <phoneticPr fontId="4"/>
  </si>
  <si>
    <t>シルト混じり砂礫</t>
    <rPh sb="3" eb="4">
      <t>マ</t>
    </rPh>
    <rPh sb="6" eb="8">
      <t>サレキ</t>
    </rPh>
    <phoneticPr fontId="4"/>
  </si>
  <si>
    <t>3m</t>
    <phoneticPr fontId="4"/>
  </si>
  <si>
    <t>シルト混じり砂・シルト質粘土</t>
    <rPh sb="3" eb="4">
      <t>マ</t>
    </rPh>
    <rPh sb="6" eb="7">
      <t>スナ</t>
    </rPh>
    <rPh sb="11" eb="12">
      <t>シツ</t>
    </rPh>
    <rPh sb="12" eb="14">
      <t>ネンド</t>
    </rPh>
    <phoneticPr fontId="4"/>
  </si>
  <si>
    <t>18m</t>
    <phoneticPr fontId="4"/>
  </si>
  <si>
    <t>1m</t>
    <phoneticPr fontId="4"/>
  </si>
  <si>
    <t>1m</t>
    <phoneticPr fontId="4"/>
  </si>
  <si>
    <t>アイサワ工業 広島支店</t>
    <rPh sb="4" eb="6">
      <t>コウギョウ</t>
    </rPh>
    <rPh sb="7" eb="9">
      <t>ヒロシマ</t>
    </rPh>
    <rPh sb="9" eb="11">
      <t>シテン</t>
    </rPh>
    <phoneticPr fontId="4"/>
  </si>
  <si>
    <t>広島市</t>
    <phoneticPr fontId="4"/>
  </si>
  <si>
    <t>中区白島九軒町</t>
    <rPh sb="0" eb="2">
      <t>ナカク</t>
    </rPh>
    <rPh sb="2" eb="4">
      <t>ハクシマ</t>
    </rPh>
    <rPh sb="4" eb="5">
      <t>９</t>
    </rPh>
    <rPh sb="5" eb="6">
      <t>ケン</t>
    </rPh>
    <rPh sb="6" eb="7">
      <t>マチ</t>
    </rPh>
    <phoneticPr fontId="4"/>
  </si>
  <si>
    <t>10m</t>
    <phoneticPr fontId="4"/>
  </si>
  <si>
    <t>170199-1</t>
    <phoneticPr fontId="4"/>
  </si>
  <si>
    <t>170199-2</t>
    <phoneticPr fontId="4"/>
  </si>
  <si>
    <t>宮城県</t>
    <phoneticPr fontId="4"/>
  </si>
  <si>
    <t>塩竃市</t>
    <phoneticPr fontId="4"/>
  </si>
  <si>
    <t>中の島</t>
    <rPh sb="0" eb="1">
      <t>ナカ</t>
    </rPh>
    <rPh sb="2" eb="3">
      <t>シマ</t>
    </rPh>
    <phoneticPr fontId="4"/>
  </si>
  <si>
    <t>14m</t>
    <phoneticPr fontId="4"/>
  </si>
  <si>
    <t>2m</t>
    <phoneticPr fontId="4"/>
  </si>
  <si>
    <t>1m</t>
    <phoneticPr fontId="4"/>
  </si>
  <si>
    <t>ユウゲンガイシャ サムデイイッキュウケンチクシジムショ</t>
    <phoneticPr fontId="4"/>
  </si>
  <si>
    <t>看板下 地盤改良あり(杭と比較中)</t>
    <rPh sb="0" eb="2">
      <t>カンバン</t>
    </rPh>
    <rPh sb="2" eb="3">
      <t>シタ</t>
    </rPh>
    <rPh sb="4" eb="6">
      <t>ジバン</t>
    </rPh>
    <rPh sb="6" eb="8">
      <t>カイリョウ</t>
    </rPh>
    <rPh sb="11" eb="12">
      <t>クイ</t>
    </rPh>
    <rPh sb="13" eb="15">
      <t>ヒカク</t>
    </rPh>
    <rPh sb="15" eb="16">
      <t>ナカ</t>
    </rPh>
    <phoneticPr fontId="4"/>
  </si>
  <si>
    <t>ヤマザワ中の島(セリア)</t>
    <rPh sb="4" eb="5">
      <t>ナカ</t>
    </rPh>
    <rPh sb="6" eb="7">
      <t>シマ</t>
    </rPh>
    <phoneticPr fontId="4"/>
  </si>
  <si>
    <t>H30.1下旬 既存建物解体</t>
    <phoneticPr fontId="4"/>
  </si>
  <si>
    <t>UDI確認検査 株式会社</t>
    <phoneticPr fontId="4"/>
  </si>
  <si>
    <t>今治市</t>
    <rPh sb="0" eb="3">
      <t>イマバリシ</t>
    </rPh>
    <phoneticPr fontId="4"/>
  </si>
  <si>
    <t>東鳥生町</t>
    <rPh sb="1" eb="2">
      <t>トリ</t>
    </rPh>
    <rPh sb="2" eb="3">
      <t>イ</t>
    </rPh>
    <rPh sb="3" eb="4">
      <t>マチ</t>
    </rPh>
    <phoneticPr fontId="4"/>
  </si>
  <si>
    <t>6月竣工</t>
    <rPh sb="1" eb="2">
      <t>ガツ</t>
    </rPh>
    <rPh sb="2" eb="4">
      <t>シュンコウ</t>
    </rPh>
    <phoneticPr fontId="4"/>
  </si>
  <si>
    <t>ビーンズプレス様吉川倉庫</t>
    <rPh sb="7" eb="8">
      <t>サマ</t>
    </rPh>
    <rPh sb="8" eb="10">
      <t>ヨシカワ</t>
    </rPh>
    <rPh sb="10" eb="12">
      <t>ソウコ</t>
    </rPh>
    <phoneticPr fontId="4"/>
  </si>
  <si>
    <t>吉川市</t>
    <rPh sb="0" eb="2">
      <t>ヨシカワ</t>
    </rPh>
    <rPh sb="2" eb="3">
      <t>シ</t>
    </rPh>
    <phoneticPr fontId="4"/>
  </si>
  <si>
    <t>吉川</t>
    <rPh sb="0" eb="2">
      <t>ヨシカワ</t>
    </rPh>
    <phoneticPr fontId="4"/>
  </si>
  <si>
    <t>株式会社 剛設計事務所</t>
    <rPh sb="0" eb="2">
      <t>カブシキ</t>
    </rPh>
    <rPh sb="2" eb="4">
      <t>カイシャ</t>
    </rPh>
    <rPh sb="5" eb="6">
      <t>ゴウ</t>
    </rPh>
    <rPh sb="6" eb="8">
      <t>セッケイ</t>
    </rPh>
    <rPh sb="8" eb="10">
      <t>ジム</t>
    </rPh>
    <rPh sb="10" eb="11">
      <t>ショ</t>
    </rPh>
    <phoneticPr fontId="4"/>
  </si>
  <si>
    <t>株式会社 剛設計事務所</t>
    <phoneticPr fontId="4"/>
  </si>
  <si>
    <t>カブシキガイシャ ゴウセッケイジムショ</t>
    <phoneticPr fontId="4"/>
  </si>
  <si>
    <t>12m</t>
    <phoneticPr fontId="4"/>
  </si>
  <si>
    <t>10m</t>
    <phoneticPr fontId="4"/>
  </si>
  <si>
    <t>尻内保育園</t>
    <rPh sb="0" eb="1">
      <t>シリ</t>
    </rPh>
    <rPh sb="1" eb="2">
      <t>ウチ</t>
    </rPh>
    <rPh sb="2" eb="5">
      <t>ホイクエン</t>
    </rPh>
    <phoneticPr fontId="4"/>
  </si>
  <si>
    <t>八戸市</t>
    <phoneticPr fontId="4"/>
  </si>
  <si>
    <t>尻内町</t>
    <rPh sb="0" eb="1">
      <t>シリ</t>
    </rPh>
    <rPh sb="1" eb="2">
      <t>ウチ</t>
    </rPh>
    <rPh sb="2" eb="3">
      <t>マチ</t>
    </rPh>
    <phoneticPr fontId="4"/>
  </si>
  <si>
    <t>4m</t>
    <phoneticPr fontId="4"/>
  </si>
  <si>
    <t>ｼﾙﾄ</t>
    <phoneticPr fontId="4"/>
  </si>
  <si>
    <t>2m</t>
    <phoneticPr fontId="4"/>
  </si>
  <si>
    <t>砂礫・埋土</t>
    <rPh sb="0" eb="2">
      <t>サレキ</t>
    </rPh>
    <rPh sb="3" eb="4">
      <t>ウ</t>
    </rPh>
    <rPh sb="4" eb="5">
      <t>ド</t>
    </rPh>
    <phoneticPr fontId="4"/>
  </si>
  <si>
    <t>無</t>
    <rPh sb="0" eb="1">
      <t>ム</t>
    </rPh>
    <phoneticPr fontId="4"/>
  </si>
  <si>
    <t>-</t>
    <phoneticPr fontId="4"/>
  </si>
  <si>
    <t>埋土(細礫)</t>
    <rPh sb="0" eb="1">
      <t>ウ</t>
    </rPh>
    <rPh sb="1" eb="2">
      <t>ド</t>
    </rPh>
    <rPh sb="3" eb="4">
      <t>ホソ</t>
    </rPh>
    <rPh sb="4" eb="5">
      <t>レキ</t>
    </rPh>
    <phoneticPr fontId="4"/>
  </si>
  <si>
    <t>3m</t>
    <phoneticPr fontId="4"/>
  </si>
  <si>
    <t>2m</t>
    <phoneticPr fontId="4"/>
  </si>
  <si>
    <t>シルト</t>
    <phoneticPr fontId="4"/>
  </si>
  <si>
    <t>4ｍm</t>
    <phoneticPr fontId="4"/>
  </si>
  <si>
    <t>北海道 胆振総合振興局</t>
  </si>
  <si>
    <t>北海道 胆振総合振興局</t>
    <rPh sb="0" eb="3">
      <t>ホッカイドウ</t>
    </rPh>
    <phoneticPr fontId="4"/>
  </si>
  <si>
    <t>宮城県</t>
    <phoneticPr fontId="4"/>
  </si>
  <si>
    <t>富谷市</t>
    <rPh sb="0" eb="1">
      <t>トミ</t>
    </rPh>
    <rPh sb="1" eb="2">
      <t>タニ</t>
    </rPh>
    <rPh sb="2" eb="3">
      <t>シ</t>
    </rPh>
    <phoneticPr fontId="4"/>
  </si>
  <si>
    <t>成田</t>
    <rPh sb="0" eb="2">
      <t>ナリタ</t>
    </rPh>
    <phoneticPr fontId="4"/>
  </si>
  <si>
    <t>アーキ構造計画</t>
    <rPh sb="3" eb="5">
      <t>コウゾウ</t>
    </rPh>
    <rPh sb="5" eb="7">
      <t>ケイカク</t>
    </rPh>
    <phoneticPr fontId="4"/>
  </si>
  <si>
    <t>アーキ構造計画</t>
    <phoneticPr fontId="4"/>
  </si>
  <si>
    <t>アーキコウゾウケイカク</t>
    <phoneticPr fontId="4"/>
  </si>
  <si>
    <t>岩塊混じり粗砂</t>
    <rPh sb="0" eb="1">
      <t>イワ</t>
    </rPh>
    <rPh sb="1" eb="2">
      <t>カタマリ</t>
    </rPh>
    <rPh sb="2" eb="3">
      <t>マ</t>
    </rPh>
    <rPh sb="5" eb="6">
      <t>アラ</t>
    </rPh>
    <rPh sb="6" eb="7">
      <t>スナ</t>
    </rPh>
    <phoneticPr fontId="4"/>
  </si>
  <si>
    <t>水路近接。敷地内法面あり。</t>
    <rPh sb="0" eb="2">
      <t>スイロ</t>
    </rPh>
    <rPh sb="2" eb="4">
      <t>キンセツ</t>
    </rPh>
    <rPh sb="5" eb="7">
      <t>シキチ</t>
    </rPh>
    <rPh sb="7" eb="8">
      <t>ナイ</t>
    </rPh>
    <rPh sb="8" eb="9">
      <t>ノリ</t>
    </rPh>
    <rPh sb="9" eb="10">
      <t>メン</t>
    </rPh>
    <phoneticPr fontId="4"/>
  </si>
  <si>
    <t>有限会社 柳計画設計</t>
    <rPh sb="0" eb="2">
      <t>ユウゲン</t>
    </rPh>
    <rPh sb="2" eb="4">
      <t>カイシャ</t>
    </rPh>
    <rPh sb="5" eb="6">
      <t>ヤナギ</t>
    </rPh>
    <rPh sb="6" eb="8">
      <t>ケイカク</t>
    </rPh>
    <rPh sb="8" eb="10">
      <t>セッケイ</t>
    </rPh>
    <phoneticPr fontId="4"/>
  </si>
  <si>
    <t>有限会社 柳計画設計</t>
    <phoneticPr fontId="4"/>
  </si>
  <si>
    <t>ユウゲンガイシャ ヤナギケイカクセッケイ</t>
    <phoneticPr fontId="4"/>
  </si>
  <si>
    <t>宮城県 大河原土木事務所</t>
    <phoneticPr fontId="4"/>
  </si>
  <si>
    <t>ｼﾙﾄ</t>
    <phoneticPr fontId="4"/>
  </si>
  <si>
    <t>株式会社 山形県建築サポートセンター</t>
    <phoneticPr fontId="4"/>
  </si>
  <si>
    <t>日本ERI 株式会社</t>
    <phoneticPr fontId="4"/>
  </si>
  <si>
    <t>港区神</t>
    <rPh sb="0" eb="2">
      <t>ミナトク</t>
    </rPh>
    <rPh sb="2" eb="3">
      <t>カミ</t>
    </rPh>
    <phoneticPr fontId="4"/>
  </si>
  <si>
    <t>2m</t>
    <phoneticPr fontId="4"/>
  </si>
  <si>
    <t>1m</t>
    <phoneticPr fontId="4"/>
  </si>
  <si>
    <t>5m</t>
    <phoneticPr fontId="4"/>
  </si>
  <si>
    <t>松本邸</t>
    <rPh sb="0" eb="2">
      <t>マツモト</t>
    </rPh>
    <rPh sb="2" eb="3">
      <t>テイ</t>
    </rPh>
    <phoneticPr fontId="4"/>
  </si>
  <si>
    <t>大阪府</t>
    <phoneticPr fontId="4"/>
  </si>
  <si>
    <t>上神田</t>
    <rPh sb="0" eb="1">
      <t>ウエ</t>
    </rPh>
    <rPh sb="1" eb="2">
      <t>カミ</t>
    </rPh>
    <rPh sb="2" eb="3">
      <t>タ</t>
    </rPh>
    <phoneticPr fontId="4"/>
  </si>
  <si>
    <t>有限会社 トチオ構造設計室</t>
    <rPh sb="0" eb="2">
      <t>ユウゲン</t>
    </rPh>
    <rPh sb="2" eb="4">
      <t>カイシャ</t>
    </rPh>
    <rPh sb="8" eb="10">
      <t>コウゾウ</t>
    </rPh>
    <rPh sb="10" eb="12">
      <t>セッケイ</t>
    </rPh>
    <rPh sb="12" eb="13">
      <t>シツ</t>
    </rPh>
    <phoneticPr fontId="4"/>
  </si>
  <si>
    <t>有限会社 トチオ構造設計室</t>
    <phoneticPr fontId="4"/>
  </si>
  <si>
    <t>ユウゲンガイシャ トチオコウゾウセッケイシツ</t>
    <phoneticPr fontId="4"/>
  </si>
  <si>
    <t>有限会社 ケイユウ設計</t>
    <rPh sb="0" eb="2">
      <t>ユウゲン</t>
    </rPh>
    <rPh sb="9" eb="11">
      <t>セッケイ</t>
    </rPh>
    <phoneticPr fontId="4"/>
  </si>
  <si>
    <t>有限会社 ケイユウ設計</t>
    <phoneticPr fontId="4"/>
  </si>
  <si>
    <t>ユウゲンガイシャ ケイユウセッケイ</t>
    <phoneticPr fontId="4"/>
  </si>
  <si>
    <t>7m</t>
    <phoneticPr fontId="4"/>
  </si>
  <si>
    <t>13m</t>
    <phoneticPr fontId="4"/>
  </si>
  <si>
    <t>ユイ
ウット</t>
    <phoneticPr fontId="4"/>
  </si>
  <si>
    <t>株式会社 山形県建築サポートセンター</t>
    <phoneticPr fontId="4"/>
  </si>
  <si>
    <t>宮城県</t>
    <phoneticPr fontId="4"/>
  </si>
  <si>
    <t>亘理郡</t>
    <rPh sb="0" eb="1">
      <t>ワタ</t>
    </rPh>
    <rPh sb="1" eb="2">
      <t>リ</t>
    </rPh>
    <rPh sb="2" eb="3">
      <t>グン</t>
    </rPh>
    <phoneticPr fontId="4"/>
  </si>
  <si>
    <t>山元町</t>
    <rPh sb="0" eb="2">
      <t>ヤマモト</t>
    </rPh>
    <rPh sb="2" eb="3">
      <t>マチ</t>
    </rPh>
    <phoneticPr fontId="4"/>
  </si>
  <si>
    <t>2m</t>
    <phoneticPr fontId="4"/>
  </si>
  <si>
    <t>財団法人 さいたま住宅検査センター</t>
    <phoneticPr fontId="4"/>
  </si>
  <si>
    <t>株式会社 建築構造センター</t>
    <phoneticPr fontId="4"/>
  </si>
  <si>
    <t>ユイ</t>
    <phoneticPr fontId="4"/>
  </si>
  <si>
    <t>太平洋ｾﾒﾝﾄ㈱ｻｰﾋﾞｽｽﾃｰｼｮﾝ</t>
    <rPh sb="0" eb="3">
      <t>タイヘイヨウ</t>
    </rPh>
    <phoneticPr fontId="4"/>
  </si>
  <si>
    <t>大阪市</t>
    <phoneticPr fontId="4"/>
  </si>
  <si>
    <t>港区海岸通</t>
    <rPh sb="0" eb="2">
      <t>ミナトク</t>
    </rPh>
    <rPh sb="2" eb="4">
      <t>カイガン</t>
    </rPh>
    <rPh sb="4" eb="5">
      <t>トオ</t>
    </rPh>
    <phoneticPr fontId="4"/>
  </si>
  <si>
    <t>南川守建築事務所</t>
  </si>
  <si>
    <t>南川守建築事務所</t>
    <rPh sb="0" eb="1">
      <t>ミナミ</t>
    </rPh>
    <rPh sb="1" eb="2">
      <t>カワ</t>
    </rPh>
    <rPh sb="2" eb="3">
      <t>マモル</t>
    </rPh>
    <rPh sb="3" eb="5">
      <t>ケンチク</t>
    </rPh>
    <rPh sb="5" eb="7">
      <t>ジム</t>
    </rPh>
    <rPh sb="7" eb="8">
      <t>ショ</t>
    </rPh>
    <phoneticPr fontId="4"/>
  </si>
  <si>
    <t>ミナミカワマモルケンチクジムショ</t>
    <phoneticPr fontId="4"/>
  </si>
  <si>
    <t>有限会社 アイ・エヌ・ジー企画設計</t>
    <rPh sb="0" eb="2">
      <t>ユウゲン</t>
    </rPh>
    <rPh sb="2" eb="4">
      <t>カイシャ</t>
    </rPh>
    <rPh sb="13" eb="15">
      <t>キカク</t>
    </rPh>
    <rPh sb="15" eb="17">
      <t>セッケイ</t>
    </rPh>
    <phoneticPr fontId="4"/>
  </si>
  <si>
    <t>有限会社 アイ・エヌ・ジー企画設計</t>
    <phoneticPr fontId="4"/>
  </si>
  <si>
    <t>ユウゲンガイシャ アイ・エヌ・ジーキカクセッケイ</t>
    <phoneticPr fontId="4"/>
  </si>
  <si>
    <t>H29.11.10 登坂様にメールにて</t>
    <rPh sb="10" eb="11">
      <t>ノボ</t>
    </rPh>
    <rPh sb="11" eb="12">
      <t>サカ</t>
    </rPh>
    <rPh sb="12" eb="13">
      <t>サマ</t>
    </rPh>
    <phoneticPr fontId="4"/>
  </si>
  <si>
    <t>6m</t>
    <phoneticPr fontId="4"/>
  </si>
  <si>
    <t>粘土混り砂</t>
    <rPh sb="0" eb="2">
      <t>ネンド</t>
    </rPh>
    <rPh sb="2" eb="3">
      <t>マ</t>
    </rPh>
    <rPh sb="4" eb="5">
      <t>スナ</t>
    </rPh>
    <phoneticPr fontId="4"/>
  </si>
  <si>
    <t>16m</t>
    <phoneticPr fontId="4"/>
  </si>
  <si>
    <t>東区北</t>
    <rPh sb="0" eb="2">
      <t>ヒガシク</t>
    </rPh>
    <rPh sb="2" eb="3">
      <t>キタ</t>
    </rPh>
    <phoneticPr fontId="4"/>
  </si>
  <si>
    <t>H30.1中旬 現説</t>
    <phoneticPr fontId="4"/>
  </si>
  <si>
    <t>株式会社 秋田建築確認検査機関</t>
    <phoneticPr fontId="4"/>
  </si>
  <si>
    <t>住宅・田んぼ</t>
    <rPh sb="0" eb="2">
      <t>ジュウタク</t>
    </rPh>
    <rPh sb="3" eb="4">
      <t>タ</t>
    </rPh>
    <phoneticPr fontId="4"/>
  </si>
  <si>
    <t>宮城県</t>
    <phoneticPr fontId="4"/>
  </si>
  <si>
    <t>登米市</t>
    <rPh sb="0" eb="2">
      <t>トメ</t>
    </rPh>
    <rPh sb="2" eb="3">
      <t>シ</t>
    </rPh>
    <phoneticPr fontId="4"/>
  </si>
  <si>
    <t>米山町西野字新五反田</t>
    <rPh sb="0" eb="2">
      <t>ヨネヤマ</t>
    </rPh>
    <rPh sb="2" eb="3">
      <t>マチ</t>
    </rPh>
    <rPh sb="3" eb="4">
      <t>ニシ</t>
    </rPh>
    <rPh sb="4" eb="5">
      <t>ノ</t>
    </rPh>
    <rPh sb="5" eb="6">
      <t>アザ</t>
    </rPh>
    <rPh sb="6" eb="7">
      <t>シン</t>
    </rPh>
    <rPh sb="7" eb="10">
      <t>ゴタンダ</t>
    </rPh>
    <phoneticPr fontId="4"/>
  </si>
  <si>
    <t>1m</t>
    <phoneticPr fontId="4"/>
  </si>
  <si>
    <t>1m</t>
    <phoneticPr fontId="4"/>
  </si>
  <si>
    <t>2m</t>
    <phoneticPr fontId="4"/>
  </si>
  <si>
    <t>田んぼ</t>
    <rPh sb="0" eb="1">
      <t>タ</t>
    </rPh>
    <phoneticPr fontId="4"/>
  </si>
  <si>
    <t>ツルハドラッグ登米米山</t>
    <rPh sb="7" eb="9">
      <t>トメ</t>
    </rPh>
    <rPh sb="9" eb="11">
      <t>ヨネヤマ</t>
    </rPh>
    <phoneticPr fontId="4"/>
  </si>
  <si>
    <t>腐植物混り砂</t>
    <rPh sb="0" eb="2">
      <t>フショク</t>
    </rPh>
    <rPh sb="2" eb="3">
      <t>ブツ</t>
    </rPh>
    <rPh sb="3" eb="4">
      <t>マ</t>
    </rPh>
    <rPh sb="5" eb="6">
      <t>スナ</t>
    </rPh>
    <phoneticPr fontId="4"/>
  </si>
  <si>
    <t>-</t>
    <phoneticPr fontId="4"/>
  </si>
  <si>
    <t>5m</t>
    <phoneticPr fontId="4"/>
  </si>
  <si>
    <t>-</t>
    <phoneticPr fontId="4"/>
  </si>
  <si>
    <t>駐車場
事務所</t>
    <rPh sb="0" eb="3">
      <t>チュウシャジョウ</t>
    </rPh>
    <rPh sb="4" eb="6">
      <t>ジム</t>
    </rPh>
    <rPh sb="6" eb="7">
      <t>ショ</t>
    </rPh>
    <phoneticPr fontId="4"/>
  </si>
  <si>
    <t>足柄上郡</t>
    <rPh sb="0" eb="1">
      <t>アシ</t>
    </rPh>
    <rPh sb="1" eb="2">
      <t>エ</t>
    </rPh>
    <rPh sb="2" eb="3">
      <t>ウエ</t>
    </rPh>
    <rPh sb="3" eb="4">
      <t>グン</t>
    </rPh>
    <phoneticPr fontId="4"/>
  </si>
  <si>
    <t>大井町上大井</t>
    <rPh sb="0" eb="2">
      <t>オオイ</t>
    </rPh>
    <rPh sb="2" eb="3">
      <t>マチ</t>
    </rPh>
    <rPh sb="3" eb="4">
      <t>ウエ</t>
    </rPh>
    <rPh sb="4" eb="6">
      <t>オオイ</t>
    </rPh>
    <phoneticPr fontId="4"/>
  </si>
  <si>
    <t>物流ｾﾝﾀｰ</t>
    <rPh sb="0" eb="2">
      <t>ブツリュウ</t>
    </rPh>
    <phoneticPr fontId="4"/>
  </si>
  <si>
    <t>永田構造デザイン</t>
    <rPh sb="0" eb="2">
      <t>ナガタ</t>
    </rPh>
    <rPh sb="2" eb="4">
      <t>コウゾウ</t>
    </rPh>
    <phoneticPr fontId="4"/>
  </si>
  <si>
    <t>永田構造デザイン</t>
    <phoneticPr fontId="4"/>
  </si>
  <si>
    <t>ナガタコウゾウデザイン</t>
    <phoneticPr fontId="4"/>
  </si>
  <si>
    <t>1m</t>
    <phoneticPr fontId="4"/>
  </si>
  <si>
    <t>既存建物と接続部分あり</t>
    <rPh sb="0" eb="2">
      <t>キソン</t>
    </rPh>
    <rPh sb="2" eb="4">
      <t>タテモノ</t>
    </rPh>
    <rPh sb="5" eb="7">
      <t>セツゾク</t>
    </rPh>
    <rPh sb="7" eb="9">
      <t>ブブン</t>
    </rPh>
    <phoneticPr fontId="4"/>
  </si>
  <si>
    <t>株式会社 TOKAI</t>
    <rPh sb="0" eb="2">
      <t>カブシキ</t>
    </rPh>
    <rPh sb="2" eb="4">
      <t>カイシャ</t>
    </rPh>
    <phoneticPr fontId="4"/>
  </si>
  <si>
    <t>株式会社 TOKAI</t>
    <phoneticPr fontId="4"/>
  </si>
  <si>
    <t>カブシキガイシャ TOKAI</t>
    <phoneticPr fontId="4"/>
  </si>
  <si>
    <t>関西マツダ都島</t>
    <rPh sb="0" eb="2">
      <t>カンサイ</t>
    </rPh>
    <rPh sb="5" eb="6">
      <t>ミヤコ</t>
    </rPh>
    <rPh sb="6" eb="7">
      <t>シマ</t>
    </rPh>
    <phoneticPr fontId="4"/>
  </si>
  <si>
    <t>大阪市</t>
    <phoneticPr fontId="4"/>
  </si>
  <si>
    <t>都島区高倉町</t>
    <rPh sb="0" eb="1">
      <t>ミヤコ</t>
    </rPh>
    <rPh sb="1" eb="2">
      <t>シマ</t>
    </rPh>
    <rPh sb="2" eb="3">
      <t>ク</t>
    </rPh>
    <rPh sb="3" eb="5">
      <t>タカクラ</t>
    </rPh>
    <rPh sb="5" eb="6">
      <t>マチ</t>
    </rPh>
    <phoneticPr fontId="4"/>
  </si>
  <si>
    <t>薬王堂柴田槻木</t>
    <rPh sb="0" eb="1">
      <t>ヤク</t>
    </rPh>
    <rPh sb="1" eb="2">
      <t>オウ</t>
    </rPh>
    <rPh sb="2" eb="3">
      <t>ドウ</t>
    </rPh>
    <rPh sb="3" eb="5">
      <t>シバタ</t>
    </rPh>
    <rPh sb="5" eb="7">
      <t>ツキギ</t>
    </rPh>
    <phoneticPr fontId="4"/>
  </si>
  <si>
    <t>宮城県</t>
    <phoneticPr fontId="4"/>
  </si>
  <si>
    <t>柴田郡</t>
    <rPh sb="0" eb="2">
      <t>シバタ</t>
    </rPh>
    <rPh sb="2" eb="3">
      <t>グン</t>
    </rPh>
    <phoneticPr fontId="4"/>
  </si>
  <si>
    <t>柴田町大字槻木字焼壇</t>
    <rPh sb="0" eb="2">
      <t>シバタ</t>
    </rPh>
    <rPh sb="2" eb="3">
      <t>マチ</t>
    </rPh>
    <rPh sb="3" eb="5">
      <t>オオアザ</t>
    </rPh>
    <rPh sb="5" eb="7">
      <t>ツキギ</t>
    </rPh>
    <rPh sb="7" eb="8">
      <t>ジ</t>
    </rPh>
    <rPh sb="8" eb="9">
      <t>ヤキ</t>
    </rPh>
    <rPh sb="9" eb="10">
      <t>ダン</t>
    </rPh>
    <phoneticPr fontId="4"/>
  </si>
  <si>
    <t>ｼﾙﾄ</t>
    <phoneticPr fontId="4"/>
  </si>
  <si>
    <t>1m</t>
    <phoneticPr fontId="4"/>
  </si>
  <si>
    <t>隣地と段差(1.5m)あり。擁壁仕様不明。
看板下地盤改良あり。</t>
    <rPh sb="0" eb="2">
      <t>リンチ</t>
    </rPh>
    <rPh sb="3" eb="5">
      <t>ダンサ</t>
    </rPh>
    <rPh sb="14" eb="15">
      <t>ヨウ</t>
    </rPh>
    <rPh sb="15" eb="16">
      <t>ヘキ</t>
    </rPh>
    <rPh sb="16" eb="18">
      <t>シヨウ</t>
    </rPh>
    <rPh sb="18" eb="20">
      <t>フメイ</t>
    </rPh>
    <rPh sb="22" eb="24">
      <t>カンバン</t>
    </rPh>
    <rPh sb="24" eb="25">
      <t>シタ</t>
    </rPh>
    <rPh sb="25" eb="27">
      <t>ジバン</t>
    </rPh>
    <rPh sb="27" eb="29">
      <t>カイリョウ</t>
    </rPh>
    <phoneticPr fontId="4"/>
  </si>
  <si>
    <t>隣地建物近接。土間段差砕石あり。</t>
    <rPh sb="0" eb="2">
      <t>リンチ</t>
    </rPh>
    <rPh sb="2" eb="4">
      <t>タテモノ</t>
    </rPh>
    <rPh sb="4" eb="6">
      <t>キンセツ</t>
    </rPh>
    <rPh sb="7" eb="9">
      <t>ドマ</t>
    </rPh>
    <rPh sb="9" eb="11">
      <t>ダンサ</t>
    </rPh>
    <rPh sb="11" eb="13">
      <t>サイセキ</t>
    </rPh>
    <phoneticPr fontId="4"/>
  </si>
  <si>
    <t>9.4
14.3</t>
    <phoneticPr fontId="4"/>
  </si>
  <si>
    <t>15.6
28.9</t>
    <phoneticPr fontId="4"/>
  </si>
  <si>
    <t>5.9
21.0</t>
    <phoneticPr fontId="4"/>
  </si>
  <si>
    <t>30.9
64.2</t>
    <phoneticPr fontId="4"/>
  </si>
  <si>
    <t>-</t>
    <phoneticPr fontId="4"/>
  </si>
  <si>
    <t>○</t>
    <phoneticPr fontId="4"/>
  </si>
  <si>
    <t>株式会社 建築構造センター(三重)</t>
    <rPh sb="14" eb="16">
      <t>ミエ</t>
    </rPh>
    <phoneticPr fontId="4"/>
  </si>
  <si>
    <t>ダイナム山形天童</t>
    <rPh sb="4" eb="6">
      <t>ヤマガタ</t>
    </rPh>
    <rPh sb="6" eb="8">
      <t>テンドウ</t>
    </rPh>
    <phoneticPr fontId="4"/>
  </si>
  <si>
    <t>山形県</t>
    <phoneticPr fontId="4"/>
  </si>
  <si>
    <t>一日町</t>
    <rPh sb="0" eb="2">
      <t>イチニチ</t>
    </rPh>
    <rPh sb="2" eb="3">
      <t>マチ</t>
    </rPh>
    <phoneticPr fontId="4"/>
  </si>
  <si>
    <t>1</t>
    <phoneticPr fontId="4"/>
  </si>
  <si>
    <t>石橋設計</t>
    <rPh sb="0" eb="2">
      <t>イシバシ</t>
    </rPh>
    <rPh sb="2" eb="4">
      <t>セッケイ</t>
    </rPh>
    <phoneticPr fontId="4"/>
  </si>
  <si>
    <t>石橋設計</t>
    <phoneticPr fontId="4"/>
  </si>
  <si>
    <t>イシバシセッケイ</t>
    <phoneticPr fontId="4"/>
  </si>
  <si>
    <t>2m</t>
    <phoneticPr fontId="4"/>
  </si>
  <si>
    <t>3m</t>
    <phoneticPr fontId="4"/>
  </si>
  <si>
    <t>既設架台近接</t>
    <rPh sb="0" eb="2">
      <t>キセツ</t>
    </rPh>
    <rPh sb="2" eb="4">
      <t>カダイ</t>
    </rPh>
    <rPh sb="4" eb="6">
      <t>キンセツ</t>
    </rPh>
    <phoneticPr fontId="4"/>
  </si>
  <si>
    <t>工場敷地内</t>
    <rPh sb="0" eb="2">
      <t>コウジョウ</t>
    </rPh>
    <rPh sb="2" eb="4">
      <t>シキチ</t>
    </rPh>
    <rPh sb="4" eb="5">
      <t>ナイ</t>
    </rPh>
    <phoneticPr fontId="4"/>
  </si>
  <si>
    <t>盛土(砂礫)</t>
    <rPh sb="0" eb="1">
      <t>モリ</t>
    </rPh>
    <rPh sb="1" eb="2">
      <t>ド</t>
    </rPh>
    <rPh sb="3" eb="5">
      <t>サレキ</t>
    </rPh>
    <phoneticPr fontId="4"/>
  </si>
  <si>
    <t>4/25竣工
境界部 既存擁壁あり。仕様不明。</t>
    <rPh sb="4" eb="6">
      <t>シュンコウ</t>
    </rPh>
    <rPh sb="7" eb="9">
      <t>キョウカイ</t>
    </rPh>
    <rPh sb="9" eb="10">
      <t>ブ</t>
    </rPh>
    <rPh sb="11" eb="13">
      <t>キソン</t>
    </rPh>
    <rPh sb="13" eb="14">
      <t>ヨウ</t>
    </rPh>
    <rPh sb="14" eb="15">
      <t>カベ</t>
    </rPh>
    <rPh sb="18" eb="20">
      <t>シヨウ</t>
    </rPh>
    <rPh sb="20" eb="22">
      <t>フメイ</t>
    </rPh>
    <phoneticPr fontId="4"/>
  </si>
  <si>
    <t>敷地内</t>
    <rPh sb="0" eb="2">
      <t>シキチ</t>
    </rPh>
    <rPh sb="2" eb="3">
      <t>ナイ</t>
    </rPh>
    <phoneticPr fontId="4"/>
  </si>
  <si>
    <t>ユイ</t>
    <phoneticPr fontId="4"/>
  </si>
  <si>
    <t>ユイ
和田</t>
    <rPh sb="3" eb="5">
      <t>ワダ</t>
    </rPh>
    <phoneticPr fontId="4"/>
  </si>
  <si>
    <t>熊本県</t>
    <phoneticPr fontId="4"/>
  </si>
  <si>
    <t>釧路厚生社焼却炉</t>
    <rPh sb="0" eb="2">
      <t>クシロ</t>
    </rPh>
    <rPh sb="2" eb="4">
      <t>コウセイ</t>
    </rPh>
    <rPh sb="4" eb="5">
      <t>シャ</t>
    </rPh>
    <rPh sb="5" eb="8">
      <t>ショウキャクロ</t>
    </rPh>
    <phoneticPr fontId="4"/>
  </si>
  <si>
    <t>釧路町字別保原野</t>
    <rPh sb="0" eb="2">
      <t>クシロ</t>
    </rPh>
    <rPh sb="2" eb="3">
      <t>マチ</t>
    </rPh>
    <rPh sb="3" eb="4">
      <t>アザ</t>
    </rPh>
    <rPh sb="4" eb="5">
      <t>ベツ</t>
    </rPh>
    <rPh sb="5" eb="6">
      <t>ホ</t>
    </rPh>
    <rPh sb="6" eb="7">
      <t>ハラ</t>
    </rPh>
    <rPh sb="7" eb="8">
      <t>ノ</t>
    </rPh>
    <phoneticPr fontId="4"/>
  </si>
  <si>
    <t>焼却炉</t>
    <rPh sb="0" eb="3">
      <t>ショウキャクロ</t>
    </rPh>
    <phoneticPr fontId="4"/>
  </si>
  <si>
    <t>株式会社 Zata構造設計室</t>
    <rPh sb="0" eb="2">
      <t>カブシキ</t>
    </rPh>
    <rPh sb="2" eb="4">
      <t>カイシャ</t>
    </rPh>
    <rPh sb="9" eb="11">
      <t>コウゾウ</t>
    </rPh>
    <rPh sb="11" eb="13">
      <t>セッケイ</t>
    </rPh>
    <rPh sb="13" eb="14">
      <t>シツ</t>
    </rPh>
    <phoneticPr fontId="4"/>
  </si>
  <si>
    <t>株式会社 Zata構造設計室</t>
    <phoneticPr fontId="4"/>
  </si>
  <si>
    <t>11.9
18.4</t>
    <phoneticPr fontId="4"/>
  </si>
  <si>
    <t>16.6
34.7</t>
    <phoneticPr fontId="4"/>
  </si>
  <si>
    <t>6.4
19.0</t>
    <phoneticPr fontId="4"/>
  </si>
  <si>
    <t>34.9
72.1</t>
    <phoneticPr fontId="4"/>
  </si>
  <si>
    <t>礫混り中砂</t>
    <rPh sb="0" eb="1">
      <t>レキ</t>
    </rPh>
    <rPh sb="1" eb="2">
      <t>マ</t>
    </rPh>
    <rPh sb="3" eb="4">
      <t>ナカ</t>
    </rPh>
    <rPh sb="4" eb="5">
      <t>スナ</t>
    </rPh>
    <phoneticPr fontId="4"/>
  </si>
  <si>
    <t>シルト質中砂</t>
    <rPh sb="3" eb="4">
      <t>シツ</t>
    </rPh>
    <rPh sb="4" eb="5">
      <t>ナカ</t>
    </rPh>
    <rPh sb="5" eb="6">
      <t>スナ</t>
    </rPh>
    <phoneticPr fontId="4"/>
  </si>
  <si>
    <t>ユーイック UHEC 株式会社 都市居住評価センター</t>
    <phoneticPr fontId="4"/>
  </si>
  <si>
    <t>株式会社 山形県建築サポートセンター</t>
    <phoneticPr fontId="4"/>
  </si>
  <si>
    <t>-</t>
    <phoneticPr fontId="4"/>
  </si>
  <si>
    <t>カインズ幕張</t>
    <rPh sb="4" eb="6">
      <t>マクハリ</t>
    </rPh>
    <phoneticPr fontId="4"/>
  </si>
  <si>
    <t>千葉県</t>
    <phoneticPr fontId="4"/>
  </si>
  <si>
    <t>芝園</t>
    <rPh sb="0" eb="1">
      <t>シバ</t>
    </rPh>
    <rPh sb="1" eb="2">
      <t>エン</t>
    </rPh>
    <phoneticPr fontId="4"/>
  </si>
  <si>
    <t>3m</t>
    <phoneticPr fontId="4"/>
  </si>
  <si>
    <t>7m</t>
    <phoneticPr fontId="4"/>
  </si>
  <si>
    <t>2m</t>
    <phoneticPr fontId="4"/>
  </si>
  <si>
    <t>敷地内・住宅</t>
    <rPh sb="0" eb="2">
      <t>シキチ</t>
    </rPh>
    <rPh sb="2" eb="3">
      <t>ナイ</t>
    </rPh>
    <rPh sb="4" eb="6">
      <t>ジュウタク</t>
    </rPh>
    <phoneticPr fontId="4"/>
  </si>
  <si>
    <t>山形県</t>
    <phoneticPr fontId="4"/>
  </si>
  <si>
    <t>酒田市</t>
    <phoneticPr fontId="4"/>
  </si>
  <si>
    <t>山居町</t>
    <rPh sb="0" eb="1">
      <t>ヤマ</t>
    </rPh>
    <rPh sb="1" eb="2">
      <t>キョ</t>
    </rPh>
    <rPh sb="2" eb="3">
      <t>マチ</t>
    </rPh>
    <phoneticPr fontId="4"/>
  </si>
  <si>
    <t>盛土(砂)</t>
    <rPh sb="0" eb="1">
      <t>モリ</t>
    </rPh>
    <rPh sb="1" eb="2">
      <t>ド</t>
    </rPh>
    <rPh sb="3" eb="4">
      <t>スナ</t>
    </rPh>
    <phoneticPr fontId="4"/>
  </si>
  <si>
    <t>腐食物混じりｼﾙﾄ</t>
    <rPh sb="0" eb="2">
      <t>フショク</t>
    </rPh>
    <rPh sb="2" eb="3">
      <t>ブツ</t>
    </rPh>
    <rPh sb="3" eb="4">
      <t>マ</t>
    </rPh>
    <phoneticPr fontId="4"/>
  </si>
  <si>
    <t>まるか食品 本社工場</t>
    <rPh sb="3" eb="5">
      <t>ショクヒン</t>
    </rPh>
    <rPh sb="6" eb="8">
      <t>ホンシャ</t>
    </rPh>
    <rPh sb="8" eb="10">
      <t>コウジョウ</t>
    </rPh>
    <phoneticPr fontId="4"/>
  </si>
  <si>
    <t>ヨシザワ建築構造設計</t>
    <rPh sb="4" eb="6">
      <t>ケンチク</t>
    </rPh>
    <rPh sb="6" eb="8">
      <t>コウゾウ</t>
    </rPh>
    <rPh sb="8" eb="10">
      <t>セッケイ</t>
    </rPh>
    <phoneticPr fontId="4"/>
  </si>
  <si>
    <t>ヨシザワ建築構造設計</t>
    <phoneticPr fontId="4"/>
  </si>
  <si>
    <t>ヨシザワケンチクコウゾウセッケイ</t>
    <phoneticPr fontId="4"/>
  </si>
  <si>
    <t>カブシキガイシャ Zataコウゾウセッケイシツ</t>
    <phoneticPr fontId="4"/>
  </si>
  <si>
    <t>5m</t>
    <phoneticPr fontId="4"/>
  </si>
  <si>
    <t>有機質土混じり砂質ｼﾙﾄ</t>
    <rPh sb="0" eb="2">
      <t>ユウキ</t>
    </rPh>
    <rPh sb="2" eb="4">
      <t>シツド</t>
    </rPh>
    <rPh sb="4" eb="5">
      <t>マ</t>
    </rPh>
    <rPh sb="7" eb="8">
      <t>スナ</t>
    </rPh>
    <rPh sb="8" eb="9">
      <t>シツ</t>
    </rPh>
    <phoneticPr fontId="4"/>
  </si>
  <si>
    <t>2m</t>
    <phoneticPr fontId="4"/>
  </si>
  <si>
    <t>11/24適判対応に伴い、基礎形状変更</t>
    <rPh sb="5" eb="7">
      <t>テキハン</t>
    </rPh>
    <rPh sb="7" eb="9">
      <t>タイオウ</t>
    </rPh>
    <rPh sb="10" eb="11">
      <t>トモナ</t>
    </rPh>
    <rPh sb="13" eb="15">
      <t>キソ</t>
    </rPh>
    <rPh sb="15" eb="17">
      <t>ケイジョウ</t>
    </rPh>
    <rPh sb="17" eb="19">
      <t>ヘンコウ</t>
    </rPh>
    <phoneticPr fontId="4"/>
  </si>
  <si>
    <t>表土・ｼﾙﾄ</t>
    <rPh sb="0" eb="2">
      <t>ヒョウド</t>
    </rPh>
    <phoneticPr fontId="4"/>
  </si>
  <si>
    <t>美ノ郷町本郷</t>
    <rPh sb="0" eb="1">
      <t>ウツク</t>
    </rPh>
    <rPh sb="2" eb="3">
      <t>ゴウ</t>
    </rPh>
    <rPh sb="3" eb="4">
      <t>マチ</t>
    </rPh>
    <rPh sb="4" eb="6">
      <t>ホンゴウ</t>
    </rPh>
    <phoneticPr fontId="4"/>
  </si>
  <si>
    <t>4F建</t>
    <phoneticPr fontId="4"/>
  </si>
  <si>
    <t>礫・砂混り粘土</t>
    <rPh sb="0" eb="1">
      <t>レキ</t>
    </rPh>
    <rPh sb="2" eb="3">
      <t>スナ</t>
    </rPh>
    <rPh sb="3" eb="4">
      <t>マ</t>
    </rPh>
    <rPh sb="5" eb="7">
      <t>ネンド</t>
    </rPh>
    <phoneticPr fontId="4"/>
  </si>
  <si>
    <t>境界部 既存擁壁あり。仕様不明。</t>
    <phoneticPr fontId="4"/>
  </si>
  <si>
    <t>株式会社 新潟建築確認検査機構</t>
    <phoneticPr fontId="4"/>
  </si>
  <si>
    <t>○</t>
    <phoneticPr fontId="4"/>
  </si>
  <si>
    <t>水路近接、開発工事あり。
看板下・防火水槽下 地盤改良あり。</t>
    <rPh sb="0" eb="2">
      <t>スイロ</t>
    </rPh>
    <rPh sb="2" eb="4">
      <t>キンセツ</t>
    </rPh>
    <rPh sb="5" eb="7">
      <t>カイハツ</t>
    </rPh>
    <rPh sb="7" eb="9">
      <t>コウジ</t>
    </rPh>
    <rPh sb="13" eb="15">
      <t>カンバン</t>
    </rPh>
    <rPh sb="15" eb="16">
      <t>シタ</t>
    </rPh>
    <rPh sb="17" eb="19">
      <t>ボウカ</t>
    </rPh>
    <rPh sb="19" eb="21">
      <t>スイソウ</t>
    </rPh>
    <rPh sb="21" eb="22">
      <t>シタ</t>
    </rPh>
    <rPh sb="23" eb="25">
      <t>ジバン</t>
    </rPh>
    <rPh sb="25" eb="27">
      <t>カイリョウ</t>
    </rPh>
    <phoneticPr fontId="4"/>
  </si>
  <si>
    <t>株式会社 キャドウイング</t>
    <phoneticPr fontId="4"/>
  </si>
  <si>
    <t>株式会社 キャドウイング</t>
    <phoneticPr fontId="4"/>
  </si>
  <si>
    <t>株式会社 キャドウイング</t>
    <phoneticPr fontId="4"/>
  </si>
  <si>
    <t>ハラダエンジニアリング 株式会社</t>
    <phoneticPr fontId="4"/>
  </si>
  <si>
    <t>ハラダエンジニアリング 株式会社</t>
    <phoneticPr fontId="4"/>
  </si>
  <si>
    <t>ハラダエンジニアリング カブシキガイシャ</t>
    <phoneticPr fontId="4"/>
  </si>
  <si>
    <t>介護予防センターさくら</t>
    <phoneticPr fontId="4"/>
  </si>
  <si>
    <t>株式会社 ジ－エ－・タップ</t>
    <phoneticPr fontId="4"/>
  </si>
  <si>
    <t>カブシキガイシャ ジーエー・タップ</t>
    <phoneticPr fontId="4"/>
  </si>
  <si>
    <t>高山設計室</t>
    <phoneticPr fontId="4"/>
  </si>
  <si>
    <t>タカヤマセッケイシツ</t>
    <phoneticPr fontId="4"/>
  </si>
  <si>
    <t>株式会社 名構設計</t>
    <phoneticPr fontId="4"/>
  </si>
  <si>
    <t>三浦建築設計事務所</t>
    <phoneticPr fontId="4"/>
  </si>
  <si>
    <t>海に近い。</t>
    <rPh sb="0" eb="1">
      <t>ウミ</t>
    </rPh>
    <rPh sb="2" eb="3">
      <t>チカ</t>
    </rPh>
    <phoneticPr fontId="4"/>
  </si>
  <si>
    <t>セイリン新社屋</t>
    <rPh sb="4" eb="5">
      <t>シン</t>
    </rPh>
    <rPh sb="5" eb="7">
      <t>シャオク</t>
    </rPh>
    <phoneticPr fontId="4"/>
  </si>
  <si>
    <t>静岡県</t>
    <phoneticPr fontId="4"/>
  </si>
  <si>
    <t>静岡市</t>
    <phoneticPr fontId="4"/>
  </si>
  <si>
    <t>清水区大内新田</t>
    <rPh sb="0" eb="2">
      <t>シミズ</t>
    </rPh>
    <rPh sb="2" eb="3">
      <t>ク</t>
    </rPh>
    <rPh sb="3" eb="5">
      <t>オオウチ</t>
    </rPh>
    <rPh sb="5" eb="7">
      <t>ニッタ</t>
    </rPh>
    <phoneticPr fontId="4"/>
  </si>
  <si>
    <t>-</t>
    <phoneticPr fontId="4"/>
  </si>
  <si>
    <t>エフ構造</t>
    <rPh sb="2" eb="4">
      <t>コウゾウ</t>
    </rPh>
    <phoneticPr fontId="4"/>
  </si>
  <si>
    <t>エフ構造</t>
    <phoneticPr fontId="4"/>
  </si>
  <si>
    <t>エフコウゾウ</t>
    <phoneticPr fontId="4"/>
  </si>
  <si>
    <t>聖建築設計事務所</t>
    <rPh sb="0" eb="1">
      <t>セイ</t>
    </rPh>
    <rPh sb="1" eb="3">
      <t>ケンチク</t>
    </rPh>
    <rPh sb="3" eb="5">
      <t>セッケイ</t>
    </rPh>
    <rPh sb="5" eb="7">
      <t>ジム</t>
    </rPh>
    <rPh sb="7" eb="8">
      <t>ショ</t>
    </rPh>
    <phoneticPr fontId="4"/>
  </si>
  <si>
    <t>聖建築設計事務所</t>
    <phoneticPr fontId="4"/>
  </si>
  <si>
    <t>セイケンチクセッケイジムショ</t>
    <phoneticPr fontId="4"/>
  </si>
  <si>
    <t>2m</t>
    <phoneticPr fontId="4"/>
  </si>
  <si>
    <t>5m</t>
    <phoneticPr fontId="4"/>
  </si>
  <si>
    <t>15m</t>
    <phoneticPr fontId="4"/>
  </si>
  <si>
    <t>4m</t>
    <phoneticPr fontId="4"/>
  </si>
  <si>
    <t>南佃分譲マンション</t>
    <rPh sb="0" eb="1">
      <t>ミナミ</t>
    </rPh>
    <rPh sb="1" eb="2">
      <t>ツクダ</t>
    </rPh>
    <rPh sb="2" eb="4">
      <t>ブンジョウ</t>
    </rPh>
    <phoneticPr fontId="4"/>
  </si>
  <si>
    <t>青森市</t>
    <phoneticPr fontId="4"/>
  </si>
  <si>
    <t>南佃</t>
    <rPh sb="0" eb="1">
      <t>ミナミ</t>
    </rPh>
    <rPh sb="1" eb="2">
      <t>ツクダ</t>
    </rPh>
    <phoneticPr fontId="4"/>
  </si>
  <si>
    <t>RC造</t>
    <phoneticPr fontId="4"/>
  </si>
  <si>
    <t>5F建</t>
    <phoneticPr fontId="4"/>
  </si>
  <si>
    <t>共同住宅</t>
    <rPh sb="0" eb="2">
      <t>キョウドウ</t>
    </rPh>
    <rPh sb="2" eb="4">
      <t>ジュウタク</t>
    </rPh>
    <phoneticPr fontId="4"/>
  </si>
  <si>
    <t>こんあつし設計事務所</t>
    <rPh sb="5" eb="7">
      <t>セッケイ</t>
    </rPh>
    <rPh sb="7" eb="9">
      <t>ジム</t>
    </rPh>
    <rPh sb="9" eb="10">
      <t>ショ</t>
    </rPh>
    <phoneticPr fontId="4"/>
  </si>
  <si>
    <t>こんあつし設計事務所</t>
    <phoneticPr fontId="4"/>
  </si>
  <si>
    <t>コンアツシセッケイジムショ</t>
    <phoneticPr fontId="4"/>
  </si>
  <si>
    <t>東大阪市</t>
    <rPh sb="0" eb="4">
      <t>ヒガシオオサカシ</t>
    </rPh>
    <phoneticPr fontId="4"/>
  </si>
  <si>
    <t>東鴻池町</t>
    <rPh sb="0" eb="1">
      <t>ヒガシ</t>
    </rPh>
    <rPh sb="1" eb="2">
      <t>コウ</t>
    </rPh>
    <rPh sb="2" eb="3">
      <t>イケ</t>
    </rPh>
    <rPh sb="3" eb="4">
      <t>マチ</t>
    </rPh>
    <phoneticPr fontId="4"/>
  </si>
  <si>
    <t>竹内邸</t>
    <rPh sb="0" eb="2">
      <t>タケウチ</t>
    </rPh>
    <rPh sb="2" eb="3">
      <t>テイ</t>
    </rPh>
    <phoneticPr fontId="4"/>
  </si>
  <si>
    <t>サン
尾川</t>
    <rPh sb="3" eb="5">
      <t>オガワ</t>
    </rPh>
    <phoneticPr fontId="4"/>
  </si>
  <si>
    <t>-</t>
    <phoneticPr fontId="4"/>
  </si>
  <si>
    <t>須波</t>
    <rPh sb="0" eb="1">
      <t>ス</t>
    </rPh>
    <rPh sb="1" eb="2">
      <t>ナミ</t>
    </rPh>
    <phoneticPr fontId="4"/>
  </si>
  <si>
    <t>2月末 確認済。</t>
    <rPh sb="1" eb="2">
      <t>ガツ</t>
    </rPh>
    <rPh sb="2" eb="3">
      <t>マツ</t>
    </rPh>
    <rPh sb="4" eb="6">
      <t>カクニン</t>
    </rPh>
    <rPh sb="6" eb="7">
      <t>ス</t>
    </rPh>
    <phoneticPr fontId="4"/>
  </si>
  <si>
    <t>埋土(玉石・礫混り粘土)</t>
    <rPh sb="0" eb="1">
      <t>ウ</t>
    </rPh>
    <rPh sb="1" eb="2">
      <t>ド</t>
    </rPh>
    <rPh sb="3" eb="5">
      <t>タマイシ</t>
    </rPh>
    <rPh sb="6" eb="7">
      <t>レキ</t>
    </rPh>
    <rPh sb="7" eb="8">
      <t>マ</t>
    </rPh>
    <rPh sb="9" eb="11">
      <t>ネンド</t>
    </rPh>
    <phoneticPr fontId="4"/>
  </si>
  <si>
    <t>地盤改良強度 200kN/㎡
既存建物と近接</t>
    <rPh sb="0" eb="2">
      <t>ジバン</t>
    </rPh>
    <rPh sb="2" eb="4">
      <t>カイリョウ</t>
    </rPh>
    <rPh sb="4" eb="6">
      <t>キョウド</t>
    </rPh>
    <rPh sb="15" eb="17">
      <t>キソン</t>
    </rPh>
    <rPh sb="17" eb="19">
      <t>タテモノ</t>
    </rPh>
    <rPh sb="20" eb="22">
      <t>キンセツ</t>
    </rPh>
    <phoneticPr fontId="4"/>
  </si>
  <si>
    <t>礫混り砂質粘土</t>
    <rPh sb="0" eb="1">
      <t>レキ</t>
    </rPh>
    <rPh sb="1" eb="2">
      <t>マ</t>
    </rPh>
    <rPh sb="3" eb="4">
      <t>サ</t>
    </rPh>
    <rPh sb="4" eb="5">
      <t>シツ</t>
    </rPh>
    <rPh sb="5" eb="7">
      <t>ネンド</t>
    </rPh>
    <phoneticPr fontId="4"/>
  </si>
  <si>
    <t>-</t>
    <phoneticPr fontId="4"/>
  </si>
  <si>
    <t>ゼネコンは平井建設
海に近い。3棟(exp.J)</t>
    <rPh sb="5" eb="7">
      <t>ヒライ</t>
    </rPh>
    <rPh sb="7" eb="9">
      <t>ケンセツ</t>
    </rPh>
    <rPh sb="10" eb="11">
      <t>ウミ</t>
    </rPh>
    <rPh sb="12" eb="13">
      <t>チカ</t>
    </rPh>
    <rPh sb="16" eb="17">
      <t>トウ</t>
    </rPh>
    <phoneticPr fontId="4"/>
  </si>
  <si>
    <t>H30.4 OPEN</t>
    <phoneticPr fontId="4"/>
  </si>
  <si>
    <t>埋土・砂質土</t>
    <rPh sb="0" eb="1">
      <t>ウ</t>
    </rPh>
    <rPh sb="1" eb="2">
      <t>ド</t>
    </rPh>
    <rPh sb="3" eb="4">
      <t>サ</t>
    </rPh>
    <rPh sb="4" eb="5">
      <t>シツ</t>
    </rPh>
    <rPh sb="5" eb="6">
      <t>ド</t>
    </rPh>
    <phoneticPr fontId="4"/>
  </si>
  <si>
    <t>埋土・粘性土</t>
    <rPh sb="0" eb="1">
      <t>ウ</t>
    </rPh>
    <rPh sb="1" eb="2">
      <t>ド</t>
    </rPh>
    <rPh sb="3" eb="5">
      <t>ネンセイ</t>
    </rPh>
    <rPh sb="5" eb="6">
      <t>ド</t>
    </rPh>
    <phoneticPr fontId="4"/>
  </si>
  <si>
    <t>ユイ</t>
    <phoneticPr fontId="4"/>
  </si>
  <si>
    <t>砂質シルト</t>
    <rPh sb="0" eb="1">
      <t>スナ</t>
    </rPh>
    <rPh sb="1" eb="2">
      <t>シツ</t>
    </rPh>
    <phoneticPr fontId="4"/>
  </si>
  <si>
    <t>○</t>
    <phoneticPr fontId="4"/>
  </si>
  <si>
    <t>小梁裏材採用</t>
    <rPh sb="0" eb="1">
      <t>コ</t>
    </rPh>
    <rPh sb="1" eb="2">
      <t>ハリ</t>
    </rPh>
    <rPh sb="2" eb="3">
      <t>ウラ</t>
    </rPh>
    <rPh sb="3" eb="4">
      <t>ザイ</t>
    </rPh>
    <rPh sb="4" eb="6">
      <t>サイヨウ</t>
    </rPh>
    <phoneticPr fontId="4"/>
  </si>
  <si>
    <t>気仙沼 宮脇書店</t>
    <rPh sb="0" eb="3">
      <t>ケセンヌマ</t>
    </rPh>
    <rPh sb="4" eb="6">
      <t>ミヤワキ</t>
    </rPh>
    <rPh sb="6" eb="8">
      <t>ショテン</t>
    </rPh>
    <phoneticPr fontId="4"/>
  </si>
  <si>
    <t>宮城県</t>
    <phoneticPr fontId="4"/>
  </si>
  <si>
    <t>魚市場前</t>
    <rPh sb="0" eb="3">
      <t>ウオイチバ</t>
    </rPh>
    <rPh sb="3" eb="4">
      <t>マエ</t>
    </rPh>
    <phoneticPr fontId="4"/>
  </si>
  <si>
    <t>株式会社 東北三興設計事務所</t>
    <rPh sb="0" eb="2">
      <t>カブシキ</t>
    </rPh>
    <rPh sb="2" eb="4">
      <t>カイシャ</t>
    </rPh>
    <rPh sb="5" eb="7">
      <t>トウホク</t>
    </rPh>
    <rPh sb="7" eb="9">
      <t>サンコウ</t>
    </rPh>
    <rPh sb="9" eb="11">
      <t>セッケイ</t>
    </rPh>
    <rPh sb="11" eb="13">
      <t>ジム</t>
    </rPh>
    <rPh sb="13" eb="14">
      <t>ショ</t>
    </rPh>
    <phoneticPr fontId="4"/>
  </si>
  <si>
    <t>株式会社 東北三興設計事務所</t>
    <phoneticPr fontId="4"/>
  </si>
  <si>
    <t>カブシキガイシャ トウホクサンコウセッケイジムショ</t>
    <phoneticPr fontId="4"/>
  </si>
  <si>
    <t>東山設計</t>
    <rPh sb="0" eb="2">
      <t>ヒガシヤマ</t>
    </rPh>
    <rPh sb="2" eb="4">
      <t>セッケイ</t>
    </rPh>
    <phoneticPr fontId="4"/>
  </si>
  <si>
    <t>東山設計</t>
    <phoneticPr fontId="4"/>
  </si>
  <si>
    <t>ヒガシヤマセッケイ</t>
    <phoneticPr fontId="4"/>
  </si>
  <si>
    <t>6m</t>
    <phoneticPr fontId="4"/>
  </si>
  <si>
    <t>城陽加工場</t>
    <rPh sb="0" eb="2">
      <t>ジョウヨウ</t>
    </rPh>
    <rPh sb="2" eb="4">
      <t>カコウ</t>
    </rPh>
    <rPh sb="4" eb="5">
      <t>ジョウ</t>
    </rPh>
    <phoneticPr fontId="4"/>
  </si>
  <si>
    <t>京都府</t>
    <phoneticPr fontId="4"/>
  </si>
  <si>
    <t>城陽市</t>
    <phoneticPr fontId="4"/>
  </si>
  <si>
    <t>長池河原</t>
    <rPh sb="0" eb="2">
      <t>ナガイケ</t>
    </rPh>
    <rPh sb="2" eb="4">
      <t>カワハラ</t>
    </rPh>
    <phoneticPr fontId="4"/>
  </si>
  <si>
    <t>倉庫・作業場</t>
    <rPh sb="0" eb="2">
      <t>ソウコ</t>
    </rPh>
    <rPh sb="3" eb="5">
      <t>サギョウ</t>
    </rPh>
    <rPh sb="5" eb="6">
      <t>バ</t>
    </rPh>
    <phoneticPr fontId="4"/>
  </si>
  <si>
    <t>井口流通センター</t>
    <rPh sb="0" eb="2">
      <t>イノクチ</t>
    </rPh>
    <rPh sb="2" eb="4">
      <t>リュウツウ</t>
    </rPh>
    <phoneticPr fontId="4"/>
  </si>
  <si>
    <t>井口</t>
    <rPh sb="0" eb="2">
      <t>イノクチ</t>
    </rPh>
    <phoneticPr fontId="4"/>
  </si>
  <si>
    <t>倉庫</t>
    <phoneticPr fontId="4"/>
  </si>
  <si>
    <t>株式会社 沖本初建築設計事務所</t>
    <rPh sb="0" eb="2">
      <t>カブシキ</t>
    </rPh>
    <rPh sb="2" eb="4">
      <t>カイシャ</t>
    </rPh>
    <rPh sb="5" eb="7">
      <t>オキモト</t>
    </rPh>
    <rPh sb="7" eb="8">
      <t>ハジメ</t>
    </rPh>
    <rPh sb="8" eb="10">
      <t>ケンチク</t>
    </rPh>
    <rPh sb="10" eb="12">
      <t>セッケイ</t>
    </rPh>
    <rPh sb="12" eb="14">
      <t>ジム</t>
    </rPh>
    <rPh sb="14" eb="15">
      <t>ショ</t>
    </rPh>
    <phoneticPr fontId="4"/>
  </si>
  <si>
    <t>株式会社 沖本初建築設計事務所</t>
    <phoneticPr fontId="4"/>
  </si>
  <si>
    <t>カブシキガイシャ オキモトハジメケンチクセッケイジムショ</t>
    <phoneticPr fontId="4"/>
  </si>
  <si>
    <t>4m</t>
    <phoneticPr fontId="4"/>
  </si>
  <si>
    <t>ｼﾙﾄ混じり中砂</t>
    <rPh sb="3" eb="4">
      <t>マ</t>
    </rPh>
    <rPh sb="6" eb="7">
      <t>ナカ</t>
    </rPh>
    <rPh sb="7" eb="8">
      <t>スナ</t>
    </rPh>
    <phoneticPr fontId="4"/>
  </si>
  <si>
    <t>5m</t>
    <phoneticPr fontId="4"/>
  </si>
  <si>
    <t>2</t>
    <phoneticPr fontId="4"/>
  </si>
  <si>
    <t>-</t>
    <phoneticPr fontId="4"/>
  </si>
  <si>
    <t>3</t>
    <phoneticPr fontId="4"/>
  </si>
  <si>
    <t>確認・適判対応による修正があり。</t>
    <rPh sb="0" eb="2">
      <t>カクニン</t>
    </rPh>
    <rPh sb="3" eb="4">
      <t>テキ</t>
    </rPh>
    <rPh sb="4" eb="5">
      <t>ハン</t>
    </rPh>
    <rPh sb="5" eb="7">
      <t>タイオウ</t>
    </rPh>
    <rPh sb="10" eb="12">
      <t>シュウセイ</t>
    </rPh>
    <phoneticPr fontId="4"/>
  </si>
  <si>
    <t>キタセキ伊勢崎</t>
    <rPh sb="4" eb="7">
      <t>イセザキ</t>
    </rPh>
    <phoneticPr fontId="4"/>
  </si>
  <si>
    <t>2m</t>
    <phoneticPr fontId="4"/>
  </si>
  <si>
    <t>3m</t>
    <phoneticPr fontId="4"/>
  </si>
  <si>
    <t>4m</t>
    <phoneticPr fontId="4"/>
  </si>
  <si>
    <t>群馬県</t>
    <phoneticPr fontId="4"/>
  </si>
  <si>
    <t>五目牛町</t>
    <rPh sb="0" eb="2">
      <t>ゴモク</t>
    </rPh>
    <rPh sb="2" eb="3">
      <t>ウシ</t>
    </rPh>
    <rPh sb="3" eb="4">
      <t>マチ</t>
    </rPh>
    <phoneticPr fontId="4"/>
  </si>
  <si>
    <t>3m</t>
    <phoneticPr fontId="4"/>
  </si>
  <si>
    <t>凝灰質砂</t>
    <rPh sb="0" eb="1">
      <t>コ</t>
    </rPh>
    <rPh sb="1" eb="2">
      <t>ハイ</t>
    </rPh>
    <rPh sb="2" eb="3">
      <t>シツ</t>
    </rPh>
    <rPh sb="3" eb="4">
      <t>スナ</t>
    </rPh>
    <phoneticPr fontId="4"/>
  </si>
  <si>
    <t>1m</t>
    <phoneticPr fontId="4"/>
  </si>
  <si>
    <t>凝灰質粘土</t>
    <rPh sb="3" eb="5">
      <t>ネンド</t>
    </rPh>
    <phoneticPr fontId="4"/>
  </si>
  <si>
    <t>○</t>
    <phoneticPr fontId="4"/>
  </si>
  <si>
    <t>西松屋Jモール西舞鶴</t>
    <rPh sb="7" eb="10">
      <t>ニシマイヅル</t>
    </rPh>
    <phoneticPr fontId="4"/>
  </si>
  <si>
    <t>ユニクロJモール西舞鶴</t>
    <rPh sb="8" eb="11">
      <t>ニシマイヅル</t>
    </rPh>
    <phoneticPr fontId="4"/>
  </si>
  <si>
    <t>大創Jモール西舞鶴</t>
    <rPh sb="0" eb="1">
      <t>ダイ</t>
    </rPh>
    <rPh sb="1" eb="2">
      <t>キズ</t>
    </rPh>
    <phoneticPr fontId="4"/>
  </si>
  <si>
    <t>京都府</t>
    <phoneticPr fontId="4"/>
  </si>
  <si>
    <t>舞鶴市</t>
    <rPh sb="0" eb="3">
      <t>マイヅルシ</t>
    </rPh>
    <phoneticPr fontId="4"/>
  </si>
  <si>
    <t>公文名</t>
    <rPh sb="0" eb="2">
      <t>クモン</t>
    </rPh>
    <rPh sb="2" eb="3">
      <t>ナ</t>
    </rPh>
    <phoneticPr fontId="4"/>
  </si>
  <si>
    <t>小西建築設計事務所</t>
    <rPh sb="0" eb="2">
      <t>コニシ</t>
    </rPh>
    <rPh sb="2" eb="4">
      <t>ケンチク</t>
    </rPh>
    <rPh sb="4" eb="6">
      <t>セッケイ</t>
    </rPh>
    <rPh sb="6" eb="8">
      <t>ジム</t>
    </rPh>
    <rPh sb="8" eb="9">
      <t>ショ</t>
    </rPh>
    <phoneticPr fontId="4"/>
  </si>
  <si>
    <t>小西建築設計事務所</t>
    <phoneticPr fontId="4"/>
  </si>
  <si>
    <t>コニシケンチクセッケイジムショ</t>
    <phoneticPr fontId="4"/>
  </si>
  <si>
    <t>ﾏﾝｼｮﾝ</t>
    <phoneticPr fontId="4"/>
  </si>
  <si>
    <t>3棟(exp.J)。倉庫棟(A,B棟)施工→既存建物解体→事務所棟施工</t>
    <rPh sb="1" eb="2">
      <t>トウ</t>
    </rPh>
    <rPh sb="10" eb="12">
      <t>ソウコ</t>
    </rPh>
    <rPh sb="12" eb="13">
      <t>トウ</t>
    </rPh>
    <rPh sb="17" eb="18">
      <t>トウ</t>
    </rPh>
    <rPh sb="19" eb="21">
      <t>セコウ</t>
    </rPh>
    <rPh sb="22" eb="24">
      <t>キソン</t>
    </rPh>
    <rPh sb="24" eb="26">
      <t>タテモノ</t>
    </rPh>
    <rPh sb="26" eb="28">
      <t>カイタイ</t>
    </rPh>
    <rPh sb="29" eb="31">
      <t>ジム</t>
    </rPh>
    <rPh sb="31" eb="32">
      <t>ショ</t>
    </rPh>
    <rPh sb="32" eb="33">
      <t>トウ</t>
    </rPh>
    <rPh sb="33" eb="35">
      <t>セコウ</t>
    </rPh>
    <phoneticPr fontId="4"/>
  </si>
  <si>
    <t>オスカー技研</t>
    <rPh sb="4" eb="6">
      <t>ギケン</t>
    </rPh>
    <phoneticPr fontId="4"/>
  </si>
  <si>
    <t>新潟県</t>
    <phoneticPr fontId="4"/>
  </si>
  <si>
    <t>新潟市</t>
    <rPh sb="0" eb="3">
      <t>ニイガタシ</t>
    </rPh>
    <phoneticPr fontId="4"/>
  </si>
  <si>
    <t>東区材木</t>
    <rPh sb="0" eb="2">
      <t>ヒガシク</t>
    </rPh>
    <rPh sb="2" eb="3">
      <t>ザイ</t>
    </rPh>
    <rPh sb="3" eb="4">
      <t>キ</t>
    </rPh>
    <phoneticPr fontId="4"/>
  </si>
  <si>
    <t>作業場</t>
    <rPh sb="0" eb="2">
      <t>サギョウ</t>
    </rPh>
    <rPh sb="2" eb="3">
      <t>バ</t>
    </rPh>
    <phoneticPr fontId="4"/>
  </si>
  <si>
    <t>コスモ建設 株式会社</t>
    <rPh sb="3" eb="5">
      <t>ケンセツ</t>
    </rPh>
    <rPh sb="6" eb="8">
      <t>カブシキ</t>
    </rPh>
    <rPh sb="8" eb="10">
      <t>カイシャ</t>
    </rPh>
    <phoneticPr fontId="4"/>
  </si>
  <si>
    <t>コスモ建設 株式会社</t>
    <phoneticPr fontId="4"/>
  </si>
  <si>
    <t>コスモケンセツ カブシキガイシャ</t>
    <phoneticPr fontId="4"/>
  </si>
  <si>
    <t>ジュンテンドー新安来</t>
    <rPh sb="7" eb="8">
      <t>シン</t>
    </rPh>
    <rPh sb="8" eb="10">
      <t>ヤスギ</t>
    </rPh>
    <phoneticPr fontId="4"/>
  </si>
  <si>
    <t>-</t>
    <phoneticPr fontId="4"/>
  </si>
  <si>
    <t>工場・事務所</t>
    <phoneticPr fontId="4"/>
  </si>
  <si>
    <t>郷右近建築設計事務所</t>
    <phoneticPr fontId="4"/>
  </si>
  <si>
    <t>新設計コンサルタンツ 株式会社</t>
    <phoneticPr fontId="4"/>
  </si>
  <si>
    <t>株式会社 渡辺建設事務所</t>
    <phoneticPr fontId="4"/>
  </si>
  <si>
    <t>ダムプランニング</t>
    <phoneticPr fontId="4"/>
  </si>
  <si>
    <t>未来建設 株式会社</t>
    <phoneticPr fontId="4"/>
  </si>
  <si>
    <t>都市環境建築設計事務所</t>
    <phoneticPr fontId="4"/>
  </si>
  <si>
    <t>株式会社 総合プランニングセンター</t>
    <phoneticPr fontId="4"/>
  </si>
  <si>
    <t>TSUCHIYA　CORPORATION</t>
    <phoneticPr fontId="4"/>
  </si>
  <si>
    <t>さくら建築設計 株式会社</t>
    <phoneticPr fontId="4"/>
  </si>
  <si>
    <t>ARCHITECTURAL PARTNERSHIP FOR TRANSCENDENCE</t>
    <phoneticPr fontId="4"/>
  </si>
  <si>
    <t>株式会社 平吹設計事務所</t>
    <phoneticPr fontId="4"/>
  </si>
  <si>
    <t>塩野建築設計事務所</t>
    <phoneticPr fontId="4"/>
  </si>
  <si>
    <t>株式会社 中部都市建築設計事務所</t>
    <phoneticPr fontId="4"/>
  </si>
  <si>
    <t>株式会社 楠山設計</t>
    <phoneticPr fontId="4"/>
  </si>
  <si>
    <t>株式会社 ディーエス設計</t>
    <phoneticPr fontId="4"/>
  </si>
  <si>
    <t>エス・アイ・アール建築計画事務所</t>
    <phoneticPr fontId="4"/>
  </si>
  <si>
    <t>JA全農とうほく設計センター</t>
    <phoneticPr fontId="4"/>
  </si>
  <si>
    <t>株式会社 アトリエノルド</t>
    <phoneticPr fontId="4"/>
  </si>
  <si>
    <t>株式会社 キャドウイング</t>
    <phoneticPr fontId="4"/>
  </si>
  <si>
    <t>株式会社 キャドウイング</t>
    <rPh sb="0" eb="2">
      <t>カブシキ</t>
    </rPh>
    <rPh sb="2" eb="4">
      <t>カイシャ</t>
    </rPh>
    <phoneticPr fontId="4"/>
  </si>
  <si>
    <t>株式会社 渡辺設計事務所</t>
    <phoneticPr fontId="4"/>
  </si>
  <si>
    <t>株式会社 渡辺設計事務所</t>
    <phoneticPr fontId="4"/>
  </si>
  <si>
    <t>アラタセッケイコンサルタンツ カブシキガイシャ</t>
    <phoneticPr fontId="4"/>
  </si>
  <si>
    <t>カブシキガイシャ ワタナベセッケイジムショ</t>
    <phoneticPr fontId="4"/>
  </si>
  <si>
    <t>布(Tio)</t>
    <rPh sb="0" eb="1">
      <t>ヌノ</t>
    </rPh>
    <phoneticPr fontId="4"/>
  </si>
  <si>
    <t>3</t>
    <phoneticPr fontId="4"/>
  </si>
  <si>
    <t>住宅・畑</t>
    <rPh sb="0" eb="2">
      <t>ジュウタク</t>
    </rPh>
    <rPh sb="3" eb="4">
      <t>ハタケ</t>
    </rPh>
    <phoneticPr fontId="4"/>
  </si>
  <si>
    <t>南條設計事務所</t>
    <rPh sb="0" eb="2">
      <t>ナンジョウ</t>
    </rPh>
    <rPh sb="2" eb="4">
      <t>セッケイ</t>
    </rPh>
    <rPh sb="4" eb="6">
      <t>ジム</t>
    </rPh>
    <rPh sb="6" eb="7">
      <t>ショ</t>
    </rPh>
    <phoneticPr fontId="4"/>
  </si>
  <si>
    <t>南條設計事務所</t>
    <phoneticPr fontId="4"/>
  </si>
  <si>
    <t>ナンジョウセッケイジムショ</t>
    <phoneticPr fontId="4"/>
  </si>
  <si>
    <t>HIヒロセSUC竹田</t>
    <rPh sb="8" eb="9">
      <t>タケ</t>
    </rPh>
    <rPh sb="9" eb="10">
      <t>タ</t>
    </rPh>
    <phoneticPr fontId="4"/>
  </si>
  <si>
    <t>大分県</t>
    <rPh sb="0" eb="3">
      <t>オオイタケン</t>
    </rPh>
    <phoneticPr fontId="4"/>
  </si>
  <si>
    <t>竹田市</t>
    <rPh sb="0" eb="2">
      <t>タケダ</t>
    </rPh>
    <rPh sb="2" eb="3">
      <t>シ</t>
    </rPh>
    <phoneticPr fontId="4"/>
  </si>
  <si>
    <t>大字君ヶ園字栃瀬</t>
    <rPh sb="0" eb="2">
      <t>オオアザ</t>
    </rPh>
    <rPh sb="2" eb="3">
      <t>キミ</t>
    </rPh>
    <rPh sb="4" eb="5">
      <t>エン</t>
    </rPh>
    <rPh sb="5" eb="6">
      <t>アザ</t>
    </rPh>
    <rPh sb="6" eb="7">
      <t>トチ</t>
    </rPh>
    <rPh sb="7" eb="8">
      <t>セ</t>
    </rPh>
    <phoneticPr fontId="4"/>
  </si>
  <si>
    <t>エスデイ建築</t>
    <rPh sb="4" eb="6">
      <t>ケンチク</t>
    </rPh>
    <phoneticPr fontId="4"/>
  </si>
  <si>
    <t>エスデイケンチク</t>
    <phoneticPr fontId="4"/>
  </si>
  <si>
    <t>5m</t>
    <phoneticPr fontId="4"/>
  </si>
  <si>
    <t>ツルハドラッグ南気仙沼</t>
    <phoneticPr fontId="4"/>
  </si>
  <si>
    <t>ﾂﾙﾊと同敷地。ﾛｰｿﾝは別。</t>
    <rPh sb="4" eb="5">
      <t>オナ</t>
    </rPh>
    <rPh sb="5" eb="7">
      <t>シキチ</t>
    </rPh>
    <rPh sb="13" eb="14">
      <t>ベツ</t>
    </rPh>
    <phoneticPr fontId="4"/>
  </si>
  <si>
    <t>宮脇書店と動敷地。7月竣工。</t>
    <rPh sb="0" eb="2">
      <t>ミヤワキ</t>
    </rPh>
    <rPh sb="2" eb="4">
      <t>ショテン</t>
    </rPh>
    <rPh sb="5" eb="6">
      <t>ドウ</t>
    </rPh>
    <rPh sb="6" eb="8">
      <t>シキチ</t>
    </rPh>
    <rPh sb="10" eb="11">
      <t>ガツ</t>
    </rPh>
    <rPh sb="11" eb="13">
      <t>シュンコウ</t>
    </rPh>
    <phoneticPr fontId="4"/>
  </si>
  <si>
    <t>L型擁壁 近接。盛土1.0m程度。</t>
    <rPh sb="1" eb="2">
      <t>ガタ</t>
    </rPh>
    <rPh sb="2" eb="3">
      <t>ヨウ</t>
    </rPh>
    <rPh sb="3" eb="4">
      <t>ヘキ</t>
    </rPh>
    <rPh sb="5" eb="7">
      <t>キンセツ</t>
    </rPh>
    <rPh sb="8" eb="9">
      <t>モ</t>
    </rPh>
    <rPh sb="9" eb="10">
      <t>ツチ</t>
    </rPh>
    <rPh sb="14" eb="16">
      <t>テイド</t>
    </rPh>
    <phoneticPr fontId="4"/>
  </si>
  <si>
    <t>株式会社 確認サービス</t>
    <phoneticPr fontId="4"/>
  </si>
  <si>
    <t>株式会社 ぎふ建築住宅センター</t>
    <phoneticPr fontId="4"/>
  </si>
  <si>
    <t>財団法人 にいがた住宅センター</t>
    <phoneticPr fontId="4"/>
  </si>
  <si>
    <t>千葉県</t>
    <phoneticPr fontId="4"/>
  </si>
  <si>
    <t>-</t>
    <phoneticPr fontId="4"/>
  </si>
  <si>
    <t>雄健工業 株式会社</t>
  </si>
  <si>
    <t>エスティプランニング</t>
    <phoneticPr fontId="4"/>
  </si>
  <si>
    <t>エスティプランニング</t>
    <phoneticPr fontId="4"/>
  </si>
  <si>
    <t>盛土</t>
    <rPh sb="0" eb="1">
      <t>モ</t>
    </rPh>
    <rPh sb="1" eb="2">
      <t>ツチ</t>
    </rPh>
    <phoneticPr fontId="4"/>
  </si>
  <si>
    <t>1m</t>
    <phoneticPr fontId="4"/>
  </si>
  <si>
    <t>2m</t>
    <phoneticPr fontId="4"/>
  </si>
  <si>
    <t>駐車場棟とスロープ棟の2棟</t>
    <rPh sb="0" eb="3">
      <t>チュウシャジョウ</t>
    </rPh>
    <rPh sb="3" eb="4">
      <t>トウ</t>
    </rPh>
    <rPh sb="9" eb="10">
      <t>トウ</t>
    </rPh>
    <rPh sb="12" eb="13">
      <t>トウ</t>
    </rPh>
    <phoneticPr fontId="4"/>
  </si>
  <si>
    <t>建築検査機構 株式会社</t>
    <rPh sb="0" eb="2">
      <t>ケンチク</t>
    </rPh>
    <rPh sb="2" eb="4">
      <t>ケンサ</t>
    </rPh>
    <rPh sb="4" eb="6">
      <t>キコウ</t>
    </rPh>
    <rPh sb="7" eb="9">
      <t>カブシキ</t>
    </rPh>
    <rPh sb="9" eb="11">
      <t>カイシャ</t>
    </rPh>
    <phoneticPr fontId="4"/>
  </si>
  <si>
    <t>建築検査機構 株式会社</t>
    <phoneticPr fontId="4"/>
  </si>
  <si>
    <t>ｾﾝﾄﾗﾙﾌｨｯﾄﾈｽｸﾗﾌﾞ名取仙台南</t>
    <rPh sb="14" eb="16">
      <t>ナトリ</t>
    </rPh>
    <rPh sb="16" eb="18">
      <t>センダイ</t>
    </rPh>
    <rPh sb="18" eb="19">
      <t>ミナミ</t>
    </rPh>
    <phoneticPr fontId="4"/>
  </si>
  <si>
    <t>株式会社 尾高建築設計室</t>
    <rPh sb="0" eb="2">
      <t>カブシキ</t>
    </rPh>
    <rPh sb="2" eb="4">
      <t>カイシャ</t>
    </rPh>
    <rPh sb="5" eb="6">
      <t>オ</t>
    </rPh>
    <rPh sb="6" eb="7">
      <t>タカ</t>
    </rPh>
    <rPh sb="7" eb="9">
      <t>ケンチク</t>
    </rPh>
    <rPh sb="9" eb="11">
      <t>セッケイ</t>
    </rPh>
    <rPh sb="11" eb="12">
      <t>シツ</t>
    </rPh>
    <phoneticPr fontId="4"/>
  </si>
  <si>
    <t>株式会社 尾高建築設計室</t>
    <phoneticPr fontId="4"/>
  </si>
  <si>
    <t>カブシキガイシャ オダカケンチクセッケイシツ</t>
    <phoneticPr fontId="4"/>
  </si>
  <si>
    <t>H29.12事務所登録番号変更</t>
    <rPh sb="6" eb="8">
      <t>ジム</t>
    </rPh>
    <rPh sb="8" eb="9">
      <t>ショ</t>
    </rPh>
    <rPh sb="9" eb="11">
      <t>トウロク</t>
    </rPh>
    <rPh sb="11" eb="13">
      <t>バンゴウ</t>
    </rPh>
    <rPh sb="13" eb="15">
      <t>ヘンコウ</t>
    </rPh>
    <phoneticPr fontId="4"/>
  </si>
  <si>
    <t>既存建物(基礎仕様不明)と近接。</t>
    <rPh sb="0" eb="2">
      <t>キソン</t>
    </rPh>
    <rPh sb="2" eb="4">
      <t>タテモノ</t>
    </rPh>
    <rPh sb="5" eb="7">
      <t>キソ</t>
    </rPh>
    <rPh sb="7" eb="9">
      <t>シヨウ</t>
    </rPh>
    <rPh sb="9" eb="11">
      <t>フメイ</t>
    </rPh>
    <rPh sb="13" eb="15">
      <t>キンセツ</t>
    </rPh>
    <phoneticPr fontId="4"/>
  </si>
  <si>
    <t>170236-1</t>
    <phoneticPr fontId="4"/>
  </si>
  <si>
    <t>170236-2</t>
    <phoneticPr fontId="4"/>
  </si>
  <si>
    <t>170236-3</t>
    <phoneticPr fontId="4"/>
  </si>
  <si>
    <t>宮城県</t>
    <phoneticPr fontId="4"/>
  </si>
  <si>
    <t>柴田郡</t>
    <rPh sb="0" eb="3">
      <t>シバタグン</t>
    </rPh>
    <phoneticPr fontId="4"/>
  </si>
  <si>
    <t>柴田町西船迫</t>
    <rPh sb="0" eb="2">
      <t>シバタ</t>
    </rPh>
    <rPh sb="2" eb="3">
      <t>マチ</t>
    </rPh>
    <rPh sb="3" eb="4">
      <t>ニシ</t>
    </rPh>
    <rPh sb="4" eb="5">
      <t>フネ</t>
    </rPh>
    <rPh sb="5" eb="6">
      <t>サコ</t>
    </rPh>
    <phoneticPr fontId="4"/>
  </si>
  <si>
    <t>ｾﾚﾓﾆｰﾎｰﾙ</t>
    <phoneticPr fontId="4"/>
  </si>
  <si>
    <t>株式会社 ASKA総合計画</t>
    <rPh sb="0" eb="2">
      <t>カブシキ</t>
    </rPh>
    <rPh sb="2" eb="4">
      <t>カイシャ</t>
    </rPh>
    <rPh sb="9" eb="11">
      <t>ソウゴウ</t>
    </rPh>
    <rPh sb="11" eb="13">
      <t>ケイカク</t>
    </rPh>
    <phoneticPr fontId="4"/>
  </si>
  <si>
    <t>株式会社 ASKA総合計画</t>
    <phoneticPr fontId="4"/>
  </si>
  <si>
    <t>カブシキガイシャ ASKAソウゴウケイカク</t>
    <phoneticPr fontId="4"/>
  </si>
  <si>
    <t>構造Studio</t>
    <rPh sb="0" eb="2">
      <t>コウゾウ</t>
    </rPh>
    <phoneticPr fontId="4"/>
  </si>
  <si>
    <t>構造Studio</t>
    <phoneticPr fontId="4"/>
  </si>
  <si>
    <t>コウゾウStudio</t>
    <phoneticPr fontId="4"/>
  </si>
  <si>
    <t>4m</t>
    <phoneticPr fontId="4"/>
  </si>
  <si>
    <t>2m</t>
    <phoneticPr fontId="4"/>
  </si>
  <si>
    <t>ユイ</t>
    <phoneticPr fontId="4"/>
  </si>
  <si>
    <t>前田道路㈱福山営業所</t>
    <rPh sb="0" eb="2">
      <t>マエダ</t>
    </rPh>
    <rPh sb="2" eb="4">
      <t>ドウロ</t>
    </rPh>
    <rPh sb="5" eb="7">
      <t>フクヤマ</t>
    </rPh>
    <rPh sb="7" eb="10">
      <t>エイギョウショ</t>
    </rPh>
    <phoneticPr fontId="4"/>
  </si>
  <si>
    <t>五光建築構造事務所</t>
    <rPh sb="0" eb="1">
      <t>ゴ</t>
    </rPh>
    <rPh sb="1" eb="2">
      <t>ヒカリ</t>
    </rPh>
    <rPh sb="2" eb="4">
      <t>ケンチク</t>
    </rPh>
    <rPh sb="4" eb="6">
      <t>コウゾウ</t>
    </rPh>
    <rPh sb="6" eb="8">
      <t>ジム</t>
    </rPh>
    <rPh sb="8" eb="9">
      <t>ショ</t>
    </rPh>
    <phoneticPr fontId="4"/>
  </si>
  <si>
    <t>五光建築構造事務所</t>
    <phoneticPr fontId="4"/>
  </si>
  <si>
    <t>ゴコウケンチクコウゾウジムショ</t>
    <phoneticPr fontId="4"/>
  </si>
  <si>
    <t>5m</t>
    <phoneticPr fontId="4"/>
  </si>
  <si>
    <t>ｼﾙﾄ</t>
    <phoneticPr fontId="4"/>
  </si>
  <si>
    <t>1m</t>
    <phoneticPr fontId="4"/>
  </si>
  <si>
    <t>佐渡島建設 株式会社</t>
    <rPh sb="0" eb="2">
      <t>サド</t>
    </rPh>
    <rPh sb="2" eb="3">
      <t>シマ</t>
    </rPh>
    <rPh sb="3" eb="5">
      <t>ケンセツ</t>
    </rPh>
    <rPh sb="6" eb="8">
      <t>カブシキ</t>
    </rPh>
    <rPh sb="8" eb="10">
      <t>カイシャ</t>
    </rPh>
    <phoneticPr fontId="4"/>
  </si>
  <si>
    <t>佐渡島建設 株式会社</t>
    <phoneticPr fontId="4"/>
  </si>
  <si>
    <t>サドシマケンセツ カブシキガイシャ</t>
    <phoneticPr fontId="4"/>
  </si>
  <si>
    <t>事務所</t>
    <phoneticPr fontId="4"/>
  </si>
  <si>
    <t>ツルハドラッグ男鹿船川</t>
    <rPh sb="7" eb="9">
      <t>オガ</t>
    </rPh>
    <rPh sb="9" eb="10">
      <t>フネ</t>
    </rPh>
    <rPh sb="10" eb="11">
      <t>カワ</t>
    </rPh>
    <phoneticPr fontId="4"/>
  </si>
  <si>
    <t>男鹿市</t>
    <rPh sb="0" eb="3">
      <t>オガシ</t>
    </rPh>
    <phoneticPr fontId="4"/>
  </si>
  <si>
    <t>船川南比詰字大巻</t>
    <rPh sb="0" eb="1">
      <t>フネ</t>
    </rPh>
    <rPh sb="1" eb="2">
      <t>カワ</t>
    </rPh>
    <rPh sb="2" eb="3">
      <t>ミナミ</t>
    </rPh>
    <rPh sb="3" eb="4">
      <t>ヒ</t>
    </rPh>
    <rPh sb="4" eb="5">
      <t>ツ</t>
    </rPh>
    <rPh sb="5" eb="6">
      <t>アザ</t>
    </rPh>
    <rPh sb="6" eb="8">
      <t>オオマキ</t>
    </rPh>
    <phoneticPr fontId="4"/>
  </si>
  <si>
    <t>8m</t>
    <phoneticPr fontId="4"/>
  </si>
  <si>
    <t>5m</t>
    <phoneticPr fontId="4"/>
  </si>
  <si>
    <t>ｼﾙﾄ</t>
    <phoneticPr fontId="4"/>
  </si>
  <si>
    <t>T医薬物流倉庫計画</t>
    <rPh sb="1" eb="3">
      <t>イヤク</t>
    </rPh>
    <rPh sb="3" eb="5">
      <t>ブツリュウ</t>
    </rPh>
    <rPh sb="5" eb="7">
      <t>ソウコ</t>
    </rPh>
    <rPh sb="7" eb="9">
      <t>ケイカク</t>
    </rPh>
    <phoneticPr fontId="4"/>
  </si>
  <si>
    <t>富山市</t>
    <phoneticPr fontId="4"/>
  </si>
  <si>
    <t>新庄本町</t>
    <rPh sb="0" eb="2">
      <t>シンジョウ</t>
    </rPh>
    <rPh sb="2" eb="4">
      <t>ホンマチ</t>
    </rPh>
    <phoneticPr fontId="4"/>
  </si>
  <si>
    <t>危険物倉庫</t>
    <rPh sb="0" eb="3">
      <t>キケンブツ</t>
    </rPh>
    <rPh sb="3" eb="5">
      <t>ソウコ</t>
    </rPh>
    <phoneticPr fontId="4"/>
  </si>
  <si>
    <t>大成建設 株式会社</t>
    <rPh sb="0" eb="2">
      <t>タイセイ</t>
    </rPh>
    <rPh sb="2" eb="4">
      <t>ケンセツ</t>
    </rPh>
    <rPh sb="5" eb="7">
      <t>カブシキ</t>
    </rPh>
    <rPh sb="7" eb="9">
      <t>カイシャ</t>
    </rPh>
    <phoneticPr fontId="4"/>
  </si>
  <si>
    <t>大成建設 株式会社</t>
    <phoneticPr fontId="4"/>
  </si>
  <si>
    <t>タイセイケンセツ カブシキガイシャ</t>
    <phoneticPr fontId="4"/>
  </si>
  <si>
    <t>あべ建築設計事務所</t>
    <phoneticPr fontId="4"/>
  </si>
  <si>
    <t>大久保地区公共施設再生事業(習志野計画)</t>
    <rPh sb="0" eb="3">
      <t>オオクボ</t>
    </rPh>
    <rPh sb="3" eb="5">
      <t>チク</t>
    </rPh>
    <rPh sb="5" eb="7">
      <t>コウキョウ</t>
    </rPh>
    <rPh sb="7" eb="9">
      <t>シセツ</t>
    </rPh>
    <rPh sb="9" eb="11">
      <t>サイセイ</t>
    </rPh>
    <rPh sb="11" eb="13">
      <t>ジギョウ</t>
    </rPh>
    <rPh sb="14" eb="17">
      <t>ナラシノ</t>
    </rPh>
    <rPh sb="17" eb="19">
      <t>ケイカク</t>
    </rPh>
    <phoneticPr fontId="4"/>
  </si>
  <si>
    <t>農耕土</t>
    <rPh sb="0" eb="2">
      <t>ノウコウ</t>
    </rPh>
    <rPh sb="2" eb="3">
      <t>ド</t>
    </rPh>
    <phoneticPr fontId="4"/>
  </si>
  <si>
    <t>細砂</t>
    <rPh sb="0" eb="1">
      <t>ホソ</t>
    </rPh>
    <rPh sb="1" eb="2">
      <t>スナ</t>
    </rPh>
    <phoneticPr fontId="4"/>
  </si>
  <si>
    <t>中砂</t>
    <rPh sb="0" eb="1">
      <t>ナカ</t>
    </rPh>
    <rPh sb="1" eb="2">
      <t>スナ</t>
    </rPh>
    <phoneticPr fontId="4"/>
  </si>
  <si>
    <t>-</t>
    <phoneticPr fontId="4"/>
  </si>
  <si>
    <t>敷地内工場等</t>
    <rPh sb="0" eb="2">
      <t>シキチ</t>
    </rPh>
    <rPh sb="2" eb="3">
      <t>ナイ</t>
    </rPh>
    <rPh sb="3" eb="5">
      <t>コウジョウ</t>
    </rPh>
    <rPh sb="5" eb="6">
      <t>ナド</t>
    </rPh>
    <phoneticPr fontId="4"/>
  </si>
  <si>
    <t>3</t>
    <phoneticPr fontId="4"/>
  </si>
  <si>
    <t>○</t>
    <phoneticPr fontId="4"/>
  </si>
  <si>
    <t>○</t>
    <phoneticPr fontId="4"/>
  </si>
  <si>
    <t>山形県 庄内総合支庁</t>
    <phoneticPr fontId="4"/>
  </si>
  <si>
    <t>株式会社 山形県建築サポートセンター</t>
    <phoneticPr fontId="4"/>
  </si>
  <si>
    <t>5月竣工</t>
    <rPh sb="1" eb="2">
      <t>ガツ</t>
    </rPh>
    <rPh sb="2" eb="4">
      <t>シュンコウ</t>
    </rPh>
    <phoneticPr fontId="4"/>
  </si>
  <si>
    <t>廿日市</t>
    <rPh sb="0" eb="3">
      <t>ハツカイチ</t>
    </rPh>
    <phoneticPr fontId="4"/>
  </si>
  <si>
    <t>デイサービスセンター</t>
    <phoneticPr fontId="4"/>
  </si>
  <si>
    <t>H30.1.10 メールにて</t>
    <phoneticPr fontId="4"/>
  </si>
  <si>
    <t>H30.1.10 メールにて(袴田様)</t>
    <rPh sb="15" eb="16">
      <t>ハカマ</t>
    </rPh>
    <rPh sb="16" eb="17">
      <t>タ</t>
    </rPh>
    <rPh sb="17" eb="18">
      <t>サマ</t>
    </rPh>
    <phoneticPr fontId="4"/>
  </si>
  <si>
    <t>井本建設 株式会社</t>
    <rPh sb="0" eb="1">
      <t>イ</t>
    </rPh>
    <rPh sb="1" eb="2">
      <t>モト</t>
    </rPh>
    <rPh sb="2" eb="4">
      <t>ケンセツ</t>
    </rPh>
    <rPh sb="5" eb="7">
      <t>カブシキ</t>
    </rPh>
    <rPh sb="7" eb="9">
      <t>カイシャ</t>
    </rPh>
    <phoneticPr fontId="4"/>
  </si>
  <si>
    <t>井本建設 株式会社</t>
    <phoneticPr fontId="4"/>
  </si>
  <si>
    <t>イモトケンセツ カブシキガイシャ</t>
    <phoneticPr fontId="4"/>
  </si>
  <si>
    <t>1m</t>
    <phoneticPr fontId="4"/>
  </si>
  <si>
    <t>粘土質粗中砂</t>
    <rPh sb="0" eb="2">
      <t>ネンド</t>
    </rPh>
    <rPh sb="2" eb="3">
      <t>シツ</t>
    </rPh>
    <rPh sb="3" eb="4">
      <t>アラ</t>
    </rPh>
    <rPh sb="4" eb="5">
      <t>ナカ</t>
    </rPh>
    <rPh sb="5" eb="6">
      <t>スナ</t>
    </rPh>
    <phoneticPr fontId="4"/>
  </si>
  <si>
    <t>粘土混り粗中砂</t>
    <rPh sb="0" eb="2">
      <t>ネンド</t>
    </rPh>
    <rPh sb="2" eb="3">
      <t>マ</t>
    </rPh>
    <rPh sb="4" eb="5">
      <t>アラ</t>
    </rPh>
    <rPh sb="5" eb="6">
      <t>ナカ</t>
    </rPh>
    <rPh sb="6" eb="7">
      <t>スナ</t>
    </rPh>
    <phoneticPr fontId="4"/>
  </si>
  <si>
    <t>5m</t>
    <phoneticPr fontId="4"/>
  </si>
  <si>
    <t>粗中砂</t>
    <rPh sb="0" eb="1">
      <t>アラ</t>
    </rPh>
    <rPh sb="1" eb="2">
      <t>ナカ</t>
    </rPh>
    <rPh sb="2" eb="3">
      <t>スナ</t>
    </rPh>
    <phoneticPr fontId="4"/>
  </si>
  <si>
    <t>RF屋根</t>
    <rPh sb="2" eb="4">
      <t>ヤネ</t>
    </rPh>
    <phoneticPr fontId="4"/>
  </si>
  <si>
    <t>平屋建(一部2F)</t>
    <rPh sb="4" eb="6">
      <t>イチブ</t>
    </rPh>
    <phoneticPr fontId="4"/>
  </si>
  <si>
    <t>屋駐</t>
    <rPh sb="0" eb="1">
      <t>オク</t>
    </rPh>
    <rPh sb="1" eb="2">
      <t>チュウ</t>
    </rPh>
    <phoneticPr fontId="4"/>
  </si>
  <si>
    <t>自動ラック倉庫(1.4t/㎡)あり</t>
    <rPh sb="0" eb="2">
      <t>ジドウ</t>
    </rPh>
    <rPh sb="5" eb="7">
      <t>ソウコ</t>
    </rPh>
    <phoneticPr fontId="4"/>
  </si>
  <si>
    <t>畑・工場</t>
    <rPh sb="0" eb="1">
      <t>ハタケ</t>
    </rPh>
    <rPh sb="2" eb="4">
      <t>コウジョウ</t>
    </rPh>
    <phoneticPr fontId="4"/>
  </si>
  <si>
    <t>37条申請</t>
    <rPh sb="2" eb="3">
      <t>ジョウ</t>
    </rPh>
    <rPh sb="3" eb="5">
      <t>シンセイ</t>
    </rPh>
    <phoneticPr fontId="4"/>
  </si>
  <si>
    <t>1層2段</t>
    <rPh sb="1" eb="2">
      <t>ソウ</t>
    </rPh>
    <rPh sb="3" eb="4">
      <t>ダン</t>
    </rPh>
    <phoneticPr fontId="4"/>
  </si>
  <si>
    <t>2</t>
    <phoneticPr fontId="4"/>
  </si>
  <si>
    <t>正覚寺庫裏</t>
    <rPh sb="0" eb="1">
      <t>ショウ</t>
    </rPh>
    <rPh sb="1" eb="2">
      <t>カク</t>
    </rPh>
    <rPh sb="2" eb="3">
      <t>ジ</t>
    </rPh>
    <rPh sb="3" eb="4">
      <t>コ</t>
    </rPh>
    <rPh sb="4" eb="5">
      <t>ウラ</t>
    </rPh>
    <phoneticPr fontId="4"/>
  </si>
  <si>
    <t>○</t>
    <phoneticPr fontId="4"/>
  </si>
  <si>
    <t>監理含む</t>
    <rPh sb="0" eb="2">
      <t>カンリ</t>
    </rPh>
    <rPh sb="2" eb="3">
      <t>フク</t>
    </rPh>
    <phoneticPr fontId="4"/>
  </si>
  <si>
    <t>RC</t>
    <phoneticPr fontId="4"/>
  </si>
  <si>
    <t>地盤改良のみの設計</t>
    <rPh sb="0" eb="2">
      <t>ジバン</t>
    </rPh>
    <rPh sb="2" eb="4">
      <t>カイリョウ</t>
    </rPh>
    <rPh sb="7" eb="9">
      <t>セッケイ</t>
    </rPh>
    <phoneticPr fontId="4"/>
  </si>
  <si>
    <t>-</t>
    <phoneticPr fontId="4"/>
  </si>
  <si>
    <t>有機物混りシルト</t>
    <rPh sb="0" eb="3">
      <t>ユウキブツ</t>
    </rPh>
    <rPh sb="3" eb="4">
      <t>マ</t>
    </rPh>
    <phoneticPr fontId="4"/>
  </si>
  <si>
    <t>19m</t>
    <phoneticPr fontId="4"/>
  </si>
  <si>
    <t>-</t>
    <phoneticPr fontId="4"/>
  </si>
  <si>
    <t>マンション</t>
    <phoneticPr fontId="4"/>
  </si>
  <si>
    <t>同敷地内の車寄せ、ボイラー庫下べた改良
外構改良計画有</t>
    <rPh sb="0" eb="1">
      <t>ドウ</t>
    </rPh>
    <rPh sb="1" eb="3">
      <t>シキチ</t>
    </rPh>
    <rPh sb="3" eb="4">
      <t>ナイ</t>
    </rPh>
    <rPh sb="5" eb="7">
      <t>クルマヨ</t>
    </rPh>
    <rPh sb="13" eb="14">
      <t>コ</t>
    </rPh>
    <rPh sb="14" eb="15">
      <t>シタ</t>
    </rPh>
    <rPh sb="17" eb="19">
      <t>カイリョウ</t>
    </rPh>
    <rPh sb="20" eb="21">
      <t>ガイ</t>
    </rPh>
    <rPh sb="21" eb="22">
      <t>コウ</t>
    </rPh>
    <rPh sb="22" eb="24">
      <t>カイリョウ</t>
    </rPh>
    <rPh sb="24" eb="26">
      <t>ケイカク</t>
    </rPh>
    <rPh sb="26" eb="27">
      <t>アリ</t>
    </rPh>
    <phoneticPr fontId="4"/>
  </si>
  <si>
    <t>コアレックス道栄 倶知安</t>
    <rPh sb="6" eb="7">
      <t>ミチ</t>
    </rPh>
    <rPh sb="7" eb="8">
      <t>サカ</t>
    </rPh>
    <rPh sb="9" eb="12">
      <t>クッチャン</t>
    </rPh>
    <phoneticPr fontId="4"/>
  </si>
  <si>
    <t>倶知安町北2条西</t>
    <rPh sb="0" eb="3">
      <t>クッチャン</t>
    </rPh>
    <rPh sb="3" eb="4">
      <t>マチ</t>
    </rPh>
    <rPh sb="4" eb="5">
      <t>キタ</t>
    </rPh>
    <rPh sb="6" eb="7">
      <t>ジョウ</t>
    </rPh>
    <rPh sb="7" eb="8">
      <t>ニシ</t>
    </rPh>
    <phoneticPr fontId="4"/>
  </si>
  <si>
    <t>2m</t>
    <phoneticPr fontId="4"/>
  </si>
  <si>
    <t>7m</t>
    <phoneticPr fontId="4"/>
  </si>
  <si>
    <t>シルト質細砂</t>
    <rPh sb="3" eb="4">
      <t>シツ</t>
    </rPh>
    <rPh sb="4" eb="5">
      <t>ホソ</t>
    </rPh>
    <rPh sb="5" eb="6">
      <t>スナ</t>
    </rPh>
    <phoneticPr fontId="4"/>
  </si>
  <si>
    <t>17m</t>
    <phoneticPr fontId="4"/>
  </si>
  <si>
    <t>シルト</t>
    <phoneticPr fontId="4"/>
  </si>
  <si>
    <t>13m</t>
    <phoneticPr fontId="4"/>
  </si>
  <si>
    <t>-</t>
    <phoneticPr fontId="4"/>
  </si>
  <si>
    <t>H30.01.13 メールにて</t>
    <phoneticPr fontId="4"/>
  </si>
  <si>
    <t>H30.01.13 メールにて</t>
    <phoneticPr fontId="4"/>
  </si>
  <si>
    <t>大田クリニックデイケア</t>
    <rPh sb="0" eb="2">
      <t>オオタ</t>
    </rPh>
    <phoneticPr fontId="4"/>
  </si>
  <si>
    <t>既存建物(柱状改良)と近接</t>
    <rPh sb="0" eb="2">
      <t>キソン</t>
    </rPh>
    <rPh sb="2" eb="4">
      <t>タテモノ</t>
    </rPh>
    <rPh sb="5" eb="6">
      <t>チュウ</t>
    </rPh>
    <rPh sb="6" eb="7">
      <t>ジョウ</t>
    </rPh>
    <rPh sb="7" eb="9">
      <t>カイリョウ</t>
    </rPh>
    <rPh sb="11" eb="13">
      <t>キンセツ</t>
    </rPh>
    <phoneticPr fontId="4"/>
  </si>
  <si>
    <t>3</t>
    <phoneticPr fontId="4"/>
  </si>
  <si>
    <t>甲府国母(ドンキ甲府)</t>
    <rPh sb="8" eb="10">
      <t>コウフ</t>
    </rPh>
    <phoneticPr fontId="4"/>
  </si>
  <si>
    <t>日立建機日本(株)成田整備工場</t>
    <rPh sb="0" eb="2">
      <t>ヒタチ</t>
    </rPh>
    <rPh sb="2" eb="4">
      <t>ケンキ</t>
    </rPh>
    <rPh sb="4" eb="6">
      <t>ニホン</t>
    </rPh>
    <rPh sb="6" eb="9">
      <t>カブ</t>
    </rPh>
    <rPh sb="9" eb="11">
      <t>ナリタ</t>
    </rPh>
    <rPh sb="11" eb="13">
      <t>セイビ</t>
    </rPh>
    <rPh sb="13" eb="15">
      <t>コウジョウ</t>
    </rPh>
    <phoneticPr fontId="4"/>
  </si>
  <si>
    <t>千葉県</t>
    <phoneticPr fontId="4"/>
  </si>
  <si>
    <t>山武郡</t>
    <rPh sb="0" eb="1">
      <t>ヤマ</t>
    </rPh>
    <rPh sb="1" eb="2">
      <t>ブ</t>
    </rPh>
    <rPh sb="2" eb="3">
      <t>グン</t>
    </rPh>
    <phoneticPr fontId="4"/>
  </si>
  <si>
    <t>芝山町岩山字後田台</t>
    <rPh sb="0" eb="1">
      <t>シバ</t>
    </rPh>
    <rPh sb="1" eb="2">
      <t>ヤマ</t>
    </rPh>
    <rPh sb="2" eb="3">
      <t>マチ</t>
    </rPh>
    <rPh sb="3" eb="4">
      <t>イワ</t>
    </rPh>
    <rPh sb="4" eb="5">
      <t>ヤマ</t>
    </rPh>
    <rPh sb="5" eb="6">
      <t>アザ</t>
    </rPh>
    <rPh sb="6" eb="7">
      <t>アト</t>
    </rPh>
    <rPh sb="7" eb="8">
      <t>タ</t>
    </rPh>
    <rPh sb="8" eb="9">
      <t>ダイ</t>
    </rPh>
    <phoneticPr fontId="4"/>
  </si>
  <si>
    <t>平屋建(一部中2F)</t>
    <rPh sb="4" eb="6">
      <t>イチブ</t>
    </rPh>
    <rPh sb="6" eb="7">
      <t>ナカ</t>
    </rPh>
    <phoneticPr fontId="4"/>
  </si>
  <si>
    <t>山梨県</t>
    <phoneticPr fontId="4"/>
  </si>
  <si>
    <t>甲府市</t>
    <rPh sb="0" eb="2">
      <t>コウフ</t>
    </rPh>
    <rPh sb="2" eb="3">
      <t>シ</t>
    </rPh>
    <phoneticPr fontId="4"/>
  </si>
  <si>
    <t>国母</t>
    <rPh sb="0" eb="1">
      <t>クニ</t>
    </rPh>
    <rPh sb="1" eb="2">
      <t>ハハ</t>
    </rPh>
    <phoneticPr fontId="4"/>
  </si>
  <si>
    <t>1/30現説、2/20確認済、8月下旬竣工引渡し</t>
    <rPh sb="4" eb="5">
      <t>ゲン</t>
    </rPh>
    <rPh sb="5" eb="6">
      <t>セツ</t>
    </rPh>
    <rPh sb="11" eb="13">
      <t>カクニン</t>
    </rPh>
    <rPh sb="13" eb="14">
      <t>スミ</t>
    </rPh>
    <rPh sb="16" eb="17">
      <t>ガツ</t>
    </rPh>
    <rPh sb="17" eb="19">
      <t>ゲジュン</t>
    </rPh>
    <rPh sb="19" eb="21">
      <t>シュンコウ</t>
    </rPh>
    <rPh sb="21" eb="23">
      <t>ヒキワタ</t>
    </rPh>
    <phoneticPr fontId="4"/>
  </si>
  <si>
    <t>株式会社 新潟建築確認検査機構</t>
    <phoneticPr fontId="4"/>
  </si>
  <si>
    <t>道路・空地</t>
    <rPh sb="0" eb="2">
      <t>ドウロ</t>
    </rPh>
    <rPh sb="3" eb="5">
      <t>クウチ</t>
    </rPh>
    <phoneticPr fontId="4"/>
  </si>
  <si>
    <t>ｽﾎﾟｰﾂ施設</t>
    <rPh sb="5" eb="7">
      <t>シセツ</t>
    </rPh>
    <phoneticPr fontId="4"/>
  </si>
  <si>
    <t>ｽﾄｯｸﾔｰﾄﾞ</t>
    <phoneticPr fontId="4"/>
  </si>
  <si>
    <t>株式会社 熊本建築設計事務所</t>
    <rPh sb="0" eb="2">
      <t>カブシキ</t>
    </rPh>
    <rPh sb="2" eb="4">
      <t>カイシャ</t>
    </rPh>
    <phoneticPr fontId="4"/>
  </si>
  <si>
    <t>株式会社 熊本建築設計事務所</t>
    <phoneticPr fontId="4"/>
  </si>
  <si>
    <t>カブシキガイシャ クマモトケンチクセッケイジムショ</t>
    <phoneticPr fontId="4"/>
  </si>
  <si>
    <t>前田運送㈱E棟倉庫</t>
    <rPh sb="0" eb="2">
      <t>マエダ</t>
    </rPh>
    <rPh sb="2" eb="4">
      <t>ウンソウ</t>
    </rPh>
    <rPh sb="6" eb="7">
      <t>トウ</t>
    </rPh>
    <rPh sb="7" eb="9">
      <t>ソウコ</t>
    </rPh>
    <phoneticPr fontId="4"/>
  </si>
  <si>
    <t>三重郡</t>
    <rPh sb="0" eb="2">
      <t>ミエ</t>
    </rPh>
    <rPh sb="2" eb="3">
      <t>グン</t>
    </rPh>
    <phoneticPr fontId="4"/>
  </si>
  <si>
    <t>川越町</t>
    <rPh sb="0" eb="2">
      <t>カワゴエ</t>
    </rPh>
    <rPh sb="2" eb="3">
      <t>マチ</t>
    </rPh>
    <phoneticPr fontId="4"/>
  </si>
  <si>
    <t>2F建(中2F)</t>
    <rPh sb="2" eb="3">
      <t>タ</t>
    </rPh>
    <rPh sb="4" eb="5">
      <t>ナカ</t>
    </rPh>
    <phoneticPr fontId="4"/>
  </si>
  <si>
    <t>倉庫</t>
    <phoneticPr fontId="4"/>
  </si>
  <si>
    <t>月ヶ瀬みのり園 第二工場</t>
    <rPh sb="0" eb="1">
      <t>ツキ</t>
    </rPh>
    <rPh sb="2" eb="3">
      <t>セ</t>
    </rPh>
    <rPh sb="6" eb="7">
      <t>エン</t>
    </rPh>
    <rPh sb="8" eb="10">
      <t>ダイニ</t>
    </rPh>
    <rPh sb="10" eb="12">
      <t>コウジョウ</t>
    </rPh>
    <phoneticPr fontId="4"/>
  </si>
  <si>
    <t>奈良県</t>
    <phoneticPr fontId="4"/>
  </si>
  <si>
    <t>奈良市</t>
    <rPh sb="0" eb="2">
      <t>ナラ</t>
    </rPh>
    <rPh sb="2" eb="3">
      <t>シ</t>
    </rPh>
    <phoneticPr fontId="4"/>
  </si>
  <si>
    <t>月ヶ瀬長引</t>
    <rPh sb="0" eb="1">
      <t>ツキ</t>
    </rPh>
    <rPh sb="2" eb="3">
      <t>セ</t>
    </rPh>
    <rPh sb="3" eb="4">
      <t>ナガ</t>
    </rPh>
    <rPh sb="4" eb="5">
      <t>ヒ</t>
    </rPh>
    <phoneticPr fontId="4"/>
  </si>
  <si>
    <t>5m</t>
    <phoneticPr fontId="4"/>
  </si>
  <si>
    <t>1m</t>
    <phoneticPr fontId="4"/>
  </si>
  <si>
    <t>川越高松</t>
    <rPh sb="0" eb="2">
      <t>カワゴエ</t>
    </rPh>
    <rPh sb="2" eb="4">
      <t>タカマツ</t>
    </rPh>
    <phoneticPr fontId="4"/>
  </si>
  <si>
    <t>15m</t>
    <phoneticPr fontId="4"/>
  </si>
  <si>
    <t>シルト</t>
    <phoneticPr fontId="4"/>
  </si>
  <si>
    <t>砂混じりシルト</t>
    <rPh sb="0" eb="1">
      <t>スナ</t>
    </rPh>
    <rPh sb="1" eb="2">
      <t>マ</t>
    </rPh>
    <phoneticPr fontId="4"/>
  </si>
  <si>
    <t>19m</t>
    <phoneticPr fontId="4"/>
  </si>
  <si>
    <t>2m</t>
    <phoneticPr fontId="4"/>
  </si>
  <si>
    <t>-</t>
    <phoneticPr fontId="4"/>
  </si>
  <si>
    <t>道路・工場</t>
    <rPh sb="0" eb="2">
      <t>ドウロ</t>
    </rPh>
    <rPh sb="3" eb="5">
      <t>コウジョウ</t>
    </rPh>
    <phoneticPr fontId="4"/>
  </si>
  <si>
    <t>由利本荘市</t>
    <phoneticPr fontId="4"/>
  </si>
  <si>
    <t>石脇</t>
    <rPh sb="0" eb="1">
      <t>イシ</t>
    </rPh>
    <rPh sb="1" eb="2">
      <t>ワキ</t>
    </rPh>
    <phoneticPr fontId="4"/>
  </si>
  <si>
    <t>2m</t>
    <phoneticPr fontId="4"/>
  </si>
  <si>
    <t>砂質ｼﾙﾄ</t>
    <rPh sb="0" eb="1">
      <t>スナ</t>
    </rPh>
    <rPh sb="1" eb="2">
      <t>シツ</t>
    </rPh>
    <phoneticPr fontId="4"/>
  </si>
  <si>
    <t>10m</t>
    <phoneticPr fontId="4"/>
  </si>
  <si>
    <t>ｼﾙﾄ</t>
    <phoneticPr fontId="4"/>
  </si>
  <si>
    <t>3m</t>
    <phoneticPr fontId="4"/>
  </si>
  <si>
    <t>2m</t>
    <phoneticPr fontId="4"/>
  </si>
  <si>
    <t>西新町</t>
    <phoneticPr fontId="4"/>
  </si>
  <si>
    <t>WRC造</t>
    <phoneticPr fontId="4"/>
  </si>
  <si>
    <t>共同住宅</t>
    <phoneticPr fontId="4"/>
  </si>
  <si>
    <t>RC</t>
    <phoneticPr fontId="4"/>
  </si>
  <si>
    <t>出雲土建 建築設計事務所</t>
    <rPh sb="0" eb="2">
      <t>イズモ</t>
    </rPh>
    <rPh sb="2" eb="4">
      <t>ドケン</t>
    </rPh>
    <rPh sb="5" eb="7">
      <t>ケンチク</t>
    </rPh>
    <rPh sb="7" eb="9">
      <t>セッケイ</t>
    </rPh>
    <rPh sb="9" eb="11">
      <t>ジム</t>
    </rPh>
    <rPh sb="11" eb="12">
      <t>ショ</t>
    </rPh>
    <phoneticPr fontId="4"/>
  </si>
  <si>
    <t>出雲土建 建築設計事務所</t>
    <phoneticPr fontId="4"/>
  </si>
  <si>
    <t>イズモドケン ケンチクセッケイジムショ</t>
    <phoneticPr fontId="4"/>
  </si>
  <si>
    <t>3m</t>
    <phoneticPr fontId="4"/>
  </si>
  <si>
    <t>3m</t>
    <phoneticPr fontId="4"/>
  </si>
  <si>
    <t>開発工事2月より</t>
    <rPh sb="0" eb="2">
      <t>カイハツ</t>
    </rPh>
    <rPh sb="2" eb="4">
      <t>コウジ</t>
    </rPh>
    <rPh sb="5" eb="6">
      <t>ガツ</t>
    </rPh>
    <phoneticPr fontId="4"/>
  </si>
  <si>
    <t>金
ユイ</t>
    <rPh sb="0" eb="1">
      <t>キン</t>
    </rPh>
    <phoneticPr fontId="4"/>
  </si>
  <si>
    <t>JA山形おきたま低温米倉庫</t>
    <rPh sb="2" eb="4">
      <t>ヤマガタ</t>
    </rPh>
    <rPh sb="8" eb="10">
      <t>テイオン</t>
    </rPh>
    <rPh sb="10" eb="11">
      <t>コメ</t>
    </rPh>
    <rPh sb="11" eb="13">
      <t>ソウコ</t>
    </rPh>
    <phoneticPr fontId="4"/>
  </si>
  <si>
    <t>山形県</t>
    <phoneticPr fontId="4"/>
  </si>
  <si>
    <t>高畠町大字福沢</t>
    <rPh sb="0" eb="2">
      <t>タカハタ</t>
    </rPh>
    <rPh sb="2" eb="3">
      <t>マチ</t>
    </rPh>
    <rPh sb="3" eb="5">
      <t>オオアザ</t>
    </rPh>
    <rPh sb="5" eb="6">
      <t>フク</t>
    </rPh>
    <rPh sb="6" eb="7">
      <t>サワ</t>
    </rPh>
    <phoneticPr fontId="4"/>
  </si>
  <si>
    <t>株式会社 丹羽設計事務所</t>
    <rPh sb="0" eb="2">
      <t>カブシキ</t>
    </rPh>
    <rPh sb="2" eb="4">
      <t>カイシャ</t>
    </rPh>
    <rPh sb="5" eb="7">
      <t>ニワ</t>
    </rPh>
    <rPh sb="7" eb="9">
      <t>セッケイ</t>
    </rPh>
    <rPh sb="9" eb="11">
      <t>ジム</t>
    </rPh>
    <rPh sb="11" eb="12">
      <t>ショ</t>
    </rPh>
    <phoneticPr fontId="4"/>
  </si>
  <si>
    <t>1m</t>
    <phoneticPr fontId="4"/>
  </si>
  <si>
    <t>3m</t>
    <phoneticPr fontId="4"/>
  </si>
  <si>
    <t>5m</t>
    <phoneticPr fontId="4"/>
  </si>
  <si>
    <t>東北マツダ大館</t>
    <rPh sb="0" eb="2">
      <t>トウホク</t>
    </rPh>
    <rPh sb="5" eb="7">
      <t>オオダテ</t>
    </rPh>
    <phoneticPr fontId="4"/>
  </si>
  <si>
    <t>大館市</t>
    <rPh sb="0" eb="3">
      <t>オオダテシ</t>
    </rPh>
    <phoneticPr fontId="4"/>
  </si>
  <si>
    <t>S造</t>
    <phoneticPr fontId="4"/>
  </si>
  <si>
    <t>野呂建築設計事務所</t>
    <rPh sb="0" eb="2">
      <t>ノロ</t>
    </rPh>
    <rPh sb="2" eb="4">
      <t>ケンチク</t>
    </rPh>
    <rPh sb="4" eb="6">
      <t>セッケイ</t>
    </rPh>
    <rPh sb="6" eb="8">
      <t>ジム</t>
    </rPh>
    <rPh sb="8" eb="9">
      <t>ショ</t>
    </rPh>
    <phoneticPr fontId="4"/>
  </si>
  <si>
    <t>株式会社 甲(きのえ)設計事務所</t>
    <rPh sb="0" eb="2">
      <t>カブシキ</t>
    </rPh>
    <rPh sb="2" eb="4">
      <t>ガイシャ</t>
    </rPh>
    <rPh sb="5" eb="6">
      <t>キノエ</t>
    </rPh>
    <rPh sb="11" eb="13">
      <t>セッケイ</t>
    </rPh>
    <rPh sb="13" eb="15">
      <t>ジム</t>
    </rPh>
    <rPh sb="15" eb="16">
      <t>ショ</t>
    </rPh>
    <phoneticPr fontId="4"/>
  </si>
  <si>
    <t>株式会社 甲(きのえ)設計事務所</t>
    <phoneticPr fontId="4"/>
  </si>
  <si>
    <t>カブシキガイシャ キノエセッケイジムショ</t>
    <phoneticPr fontId="4"/>
  </si>
  <si>
    <t>財団法人 宮城県建築住宅センター</t>
    <phoneticPr fontId="4"/>
  </si>
  <si>
    <t>秋田ﾄﾖﾀ由利本荘【洗車場】</t>
    <rPh sb="0" eb="2">
      <t>アキタ</t>
    </rPh>
    <rPh sb="5" eb="9">
      <t>ユリホンジョウ</t>
    </rPh>
    <rPh sb="10" eb="13">
      <t>センシャジョウ</t>
    </rPh>
    <phoneticPr fontId="4"/>
  </si>
  <si>
    <t>秋田ﾄﾖﾀ由利本荘【整備工場】</t>
    <rPh sb="0" eb="2">
      <t>アキタ</t>
    </rPh>
    <rPh sb="5" eb="9">
      <t>ユリホンジョウ</t>
    </rPh>
    <rPh sb="10" eb="12">
      <t>セイビ</t>
    </rPh>
    <rPh sb="12" eb="14">
      <t>コウジョウ</t>
    </rPh>
    <phoneticPr fontId="4"/>
  </si>
  <si>
    <t>洗車場</t>
    <rPh sb="0" eb="3">
      <t>センシャジョウ</t>
    </rPh>
    <phoneticPr fontId="4"/>
  </si>
  <si>
    <t>1-1</t>
    <phoneticPr fontId="4"/>
  </si>
  <si>
    <t>1</t>
    <phoneticPr fontId="4"/>
  </si>
  <si>
    <t>西葛西</t>
    <rPh sb="0" eb="1">
      <t>ニシ</t>
    </rPh>
    <rPh sb="1" eb="3">
      <t>カサイ</t>
    </rPh>
    <phoneticPr fontId="4"/>
  </si>
  <si>
    <t>180020-1</t>
    <phoneticPr fontId="4"/>
  </si>
  <si>
    <t>180020-2</t>
    <phoneticPr fontId="4"/>
  </si>
  <si>
    <t>ツルハドラッグ新潟彩野</t>
    <phoneticPr fontId="4"/>
  </si>
  <si>
    <t>新潟県</t>
    <phoneticPr fontId="4"/>
  </si>
  <si>
    <t>綾野</t>
    <rPh sb="0" eb="2">
      <t>アヤノ</t>
    </rPh>
    <phoneticPr fontId="4"/>
  </si>
  <si>
    <t>2m</t>
    <phoneticPr fontId="4"/>
  </si>
  <si>
    <t>ｼﾙﾄ混じり細砂</t>
    <rPh sb="3" eb="4">
      <t>マ</t>
    </rPh>
    <rPh sb="6" eb="7">
      <t>サイ</t>
    </rPh>
    <rPh sb="7" eb="8">
      <t>スナ</t>
    </rPh>
    <phoneticPr fontId="4"/>
  </si>
  <si>
    <t>店舗・住宅</t>
    <rPh sb="0" eb="2">
      <t>テンポ</t>
    </rPh>
    <rPh sb="3" eb="5">
      <t>ジュウタク</t>
    </rPh>
    <phoneticPr fontId="4"/>
  </si>
  <si>
    <t>中葛西7丁目28番 店舗(ｻﾝﾍﾞﾙｸｽ)</t>
    <phoneticPr fontId="4"/>
  </si>
  <si>
    <t>ﾃﾞｯｷ</t>
    <phoneticPr fontId="4"/>
  </si>
  <si>
    <t>RC</t>
    <phoneticPr fontId="4"/>
  </si>
  <si>
    <t>青森市</t>
    <phoneticPr fontId="4"/>
  </si>
  <si>
    <t>桜川</t>
    <rPh sb="0" eb="1">
      <t>サクラ</t>
    </rPh>
    <rPh sb="1" eb="2">
      <t>カワ</t>
    </rPh>
    <phoneticPr fontId="4"/>
  </si>
  <si>
    <t>ツルハドラッグ青森桜川</t>
    <rPh sb="7" eb="9">
      <t>アオモリ</t>
    </rPh>
    <rPh sb="9" eb="10">
      <t>サクラ</t>
    </rPh>
    <rPh sb="10" eb="11">
      <t>カワ</t>
    </rPh>
    <phoneticPr fontId="4"/>
  </si>
  <si>
    <t>株式会社 建築住宅センター</t>
    <phoneticPr fontId="4"/>
  </si>
  <si>
    <t>財団法人 静岡県建築住宅まちづくりセンター</t>
    <phoneticPr fontId="4"/>
  </si>
  <si>
    <t>平屋建(一部2F)</t>
    <rPh sb="0" eb="2">
      <t>ヒラヤ</t>
    </rPh>
    <rPh sb="2" eb="3">
      <t>タ</t>
    </rPh>
    <rPh sb="4" eb="6">
      <t>イチブ</t>
    </rPh>
    <phoneticPr fontId="4"/>
  </si>
  <si>
    <t>秋田ﾄﾖﾀ由利本荘【ｼｮｰﾙｰﾑ】</t>
    <rPh sb="0" eb="2">
      <t>アキタ</t>
    </rPh>
    <rPh sb="5" eb="9">
      <t>ユリホンジョウ</t>
    </rPh>
    <phoneticPr fontId="4"/>
  </si>
  <si>
    <t>180020-3</t>
  </si>
  <si>
    <t>ｹﾞｽﾄﾙｰﾑ＋ｷｬﾉﾋﾟｰ2棟。外構改良、WTあり。</t>
    <rPh sb="15" eb="16">
      <t>トウ</t>
    </rPh>
    <rPh sb="17" eb="19">
      <t>カイリョウ</t>
    </rPh>
    <rPh sb="19" eb="20">
      <t>、</t>
    </rPh>
    <rPh sb="20" eb="22">
      <t>ＷＴ</t>
    </rPh>
    <phoneticPr fontId="4"/>
  </si>
  <si>
    <t>ユイ
タオ</t>
    <phoneticPr fontId="4"/>
  </si>
  <si>
    <t>青森県 八戸市役所</t>
    <phoneticPr fontId="4"/>
  </si>
  <si>
    <t>株式会社 中林建築設計事務所</t>
    <phoneticPr fontId="4"/>
  </si>
  <si>
    <t>上塩治町</t>
    <rPh sb="0" eb="1">
      <t>ウエ</t>
    </rPh>
    <rPh sb="1" eb="2">
      <t>シオ</t>
    </rPh>
    <rPh sb="2" eb="3">
      <t>オサ</t>
    </rPh>
    <rPh sb="3" eb="4">
      <t>マチ</t>
    </rPh>
    <phoneticPr fontId="4"/>
  </si>
  <si>
    <t>2m</t>
    <phoneticPr fontId="4"/>
  </si>
  <si>
    <t>1m</t>
    <phoneticPr fontId="4"/>
  </si>
  <si>
    <t>水産鮮度処理施設整備事務所</t>
    <rPh sb="0" eb="2">
      <t>スイサン</t>
    </rPh>
    <rPh sb="2" eb="4">
      <t>センド</t>
    </rPh>
    <rPh sb="4" eb="6">
      <t>ショリ</t>
    </rPh>
    <rPh sb="6" eb="8">
      <t>シセツ</t>
    </rPh>
    <rPh sb="8" eb="10">
      <t>セイビ</t>
    </rPh>
    <rPh sb="10" eb="12">
      <t>ジム</t>
    </rPh>
    <rPh sb="12" eb="13">
      <t>ショ</t>
    </rPh>
    <phoneticPr fontId="4"/>
  </si>
  <si>
    <t>東牟婁郡</t>
    <rPh sb="0" eb="1">
      <t>ヒガシ</t>
    </rPh>
    <rPh sb="1" eb="2">
      <t>ム</t>
    </rPh>
    <rPh sb="2" eb="3">
      <t>ロウ</t>
    </rPh>
    <rPh sb="3" eb="4">
      <t>グン</t>
    </rPh>
    <phoneticPr fontId="4"/>
  </si>
  <si>
    <t>那須勝浦町大字築地</t>
    <rPh sb="0" eb="2">
      <t>ナス</t>
    </rPh>
    <rPh sb="2" eb="4">
      <t>カツウラ</t>
    </rPh>
    <rPh sb="4" eb="5">
      <t>マチ</t>
    </rPh>
    <rPh sb="5" eb="7">
      <t>オオアザ</t>
    </rPh>
    <rPh sb="7" eb="9">
      <t>ツキジ</t>
    </rPh>
    <phoneticPr fontId="4"/>
  </si>
  <si>
    <t>倉庫</t>
    <phoneticPr fontId="4"/>
  </si>
  <si>
    <t>戸石建築設計事務所</t>
    <rPh sb="0" eb="2">
      <t>トイシ</t>
    </rPh>
    <rPh sb="2" eb="4">
      <t>ケンチク</t>
    </rPh>
    <rPh sb="4" eb="6">
      <t>セッケイ</t>
    </rPh>
    <rPh sb="6" eb="8">
      <t>ジム</t>
    </rPh>
    <rPh sb="8" eb="9">
      <t>ショ</t>
    </rPh>
    <phoneticPr fontId="4"/>
  </si>
  <si>
    <t>13m</t>
    <phoneticPr fontId="4"/>
  </si>
  <si>
    <t>コニーリョ西出雲(勝部マンションⅡ)</t>
    <rPh sb="5" eb="6">
      <t>ニシ</t>
    </rPh>
    <rPh sb="6" eb="8">
      <t>イズモ</t>
    </rPh>
    <rPh sb="9" eb="11">
      <t>カツベ</t>
    </rPh>
    <phoneticPr fontId="4"/>
  </si>
  <si>
    <t>○</t>
    <phoneticPr fontId="4"/>
  </si>
  <si>
    <t>新設側溝 近接。盛土1.0m程度。</t>
    <rPh sb="0" eb="2">
      <t>シンセツ</t>
    </rPh>
    <rPh sb="2" eb="4">
      <t>ソッコウ</t>
    </rPh>
    <rPh sb="5" eb="7">
      <t>キンセツ</t>
    </rPh>
    <rPh sb="8" eb="9">
      <t>モ</t>
    </rPh>
    <rPh sb="9" eb="10">
      <t>ツチ</t>
    </rPh>
    <rPh sb="14" eb="16">
      <t>テイド</t>
    </rPh>
    <phoneticPr fontId="4"/>
  </si>
  <si>
    <t>川西町大字中小松字田仲</t>
    <phoneticPr fontId="4"/>
  </si>
  <si>
    <t>横浜川和町(クリエイトエスディー)</t>
    <rPh sb="0" eb="2">
      <t>ヨコハマ</t>
    </rPh>
    <rPh sb="2" eb="3">
      <t>ガワ</t>
    </rPh>
    <rPh sb="3" eb="4">
      <t>ワ</t>
    </rPh>
    <rPh sb="4" eb="5">
      <t>マチ</t>
    </rPh>
    <phoneticPr fontId="4"/>
  </si>
  <si>
    <t>横浜市</t>
    <phoneticPr fontId="4"/>
  </si>
  <si>
    <t>都筑区川和町あざ稲荷谷</t>
    <rPh sb="0" eb="1">
      <t>ト</t>
    </rPh>
    <rPh sb="1" eb="2">
      <t>チク</t>
    </rPh>
    <rPh sb="2" eb="3">
      <t>ク</t>
    </rPh>
    <rPh sb="3" eb="4">
      <t>カワ</t>
    </rPh>
    <rPh sb="4" eb="5">
      <t>ワ</t>
    </rPh>
    <rPh sb="5" eb="6">
      <t>マチ</t>
    </rPh>
    <rPh sb="8" eb="10">
      <t>イナリ</t>
    </rPh>
    <rPh sb="10" eb="11">
      <t>タニ</t>
    </rPh>
    <phoneticPr fontId="4"/>
  </si>
  <si>
    <t>株式会社 FAL 一級建築士事務所</t>
    <rPh sb="0" eb="2">
      <t>カブシキ</t>
    </rPh>
    <rPh sb="2" eb="4">
      <t>カイシャ</t>
    </rPh>
    <rPh sb="9" eb="11">
      <t>イッキュウ</t>
    </rPh>
    <rPh sb="11" eb="14">
      <t>ケンチクシ</t>
    </rPh>
    <rPh sb="14" eb="16">
      <t>ジム</t>
    </rPh>
    <rPh sb="16" eb="17">
      <t>ショ</t>
    </rPh>
    <phoneticPr fontId="4"/>
  </si>
  <si>
    <t>株式会社 FAL 一級建築士事務所</t>
    <phoneticPr fontId="4"/>
  </si>
  <si>
    <t>カブシキガイシャ FAL イッキュウケンチクシジムショ</t>
    <phoneticPr fontId="4"/>
  </si>
  <si>
    <t>H30.02.01メールにて</t>
    <phoneticPr fontId="4"/>
  </si>
  <si>
    <t>リードR3工場 増築工事</t>
    <rPh sb="5" eb="7">
      <t>コウジョウ</t>
    </rPh>
    <rPh sb="8" eb="10">
      <t>ゾウチク</t>
    </rPh>
    <rPh sb="10" eb="12">
      <t>コウジ</t>
    </rPh>
    <phoneticPr fontId="4"/>
  </si>
  <si>
    <t>相馬郡</t>
    <phoneticPr fontId="4"/>
  </si>
  <si>
    <t>新地町杉目字飯樋</t>
    <rPh sb="0" eb="1">
      <t>シン</t>
    </rPh>
    <rPh sb="1" eb="2">
      <t>チ</t>
    </rPh>
    <rPh sb="2" eb="3">
      <t>マチ</t>
    </rPh>
    <rPh sb="3" eb="4">
      <t>スギ</t>
    </rPh>
    <rPh sb="4" eb="5">
      <t>メ</t>
    </rPh>
    <rPh sb="5" eb="6">
      <t>アザ</t>
    </rPh>
    <rPh sb="6" eb="7">
      <t>メシ</t>
    </rPh>
    <rPh sb="7" eb="8">
      <t>トイ</t>
    </rPh>
    <phoneticPr fontId="4"/>
  </si>
  <si>
    <t>以前設計したリードR3工場の増築工事</t>
    <rPh sb="0" eb="2">
      <t>イゼン</t>
    </rPh>
    <rPh sb="2" eb="4">
      <t>セッケイ</t>
    </rPh>
    <rPh sb="11" eb="13">
      <t>コウジョウ</t>
    </rPh>
    <rPh sb="14" eb="16">
      <t>ゾウチク</t>
    </rPh>
    <rPh sb="16" eb="18">
      <t>コウジ</t>
    </rPh>
    <phoneticPr fontId="4"/>
  </si>
  <si>
    <t>村上
ウット</t>
    <rPh sb="0" eb="2">
      <t>ムラカミ</t>
    </rPh>
    <phoneticPr fontId="4"/>
  </si>
  <si>
    <t>3m</t>
    <phoneticPr fontId="4"/>
  </si>
  <si>
    <t>2m</t>
    <phoneticPr fontId="4"/>
  </si>
  <si>
    <t>7m</t>
    <phoneticPr fontId="4"/>
  </si>
  <si>
    <t>シルト</t>
    <phoneticPr fontId="4"/>
  </si>
  <si>
    <t>-</t>
    <phoneticPr fontId="4"/>
  </si>
  <si>
    <t>-</t>
    <phoneticPr fontId="4"/>
  </si>
  <si>
    <t>-</t>
    <phoneticPr fontId="4"/>
  </si>
  <si>
    <t>3</t>
    <phoneticPr fontId="4"/>
  </si>
  <si>
    <t>秋田ﾄﾖﾀ由利本荘【ﾌﾞｯｸｽﾓｱ】</t>
    <rPh sb="0" eb="2">
      <t>アキタ</t>
    </rPh>
    <rPh sb="5" eb="9">
      <t>ユリホンジョウ</t>
    </rPh>
    <phoneticPr fontId="4"/>
  </si>
  <si>
    <t>180020-4</t>
  </si>
  <si>
    <t>秋田ﾄﾖﾀ由利本荘【ﾊﾟｰｺﾞﾗ】</t>
    <rPh sb="0" eb="2">
      <t>アキタ</t>
    </rPh>
    <rPh sb="5" eb="9">
      <t>ユリホンジョウ</t>
    </rPh>
    <phoneticPr fontId="4"/>
  </si>
  <si>
    <t>広島県東部建築確認センター</t>
    <rPh sb="0" eb="3">
      <t>ヒロシマケン</t>
    </rPh>
    <rPh sb="3" eb="5">
      <t>トウブ</t>
    </rPh>
    <rPh sb="5" eb="7">
      <t>ケンチク</t>
    </rPh>
    <rPh sb="7" eb="9">
      <t>カクニン</t>
    </rPh>
    <phoneticPr fontId="4"/>
  </si>
  <si>
    <t>広島県東部建築確認センター</t>
    <phoneticPr fontId="4"/>
  </si>
  <si>
    <t>北陸マツダ金沢西</t>
    <rPh sb="0" eb="2">
      <t>ホクリク</t>
    </rPh>
    <rPh sb="5" eb="7">
      <t>カナザワ</t>
    </rPh>
    <rPh sb="7" eb="8">
      <t>ニシ</t>
    </rPh>
    <phoneticPr fontId="4"/>
  </si>
  <si>
    <t>石川県</t>
    <rPh sb="0" eb="3">
      <t>イシカワケン</t>
    </rPh>
    <phoneticPr fontId="4"/>
  </si>
  <si>
    <t>近岡町</t>
    <rPh sb="0" eb="1">
      <t>チカ</t>
    </rPh>
    <rPh sb="1" eb="2">
      <t>オカ</t>
    </rPh>
    <rPh sb="2" eb="3">
      <t>マチ</t>
    </rPh>
    <phoneticPr fontId="4"/>
  </si>
  <si>
    <t>株式会社 キトー建築事務所</t>
    <rPh sb="0" eb="2">
      <t>カブシキ</t>
    </rPh>
    <rPh sb="2" eb="4">
      <t>カイシャ</t>
    </rPh>
    <rPh sb="8" eb="10">
      <t>ケンチク</t>
    </rPh>
    <rPh sb="10" eb="12">
      <t>ジム</t>
    </rPh>
    <rPh sb="12" eb="13">
      <t>ショ</t>
    </rPh>
    <phoneticPr fontId="4"/>
  </si>
  <si>
    <t>株式会社 キトー建築事務所</t>
    <phoneticPr fontId="4"/>
  </si>
  <si>
    <t>カブシキガイシャ キトーケンチクジムショ</t>
    <phoneticPr fontId="4"/>
  </si>
  <si>
    <t>店舗棟とｻｰﾋﾞｽ工場棟の2棟</t>
    <rPh sb="0" eb="2">
      <t>テンポ</t>
    </rPh>
    <rPh sb="2" eb="3">
      <t>トウ</t>
    </rPh>
    <rPh sb="9" eb="11">
      <t>コウジョウ</t>
    </rPh>
    <rPh sb="11" eb="12">
      <t>トウ</t>
    </rPh>
    <rPh sb="14" eb="15">
      <t>トウ</t>
    </rPh>
    <phoneticPr fontId="4"/>
  </si>
  <si>
    <t>矢野口自工福島 浜通り</t>
    <rPh sb="0" eb="2">
      <t>ヤノ</t>
    </rPh>
    <rPh sb="2" eb="3">
      <t>クチ</t>
    </rPh>
    <rPh sb="3" eb="5">
      <t>ジコウ</t>
    </rPh>
    <rPh sb="5" eb="7">
      <t>フクシマ</t>
    </rPh>
    <rPh sb="8" eb="9">
      <t>ハマ</t>
    </rPh>
    <rPh sb="9" eb="10">
      <t>トオ</t>
    </rPh>
    <phoneticPr fontId="4"/>
  </si>
  <si>
    <t>楢葉町</t>
    <rPh sb="0" eb="1">
      <t>ナラ</t>
    </rPh>
    <rPh sb="1" eb="2">
      <t>ハ</t>
    </rPh>
    <rPh sb="2" eb="3">
      <t>マチ</t>
    </rPh>
    <phoneticPr fontId="4"/>
  </si>
  <si>
    <t>-</t>
    <phoneticPr fontId="4"/>
  </si>
  <si>
    <t>土留め兼用基礎</t>
    <rPh sb="0" eb="2">
      <t>ドド</t>
    </rPh>
    <rPh sb="3" eb="5">
      <t>ケンヨウ</t>
    </rPh>
    <rPh sb="5" eb="7">
      <t>キソ</t>
    </rPh>
    <phoneticPr fontId="4"/>
  </si>
  <si>
    <t>ツルハドラッグ函館湯川西</t>
    <rPh sb="7" eb="9">
      <t>ハコダテ</t>
    </rPh>
    <rPh sb="9" eb="11">
      <t>ユカワ</t>
    </rPh>
    <rPh sb="11" eb="12">
      <t>ニシ</t>
    </rPh>
    <phoneticPr fontId="4"/>
  </si>
  <si>
    <t>湯の川</t>
    <rPh sb="0" eb="1">
      <t>ユ</t>
    </rPh>
    <rPh sb="2" eb="3">
      <t>カワ</t>
    </rPh>
    <phoneticPr fontId="4"/>
  </si>
  <si>
    <t>盛土
砂質シルト</t>
    <rPh sb="0" eb="1">
      <t>モリ</t>
    </rPh>
    <rPh sb="1" eb="2">
      <t>ド</t>
    </rPh>
    <rPh sb="3" eb="4">
      <t>サ</t>
    </rPh>
    <rPh sb="4" eb="5">
      <t>シツ</t>
    </rPh>
    <phoneticPr fontId="4"/>
  </si>
  <si>
    <t>根下戸新町</t>
    <rPh sb="0" eb="1">
      <t>ネ</t>
    </rPh>
    <rPh sb="1" eb="2">
      <t>シタ</t>
    </rPh>
    <rPh sb="2" eb="3">
      <t>ト</t>
    </rPh>
    <rPh sb="3" eb="5">
      <t>シンマチ</t>
    </rPh>
    <phoneticPr fontId="4"/>
  </si>
  <si>
    <t>2m</t>
    <phoneticPr fontId="4"/>
  </si>
  <si>
    <t>1m</t>
    <phoneticPr fontId="4"/>
  </si>
  <si>
    <t>2m</t>
    <phoneticPr fontId="4"/>
  </si>
  <si>
    <t>-</t>
    <phoneticPr fontId="4"/>
  </si>
  <si>
    <t>-</t>
    <phoneticPr fontId="4"/>
  </si>
  <si>
    <t>○</t>
    <phoneticPr fontId="4"/>
  </si>
  <si>
    <t>シルト</t>
    <phoneticPr fontId="4"/>
  </si>
  <si>
    <t>新高畠町立図書館</t>
    <rPh sb="0" eb="1">
      <t>シン</t>
    </rPh>
    <rPh sb="1" eb="3">
      <t>タカハタ</t>
    </rPh>
    <rPh sb="3" eb="5">
      <t>チョウリツ</t>
    </rPh>
    <rPh sb="5" eb="8">
      <t>トショカン</t>
    </rPh>
    <phoneticPr fontId="4"/>
  </si>
  <si>
    <t>山形県</t>
    <phoneticPr fontId="4"/>
  </si>
  <si>
    <t>高畠町大字高畠渋作</t>
    <rPh sb="0" eb="2">
      <t>タカハタ</t>
    </rPh>
    <rPh sb="2" eb="3">
      <t>マチ</t>
    </rPh>
    <rPh sb="3" eb="5">
      <t>オオアザ</t>
    </rPh>
    <rPh sb="5" eb="7">
      <t>タカハタ</t>
    </rPh>
    <rPh sb="7" eb="8">
      <t>シブ</t>
    </rPh>
    <rPh sb="8" eb="9">
      <t>サク</t>
    </rPh>
    <phoneticPr fontId="4"/>
  </si>
  <si>
    <t>木造+RC造</t>
    <rPh sb="0" eb="2">
      <t>モクゾウ</t>
    </rPh>
    <rPh sb="5" eb="6">
      <t>ゾウ</t>
    </rPh>
    <phoneticPr fontId="4"/>
  </si>
  <si>
    <t>図書館</t>
    <rPh sb="0" eb="3">
      <t>トショカン</t>
    </rPh>
    <phoneticPr fontId="4"/>
  </si>
  <si>
    <t>1</t>
    <phoneticPr fontId="4"/>
  </si>
  <si>
    <t>パワープレイス 株式会社</t>
    <rPh sb="8" eb="10">
      <t>カブシキ</t>
    </rPh>
    <rPh sb="10" eb="12">
      <t>カイシャ</t>
    </rPh>
    <phoneticPr fontId="4"/>
  </si>
  <si>
    <t>パワープレイス 株式会社</t>
    <phoneticPr fontId="4"/>
  </si>
  <si>
    <t>パワープレイス カブシキガイシャ</t>
    <phoneticPr fontId="4"/>
  </si>
  <si>
    <t>6m</t>
    <phoneticPr fontId="4"/>
  </si>
  <si>
    <t>2m</t>
    <phoneticPr fontId="4"/>
  </si>
  <si>
    <t>○</t>
    <phoneticPr fontId="4"/>
  </si>
  <si>
    <t>ツルハドラッグ伏古11条</t>
    <rPh sb="7" eb="8">
      <t>フ</t>
    </rPh>
    <rPh sb="8" eb="9">
      <t>フル</t>
    </rPh>
    <rPh sb="11" eb="12">
      <t>ジョウ</t>
    </rPh>
    <phoneticPr fontId="4"/>
  </si>
  <si>
    <t>東区伏古11条</t>
    <rPh sb="0" eb="2">
      <t>ヒガシク</t>
    </rPh>
    <rPh sb="2" eb="3">
      <t>フ</t>
    </rPh>
    <rPh sb="3" eb="4">
      <t>フル</t>
    </rPh>
    <rPh sb="6" eb="7">
      <t>ジョウ</t>
    </rPh>
    <phoneticPr fontId="4"/>
  </si>
  <si>
    <t>ｼﾙﾄ</t>
    <phoneticPr fontId="4"/>
  </si>
  <si>
    <t>2m</t>
    <phoneticPr fontId="4"/>
  </si>
  <si>
    <t>8m</t>
    <phoneticPr fontId="4"/>
  </si>
  <si>
    <t>埋土(玉石混じり)</t>
    <rPh sb="0" eb="1">
      <t>ウ</t>
    </rPh>
    <rPh sb="1" eb="2">
      <t>ド</t>
    </rPh>
    <rPh sb="3" eb="5">
      <t>タマイシ</t>
    </rPh>
    <rPh sb="5" eb="6">
      <t>マ</t>
    </rPh>
    <phoneticPr fontId="4"/>
  </si>
  <si>
    <t>○</t>
    <phoneticPr fontId="4"/>
  </si>
  <si>
    <t>海・工場</t>
    <rPh sb="0" eb="1">
      <t>ウミ</t>
    </rPh>
    <rPh sb="2" eb="4">
      <t>コウジョウ</t>
    </rPh>
    <phoneticPr fontId="4"/>
  </si>
  <si>
    <t>-</t>
    <phoneticPr fontId="4"/>
  </si>
  <si>
    <t>県民生協 青森桜川</t>
    <rPh sb="0" eb="2">
      <t>ケンミン</t>
    </rPh>
    <rPh sb="2" eb="4">
      <t>セイキョウ</t>
    </rPh>
    <rPh sb="5" eb="7">
      <t>アオモリ</t>
    </rPh>
    <rPh sb="7" eb="8">
      <t>サクラ</t>
    </rPh>
    <rPh sb="8" eb="9">
      <t>カワ</t>
    </rPh>
    <phoneticPr fontId="4"/>
  </si>
  <si>
    <t>ツルハドラッグ青森桜川と同敷地内。</t>
    <rPh sb="12" eb="13">
      <t>ドウ</t>
    </rPh>
    <rPh sb="13" eb="15">
      <t>シキチ</t>
    </rPh>
    <rPh sb="15" eb="16">
      <t>ナイ</t>
    </rPh>
    <phoneticPr fontId="4"/>
  </si>
  <si>
    <t>県民生協 青森桜川と同敷地内。
新設擁壁(施工時期未確定)と近接。</t>
    <rPh sb="0" eb="2">
      <t>ケンミン</t>
    </rPh>
    <rPh sb="2" eb="4">
      <t>セイキョウ</t>
    </rPh>
    <rPh sb="5" eb="7">
      <t>アオモリ</t>
    </rPh>
    <rPh sb="7" eb="9">
      <t>サクラガワ</t>
    </rPh>
    <rPh sb="10" eb="11">
      <t>ドウ</t>
    </rPh>
    <rPh sb="11" eb="13">
      <t>シキチ</t>
    </rPh>
    <rPh sb="13" eb="14">
      <t>ナイ</t>
    </rPh>
    <rPh sb="16" eb="18">
      <t>シンセツ</t>
    </rPh>
    <rPh sb="18" eb="19">
      <t>ヨウ</t>
    </rPh>
    <rPh sb="19" eb="20">
      <t>ヘキ</t>
    </rPh>
    <rPh sb="21" eb="23">
      <t>セコウ</t>
    </rPh>
    <rPh sb="23" eb="25">
      <t>ジキ</t>
    </rPh>
    <rPh sb="25" eb="28">
      <t>ミカクテイ</t>
    </rPh>
    <rPh sb="30" eb="32">
      <t>キンセツ</t>
    </rPh>
    <phoneticPr fontId="4"/>
  </si>
  <si>
    <t>奈良日産大安寺</t>
    <rPh sb="0" eb="2">
      <t>ナラ</t>
    </rPh>
    <rPh sb="2" eb="4">
      <t>ニッサン</t>
    </rPh>
    <rPh sb="4" eb="7">
      <t>ダイアンジ</t>
    </rPh>
    <phoneticPr fontId="4"/>
  </si>
  <si>
    <t>店舗・畑</t>
    <rPh sb="0" eb="2">
      <t>テンポ</t>
    </rPh>
    <rPh sb="3" eb="4">
      <t>ハタケ</t>
    </rPh>
    <phoneticPr fontId="4"/>
  </si>
  <si>
    <t>ロジュマン松原</t>
    <rPh sb="5" eb="7">
      <t>マツバラ</t>
    </rPh>
    <phoneticPr fontId="4"/>
  </si>
  <si>
    <t>大阪府</t>
    <phoneticPr fontId="4"/>
  </si>
  <si>
    <t>大阪市</t>
    <phoneticPr fontId="4"/>
  </si>
  <si>
    <t>福島区吉野</t>
    <rPh sb="0" eb="3">
      <t>フクシマク</t>
    </rPh>
    <rPh sb="3" eb="5">
      <t>ヨシノ</t>
    </rPh>
    <phoneticPr fontId="4"/>
  </si>
  <si>
    <t>10m</t>
    <phoneticPr fontId="4"/>
  </si>
  <si>
    <t>4m</t>
    <phoneticPr fontId="4"/>
  </si>
  <si>
    <t>有限会社 ストラクチャー･デザイン･オフィス</t>
    <rPh sb="0" eb="4">
      <t>ユウゲンガイシャ</t>
    </rPh>
    <phoneticPr fontId="4"/>
  </si>
  <si>
    <t>有限会社 ストラクチャー･デザイン･オフィス</t>
    <phoneticPr fontId="4"/>
  </si>
  <si>
    <t>ユウゲンガイシャ ストラクチャー･デザイン･オフィス</t>
    <phoneticPr fontId="4"/>
  </si>
  <si>
    <t>保育園 七色のみち</t>
    <rPh sb="0" eb="3">
      <t>ホイクエン</t>
    </rPh>
    <rPh sb="4" eb="6">
      <t>ナナイロ</t>
    </rPh>
    <phoneticPr fontId="4"/>
  </si>
  <si>
    <t>八戸市</t>
    <phoneticPr fontId="4"/>
  </si>
  <si>
    <t>株式会社 キャディック</t>
    <rPh sb="0" eb="2">
      <t>カブシキ</t>
    </rPh>
    <rPh sb="2" eb="4">
      <t>カイシャ</t>
    </rPh>
    <phoneticPr fontId="4"/>
  </si>
  <si>
    <t>株式会社 キャディック</t>
    <phoneticPr fontId="4"/>
  </si>
  <si>
    <t>カブシキガイシャ キャディック</t>
    <phoneticPr fontId="4"/>
  </si>
  <si>
    <t>4m</t>
    <phoneticPr fontId="4"/>
  </si>
  <si>
    <t>ｼﾙﾄ</t>
    <phoneticPr fontId="4"/>
  </si>
  <si>
    <t>2m</t>
    <phoneticPr fontId="4"/>
  </si>
  <si>
    <t>軽石混り細砂</t>
    <rPh sb="0" eb="1">
      <t>カル</t>
    </rPh>
    <rPh sb="1" eb="2">
      <t>イシ</t>
    </rPh>
    <rPh sb="2" eb="3">
      <t>マ</t>
    </rPh>
    <rPh sb="4" eb="5">
      <t>サイ</t>
    </rPh>
    <rPh sb="5" eb="6">
      <t>スナ</t>
    </rPh>
    <phoneticPr fontId="4"/>
  </si>
  <si>
    <t>豊頃町中央若葉</t>
    <rPh sb="0" eb="2">
      <t>トヨコロ</t>
    </rPh>
    <rPh sb="2" eb="3">
      <t>マチ</t>
    </rPh>
    <rPh sb="3" eb="5">
      <t>チュウオウ</t>
    </rPh>
    <rPh sb="5" eb="7">
      <t>ワカバ</t>
    </rPh>
    <phoneticPr fontId="4"/>
  </si>
  <si>
    <t>-</t>
    <phoneticPr fontId="4"/>
  </si>
  <si>
    <t>線路・道路</t>
    <rPh sb="0" eb="2">
      <t>センロ</t>
    </rPh>
    <rPh sb="3" eb="5">
      <t>ドウロ</t>
    </rPh>
    <phoneticPr fontId="4"/>
  </si>
  <si>
    <t>アイダ本社</t>
    <rPh sb="3" eb="5">
      <t>ホンシャ</t>
    </rPh>
    <phoneticPr fontId="4"/>
  </si>
  <si>
    <t>足立区</t>
    <phoneticPr fontId="4"/>
  </si>
  <si>
    <t>椿</t>
    <rPh sb="0" eb="1">
      <t>ツバキ</t>
    </rPh>
    <phoneticPr fontId="4"/>
  </si>
  <si>
    <t>ハイブリッヂ一級建築士事務所</t>
    <rPh sb="6" eb="8">
      <t>イッキュウ</t>
    </rPh>
    <rPh sb="8" eb="11">
      <t>ケンチクシ</t>
    </rPh>
    <rPh sb="11" eb="13">
      <t>ジム</t>
    </rPh>
    <rPh sb="13" eb="14">
      <t>ショ</t>
    </rPh>
    <phoneticPr fontId="4"/>
  </si>
  <si>
    <t>坂井建築設計事務所</t>
    <rPh sb="0" eb="2">
      <t>サカイ</t>
    </rPh>
    <rPh sb="2" eb="4">
      <t>ケンチク</t>
    </rPh>
    <rPh sb="4" eb="6">
      <t>セッケイ</t>
    </rPh>
    <rPh sb="6" eb="8">
      <t>ジム</t>
    </rPh>
    <rPh sb="8" eb="9">
      <t>ショ</t>
    </rPh>
    <phoneticPr fontId="4"/>
  </si>
  <si>
    <t>坂井建築設計事務所</t>
    <phoneticPr fontId="4"/>
  </si>
  <si>
    <t>ハイブリッヂ一級建築士事務所</t>
    <phoneticPr fontId="4"/>
  </si>
  <si>
    <t>ハイブリッヂイッキュウケンチクシジムショ</t>
    <phoneticPr fontId="4"/>
  </si>
  <si>
    <t>サカイケンチクセッケイジムショ</t>
    <phoneticPr fontId="4"/>
  </si>
  <si>
    <t>11m</t>
    <phoneticPr fontId="4"/>
  </si>
  <si>
    <t>3m</t>
    <phoneticPr fontId="4"/>
  </si>
  <si>
    <t>ｼﾙﾄ</t>
    <phoneticPr fontId="4"/>
  </si>
  <si>
    <t>5棟</t>
    <rPh sb="1" eb="2">
      <t>トウ</t>
    </rPh>
    <phoneticPr fontId="4"/>
  </si>
  <si>
    <t>サンライズ産業㈱花巻 第二倉庫</t>
    <rPh sb="8" eb="10">
      <t>ハナマキ</t>
    </rPh>
    <rPh sb="11" eb="13">
      <t>ダイニ</t>
    </rPh>
    <rPh sb="13" eb="15">
      <t>ソウコ</t>
    </rPh>
    <phoneticPr fontId="4"/>
  </si>
  <si>
    <t>花巻市</t>
    <rPh sb="0" eb="3">
      <t>ハナマキシ</t>
    </rPh>
    <phoneticPr fontId="4"/>
  </si>
  <si>
    <t>空港南</t>
    <rPh sb="0" eb="2">
      <t>クウコウ</t>
    </rPh>
    <rPh sb="2" eb="3">
      <t>ミナミ</t>
    </rPh>
    <phoneticPr fontId="4"/>
  </si>
  <si>
    <t>線路に近接。既存擁壁あり(資料無し)</t>
    <rPh sb="0" eb="2">
      <t>センロ</t>
    </rPh>
    <rPh sb="3" eb="5">
      <t>キンセツ</t>
    </rPh>
    <rPh sb="6" eb="8">
      <t>キソン</t>
    </rPh>
    <rPh sb="8" eb="9">
      <t>ヨウ</t>
    </rPh>
    <rPh sb="9" eb="10">
      <t>ヘキ</t>
    </rPh>
    <rPh sb="13" eb="15">
      <t>シリョウ</t>
    </rPh>
    <rPh sb="15" eb="16">
      <t>ナ</t>
    </rPh>
    <phoneticPr fontId="4"/>
  </si>
  <si>
    <t>ユイ</t>
    <phoneticPr fontId="4"/>
  </si>
  <si>
    <t>H31.2竣工</t>
    <rPh sb="5" eb="7">
      <t>シュンコウ</t>
    </rPh>
    <phoneticPr fontId="4"/>
  </si>
  <si>
    <t>1m</t>
    <phoneticPr fontId="4"/>
  </si>
  <si>
    <t>5m</t>
    <phoneticPr fontId="4"/>
  </si>
  <si>
    <t>粘土質砂</t>
    <rPh sb="0" eb="3">
      <t>ネンドシツ</t>
    </rPh>
    <rPh sb="3" eb="4">
      <t>スナ</t>
    </rPh>
    <phoneticPr fontId="4"/>
  </si>
  <si>
    <t>小俣幸三設計室</t>
    <rPh sb="0" eb="2">
      <t>オマタ</t>
    </rPh>
    <rPh sb="2" eb="4">
      <t>コウゾウ</t>
    </rPh>
    <rPh sb="4" eb="7">
      <t>セッケイシツ</t>
    </rPh>
    <phoneticPr fontId="4"/>
  </si>
  <si>
    <t>藤旺建設</t>
    <rPh sb="0" eb="1">
      <t>トウ</t>
    </rPh>
    <rPh sb="1" eb="2">
      <t>オウ</t>
    </rPh>
    <rPh sb="2" eb="4">
      <t>ケンセツ</t>
    </rPh>
    <phoneticPr fontId="4"/>
  </si>
  <si>
    <t>4m</t>
    <phoneticPr fontId="4"/>
  </si>
  <si>
    <t>礫混じり細砂</t>
    <rPh sb="0" eb="1">
      <t>レキ</t>
    </rPh>
    <rPh sb="1" eb="2">
      <t>マ</t>
    </rPh>
    <rPh sb="4" eb="5">
      <t>サイ</t>
    </rPh>
    <rPh sb="5" eb="6">
      <t>サ</t>
    </rPh>
    <phoneticPr fontId="4"/>
  </si>
  <si>
    <t>1-2,3</t>
    <phoneticPr fontId="4"/>
  </si>
  <si>
    <t>5m</t>
    <phoneticPr fontId="4"/>
  </si>
  <si>
    <t>中砂</t>
    <rPh sb="0" eb="1">
      <t>チュウ</t>
    </rPh>
    <rPh sb="1" eb="2">
      <t>サ</t>
    </rPh>
    <phoneticPr fontId="4"/>
  </si>
  <si>
    <t>粗砂</t>
    <rPh sb="0" eb="1">
      <t>ソ</t>
    </rPh>
    <rPh sb="1" eb="2">
      <t>サ</t>
    </rPh>
    <phoneticPr fontId="4"/>
  </si>
  <si>
    <t>バロー各務原中央 SM棟増築</t>
    <rPh sb="3" eb="6">
      <t>カカミガハラ</t>
    </rPh>
    <rPh sb="6" eb="8">
      <t>チュウオウ</t>
    </rPh>
    <rPh sb="11" eb="12">
      <t>トウ</t>
    </rPh>
    <rPh sb="12" eb="14">
      <t>ゾウチク</t>
    </rPh>
    <phoneticPr fontId="4"/>
  </si>
  <si>
    <t>沖本</t>
  </si>
  <si>
    <t>以前設計したﾊﾞﾛｰ各務原の増築工事</t>
    <rPh sb="0" eb="2">
      <t>イゼン</t>
    </rPh>
    <rPh sb="2" eb="4">
      <t>セッケイ</t>
    </rPh>
    <rPh sb="10" eb="13">
      <t>カカミガハラ</t>
    </rPh>
    <rPh sb="14" eb="16">
      <t>ゾウチク</t>
    </rPh>
    <rPh sb="16" eb="18">
      <t>コウジ</t>
    </rPh>
    <phoneticPr fontId="4"/>
  </si>
  <si>
    <t>ユイ</t>
    <phoneticPr fontId="4"/>
  </si>
  <si>
    <t>4月末より既存建物解体</t>
    <rPh sb="1" eb="2">
      <t>ガツ</t>
    </rPh>
    <rPh sb="2" eb="3">
      <t>マツ</t>
    </rPh>
    <rPh sb="5" eb="7">
      <t>キソン</t>
    </rPh>
    <rPh sb="7" eb="9">
      <t>タテモノ</t>
    </rPh>
    <rPh sb="9" eb="11">
      <t>カイタイ</t>
    </rPh>
    <phoneticPr fontId="4"/>
  </si>
  <si>
    <t>ﾗﾝﾎﾞﾙｷﾞｰﾆ名古屋 外部整備場</t>
    <rPh sb="13" eb="15">
      <t>ガイブ</t>
    </rPh>
    <rPh sb="15" eb="17">
      <t>セイビ</t>
    </rPh>
    <rPh sb="17" eb="18">
      <t>ジョウ</t>
    </rPh>
    <phoneticPr fontId="4"/>
  </si>
  <si>
    <t>軽石混り細砂</t>
    <rPh sb="0" eb="2">
      <t>カルイシ</t>
    </rPh>
    <rPh sb="2" eb="3">
      <t>マ</t>
    </rPh>
    <rPh sb="4" eb="5">
      <t>サイ</t>
    </rPh>
    <rPh sb="5" eb="6">
      <t>スナ</t>
    </rPh>
    <phoneticPr fontId="4"/>
  </si>
  <si>
    <t>修理工場のみ。店舗棟、洗車場棟は直接基礎</t>
    <rPh sb="0" eb="2">
      <t>シュウリ</t>
    </rPh>
    <rPh sb="2" eb="4">
      <t>コウジョウ</t>
    </rPh>
    <rPh sb="7" eb="9">
      <t>テンポ</t>
    </rPh>
    <rPh sb="9" eb="10">
      <t>トウ</t>
    </rPh>
    <rPh sb="11" eb="14">
      <t>センシャジョウ</t>
    </rPh>
    <rPh sb="14" eb="15">
      <t>トウ</t>
    </rPh>
    <rPh sb="16" eb="18">
      <t>チョクセツ</t>
    </rPh>
    <rPh sb="18" eb="20">
      <t>キソ</t>
    </rPh>
    <phoneticPr fontId="4"/>
  </si>
  <si>
    <t>埋文がある可能性あり。調査はH31春</t>
    <rPh sb="0" eb="1">
      <t>マイ</t>
    </rPh>
    <rPh sb="1" eb="2">
      <t>ブン</t>
    </rPh>
    <rPh sb="5" eb="8">
      <t>カノウセイ</t>
    </rPh>
    <rPh sb="11" eb="13">
      <t>チョウサ</t>
    </rPh>
    <rPh sb="17" eb="18">
      <t>ハル</t>
    </rPh>
    <phoneticPr fontId="4"/>
  </si>
  <si>
    <t>日本建物評価機構 株式会社</t>
    <phoneticPr fontId="4"/>
  </si>
  <si>
    <t>ｲﾄﾊﾗ水産朝酌商品ｾｯﾄｾﾝﾀｰ</t>
    <rPh sb="4" eb="6">
      <t>スイサン</t>
    </rPh>
    <rPh sb="6" eb="7">
      <t>アサ</t>
    </rPh>
    <rPh sb="7" eb="8">
      <t>シャク</t>
    </rPh>
    <rPh sb="8" eb="10">
      <t>ショウヒン</t>
    </rPh>
    <phoneticPr fontId="4"/>
  </si>
  <si>
    <t>松江市</t>
    <phoneticPr fontId="4"/>
  </si>
  <si>
    <t>横浜別所(ｸﾘｴｲﾄｴｽﾃﾞｨｰ)</t>
    <rPh sb="0" eb="2">
      <t>ヨコハマ</t>
    </rPh>
    <rPh sb="2" eb="4">
      <t>ベッショ</t>
    </rPh>
    <phoneticPr fontId="4"/>
  </si>
  <si>
    <t>横浜市</t>
    <phoneticPr fontId="4"/>
  </si>
  <si>
    <t>南区別所</t>
    <rPh sb="0" eb="2">
      <t>ミナミク</t>
    </rPh>
    <rPh sb="2" eb="4">
      <t>ベッショ</t>
    </rPh>
    <phoneticPr fontId="4"/>
  </si>
  <si>
    <t>2m</t>
    <phoneticPr fontId="4"/>
  </si>
  <si>
    <t>1m</t>
    <phoneticPr fontId="4"/>
  </si>
  <si>
    <t>和田
タオ</t>
    <rPh sb="0" eb="2">
      <t>ワダ</t>
    </rPh>
    <phoneticPr fontId="4"/>
  </si>
  <si>
    <t>シルト</t>
    <phoneticPr fontId="4"/>
  </si>
  <si>
    <t>3m</t>
    <phoneticPr fontId="4"/>
  </si>
  <si>
    <t>シルト混り砂</t>
    <rPh sb="3" eb="4">
      <t>マ</t>
    </rPh>
    <rPh sb="5" eb="6">
      <t>スナ</t>
    </rPh>
    <phoneticPr fontId="4"/>
  </si>
  <si>
    <t>-</t>
    <phoneticPr fontId="4"/>
  </si>
  <si>
    <t>-</t>
    <phoneticPr fontId="4"/>
  </si>
  <si>
    <t>有限会社　廣川　明と建築術工房</t>
    <phoneticPr fontId="4"/>
  </si>
  <si>
    <t>ダイレックス相生</t>
    <rPh sb="6" eb="8">
      <t>アイオイ</t>
    </rPh>
    <phoneticPr fontId="4"/>
  </si>
  <si>
    <t>福岡県</t>
    <phoneticPr fontId="4"/>
  </si>
  <si>
    <t>北九州市</t>
    <phoneticPr fontId="4"/>
  </si>
  <si>
    <t>八幡西区相生</t>
    <rPh sb="0" eb="2">
      <t>ヤハタ</t>
    </rPh>
    <rPh sb="2" eb="4">
      <t>ニシク</t>
    </rPh>
    <rPh sb="4" eb="6">
      <t>アイオイ</t>
    </rPh>
    <phoneticPr fontId="4"/>
  </si>
  <si>
    <t>時安建築事務所</t>
    <rPh sb="0" eb="1">
      <t>トキ</t>
    </rPh>
    <rPh sb="1" eb="2">
      <t>ヤス</t>
    </rPh>
    <rPh sb="2" eb="4">
      <t>ケンチク</t>
    </rPh>
    <rPh sb="4" eb="6">
      <t>ジム</t>
    </rPh>
    <rPh sb="6" eb="7">
      <t>ショ</t>
    </rPh>
    <phoneticPr fontId="4"/>
  </si>
  <si>
    <t>株式会社 構造計画</t>
    <rPh sb="0" eb="2">
      <t>カブシキ</t>
    </rPh>
    <rPh sb="2" eb="4">
      <t>カイシャ</t>
    </rPh>
    <rPh sb="5" eb="7">
      <t>コウゾウ</t>
    </rPh>
    <rPh sb="7" eb="9">
      <t>ケイカク</t>
    </rPh>
    <phoneticPr fontId="4"/>
  </si>
  <si>
    <t>時安建築事務所</t>
    <phoneticPr fontId="4"/>
  </si>
  <si>
    <t>株式会社 構造計画</t>
    <phoneticPr fontId="4"/>
  </si>
  <si>
    <t>トキヤスケンチクジムショ</t>
    <phoneticPr fontId="4"/>
  </si>
  <si>
    <t>カブシキガイシャ コウゾウケイカク</t>
    <phoneticPr fontId="4"/>
  </si>
  <si>
    <t>2m</t>
    <phoneticPr fontId="4"/>
  </si>
  <si>
    <t>豊頃農業共同組合 店舗兼資材事務所・肥料倉庫・外倉庫</t>
    <rPh sb="0" eb="2">
      <t>トヨコロ</t>
    </rPh>
    <rPh sb="2" eb="4">
      <t>ノウギョウ</t>
    </rPh>
    <rPh sb="4" eb="6">
      <t>キョウドウ</t>
    </rPh>
    <rPh sb="6" eb="8">
      <t>クミアイ</t>
    </rPh>
    <rPh sb="9" eb="11">
      <t>テンポ</t>
    </rPh>
    <rPh sb="11" eb="12">
      <t>ケン</t>
    </rPh>
    <rPh sb="12" eb="14">
      <t>シザイ</t>
    </rPh>
    <rPh sb="14" eb="16">
      <t>ジム</t>
    </rPh>
    <rPh sb="16" eb="17">
      <t>ショ</t>
    </rPh>
    <rPh sb="18" eb="20">
      <t>ヒリョウ</t>
    </rPh>
    <rPh sb="20" eb="22">
      <t>ソウコ</t>
    </rPh>
    <rPh sb="23" eb="24">
      <t>ソト</t>
    </rPh>
    <rPh sb="24" eb="26">
      <t>ソウコ</t>
    </rPh>
    <phoneticPr fontId="4"/>
  </si>
  <si>
    <t>1m</t>
    <phoneticPr fontId="4"/>
  </si>
  <si>
    <t>泥炭・有機質ｼﾙﾄ</t>
    <rPh sb="0" eb="2">
      <t>デイタン</t>
    </rPh>
    <rPh sb="3" eb="6">
      <t>ユウキシツ</t>
    </rPh>
    <phoneticPr fontId="4"/>
  </si>
  <si>
    <t>4m</t>
    <phoneticPr fontId="4"/>
  </si>
  <si>
    <t>ｼﾙﾄ</t>
    <phoneticPr fontId="4"/>
  </si>
  <si>
    <t>2m</t>
    <phoneticPr fontId="4"/>
  </si>
  <si>
    <t>畑・小学校</t>
    <rPh sb="0" eb="1">
      <t>ハタケ</t>
    </rPh>
    <rPh sb="2" eb="5">
      <t>ショウガッコウ</t>
    </rPh>
    <phoneticPr fontId="4"/>
  </si>
  <si>
    <t>開発工事あり。</t>
    <rPh sb="0" eb="2">
      <t>カイハツ</t>
    </rPh>
    <rPh sb="2" eb="4">
      <t>コウジ</t>
    </rPh>
    <phoneticPr fontId="4"/>
  </si>
  <si>
    <t>株式会社 東京建築検査機構(福岡)</t>
    <rPh sb="14" eb="16">
      <t>フクオカ</t>
    </rPh>
    <phoneticPr fontId="4"/>
  </si>
  <si>
    <t>株式会社 松本組</t>
    <rPh sb="0" eb="2">
      <t>カブシキ</t>
    </rPh>
    <rPh sb="2" eb="4">
      <t>カイシャ</t>
    </rPh>
    <rPh sb="5" eb="7">
      <t>マツモト</t>
    </rPh>
    <rPh sb="7" eb="8">
      <t>クミ</t>
    </rPh>
    <phoneticPr fontId="4"/>
  </si>
  <si>
    <t>株式会社 松本組</t>
    <phoneticPr fontId="4"/>
  </si>
  <si>
    <t>カブシキガイシャ マツモトグミ</t>
    <phoneticPr fontId="4"/>
  </si>
  <si>
    <t>株式会社 阿部 新社屋</t>
    <rPh sb="0" eb="2">
      <t>カブシキ</t>
    </rPh>
    <rPh sb="2" eb="4">
      <t>カイシャ</t>
    </rPh>
    <rPh sb="5" eb="7">
      <t>アベ</t>
    </rPh>
    <rPh sb="8" eb="11">
      <t>シンシャオク</t>
    </rPh>
    <phoneticPr fontId="4"/>
  </si>
  <si>
    <t>栃木県</t>
    <phoneticPr fontId="4"/>
  </si>
  <si>
    <t>栃木市</t>
    <rPh sb="0" eb="3">
      <t>トチギシ</t>
    </rPh>
    <phoneticPr fontId="4"/>
  </si>
  <si>
    <t>藤岡町藤岡字新町</t>
    <rPh sb="0" eb="2">
      <t>フジオカ</t>
    </rPh>
    <rPh sb="2" eb="3">
      <t>マチ</t>
    </rPh>
    <rPh sb="3" eb="5">
      <t>フジオカ</t>
    </rPh>
    <rPh sb="5" eb="6">
      <t>アザ</t>
    </rPh>
    <rPh sb="6" eb="7">
      <t>シン</t>
    </rPh>
    <rPh sb="7" eb="8">
      <t>マチ</t>
    </rPh>
    <phoneticPr fontId="4"/>
  </si>
  <si>
    <t>事務所</t>
    <phoneticPr fontId="4"/>
  </si>
  <si>
    <t>2m</t>
    <phoneticPr fontId="4"/>
  </si>
  <si>
    <t>ツルハドラッグ仙台中田</t>
    <rPh sb="7" eb="9">
      <t>センダイ</t>
    </rPh>
    <rPh sb="9" eb="11">
      <t>ナカタ</t>
    </rPh>
    <phoneticPr fontId="4"/>
  </si>
  <si>
    <t>宮城県</t>
    <phoneticPr fontId="4"/>
  </si>
  <si>
    <t>太白区中田</t>
    <rPh sb="0" eb="2">
      <t>タイハク</t>
    </rPh>
    <rPh sb="2" eb="3">
      <t>ク</t>
    </rPh>
    <rPh sb="3" eb="5">
      <t>ナカタ</t>
    </rPh>
    <phoneticPr fontId="4"/>
  </si>
  <si>
    <t>1m</t>
    <phoneticPr fontId="4"/>
  </si>
  <si>
    <t>5m</t>
    <phoneticPr fontId="4"/>
  </si>
  <si>
    <t>1m</t>
    <phoneticPr fontId="4"/>
  </si>
  <si>
    <t>-</t>
    <phoneticPr fontId="4"/>
  </si>
  <si>
    <t>山形県</t>
    <phoneticPr fontId="4"/>
  </si>
  <si>
    <t>大字蔵増字押切</t>
    <rPh sb="0" eb="2">
      <t>オオアザ</t>
    </rPh>
    <rPh sb="2" eb="3">
      <t>クラ</t>
    </rPh>
    <rPh sb="3" eb="4">
      <t>マ</t>
    </rPh>
    <rPh sb="4" eb="5">
      <t>アザ</t>
    </rPh>
    <rPh sb="5" eb="7">
      <t>オシキリ</t>
    </rPh>
    <phoneticPr fontId="4"/>
  </si>
  <si>
    <t>有限会社 エフティ共立建築事務所</t>
    <rPh sb="0" eb="2">
      <t>ユウゲン</t>
    </rPh>
    <rPh sb="2" eb="4">
      <t>カイシャ</t>
    </rPh>
    <rPh sb="9" eb="11">
      <t>キョウリツ</t>
    </rPh>
    <rPh sb="11" eb="13">
      <t>ケンチク</t>
    </rPh>
    <rPh sb="13" eb="15">
      <t>ジム</t>
    </rPh>
    <rPh sb="15" eb="16">
      <t>ショ</t>
    </rPh>
    <phoneticPr fontId="4"/>
  </si>
  <si>
    <t>有限会社 エフティ共立建築事務所</t>
    <phoneticPr fontId="4"/>
  </si>
  <si>
    <t>ユウゲンガイシャ エフティキョウリツケンチクジムショ</t>
    <phoneticPr fontId="4"/>
  </si>
  <si>
    <t>3m</t>
    <phoneticPr fontId="4"/>
  </si>
  <si>
    <t>ｼﾙﾄ</t>
    <phoneticPr fontId="4"/>
  </si>
  <si>
    <t>5m</t>
    <phoneticPr fontId="4"/>
  </si>
  <si>
    <t>広島県庁</t>
    <phoneticPr fontId="4"/>
  </si>
  <si>
    <t>株式会社 ジェイ・イー・サポート</t>
    <phoneticPr fontId="4"/>
  </si>
  <si>
    <t>2m</t>
    <phoneticPr fontId="4"/>
  </si>
  <si>
    <t>アリオンテック㈱本社</t>
    <rPh sb="8" eb="10">
      <t>ホンシャ</t>
    </rPh>
    <phoneticPr fontId="4"/>
  </si>
  <si>
    <t>H30.3 各務様にメールにて</t>
    <rPh sb="6" eb="9">
      <t>カクムサマ</t>
    </rPh>
    <phoneticPr fontId="4"/>
  </si>
  <si>
    <t>島根県 出雲市役所</t>
    <phoneticPr fontId="4"/>
  </si>
  <si>
    <t>-</t>
    <phoneticPr fontId="4"/>
  </si>
  <si>
    <t>2</t>
    <phoneticPr fontId="4"/>
  </si>
  <si>
    <t>ﾃﾞｯｷ</t>
    <phoneticPr fontId="4"/>
  </si>
  <si>
    <t>キタセキ下妻</t>
    <rPh sb="4" eb="5">
      <t>シタ</t>
    </rPh>
    <rPh sb="5" eb="6">
      <t>ツマ</t>
    </rPh>
    <phoneticPr fontId="4"/>
  </si>
  <si>
    <t>大字堀篭字下弁才</t>
    <rPh sb="2" eb="3">
      <t>ホリ</t>
    </rPh>
    <rPh sb="3" eb="4">
      <t>カゴ</t>
    </rPh>
    <rPh sb="4" eb="5">
      <t>アザ</t>
    </rPh>
    <rPh sb="5" eb="6">
      <t>シタ</t>
    </rPh>
    <rPh sb="6" eb="7">
      <t>ベン</t>
    </rPh>
    <rPh sb="7" eb="8">
      <t>サイ</t>
    </rPh>
    <phoneticPr fontId="4"/>
  </si>
  <si>
    <t>4m</t>
    <phoneticPr fontId="4"/>
  </si>
  <si>
    <t>1m</t>
    <phoneticPr fontId="4"/>
  </si>
  <si>
    <t>2m</t>
    <phoneticPr fontId="4"/>
  </si>
  <si>
    <t>1m</t>
    <phoneticPr fontId="4"/>
  </si>
  <si>
    <t>砂質粘土</t>
    <rPh sb="0" eb="1">
      <t>スナ</t>
    </rPh>
    <rPh sb="1" eb="2">
      <t>シツ</t>
    </rPh>
    <rPh sb="2" eb="4">
      <t>ネンド</t>
    </rPh>
    <phoneticPr fontId="4"/>
  </si>
  <si>
    <t>1m</t>
    <phoneticPr fontId="4"/>
  </si>
  <si>
    <t>砂混じり有機質粘土</t>
    <rPh sb="0" eb="1">
      <t>スナ</t>
    </rPh>
    <rPh sb="1" eb="2">
      <t>マ</t>
    </rPh>
    <rPh sb="4" eb="7">
      <t>ユウキシツ</t>
    </rPh>
    <rPh sb="7" eb="9">
      <t>ネンド</t>
    </rPh>
    <phoneticPr fontId="4"/>
  </si>
  <si>
    <t>-</t>
    <phoneticPr fontId="4"/>
  </si>
  <si>
    <t>高州</t>
    <rPh sb="0" eb="2">
      <t>タカス</t>
    </rPh>
    <phoneticPr fontId="4"/>
  </si>
  <si>
    <t>和歌山県 西牟婁振興局</t>
    <rPh sb="0" eb="4">
      <t>ワカヤマケン</t>
    </rPh>
    <phoneticPr fontId="4"/>
  </si>
  <si>
    <t>和歌山県 西牟婁振興局</t>
    <phoneticPr fontId="4"/>
  </si>
  <si>
    <t>岡山県建築住宅センター 株式会社</t>
  </si>
  <si>
    <t>岡山県建築住宅センター 株式会社</t>
    <phoneticPr fontId="4"/>
  </si>
  <si>
    <t>藤旺建設</t>
    <phoneticPr fontId="4"/>
  </si>
  <si>
    <t>ユウゲンガイシャ ヒロカワアキラトケンチクジュツコウボウ</t>
    <phoneticPr fontId="4"/>
  </si>
  <si>
    <t>設計事務所</t>
    <phoneticPr fontId="4"/>
  </si>
  <si>
    <t>3</t>
    <phoneticPr fontId="4"/>
  </si>
  <si>
    <t>ベア・ロジコ株式会社 天童低温物流センター</t>
    <rPh sb="6" eb="8">
      <t>カブシキ</t>
    </rPh>
    <rPh sb="8" eb="10">
      <t>カイシャ</t>
    </rPh>
    <rPh sb="11" eb="13">
      <t>テンドウ</t>
    </rPh>
    <rPh sb="13" eb="15">
      <t>テイオン</t>
    </rPh>
    <rPh sb="15" eb="17">
      <t>ブツリュウ</t>
    </rPh>
    <phoneticPr fontId="4"/>
  </si>
  <si>
    <t>3</t>
    <phoneticPr fontId="4"/>
  </si>
  <si>
    <t>工場・畑</t>
    <rPh sb="0" eb="2">
      <t>コウジョウ</t>
    </rPh>
    <rPh sb="3" eb="4">
      <t>ハタケ</t>
    </rPh>
    <phoneticPr fontId="4"/>
  </si>
  <si>
    <t>3</t>
    <phoneticPr fontId="4"/>
  </si>
  <si>
    <t>塗装工場、整備工場、事務所の3棟。
基礎までﾀｹｳﾁ建設で請ける予定。</t>
    <rPh sb="0" eb="2">
      <t>トソウ</t>
    </rPh>
    <rPh sb="2" eb="4">
      <t>コウジョウ</t>
    </rPh>
    <rPh sb="5" eb="7">
      <t>セイビ</t>
    </rPh>
    <rPh sb="7" eb="9">
      <t>コウジョウ</t>
    </rPh>
    <rPh sb="10" eb="12">
      <t>ジム</t>
    </rPh>
    <rPh sb="12" eb="13">
      <t>ショ</t>
    </rPh>
    <rPh sb="15" eb="16">
      <t>トウ</t>
    </rPh>
    <rPh sb="18" eb="20">
      <t>キソ</t>
    </rPh>
    <rPh sb="26" eb="28">
      <t>ケンセツ</t>
    </rPh>
    <rPh sb="29" eb="30">
      <t>ウ</t>
    </rPh>
    <rPh sb="32" eb="34">
      <t>ヨテイ</t>
    </rPh>
    <phoneticPr fontId="4"/>
  </si>
  <si>
    <t>栄鍛冶ヶ谷店(ｸﾘｴｲﾄｴｽﾃﾞｨｰ)</t>
    <rPh sb="0" eb="1">
      <t>サカ</t>
    </rPh>
    <rPh sb="1" eb="3">
      <t>カジ</t>
    </rPh>
    <rPh sb="4" eb="5">
      <t>タニ</t>
    </rPh>
    <rPh sb="5" eb="6">
      <t>テン</t>
    </rPh>
    <phoneticPr fontId="4"/>
  </si>
  <si>
    <t>ヨンキュウ製氷施設</t>
    <phoneticPr fontId="4"/>
  </si>
  <si>
    <t>植松</t>
    <rPh sb="0" eb="2">
      <t>ウエマツ</t>
    </rPh>
    <phoneticPr fontId="4"/>
  </si>
  <si>
    <t>三浦市</t>
    <rPh sb="0" eb="3">
      <t>ミウラシ</t>
    </rPh>
    <phoneticPr fontId="4"/>
  </si>
  <si>
    <t>三崎</t>
    <rPh sb="0" eb="2">
      <t>ミサキ</t>
    </rPh>
    <phoneticPr fontId="4"/>
  </si>
  <si>
    <t>3F建</t>
    <phoneticPr fontId="4"/>
  </si>
  <si>
    <t>株式会社 円設計</t>
    <rPh sb="0" eb="2">
      <t>カブシキ</t>
    </rPh>
    <rPh sb="2" eb="4">
      <t>カイシャ</t>
    </rPh>
    <rPh sb="5" eb="6">
      <t>エン</t>
    </rPh>
    <rPh sb="6" eb="8">
      <t>セッケイ</t>
    </rPh>
    <phoneticPr fontId="4"/>
  </si>
  <si>
    <t>株式会社 円設計</t>
    <phoneticPr fontId="4"/>
  </si>
  <si>
    <t>カブシキガイシャ エンセッケイ</t>
    <phoneticPr fontId="4"/>
  </si>
  <si>
    <t>FAN一級建築士事務所</t>
    <rPh sb="3" eb="5">
      <t>イッキュウ</t>
    </rPh>
    <rPh sb="5" eb="8">
      <t>ケンチクシ</t>
    </rPh>
    <rPh sb="8" eb="10">
      <t>ジム</t>
    </rPh>
    <rPh sb="10" eb="11">
      <t>ショ</t>
    </rPh>
    <phoneticPr fontId="4"/>
  </si>
  <si>
    <t>FAN一級建築士事務所</t>
    <phoneticPr fontId="4"/>
  </si>
  <si>
    <t>FANイッキュウケンチクシジムショ</t>
    <phoneticPr fontId="4"/>
  </si>
  <si>
    <t>4m</t>
    <phoneticPr fontId="4"/>
  </si>
  <si>
    <t>埋土(礫混じり粘性土)</t>
    <rPh sb="0" eb="1">
      <t>ウ</t>
    </rPh>
    <rPh sb="1" eb="2">
      <t>ド</t>
    </rPh>
    <rPh sb="3" eb="4">
      <t>レキ</t>
    </rPh>
    <rPh sb="4" eb="5">
      <t>マ</t>
    </rPh>
    <rPh sb="7" eb="9">
      <t>ネンセイ</t>
    </rPh>
    <rPh sb="9" eb="10">
      <t>ド</t>
    </rPh>
    <phoneticPr fontId="4"/>
  </si>
  <si>
    <t>3m</t>
    <phoneticPr fontId="4"/>
  </si>
  <si>
    <t>埋土(粘土質礫)</t>
    <rPh sb="0" eb="1">
      <t>ウ</t>
    </rPh>
    <rPh sb="1" eb="2">
      <t>ド</t>
    </rPh>
    <rPh sb="3" eb="6">
      <t>ネンドシツ</t>
    </rPh>
    <rPh sb="6" eb="7">
      <t>ツブテ</t>
    </rPh>
    <phoneticPr fontId="4"/>
  </si>
  <si>
    <t>追加土質試験結果により変更の可能性あり</t>
    <phoneticPr fontId="4"/>
  </si>
  <si>
    <t>6月竣工、水路近接
看板下地盤改良あり</t>
    <rPh sb="1" eb="2">
      <t>ガツ</t>
    </rPh>
    <rPh sb="2" eb="4">
      <t>シュンコウ</t>
    </rPh>
    <rPh sb="5" eb="7">
      <t>スイロ</t>
    </rPh>
    <rPh sb="7" eb="9">
      <t>キンセツ</t>
    </rPh>
    <rPh sb="10" eb="12">
      <t>カンバン</t>
    </rPh>
    <rPh sb="12" eb="13">
      <t>シタ</t>
    </rPh>
    <rPh sb="13" eb="15">
      <t>ジバン</t>
    </rPh>
    <rPh sb="15" eb="17">
      <t>カイリョウ</t>
    </rPh>
    <phoneticPr fontId="4"/>
  </si>
  <si>
    <t>秋田恵みキリスト教会</t>
    <rPh sb="0" eb="2">
      <t>アキタ</t>
    </rPh>
    <rPh sb="2" eb="3">
      <t>メグ</t>
    </rPh>
    <rPh sb="8" eb="10">
      <t>キョウカイ</t>
    </rPh>
    <phoneticPr fontId="4"/>
  </si>
  <si>
    <t>秋田市</t>
    <rPh sb="0" eb="2">
      <t>アキタ</t>
    </rPh>
    <rPh sb="2" eb="3">
      <t>シ</t>
    </rPh>
    <phoneticPr fontId="4"/>
  </si>
  <si>
    <t>広面字近藤堰添</t>
    <rPh sb="0" eb="2">
      <t>ヒロモ</t>
    </rPh>
    <rPh sb="2" eb="3">
      <t>ジ</t>
    </rPh>
    <rPh sb="3" eb="5">
      <t>コンドウ</t>
    </rPh>
    <rPh sb="5" eb="6">
      <t>セキ</t>
    </rPh>
    <rPh sb="6" eb="7">
      <t>ソウ</t>
    </rPh>
    <phoneticPr fontId="4"/>
  </si>
  <si>
    <t>1</t>
    <phoneticPr fontId="4"/>
  </si>
  <si>
    <t>株式会社 汎建築設計事務所</t>
  </si>
  <si>
    <t>株式会社 汎建築設計事務所</t>
    <rPh sb="0" eb="2">
      <t>カブシキ</t>
    </rPh>
    <rPh sb="2" eb="4">
      <t>カイシャ</t>
    </rPh>
    <rPh sb="5" eb="6">
      <t>ハン</t>
    </rPh>
    <rPh sb="6" eb="8">
      <t>ケンチク</t>
    </rPh>
    <rPh sb="8" eb="10">
      <t>セッケイ</t>
    </rPh>
    <rPh sb="10" eb="12">
      <t>ジム</t>
    </rPh>
    <rPh sb="12" eb="13">
      <t>ショ</t>
    </rPh>
    <phoneticPr fontId="4"/>
  </si>
  <si>
    <t>カブシキガイシャ ハンケンチクセッケイジムショ</t>
    <phoneticPr fontId="4"/>
  </si>
  <si>
    <t>べた</t>
    <phoneticPr fontId="4"/>
  </si>
  <si>
    <t>-</t>
    <phoneticPr fontId="4"/>
  </si>
  <si>
    <t>無</t>
    <phoneticPr fontId="4"/>
  </si>
  <si>
    <t>3m</t>
    <phoneticPr fontId="4"/>
  </si>
  <si>
    <t>-</t>
    <phoneticPr fontId="4"/>
  </si>
  <si>
    <t>H30.03.12 姜様へメールにて</t>
    <rPh sb="11" eb="12">
      <t>サマ</t>
    </rPh>
    <phoneticPr fontId="4"/>
  </si>
  <si>
    <t>H30.03.12 姜様へメールにて</t>
    <phoneticPr fontId="4"/>
  </si>
  <si>
    <t>奈良県</t>
    <phoneticPr fontId="4"/>
  </si>
  <si>
    <t>大安寺町</t>
    <rPh sb="0" eb="3">
      <t>ダイアンジ</t>
    </rPh>
    <rPh sb="3" eb="4">
      <t>チョウ</t>
    </rPh>
    <phoneticPr fontId="4"/>
  </si>
  <si>
    <t>3</t>
    <phoneticPr fontId="4"/>
  </si>
  <si>
    <t>-</t>
    <phoneticPr fontId="4"/>
  </si>
  <si>
    <t>-</t>
    <phoneticPr fontId="4"/>
  </si>
  <si>
    <t>-</t>
    <phoneticPr fontId="4"/>
  </si>
  <si>
    <t>2m</t>
    <phoneticPr fontId="4"/>
  </si>
  <si>
    <t>店舗・住宅</t>
    <rPh sb="0" eb="2">
      <t>テンポ</t>
    </rPh>
    <phoneticPr fontId="4"/>
  </si>
  <si>
    <t>埋文あり(掘削制限SGL-1.5m)</t>
    <rPh sb="0" eb="1">
      <t>マイ</t>
    </rPh>
    <rPh sb="1" eb="2">
      <t>ブン</t>
    </rPh>
    <rPh sb="5" eb="7">
      <t>クッサク</t>
    </rPh>
    <rPh sb="7" eb="9">
      <t>セイゲン</t>
    </rPh>
    <phoneticPr fontId="4"/>
  </si>
  <si>
    <t>和田
ウット</t>
    <rPh sb="0" eb="2">
      <t>ワダ</t>
    </rPh>
    <phoneticPr fontId="4"/>
  </si>
  <si>
    <t>H30.02.13 伊藤様にメールにて</t>
    <rPh sb="10" eb="12">
      <t>イトウ</t>
    </rPh>
    <rPh sb="12" eb="13">
      <t>サマ</t>
    </rPh>
    <phoneticPr fontId="4"/>
  </si>
  <si>
    <t>株式会社 山形県建築サポートセンター</t>
    <phoneticPr fontId="4"/>
  </si>
  <si>
    <t>財団法人 ベターリビング</t>
    <phoneticPr fontId="4"/>
  </si>
  <si>
    <t>ｼﾙﾄ</t>
    <phoneticPr fontId="4"/>
  </si>
  <si>
    <t>自動ラック倉庫あり。既存擁壁に近接。</t>
    <rPh sb="0" eb="2">
      <t>ジドウ</t>
    </rPh>
    <rPh sb="5" eb="7">
      <t>ソウコ</t>
    </rPh>
    <rPh sb="10" eb="12">
      <t>キソン</t>
    </rPh>
    <rPh sb="12" eb="13">
      <t>ヨウ</t>
    </rPh>
    <rPh sb="13" eb="14">
      <t>ヘキ</t>
    </rPh>
    <rPh sb="15" eb="17">
      <t>キンセツ</t>
    </rPh>
    <phoneticPr fontId="4"/>
  </si>
  <si>
    <t>H29.11.24 平屋→屋駐に変更。</t>
    <phoneticPr fontId="4"/>
  </si>
  <si>
    <t>ハウスプラス確認検査 株式会社</t>
    <phoneticPr fontId="4"/>
  </si>
  <si>
    <t>-</t>
    <phoneticPr fontId="4"/>
  </si>
  <si>
    <t>大田
(野間)</t>
    <rPh sb="0" eb="2">
      <t>オオタ</t>
    </rPh>
    <rPh sb="4" eb="6">
      <t>ノマ</t>
    </rPh>
    <phoneticPr fontId="4"/>
  </si>
  <si>
    <t>株式会社 北日本建築検査機構</t>
  </si>
  <si>
    <t>山形県</t>
    <phoneticPr fontId="4"/>
  </si>
  <si>
    <t>飯豊間町大字萩生</t>
    <rPh sb="0" eb="2">
      <t>イイデ</t>
    </rPh>
    <rPh sb="2" eb="3">
      <t>カン</t>
    </rPh>
    <rPh sb="3" eb="4">
      <t>マチ</t>
    </rPh>
    <rPh sb="4" eb="6">
      <t>オオアザ</t>
    </rPh>
    <rPh sb="6" eb="8">
      <t>ハギウ</t>
    </rPh>
    <phoneticPr fontId="4"/>
  </si>
  <si>
    <t>-</t>
    <phoneticPr fontId="4"/>
  </si>
  <si>
    <t>二期工事あり。</t>
    <rPh sb="0" eb="2">
      <t>ニキ</t>
    </rPh>
    <rPh sb="2" eb="4">
      <t>コウジ</t>
    </rPh>
    <phoneticPr fontId="4"/>
  </si>
  <si>
    <t>180020-5</t>
  </si>
  <si>
    <t>ゼネコンは根本建設。
海に近い。</t>
    <rPh sb="5" eb="7">
      <t>コンポン</t>
    </rPh>
    <rPh sb="7" eb="9">
      <t>ケンセツ</t>
    </rPh>
    <rPh sb="11" eb="12">
      <t>ウミ</t>
    </rPh>
    <rPh sb="13" eb="14">
      <t>チカ</t>
    </rPh>
    <phoneticPr fontId="4"/>
  </si>
  <si>
    <t>-</t>
    <phoneticPr fontId="4"/>
  </si>
  <si>
    <t>1-2</t>
    <phoneticPr fontId="4"/>
  </si>
  <si>
    <t>小野建設 株式会社</t>
    <phoneticPr fontId="4"/>
  </si>
  <si>
    <t>一新設計舎</t>
    <rPh sb="0" eb="1">
      <t>イチ</t>
    </rPh>
    <rPh sb="1" eb="2">
      <t>シン</t>
    </rPh>
    <rPh sb="2" eb="4">
      <t>セッケイ</t>
    </rPh>
    <rPh sb="4" eb="5">
      <t>シャ</t>
    </rPh>
    <phoneticPr fontId="4"/>
  </si>
  <si>
    <t>一新設計舎</t>
    <phoneticPr fontId="4"/>
  </si>
  <si>
    <t>イッシンセッケイシャ</t>
    <phoneticPr fontId="4"/>
  </si>
  <si>
    <t>H30.03.20 河上様にメールにて</t>
    <rPh sb="10" eb="12">
      <t>カワカミ</t>
    </rPh>
    <rPh sb="12" eb="13">
      <t>サマ</t>
    </rPh>
    <phoneticPr fontId="4"/>
  </si>
  <si>
    <t>3m</t>
    <phoneticPr fontId="4"/>
  </si>
  <si>
    <t>-</t>
    <phoneticPr fontId="4"/>
  </si>
  <si>
    <t>-</t>
    <phoneticPr fontId="4"/>
  </si>
  <si>
    <t>東田川郡</t>
    <phoneticPr fontId="4"/>
  </si>
  <si>
    <t>三川町大字猪子字大堰端</t>
    <phoneticPr fontId="4"/>
  </si>
  <si>
    <t>株式会社 アックスクリエート</t>
    <rPh sb="0" eb="2">
      <t>カブシキ</t>
    </rPh>
    <rPh sb="2" eb="4">
      <t>カイシャ</t>
    </rPh>
    <phoneticPr fontId="4"/>
  </si>
  <si>
    <t>株式会社 アックスクリエート</t>
    <phoneticPr fontId="4"/>
  </si>
  <si>
    <t>カブシキガイシャ アックスクリエート</t>
    <phoneticPr fontId="4"/>
  </si>
  <si>
    <t>ユイ
タオ</t>
    <phoneticPr fontId="4"/>
  </si>
  <si>
    <t>やまみ３期 増築工事</t>
    <rPh sb="4" eb="5">
      <t>キ</t>
    </rPh>
    <rPh sb="6" eb="8">
      <t>ゾウチク</t>
    </rPh>
    <rPh sb="8" eb="10">
      <t>コウジ</t>
    </rPh>
    <phoneticPr fontId="4"/>
  </si>
  <si>
    <t>甲賀市</t>
    <rPh sb="0" eb="2">
      <t>コウカ</t>
    </rPh>
    <rPh sb="2" eb="3">
      <t>シ</t>
    </rPh>
    <phoneticPr fontId="4"/>
  </si>
  <si>
    <t>隣地が2m程度高い。擁壁兼用基礎</t>
    <rPh sb="0" eb="2">
      <t>リンチ</t>
    </rPh>
    <rPh sb="5" eb="7">
      <t>テイド</t>
    </rPh>
    <rPh sb="7" eb="8">
      <t>タカ</t>
    </rPh>
    <rPh sb="10" eb="11">
      <t>ヨウ</t>
    </rPh>
    <rPh sb="11" eb="12">
      <t>ヘキ</t>
    </rPh>
    <rPh sb="12" eb="14">
      <t>ケンヨウ</t>
    </rPh>
    <rPh sb="14" eb="16">
      <t>キソ</t>
    </rPh>
    <phoneticPr fontId="4"/>
  </si>
  <si>
    <t>ホーマック菊水</t>
    <rPh sb="5" eb="6">
      <t>キク</t>
    </rPh>
    <rPh sb="6" eb="7">
      <t>ミズ</t>
    </rPh>
    <phoneticPr fontId="4"/>
  </si>
  <si>
    <t>白石区菊水元町</t>
    <rPh sb="0" eb="2">
      <t>シライシ</t>
    </rPh>
    <rPh sb="2" eb="3">
      <t>ク</t>
    </rPh>
    <rPh sb="3" eb="5">
      <t>キクスイ</t>
    </rPh>
    <rPh sb="5" eb="7">
      <t>モトマチ</t>
    </rPh>
    <phoneticPr fontId="4"/>
  </si>
  <si>
    <t>合同会社 岡建築コンサルタント</t>
    <rPh sb="0" eb="2">
      <t>ゴウドウ</t>
    </rPh>
    <rPh sb="2" eb="4">
      <t>カイシャ</t>
    </rPh>
    <rPh sb="5" eb="6">
      <t>オカ</t>
    </rPh>
    <rPh sb="6" eb="8">
      <t>ケンチク</t>
    </rPh>
    <phoneticPr fontId="4"/>
  </si>
  <si>
    <t>合同会社 岡建築コンサルタント</t>
    <phoneticPr fontId="4"/>
  </si>
  <si>
    <t>ゴウドウガイシャ オカケンチクコンサルタント</t>
    <phoneticPr fontId="4"/>
  </si>
  <si>
    <t>1m</t>
    <phoneticPr fontId="4"/>
  </si>
  <si>
    <t>1m</t>
    <phoneticPr fontId="4"/>
  </si>
  <si>
    <t>福岡県</t>
    <phoneticPr fontId="4"/>
  </si>
  <si>
    <t>福岡市</t>
    <rPh sb="0" eb="3">
      <t>フクオカシ</t>
    </rPh>
    <phoneticPr fontId="4"/>
  </si>
  <si>
    <t>東区大字奈多小瀬抜</t>
    <rPh sb="0" eb="2">
      <t>ヒガシク</t>
    </rPh>
    <rPh sb="2" eb="4">
      <t>オオアザ</t>
    </rPh>
    <rPh sb="4" eb="6">
      <t>ナタ</t>
    </rPh>
    <rPh sb="6" eb="8">
      <t>コセ</t>
    </rPh>
    <rPh sb="8" eb="9">
      <t>ヌ</t>
    </rPh>
    <phoneticPr fontId="4"/>
  </si>
  <si>
    <t>福岡県警航空隊【庁舎】</t>
    <rPh sb="0" eb="3">
      <t>フクオカケン</t>
    </rPh>
    <rPh sb="3" eb="4">
      <t>ケイ</t>
    </rPh>
    <rPh sb="4" eb="7">
      <t>コウクウタイ</t>
    </rPh>
    <rPh sb="8" eb="10">
      <t>チョウシャ</t>
    </rPh>
    <phoneticPr fontId="4"/>
  </si>
  <si>
    <t>福岡県警航空隊【事務所】</t>
    <rPh sb="0" eb="3">
      <t>フクオカケン</t>
    </rPh>
    <rPh sb="3" eb="4">
      <t>ケイ</t>
    </rPh>
    <rPh sb="4" eb="7">
      <t>コウクウタイ</t>
    </rPh>
    <rPh sb="8" eb="10">
      <t>ジム</t>
    </rPh>
    <rPh sb="10" eb="11">
      <t>ショ</t>
    </rPh>
    <phoneticPr fontId="4"/>
  </si>
  <si>
    <t>志賀設計</t>
    <rPh sb="0" eb="2">
      <t>シガ</t>
    </rPh>
    <rPh sb="2" eb="4">
      <t>セッケイ</t>
    </rPh>
    <phoneticPr fontId="4"/>
  </si>
  <si>
    <t>有限会社 川島構造計画事務所</t>
  </si>
  <si>
    <t>有限会社 川島構造計画事務所</t>
    <rPh sb="0" eb="2">
      <t>ユウゲン</t>
    </rPh>
    <rPh sb="2" eb="4">
      <t>カイシャ</t>
    </rPh>
    <rPh sb="5" eb="7">
      <t>カワシマ</t>
    </rPh>
    <rPh sb="7" eb="9">
      <t>コウゾウ</t>
    </rPh>
    <rPh sb="9" eb="11">
      <t>ケイカク</t>
    </rPh>
    <rPh sb="11" eb="13">
      <t>ジム</t>
    </rPh>
    <rPh sb="13" eb="14">
      <t>ショ</t>
    </rPh>
    <phoneticPr fontId="4"/>
  </si>
  <si>
    <t>ユウゲンガイシャ カワシマコウゾウケイカクジムショ</t>
    <phoneticPr fontId="4"/>
  </si>
  <si>
    <t>志賀設計</t>
    <phoneticPr fontId="4"/>
  </si>
  <si>
    <t>シガセッケイ</t>
    <phoneticPr fontId="4"/>
  </si>
  <si>
    <t>1m</t>
    <phoneticPr fontId="4"/>
  </si>
  <si>
    <t>粘性土質砂</t>
    <rPh sb="0" eb="2">
      <t>ネンセイ</t>
    </rPh>
    <rPh sb="2" eb="3">
      <t>ド</t>
    </rPh>
    <rPh sb="3" eb="4">
      <t>シツ</t>
    </rPh>
    <rPh sb="4" eb="5">
      <t>スナ</t>
    </rPh>
    <phoneticPr fontId="4"/>
  </si>
  <si>
    <t>竹岡</t>
    <rPh sb="0" eb="1">
      <t>タケ</t>
    </rPh>
    <rPh sb="1" eb="2">
      <t>オカ</t>
    </rPh>
    <phoneticPr fontId="4"/>
  </si>
  <si>
    <t>安芸郡</t>
    <rPh sb="0" eb="2">
      <t>アキ</t>
    </rPh>
    <rPh sb="2" eb="3">
      <t>グン</t>
    </rPh>
    <phoneticPr fontId="4"/>
  </si>
  <si>
    <t>海田町窪町</t>
    <rPh sb="0" eb="2">
      <t>カイタ</t>
    </rPh>
    <rPh sb="2" eb="3">
      <t>マチ</t>
    </rPh>
    <rPh sb="3" eb="4">
      <t>クボ</t>
    </rPh>
    <rPh sb="4" eb="5">
      <t>マチ</t>
    </rPh>
    <phoneticPr fontId="4"/>
  </si>
  <si>
    <t>近代設計コンサルタント</t>
    <rPh sb="0" eb="2">
      <t>キンダイ</t>
    </rPh>
    <rPh sb="2" eb="4">
      <t>セッケイ</t>
    </rPh>
    <phoneticPr fontId="4"/>
  </si>
  <si>
    <t>近代設計コンサルタント</t>
    <phoneticPr fontId="4"/>
  </si>
  <si>
    <t>キンダイセッケイコンサルタント</t>
    <phoneticPr fontId="4"/>
  </si>
  <si>
    <t>6m</t>
    <phoneticPr fontId="4"/>
  </si>
  <si>
    <t>4m</t>
    <phoneticPr fontId="4"/>
  </si>
  <si>
    <t>3m</t>
    <phoneticPr fontId="4"/>
  </si>
  <si>
    <t>粘土混じり中砂</t>
    <rPh sb="0" eb="2">
      <t>ネンド</t>
    </rPh>
    <rPh sb="2" eb="3">
      <t>マ</t>
    </rPh>
    <rPh sb="5" eb="6">
      <t>ナカ</t>
    </rPh>
    <rPh sb="6" eb="7">
      <t>スナ</t>
    </rPh>
    <phoneticPr fontId="4"/>
  </si>
  <si>
    <t>車路</t>
    <rPh sb="0" eb="1">
      <t>シャ</t>
    </rPh>
    <rPh sb="1" eb="2">
      <t>ロ</t>
    </rPh>
    <phoneticPr fontId="4"/>
  </si>
  <si>
    <t>ｼﾙﾄ</t>
    <phoneticPr fontId="4"/>
  </si>
  <si>
    <t>外構改良、擁壁下地盤改良あり</t>
    <rPh sb="0" eb="1">
      <t>ガイ</t>
    </rPh>
    <rPh sb="1" eb="2">
      <t>カマエ</t>
    </rPh>
    <rPh sb="2" eb="4">
      <t>カイリョウ</t>
    </rPh>
    <rPh sb="5" eb="6">
      <t>マモル</t>
    </rPh>
    <rPh sb="6" eb="8">
      <t>カベシタ</t>
    </rPh>
    <rPh sb="8" eb="10">
      <t>ジバン</t>
    </rPh>
    <rPh sb="10" eb="12">
      <t>カイリョウ</t>
    </rPh>
    <phoneticPr fontId="4"/>
  </si>
  <si>
    <t>犬猫専門病院併用住宅</t>
    <rPh sb="0" eb="2">
      <t>イヌネコ</t>
    </rPh>
    <rPh sb="2" eb="4">
      <t>センモン</t>
    </rPh>
    <rPh sb="4" eb="6">
      <t>ビョウイン</t>
    </rPh>
    <rPh sb="6" eb="8">
      <t>ヘイヨウ</t>
    </rPh>
    <rPh sb="8" eb="10">
      <t>ジュウタク</t>
    </rPh>
    <phoneticPr fontId="4"/>
  </si>
  <si>
    <t>古浜</t>
    <rPh sb="0" eb="1">
      <t>フル</t>
    </rPh>
    <rPh sb="1" eb="2">
      <t>ハマ</t>
    </rPh>
    <phoneticPr fontId="4"/>
  </si>
  <si>
    <t>Q &amp; Architecture</t>
    <phoneticPr fontId="4"/>
  </si>
  <si>
    <t>2m</t>
    <phoneticPr fontId="4"/>
  </si>
  <si>
    <t>カブシキガイシャ　CAPD</t>
    <phoneticPr fontId="4"/>
  </si>
  <si>
    <t>株式会社 CAPD</t>
    <phoneticPr fontId="4"/>
  </si>
  <si>
    <t>3</t>
    <phoneticPr fontId="4"/>
  </si>
  <si>
    <t>バロー淡路</t>
    <rPh sb="3" eb="5">
      <t>アワジ</t>
    </rPh>
    <phoneticPr fontId="4"/>
  </si>
  <si>
    <t>大阪市</t>
    <phoneticPr fontId="4"/>
  </si>
  <si>
    <t>淀川区淡路</t>
    <rPh sb="0" eb="3">
      <t>ヨドガワク</t>
    </rPh>
    <rPh sb="3" eb="5">
      <t>アワジ</t>
    </rPh>
    <phoneticPr fontId="4"/>
  </si>
  <si>
    <t>2m</t>
    <phoneticPr fontId="4"/>
  </si>
  <si>
    <t>ｼﾙﾄ</t>
    <phoneticPr fontId="4"/>
  </si>
  <si>
    <t>4m</t>
    <phoneticPr fontId="4"/>
  </si>
  <si>
    <t>中原区下新城</t>
    <rPh sb="0" eb="3">
      <t>ナカハラク</t>
    </rPh>
    <rPh sb="3" eb="4">
      <t>シタ</t>
    </rPh>
    <rPh sb="4" eb="5">
      <t>シン</t>
    </rPh>
    <rPh sb="5" eb="6">
      <t>シロ</t>
    </rPh>
    <phoneticPr fontId="4"/>
  </si>
  <si>
    <t>さくら設計 一級建築士事務所</t>
    <rPh sb="3" eb="5">
      <t>セッケイ</t>
    </rPh>
    <rPh sb="6" eb="8">
      <t>イッキュウ</t>
    </rPh>
    <rPh sb="8" eb="11">
      <t>ケンチクシ</t>
    </rPh>
    <rPh sb="11" eb="13">
      <t>ジム</t>
    </rPh>
    <rPh sb="13" eb="14">
      <t>ショ</t>
    </rPh>
    <phoneticPr fontId="4"/>
  </si>
  <si>
    <t>さくら設計 一級建築士事務所</t>
    <phoneticPr fontId="4"/>
  </si>
  <si>
    <t>サクラセッケイ イッキュウケンチクシジムショ</t>
    <phoneticPr fontId="4"/>
  </si>
  <si>
    <t>4m</t>
    <phoneticPr fontId="4"/>
  </si>
  <si>
    <t>ｼﾙﾄ</t>
    <phoneticPr fontId="4"/>
  </si>
  <si>
    <t>株式会社 みやま建築設計事務所</t>
    <phoneticPr fontId="4"/>
  </si>
  <si>
    <t>株式会社 みやま建築設計事務所</t>
    <phoneticPr fontId="4"/>
  </si>
  <si>
    <t>倉庫</t>
    <phoneticPr fontId="4"/>
  </si>
  <si>
    <t>4m</t>
    <phoneticPr fontId="4"/>
  </si>
  <si>
    <t>火山灰質粘性土</t>
    <rPh sb="0" eb="2">
      <t>カザン</t>
    </rPh>
    <rPh sb="2" eb="3">
      <t>ハイ</t>
    </rPh>
    <rPh sb="3" eb="4">
      <t>シツ</t>
    </rPh>
    <rPh sb="4" eb="6">
      <t>ネンセイ</t>
    </rPh>
    <rPh sb="6" eb="7">
      <t>ツチ</t>
    </rPh>
    <phoneticPr fontId="4"/>
  </si>
  <si>
    <t>コスモス薬品備中高松</t>
    <phoneticPr fontId="4"/>
  </si>
  <si>
    <t>埋土・砂</t>
    <rPh sb="0" eb="1">
      <t>ウ</t>
    </rPh>
    <rPh sb="1" eb="2">
      <t>ド</t>
    </rPh>
    <rPh sb="3" eb="4">
      <t>スナ</t>
    </rPh>
    <phoneticPr fontId="4"/>
  </si>
  <si>
    <t>山中産業 八代倉庫</t>
    <rPh sb="0" eb="2">
      <t>ヤマナカ</t>
    </rPh>
    <rPh sb="2" eb="4">
      <t>サンギョウ</t>
    </rPh>
    <rPh sb="5" eb="7">
      <t>ヤツシロ</t>
    </rPh>
    <rPh sb="7" eb="9">
      <t>ソウコ</t>
    </rPh>
    <phoneticPr fontId="4"/>
  </si>
  <si>
    <t>八代市</t>
    <rPh sb="0" eb="2">
      <t>ヤツシロ</t>
    </rPh>
    <rPh sb="2" eb="3">
      <t>シ</t>
    </rPh>
    <phoneticPr fontId="4"/>
  </si>
  <si>
    <t>千丁町大牟田字図志久</t>
    <rPh sb="0" eb="1">
      <t>セン</t>
    </rPh>
    <rPh sb="1" eb="2">
      <t>チョウ</t>
    </rPh>
    <rPh sb="2" eb="3">
      <t>チョウ</t>
    </rPh>
    <rPh sb="3" eb="6">
      <t>オオムタ</t>
    </rPh>
    <rPh sb="6" eb="7">
      <t>アザ</t>
    </rPh>
    <rPh sb="7" eb="8">
      <t>ズ</t>
    </rPh>
    <rPh sb="8" eb="10">
      <t>シク</t>
    </rPh>
    <phoneticPr fontId="4"/>
  </si>
  <si>
    <t>株式会社 森組</t>
    <rPh sb="0" eb="2">
      <t>カブシキ</t>
    </rPh>
    <rPh sb="2" eb="4">
      <t>カイシャ</t>
    </rPh>
    <rPh sb="5" eb="6">
      <t>モリ</t>
    </rPh>
    <rPh sb="6" eb="7">
      <t>クミ</t>
    </rPh>
    <phoneticPr fontId="4"/>
  </si>
  <si>
    <t>2m</t>
    <phoneticPr fontId="4"/>
  </si>
  <si>
    <t>9m</t>
    <phoneticPr fontId="4"/>
  </si>
  <si>
    <t>2m</t>
    <phoneticPr fontId="4"/>
  </si>
  <si>
    <t>180100-2</t>
    <phoneticPr fontId="4"/>
  </si>
  <si>
    <t>ユニクロ ル・パーク三川</t>
    <phoneticPr fontId="4"/>
  </si>
  <si>
    <t>関東マツダ溝の口</t>
    <rPh sb="5" eb="6">
      <t>ミゾ</t>
    </rPh>
    <rPh sb="7" eb="8">
      <t>クチ</t>
    </rPh>
    <phoneticPr fontId="4"/>
  </si>
  <si>
    <t>半田西工場内 整備工場</t>
    <rPh sb="0" eb="2">
      <t>ハンダ</t>
    </rPh>
    <rPh sb="2" eb="3">
      <t>ニシ</t>
    </rPh>
    <rPh sb="3" eb="5">
      <t>コウジョウ</t>
    </rPh>
    <rPh sb="5" eb="6">
      <t>ナイ</t>
    </rPh>
    <rPh sb="7" eb="9">
      <t>セイビ</t>
    </rPh>
    <rPh sb="9" eb="11">
      <t>コウジョウ</t>
    </rPh>
    <phoneticPr fontId="4"/>
  </si>
  <si>
    <t>半田市</t>
    <phoneticPr fontId="4"/>
  </si>
  <si>
    <t>ユーイック UHEC 株式会社 都市居住評価センター</t>
    <phoneticPr fontId="4"/>
  </si>
  <si>
    <t>財団法人 日本建築設備・昇降機センター</t>
    <phoneticPr fontId="4"/>
  </si>
  <si>
    <t>敷地外と段差あり</t>
    <rPh sb="0" eb="2">
      <t>シキチ</t>
    </rPh>
    <rPh sb="2" eb="3">
      <t>ガイ</t>
    </rPh>
    <rPh sb="4" eb="6">
      <t>ダンサ</t>
    </rPh>
    <phoneticPr fontId="4"/>
  </si>
  <si>
    <t>キタセキ所沢</t>
    <rPh sb="4" eb="6">
      <t>トコロザワ</t>
    </rPh>
    <phoneticPr fontId="4"/>
  </si>
  <si>
    <t>所沢市</t>
    <rPh sb="0" eb="3">
      <t>トコロザワシ</t>
    </rPh>
    <phoneticPr fontId="4"/>
  </si>
  <si>
    <t>株式会社 島田建築設計事務所</t>
    <phoneticPr fontId="4"/>
  </si>
  <si>
    <t>カブシキガイシャ シマダケンチクセッケイジムショ</t>
    <phoneticPr fontId="4"/>
  </si>
  <si>
    <t>株式会社 島田建築設計事務所</t>
    <phoneticPr fontId="4"/>
  </si>
  <si>
    <t>株式会社 島田建築設計事務所</t>
    <phoneticPr fontId="4"/>
  </si>
  <si>
    <t>外構造改良・WTのみ。本体建物は鋼管杭。</t>
    <rPh sb="0" eb="1">
      <t>ガイ</t>
    </rPh>
    <rPh sb="1" eb="3">
      <t>コウゾウ</t>
    </rPh>
    <rPh sb="3" eb="5">
      <t>カイリョウ</t>
    </rPh>
    <rPh sb="11" eb="13">
      <t>ホンタイ</t>
    </rPh>
    <rPh sb="13" eb="15">
      <t>タテモノ</t>
    </rPh>
    <rPh sb="16" eb="18">
      <t>コウカン</t>
    </rPh>
    <rPh sb="18" eb="19">
      <t>クイ</t>
    </rPh>
    <phoneticPr fontId="4"/>
  </si>
  <si>
    <t>畑・川</t>
    <rPh sb="0" eb="1">
      <t>ハタケ</t>
    </rPh>
    <rPh sb="2" eb="3">
      <t>カワ</t>
    </rPh>
    <phoneticPr fontId="4"/>
  </si>
  <si>
    <t>以前設計したﾗﾝﾎﾞﾙｷﾞｰﾆ名古屋とは別敷地。
4号建築物。既存油水分離槽と近接。</t>
    <rPh sb="0" eb="2">
      <t>イゼン</t>
    </rPh>
    <rPh sb="2" eb="4">
      <t>セッケイ</t>
    </rPh>
    <rPh sb="13" eb="17">
      <t>ナゴヤノ</t>
    </rPh>
    <rPh sb="17" eb="18">
      <t>マス</t>
    </rPh>
    <rPh sb="19" eb="21">
      <t>シキチ</t>
    </rPh>
    <rPh sb="21" eb="22">
      <t>。</t>
    </rPh>
    <rPh sb="22" eb="23">
      <t xml:space="preserve">
</t>
    </rPh>
    <rPh sb="26" eb="27">
      <t>ゴウ</t>
    </rPh>
    <rPh sb="27" eb="30">
      <t>ケンチクブツ</t>
    </rPh>
    <phoneticPr fontId="4"/>
  </si>
  <si>
    <t>株式会社 国際確認検査センター</t>
    <phoneticPr fontId="4"/>
  </si>
  <si>
    <t>城谷保育所</t>
    <rPh sb="0" eb="1">
      <t>シロ</t>
    </rPh>
    <rPh sb="1" eb="2">
      <t>タニ</t>
    </rPh>
    <rPh sb="2" eb="4">
      <t>ホイク</t>
    </rPh>
    <rPh sb="4" eb="5">
      <t>ショ</t>
    </rPh>
    <phoneticPr fontId="4"/>
  </si>
  <si>
    <t>1-2</t>
    <phoneticPr fontId="4"/>
  </si>
  <si>
    <t>兵庫県</t>
    <phoneticPr fontId="4"/>
  </si>
  <si>
    <t>東灘区向洋町西</t>
    <rPh sb="0" eb="1">
      <t>ヒガシ</t>
    </rPh>
    <rPh sb="1" eb="2">
      <t>ナダ</t>
    </rPh>
    <rPh sb="2" eb="3">
      <t>ク</t>
    </rPh>
    <rPh sb="3" eb="4">
      <t>ム</t>
    </rPh>
    <rPh sb="4" eb="5">
      <t>ヨウ</t>
    </rPh>
    <rPh sb="5" eb="6">
      <t>マチ</t>
    </rPh>
    <rPh sb="6" eb="7">
      <t>ニシ</t>
    </rPh>
    <phoneticPr fontId="4"/>
  </si>
  <si>
    <t>株式会社 高橋建築設計事務所</t>
    <rPh sb="0" eb="2">
      <t>カブシキ</t>
    </rPh>
    <rPh sb="2" eb="4">
      <t>カイシャ</t>
    </rPh>
    <rPh sb="5" eb="6">
      <t>タカ</t>
    </rPh>
    <rPh sb="6" eb="7">
      <t>ハシ</t>
    </rPh>
    <rPh sb="7" eb="9">
      <t>ケンチク</t>
    </rPh>
    <rPh sb="9" eb="11">
      <t>セッケイ</t>
    </rPh>
    <rPh sb="11" eb="13">
      <t>ジム</t>
    </rPh>
    <rPh sb="13" eb="14">
      <t>ショ</t>
    </rPh>
    <phoneticPr fontId="4"/>
  </si>
  <si>
    <t>8m</t>
    <phoneticPr fontId="4"/>
  </si>
  <si>
    <t>盛土(粘土混り砂礫)</t>
    <rPh sb="0" eb="1">
      <t>モリ</t>
    </rPh>
    <rPh sb="1" eb="2">
      <t>ド</t>
    </rPh>
    <rPh sb="3" eb="5">
      <t>ネンド</t>
    </rPh>
    <rPh sb="5" eb="6">
      <t>マ</t>
    </rPh>
    <rPh sb="7" eb="9">
      <t>サレキ</t>
    </rPh>
    <phoneticPr fontId="4"/>
  </si>
  <si>
    <t>谷塚上町字立野</t>
    <rPh sb="0" eb="1">
      <t>タニ</t>
    </rPh>
    <rPh sb="1" eb="2">
      <t>ツカ</t>
    </rPh>
    <rPh sb="2" eb="3">
      <t>ウエ</t>
    </rPh>
    <rPh sb="3" eb="4">
      <t>マチ</t>
    </rPh>
    <rPh sb="4" eb="5">
      <t>アザ</t>
    </rPh>
    <rPh sb="5" eb="6">
      <t>タ</t>
    </rPh>
    <rPh sb="6" eb="7">
      <t>ノ</t>
    </rPh>
    <phoneticPr fontId="4"/>
  </si>
  <si>
    <t>草加谷塚上町計画 D棟</t>
    <rPh sb="0" eb="2">
      <t>ソウカ</t>
    </rPh>
    <rPh sb="2" eb="3">
      <t>タニ</t>
    </rPh>
    <rPh sb="3" eb="4">
      <t>ツカ</t>
    </rPh>
    <rPh sb="4" eb="5">
      <t>ウエ</t>
    </rPh>
    <rPh sb="5" eb="6">
      <t>マチ</t>
    </rPh>
    <rPh sb="6" eb="8">
      <t>ケイカク</t>
    </rPh>
    <rPh sb="10" eb="11">
      <t>トウ</t>
    </rPh>
    <phoneticPr fontId="4"/>
  </si>
  <si>
    <t>株式会社 構造フォルム</t>
    <rPh sb="0" eb="2">
      <t>カブシキ</t>
    </rPh>
    <rPh sb="2" eb="4">
      <t>カイシャ</t>
    </rPh>
    <rPh sb="5" eb="7">
      <t>コウゾウ</t>
    </rPh>
    <phoneticPr fontId="4"/>
  </si>
  <si>
    <t>株式会社 構造フォルム</t>
    <phoneticPr fontId="4"/>
  </si>
  <si>
    <t>カブシキガイシャ コウゾウフォルム</t>
    <phoneticPr fontId="4"/>
  </si>
  <si>
    <t>11m</t>
    <phoneticPr fontId="4"/>
  </si>
  <si>
    <t>2m</t>
    <phoneticPr fontId="4"/>
  </si>
  <si>
    <t>隣地との高低差 最大10m。
土留め擁壁兼用基礎。</t>
    <rPh sb="0" eb="2">
      <t>リンチ</t>
    </rPh>
    <rPh sb="4" eb="6">
      <t>コウテイ</t>
    </rPh>
    <rPh sb="6" eb="7">
      <t>サ</t>
    </rPh>
    <rPh sb="8" eb="10">
      <t>サイダイ</t>
    </rPh>
    <rPh sb="15" eb="17">
      <t>ドド</t>
    </rPh>
    <rPh sb="18" eb="19">
      <t>ヨウ</t>
    </rPh>
    <rPh sb="19" eb="20">
      <t>カベ</t>
    </rPh>
    <rPh sb="20" eb="22">
      <t>ケンヨウ</t>
    </rPh>
    <rPh sb="22" eb="24">
      <t>キソ</t>
    </rPh>
    <phoneticPr fontId="4"/>
  </si>
  <si>
    <t>地盤が良いため、型枠代わりの基礎廻り改良＋土間下(t=600mm)改良。</t>
    <rPh sb="0" eb="2">
      <t>ジバン</t>
    </rPh>
    <rPh sb="3" eb="4">
      <t>ヨ</t>
    </rPh>
    <rPh sb="8" eb="10">
      <t>カタワク</t>
    </rPh>
    <rPh sb="10" eb="11">
      <t>カ</t>
    </rPh>
    <rPh sb="14" eb="16">
      <t>キソ</t>
    </rPh>
    <rPh sb="16" eb="17">
      <t>マワ</t>
    </rPh>
    <rPh sb="18" eb="20">
      <t>カイリョウ</t>
    </rPh>
    <rPh sb="21" eb="23">
      <t>ドマ</t>
    </rPh>
    <rPh sb="23" eb="24">
      <t>シタ</t>
    </rPh>
    <rPh sb="33" eb="35">
      <t>カイリョウ</t>
    </rPh>
    <phoneticPr fontId="4"/>
  </si>
  <si>
    <t>同建物 6棟</t>
    <rPh sb="0" eb="1">
      <t>オナ</t>
    </rPh>
    <rPh sb="1" eb="3">
      <t>タテモノ</t>
    </rPh>
    <rPh sb="5" eb="6">
      <t>トウ</t>
    </rPh>
    <phoneticPr fontId="4"/>
  </si>
  <si>
    <t>基礎は住金にて設計。
事務所棟は後日設計予定。</t>
    <rPh sb="0" eb="2">
      <t>キソ</t>
    </rPh>
    <rPh sb="3" eb="5">
      <t>スミキン</t>
    </rPh>
    <rPh sb="7" eb="9">
      <t>セッケイ</t>
    </rPh>
    <rPh sb="11" eb="13">
      <t>ジム</t>
    </rPh>
    <rPh sb="13" eb="14">
      <t>ショ</t>
    </rPh>
    <rPh sb="14" eb="15">
      <t>トウ</t>
    </rPh>
    <rPh sb="16" eb="18">
      <t>ゴジツ</t>
    </rPh>
    <rPh sb="18" eb="20">
      <t>セッケイ</t>
    </rPh>
    <rPh sb="20" eb="22">
      <t>ヨテイ</t>
    </rPh>
    <phoneticPr fontId="4"/>
  </si>
  <si>
    <t>SF宇部太陽光発電所</t>
    <rPh sb="2" eb="4">
      <t>ウベ</t>
    </rPh>
    <rPh sb="4" eb="7">
      <t>タイヨウコウ</t>
    </rPh>
    <rPh sb="7" eb="9">
      <t>ハツデン</t>
    </rPh>
    <rPh sb="9" eb="10">
      <t>ショ</t>
    </rPh>
    <phoneticPr fontId="4"/>
  </si>
  <si>
    <t>以前設計したSTD宇部の横敷地</t>
    <rPh sb="0" eb="2">
      <t>イゼン</t>
    </rPh>
    <rPh sb="2" eb="4">
      <t>セッケイ</t>
    </rPh>
    <rPh sb="9" eb="11">
      <t>ウベ</t>
    </rPh>
    <rPh sb="12" eb="13">
      <t>ヨコ</t>
    </rPh>
    <rPh sb="13" eb="15">
      <t>シキチ</t>
    </rPh>
    <phoneticPr fontId="4"/>
  </si>
  <si>
    <t>バロー勝川 増築</t>
    <rPh sb="3" eb="4">
      <t>カツ</t>
    </rPh>
    <rPh sb="4" eb="5">
      <t>カワ</t>
    </rPh>
    <rPh sb="6" eb="8">
      <t>ゾウチク</t>
    </rPh>
    <phoneticPr fontId="4"/>
  </si>
  <si>
    <t>以前設計したﾊﾞﾛｰ勝川の増築工事。4号建築物。</t>
    <rPh sb="0" eb="2">
      <t>イゼン</t>
    </rPh>
    <rPh sb="2" eb="4">
      <t>セッケイ</t>
    </rPh>
    <rPh sb="10" eb="11">
      <t>カツ</t>
    </rPh>
    <rPh sb="11" eb="12">
      <t>カワ</t>
    </rPh>
    <rPh sb="13" eb="15">
      <t>ゾウチク</t>
    </rPh>
    <rPh sb="15" eb="17">
      <t>コウジ</t>
    </rPh>
    <rPh sb="19" eb="20">
      <t>ゴウ</t>
    </rPh>
    <rPh sb="20" eb="23">
      <t>ケンチクブツ</t>
    </rPh>
    <phoneticPr fontId="4"/>
  </si>
  <si>
    <t>朝酌町字清水</t>
    <rPh sb="0" eb="1">
      <t>アサ</t>
    </rPh>
    <rPh sb="1" eb="2">
      <t>シャク</t>
    </rPh>
    <rPh sb="2" eb="3">
      <t>マチ</t>
    </rPh>
    <rPh sb="3" eb="4">
      <t>アザ</t>
    </rPh>
    <rPh sb="4" eb="6">
      <t>シミズ</t>
    </rPh>
    <phoneticPr fontId="4"/>
  </si>
  <si>
    <t>礫混じり砂質土</t>
    <rPh sb="0" eb="1">
      <t>レキ</t>
    </rPh>
    <rPh sb="1" eb="2">
      <t>マ</t>
    </rPh>
    <rPh sb="4" eb="5">
      <t>スナ</t>
    </rPh>
    <rPh sb="5" eb="6">
      <t>シツ</t>
    </rPh>
    <rPh sb="6" eb="7">
      <t>ド</t>
    </rPh>
    <phoneticPr fontId="4"/>
  </si>
  <si>
    <t>1m</t>
    <phoneticPr fontId="4"/>
  </si>
  <si>
    <t>空地・畑</t>
    <rPh sb="0" eb="1">
      <t>ア</t>
    </rPh>
    <rPh sb="1" eb="2">
      <t>チ</t>
    </rPh>
    <rPh sb="3" eb="4">
      <t>ハタケ</t>
    </rPh>
    <phoneticPr fontId="4"/>
  </si>
  <si>
    <t>RC</t>
    <phoneticPr fontId="4"/>
  </si>
  <si>
    <t>180112-1</t>
    <phoneticPr fontId="4"/>
  </si>
  <si>
    <t>180112-2</t>
  </si>
  <si>
    <t>180112-3</t>
  </si>
  <si>
    <t>草加谷塚上町計画 B棟</t>
    <rPh sb="0" eb="2">
      <t>ソウカ</t>
    </rPh>
    <rPh sb="2" eb="3">
      <t>タニ</t>
    </rPh>
    <rPh sb="3" eb="4">
      <t>ツカ</t>
    </rPh>
    <rPh sb="4" eb="5">
      <t>ウエ</t>
    </rPh>
    <rPh sb="5" eb="6">
      <t>マチ</t>
    </rPh>
    <rPh sb="6" eb="8">
      <t>ケイカク</t>
    </rPh>
    <rPh sb="10" eb="11">
      <t>トウ</t>
    </rPh>
    <phoneticPr fontId="4"/>
  </si>
  <si>
    <t>草加谷塚上町計画 C棟</t>
    <rPh sb="0" eb="2">
      <t>ソウカ</t>
    </rPh>
    <rPh sb="2" eb="3">
      <t>タニ</t>
    </rPh>
    <rPh sb="3" eb="4">
      <t>ツカ</t>
    </rPh>
    <rPh sb="4" eb="5">
      <t>ウエ</t>
    </rPh>
    <rPh sb="5" eb="6">
      <t>マチ</t>
    </rPh>
    <rPh sb="6" eb="8">
      <t>ケイカク</t>
    </rPh>
    <rPh sb="10" eb="11">
      <t>トウ</t>
    </rPh>
    <phoneticPr fontId="4"/>
  </si>
  <si>
    <t>村上
タオ</t>
    <rPh sb="0" eb="2">
      <t>ムラカミ</t>
    </rPh>
    <phoneticPr fontId="4"/>
  </si>
  <si>
    <t>宮城県</t>
    <phoneticPr fontId="4"/>
  </si>
  <si>
    <t>ひより台</t>
    <rPh sb="3" eb="4">
      <t>ダイ</t>
    </rPh>
    <phoneticPr fontId="4"/>
  </si>
  <si>
    <t>2m</t>
    <phoneticPr fontId="4"/>
  </si>
  <si>
    <t>-</t>
    <phoneticPr fontId="4"/>
  </si>
  <si>
    <t>-</t>
    <phoneticPr fontId="4"/>
  </si>
  <si>
    <t>倉庫・畑</t>
    <rPh sb="0" eb="2">
      <t>ソウコ</t>
    </rPh>
    <rPh sb="3" eb="4">
      <t>ハタケ</t>
    </rPh>
    <phoneticPr fontId="4"/>
  </si>
  <si>
    <t>山名
近藤</t>
    <rPh sb="0" eb="2">
      <t>ヤマナ</t>
    </rPh>
    <rPh sb="3" eb="5">
      <t>コンドウ</t>
    </rPh>
    <phoneticPr fontId="4"/>
  </si>
  <si>
    <t>埋土・ｼﾙﾄ質細砂</t>
    <rPh sb="0" eb="1">
      <t>ウ</t>
    </rPh>
    <rPh sb="1" eb="2">
      <t>ド</t>
    </rPh>
    <rPh sb="6" eb="7">
      <t>シツ</t>
    </rPh>
    <rPh sb="7" eb="8">
      <t>サイ</t>
    </rPh>
    <rPh sb="8" eb="9">
      <t>スナ</t>
    </rPh>
    <phoneticPr fontId="4"/>
  </si>
  <si>
    <t>川・駅・住宅</t>
    <rPh sb="0" eb="1">
      <t>カワ</t>
    </rPh>
    <rPh sb="2" eb="3">
      <t>エキ</t>
    </rPh>
    <rPh sb="4" eb="6">
      <t>ジュウタク</t>
    </rPh>
    <phoneticPr fontId="4"/>
  </si>
  <si>
    <t>180111-1</t>
    <phoneticPr fontId="4"/>
  </si>
  <si>
    <t>180111-2</t>
    <phoneticPr fontId="4"/>
  </si>
  <si>
    <t>ｼﾝｸｽｺｰﾎﾟﾚｰｼｮﾝ神戸工場 工場棟</t>
    <rPh sb="13" eb="15">
      <t>コウベ</t>
    </rPh>
    <rPh sb="15" eb="17">
      <t>コウジョウ</t>
    </rPh>
    <rPh sb="18" eb="20">
      <t>コウジョウ</t>
    </rPh>
    <rPh sb="20" eb="21">
      <t>トウ</t>
    </rPh>
    <phoneticPr fontId="4"/>
  </si>
  <si>
    <t>ｼﾝｸｽｺｰﾎﾟﾚｰｼｮﾝ神戸工場 事務所棟</t>
    <rPh sb="13" eb="15">
      <t>コウベ</t>
    </rPh>
    <rPh sb="15" eb="17">
      <t>コウジョウ</t>
    </rPh>
    <rPh sb="18" eb="20">
      <t>ジム</t>
    </rPh>
    <rPh sb="20" eb="21">
      <t>ショ</t>
    </rPh>
    <rPh sb="21" eb="22">
      <t>トウ</t>
    </rPh>
    <phoneticPr fontId="4"/>
  </si>
  <si>
    <t>ｼﾝｸｽｺｰﾎﾟﾚｰｼｮﾝ神戸工場 機械式駐車場</t>
    <rPh sb="13" eb="15">
      <t>コウベ</t>
    </rPh>
    <rPh sb="15" eb="17">
      <t>コウジョウ</t>
    </rPh>
    <rPh sb="18" eb="20">
      <t>キカイ</t>
    </rPh>
    <rPh sb="20" eb="21">
      <t>シキ</t>
    </rPh>
    <rPh sb="21" eb="24">
      <t>チュウシャジョウ</t>
    </rPh>
    <phoneticPr fontId="4"/>
  </si>
  <si>
    <t>工場棟(住金Tio)と事務所棟(住金TREO)と機械式駐車場</t>
    <rPh sb="0" eb="2">
      <t>コウジョウ</t>
    </rPh>
    <rPh sb="2" eb="3">
      <t>トウ</t>
    </rPh>
    <rPh sb="4" eb="6">
      <t>スミキン</t>
    </rPh>
    <rPh sb="11" eb="13">
      <t>ジム</t>
    </rPh>
    <rPh sb="13" eb="14">
      <t>ショ</t>
    </rPh>
    <rPh sb="14" eb="15">
      <t>トウ</t>
    </rPh>
    <rPh sb="16" eb="18">
      <t>スミキン</t>
    </rPh>
    <rPh sb="24" eb="26">
      <t>キカイ</t>
    </rPh>
    <rPh sb="26" eb="27">
      <t>シキ</t>
    </rPh>
    <rPh sb="27" eb="30">
      <t>チュウシャジョウ</t>
    </rPh>
    <phoneticPr fontId="4"/>
  </si>
  <si>
    <t>日本ERI 株式会社</t>
    <phoneticPr fontId="4"/>
  </si>
  <si>
    <t>上浜町</t>
    <rPh sb="0" eb="1">
      <t>ウエ</t>
    </rPh>
    <rPh sb="1" eb="2">
      <t>ハマ</t>
    </rPh>
    <rPh sb="2" eb="3">
      <t>マチ</t>
    </rPh>
    <phoneticPr fontId="4"/>
  </si>
  <si>
    <t>3m</t>
    <phoneticPr fontId="4"/>
  </si>
  <si>
    <t>2m</t>
    <phoneticPr fontId="4"/>
  </si>
  <si>
    <t>ｼﾙﾄ</t>
    <phoneticPr fontId="4"/>
  </si>
  <si>
    <t>1m</t>
    <phoneticPr fontId="4"/>
  </si>
  <si>
    <t>1m</t>
    <phoneticPr fontId="4"/>
  </si>
  <si>
    <t>H30.04.18 原田様にメールにて</t>
    <rPh sb="10" eb="12">
      <t>ハラダ</t>
    </rPh>
    <rPh sb="12" eb="13">
      <t>サマ</t>
    </rPh>
    <phoneticPr fontId="4"/>
  </si>
  <si>
    <t>株式会社 東北建築センター</t>
    <rPh sb="0" eb="2">
      <t>カブシキ</t>
    </rPh>
    <rPh sb="2" eb="4">
      <t>カイシャ</t>
    </rPh>
    <rPh sb="5" eb="7">
      <t>トウホク</t>
    </rPh>
    <rPh sb="7" eb="9">
      <t>ケンチク</t>
    </rPh>
    <phoneticPr fontId="4"/>
  </si>
  <si>
    <t>株式会社 東北建築センター</t>
    <phoneticPr fontId="4"/>
  </si>
  <si>
    <t>大串定住住宅</t>
    <rPh sb="0" eb="2">
      <t>オオクシ</t>
    </rPh>
    <rPh sb="2" eb="4">
      <t>テイジュウ</t>
    </rPh>
    <rPh sb="4" eb="6">
      <t>ジュウタク</t>
    </rPh>
    <phoneticPr fontId="4"/>
  </si>
  <si>
    <t>豊田郡</t>
    <phoneticPr fontId="4"/>
  </si>
  <si>
    <t>大崎上島町大串</t>
    <rPh sb="0" eb="2">
      <t>オオサキ</t>
    </rPh>
    <rPh sb="2" eb="3">
      <t>ウエ</t>
    </rPh>
    <rPh sb="3" eb="4">
      <t>シマ</t>
    </rPh>
    <rPh sb="4" eb="5">
      <t>マチ</t>
    </rPh>
    <rPh sb="5" eb="6">
      <t>オオ</t>
    </rPh>
    <rPh sb="6" eb="7">
      <t>クシ</t>
    </rPh>
    <phoneticPr fontId="4"/>
  </si>
  <si>
    <t>A,B棟の2棟</t>
    <rPh sb="3" eb="4">
      <t>トウ</t>
    </rPh>
    <rPh sb="6" eb="7">
      <t>トウ</t>
    </rPh>
    <phoneticPr fontId="4"/>
  </si>
  <si>
    <t>3m</t>
    <phoneticPr fontId="4"/>
  </si>
  <si>
    <t>ツルハドラッグ宮城村田</t>
    <rPh sb="7" eb="9">
      <t>ミヤギ</t>
    </rPh>
    <rPh sb="9" eb="11">
      <t>ムラタ</t>
    </rPh>
    <phoneticPr fontId="4"/>
  </si>
  <si>
    <t>村田町大字村田字松崎</t>
    <rPh sb="0" eb="2">
      <t>ムラタ</t>
    </rPh>
    <rPh sb="2" eb="3">
      <t>マチ</t>
    </rPh>
    <rPh sb="3" eb="5">
      <t>オオアザ</t>
    </rPh>
    <rPh sb="5" eb="7">
      <t>ムラタ</t>
    </rPh>
    <rPh sb="7" eb="8">
      <t>アザ</t>
    </rPh>
    <rPh sb="8" eb="10">
      <t>マツザキ</t>
    </rPh>
    <phoneticPr fontId="4"/>
  </si>
  <si>
    <t>1m</t>
    <phoneticPr fontId="4"/>
  </si>
  <si>
    <t>○</t>
    <phoneticPr fontId="4"/>
  </si>
  <si>
    <t>3</t>
    <phoneticPr fontId="4"/>
  </si>
  <si>
    <t>財団法人 熊本県建築住宅センター</t>
    <phoneticPr fontId="4"/>
  </si>
  <si>
    <t>千葉県</t>
    <phoneticPr fontId="4"/>
  </si>
  <si>
    <t>袖ヶ浦市</t>
    <rPh sb="0" eb="3">
      <t>ソデガウラ</t>
    </rPh>
    <rPh sb="3" eb="4">
      <t>シ</t>
    </rPh>
    <phoneticPr fontId="4"/>
  </si>
  <si>
    <t>代宿</t>
    <rPh sb="0" eb="1">
      <t>ダイ</t>
    </rPh>
    <rPh sb="1" eb="2">
      <t>ヤド</t>
    </rPh>
    <phoneticPr fontId="4"/>
  </si>
  <si>
    <t>ビューローベリタスジャパン株式会社(新宿)</t>
    <rPh sb="18" eb="20">
      <t>シンジュク</t>
    </rPh>
    <phoneticPr fontId="4"/>
  </si>
  <si>
    <t>新潟県</t>
    <phoneticPr fontId="4"/>
  </si>
  <si>
    <t>三条市</t>
    <rPh sb="0" eb="2">
      <t>サンジョウ</t>
    </rPh>
    <rPh sb="2" eb="3">
      <t>シ</t>
    </rPh>
    <phoneticPr fontId="4"/>
  </si>
  <si>
    <t>三柳</t>
    <rPh sb="0" eb="1">
      <t>サン</t>
    </rPh>
    <rPh sb="1" eb="2">
      <t>ヤナギ</t>
    </rPh>
    <phoneticPr fontId="4"/>
  </si>
  <si>
    <t>㈱佐藤鋼材第二工場</t>
    <rPh sb="1" eb="3">
      <t>サトウ</t>
    </rPh>
    <rPh sb="3" eb="5">
      <t>コウザイ</t>
    </rPh>
    <rPh sb="5" eb="7">
      <t>ダイニ</t>
    </rPh>
    <rPh sb="7" eb="9">
      <t>コウジョウ</t>
    </rPh>
    <phoneticPr fontId="4"/>
  </si>
  <si>
    <t>-</t>
    <phoneticPr fontId="4"/>
  </si>
  <si>
    <t>-</t>
    <phoneticPr fontId="4"/>
  </si>
  <si>
    <t>ユーイック UHEC 株式会社 都市居住評価センター</t>
    <phoneticPr fontId="4"/>
  </si>
  <si>
    <t>島根ダイハツ販売㈱出雲</t>
    <rPh sb="0" eb="2">
      <t>シマネ</t>
    </rPh>
    <rPh sb="6" eb="8">
      <t>ハンバイ</t>
    </rPh>
    <rPh sb="9" eb="11">
      <t>イズモ</t>
    </rPh>
    <phoneticPr fontId="4"/>
  </si>
  <si>
    <t>大津新崎町</t>
    <rPh sb="0" eb="2">
      <t>オオツ</t>
    </rPh>
    <rPh sb="2" eb="3">
      <t>シン</t>
    </rPh>
    <rPh sb="3" eb="4">
      <t>サキ</t>
    </rPh>
    <rPh sb="4" eb="5">
      <t>マチ</t>
    </rPh>
    <phoneticPr fontId="4"/>
  </si>
  <si>
    <t>付属棟は別工法。</t>
    <rPh sb="0" eb="2">
      <t>フゾク</t>
    </rPh>
    <rPh sb="2" eb="3">
      <t>トウ</t>
    </rPh>
    <rPh sb="4" eb="5">
      <t>ベツ</t>
    </rPh>
    <rPh sb="5" eb="7">
      <t>コウホウ</t>
    </rPh>
    <phoneticPr fontId="4"/>
  </si>
  <si>
    <t>-</t>
    <phoneticPr fontId="4"/>
  </si>
  <si>
    <t>千種区十番町</t>
    <rPh sb="0" eb="2">
      <t>センシュ</t>
    </rPh>
    <rPh sb="2" eb="3">
      <t>ク</t>
    </rPh>
    <rPh sb="3" eb="5">
      <t>ジュウバン</t>
    </rPh>
    <rPh sb="5" eb="6">
      <t>マチ</t>
    </rPh>
    <phoneticPr fontId="4"/>
  </si>
  <si>
    <t>-</t>
    <phoneticPr fontId="4"/>
  </si>
  <si>
    <t>-</t>
    <phoneticPr fontId="4"/>
  </si>
  <si>
    <t>帯広市</t>
    <phoneticPr fontId="4"/>
  </si>
  <si>
    <t>西21条北</t>
    <phoneticPr fontId="4"/>
  </si>
  <si>
    <t>土谷特殊農機具製作所厚生棟</t>
    <phoneticPr fontId="4"/>
  </si>
  <si>
    <t>太田建築設計事務所</t>
    <phoneticPr fontId="4"/>
  </si>
  <si>
    <t>太田建築設計事務所</t>
    <phoneticPr fontId="4"/>
  </si>
  <si>
    <t>オオタケンチクセッケイジムショ</t>
    <phoneticPr fontId="4"/>
  </si>
  <si>
    <t>北海道 釧路市</t>
    <phoneticPr fontId="4"/>
  </si>
  <si>
    <t>弘前倉庫㈱ 五所川原(旧 青森営業所)</t>
    <rPh sb="0" eb="2">
      <t>ヒロサキ</t>
    </rPh>
    <rPh sb="2" eb="4">
      <t>ソウコ</t>
    </rPh>
    <rPh sb="6" eb="10">
      <t>ゴショガワラ</t>
    </rPh>
    <rPh sb="11" eb="12">
      <t>キュウ</t>
    </rPh>
    <rPh sb="13" eb="15">
      <t>アオモリ</t>
    </rPh>
    <rPh sb="15" eb="18">
      <t>エイギョウショ</t>
    </rPh>
    <phoneticPr fontId="4"/>
  </si>
  <si>
    <t>線路に近い。看板下地盤改良あり</t>
    <rPh sb="0" eb="2">
      <t>センロ</t>
    </rPh>
    <rPh sb="3" eb="4">
      <t>チカ</t>
    </rPh>
    <rPh sb="6" eb="8">
      <t>カンバン</t>
    </rPh>
    <rPh sb="8" eb="9">
      <t>シタ</t>
    </rPh>
    <rPh sb="9" eb="11">
      <t>ジバン</t>
    </rPh>
    <rPh sb="11" eb="13">
      <t>カイリョウ</t>
    </rPh>
    <phoneticPr fontId="4"/>
  </si>
  <si>
    <t>東京理科大学 学生寮</t>
    <rPh sb="0" eb="2">
      <t>トウキョウ</t>
    </rPh>
    <rPh sb="2" eb="4">
      <t>リカ</t>
    </rPh>
    <rPh sb="4" eb="6">
      <t>ダイガク</t>
    </rPh>
    <rPh sb="7" eb="10">
      <t>ガクセイリョウ</t>
    </rPh>
    <phoneticPr fontId="4"/>
  </si>
  <si>
    <t>千葉県</t>
    <rPh sb="0" eb="3">
      <t>チバケン</t>
    </rPh>
    <phoneticPr fontId="4"/>
  </si>
  <si>
    <t>野田市</t>
    <rPh sb="0" eb="3">
      <t>ノダシ</t>
    </rPh>
    <phoneticPr fontId="4"/>
  </si>
  <si>
    <t>山崎</t>
    <rPh sb="0" eb="2">
      <t>ヤマサキ</t>
    </rPh>
    <phoneticPr fontId="4"/>
  </si>
  <si>
    <t>WRC造</t>
    <phoneticPr fontId="4"/>
  </si>
  <si>
    <t>3F建</t>
    <phoneticPr fontId="4"/>
  </si>
  <si>
    <t>学生寮</t>
    <rPh sb="0" eb="3">
      <t>ガクセイリョウ</t>
    </rPh>
    <phoneticPr fontId="4"/>
  </si>
  <si>
    <t>株式会社 カワイ設計工房</t>
    <phoneticPr fontId="4"/>
  </si>
  <si>
    <t>ストラクチャー・デザイン・オフィス</t>
    <phoneticPr fontId="4"/>
  </si>
  <si>
    <t>ストラクチャー・デザイン・オフィス</t>
    <phoneticPr fontId="4"/>
  </si>
  <si>
    <t>ストラクチャーデザインオフィス</t>
    <phoneticPr fontId="4"/>
  </si>
  <si>
    <t>ユイ</t>
    <phoneticPr fontId="4"/>
  </si>
  <si>
    <t>ｽﾊﾟﾝ21m</t>
    <phoneticPr fontId="4"/>
  </si>
  <si>
    <t>～3月末 解体工事</t>
    <rPh sb="2" eb="3">
      <t>ガツ</t>
    </rPh>
    <rPh sb="3" eb="4">
      <t>マツ</t>
    </rPh>
    <rPh sb="5" eb="7">
      <t>カイタイ</t>
    </rPh>
    <rPh sb="7" eb="9">
      <t>コウジ</t>
    </rPh>
    <phoneticPr fontId="4"/>
  </si>
  <si>
    <t>茂原工場 事務所棟</t>
    <rPh sb="0" eb="1">
      <t>モ</t>
    </rPh>
    <rPh sb="1" eb="2">
      <t>ハラ</t>
    </rPh>
    <rPh sb="2" eb="4">
      <t>コウジョウ</t>
    </rPh>
    <rPh sb="5" eb="7">
      <t>ジム</t>
    </rPh>
    <rPh sb="7" eb="8">
      <t>ショ</t>
    </rPh>
    <rPh sb="8" eb="9">
      <t>トウ</t>
    </rPh>
    <phoneticPr fontId="4"/>
  </si>
  <si>
    <t>茂原市</t>
    <rPh sb="0" eb="1">
      <t>モ</t>
    </rPh>
    <rPh sb="1" eb="2">
      <t>ハラ</t>
    </rPh>
    <rPh sb="2" eb="3">
      <t>シ</t>
    </rPh>
    <phoneticPr fontId="4"/>
  </si>
  <si>
    <t>盛土・砂</t>
    <rPh sb="0" eb="1">
      <t>モリ</t>
    </rPh>
    <rPh sb="1" eb="2">
      <t>ド</t>
    </rPh>
    <rPh sb="3" eb="4">
      <t>スナ</t>
    </rPh>
    <phoneticPr fontId="4"/>
  </si>
  <si>
    <t>2m</t>
    <phoneticPr fontId="4"/>
  </si>
  <si>
    <t>腐植土質ｼﾙﾄ</t>
    <rPh sb="0" eb="3">
      <t>フショクド</t>
    </rPh>
    <rPh sb="3" eb="4">
      <t>シツ</t>
    </rPh>
    <phoneticPr fontId="4"/>
  </si>
  <si>
    <t>春藤葬儀造花店 ｾﾚﾓﾆｰﾎｰﾙ</t>
    <rPh sb="0" eb="1">
      <t>ハル</t>
    </rPh>
    <rPh sb="1" eb="2">
      <t>フジ</t>
    </rPh>
    <rPh sb="2" eb="4">
      <t>ソウギ</t>
    </rPh>
    <rPh sb="4" eb="6">
      <t>ゾウカ</t>
    </rPh>
    <rPh sb="6" eb="7">
      <t>テン</t>
    </rPh>
    <phoneticPr fontId="4"/>
  </si>
  <si>
    <t>五所川原市</t>
    <phoneticPr fontId="4"/>
  </si>
  <si>
    <t>大字太刀打字早藤</t>
    <rPh sb="0" eb="2">
      <t>オオアザ</t>
    </rPh>
    <rPh sb="2" eb="5">
      <t>タチウ</t>
    </rPh>
    <rPh sb="5" eb="6">
      <t>アザ</t>
    </rPh>
    <rPh sb="6" eb="7">
      <t>ハヤ</t>
    </rPh>
    <rPh sb="7" eb="8">
      <t>フジ</t>
    </rPh>
    <phoneticPr fontId="4"/>
  </si>
  <si>
    <t>ｾﾚﾓﾆｰﾎｰﾙ</t>
    <phoneticPr fontId="4"/>
  </si>
  <si>
    <t>有限会社 三和シーエム</t>
    <rPh sb="0" eb="2">
      <t>ユウゲン</t>
    </rPh>
    <rPh sb="2" eb="4">
      <t>カイシャ</t>
    </rPh>
    <rPh sb="5" eb="7">
      <t>サンワ</t>
    </rPh>
    <phoneticPr fontId="4"/>
  </si>
  <si>
    <t>有限会社 三和シーエム</t>
    <phoneticPr fontId="4"/>
  </si>
  <si>
    <t>ユウゲンガイシャ サンワシーエム</t>
    <phoneticPr fontId="4"/>
  </si>
  <si>
    <t>水路近い</t>
    <rPh sb="0" eb="2">
      <t>スイロ</t>
    </rPh>
    <rPh sb="2" eb="3">
      <t>チカ</t>
    </rPh>
    <phoneticPr fontId="4"/>
  </si>
  <si>
    <t>2m</t>
    <phoneticPr fontId="4"/>
  </si>
  <si>
    <t>15m</t>
    <phoneticPr fontId="4"/>
  </si>
  <si>
    <t>3m</t>
    <phoneticPr fontId="4"/>
  </si>
  <si>
    <t>港区潮見町</t>
    <rPh sb="0" eb="2">
      <t>ミナトク</t>
    </rPh>
    <rPh sb="2" eb="4">
      <t>シオミ</t>
    </rPh>
    <rPh sb="4" eb="5">
      <t>マチ</t>
    </rPh>
    <phoneticPr fontId="4"/>
  </si>
  <si>
    <t>アウェイ建築評価ネット株式会社</t>
    <phoneticPr fontId="4"/>
  </si>
  <si>
    <t>株式会社 岩手県建築住宅センター</t>
    <rPh sb="5" eb="8">
      <t>イワテケン</t>
    </rPh>
    <rPh sb="8" eb="10">
      <t>ケンチク</t>
    </rPh>
    <rPh sb="10" eb="12">
      <t>ジュウタク</t>
    </rPh>
    <phoneticPr fontId="4"/>
  </si>
  <si>
    <t>株式会社 岩手県建築住宅センター</t>
    <phoneticPr fontId="4"/>
  </si>
  <si>
    <t>沖縄サントリー株式会社 事務所棟</t>
    <rPh sb="0" eb="2">
      <t>オキナワ</t>
    </rPh>
    <rPh sb="7" eb="9">
      <t>カブシキ</t>
    </rPh>
    <rPh sb="9" eb="11">
      <t>カイシャ</t>
    </rPh>
    <rPh sb="12" eb="14">
      <t>ジム</t>
    </rPh>
    <rPh sb="14" eb="15">
      <t>ショ</t>
    </rPh>
    <rPh sb="15" eb="16">
      <t>トウ</t>
    </rPh>
    <phoneticPr fontId="4"/>
  </si>
  <si>
    <t>那覇市</t>
    <rPh sb="0" eb="3">
      <t>ナハシ</t>
    </rPh>
    <phoneticPr fontId="4"/>
  </si>
  <si>
    <t>宇安謝</t>
    <rPh sb="0" eb="1">
      <t>ウ</t>
    </rPh>
    <rPh sb="1" eb="2">
      <t>ヤス</t>
    </rPh>
    <rPh sb="2" eb="3">
      <t>アヤマ</t>
    </rPh>
    <phoneticPr fontId="4"/>
  </si>
  <si>
    <t>2F建</t>
    <rPh sb="2" eb="3">
      <t>タ</t>
    </rPh>
    <phoneticPr fontId="4"/>
  </si>
  <si>
    <t>事務所</t>
    <phoneticPr fontId="4"/>
  </si>
  <si>
    <t>3</t>
    <phoneticPr fontId="4"/>
  </si>
  <si>
    <t>株式会社 宮平設計</t>
    <rPh sb="0" eb="2">
      <t>カブシキ</t>
    </rPh>
    <rPh sb="2" eb="4">
      <t>カイシャ</t>
    </rPh>
    <rPh sb="5" eb="7">
      <t>ミヤダイラ</t>
    </rPh>
    <rPh sb="7" eb="9">
      <t>セッケイ</t>
    </rPh>
    <phoneticPr fontId="4"/>
  </si>
  <si>
    <t>株式会社 宮平設計</t>
    <phoneticPr fontId="4"/>
  </si>
  <si>
    <t>カブシキガイシャ ミヤヒラセッケイ</t>
    <phoneticPr fontId="4"/>
  </si>
  <si>
    <t>有限会社 建築構造研究所</t>
    <rPh sb="0" eb="2">
      <t>ユウゲン</t>
    </rPh>
    <rPh sb="2" eb="4">
      <t>カイシャ</t>
    </rPh>
    <rPh sb="5" eb="7">
      <t>ケンチク</t>
    </rPh>
    <rPh sb="7" eb="9">
      <t>コウゾウ</t>
    </rPh>
    <rPh sb="9" eb="12">
      <t>ケンキュウショ</t>
    </rPh>
    <phoneticPr fontId="4"/>
  </si>
  <si>
    <t>有限会社 建築構造研究所</t>
    <phoneticPr fontId="4"/>
  </si>
  <si>
    <t>ユウゲンガイシャ ケンチクコウゾウケンキュウショ</t>
    <phoneticPr fontId="4"/>
  </si>
  <si>
    <t>4m</t>
    <phoneticPr fontId="4"/>
  </si>
  <si>
    <t>礫混じり砂礫</t>
    <rPh sb="0" eb="1">
      <t>レキ</t>
    </rPh>
    <rPh sb="1" eb="2">
      <t>マ</t>
    </rPh>
    <rPh sb="4" eb="6">
      <t>サレキ</t>
    </rPh>
    <phoneticPr fontId="4"/>
  </si>
  <si>
    <t>2m</t>
    <phoneticPr fontId="4"/>
  </si>
  <si>
    <t>-</t>
    <phoneticPr fontId="4"/>
  </si>
  <si>
    <t>1m</t>
    <phoneticPr fontId="4"/>
  </si>
  <si>
    <t>2m</t>
    <phoneticPr fontId="4"/>
  </si>
  <si>
    <t>3m</t>
    <phoneticPr fontId="4"/>
  </si>
  <si>
    <t>1m</t>
    <phoneticPr fontId="4"/>
  </si>
  <si>
    <t>以前設計したGU三川の近く。
基礎サイズ9.6m角</t>
    <rPh sb="0" eb="2">
      <t>イゼン</t>
    </rPh>
    <rPh sb="2" eb="4">
      <t>セッケイ</t>
    </rPh>
    <rPh sb="8" eb="10">
      <t>ミカワ</t>
    </rPh>
    <rPh sb="11" eb="12">
      <t>チカ</t>
    </rPh>
    <rPh sb="15" eb="17">
      <t>キソ</t>
    </rPh>
    <rPh sb="24" eb="25">
      <t>カク</t>
    </rPh>
    <phoneticPr fontId="4"/>
  </si>
  <si>
    <t>180118-2</t>
    <phoneticPr fontId="4"/>
  </si>
  <si>
    <t>U350 第2工場計画 製造棟</t>
    <rPh sb="12" eb="14">
      <t>セイゾウ</t>
    </rPh>
    <rPh sb="14" eb="15">
      <t>トウ</t>
    </rPh>
    <phoneticPr fontId="4"/>
  </si>
  <si>
    <t>U350 第2工場計画 充填・包装棟</t>
    <rPh sb="12" eb="14">
      <t>ジュウテン</t>
    </rPh>
    <rPh sb="15" eb="17">
      <t>ホウソウ</t>
    </rPh>
    <rPh sb="17" eb="18">
      <t>トウ</t>
    </rPh>
    <phoneticPr fontId="4"/>
  </si>
  <si>
    <t>3m</t>
    <phoneticPr fontId="4"/>
  </si>
  <si>
    <t>粘土混じり細砂</t>
    <rPh sb="0" eb="2">
      <t>ネンド</t>
    </rPh>
    <rPh sb="2" eb="3">
      <t>マ</t>
    </rPh>
    <rPh sb="5" eb="6">
      <t>サイ</t>
    </rPh>
    <rPh sb="6" eb="7">
      <t>スナ</t>
    </rPh>
    <phoneticPr fontId="4"/>
  </si>
  <si>
    <t>カンダ技工 未利用資源開発工場 殺菌加工棟</t>
    <rPh sb="3" eb="5">
      <t>ギコウ</t>
    </rPh>
    <rPh sb="6" eb="9">
      <t>ミリヨウ</t>
    </rPh>
    <rPh sb="9" eb="11">
      <t>シゲン</t>
    </rPh>
    <rPh sb="11" eb="13">
      <t>カイハツ</t>
    </rPh>
    <rPh sb="13" eb="15">
      <t>コウジョウ</t>
    </rPh>
    <rPh sb="16" eb="18">
      <t>サッキン</t>
    </rPh>
    <rPh sb="18" eb="20">
      <t>カコウ</t>
    </rPh>
    <rPh sb="20" eb="21">
      <t>トウ</t>
    </rPh>
    <phoneticPr fontId="4"/>
  </si>
  <si>
    <t>境港市</t>
    <phoneticPr fontId="4"/>
  </si>
  <si>
    <t>竹内団地</t>
    <phoneticPr fontId="4"/>
  </si>
  <si>
    <t>株式会社 平設計</t>
    <rPh sb="0" eb="2">
      <t>カブシキ</t>
    </rPh>
    <rPh sb="2" eb="4">
      <t>カイシャ</t>
    </rPh>
    <rPh sb="5" eb="6">
      <t>タイラ</t>
    </rPh>
    <rPh sb="6" eb="8">
      <t>セッケイ</t>
    </rPh>
    <phoneticPr fontId="4"/>
  </si>
  <si>
    <t>べた</t>
    <phoneticPr fontId="4"/>
  </si>
  <si>
    <t>2m</t>
    <phoneticPr fontId="4"/>
  </si>
  <si>
    <t>ｼﾙﾄ</t>
    <phoneticPr fontId="4"/>
  </si>
  <si>
    <t>10m</t>
    <phoneticPr fontId="4"/>
  </si>
  <si>
    <t>以前設計した佐藤鋼材の同敷地内。</t>
    <rPh sb="0" eb="2">
      <t>イゼン</t>
    </rPh>
    <rPh sb="2" eb="4">
      <t>セッケイ</t>
    </rPh>
    <rPh sb="6" eb="8">
      <t>サトウ</t>
    </rPh>
    <rPh sb="8" eb="10">
      <t>コウザイ</t>
    </rPh>
    <rPh sb="11" eb="12">
      <t>ドウ</t>
    </rPh>
    <rPh sb="12" eb="14">
      <t>シキチ</t>
    </rPh>
    <rPh sb="14" eb="15">
      <t>ナイ</t>
    </rPh>
    <phoneticPr fontId="4"/>
  </si>
  <si>
    <t>1m</t>
    <phoneticPr fontId="4"/>
  </si>
  <si>
    <t>3m</t>
    <phoneticPr fontId="4"/>
  </si>
  <si>
    <t>有限会社 大塚設計</t>
    <rPh sb="0" eb="2">
      <t>ユウゲン</t>
    </rPh>
    <rPh sb="2" eb="4">
      <t>カイシャ</t>
    </rPh>
    <rPh sb="5" eb="7">
      <t>オオツカ</t>
    </rPh>
    <rPh sb="7" eb="9">
      <t>セッケイ</t>
    </rPh>
    <phoneticPr fontId="4"/>
  </si>
  <si>
    <t>有限会社 大塚設計</t>
    <phoneticPr fontId="4"/>
  </si>
  <si>
    <t>ユウゲンガイシャ オオツカセッケイ</t>
    <phoneticPr fontId="4"/>
  </si>
  <si>
    <t>ビューローベリタスジャパン株式会社(愛知)</t>
    <rPh sb="18" eb="20">
      <t>アイチ</t>
    </rPh>
    <phoneticPr fontId="4"/>
  </si>
  <si>
    <t>基礎までﾀｹｳﾁ建設で請ける予定。根巻柱脚。看板下地盤改良あり。</t>
    <rPh sb="22" eb="24">
      <t>カンバン</t>
    </rPh>
    <rPh sb="24" eb="25">
      <t>シタ</t>
    </rPh>
    <rPh sb="25" eb="27">
      <t>ジバン</t>
    </rPh>
    <rPh sb="27" eb="29">
      <t>カイリョウ</t>
    </rPh>
    <phoneticPr fontId="4"/>
  </si>
  <si>
    <t>1m</t>
    <phoneticPr fontId="4"/>
  </si>
  <si>
    <t>3m</t>
    <phoneticPr fontId="4"/>
  </si>
  <si>
    <t>6m</t>
    <phoneticPr fontId="4"/>
  </si>
  <si>
    <t>ｼﾙﾄ</t>
    <phoneticPr fontId="4"/>
  </si>
  <si>
    <t>ｼﾙﾄ</t>
    <phoneticPr fontId="4"/>
  </si>
  <si>
    <t>ｼﾙﾄ</t>
    <phoneticPr fontId="4"/>
  </si>
  <si>
    <t>1m</t>
    <phoneticPr fontId="4"/>
  </si>
  <si>
    <t>0.8,1.3</t>
    <phoneticPr fontId="4"/>
  </si>
  <si>
    <t>10,20</t>
    <phoneticPr fontId="4"/>
  </si>
  <si>
    <t>シルト質中砂</t>
    <rPh sb="3" eb="4">
      <t>シツ</t>
    </rPh>
    <rPh sb="4" eb="5">
      <t>チュウ</t>
    </rPh>
    <rPh sb="5" eb="6">
      <t>サ</t>
    </rPh>
    <phoneticPr fontId="4"/>
  </si>
  <si>
    <t>シルト質中砂</t>
    <rPh sb="3" eb="6">
      <t>シツチュウサ</t>
    </rPh>
    <phoneticPr fontId="4"/>
  </si>
  <si>
    <t>粗中砂</t>
    <rPh sb="0" eb="1">
      <t>ソ</t>
    </rPh>
    <rPh sb="1" eb="2">
      <t>チュウ</t>
    </rPh>
    <rPh sb="2" eb="3">
      <t>サ</t>
    </rPh>
    <phoneticPr fontId="4"/>
  </si>
  <si>
    <t>ビューローベリタスジャパン株式会社(御茶ノ水)</t>
    <phoneticPr fontId="4"/>
  </si>
  <si>
    <t>-</t>
    <phoneticPr fontId="4"/>
  </si>
  <si>
    <t>2m</t>
    <phoneticPr fontId="4"/>
  </si>
  <si>
    <t>3m</t>
    <phoneticPr fontId="4"/>
  </si>
  <si>
    <t>○</t>
    <phoneticPr fontId="4"/>
  </si>
  <si>
    <t>3</t>
    <phoneticPr fontId="4"/>
  </si>
  <si>
    <t>既存建物と近接。
鉄骨重量:RF(大屋根)、2F(デッキ)があり。RF(大屋根)のみ記載。その他設計資料4/26レビュー参照。</t>
    <rPh sb="0" eb="2">
      <t>キソン</t>
    </rPh>
    <rPh sb="2" eb="4">
      <t>タテモノ</t>
    </rPh>
    <rPh sb="5" eb="7">
      <t>キンセツ</t>
    </rPh>
    <rPh sb="17" eb="18">
      <t>オオ</t>
    </rPh>
    <rPh sb="18" eb="20">
      <t>ヤネ</t>
    </rPh>
    <rPh sb="36" eb="37">
      <t>オオ</t>
    </rPh>
    <rPh sb="37" eb="39">
      <t>ヤネ</t>
    </rPh>
    <phoneticPr fontId="4"/>
  </si>
  <si>
    <t>鉄骨重量:RF折半、折版(太P有)、デッキがあり。RF折半のみ記載。その他設計資料3/28レビュー参照。</t>
    <rPh sb="0" eb="2">
      <t>テッコツ</t>
    </rPh>
    <rPh sb="2" eb="4">
      <t>ジュウリョウ</t>
    </rPh>
    <rPh sb="7" eb="9">
      <t>セッパン</t>
    </rPh>
    <rPh sb="10" eb="12">
      <t>オリバン</t>
    </rPh>
    <rPh sb="13" eb="14">
      <t>フトシ</t>
    </rPh>
    <rPh sb="15" eb="16">
      <t>ユウ</t>
    </rPh>
    <rPh sb="27" eb="29">
      <t>セッパン</t>
    </rPh>
    <rPh sb="31" eb="33">
      <t>キサイ</t>
    </rPh>
    <rPh sb="36" eb="37">
      <t>タ</t>
    </rPh>
    <rPh sb="37" eb="39">
      <t>セッケイ</t>
    </rPh>
    <rPh sb="39" eb="41">
      <t>シリョウ</t>
    </rPh>
    <rPh sb="49" eb="51">
      <t>サンショウ</t>
    </rPh>
    <phoneticPr fontId="4"/>
  </si>
  <si>
    <t>財団法人 日本建築センター</t>
    <phoneticPr fontId="4"/>
  </si>
  <si>
    <t>-</t>
    <phoneticPr fontId="4"/>
  </si>
  <si>
    <t>-</t>
    <phoneticPr fontId="4"/>
  </si>
  <si>
    <t>5m</t>
    <phoneticPr fontId="4"/>
  </si>
  <si>
    <t>-</t>
    <phoneticPr fontId="4"/>
  </si>
  <si>
    <t>-</t>
    <phoneticPr fontId="4"/>
  </si>
  <si>
    <t>-</t>
    <phoneticPr fontId="4"/>
  </si>
  <si>
    <t>ｼﾙﾄ</t>
    <phoneticPr fontId="4"/>
  </si>
  <si>
    <t>4m</t>
    <phoneticPr fontId="4"/>
  </si>
  <si>
    <t>11m</t>
    <phoneticPr fontId="4"/>
  </si>
  <si>
    <t>10m</t>
    <phoneticPr fontId="4"/>
  </si>
  <si>
    <t>工場・空地</t>
    <rPh sb="0" eb="2">
      <t>コウジョウ</t>
    </rPh>
    <rPh sb="3" eb="5">
      <t>クウチ</t>
    </rPh>
    <phoneticPr fontId="4"/>
  </si>
  <si>
    <t>改良土</t>
    <rPh sb="0" eb="2">
      <t>カイリョウ</t>
    </rPh>
    <rPh sb="2" eb="3">
      <t>ド</t>
    </rPh>
    <phoneticPr fontId="4"/>
  </si>
  <si>
    <t>-</t>
    <phoneticPr fontId="4"/>
  </si>
  <si>
    <t>工藤組 新社屋</t>
    <rPh sb="0" eb="2">
      <t>クドウ</t>
    </rPh>
    <rPh sb="2" eb="3">
      <t>クミ</t>
    </rPh>
    <rPh sb="4" eb="5">
      <t>シン</t>
    </rPh>
    <rPh sb="5" eb="7">
      <t>シャオク</t>
    </rPh>
    <phoneticPr fontId="4"/>
  </si>
  <si>
    <t>上北郡</t>
    <rPh sb="0" eb="1">
      <t>ウエ</t>
    </rPh>
    <rPh sb="1" eb="2">
      <t>キタ</t>
    </rPh>
    <rPh sb="2" eb="3">
      <t>グン</t>
    </rPh>
    <phoneticPr fontId="4"/>
  </si>
  <si>
    <t>七戸町</t>
    <rPh sb="0" eb="1">
      <t>ナナ</t>
    </rPh>
    <rPh sb="1" eb="2">
      <t>ト</t>
    </rPh>
    <rPh sb="2" eb="3">
      <t>マチ</t>
    </rPh>
    <phoneticPr fontId="4"/>
  </si>
  <si>
    <t>1m</t>
    <phoneticPr fontId="4"/>
  </si>
  <si>
    <t>5m</t>
    <phoneticPr fontId="4"/>
  </si>
  <si>
    <t>2m</t>
    <phoneticPr fontId="4"/>
  </si>
  <si>
    <t>株式会社カナエ 新包装技術開発ｾﾝﾀｰ</t>
    <rPh sb="8" eb="9">
      <t>シン</t>
    </rPh>
    <rPh sb="9" eb="11">
      <t>ホウソウ</t>
    </rPh>
    <rPh sb="11" eb="13">
      <t>ギジュツ</t>
    </rPh>
    <rPh sb="13" eb="15">
      <t>カイハツ</t>
    </rPh>
    <phoneticPr fontId="4"/>
  </si>
  <si>
    <t>兵庫県</t>
    <phoneticPr fontId="4"/>
  </si>
  <si>
    <t>中央区港島南</t>
    <rPh sb="0" eb="3">
      <t>チュウオウク</t>
    </rPh>
    <rPh sb="3" eb="4">
      <t>ミナト</t>
    </rPh>
    <rPh sb="4" eb="5">
      <t>シマ</t>
    </rPh>
    <rPh sb="5" eb="6">
      <t>ミナミ</t>
    </rPh>
    <phoneticPr fontId="4"/>
  </si>
  <si>
    <t>2m</t>
    <phoneticPr fontId="4"/>
  </si>
  <si>
    <t>4m</t>
    <phoneticPr fontId="4"/>
  </si>
  <si>
    <t>栃木県畜産公社新食肉ｾﾝﾀｰ</t>
    <rPh sb="0" eb="3">
      <t>トチギケン</t>
    </rPh>
    <rPh sb="3" eb="5">
      <t>チクサン</t>
    </rPh>
    <rPh sb="5" eb="7">
      <t>コウシャ</t>
    </rPh>
    <rPh sb="7" eb="8">
      <t>シン</t>
    </rPh>
    <rPh sb="8" eb="10">
      <t>ショクニク</t>
    </rPh>
    <phoneticPr fontId="4"/>
  </si>
  <si>
    <t>栃木県</t>
    <phoneticPr fontId="4"/>
  </si>
  <si>
    <t>芳賀市</t>
    <rPh sb="0" eb="2">
      <t>ハガ</t>
    </rPh>
    <rPh sb="2" eb="3">
      <t>シ</t>
    </rPh>
    <phoneticPr fontId="4"/>
  </si>
  <si>
    <t>芳賀郡稲毛田地</t>
    <rPh sb="0" eb="2">
      <t>ハガ</t>
    </rPh>
    <rPh sb="2" eb="3">
      <t>グン</t>
    </rPh>
    <rPh sb="3" eb="5">
      <t>イナゲ</t>
    </rPh>
    <rPh sb="5" eb="6">
      <t>タ</t>
    </rPh>
    <rPh sb="6" eb="7">
      <t>チ</t>
    </rPh>
    <phoneticPr fontId="4"/>
  </si>
  <si>
    <t>受水槽</t>
    <rPh sb="0" eb="1">
      <t>ウ</t>
    </rPh>
    <rPh sb="1" eb="2">
      <t>スイ</t>
    </rPh>
    <rPh sb="2" eb="3">
      <t>ソウ</t>
    </rPh>
    <phoneticPr fontId="4"/>
  </si>
  <si>
    <t>株式会社 JA設計</t>
    <rPh sb="0" eb="2">
      <t>カブシキ</t>
    </rPh>
    <rPh sb="2" eb="4">
      <t>カイシャ</t>
    </rPh>
    <rPh sb="7" eb="9">
      <t>セッケイ</t>
    </rPh>
    <phoneticPr fontId="4"/>
  </si>
  <si>
    <t>株式会社 JA設計</t>
    <phoneticPr fontId="4"/>
  </si>
  <si>
    <t>ｼﾙﾄ</t>
    <phoneticPr fontId="4"/>
  </si>
  <si>
    <t>ﾛｰﾑ</t>
    <phoneticPr fontId="4"/>
  </si>
  <si>
    <t>受水槽下部 地盤改良</t>
    <rPh sb="0" eb="1">
      <t>ジュ</t>
    </rPh>
    <rPh sb="1" eb="2">
      <t>スイ</t>
    </rPh>
    <rPh sb="2" eb="3">
      <t>ソウ</t>
    </rPh>
    <rPh sb="3" eb="5">
      <t>カブ</t>
    </rPh>
    <rPh sb="6" eb="8">
      <t>ジバン</t>
    </rPh>
    <rPh sb="8" eb="10">
      <t>カイリョウ</t>
    </rPh>
    <phoneticPr fontId="4"/>
  </si>
  <si>
    <t>しおさい公園レストラン計画</t>
    <rPh sb="4" eb="6">
      <t>コウエン</t>
    </rPh>
    <rPh sb="11" eb="13">
      <t>ケイカク</t>
    </rPh>
    <phoneticPr fontId="4"/>
  </si>
  <si>
    <t>兵庫県</t>
    <phoneticPr fontId="4"/>
  </si>
  <si>
    <t>中央区神戸港</t>
    <rPh sb="0" eb="3">
      <t>チュウオウク</t>
    </rPh>
    <rPh sb="3" eb="5">
      <t>コウベ</t>
    </rPh>
    <rPh sb="5" eb="6">
      <t>ミナト</t>
    </rPh>
    <phoneticPr fontId="4"/>
  </si>
  <si>
    <t>ﾚｽﾄﾗﾝ</t>
    <phoneticPr fontId="4"/>
  </si>
  <si>
    <t>株式会社 慧建築事務所</t>
    <rPh sb="0" eb="2">
      <t>カブシキ</t>
    </rPh>
    <rPh sb="2" eb="4">
      <t>カイシャ</t>
    </rPh>
    <rPh sb="5" eb="6">
      <t>ケイ</t>
    </rPh>
    <rPh sb="6" eb="8">
      <t>ケンチク</t>
    </rPh>
    <rPh sb="8" eb="10">
      <t>ジム</t>
    </rPh>
    <rPh sb="10" eb="11">
      <t>ショ</t>
    </rPh>
    <phoneticPr fontId="4"/>
  </si>
  <si>
    <t>株式会社 慧建築事務所</t>
    <phoneticPr fontId="4"/>
  </si>
  <si>
    <t>カブシキガイシャ ケイケンチクジムショ</t>
    <phoneticPr fontId="4"/>
  </si>
  <si>
    <t>建物下 既存ケーソンあり</t>
    <rPh sb="0" eb="2">
      <t>タテモノ</t>
    </rPh>
    <rPh sb="2" eb="3">
      <t>シタ</t>
    </rPh>
    <rPh sb="4" eb="6">
      <t>キソン</t>
    </rPh>
    <phoneticPr fontId="4"/>
  </si>
  <si>
    <t>ﾌｧｯｼｮﾝｾﾝﾀｰしまむら保木間</t>
    <rPh sb="14" eb="15">
      <t>ホ</t>
    </rPh>
    <rPh sb="15" eb="16">
      <t>キ</t>
    </rPh>
    <rPh sb="16" eb="17">
      <t>マ</t>
    </rPh>
    <phoneticPr fontId="4"/>
  </si>
  <si>
    <t>足立区</t>
    <phoneticPr fontId="4"/>
  </si>
  <si>
    <t>保木間</t>
    <rPh sb="0" eb="1">
      <t>ホ</t>
    </rPh>
    <rPh sb="1" eb="2">
      <t>キ</t>
    </rPh>
    <rPh sb="2" eb="3">
      <t>マ</t>
    </rPh>
    <phoneticPr fontId="4"/>
  </si>
  <si>
    <t>2</t>
    <phoneticPr fontId="4"/>
  </si>
  <si>
    <t>4m</t>
    <phoneticPr fontId="4"/>
  </si>
  <si>
    <t>ｼﾙﾄ</t>
    <phoneticPr fontId="4"/>
  </si>
  <si>
    <t>9m</t>
    <phoneticPr fontId="4"/>
  </si>
  <si>
    <t>事務所</t>
    <phoneticPr fontId="4"/>
  </si>
  <si>
    <t>日揮 株式会社</t>
    <rPh sb="0" eb="2">
      <t>ニッキ</t>
    </rPh>
    <rPh sb="3" eb="5">
      <t>カブシキ</t>
    </rPh>
    <rPh sb="5" eb="7">
      <t>カイシャ</t>
    </rPh>
    <phoneticPr fontId="4"/>
  </si>
  <si>
    <t>日揮 株式会社</t>
    <phoneticPr fontId="4"/>
  </si>
  <si>
    <t>ニッキ カブシキガイシャ</t>
    <phoneticPr fontId="4"/>
  </si>
  <si>
    <t>DS京都</t>
    <phoneticPr fontId="4"/>
  </si>
  <si>
    <t>プジョーシトロエン京都</t>
    <phoneticPr fontId="4"/>
  </si>
  <si>
    <t>シマヤフーズ工場</t>
    <rPh sb="6" eb="8">
      <t>コウジョウ</t>
    </rPh>
    <phoneticPr fontId="4"/>
  </si>
  <si>
    <t>津島市</t>
    <rPh sb="0" eb="3">
      <t>ツシマシ</t>
    </rPh>
    <phoneticPr fontId="4"/>
  </si>
  <si>
    <t>神尾町蛤町</t>
    <rPh sb="0" eb="2">
      <t>カミオ</t>
    </rPh>
    <rPh sb="2" eb="3">
      <t>マチ</t>
    </rPh>
    <rPh sb="3" eb="4">
      <t>ハマグリ</t>
    </rPh>
    <rPh sb="4" eb="5">
      <t>マチ</t>
    </rPh>
    <phoneticPr fontId="4"/>
  </si>
  <si>
    <t>株式会社 三興設計事務所</t>
    <rPh sb="0" eb="2">
      <t>カブシキ</t>
    </rPh>
    <rPh sb="2" eb="4">
      <t>カイシャ</t>
    </rPh>
    <rPh sb="5" eb="6">
      <t>サン</t>
    </rPh>
    <rPh sb="6" eb="7">
      <t>キョウ</t>
    </rPh>
    <rPh sb="7" eb="9">
      <t>セッケイ</t>
    </rPh>
    <rPh sb="9" eb="11">
      <t>ジム</t>
    </rPh>
    <rPh sb="11" eb="12">
      <t>ショ</t>
    </rPh>
    <phoneticPr fontId="4"/>
  </si>
  <si>
    <t>株式会社 三興設計事務所</t>
    <phoneticPr fontId="4"/>
  </si>
  <si>
    <t>カブシキガイシャ サンコウセッケイジムショ</t>
    <phoneticPr fontId="4"/>
  </si>
  <si>
    <t>新日鉄住金ｴﾝｼﾞﾆｱﾘﾝｸﾞ</t>
    <phoneticPr fontId="4"/>
  </si>
  <si>
    <t>丸基礎</t>
    <rPh sb="0" eb="1">
      <t>マル</t>
    </rPh>
    <rPh sb="1" eb="3">
      <t>キソ</t>
    </rPh>
    <phoneticPr fontId="4"/>
  </si>
  <si>
    <t>11m</t>
    <phoneticPr fontId="4"/>
  </si>
  <si>
    <t>ｼﾙﾄ</t>
    <phoneticPr fontId="4"/>
  </si>
  <si>
    <t>6m</t>
    <phoneticPr fontId="4"/>
  </si>
  <si>
    <t>3m</t>
    <phoneticPr fontId="4"/>
  </si>
  <si>
    <t>4m</t>
    <phoneticPr fontId="4"/>
  </si>
  <si>
    <t>ｼﾙﾄ</t>
    <phoneticPr fontId="4"/>
  </si>
  <si>
    <t>○</t>
    <phoneticPr fontId="4"/>
  </si>
  <si>
    <t>京都府</t>
    <phoneticPr fontId="4"/>
  </si>
  <si>
    <t>京都市</t>
    <phoneticPr fontId="4"/>
  </si>
  <si>
    <t>4棟。WT,防火水槽改良あり</t>
    <rPh sb="1" eb="2">
      <t>トウ</t>
    </rPh>
    <rPh sb="6" eb="8">
      <t>ボウカ</t>
    </rPh>
    <rPh sb="8" eb="10">
      <t>スイソウ</t>
    </rPh>
    <rPh sb="10" eb="12">
      <t>カイリョウ</t>
    </rPh>
    <phoneticPr fontId="4"/>
  </si>
  <si>
    <t>畑・店舗</t>
    <rPh sb="0" eb="1">
      <t>ハタケ</t>
    </rPh>
    <rPh sb="2" eb="4">
      <t>テンポ</t>
    </rPh>
    <phoneticPr fontId="4"/>
  </si>
  <si>
    <t>株式会社 大建設計</t>
    <rPh sb="0" eb="4">
      <t>カブシキガイシャ</t>
    </rPh>
    <rPh sb="5" eb="7">
      <t>ダイケン</t>
    </rPh>
    <rPh sb="7" eb="9">
      <t>セッケイ</t>
    </rPh>
    <phoneticPr fontId="4"/>
  </si>
  <si>
    <t>株式会社 大建設計</t>
    <phoneticPr fontId="4"/>
  </si>
  <si>
    <t>カブシキガイシャ ダイケンセッケイ</t>
    <phoneticPr fontId="4"/>
  </si>
  <si>
    <t>ｼﾙﾄ</t>
    <phoneticPr fontId="4"/>
  </si>
  <si>
    <t>○</t>
    <phoneticPr fontId="4"/>
  </si>
  <si>
    <t>Flmin</t>
    <phoneticPr fontId="4"/>
  </si>
  <si>
    <t>浦幌デイリーファーム</t>
    <rPh sb="0" eb="1">
      <t>ウラ</t>
    </rPh>
    <rPh sb="1" eb="2">
      <t>ホロ</t>
    </rPh>
    <phoneticPr fontId="4"/>
  </si>
  <si>
    <t>十勝郡</t>
    <rPh sb="0" eb="2">
      <t>トカチ</t>
    </rPh>
    <rPh sb="2" eb="3">
      <t>グン</t>
    </rPh>
    <phoneticPr fontId="4"/>
  </si>
  <si>
    <t>浦幌町</t>
    <rPh sb="0" eb="2">
      <t>ウラホロ</t>
    </rPh>
    <rPh sb="2" eb="3">
      <t>マチ</t>
    </rPh>
    <phoneticPr fontId="4"/>
  </si>
  <si>
    <t>1m</t>
    <phoneticPr fontId="4"/>
  </si>
  <si>
    <t>火山灰質粘性土</t>
    <rPh sb="0" eb="2">
      <t>カザン</t>
    </rPh>
    <rPh sb="2" eb="3">
      <t>ハイ</t>
    </rPh>
    <rPh sb="3" eb="4">
      <t>シツ</t>
    </rPh>
    <rPh sb="4" eb="6">
      <t>ネンセイ</t>
    </rPh>
    <rPh sb="6" eb="7">
      <t>ド</t>
    </rPh>
    <phoneticPr fontId="4"/>
  </si>
  <si>
    <t>180125-1</t>
    <phoneticPr fontId="4"/>
  </si>
  <si>
    <t>冷凍庫(39.6kN/㎡)、自動ラック倉庫（13.2kN/㎡）あり</t>
    <rPh sb="0" eb="3">
      <t>レイトウコ</t>
    </rPh>
    <rPh sb="14" eb="16">
      <t>ジドウ</t>
    </rPh>
    <rPh sb="19" eb="21">
      <t>ソウコ</t>
    </rPh>
    <phoneticPr fontId="4"/>
  </si>
  <si>
    <t>株式会社 丹羽設計事務所</t>
    <phoneticPr fontId="4"/>
  </si>
  <si>
    <t>カブシキガイシャ ニワセッケイジムショ</t>
    <phoneticPr fontId="4"/>
  </si>
  <si>
    <t>有限会社 フォルムデザイン</t>
    <rPh sb="0" eb="2">
      <t>ユウゲン</t>
    </rPh>
    <rPh sb="2" eb="4">
      <t>カイシャ</t>
    </rPh>
    <phoneticPr fontId="4"/>
  </si>
  <si>
    <t>有限会社 フォルムデザイン</t>
    <phoneticPr fontId="4"/>
  </si>
  <si>
    <t>ユウゲンガイシャ フォルムデザイン</t>
    <phoneticPr fontId="4"/>
  </si>
  <si>
    <t>株式会社 高橋建築設計事務所</t>
    <phoneticPr fontId="4"/>
  </si>
  <si>
    <t>カブシキガイシャ タカハシケンチクセッケイジムショ</t>
    <phoneticPr fontId="4"/>
  </si>
  <si>
    <t>カブシキガイシャ モリグミ</t>
    <phoneticPr fontId="4"/>
  </si>
  <si>
    <t>戸石建築設計事務所</t>
    <phoneticPr fontId="4"/>
  </si>
  <si>
    <t>トイシケンチクセッケイジムショ</t>
    <phoneticPr fontId="4"/>
  </si>
  <si>
    <t>株式会社 JA設計</t>
    <rPh sb="0" eb="2">
      <t>カブシキ</t>
    </rPh>
    <rPh sb="2" eb="4">
      <t>カイシャ</t>
    </rPh>
    <phoneticPr fontId="4"/>
  </si>
  <si>
    <t>カブシキガイシャ JAセッケイ</t>
    <phoneticPr fontId="4"/>
  </si>
  <si>
    <t>株式会社 JA設計</t>
    <rPh sb="0" eb="2">
      <t>カブシキ</t>
    </rPh>
    <rPh sb="2" eb="4">
      <t>ガイシャ</t>
    </rPh>
    <rPh sb="7" eb="9">
      <t>セッケイ</t>
    </rPh>
    <phoneticPr fontId="4"/>
  </si>
  <si>
    <t>野呂建築設計事務所</t>
    <phoneticPr fontId="4"/>
  </si>
  <si>
    <t>ユーイック UHEC 株式会社 都市居住評価センター</t>
    <phoneticPr fontId="4"/>
  </si>
  <si>
    <t>北斗市</t>
    <rPh sb="0" eb="2">
      <t>ホクト</t>
    </rPh>
    <rPh sb="2" eb="3">
      <t>シ</t>
    </rPh>
    <phoneticPr fontId="4"/>
  </si>
  <si>
    <t>七重浜</t>
    <rPh sb="0" eb="2">
      <t>ナナエ</t>
    </rPh>
    <rPh sb="2" eb="3">
      <t>ハマ</t>
    </rPh>
    <phoneticPr fontId="4"/>
  </si>
  <si>
    <t>倉庫</t>
    <phoneticPr fontId="4"/>
  </si>
  <si>
    <t>4m</t>
    <phoneticPr fontId="4"/>
  </si>
  <si>
    <t>静岡県</t>
    <rPh sb="0" eb="3">
      <t>シズオカケン</t>
    </rPh>
    <phoneticPr fontId="4"/>
  </si>
  <si>
    <t>菊川市</t>
    <rPh sb="0" eb="2">
      <t>キクカワ</t>
    </rPh>
    <rPh sb="2" eb="3">
      <t>シ</t>
    </rPh>
    <phoneticPr fontId="4"/>
  </si>
  <si>
    <t>堂山新田字須揚揚</t>
    <rPh sb="0" eb="1">
      <t>ドウ</t>
    </rPh>
    <rPh sb="1" eb="2">
      <t>ヤマ</t>
    </rPh>
    <rPh sb="2" eb="4">
      <t>ニッタ</t>
    </rPh>
    <rPh sb="4" eb="5">
      <t>アザ</t>
    </rPh>
    <rPh sb="5" eb="6">
      <t>ス</t>
    </rPh>
    <rPh sb="6" eb="7">
      <t>ア</t>
    </rPh>
    <rPh sb="7" eb="8">
      <t>ア</t>
    </rPh>
    <phoneticPr fontId="4"/>
  </si>
  <si>
    <t>株式会社 マルキ松田組</t>
    <rPh sb="0" eb="2">
      <t>カブシキ</t>
    </rPh>
    <rPh sb="2" eb="4">
      <t>カイシャ</t>
    </rPh>
    <rPh sb="8" eb="9">
      <t>マツ</t>
    </rPh>
    <rPh sb="9" eb="10">
      <t>タ</t>
    </rPh>
    <rPh sb="10" eb="11">
      <t>クミ</t>
    </rPh>
    <phoneticPr fontId="4"/>
  </si>
  <si>
    <t>ノロケンチクセッケイジムショ</t>
    <phoneticPr fontId="4"/>
  </si>
  <si>
    <t>株式会社 マルキ松田組</t>
    <phoneticPr fontId="4"/>
  </si>
  <si>
    <t>カブシキガイシャ マルキマツダグミ</t>
    <phoneticPr fontId="4"/>
  </si>
  <si>
    <t>10m</t>
    <phoneticPr fontId="4"/>
  </si>
  <si>
    <t>ｼﾙﾄ</t>
    <phoneticPr fontId="4"/>
  </si>
  <si>
    <t>6m</t>
    <phoneticPr fontId="4"/>
  </si>
  <si>
    <t>12m</t>
    <phoneticPr fontId="4"/>
  </si>
  <si>
    <t>山梨県</t>
    <rPh sb="0" eb="3">
      <t>ヤマナシケン</t>
    </rPh>
    <phoneticPr fontId="4"/>
  </si>
  <si>
    <t>向町</t>
    <rPh sb="0" eb="1">
      <t>ムカイ</t>
    </rPh>
    <rPh sb="1" eb="2">
      <t>マチ</t>
    </rPh>
    <phoneticPr fontId="4"/>
  </si>
  <si>
    <t>1m</t>
    <phoneticPr fontId="4"/>
  </si>
  <si>
    <t>5m</t>
    <phoneticPr fontId="4"/>
  </si>
  <si>
    <t>3m</t>
    <phoneticPr fontId="4"/>
  </si>
  <si>
    <t>ｾﾞﾈｺﾝは㈱七保</t>
    <phoneticPr fontId="4"/>
  </si>
  <si>
    <t>港区油屋町</t>
    <rPh sb="0" eb="2">
      <t>ミナトク</t>
    </rPh>
    <rPh sb="2" eb="3">
      <t>アブラ</t>
    </rPh>
    <rPh sb="3" eb="4">
      <t>ヤ</t>
    </rPh>
    <rPh sb="4" eb="5">
      <t>マチ</t>
    </rPh>
    <phoneticPr fontId="4"/>
  </si>
  <si>
    <t>2m</t>
    <phoneticPr fontId="4"/>
  </si>
  <si>
    <t>1m</t>
    <phoneticPr fontId="4"/>
  </si>
  <si>
    <t>ｼﾙﾄ</t>
    <phoneticPr fontId="4"/>
  </si>
  <si>
    <t>福岡県</t>
    <phoneticPr fontId="4"/>
  </si>
  <si>
    <t>柳川市</t>
    <rPh sb="0" eb="3">
      <t>ヤナガワシ</t>
    </rPh>
    <phoneticPr fontId="4"/>
  </si>
  <si>
    <t>西蒲池</t>
    <rPh sb="0" eb="1">
      <t>ニシ</t>
    </rPh>
    <rPh sb="1" eb="3">
      <t>ガマイケ</t>
    </rPh>
    <phoneticPr fontId="4"/>
  </si>
  <si>
    <t>株式会社 稲永建築設計</t>
    <rPh sb="0" eb="4">
      <t>カブシキガイシャ</t>
    </rPh>
    <phoneticPr fontId="4"/>
  </si>
  <si>
    <t>株式会社 稲永建築設計</t>
    <phoneticPr fontId="4"/>
  </si>
  <si>
    <t>カブシキガイシャ イナナガケンチクセッケイ</t>
    <phoneticPr fontId="4"/>
  </si>
  <si>
    <t>ｼﾙﾄ</t>
    <phoneticPr fontId="4"/>
  </si>
  <si>
    <t>1m</t>
    <phoneticPr fontId="4"/>
  </si>
  <si>
    <t>1m</t>
    <phoneticPr fontId="4"/>
  </si>
  <si>
    <t>-</t>
    <phoneticPr fontId="4"/>
  </si>
  <si>
    <t>スギ薬局 江戸川瑞江</t>
    <rPh sb="2" eb="4">
      <t>ヤッキョク</t>
    </rPh>
    <rPh sb="5" eb="8">
      <t>エドガワ</t>
    </rPh>
    <rPh sb="8" eb="9">
      <t>ズイ</t>
    </rPh>
    <rPh sb="9" eb="10">
      <t>エ</t>
    </rPh>
    <phoneticPr fontId="4"/>
  </si>
  <si>
    <t>西瑞江</t>
    <rPh sb="0" eb="1">
      <t>ニシ</t>
    </rPh>
    <phoneticPr fontId="4"/>
  </si>
  <si>
    <t>6m</t>
    <phoneticPr fontId="4"/>
  </si>
  <si>
    <t>高尾</t>
    <rPh sb="0" eb="2">
      <t>タカオ</t>
    </rPh>
    <phoneticPr fontId="4"/>
  </si>
  <si>
    <t>本郷南</t>
    <rPh sb="0" eb="2">
      <t>ホンゴウ</t>
    </rPh>
    <rPh sb="2" eb="3">
      <t>ミナミ</t>
    </rPh>
    <phoneticPr fontId="4"/>
  </si>
  <si>
    <t>日本ｼｰﾚｰｸ㈱東部支店 事務所棟</t>
    <rPh sb="0" eb="2">
      <t>ニホン</t>
    </rPh>
    <rPh sb="8" eb="10">
      <t>トウブ</t>
    </rPh>
    <rPh sb="10" eb="12">
      <t>シテン</t>
    </rPh>
    <rPh sb="13" eb="15">
      <t>ジム</t>
    </rPh>
    <rPh sb="15" eb="16">
      <t>ショ</t>
    </rPh>
    <rPh sb="16" eb="17">
      <t>トウ</t>
    </rPh>
    <phoneticPr fontId="4"/>
  </si>
  <si>
    <t>2</t>
    <phoneticPr fontId="4"/>
  </si>
  <si>
    <t>180145-1</t>
    <phoneticPr fontId="4"/>
  </si>
  <si>
    <t>日本ｼｰﾚｰｸ㈱東部支店 検査室棟</t>
    <rPh sb="0" eb="2">
      <t>ニホン</t>
    </rPh>
    <rPh sb="8" eb="10">
      <t>トウブ</t>
    </rPh>
    <rPh sb="10" eb="12">
      <t>シテン</t>
    </rPh>
    <rPh sb="13" eb="16">
      <t>ケンサシツ</t>
    </rPh>
    <rPh sb="16" eb="17">
      <t>トウ</t>
    </rPh>
    <phoneticPr fontId="4"/>
  </si>
  <si>
    <t>中外テクノス 株式会社</t>
    <rPh sb="0" eb="2">
      <t>チュウガイ</t>
    </rPh>
    <rPh sb="7" eb="9">
      <t>カブシキ</t>
    </rPh>
    <rPh sb="9" eb="11">
      <t>カイシャ</t>
    </rPh>
    <phoneticPr fontId="4"/>
  </si>
  <si>
    <t>有限会社 池崎設計</t>
    <rPh sb="0" eb="2">
      <t>ユウゲン</t>
    </rPh>
    <rPh sb="2" eb="4">
      <t>カイシャ</t>
    </rPh>
    <rPh sb="5" eb="7">
      <t>イケザキ</t>
    </rPh>
    <rPh sb="7" eb="9">
      <t>セッケイ</t>
    </rPh>
    <phoneticPr fontId="4"/>
  </si>
  <si>
    <t>中外テクノス 株式会社</t>
    <phoneticPr fontId="4"/>
  </si>
  <si>
    <t>有限会社 池崎設計</t>
    <phoneticPr fontId="4"/>
  </si>
  <si>
    <t>チュウガイテクノス カブシキガイシャ</t>
    <phoneticPr fontId="4"/>
  </si>
  <si>
    <t>ユウゲンガイシャ イケザキセッケイ</t>
    <phoneticPr fontId="4"/>
  </si>
  <si>
    <t>9m</t>
    <phoneticPr fontId="4"/>
  </si>
  <si>
    <t>4m</t>
    <phoneticPr fontId="4"/>
  </si>
  <si>
    <t>事務所棟と検査室棟の2棟</t>
    <rPh sb="0" eb="2">
      <t>ジム</t>
    </rPh>
    <rPh sb="2" eb="3">
      <t>ショ</t>
    </rPh>
    <rPh sb="3" eb="4">
      <t>トウ</t>
    </rPh>
    <rPh sb="5" eb="8">
      <t>ケンサシツ</t>
    </rPh>
    <rPh sb="8" eb="9">
      <t>トウ</t>
    </rPh>
    <rPh sb="11" eb="12">
      <t>トウ</t>
    </rPh>
    <phoneticPr fontId="4"/>
  </si>
  <si>
    <t>-</t>
    <phoneticPr fontId="4"/>
  </si>
  <si>
    <t>東洋アイテック鳥取工場</t>
    <rPh sb="0" eb="2">
      <t>トウヨウ</t>
    </rPh>
    <rPh sb="7" eb="9">
      <t>トットリ</t>
    </rPh>
    <rPh sb="9" eb="11">
      <t>コウジョウ</t>
    </rPh>
    <phoneticPr fontId="4"/>
  </si>
  <si>
    <t>晩稲</t>
    <rPh sb="0" eb="1">
      <t>バン</t>
    </rPh>
    <rPh sb="1" eb="2">
      <t>イナ</t>
    </rPh>
    <phoneticPr fontId="4"/>
  </si>
  <si>
    <t>3m</t>
    <phoneticPr fontId="4"/>
  </si>
  <si>
    <t>ｼﾙﾄ</t>
    <phoneticPr fontId="4"/>
  </si>
  <si>
    <t>8m</t>
    <phoneticPr fontId="4"/>
  </si>
  <si>
    <t>3m</t>
    <phoneticPr fontId="4"/>
  </si>
  <si>
    <t>1.5tクレーン1基。
4号建築物。海に近い。</t>
    <rPh sb="9" eb="10">
      <t>キ</t>
    </rPh>
    <rPh sb="13" eb="14">
      <t>ゴウ</t>
    </rPh>
    <rPh sb="14" eb="17">
      <t>ケンチクブツ</t>
    </rPh>
    <rPh sb="18" eb="19">
      <t>ウミ</t>
    </rPh>
    <rPh sb="20" eb="21">
      <t>チカ</t>
    </rPh>
    <phoneticPr fontId="4"/>
  </si>
  <si>
    <t>上新電機 長田西</t>
    <rPh sb="0" eb="2">
      <t>ジョウシン</t>
    </rPh>
    <rPh sb="2" eb="4">
      <t>デンキ</t>
    </rPh>
    <rPh sb="5" eb="7">
      <t>ナガタ</t>
    </rPh>
    <rPh sb="7" eb="8">
      <t>ニシ</t>
    </rPh>
    <phoneticPr fontId="4"/>
  </si>
  <si>
    <t>東大阪市</t>
    <rPh sb="0" eb="1">
      <t>ヒガシ</t>
    </rPh>
    <rPh sb="1" eb="4">
      <t>オオサカシ</t>
    </rPh>
    <phoneticPr fontId="4"/>
  </si>
  <si>
    <t>長田西</t>
    <rPh sb="0" eb="2">
      <t>ナガタ</t>
    </rPh>
    <rPh sb="2" eb="3">
      <t>ニシ</t>
    </rPh>
    <phoneticPr fontId="4"/>
  </si>
  <si>
    <t>株式会社 日企設計</t>
    <rPh sb="0" eb="2">
      <t>カブシキ</t>
    </rPh>
    <rPh sb="2" eb="4">
      <t>カイシャ</t>
    </rPh>
    <rPh sb="5" eb="6">
      <t>ニチ</t>
    </rPh>
    <rPh sb="6" eb="7">
      <t>クワダ</t>
    </rPh>
    <rPh sb="7" eb="9">
      <t>セッケイ</t>
    </rPh>
    <phoneticPr fontId="4"/>
  </si>
  <si>
    <t>株式会社 日企設計</t>
    <phoneticPr fontId="4"/>
  </si>
  <si>
    <t>カブシキガイシャ ニチキセッケイ</t>
    <phoneticPr fontId="4"/>
  </si>
  <si>
    <t>1m</t>
    <phoneticPr fontId="4"/>
  </si>
  <si>
    <t>6m</t>
    <phoneticPr fontId="4"/>
  </si>
  <si>
    <t>5m</t>
    <phoneticPr fontId="4"/>
  </si>
  <si>
    <t>敷地内 GL+1000～-800の勾配あり
看板下地盤改良あり</t>
    <rPh sb="0" eb="2">
      <t>シキチ</t>
    </rPh>
    <rPh sb="2" eb="3">
      <t>ナイ</t>
    </rPh>
    <rPh sb="17" eb="19">
      <t>コウバイ</t>
    </rPh>
    <rPh sb="22" eb="24">
      <t>カンバン</t>
    </rPh>
    <rPh sb="24" eb="25">
      <t>シタ</t>
    </rPh>
    <rPh sb="25" eb="27">
      <t>ジバン</t>
    </rPh>
    <rPh sb="27" eb="29">
      <t>カイリョウ</t>
    </rPh>
    <phoneticPr fontId="4"/>
  </si>
  <si>
    <t>日本ERI 株式会社(千葉)</t>
    <rPh sb="11" eb="13">
      <t>チバ</t>
    </rPh>
    <phoneticPr fontId="4"/>
  </si>
  <si>
    <t>盛土</t>
    <phoneticPr fontId="4"/>
  </si>
  <si>
    <t>ｾﾞﾈｺﾝはｵﾉｺﾑ</t>
    <phoneticPr fontId="4"/>
  </si>
  <si>
    <t>180118-3</t>
  </si>
  <si>
    <t>U350 第2工場計画 ごま倉庫</t>
    <rPh sb="14" eb="16">
      <t>ソウコ</t>
    </rPh>
    <phoneticPr fontId="4"/>
  </si>
  <si>
    <t>有限会社 建築構造設計Ｕ＆Ｓ</t>
    <phoneticPr fontId="4"/>
  </si>
  <si>
    <t>ユウゲンガイシャ ケンチクコウゾウセッケイU&amp;S</t>
    <phoneticPr fontId="4"/>
  </si>
  <si>
    <t>既存建物への増築工事。建物内 500tプレス機は直接基礎。根巻柱脚。</t>
    <rPh sb="0" eb="2">
      <t>キソン</t>
    </rPh>
    <rPh sb="2" eb="4">
      <t>タテモノ</t>
    </rPh>
    <rPh sb="6" eb="8">
      <t>ゾウチク</t>
    </rPh>
    <rPh sb="8" eb="10">
      <t>コウジ</t>
    </rPh>
    <rPh sb="11" eb="13">
      <t>タテモノ</t>
    </rPh>
    <rPh sb="13" eb="14">
      <t>ナイ</t>
    </rPh>
    <rPh sb="22" eb="23">
      <t>キ</t>
    </rPh>
    <rPh sb="24" eb="26">
      <t>チョクセツ</t>
    </rPh>
    <rPh sb="26" eb="28">
      <t>キソ</t>
    </rPh>
    <rPh sb="29" eb="30">
      <t>ネ</t>
    </rPh>
    <rPh sb="30" eb="31">
      <t>マ</t>
    </rPh>
    <rPh sb="31" eb="32">
      <t>チュウ</t>
    </rPh>
    <rPh sb="32" eb="33">
      <t>キャク</t>
    </rPh>
    <phoneticPr fontId="4"/>
  </si>
  <si>
    <t>べた</t>
    <phoneticPr fontId="4"/>
  </si>
  <si>
    <t>3</t>
    <phoneticPr fontId="4"/>
  </si>
  <si>
    <t>事務所</t>
    <phoneticPr fontId="4"/>
  </si>
  <si>
    <t>検査室</t>
    <rPh sb="0" eb="3">
      <t>ケンサシツ</t>
    </rPh>
    <phoneticPr fontId="4"/>
  </si>
  <si>
    <t>-</t>
    <phoneticPr fontId="4"/>
  </si>
  <si>
    <t>2</t>
    <phoneticPr fontId="4"/>
  </si>
  <si>
    <t>荒川区</t>
    <rPh sb="0" eb="3">
      <t>アラカワク</t>
    </rPh>
    <phoneticPr fontId="4"/>
  </si>
  <si>
    <t>南千住</t>
    <rPh sb="0" eb="3">
      <t>ミナミセンジュ</t>
    </rPh>
    <phoneticPr fontId="4"/>
  </si>
  <si>
    <t>G-steps(荒川区PJ)</t>
    <rPh sb="8" eb="11">
      <t>アラカワク</t>
    </rPh>
    <phoneticPr fontId="4"/>
  </si>
  <si>
    <t>1</t>
    <phoneticPr fontId="4"/>
  </si>
  <si>
    <t>11m</t>
    <phoneticPr fontId="4"/>
  </si>
  <si>
    <t>ｼﾙﾄ</t>
    <phoneticPr fontId="4"/>
  </si>
  <si>
    <t>1m</t>
    <phoneticPr fontId="4"/>
  </si>
  <si>
    <t>5m</t>
    <phoneticPr fontId="4"/>
  </si>
  <si>
    <t>礫混りｼﾙﾄ質粘土</t>
    <rPh sb="0" eb="1">
      <t>レキ</t>
    </rPh>
    <rPh sb="1" eb="2">
      <t>マ</t>
    </rPh>
    <rPh sb="6" eb="7">
      <t>シツ</t>
    </rPh>
    <rPh sb="7" eb="9">
      <t>ネンド</t>
    </rPh>
    <phoneticPr fontId="4"/>
  </si>
  <si>
    <t>工場・川</t>
    <rPh sb="0" eb="2">
      <t>コウジョウ</t>
    </rPh>
    <rPh sb="3" eb="4">
      <t>カワ</t>
    </rPh>
    <phoneticPr fontId="4"/>
  </si>
  <si>
    <t>クレバハウス潮崎</t>
    <rPh sb="6" eb="8">
      <t>シオザキ</t>
    </rPh>
    <phoneticPr fontId="4"/>
  </si>
  <si>
    <t>糸満市</t>
    <rPh sb="0" eb="1">
      <t>イト</t>
    </rPh>
    <rPh sb="1" eb="2">
      <t>ミ</t>
    </rPh>
    <rPh sb="2" eb="3">
      <t>シ</t>
    </rPh>
    <phoneticPr fontId="4"/>
  </si>
  <si>
    <t>潮崎町</t>
    <rPh sb="0" eb="2">
      <t>シオザキ</t>
    </rPh>
    <rPh sb="2" eb="3">
      <t>マチ</t>
    </rPh>
    <phoneticPr fontId="4"/>
  </si>
  <si>
    <t>RC</t>
    <phoneticPr fontId="4"/>
  </si>
  <si>
    <t>環ハウス</t>
  </si>
  <si>
    <t>環ハウス</t>
    <rPh sb="0" eb="1">
      <t>ワ</t>
    </rPh>
    <phoneticPr fontId="4"/>
  </si>
  <si>
    <t>タマキハウス</t>
    <phoneticPr fontId="4"/>
  </si>
  <si>
    <t>パス建築研究室</t>
    <rPh sb="2" eb="4">
      <t>ケンチク</t>
    </rPh>
    <rPh sb="4" eb="7">
      <t>ケンキュウシツ</t>
    </rPh>
    <phoneticPr fontId="4"/>
  </si>
  <si>
    <t>パス建築研究室</t>
    <phoneticPr fontId="4"/>
  </si>
  <si>
    <t>パスケンチクケンキュウシツ</t>
    <phoneticPr fontId="4"/>
  </si>
  <si>
    <t>2棟</t>
    <rPh sb="1" eb="2">
      <t>トウ</t>
    </rPh>
    <phoneticPr fontId="4"/>
  </si>
  <si>
    <t>プジョー千里</t>
    <rPh sb="4" eb="6">
      <t>センリ</t>
    </rPh>
    <phoneticPr fontId="4"/>
  </si>
  <si>
    <t>吹田市</t>
    <rPh sb="0" eb="3">
      <t>スイタシ</t>
    </rPh>
    <phoneticPr fontId="4"/>
  </si>
  <si>
    <t>津雲台</t>
    <rPh sb="0" eb="1">
      <t>ツ</t>
    </rPh>
    <rPh sb="1" eb="2">
      <t>クモ</t>
    </rPh>
    <rPh sb="2" eb="3">
      <t>ダイ</t>
    </rPh>
    <phoneticPr fontId="4"/>
  </si>
  <si>
    <t>style Unit</t>
    <phoneticPr fontId="4"/>
  </si>
  <si>
    <t>改修工事。直接基礎。</t>
    <rPh sb="0" eb="2">
      <t>カイシュウ</t>
    </rPh>
    <rPh sb="2" eb="4">
      <t>コウジ</t>
    </rPh>
    <rPh sb="5" eb="7">
      <t>チョクセツ</t>
    </rPh>
    <rPh sb="7" eb="9">
      <t>キソ</t>
    </rPh>
    <phoneticPr fontId="4"/>
  </si>
  <si>
    <t>新設擁壁と近接。看板下地盤改良あり。</t>
    <rPh sb="0" eb="2">
      <t>シンセツ</t>
    </rPh>
    <rPh sb="2" eb="3">
      <t>ヨウ</t>
    </rPh>
    <rPh sb="3" eb="4">
      <t>ヘキ</t>
    </rPh>
    <rPh sb="5" eb="7">
      <t>キンセツ</t>
    </rPh>
    <rPh sb="8" eb="10">
      <t>カンバン</t>
    </rPh>
    <rPh sb="10" eb="11">
      <t>シタ</t>
    </rPh>
    <rPh sb="11" eb="13">
      <t>ジバン</t>
    </rPh>
    <rPh sb="13" eb="15">
      <t>カイリョウ</t>
    </rPh>
    <phoneticPr fontId="4"/>
  </si>
  <si>
    <t>株式会社 山形県建築サポートセンター</t>
    <phoneticPr fontId="4"/>
  </si>
  <si>
    <t>株式会社 建築構造センター(千葉)</t>
    <rPh sb="14" eb="16">
      <t>チバ</t>
    </rPh>
    <phoneticPr fontId="4"/>
  </si>
  <si>
    <t>1m</t>
    <phoneticPr fontId="4"/>
  </si>
  <si>
    <t>5m</t>
    <phoneticPr fontId="4"/>
  </si>
  <si>
    <t>工場・店舗</t>
    <rPh sb="0" eb="2">
      <t>コウジョウ</t>
    </rPh>
    <rPh sb="3" eb="5">
      <t>テンポ</t>
    </rPh>
    <phoneticPr fontId="4"/>
  </si>
  <si>
    <t>2</t>
    <phoneticPr fontId="4"/>
  </si>
  <si>
    <t>寺・住宅</t>
    <rPh sb="0" eb="1">
      <t>テラ</t>
    </rPh>
    <rPh sb="2" eb="4">
      <t>ジュウタク</t>
    </rPh>
    <phoneticPr fontId="4"/>
  </si>
  <si>
    <t>2</t>
    <phoneticPr fontId="4"/>
  </si>
  <si>
    <t>蒲郡市</t>
    <rPh sb="0" eb="3">
      <t>ガマゴオリシ</t>
    </rPh>
    <phoneticPr fontId="4"/>
  </si>
  <si>
    <t>海陽町</t>
    <rPh sb="0" eb="3">
      <t>カイヨウチョウ</t>
    </rPh>
    <phoneticPr fontId="4"/>
  </si>
  <si>
    <t>S造</t>
    <phoneticPr fontId="4"/>
  </si>
  <si>
    <t>水素ステーション</t>
    <rPh sb="0" eb="2">
      <t>スイソ</t>
    </rPh>
    <phoneticPr fontId="4"/>
  </si>
  <si>
    <t>折板</t>
    <rPh sb="0" eb="2">
      <t>セッパン</t>
    </rPh>
    <phoneticPr fontId="4"/>
  </si>
  <si>
    <t>-</t>
    <phoneticPr fontId="4"/>
  </si>
  <si>
    <t>ｼﾙﾄ</t>
    <phoneticPr fontId="4"/>
  </si>
  <si>
    <t>2m</t>
    <phoneticPr fontId="4"/>
  </si>
  <si>
    <t>○</t>
    <phoneticPr fontId="4"/>
  </si>
  <si>
    <t>工場・海</t>
    <rPh sb="0" eb="2">
      <t>コウジョウ</t>
    </rPh>
    <rPh sb="3" eb="4">
      <t>ウミ</t>
    </rPh>
    <phoneticPr fontId="4"/>
  </si>
  <si>
    <t>近藤
タオ</t>
    <rPh sb="0" eb="2">
      <t>コンドウ</t>
    </rPh>
    <phoneticPr fontId="4"/>
  </si>
  <si>
    <t>ﾃｨ･ｴﾑ･ﾀｰﾐﾅﾙ㈱市原事業所 倉庫・事務所</t>
    <rPh sb="12" eb="14">
      <t>イチハラ</t>
    </rPh>
    <rPh sb="14" eb="17">
      <t>ジギョウショ</t>
    </rPh>
    <rPh sb="18" eb="20">
      <t>ソウコ</t>
    </rPh>
    <rPh sb="21" eb="23">
      <t>ジム</t>
    </rPh>
    <rPh sb="23" eb="24">
      <t>ショ</t>
    </rPh>
    <phoneticPr fontId="4"/>
  </si>
  <si>
    <t>株式会社 巴商会</t>
    <rPh sb="0" eb="4">
      <t>カブシキガイシャ</t>
    </rPh>
    <rPh sb="5" eb="6">
      <t>トモエ</t>
    </rPh>
    <rPh sb="6" eb="8">
      <t>ショウカイ</t>
    </rPh>
    <phoneticPr fontId="4"/>
  </si>
  <si>
    <t>八幡海岸通</t>
    <rPh sb="0" eb="2">
      <t>ヤハタ</t>
    </rPh>
    <rPh sb="2" eb="4">
      <t>カイガン</t>
    </rPh>
    <rPh sb="4" eb="5">
      <t>トオ</t>
    </rPh>
    <phoneticPr fontId="4"/>
  </si>
  <si>
    <t>有限会社 本澤幸一建築設計室</t>
    <rPh sb="0" eb="2">
      <t>ユウゲン</t>
    </rPh>
    <rPh sb="2" eb="4">
      <t>カイシャ</t>
    </rPh>
    <rPh sb="5" eb="6">
      <t>ホン</t>
    </rPh>
    <rPh sb="6" eb="7">
      <t>サワ</t>
    </rPh>
    <rPh sb="7" eb="9">
      <t>コウイチ</t>
    </rPh>
    <rPh sb="9" eb="11">
      <t>ケンチク</t>
    </rPh>
    <rPh sb="11" eb="13">
      <t>セッケイ</t>
    </rPh>
    <rPh sb="13" eb="14">
      <t>シツ</t>
    </rPh>
    <phoneticPr fontId="4"/>
  </si>
  <si>
    <t>有限会社 本澤幸一建築設計室</t>
    <phoneticPr fontId="4"/>
  </si>
  <si>
    <t>ユウゲンガイシャ モトサワコウイチケンチクセッケイシツ</t>
    <phoneticPr fontId="4"/>
  </si>
  <si>
    <t>5m</t>
    <phoneticPr fontId="4"/>
  </si>
  <si>
    <t>ｼﾙﾄ</t>
    <phoneticPr fontId="4"/>
  </si>
  <si>
    <t>5m</t>
    <phoneticPr fontId="4"/>
  </si>
  <si>
    <t>凝灰質ｼﾙﾄ</t>
    <rPh sb="0" eb="1">
      <t>ギョウ</t>
    </rPh>
    <rPh sb="1" eb="2">
      <t>ハイ</t>
    </rPh>
    <rPh sb="2" eb="3">
      <t>シツ</t>
    </rPh>
    <phoneticPr fontId="4"/>
  </si>
  <si>
    <t>3m</t>
    <phoneticPr fontId="4"/>
  </si>
  <si>
    <t>スラブ</t>
    <phoneticPr fontId="4"/>
  </si>
  <si>
    <t>陸屋根</t>
    <rPh sb="0" eb="1">
      <t>リク</t>
    </rPh>
    <rPh sb="1" eb="3">
      <t>ヤネ</t>
    </rPh>
    <phoneticPr fontId="4"/>
  </si>
  <si>
    <t>白枝町</t>
    <rPh sb="0" eb="3">
      <t>シロエダチョウ</t>
    </rPh>
    <phoneticPr fontId="4"/>
  </si>
  <si>
    <t>栄区鍛冶ヶ谷</t>
    <rPh sb="0" eb="2">
      <t>サカエク</t>
    </rPh>
    <rPh sb="2" eb="6">
      <t>カジガヤ</t>
    </rPh>
    <phoneticPr fontId="4"/>
  </si>
  <si>
    <t>盛土</t>
    <phoneticPr fontId="4"/>
  </si>
  <si>
    <t>6m</t>
    <phoneticPr fontId="4"/>
  </si>
  <si>
    <t>シルト混じり細砂</t>
    <rPh sb="3" eb="4">
      <t>マ</t>
    </rPh>
    <rPh sb="6" eb="7">
      <t>サイ</t>
    </rPh>
    <rPh sb="7" eb="8">
      <t>サ</t>
    </rPh>
    <phoneticPr fontId="4"/>
  </si>
  <si>
    <t>10m</t>
    <phoneticPr fontId="4"/>
  </si>
  <si>
    <t>砂礫,礫混じり粘土</t>
    <rPh sb="0" eb="2">
      <t>サレキ</t>
    </rPh>
    <rPh sb="3" eb="4">
      <t>レキ</t>
    </rPh>
    <rPh sb="4" eb="5">
      <t>マ</t>
    </rPh>
    <rPh sb="7" eb="9">
      <t>ネンド</t>
    </rPh>
    <phoneticPr fontId="4"/>
  </si>
  <si>
    <t>5m</t>
    <phoneticPr fontId="4"/>
  </si>
  <si>
    <t>-</t>
    <phoneticPr fontId="4"/>
  </si>
  <si>
    <t>-</t>
    <phoneticPr fontId="4"/>
  </si>
  <si>
    <t>中川鋼管 事務所棟</t>
    <rPh sb="0" eb="2">
      <t>ナカガワ</t>
    </rPh>
    <rPh sb="2" eb="4">
      <t>コウカン</t>
    </rPh>
    <rPh sb="5" eb="9">
      <t>ジムショトウ</t>
    </rPh>
    <phoneticPr fontId="4"/>
  </si>
  <si>
    <t>中川鋼管 倉庫棟</t>
    <rPh sb="0" eb="2">
      <t>ナカガワ</t>
    </rPh>
    <rPh sb="2" eb="4">
      <t>コウカン</t>
    </rPh>
    <rPh sb="5" eb="8">
      <t>ソウコトウ</t>
    </rPh>
    <phoneticPr fontId="4"/>
  </si>
  <si>
    <t>安岡蒲鉾工場</t>
    <rPh sb="0" eb="2">
      <t>ヤスオカ</t>
    </rPh>
    <rPh sb="2" eb="4">
      <t>カマボコ</t>
    </rPh>
    <rPh sb="4" eb="6">
      <t>コウジョウ</t>
    </rPh>
    <phoneticPr fontId="4"/>
  </si>
  <si>
    <t>宇和島市</t>
    <rPh sb="0" eb="4">
      <t>ウワジマシ</t>
    </rPh>
    <phoneticPr fontId="4"/>
  </si>
  <si>
    <t>三間町中野中</t>
    <rPh sb="0" eb="1">
      <t>サン</t>
    </rPh>
    <rPh sb="1" eb="2">
      <t>マ</t>
    </rPh>
    <rPh sb="2" eb="3">
      <t>マチ</t>
    </rPh>
    <rPh sb="3" eb="5">
      <t>ナカノ</t>
    </rPh>
    <rPh sb="5" eb="6">
      <t>ナカ</t>
    </rPh>
    <phoneticPr fontId="4"/>
  </si>
  <si>
    <t>2m</t>
    <phoneticPr fontId="4"/>
  </si>
  <si>
    <t>耶麻郡</t>
    <rPh sb="0" eb="1">
      <t>ヤ</t>
    </rPh>
    <rPh sb="1" eb="2">
      <t>アサ</t>
    </rPh>
    <rPh sb="2" eb="3">
      <t>グン</t>
    </rPh>
    <phoneticPr fontId="4"/>
  </si>
  <si>
    <t>猪苗代町長瀬川仮番地</t>
    <rPh sb="1" eb="2">
      <t>ナエ</t>
    </rPh>
    <rPh sb="2" eb="3">
      <t>カ</t>
    </rPh>
    <rPh sb="3" eb="4">
      <t>マチ</t>
    </rPh>
    <rPh sb="4" eb="6">
      <t>ナガセ</t>
    </rPh>
    <rPh sb="6" eb="7">
      <t>カワ</t>
    </rPh>
    <rPh sb="7" eb="8">
      <t>カリ</t>
    </rPh>
    <rPh sb="8" eb="10">
      <t>バンチ</t>
    </rPh>
    <phoneticPr fontId="4"/>
  </si>
  <si>
    <t>米倉庫</t>
    <rPh sb="0" eb="1">
      <t>コメ</t>
    </rPh>
    <rPh sb="1" eb="3">
      <t>ソウコ</t>
    </rPh>
    <phoneticPr fontId="4"/>
  </si>
  <si>
    <t>SIN建築設計</t>
    <phoneticPr fontId="4"/>
  </si>
  <si>
    <t>ﾗｯｸ倉庫</t>
    <rPh sb="3" eb="5">
      <t>ソウコ</t>
    </rPh>
    <phoneticPr fontId="4"/>
  </si>
  <si>
    <t>JA会津よつば猪苗代 ライスターミナル</t>
    <phoneticPr fontId="4"/>
  </si>
  <si>
    <t>全農福島一級建築士事務所</t>
    <phoneticPr fontId="4"/>
  </si>
  <si>
    <t>株式会社 尾崎構造設計事務所</t>
    <rPh sb="0" eb="2">
      <t>カブシキ</t>
    </rPh>
    <rPh sb="2" eb="4">
      <t>カイシャ</t>
    </rPh>
    <rPh sb="5" eb="7">
      <t>オザキ</t>
    </rPh>
    <rPh sb="7" eb="9">
      <t>コウゾウ</t>
    </rPh>
    <rPh sb="9" eb="11">
      <t>セッケイ</t>
    </rPh>
    <rPh sb="11" eb="13">
      <t>ジム</t>
    </rPh>
    <rPh sb="13" eb="14">
      <t>ショ</t>
    </rPh>
    <phoneticPr fontId="4"/>
  </si>
  <si>
    <t>株式会社 尾崎構造設計事務所</t>
    <phoneticPr fontId="4"/>
  </si>
  <si>
    <t>カブシキガイシャ オザキコウゾウセッケイジムショ</t>
    <phoneticPr fontId="4"/>
  </si>
  <si>
    <t>3m</t>
    <phoneticPr fontId="4"/>
  </si>
  <si>
    <t>3m</t>
    <phoneticPr fontId="4"/>
  </si>
  <si>
    <t>ｼﾙﾄ</t>
    <phoneticPr fontId="4"/>
  </si>
  <si>
    <t>店舗・河川</t>
    <rPh sb="0" eb="2">
      <t>テンポ</t>
    </rPh>
    <rPh sb="3" eb="5">
      <t>カセン</t>
    </rPh>
    <phoneticPr fontId="4"/>
  </si>
  <si>
    <t>隣の敷地の寄宿舎は一年程度後に設計・施工予定。</t>
    <rPh sb="0" eb="1">
      <t>トナリ</t>
    </rPh>
    <rPh sb="2" eb="4">
      <t>シキチ</t>
    </rPh>
    <rPh sb="5" eb="8">
      <t>キシュクシャ</t>
    </rPh>
    <rPh sb="9" eb="11">
      <t>イチネン</t>
    </rPh>
    <rPh sb="11" eb="13">
      <t>テイド</t>
    </rPh>
    <rPh sb="13" eb="14">
      <t>ゴ</t>
    </rPh>
    <rPh sb="15" eb="17">
      <t>セッケイ</t>
    </rPh>
    <rPh sb="18" eb="20">
      <t>セコウ</t>
    </rPh>
    <rPh sb="20" eb="22">
      <t>ヨテイ</t>
    </rPh>
    <phoneticPr fontId="4"/>
  </si>
  <si>
    <t>折板(屋上緑化)</t>
    <rPh sb="0" eb="2">
      <t>セッパン</t>
    </rPh>
    <rPh sb="3" eb="5">
      <t>オクジョウ</t>
    </rPh>
    <rPh sb="5" eb="7">
      <t>リョクカ</t>
    </rPh>
    <phoneticPr fontId="4"/>
  </si>
  <si>
    <t>倉庫</t>
    <phoneticPr fontId="4"/>
  </si>
  <si>
    <t>製品保管室</t>
    <rPh sb="0" eb="2">
      <t>セイヒン</t>
    </rPh>
    <rPh sb="2" eb="4">
      <t>ホカン</t>
    </rPh>
    <rPh sb="4" eb="5">
      <t>シツ</t>
    </rPh>
    <phoneticPr fontId="4"/>
  </si>
  <si>
    <t>製造棟、充填・包装棟、ごま倉庫の3棟。敷地内ﾀﾝｸ・機械下も地盤改良計画予定。</t>
    <rPh sb="0" eb="2">
      <t>セイゾウ</t>
    </rPh>
    <rPh sb="2" eb="3">
      <t>トウ</t>
    </rPh>
    <rPh sb="13" eb="15">
      <t>ソウコ</t>
    </rPh>
    <rPh sb="17" eb="18">
      <t>トウ</t>
    </rPh>
    <rPh sb="19" eb="21">
      <t>シキチ</t>
    </rPh>
    <rPh sb="21" eb="22">
      <t>ナイ</t>
    </rPh>
    <rPh sb="26" eb="28">
      <t>キカイ</t>
    </rPh>
    <rPh sb="28" eb="29">
      <t>シタ</t>
    </rPh>
    <rPh sb="30" eb="32">
      <t>ジバン</t>
    </rPh>
    <rPh sb="32" eb="34">
      <t>カイリョウ</t>
    </rPh>
    <rPh sb="34" eb="36">
      <t>ケイカク</t>
    </rPh>
    <rPh sb="36" eb="38">
      <t>ヨテイ</t>
    </rPh>
    <phoneticPr fontId="4"/>
  </si>
  <si>
    <t>成澤鉄工所</t>
    <rPh sb="0" eb="2">
      <t>ナリサワ</t>
    </rPh>
    <rPh sb="2" eb="5">
      <t>テッコウショ</t>
    </rPh>
    <phoneticPr fontId="4"/>
  </si>
  <si>
    <t>鶴岡市</t>
    <phoneticPr fontId="4"/>
  </si>
  <si>
    <t>柳久瀬字大坪</t>
    <rPh sb="0" eb="1">
      <t>ヤナギ</t>
    </rPh>
    <rPh sb="1" eb="2">
      <t>ヒサ</t>
    </rPh>
    <rPh sb="2" eb="3">
      <t>セ</t>
    </rPh>
    <rPh sb="3" eb="4">
      <t>アザ</t>
    </rPh>
    <rPh sb="4" eb="6">
      <t>オオツボ</t>
    </rPh>
    <phoneticPr fontId="4"/>
  </si>
  <si>
    <t>株式会社 石川設計事務所</t>
    <rPh sb="0" eb="2">
      <t>カブシキ</t>
    </rPh>
    <rPh sb="2" eb="4">
      <t>カイシャ</t>
    </rPh>
    <rPh sb="5" eb="7">
      <t>イシカワ</t>
    </rPh>
    <rPh sb="7" eb="9">
      <t>セッケイ</t>
    </rPh>
    <rPh sb="9" eb="11">
      <t>ジム</t>
    </rPh>
    <rPh sb="11" eb="12">
      <t>ショ</t>
    </rPh>
    <phoneticPr fontId="4"/>
  </si>
  <si>
    <t>株式会社 石川設計事務所</t>
    <phoneticPr fontId="4"/>
  </si>
  <si>
    <t>カブシキガイシャ イシカワセッケイジムショ</t>
    <phoneticPr fontId="4"/>
  </si>
  <si>
    <t>3m</t>
    <phoneticPr fontId="4"/>
  </si>
  <si>
    <t>2m</t>
    <phoneticPr fontId="4"/>
  </si>
  <si>
    <t>バロー中志段味</t>
    <phoneticPr fontId="4"/>
  </si>
  <si>
    <t>事務所棟と倉庫棟の2棟。埋立地。
H30.06.19外構改良追加等依頼受け。確認・適判対応と合わせて対応予定。</t>
    <rPh sb="0" eb="2">
      <t>ジム</t>
    </rPh>
    <rPh sb="2" eb="3">
      <t>ショ</t>
    </rPh>
    <rPh sb="3" eb="4">
      <t>トウ</t>
    </rPh>
    <rPh sb="5" eb="7">
      <t>ソウコ</t>
    </rPh>
    <rPh sb="7" eb="8">
      <t>トウ</t>
    </rPh>
    <rPh sb="10" eb="11">
      <t>トウ</t>
    </rPh>
    <rPh sb="12" eb="13">
      <t>ウ</t>
    </rPh>
    <rPh sb="13" eb="14">
      <t>タ</t>
    </rPh>
    <rPh sb="14" eb="15">
      <t>チ</t>
    </rPh>
    <phoneticPr fontId="4"/>
  </si>
  <si>
    <t>-</t>
    <phoneticPr fontId="4"/>
  </si>
  <si>
    <t>○</t>
    <phoneticPr fontId="4"/>
  </si>
  <si>
    <t>○</t>
    <phoneticPr fontId="4"/>
  </si>
  <si>
    <t>○</t>
    <phoneticPr fontId="4"/>
  </si>
  <si>
    <t>シルト</t>
    <phoneticPr fontId="4"/>
  </si>
  <si>
    <t>シルト</t>
    <phoneticPr fontId="4"/>
  </si>
  <si>
    <t>○</t>
    <phoneticPr fontId="4"/>
  </si>
  <si>
    <t>既設 擁壁・調整池と近接。</t>
    <rPh sb="0" eb="2">
      <t>キセツ</t>
    </rPh>
    <rPh sb="3" eb="4">
      <t>ヨウ</t>
    </rPh>
    <rPh sb="4" eb="5">
      <t>ヘキ</t>
    </rPh>
    <rPh sb="6" eb="8">
      <t>チョウセイ</t>
    </rPh>
    <rPh sb="8" eb="9">
      <t>イケ</t>
    </rPh>
    <rPh sb="10" eb="12">
      <t>キンセツ</t>
    </rPh>
    <phoneticPr fontId="4"/>
  </si>
  <si>
    <t>イオンリテール美園三丁目</t>
    <rPh sb="7" eb="9">
      <t>ミソノ</t>
    </rPh>
    <rPh sb="9" eb="12">
      <t>サンチョウメ</t>
    </rPh>
    <phoneticPr fontId="4"/>
  </si>
  <si>
    <t>緑区玄蕃新田</t>
    <rPh sb="0" eb="2">
      <t>ミドリク</t>
    </rPh>
    <rPh sb="2" eb="3">
      <t>ゲン</t>
    </rPh>
    <rPh sb="3" eb="4">
      <t>ハン</t>
    </rPh>
    <rPh sb="4" eb="6">
      <t>ニッタ</t>
    </rPh>
    <phoneticPr fontId="4"/>
  </si>
  <si>
    <t>2</t>
    <phoneticPr fontId="4"/>
  </si>
  <si>
    <t>11m</t>
    <phoneticPr fontId="4"/>
  </si>
  <si>
    <t>ｼﾙﾄ</t>
    <phoneticPr fontId="4"/>
  </si>
  <si>
    <t>6m</t>
    <phoneticPr fontId="4"/>
  </si>
  <si>
    <t>4m</t>
    <phoneticPr fontId="4"/>
  </si>
  <si>
    <t>ビューローベリタスジャパン株式会社</t>
    <rPh sb="15" eb="17">
      <t>カイシャ</t>
    </rPh>
    <phoneticPr fontId="4"/>
  </si>
  <si>
    <t>訓練棟</t>
    <rPh sb="0" eb="3">
      <t>クンレントウ</t>
    </rPh>
    <phoneticPr fontId="4"/>
  </si>
  <si>
    <t>牛舎</t>
    <rPh sb="0" eb="2">
      <t>ギュウシャ</t>
    </rPh>
    <phoneticPr fontId="4"/>
  </si>
  <si>
    <t>山形県 庄内総合支庁</t>
    <phoneticPr fontId="4"/>
  </si>
  <si>
    <t>八幡浜幼稚園</t>
    <rPh sb="0" eb="2">
      <t>ヤハタ</t>
    </rPh>
    <rPh sb="2" eb="3">
      <t>ハマ</t>
    </rPh>
    <rPh sb="3" eb="5">
      <t>ヨウチ</t>
    </rPh>
    <rPh sb="5" eb="6">
      <t>エン</t>
    </rPh>
    <phoneticPr fontId="4"/>
  </si>
  <si>
    <t>八幡浜市</t>
    <rPh sb="0" eb="2">
      <t>ヤハタ</t>
    </rPh>
    <rPh sb="2" eb="3">
      <t>ハマ</t>
    </rPh>
    <rPh sb="3" eb="4">
      <t>シ</t>
    </rPh>
    <phoneticPr fontId="4"/>
  </si>
  <si>
    <t>本町</t>
    <rPh sb="0" eb="2">
      <t>ホンマチ</t>
    </rPh>
    <phoneticPr fontId="4"/>
  </si>
  <si>
    <t>RC</t>
    <phoneticPr fontId="4"/>
  </si>
  <si>
    <t>イマジンプラス一級建築士事務所</t>
    <rPh sb="7" eb="9">
      <t>イッキュウ</t>
    </rPh>
    <rPh sb="9" eb="12">
      <t>ケンチクシ</t>
    </rPh>
    <rPh sb="12" eb="14">
      <t>ジム</t>
    </rPh>
    <rPh sb="14" eb="15">
      <t>ショ</t>
    </rPh>
    <phoneticPr fontId="4"/>
  </si>
  <si>
    <t>イマジンプラス一級建築士事務所</t>
    <phoneticPr fontId="4"/>
  </si>
  <si>
    <t>イマジンプラスイッキュウケンチクシジムショ</t>
    <phoneticPr fontId="4"/>
  </si>
  <si>
    <t>LOW FAT strucure</t>
    <phoneticPr fontId="4"/>
  </si>
  <si>
    <t>LOW FAT strucure</t>
    <phoneticPr fontId="4"/>
  </si>
  <si>
    <t>5m</t>
    <phoneticPr fontId="4"/>
  </si>
  <si>
    <t>地中梁せいが1200と高く、型枠無し施工のため地中梁横に増打ち予定。</t>
    <rPh sb="0" eb="2">
      <t>チチュウ</t>
    </rPh>
    <rPh sb="2" eb="3">
      <t>ハリ</t>
    </rPh>
    <rPh sb="11" eb="12">
      <t>タカ</t>
    </rPh>
    <rPh sb="14" eb="16">
      <t>カタワク</t>
    </rPh>
    <rPh sb="16" eb="17">
      <t>ナ</t>
    </rPh>
    <rPh sb="18" eb="20">
      <t>セコウ</t>
    </rPh>
    <rPh sb="23" eb="25">
      <t>チチュウ</t>
    </rPh>
    <rPh sb="25" eb="26">
      <t>ハリ</t>
    </rPh>
    <rPh sb="26" eb="27">
      <t>ヨコ</t>
    </rPh>
    <rPh sb="28" eb="29">
      <t>ゾウ</t>
    </rPh>
    <rPh sb="29" eb="30">
      <t>ウ</t>
    </rPh>
    <rPh sb="31" eb="33">
      <t>ヨテイ</t>
    </rPh>
    <phoneticPr fontId="4"/>
  </si>
  <si>
    <t>日本ERI 株式会社(横浜)</t>
    <rPh sb="11" eb="13">
      <t>ヨコハマ</t>
    </rPh>
    <phoneticPr fontId="4"/>
  </si>
  <si>
    <t>黒川牧場 VMS牛舎</t>
    <rPh sb="0" eb="2">
      <t>クロカワ</t>
    </rPh>
    <rPh sb="2" eb="4">
      <t>ボクジョウ</t>
    </rPh>
    <rPh sb="8" eb="10">
      <t>ギュウシャ</t>
    </rPh>
    <phoneticPr fontId="4"/>
  </si>
  <si>
    <t>天塩郡</t>
    <rPh sb="0" eb="1">
      <t>テン</t>
    </rPh>
    <rPh sb="1" eb="2">
      <t>シオ</t>
    </rPh>
    <rPh sb="2" eb="3">
      <t>グン</t>
    </rPh>
    <phoneticPr fontId="4"/>
  </si>
  <si>
    <t>天塩町サロペツ</t>
    <rPh sb="0" eb="1">
      <t>テン</t>
    </rPh>
    <rPh sb="1" eb="2">
      <t>シオ</t>
    </rPh>
    <rPh sb="2" eb="3">
      <t>マチ</t>
    </rPh>
    <phoneticPr fontId="4"/>
  </si>
  <si>
    <t>ｽﾗﾘｰﾋﾟｯﾄ</t>
    <phoneticPr fontId="4"/>
  </si>
  <si>
    <t>株式会社 三建設計事務所</t>
    <rPh sb="0" eb="4">
      <t>カブシキガイシャ</t>
    </rPh>
    <rPh sb="5" eb="6">
      <t>サン</t>
    </rPh>
    <rPh sb="6" eb="7">
      <t>ダテ</t>
    </rPh>
    <rPh sb="7" eb="9">
      <t>セッケイ</t>
    </rPh>
    <rPh sb="9" eb="11">
      <t>ジム</t>
    </rPh>
    <rPh sb="11" eb="12">
      <t>ショ</t>
    </rPh>
    <phoneticPr fontId="4"/>
  </si>
  <si>
    <t>8m</t>
    <phoneticPr fontId="4"/>
  </si>
  <si>
    <t>ｼﾙﾄ</t>
    <phoneticPr fontId="4"/>
  </si>
  <si>
    <t>10m</t>
    <phoneticPr fontId="4"/>
  </si>
  <si>
    <t>2m</t>
    <phoneticPr fontId="4"/>
  </si>
  <si>
    <t>エア・リキード蒲郡水素ステーション</t>
    <phoneticPr fontId="4"/>
  </si>
  <si>
    <t>浮田建築構造設計</t>
  </si>
  <si>
    <t>浮田建築構造設計</t>
    <rPh sb="0" eb="2">
      <t>ウキタ</t>
    </rPh>
    <rPh sb="2" eb="4">
      <t>ケンチク</t>
    </rPh>
    <rPh sb="4" eb="6">
      <t>コウゾウ</t>
    </rPh>
    <rPh sb="6" eb="8">
      <t>セッケイ</t>
    </rPh>
    <phoneticPr fontId="4"/>
  </si>
  <si>
    <t>ウキタケンチクコウゾウセッケイ</t>
    <phoneticPr fontId="4"/>
  </si>
  <si>
    <t>スーパーセンターオークワ掛川下垂木</t>
    <rPh sb="12" eb="14">
      <t>カケガワ</t>
    </rPh>
    <rPh sb="14" eb="15">
      <t>シタ</t>
    </rPh>
    <rPh sb="15" eb="17">
      <t>タルキ</t>
    </rPh>
    <phoneticPr fontId="4"/>
  </si>
  <si>
    <t>掛川市</t>
    <rPh sb="0" eb="2">
      <t>カケガワ</t>
    </rPh>
    <rPh sb="2" eb="3">
      <t>シ</t>
    </rPh>
    <phoneticPr fontId="4"/>
  </si>
  <si>
    <t>下垂木</t>
    <rPh sb="0" eb="1">
      <t>シタ</t>
    </rPh>
    <rPh sb="1" eb="3">
      <t>タルキ</t>
    </rPh>
    <phoneticPr fontId="4"/>
  </si>
  <si>
    <t>大建シティプランニング 株式会社</t>
    <rPh sb="0" eb="2">
      <t>ダイケン</t>
    </rPh>
    <rPh sb="12" eb="14">
      <t>カブシキ</t>
    </rPh>
    <rPh sb="14" eb="16">
      <t>カイシャ</t>
    </rPh>
    <phoneticPr fontId="4"/>
  </si>
  <si>
    <t>5m</t>
    <phoneticPr fontId="4"/>
  </si>
  <si>
    <t>7m</t>
    <phoneticPr fontId="4"/>
  </si>
  <si>
    <t>ｼﾙﾄ</t>
    <phoneticPr fontId="4"/>
  </si>
  <si>
    <t>ビューローベリタスジャパン株式会社(お茶の水)</t>
    <rPh sb="19" eb="20">
      <t>チャ</t>
    </rPh>
    <rPh sb="21" eb="22">
      <t>ミズ</t>
    </rPh>
    <phoneticPr fontId="4"/>
  </si>
  <si>
    <t>有限会社 葛山設計</t>
    <rPh sb="0" eb="2">
      <t>ユウゲン</t>
    </rPh>
    <rPh sb="2" eb="4">
      <t>カイシャ</t>
    </rPh>
    <rPh sb="5" eb="6">
      <t>カツ</t>
    </rPh>
    <rPh sb="6" eb="7">
      <t>ヤマ</t>
    </rPh>
    <rPh sb="7" eb="9">
      <t>セッケイ</t>
    </rPh>
    <phoneticPr fontId="4"/>
  </si>
  <si>
    <t>有限会社 葛山設計</t>
    <phoneticPr fontId="4"/>
  </si>
  <si>
    <t>ユウゲンガイシャ カツヤマセッケイ</t>
    <phoneticPr fontId="4"/>
  </si>
  <si>
    <t>静岡県建築技術安心支援センター</t>
    <phoneticPr fontId="4"/>
  </si>
  <si>
    <t>財団法人 静岡県建築住宅まちづくりセンター</t>
    <phoneticPr fontId="4"/>
  </si>
  <si>
    <t>埋土・細砂</t>
    <rPh sb="0" eb="2">
      <t>マイツチ</t>
    </rPh>
    <rPh sb="3" eb="4">
      <t>サイ</t>
    </rPh>
    <rPh sb="4" eb="5">
      <t>サ</t>
    </rPh>
    <phoneticPr fontId="4"/>
  </si>
  <si>
    <t>埋土・細砂</t>
    <rPh sb="0" eb="1">
      <t>ウ</t>
    </rPh>
    <rPh sb="1" eb="2">
      <t>ツチ</t>
    </rPh>
    <rPh sb="3" eb="4">
      <t>サイ</t>
    </rPh>
    <rPh sb="4" eb="5">
      <t>サ</t>
    </rPh>
    <phoneticPr fontId="4"/>
  </si>
  <si>
    <t>新潟県</t>
    <phoneticPr fontId="4"/>
  </si>
  <si>
    <t>村上市</t>
    <rPh sb="0" eb="3">
      <t>ムラカミシ</t>
    </rPh>
    <phoneticPr fontId="4"/>
  </si>
  <si>
    <t>松喜和</t>
    <rPh sb="0" eb="1">
      <t>マツ</t>
    </rPh>
    <rPh sb="1" eb="2">
      <t>ヨロコ</t>
    </rPh>
    <rPh sb="2" eb="3">
      <t>ワ</t>
    </rPh>
    <phoneticPr fontId="4"/>
  </si>
  <si>
    <t>-</t>
    <phoneticPr fontId="4"/>
  </si>
  <si>
    <t>-</t>
    <phoneticPr fontId="4"/>
  </si>
  <si>
    <t>1m</t>
    <phoneticPr fontId="4"/>
  </si>
  <si>
    <t>ｼﾙﾄ</t>
    <phoneticPr fontId="4"/>
  </si>
  <si>
    <t>ホンダカーズ五所川原</t>
    <rPh sb="6" eb="10">
      <t>ゴショガワラ</t>
    </rPh>
    <phoneticPr fontId="4"/>
  </si>
  <si>
    <t>五所川原市</t>
    <phoneticPr fontId="4"/>
  </si>
  <si>
    <t>大字栳萢字船橋</t>
    <rPh sb="0" eb="2">
      <t>オオアザ</t>
    </rPh>
    <rPh sb="2" eb="3">
      <t>ロウ</t>
    </rPh>
    <rPh sb="3" eb="4">
      <t>ヤチ</t>
    </rPh>
    <rPh sb="4" eb="5">
      <t>アザ</t>
    </rPh>
    <rPh sb="5" eb="7">
      <t>フナバシ</t>
    </rPh>
    <phoneticPr fontId="4"/>
  </si>
  <si>
    <t>株式会社 相和技術研究所</t>
    <rPh sb="0" eb="2">
      <t>カブシキ</t>
    </rPh>
    <rPh sb="2" eb="4">
      <t>カイシャ</t>
    </rPh>
    <rPh sb="5" eb="6">
      <t>アイ</t>
    </rPh>
    <rPh sb="6" eb="7">
      <t>ワ</t>
    </rPh>
    <rPh sb="7" eb="9">
      <t>ギジュツ</t>
    </rPh>
    <rPh sb="9" eb="12">
      <t>ケンキュウショ</t>
    </rPh>
    <phoneticPr fontId="4"/>
  </si>
  <si>
    <t>株式会社 相和技術研究所</t>
    <phoneticPr fontId="4"/>
  </si>
  <si>
    <t>カブシキガイシャ ソウワギジュツケンキュウショ</t>
    <phoneticPr fontId="4"/>
  </si>
  <si>
    <t>大船渡市</t>
    <rPh sb="0" eb="4">
      <t>オオフナトシ</t>
    </rPh>
    <phoneticPr fontId="4"/>
  </si>
  <si>
    <t>赤崎町字跡浜</t>
    <rPh sb="0" eb="2">
      <t>アカザキ</t>
    </rPh>
    <rPh sb="2" eb="3">
      <t>マチ</t>
    </rPh>
    <rPh sb="3" eb="4">
      <t>アザ</t>
    </rPh>
    <rPh sb="4" eb="5">
      <t>アト</t>
    </rPh>
    <rPh sb="5" eb="6">
      <t>ハマ</t>
    </rPh>
    <phoneticPr fontId="4"/>
  </si>
  <si>
    <t>-</t>
    <phoneticPr fontId="4"/>
  </si>
  <si>
    <t>べた</t>
    <phoneticPr fontId="4"/>
  </si>
  <si>
    <t>18m</t>
    <phoneticPr fontId="4"/>
  </si>
  <si>
    <t>ｼﾙﾄ</t>
    <phoneticPr fontId="4"/>
  </si>
  <si>
    <t>3m</t>
    <phoneticPr fontId="4"/>
  </si>
  <si>
    <t>3m</t>
    <phoneticPr fontId="4"/>
  </si>
  <si>
    <t>-</t>
    <phoneticPr fontId="4"/>
  </si>
  <si>
    <t>Honda Cars埼玉中レイクタウン南店工場棟</t>
    <phoneticPr fontId="4"/>
  </si>
  <si>
    <t>都市建築デザイン 株式会社</t>
    <rPh sb="0" eb="2">
      <t>トシ</t>
    </rPh>
    <rPh sb="2" eb="4">
      <t>ケンチク</t>
    </rPh>
    <rPh sb="9" eb="11">
      <t>カブシキ</t>
    </rPh>
    <rPh sb="11" eb="13">
      <t>カイシャ</t>
    </rPh>
    <phoneticPr fontId="4"/>
  </si>
  <si>
    <t>都市建築デザイン 株式会社</t>
    <phoneticPr fontId="4"/>
  </si>
  <si>
    <t>都市建築デザイン 株式会社</t>
    <phoneticPr fontId="4"/>
  </si>
  <si>
    <t>トシケンチクデザイン カブシキガイシャ</t>
    <phoneticPr fontId="4"/>
  </si>
  <si>
    <t>有限会社 ワダ建築設計</t>
    <phoneticPr fontId="4"/>
  </si>
  <si>
    <t>有限会社 ワダ建築設計</t>
    <phoneticPr fontId="4"/>
  </si>
  <si>
    <t>ユウゲンガイシャ ワダケンチクセッケイ</t>
    <phoneticPr fontId="4"/>
  </si>
  <si>
    <t>10m</t>
    <phoneticPr fontId="4"/>
  </si>
  <si>
    <t>ｼﾙﾄ</t>
    <phoneticPr fontId="4"/>
  </si>
  <si>
    <t>14m</t>
    <phoneticPr fontId="4"/>
  </si>
  <si>
    <t>7m</t>
    <phoneticPr fontId="4"/>
  </si>
  <si>
    <t>1m</t>
    <phoneticPr fontId="4"/>
  </si>
  <si>
    <t>レイクタウン</t>
    <phoneticPr fontId="4"/>
  </si>
  <si>
    <t>15m</t>
    <phoneticPr fontId="4"/>
  </si>
  <si>
    <t>8m</t>
    <phoneticPr fontId="4"/>
  </si>
  <si>
    <t>6m</t>
    <phoneticPr fontId="4"/>
  </si>
  <si>
    <t>-</t>
    <phoneticPr fontId="4"/>
  </si>
  <si>
    <t>業務番号</t>
    <rPh sb="0" eb="2">
      <t>ギョウム</t>
    </rPh>
    <rPh sb="2" eb="4">
      <t>バンゴウ</t>
    </rPh>
    <phoneticPr fontId="16"/>
  </si>
  <si>
    <t>物件名</t>
    <rPh sb="0" eb="2">
      <t>ブッケン</t>
    </rPh>
    <rPh sb="2" eb="3">
      <t>メイ</t>
    </rPh>
    <phoneticPr fontId="16"/>
  </si>
  <si>
    <t>積載荷重[kN/㎡]</t>
    <rPh sb="0" eb="2">
      <t>セキサイ</t>
    </rPh>
    <rPh sb="2" eb="4">
      <t>カジュウ</t>
    </rPh>
    <phoneticPr fontId="16"/>
  </si>
  <si>
    <t>用途</t>
    <rPh sb="0" eb="2">
      <t>ヨウト</t>
    </rPh>
    <phoneticPr fontId="16"/>
  </si>
  <si>
    <t>根拠</t>
    <rPh sb="0" eb="2">
      <t>コンキョ</t>
    </rPh>
    <phoneticPr fontId="16"/>
  </si>
  <si>
    <t>一次[m]</t>
    <rPh sb="0" eb="2">
      <t>イチジ</t>
    </rPh>
    <phoneticPr fontId="16"/>
  </si>
  <si>
    <t>二次[m]</t>
    <rPh sb="0" eb="2">
      <t>ニジ</t>
    </rPh>
    <phoneticPr fontId="16"/>
  </si>
  <si>
    <t>土間厚[mm]</t>
    <rPh sb="0" eb="2">
      <t>ドマ</t>
    </rPh>
    <rPh sb="2" eb="3">
      <t>アツ</t>
    </rPh>
    <phoneticPr fontId="16"/>
  </si>
  <si>
    <t>備考</t>
    <rPh sb="0" eb="2">
      <t>ビコウ</t>
    </rPh>
    <phoneticPr fontId="16"/>
  </si>
  <si>
    <t>移動ラック</t>
    <rPh sb="0" eb="2">
      <t>イドウ</t>
    </rPh>
    <phoneticPr fontId="16"/>
  </si>
  <si>
    <t>ラック資料より　全重量/ラック部面積</t>
    <rPh sb="3" eb="5">
      <t>シリョウ</t>
    </rPh>
    <rPh sb="8" eb="9">
      <t>ゼン</t>
    </rPh>
    <rPh sb="9" eb="11">
      <t>ジュウリョウ</t>
    </rPh>
    <rPh sb="15" eb="16">
      <t>ブ</t>
    </rPh>
    <rPh sb="16" eb="18">
      <t>メンセキ</t>
    </rPh>
    <phoneticPr fontId="16"/>
  </si>
  <si>
    <t>車輪圧4.5t、プラットホームFL=GL+1.05m</t>
    <rPh sb="0" eb="2">
      <t>シャリン</t>
    </rPh>
    <rPh sb="2" eb="3">
      <t>アツ</t>
    </rPh>
    <phoneticPr fontId="16"/>
  </si>
  <si>
    <t>自動冷凍倉庫</t>
    <rPh sb="0" eb="2">
      <t>ジドウ</t>
    </rPh>
    <rPh sb="2" eb="4">
      <t>レイトウ</t>
    </rPh>
    <rPh sb="4" eb="6">
      <t>ソウコ</t>
    </rPh>
    <phoneticPr fontId="16"/>
  </si>
  <si>
    <t>メーカー資料より　863t/A[ラック間隔無視]</t>
    <rPh sb="4" eb="6">
      <t>シリョウ</t>
    </rPh>
    <rPh sb="19" eb="21">
      <t>カンカク</t>
    </rPh>
    <rPh sb="21" eb="23">
      <t>ムシ</t>
    </rPh>
    <phoneticPr fontId="16"/>
  </si>
  <si>
    <t>車輪圧4.8t</t>
    <rPh sb="0" eb="2">
      <t>シャリン</t>
    </rPh>
    <rPh sb="2" eb="3">
      <t>アツ</t>
    </rPh>
    <phoneticPr fontId="16"/>
  </si>
  <si>
    <t>倉庫</t>
    <rPh sb="0" eb="2">
      <t>ソウコ</t>
    </rPh>
    <phoneticPr fontId="16"/>
  </si>
  <si>
    <t>食品500kg、パレット1.1[B]x1.1[L]x1.5[H]、フォークリフト走行：総重量2t/1.09x2.455</t>
    <rPh sb="0" eb="2">
      <t>ショクヒン</t>
    </rPh>
    <rPh sb="40" eb="42">
      <t>ソウコウ</t>
    </rPh>
    <rPh sb="43" eb="46">
      <t>ソウジュウリョウ</t>
    </rPh>
    <phoneticPr fontId="16"/>
  </si>
  <si>
    <t>土間厚200超</t>
    <rPh sb="0" eb="2">
      <t>ドマ</t>
    </rPh>
    <rPh sb="2" eb="3">
      <t>アツ</t>
    </rPh>
    <rPh sb="6" eb="7">
      <t>コ</t>
    </rPh>
    <phoneticPr fontId="4"/>
  </si>
  <si>
    <t>車輪圧5.5t/輪</t>
    <rPh sb="0" eb="2">
      <t>シャリン</t>
    </rPh>
    <rPh sb="2" eb="3">
      <t>アツ</t>
    </rPh>
    <rPh sb="8" eb="9">
      <t>リン</t>
    </rPh>
    <phoneticPr fontId="4"/>
  </si>
  <si>
    <t>ラック資料より　11.49kN×2/(1.275×1.275)</t>
    <rPh sb="3" eb="5">
      <t>シリョウ</t>
    </rPh>
    <phoneticPr fontId="16"/>
  </si>
  <si>
    <t>土間配筋</t>
    <rPh sb="0" eb="2">
      <t>ドマ</t>
    </rPh>
    <rPh sb="2" eb="3">
      <t>ハイ</t>
    </rPh>
    <rPh sb="3" eb="4">
      <t>キン</t>
    </rPh>
    <phoneticPr fontId="4"/>
  </si>
  <si>
    <t>D13/D16@200</t>
    <phoneticPr fontId="4"/>
  </si>
  <si>
    <t>D13@200</t>
    <phoneticPr fontId="4"/>
  </si>
  <si>
    <t>SVH四日市</t>
    <rPh sb="3" eb="6">
      <t>ヨッカイチ</t>
    </rPh>
    <phoneticPr fontId="4"/>
  </si>
  <si>
    <t>メーカー資料より　863t/542㎡[ラック間隔考慮]</t>
    <rPh sb="4" eb="6">
      <t>シリョウ</t>
    </rPh>
    <rPh sb="24" eb="26">
      <t>コウリョ</t>
    </rPh>
    <phoneticPr fontId="16"/>
  </si>
  <si>
    <t>同上別検討</t>
    <rPh sb="0" eb="2">
      <t>ドウジョウ</t>
    </rPh>
    <rPh sb="2" eb="3">
      <t>ベツ</t>
    </rPh>
    <rPh sb="3" eb="5">
      <t>ケントウ</t>
    </rPh>
    <phoneticPr fontId="16"/>
  </si>
  <si>
    <t>危険側の為不採用</t>
    <rPh sb="0" eb="2">
      <t>キケン</t>
    </rPh>
    <rPh sb="2" eb="3">
      <t>ガワ</t>
    </rPh>
    <rPh sb="4" eb="5">
      <t>タメ</t>
    </rPh>
    <rPh sb="5" eb="8">
      <t>フサイヨウ</t>
    </rPh>
    <phoneticPr fontId="4"/>
  </si>
  <si>
    <t>株式会社 日本確認検査センター</t>
    <phoneticPr fontId="4"/>
  </si>
  <si>
    <t>八戸市</t>
    <phoneticPr fontId="4"/>
  </si>
  <si>
    <t>南類家</t>
    <rPh sb="0" eb="1">
      <t>ミナミ</t>
    </rPh>
    <rPh sb="1" eb="2">
      <t>ルイ</t>
    </rPh>
    <rPh sb="2" eb="3">
      <t>イエ</t>
    </rPh>
    <phoneticPr fontId="4"/>
  </si>
  <si>
    <t>株式会社 アーキ設計工房</t>
    <rPh sb="0" eb="2">
      <t>カブシキ</t>
    </rPh>
    <rPh sb="2" eb="4">
      <t>カイシャ</t>
    </rPh>
    <rPh sb="8" eb="10">
      <t>セッケイ</t>
    </rPh>
    <rPh sb="10" eb="12">
      <t>コウボウ</t>
    </rPh>
    <phoneticPr fontId="4"/>
  </si>
  <si>
    <t>株式会社 アーキ設計工房</t>
    <phoneticPr fontId="4"/>
  </si>
  <si>
    <t>カブシキガイシャ アーキセッケイコウボウ</t>
    <phoneticPr fontId="4"/>
  </si>
  <si>
    <t>内山建築設計事務所</t>
    <phoneticPr fontId="4"/>
  </si>
  <si>
    <t>4m</t>
    <phoneticPr fontId="4"/>
  </si>
  <si>
    <t>ｼﾙﾄ</t>
    <phoneticPr fontId="4"/>
  </si>
  <si>
    <t>10m</t>
    <phoneticPr fontId="4"/>
  </si>
  <si>
    <t>4m</t>
    <phoneticPr fontId="4"/>
  </si>
  <si>
    <t>5m</t>
    <phoneticPr fontId="4"/>
  </si>
  <si>
    <t>ｾﾝﾄﾗﾙﾌｨｯﾄﾈｽｸﾗﾌﾞ蘇我</t>
    <rPh sb="15" eb="17">
      <t>ソガ</t>
    </rPh>
    <phoneticPr fontId="4"/>
  </si>
  <si>
    <t>温浴施設</t>
    <rPh sb="0" eb="2">
      <t>オンヨク</t>
    </rPh>
    <rPh sb="2" eb="4">
      <t>シセツ</t>
    </rPh>
    <phoneticPr fontId="4"/>
  </si>
  <si>
    <t>千葉市</t>
    <rPh sb="0" eb="3">
      <t>チバシ</t>
    </rPh>
    <phoneticPr fontId="4"/>
  </si>
  <si>
    <t>中央区南町</t>
    <rPh sb="3" eb="4">
      <t>ミナミ</t>
    </rPh>
    <rPh sb="4" eb="5">
      <t>マチ</t>
    </rPh>
    <phoneticPr fontId="4"/>
  </si>
  <si>
    <t>伊藤武弘建築設計室</t>
    <rPh sb="0" eb="2">
      <t>イトウ</t>
    </rPh>
    <rPh sb="2" eb="3">
      <t>タケシ</t>
    </rPh>
    <rPh sb="3" eb="4">
      <t>ヒロ</t>
    </rPh>
    <rPh sb="4" eb="6">
      <t>ケンチク</t>
    </rPh>
    <rPh sb="6" eb="8">
      <t>セッケイ</t>
    </rPh>
    <rPh sb="8" eb="9">
      <t>シツ</t>
    </rPh>
    <phoneticPr fontId="4"/>
  </si>
  <si>
    <t>MUSA研究所</t>
    <rPh sb="4" eb="7">
      <t>ケンキュウショ</t>
    </rPh>
    <phoneticPr fontId="4"/>
  </si>
  <si>
    <t>2m</t>
    <phoneticPr fontId="4"/>
  </si>
  <si>
    <t>アトリエM-ST</t>
    <phoneticPr fontId="4"/>
  </si>
  <si>
    <t>伊藤武弘建築設計室</t>
    <phoneticPr fontId="4"/>
  </si>
  <si>
    <t>アトリエM-ST</t>
    <phoneticPr fontId="4"/>
  </si>
  <si>
    <t>アトリエM-ST</t>
    <phoneticPr fontId="4"/>
  </si>
  <si>
    <t>MUSA研究所</t>
    <phoneticPr fontId="4"/>
  </si>
  <si>
    <t>MUSAケンキュウショ</t>
    <phoneticPr fontId="4"/>
  </si>
  <si>
    <t>イトウタケヒロケンチクセッケイシツ</t>
    <phoneticPr fontId="4"/>
  </si>
  <si>
    <t>四日市市</t>
    <phoneticPr fontId="4"/>
  </si>
  <si>
    <t>ｼﾙﾄ</t>
    <phoneticPr fontId="4"/>
  </si>
  <si>
    <t>ラック資料より　45.81kN×4/(3.0×3.0)</t>
    <rPh sb="3" eb="5">
      <t>シリョウ</t>
    </rPh>
    <phoneticPr fontId="16"/>
  </si>
  <si>
    <t>-</t>
    <phoneticPr fontId="4"/>
  </si>
  <si>
    <t>青森県 西北地域県民局地域整備部</t>
    <rPh sb="4" eb="6">
      <t>セイホク</t>
    </rPh>
    <rPh sb="6" eb="8">
      <t>チイキ</t>
    </rPh>
    <rPh sb="8" eb="10">
      <t>ケンミン</t>
    </rPh>
    <rPh sb="10" eb="11">
      <t>キョク</t>
    </rPh>
    <rPh sb="11" eb="13">
      <t>チイキ</t>
    </rPh>
    <rPh sb="13" eb="15">
      <t>セイビ</t>
    </rPh>
    <rPh sb="15" eb="16">
      <t>ブ</t>
    </rPh>
    <phoneticPr fontId="4"/>
  </si>
  <si>
    <t>青森県 西北地域県民局地域整備部</t>
    <phoneticPr fontId="4"/>
  </si>
  <si>
    <t>イズモホール山梨</t>
    <rPh sb="6" eb="8">
      <t>ヤマナシ</t>
    </rPh>
    <phoneticPr fontId="4"/>
  </si>
  <si>
    <t>袋井市</t>
    <rPh sb="0" eb="3">
      <t>フクロイシ</t>
    </rPh>
    <phoneticPr fontId="4"/>
  </si>
  <si>
    <t>上山梨</t>
    <rPh sb="0" eb="1">
      <t>ウエ</t>
    </rPh>
    <rPh sb="1" eb="3">
      <t>ヤマナシ</t>
    </rPh>
    <phoneticPr fontId="4"/>
  </si>
  <si>
    <t>葬祭場</t>
    <phoneticPr fontId="4"/>
  </si>
  <si>
    <t>3m</t>
    <phoneticPr fontId="4"/>
  </si>
  <si>
    <t>15m</t>
    <phoneticPr fontId="4"/>
  </si>
  <si>
    <t>海王食品ホタテ加工場</t>
    <rPh sb="0" eb="1">
      <t>ウミ</t>
    </rPh>
    <rPh sb="1" eb="2">
      <t>オウ</t>
    </rPh>
    <rPh sb="2" eb="4">
      <t>ショクヒン</t>
    </rPh>
    <rPh sb="7" eb="9">
      <t>カコウ</t>
    </rPh>
    <rPh sb="9" eb="10">
      <t>バ</t>
    </rPh>
    <phoneticPr fontId="4"/>
  </si>
  <si>
    <t>猿払村浜猿払</t>
    <rPh sb="0" eb="1">
      <t>サル</t>
    </rPh>
    <rPh sb="1" eb="2">
      <t>ハラ</t>
    </rPh>
    <rPh sb="2" eb="3">
      <t>ムラ</t>
    </rPh>
    <rPh sb="3" eb="4">
      <t>ハマ</t>
    </rPh>
    <rPh sb="4" eb="5">
      <t>サル</t>
    </rPh>
    <rPh sb="5" eb="6">
      <t>バライ</t>
    </rPh>
    <phoneticPr fontId="4"/>
  </si>
  <si>
    <t>さくら構造 株式会社</t>
    <rPh sb="3" eb="5">
      <t>コウゾウ</t>
    </rPh>
    <rPh sb="6" eb="8">
      <t>カブシキ</t>
    </rPh>
    <rPh sb="8" eb="10">
      <t>カイシャ</t>
    </rPh>
    <phoneticPr fontId="4"/>
  </si>
  <si>
    <t>さくら構造 株式会社</t>
    <phoneticPr fontId="4"/>
  </si>
  <si>
    <t>サクラコウゾウ カブシキガイシャ</t>
    <phoneticPr fontId="4"/>
  </si>
  <si>
    <t>3m</t>
    <phoneticPr fontId="4"/>
  </si>
  <si>
    <t>日本建築検査協会 株式会社</t>
    <phoneticPr fontId="4"/>
  </si>
  <si>
    <t>ビューローベリタスジャパン株式会社</t>
    <phoneticPr fontId="4"/>
  </si>
  <si>
    <t>株式会社 国際確認検査センター</t>
    <phoneticPr fontId="4"/>
  </si>
  <si>
    <t>株式会社 グッド・アイズ建築検査機構</t>
    <phoneticPr fontId="4"/>
  </si>
  <si>
    <t>株式会社 グッド・アイズ建築検査機構</t>
    <phoneticPr fontId="4"/>
  </si>
  <si>
    <t>(株)アドバネクス埼玉工場 増築</t>
    <rPh sb="14" eb="16">
      <t>ゾウチク</t>
    </rPh>
    <phoneticPr fontId="4"/>
  </si>
  <si>
    <t>本庄市</t>
    <phoneticPr fontId="4"/>
  </si>
  <si>
    <t>下野堂字七本木境</t>
    <rPh sb="0" eb="1">
      <t>シタ</t>
    </rPh>
    <rPh sb="1" eb="2">
      <t>ノ</t>
    </rPh>
    <rPh sb="2" eb="3">
      <t>ドウ</t>
    </rPh>
    <rPh sb="3" eb="4">
      <t>ジ</t>
    </rPh>
    <rPh sb="4" eb="6">
      <t>ナナホン</t>
    </rPh>
    <rPh sb="6" eb="7">
      <t>キ</t>
    </rPh>
    <rPh sb="7" eb="8">
      <t>サカイ</t>
    </rPh>
    <phoneticPr fontId="4"/>
  </si>
  <si>
    <t>2m</t>
    <phoneticPr fontId="4"/>
  </si>
  <si>
    <t>1m</t>
    <phoneticPr fontId="4"/>
  </si>
  <si>
    <t>稲田建設社屋</t>
    <rPh sb="0" eb="2">
      <t>イナダ</t>
    </rPh>
    <rPh sb="2" eb="4">
      <t>ケンセツ</t>
    </rPh>
    <rPh sb="4" eb="6">
      <t>シャオク</t>
    </rPh>
    <phoneticPr fontId="4"/>
  </si>
  <si>
    <t>旗ヶ崎</t>
    <rPh sb="0" eb="1">
      <t>ハタ</t>
    </rPh>
    <rPh sb="2" eb="3">
      <t>サキ</t>
    </rPh>
    <phoneticPr fontId="4"/>
  </si>
  <si>
    <t>2m</t>
    <phoneticPr fontId="4"/>
  </si>
  <si>
    <t>-</t>
    <phoneticPr fontId="4"/>
  </si>
  <si>
    <t>ｼﾙﾄ</t>
    <phoneticPr fontId="4"/>
  </si>
  <si>
    <t>6m</t>
    <phoneticPr fontId="4"/>
  </si>
  <si>
    <t>岡山県</t>
    <phoneticPr fontId="4"/>
  </si>
  <si>
    <t>北区今保</t>
    <rPh sb="0" eb="1">
      <t>キタ</t>
    </rPh>
    <rPh sb="1" eb="2">
      <t>ク</t>
    </rPh>
    <rPh sb="2" eb="3">
      <t>イマ</t>
    </rPh>
    <rPh sb="3" eb="4">
      <t>ホ</t>
    </rPh>
    <phoneticPr fontId="4"/>
  </si>
  <si>
    <t>MINI岡山整備工場</t>
    <rPh sb="4" eb="6">
      <t>オカヤマ</t>
    </rPh>
    <rPh sb="6" eb="8">
      <t>セイビ</t>
    </rPh>
    <rPh sb="8" eb="10">
      <t>コウジョウ</t>
    </rPh>
    <phoneticPr fontId="4"/>
  </si>
  <si>
    <t>-</t>
    <phoneticPr fontId="4"/>
  </si>
  <si>
    <t>プール。配管ピット多数あり。</t>
    <rPh sb="4" eb="6">
      <t>ハイカン</t>
    </rPh>
    <rPh sb="9" eb="11">
      <t>タスウ</t>
    </rPh>
    <phoneticPr fontId="4"/>
  </si>
  <si>
    <t>整備管理所PCB保管庫</t>
    <rPh sb="0" eb="2">
      <t>セイビ</t>
    </rPh>
    <rPh sb="2" eb="4">
      <t>カンリ</t>
    </rPh>
    <rPh sb="4" eb="5">
      <t>ショ</t>
    </rPh>
    <rPh sb="8" eb="11">
      <t>ホカンコ</t>
    </rPh>
    <phoneticPr fontId="4"/>
  </si>
  <si>
    <t>青森市</t>
    <phoneticPr fontId="4"/>
  </si>
  <si>
    <t>大野北片岡</t>
    <rPh sb="0" eb="2">
      <t>オオノ</t>
    </rPh>
    <rPh sb="2" eb="3">
      <t>キタ</t>
    </rPh>
    <rPh sb="3" eb="5">
      <t>カタオカ</t>
    </rPh>
    <phoneticPr fontId="4"/>
  </si>
  <si>
    <t>S造</t>
    <phoneticPr fontId="4"/>
  </si>
  <si>
    <t>倉庫</t>
    <phoneticPr fontId="4"/>
  </si>
  <si>
    <t>1m</t>
    <phoneticPr fontId="4"/>
  </si>
  <si>
    <t>1m</t>
    <phoneticPr fontId="4"/>
  </si>
  <si>
    <t>9m</t>
    <phoneticPr fontId="4"/>
  </si>
  <si>
    <t>広島県 三原市役所</t>
    <rPh sb="0" eb="3">
      <t>ヒロシマケン</t>
    </rPh>
    <rPh sb="4" eb="9">
      <t>ミハラシヤクショ</t>
    </rPh>
    <phoneticPr fontId="4"/>
  </si>
  <si>
    <t>広島県 三原市役所</t>
    <phoneticPr fontId="4"/>
  </si>
  <si>
    <t>3</t>
    <phoneticPr fontId="4"/>
  </si>
  <si>
    <t>16m</t>
    <phoneticPr fontId="4"/>
  </si>
  <si>
    <t>5m</t>
    <phoneticPr fontId="4"/>
  </si>
  <si>
    <t>9m</t>
    <phoneticPr fontId="4"/>
  </si>
  <si>
    <t>粘土質シルト</t>
    <rPh sb="0" eb="3">
      <t>ネンドシツ</t>
    </rPh>
    <phoneticPr fontId="4"/>
  </si>
  <si>
    <t>4m</t>
    <phoneticPr fontId="4"/>
  </si>
  <si>
    <t>守山区中志段味</t>
    <rPh sb="0" eb="3">
      <t>モリヤマク</t>
    </rPh>
    <rPh sb="3" eb="7">
      <t>ナカシダミ</t>
    </rPh>
    <phoneticPr fontId="4"/>
  </si>
  <si>
    <t>3m</t>
    <phoneticPr fontId="4"/>
  </si>
  <si>
    <t>既存建物への増築工事。海に近い。</t>
    <rPh sb="0" eb="2">
      <t>キソン</t>
    </rPh>
    <rPh sb="2" eb="4">
      <t>タテモノ</t>
    </rPh>
    <rPh sb="6" eb="8">
      <t>ゾウチク</t>
    </rPh>
    <rPh sb="8" eb="10">
      <t>コウジ</t>
    </rPh>
    <rPh sb="11" eb="12">
      <t>ウミ</t>
    </rPh>
    <rPh sb="13" eb="14">
      <t>チカ</t>
    </rPh>
    <phoneticPr fontId="4"/>
  </si>
  <si>
    <t>ツルハドラッグ村上西</t>
    <rPh sb="7" eb="8">
      <t>ニシ</t>
    </rPh>
    <phoneticPr fontId="4"/>
  </si>
  <si>
    <t>ツルハドラッグ鹿島台</t>
    <rPh sb="7" eb="10">
      <t>カシマダイ</t>
    </rPh>
    <phoneticPr fontId="4"/>
  </si>
  <si>
    <t>ツルハドラッグ南幌</t>
    <rPh sb="7" eb="8">
      <t>ミナミ</t>
    </rPh>
    <rPh sb="8" eb="9">
      <t>ホロ</t>
    </rPh>
    <phoneticPr fontId="4"/>
  </si>
  <si>
    <t>事務所と車庫の2棟</t>
    <rPh sb="0" eb="2">
      <t>ジム</t>
    </rPh>
    <rPh sb="2" eb="3">
      <t>ショ</t>
    </rPh>
    <rPh sb="4" eb="6">
      <t>シャコ</t>
    </rPh>
    <rPh sb="8" eb="9">
      <t>トウ</t>
    </rPh>
    <phoneticPr fontId="4"/>
  </si>
  <si>
    <t>住宅・海</t>
    <rPh sb="0" eb="2">
      <t>ジュウタク</t>
    </rPh>
    <rPh sb="3" eb="4">
      <t>ウミ</t>
    </rPh>
    <phoneticPr fontId="4"/>
  </si>
  <si>
    <t>ｼﾙﾄ</t>
    <phoneticPr fontId="4"/>
  </si>
  <si>
    <t>ｼﾙﾄ</t>
    <phoneticPr fontId="4"/>
  </si>
  <si>
    <t>株式会社NIPPO足立合材工場 事務所</t>
    <rPh sb="0" eb="2">
      <t>カブシキ</t>
    </rPh>
    <rPh sb="2" eb="4">
      <t>カイシャ</t>
    </rPh>
    <rPh sb="9" eb="11">
      <t>アダチ</t>
    </rPh>
    <rPh sb="11" eb="12">
      <t>ゴウ</t>
    </rPh>
    <rPh sb="12" eb="13">
      <t>ザイ</t>
    </rPh>
    <rPh sb="13" eb="15">
      <t>コウジョウ</t>
    </rPh>
    <rPh sb="16" eb="18">
      <t>ジム</t>
    </rPh>
    <rPh sb="18" eb="19">
      <t>ショ</t>
    </rPh>
    <phoneticPr fontId="4"/>
  </si>
  <si>
    <t>足立区</t>
    <phoneticPr fontId="4"/>
  </si>
  <si>
    <t>小台</t>
    <rPh sb="0" eb="1">
      <t>コ</t>
    </rPh>
    <rPh sb="1" eb="2">
      <t>ダイ</t>
    </rPh>
    <phoneticPr fontId="4"/>
  </si>
  <si>
    <t>3m</t>
    <phoneticPr fontId="4"/>
  </si>
  <si>
    <t>6m</t>
    <phoneticPr fontId="4"/>
  </si>
  <si>
    <t>西新井</t>
    <rPh sb="0" eb="1">
      <t>ニシ</t>
    </rPh>
    <rPh sb="1" eb="3">
      <t>アライ</t>
    </rPh>
    <phoneticPr fontId="4"/>
  </si>
  <si>
    <t>14m</t>
    <phoneticPr fontId="4"/>
  </si>
  <si>
    <t>-</t>
    <phoneticPr fontId="4"/>
  </si>
  <si>
    <t>ユニバース八戸食肉プロセスセンター</t>
    <phoneticPr fontId="4"/>
  </si>
  <si>
    <t>八戸市</t>
    <phoneticPr fontId="4"/>
  </si>
  <si>
    <t>株式会社 食品施設計画研究所</t>
    <rPh sb="0" eb="2">
      <t>カブシキ</t>
    </rPh>
    <rPh sb="2" eb="4">
      <t>カイシャ</t>
    </rPh>
    <rPh sb="5" eb="7">
      <t>ショクヒン</t>
    </rPh>
    <rPh sb="7" eb="9">
      <t>シセツ</t>
    </rPh>
    <rPh sb="9" eb="11">
      <t>ケイカク</t>
    </rPh>
    <rPh sb="11" eb="14">
      <t>ケンキュウショ</t>
    </rPh>
    <phoneticPr fontId="4"/>
  </si>
  <si>
    <t>株式会社 食品施設計画研究所</t>
    <phoneticPr fontId="4"/>
  </si>
  <si>
    <t>カブシキガイシャ ショクヒンシセツケイカクケンキュウショ</t>
    <phoneticPr fontId="4"/>
  </si>
  <si>
    <t>12m</t>
    <phoneticPr fontId="4"/>
  </si>
  <si>
    <t>以前設計した工場棟への増築工事。平板載荷試験にて支持力算出。</t>
    <rPh sb="0" eb="2">
      <t>イゼン</t>
    </rPh>
    <rPh sb="2" eb="4">
      <t>セッケイ</t>
    </rPh>
    <rPh sb="6" eb="8">
      <t>コウジョウ</t>
    </rPh>
    <rPh sb="8" eb="9">
      <t>トウ</t>
    </rPh>
    <rPh sb="11" eb="13">
      <t>ゾウチク</t>
    </rPh>
    <rPh sb="13" eb="15">
      <t>コウジ</t>
    </rPh>
    <rPh sb="16" eb="18">
      <t>ヘイバン</t>
    </rPh>
    <rPh sb="18" eb="19">
      <t>ミツル</t>
    </rPh>
    <rPh sb="19" eb="20">
      <t>ニ</t>
    </rPh>
    <rPh sb="20" eb="22">
      <t>シケン</t>
    </rPh>
    <rPh sb="24" eb="27">
      <t>シジリョク</t>
    </rPh>
    <rPh sb="27" eb="29">
      <t>サンシュツ</t>
    </rPh>
    <phoneticPr fontId="4"/>
  </si>
  <si>
    <t>以前設計したｱﾘｵﾝﾃｯｸの増築工事。2棟。既存建物と近接。平板載荷試験にて支持力算出。</t>
    <rPh sb="0" eb="2">
      <t>イゼン</t>
    </rPh>
    <rPh sb="2" eb="4">
      <t>セッケイ</t>
    </rPh>
    <rPh sb="14" eb="16">
      <t>ゾウチク</t>
    </rPh>
    <rPh sb="16" eb="18">
      <t>コウジ</t>
    </rPh>
    <rPh sb="20" eb="21">
      <t>トウ</t>
    </rPh>
    <rPh sb="22" eb="24">
      <t>キソン</t>
    </rPh>
    <rPh sb="24" eb="26">
      <t>タテモノ</t>
    </rPh>
    <rPh sb="27" eb="29">
      <t>キンセツ</t>
    </rPh>
    <phoneticPr fontId="4"/>
  </si>
  <si>
    <t>平板載荷試験にて支持力算出。</t>
    <phoneticPr fontId="4"/>
  </si>
  <si>
    <t>2019.3.15竣工</t>
    <phoneticPr fontId="4"/>
  </si>
  <si>
    <t>共和産業株式会社 鮮魚作業場</t>
    <rPh sb="0" eb="2">
      <t>キョウワ</t>
    </rPh>
    <rPh sb="2" eb="4">
      <t>サンギョウ</t>
    </rPh>
    <rPh sb="4" eb="6">
      <t>カブシキ</t>
    </rPh>
    <rPh sb="6" eb="8">
      <t>カイシャ</t>
    </rPh>
    <rPh sb="9" eb="11">
      <t>センギョ</t>
    </rPh>
    <rPh sb="11" eb="13">
      <t>サギョウ</t>
    </rPh>
    <rPh sb="13" eb="14">
      <t>バ</t>
    </rPh>
    <phoneticPr fontId="4"/>
  </si>
  <si>
    <t>境港市</t>
    <phoneticPr fontId="4"/>
  </si>
  <si>
    <t>昭和町</t>
    <rPh sb="0" eb="2">
      <t>ショウワ</t>
    </rPh>
    <rPh sb="2" eb="3">
      <t>マチ</t>
    </rPh>
    <phoneticPr fontId="4"/>
  </si>
  <si>
    <t>株式会社 能勢建築構造研究所</t>
    <rPh sb="0" eb="2">
      <t>カブシキ</t>
    </rPh>
    <rPh sb="2" eb="4">
      <t>カイシャ</t>
    </rPh>
    <rPh sb="5" eb="7">
      <t>ノセ</t>
    </rPh>
    <rPh sb="7" eb="9">
      <t>ケンチク</t>
    </rPh>
    <rPh sb="9" eb="11">
      <t>コウゾウ</t>
    </rPh>
    <rPh sb="11" eb="14">
      <t>ケンキュウショ</t>
    </rPh>
    <phoneticPr fontId="4"/>
  </si>
  <si>
    <t>株式会社 能勢建築構造研究所</t>
    <phoneticPr fontId="4"/>
  </si>
  <si>
    <t>カブシキガイシャ ノセケンチクコウゾウケンキュウショ</t>
    <phoneticPr fontId="4"/>
  </si>
  <si>
    <t>1m</t>
    <phoneticPr fontId="4"/>
  </si>
  <si>
    <t>10m</t>
    <phoneticPr fontId="4"/>
  </si>
  <si>
    <t>3m</t>
    <phoneticPr fontId="4"/>
  </si>
  <si>
    <t>西新井6丁目商業施設(ｻﾝﾄﾞﾗｯｸﾞ)</t>
    <rPh sb="0" eb="1">
      <t>ニシ</t>
    </rPh>
    <rPh sb="1" eb="3">
      <t>アライ</t>
    </rPh>
    <rPh sb="4" eb="6">
      <t>チョウメ</t>
    </rPh>
    <rPh sb="6" eb="8">
      <t>ショウギョウ</t>
    </rPh>
    <rPh sb="8" eb="10">
      <t>シセツ</t>
    </rPh>
    <phoneticPr fontId="4"/>
  </si>
  <si>
    <t>ｼﾙﾄ</t>
    <phoneticPr fontId="4"/>
  </si>
  <si>
    <t>株式会社 確認サービス</t>
    <phoneticPr fontId="4"/>
  </si>
  <si>
    <t>山形県 庄内総合支庁</t>
    <phoneticPr fontId="4"/>
  </si>
  <si>
    <t>埋文あり。盛土(H=1.6m程度)あり。擁壁近接。</t>
    <rPh sb="0" eb="1">
      <t>マイ</t>
    </rPh>
    <rPh sb="1" eb="2">
      <t>ブン</t>
    </rPh>
    <rPh sb="5" eb="6">
      <t>モリ</t>
    </rPh>
    <rPh sb="6" eb="7">
      <t>ド</t>
    </rPh>
    <rPh sb="14" eb="16">
      <t>テイド</t>
    </rPh>
    <rPh sb="20" eb="21">
      <t>ヨウ</t>
    </rPh>
    <rPh sb="21" eb="22">
      <t>ヘキ</t>
    </rPh>
    <rPh sb="22" eb="24">
      <t>キンセツ</t>
    </rPh>
    <phoneticPr fontId="4"/>
  </si>
  <si>
    <t>守口MV計画</t>
    <phoneticPr fontId="4"/>
  </si>
  <si>
    <t>ウエルシア薬局新潟さつき野店</t>
    <phoneticPr fontId="4"/>
  </si>
  <si>
    <t>ウエルシア松本高宮西</t>
    <phoneticPr fontId="4"/>
  </si>
  <si>
    <t>ウエルシア薬局山武成東店</t>
    <phoneticPr fontId="4"/>
  </si>
  <si>
    <t>ウエルシア東川口</t>
    <phoneticPr fontId="4"/>
  </si>
  <si>
    <t>ウエルシア千葉土気</t>
    <phoneticPr fontId="4"/>
  </si>
  <si>
    <t>ウエルシア薬局君津西坂田店</t>
    <phoneticPr fontId="4"/>
  </si>
  <si>
    <t>ウエルシア新潟大学前</t>
    <phoneticPr fontId="4"/>
  </si>
  <si>
    <t>コープさっぽろ元町</t>
    <rPh sb="7" eb="9">
      <t>モトマチ</t>
    </rPh>
    <phoneticPr fontId="4"/>
  </si>
  <si>
    <t>コープ伊豆センター</t>
    <phoneticPr fontId="4"/>
  </si>
  <si>
    <t>スズキショールーム鹿の子台(増築)</t>
    <rPh sb="9" eb="10">
      <t>カ</t>
    </rPh>
    <rPh sb="11" eb="13">
      <t>コダイ</t>
    </rPh>
    <rPh sb="14" eb="16">
      <t>ゾウチク</t>
    </rPh>
    <phoneticPr fontId="4"/>
  </si>
  <si>
    <t>セレモニーホール篠原</t>
    <rPh sb="8" eb="10">
      <t>シノハラ</t>
    </rPh>
    <phoneticPr fontId="4"/>
  </si>
  <si>
    <t>草加谷塚上町計画 A棟</t>
    <rPh sb="0" eb="2">
      <t>ソウカ</t>
    </rPh>
    <rPh sb="2" eb="3">
      <t>タニ</t>
    </rPh>
    <rPh sb="3" eb="4">
      <t>ツカ</t>
    </rPh>
    <rPh sb="4" eb="5">
      <t>ウエ</t>
    </rPh>
    <rPh sb="5" eb="6">
      <t>マチ</t>
    </rPh>
    <rPh sb="6" eb="8">
      <t>ケイカク</t>
    </rPh>
    <rPh sb="10" eb="11">
      <t>トウ</t>
    </rPh>
    <phoneticPr fontId="4"/>
  </si>
  <si>
    <t>ツルハドラッグ宮城河北</t>
    <phoneticPr fontId="4"/>
  </si>
  <si>
    <t>ツルハドラッグ鶴岡新海店</t>
    <phoneticPr fontId="4"/>
  </si>
  <si>
    <t>ツルハドラッグひより台</t>
    <rPh sb="10" eb="11">
      <t>ダイ</t>
    </rPh>
    <phoneticPr fontId="4"/>
  </si>
  <si>
    <t>東北マツダ横手</t>
    <rPh sb="0" eb="2">
      <t>トウホク</t>
    </rPh>
    <phoneticPr fontId="4"/>
  </si>
  <si>
    <t>関西マツダ池田</t>
    <rPh sb="5" eb="7">
      <t>イケダ</t>
    </rPh>
    <phoneticPr fontId="4"/>
  </si>
  <si>
    <t>ハローズ住吉</t>
    <rPh sb="4" eb="6">
      <t>スミヨシ</t>
    </rPh>
    <phoneticPr fontId="4"/>
  </si>
  <si>
    <t>ハローズ三原</t>
    <rPh sb="4" eb="6">
      <t>ミハラ</t>
    </rPh>
    <phoneticPr fontId="4"/>
  </si>
  <si>
    <t>ハローズ向島</t>
    <rPh sb="4" eb="6">
      <t>ムカイシマ</t>
    </rPh>
    <phoneticPr fontId="4"/>
  </si>
  <si>
    <t>ハローズ向島 テナント棟</t>
    <rPh sb="4" eb="6">
      <t>ムカイシマ</t>
    </rPh>
    <rPh sb="11" eb="12">
      <t>トウ</t>
    </rPh>
    <phoneticPr fontId="4"/>
  </si>
  <si>
    <t>ホーマックニコット磯原木皿</t>
    <rPh sb="9" eb="11">
      <t>イソハラ</t>
    </rPh>
    <rPh sb="11" eb="12">
      <t>キ</t>
    </rPh>
    <rPh sb="12" eb="13">
      <t>サラ</t>
    </rPh>
    <phoneticPr fontId="4"/>
  </si>
  <si>
    <t>ホームセンターバロー久居インター</t>
    <rPh sb="10" eb="11">
      <t>ヒサ</t>
    </rPh>
    <rPh sb="11" eb="12">
      <t>キョ</t>
    </rPh>
    <phoneticPr fontId="4"/>
  </si>
  <si>
    <t>ホームセンターバロー名港</t>
    <rPh sb="10" eb="12">
      <t>メイコウ</t>
    </rPh>
    <phoneticPr fontId="4"/>
  </si>
  <si>
    <t>ヤマザワ寒河江 テナント棟</t>
    <rPh sb="4" eb="7">
      <t>サガエ</t>
    </rPh>
    <rPh sb="12" eb="13">
      <t>トウ</t>
    </rPh>
    <phoneticPr fontId="4"/>
  </si>
  <si>
    <t>ヨークベニマル古川</t>
    <rPh sb="7" eb="9">
      <t>フルカワ</t>
    </rPh>
    <phoneticPr fontId="4"/>
  </si>
  <si>
    <t>ヨークタウン落合2号棟(ﾎｰﾏｯｸ)</t>
    <rPh sb="6" eb="8">
      <t>オチアイ</t>
    </rPh>
    <rPh sb="9" eb="10">
      <t>ゴウ</t>
    </rPh>
    <rPh sb="10" eb="11">
      <t>トウ</t>
    </rPh>
    <phoneticPr fontId="4"/>
  </si>
  <si>
    <t>村上
近藤</t>
    <rPh sb="0" eb="2">
      <t>ムラカミ</t>
    </rPh>
    <rPh sb="3" eb="5">
      <t>コンドウ</t>
    </rPh>
    <phoneticPr fontId="4"/>
  </si>
  <si>
    <t>由利本荘市</t>
    <phoneticPr fontId="4"/>
  </si>
  <si>
    <t>上大野薬師堂字八街森</t>
    <rPh sb="0" eb="1">
      <t>ウエ</t>
    </rPh>
    <rPh sb="1" eb="3">
      <t>オオノ</t>
    </rPh>
    <rPh sb="3" eb="6">
      <t>ヤクシドウ</t>
    </rPh>
    <rPh sb="6" eb="7">
      <t>アザ</t>
    </rPh>
    <rPh sb="7" eb="8">
      <t>ハチ</t>
    </rPh>
    <rPh sb="8" eb="9">
      <t>マチ</t>
    </rPh>
    <rPh sb="9" eb="10">
      <t>モリ</t>
    </rPh>
    <phoneticPr fontId="4"/>
  </si>
  <si>
    <t>株式会社 エル建築設計事務所</t>
    <phoneticPr fontId="4"/>
  </si>
  <si>
    <t>株式会社 樹設計工房</t>
    <phoneticPr fontId="4"/>
  </si>
  <si>
    <t>ベイシア潮来</t>
    <rPh sb="4" eb="5">
      <t>シオ</t>
    </rPh>
    <rPh sb="5" eb="6">
      <t>ク</t>
    </rPh>
    <phoneticPr fontId="4"/>
  </si>
  <si>
    <t>潮来市</t>
    <rPh sb="0" eb="1">
      <t>シオ</t>
    </rPh>
    <rPh sb="1" eb="2">
      <t>ク</t>
    </rPh>
    <rPh sb="2" eb="3">
      <t>シ</t>
    </rPh>
    <phoneticPr fontId="4"/>
  </si>
  <si>
    <t>須賀南</t>
    <rPh sb="0" eb="2">
      <t>スガ</t>
    </rPh>
    <rPh sb="2" eb="3">
      <t>ミナミ</t>
    </rPh>
    <phoneticPr fontId="4"/>
  </si>
  <si>
    <t>1m</t>
    <phoneticPr fontId="4"/>
  </si>
  <si>
    <t>4m</t>
    <phoneticPr fontId="4"/>
  </si>
  <si>
    <t>財団法人 鳥取県建築住宅検査センター</t>
    <phoneticPr fontId="4"/>
  </si>
  <si>
    <t>ユイ</t>
    <phoneticPr fontId="4"/>
  </si>
  <si>
    <t>青森港地方創生拠点施設(青森港新中央埠頭旅客ﾀｰﾐﾅﾙ)</t>
    <rPh sb="0" eb="2">
      <t>アオモリ</t>
    </rPh>
    <rPh sb="2" eb="3">
      <t>コウ</t>
    </rPh>
    <rPh sb="3" eb="5">
      <t>チホウ</t>
    </rPh>
    <rPh sb="5" eb="7">
      <t>ソウセイ</t>
    </rPh>
    <rPh sb="7" eb="9">
      <t>キョテン</t>
    </rPh>
    <rPh sb="9" eb="11">
      <t>シセツ</t>
    </rPh>
    <rPh sb="12" eb="14">
      <t>アオモリ</t>
    </rPh>
    <rPh sb="14" eb="15">
      <t>ミナト</t>
    </rPh>
    <rPh sb="15" eb="16">
      <t>シン</t>
    </rPh>
    <rPh sb="16" eb="18">
      <t>チュウオウ</t>
    </rPh>
    <rPh sb="18" eb="20">
      <t>フトウ</t>
    </rPh>
    <rPh sb="20" eb="22">
      <t>リョカク</t>
    </rPh>
    <phoneticPr fontId="4"/>
  </si>
  <si>
    <t>青森市</t>
    <phoneticPr fontId="4"/>
  </si>
  <si>
    <t>青森港</t>
    <rPh sb="0" eb="2">
      <t>アオモリ</t>
    </rPh>
    <rPh sb="2" eb="3">
      <t>ミナト</t>
    </rPh>
    <phoneticPr fontId="4"/>
  </si>
  <si>
    <t>蟻塚学建築設計事務所</t>
    <rPh sb="0" eb="1">
      <t>アリ</t>
    </rPh>
    <rPh sb="1" eb="2">
      <t>ヅカ</t>
    </rPh>
    <rPh sb="2" eb="3">
      <t>マナ</t>
    </rPh>
    <rPh sb="3" eb="5">
      <t>ケンチク</t>
    </rPh>
    <rPh sb="5" eb="7">
      <t>セッケイ</t>
    </rPh>
    <rPh sb="7" eb="9">
      <t>ジム</t>
    </rPh>
    <rPh sb="9" eb="10">
      <t>ショ</t>
    </rPh>
    <phoneticPr fontId="4"/>
  </si>
  <si>
    <t>株式会社 建築構造研究所</t>
    <rPh sb="0" eb="2">
      <t>カブシキ</t>
    </rPh>
    <rPh sb="2" eb="4">
      <t>カイシャ</t>
    </rPh>
    <rPh sb="5" eb="7">
      <t>ケンチク</t>
    </rPh>
    <rPh sb="7" eb="9">
      <t>コウゾウ</t>
    </rPh>
    <rPh sb="9" eb="12">
      <t>ケンキュウショ</t>
    </rPh>
    <phoneticPr fontId="4"/>
  </si>
  <si>
    <t>盛土(ｼﾙﾄ質砂)</t>
    <rPh sb="0" eb="1">
      <t>モリ</t>
    </rPh>
    <rPh sb="1" eb="2">
      <t>ド</t>
    </rPh>
    <rPh sb="6" eb="7">
      <t>シツ</t>
    </rPh>
    <rPh sb="7" eb="8">
      <t>スナ</t>
    </rPh>
    <phoneticPr fontId="4"/>
  </si>
  <si>
    <t>盛土(砂質ｼﾙﾄ)</t>
    <rPh sb="0" eb="1">
      <t>モリ</t>
    </rPh>
    <rPh sb="1" eb="2">
      <t>ド</t>
    </rPh>
    <rPh sb="3" eb="4">
      <t>スナ</t>
    </rPh>
    <rPh sb="4" eb="5">
      <t>シツ</t>
    </rPh>
    <phoneticPr fontId="4"/>
  </si>
  <si>
    <t>盛土(細砂)</t>
    <rPh sb="0" eb="1">
      <t>モリ</t>
    </rPh>
    <rPh sb="1" eb="2">
      <t>ド</t>
    </rPh>
    <rPh sb="3" eb="4">
      <t>コマ</t>
    </rPh>
    <rPh sb="4" eb="5">
      <t>スナ</t>
    </rPh>
    <phoneticPr fontId="4"/>
  </si>
  <si>
    <t>2m</t>
    <phoneticPr fontId="4"/>
  </si>
  <si>
    <t>埋土(ｼﾙﾄ質砂)</t>
    <rPh sb="0" eb="1">
      <t>ウ</t>
    </rPh>
    <rPh sb="1" eb="2">
      <t>ド</t>
    </rPh>
    <rPh sb="6" eb="7">
      <t>シツ</t>
    </rPh>
    <rPh sb="7" eb="8">
      <t>スナ</t>
    </rPh>
    <phoneticPr fontId="4"/>
  </si>
  <si>
    <t>福岡県 福岡市役所</t>
    <rPh sb="0" eb="3">
      <t>フクオカケン</t>
    </rPh>
    <rPh sb="4" eb="6">
      <t>フクオカ</t>
    </rPh>
    <rPh sb="6" eb="9">
      <t>シヤクショ</t>
    </rPh>
    <phoneticPr fontId="4"/>
  </si>
  <si>
    <t>福岡県 福岡市役所</t>
    <phoneticPr fontId="4"/>
  </si>
  <si>
    <t>財団法人 鳥取県建築住宅検査センター</t>
    <phoneticPr fontId="4"/>
  </si>
  <si>
    <t>JA全農山形 庄内南部ﾗｲｽｽﾃｰｼｮﾝ</t>
    <rPh sb="2" eb="4">
      <t>ゼンノウ</t>
    </rPh>
    <rPh sb="4" eb="6">
      <t>ヤマガタ</t>
    </rPh>
    <rPh sb="7" eb="9">
      <t>ショウナイ</t>
    </rPh>
    <rPh sb="9" eb="11">
      <t>ナンブ</t>
    </rPh>
    <phoneticPr fontId="4"/>
  </si>
  <si>
    <t>山形県</t>
    <phoneticPr fontId="4"/>
  </si>
  <si>
    <t>三川町大字神花天神堂</t>
    <rPh sb="0" eb="2">
      <t>ミカワ</t>
    </rPh>
    <rPh sb="2" eb="3">
      <t>マチ</t>
    </rPh>
    <rPh sb="3" eb="5">
      <t>オオアザ</t>
    </rPh>
    <rPh sb="5" eb="6">
      <t>カミ</t>
    </rPh>
    <rPh sb="6" eb="7">
      <t>ハナ</t>
    </rPh>
    <rPh sb="7" eb="9">
      <t>テンジン</t>
    </rPh>
    <rPh sb="9" eb="10">
      <t>ドウ</t>
    </rPh>
    <phoneticPr fontId="4"/>
  </si>
  <si>
    <t>有限会社 奥山総合設計事務所</t>
    <rPh sb="0" eb="4">
      <t>ユウゲンガイシャ</t>
    </rPh>
    <rPh sb="5" eb="7">
      <t>オクヤマ</t>
    </rPh>
    <rPh sb="7" eb="9">
      <t>ソウゴウ</t>
    </rPh>
    <rPh sb="9" eb="11">
      <t>セッケイ</t>
    </rPh>
    <rPh sb="11" eb="13">
      <t>ジム</t>
    </rPh>
    <rPh sb="13" eb="14">
      <t>ショ</t>
    </rPh>
    <phoneticPr fontId="4"/>
  </si>
  <si>
    <t>全農山形一級建築士事務所</t>
    <phoneticPr fontId="4"/>
  </si>
  <si>
    <t>全農山形一級建築士事務所</t>
    <phoneticPr fontId="4"/>
  </si>
  <si>
    <t>2m</t>
    <phoneticPr fontId="4"/>
  </si>
  <si>
    <t>ｼﾙﾄ</t>
    <phoneticPr fontId="4"/>
  </si>
  <si>
    <t>1m</t>
    <phoneticPr fontId="4"/>
  </si>
  <si>
    <t>河川</t>
    <rPh sb="0" eb="2">
      <t>カセン</t>
    </rPh>
    <phoneticPr fontId="4"/>
  </si>
  <si>
    <t>-</t>
    <phoneticPr fontId="4"/>
  </si>
  <si>
    <t>土間勾配は砕石で処理</t>
    <rPh sb="0" eb="2">
      <t>ドマ</t>
    </rPh>
    <rPh sb="2" eb="4">
      <t>コウバイ</t>
    </rPh>
    <rPh sb="5" eb="7">
      <t>サイセキ</t>
    </rPh>
    <rPh sb="8" eb="10">
      <t>ショリ</t>
    </rPh>
    <phoneticPr fontId="4"/>
  </si>
  <si>
    <t>蟻塚学建築設計事務所</t>
    <phoneticPr fontId="4"/>
  </si>
  <si>
    <t>アリヅカマナブケンチクセッケイジムショ</t>
    <phoneticPr fontId="4"/>
  </si>
  <si>
    <t>株式会社 建築構造研究所</t>
    <phoneticPr fontId="4"/>
  </si>
  <si>
    <t>有限会社 優建築工房</t>
    <phoneticPr fontId="4"/>
  </si>
  <si>
    <t>180181-1</t>
    <phoneticPr fontId="4"/>
  </si>
  <si>
    <t>180181-2</t>
    <phoneticPr fontId="4"/>
  </si>
  <si>
    <t>株式会社 滋賀運送竜王物流ｾﾝﾀｰ 倉庫棟</t>
    <rPh sb="0" eb="2">
      <t>カブシキ</t>
    </rPh>
    <rPh sb="2" eb="4">
      <t>カイシャ</t>
    </rPh>
    <rPh sb="5" eb="7">
      <t>シガ</t>
    </rPh>
    <rPh sb="7" eb="9">
      <t>ウンソウ</t>
    </rPh>
    <rPh sb="9" eb="11">
      <t>リュウオウ</t>
    </rPh>
    <rPh sb="11" eb="13">
      <t>ブツリュウ</t>
    </rPh>
    <rPh sb="18" eb="20">
      <t>ソウコ</t>
    </rPh>
    <rPh sb="20" eb="21">
      <t>トウ</t>
    </rPh>
    <phoneticPr fontId="4"/>
  </si>
  <si>
    <t>株式会社 滋賀運送竜王物流ｾﾝﾀｰ 事務所棟</t>
    <rPh sb="0" eb="2">
      <t>カブシキ</t>
    </rPh>
    <rPh sb="2" eb="4">
      <t>カイシャ</t>
    </rPh>
    <rPh sb="5" eb="7">
      <t>シガ</t>
    </rPh>
    <rPh sb="7" eb="9">
      <t>ウンソウ</t>
    </rPh>
    <rPh sb="9" eb="11">
      <t>リュウオウ</t>
    </rPh>
    <rPh sb="11" eb="13">
      <t>ブツリュウ</t>
    </rPh>
    <rPh sb="18" eb="22">
      <t>ジムショトウ</t>
    </rPh>
    <phoneticPr fontId="4"/>
  </si>
  <si>
    <t>株式会社 滋賀運送竜王物流ｾﾝﾀｰ 休憩棟</t>
    <rPh sb="0" eb="2">
      <t>カブシキ</t>
    </rPh>
    <rPh sb="2" eb="4">
      <t>カイシャ</t>
    </rPh>
    <rPh sb="5" eb="7">
      <t>シガ</t>
    </rPh>
    <rPh sb="7" eb="9">
      <t>ウンソウ</t>
    </rPh>
    <rPh sb="9" eb="11">
      <t>リュウオウ</t>
    </rPh>
    <rPh sb="11" eb="13">
      <t>ブツリュウ</t>
    </rPh>
    <rPh sb="18" eb="21">
      <t>キュウケイトウ</t>
    </rPh>
    <phoneticPr fontId="4"/>
  </si>
  <si>
    <t>滋賀県</t>
    <phoneticPr fontId="4"/>
  </si>
  <si>
    <t>蒲生郡</t>
    <rPh sb="0" eb="3">
      <t>ガモウグン</t>
    </rPh>
    <phoneticPr fontId="4"/>
  </si>
  <si>
    <t>竜王町</t>
    <rPh sb="0" eb="2">
      <t>リュウオウ</t>
    </rPh>
    <rPh sb="2" eb="3">
      <t>マチ</t>
    </rPh>
    <phoneticPr fontId="4"/>
  </si>
  <si>
    <t>倉庫</t>
    <phoneticPr fontId="4"/>
  </si>
  <si>
    <t>株式会社 奥田工務店</t>
    <rPh sb="0" eb="4">
      <t>カブシキガイシャ</t>
    </rPh>
    <rPh sb="5" eb="7">
      <t>オクダ</t>
    </rPh>
    <rPh sb="7" eb="10">
      <t>コウムテン</t>
    </rPh>
    <phoneticPr fontId="4"/>
  </si>
  <si>
    <t>株式会社 奥田工務店</t>
    <phoneticPr fontId="4"/>
  </si>
  <si>
    <t>カブシキガイシャ オクダコウムテン</t>
    <phoneticPr fontId="4"/>
  </si>
  <si>
    <t>カブシイガイシャ ケンチクコウゾウケンキュウショ</t>
    <phoneticPr fontId="4"/>
  </si>
  <si>
    <t>1m</t>
    <phoneticPr fontId="4"/>
  </si>
  <si>
    <t>腐植土混じりｼﾙﾄ</t>
    <rPh sb="0" eb="3">
      <t>フショクド</t>
    </rPh>
    <rPh sb="3" eb="4">
      <t>マ</t>
    </rPh>
    <phoneticPr fontId="4"/>
  </si>
  <si>
    <t>-</t>
    <phoneticPr fontId="4"/>
  </si>
  <si>
    <t>5m</t>
    <phoneticPr fontId="4"/>
  </si>
  <si>
    <t>埋文あり。倉庫棟、事務所棟、休憩棟の3棟</t>
    <rPh sb="0" eb="1">
      <t>マイ</t>
    </rPh>
    <rPh sb="1" eb="2">
      <t>ブン</t>
    </rPh>
    <rPh sb="5" eb="7">
      <t>ソウコ</t>
    </rPh>
    <rPh sb="7" eb="8">
      <t>トウ</t>
    </rPh>
    <rPh sb="9" eb="11">
      <t>ジム</t>
    </rPh>
    <rPh sb="11" eb="12">
      <t>ショ</t>
    </rPh>
    <rPh sb="12" eb="13">
      <t>トウ</t>
    </rPh>
    <rPh sb="14" eb="16">
      <t>キュウケイ</t>
    </rPh>
    <rPh sb="16" eb="17">
      <t>トウ</t>
    </rPh>
    <rPh sb="19" eb="20">
      <t>トウ</t>
    </rPh>
    <phoneticPr fontId="4"/>
  </si>
  <si>
    <t>3</t>
    <phoneticPr fontId="4"/>
  </si>
  <si>
    <t>盛土</t>
    <phoneticPr fontId="4"/>
  </si>
  <si>
    <t>民間検査機構 オーネックス</t>
    <phoneticPr fontId="4"/>
  </si>
  <si>
    <t>ﾀｰﾐﾅﾙ</t>
    <phoneticPr fontId="4"/>
  </si>
  <si>
    <t>海・空地</t>
    <rPh sb="0" eb="1">
      <t>ウミ</t>
    </rPh>
    <rPh sb="2" eb="4">
      <t>クウチ</t>
    </rPh>
    <phoneticPr fontId="4"/>
  </si>
  <si>
    <t>北陸スバル福井開発 整備工場</t>
    <rPh sb="0" eb="2">
      <t>ホクリク</t>
    </rPh>
    <rPh sb="5" eb="7">
      <t>フクイ</t>
    </rPh>
    <rPh sb="7" eb="9">
      <t>カイハツ</t>
    </rPh>
    <rPh sb="10" eb="12">
      <t>セイビ</t>
    </rPh>
    <rPh sb="12" eb="14">
      <t>コウジョウ</t>
    </rPh>
    <phoneticPr fontId="4"/>
  </si>
  <si>
    <t>福井県</t>
    <phoneticPr fontId="4"/>
  </si>
  <si>
    <t>日本建設 株式会社</t>
    <phoneticPr fontId="4"/>
  </si>
  <si>
    <t>A棟、B棟の2棟。</t>
    <rPh sb="1" eb="2">
      <t>トウ</t>
    </rPh>
    <rPh sb="4" eb="5">
      <t>トウ</t>
    </rPh>
    <rPh sb="7" eb="8">
      <t>トウ</t>
    </rPh>
    <phoneticPr fontId="4"/>
  </si>
  <si>
    <t>1m</t>
    <phoneticPr fontId="4"/>
  </si>
  <si>
    <t>4m</t>
    <phoneticPr fontId="4"/>
  </si>
  <si>
    <t>スズキ自販関西枚方新店</t>
    <rPh sb="3" eb="5">
      <t>ジハン</t>
    </rPh>
    <rPh sb="5" eb="7">
      <t>カンサイ</t>
    </rPh>
    <rPh sb="7" eb="8">
      <t>マイ</t>
    </rPh>
    <rPh sb="8" eb="9">
      <t>カタ</t>
    </rPh>
    <rPh sb="9" eb="10">
      <t>シン</t>
    </rPh>
    <rPh sb="10" eb="11">
      <t>テン</t>
    </rPh>
    <phoneticPr fontId="4"/>
  </si>
  <si>
    <t>枚方市</t>
    <rPh sb="0" eb="1">
      <t>マイ</t>
    </rPh>
    <rPh sb="1" eb="2">
      <t>カタ</t>
    </rPh>
    <rPh sb="2" eb="3">
      <t>シ</t>
    </rPh>
    <phoneticPr fontId="4"/>
  </si>
  <si>
    <t>長尾家具町</t>
    <rPh sb="0" eb="2">
      <t>ナガオ</t>
    </rPh>
    <rPh sb="2" eb="4">
      <t>カグ</t>
    </rPh>
    <rPh sb="4" eb="5">
      <t>マチ</t>
    </rPh>
    <phoneticPr fontId="4"/>
  </si>
  <si>
    <t>井上建築設計事務所</t>
    <rPh sb="0" eb="2">
      <t>イノウエ</t>
    </rPh>
    <rPh sb="2" eb="4">
      <t>ケンチク</t>
    </rPh>
    <rPh sb="4" eb="6">
      <t>セッケイ</t>
    </rPh>
    <rPh sb="6" eb="8">
      <t>ジム</t>
    </rPh>
    <rPh sb="8" eb="9">
      <t>ショ</t>
    </rPh>
    <phoneticPr fontId="4"/>
  </si>
  <si>
    <t>井上建築設計事務所</t>
    <phoneticPr fontId="4"/>
  </si>
  <si>
    <t>イノウエケンチクセッケイジムショ</t>
    <phoneticPr fontId="4"/>
  </si>
  <si>
    <t>盛土(礫混じり粘土)</t>
    <rPh sb="0" eb="1">
      <t>モリ</t>
    </rPh>
    <rPh sb="1" eb="2">
      <t>ド</t>
    </rPh>
    <rPh sb="3" eb="4">
      <t>レキ</t>
    </rPh>
    <rPh sb="4" eb="5">
      <t>マ</t>
    </rPh>
    <rPh sb="7" eb="9">
      <t>ネンド</t>
    </rPh>
    <phoneticPr fontId="4"/>
  </si>
  <si>
    <t>-</t>
    <phoneticPr fontId="4"/>
  </si>
  <si>
    <t>有料老人ホーム・デイサービスセンター</t>
    <rPh sb="0" eb="2">
      <t>ユウリョウ</t>
    </rPh>
    <rPh sb="2" eb="4">
      <t>ロウジン</t>
    </rPh>
    <phoneticPr fontId="4"/>
  </si>
  <si>
    <t>五所川原市</t>
    <phoneticPr fontId="4"/>
  </si>
  <si>
    <t>栄町</t>
    <rPh sb="0" eb="1">
      <t>サカ</t>
    </rPh>
    <rPh sb="1" eb="2">
      <t>マチ</t>
    </rPh>
    <phoneticPr fontId="4"/>
  </si>
  <si>
    <t>老人福祉施設</t>
    <phoneticPr fontId="4"/>
  </si>
  <si>
    <t>3m</t>
    <phoneticPr fontId="4"/>
  </si>
  <si>
    <t>4m</t>
    <phoneticPr fontId="4"/>
  </si>
  <si>
    <t>SP工場</t>
    <rPh sb="2" eb="4">
      <t>コウジョウ</t>
    </rPh>
    <phoneticPr fontId="4"/>
  </si>
  <si>
    <t>勝連町字南風原</t>
    <rPh sb="0" eb="1">
      <t>カツ</t>
    </rPh>
    <rPh sb="1" eb="2">
      <t>レン</t>
    </rPh>
    <rPh sb="2" eb="3">
      <t>マチ</t>
    </rPh>
    <rPh sb="3" eb="4">
      <t>アザ</t>
    </rPh>
    <rPh sb="4" eb="5">
      <t>ミナミ</t>
    </rPh>
    <rPh sb="5" eb="6">
      <t>カゼ</t>
    </rPh>
    <rPh sb="6" eb="7">
      <t>ハラ</t>
    </rPh>
    <phoneticPr fontId="4"/>
  </si>
  <si>
    <t>ATELIER nero</t>
    <phoneticPr fontId="4"/>
  </si>
  <si>
    <t>ATELIER nero</t>
    <phoneticPr fontId="4"/>
  </si>
  <si>
    <t>株式会社 ケイ・ツー設計</t>
    <rPh sb="0" eb="2">
      <t>カブシキ</t>
    </rPh>
    <rPh sb="2" eb="4">
      <t>カイシャ</t>
    </rPh>
    <rPh sb="10" eb="12">
      <t>セッケイ</t>
    </rPh>
    <phoneticPr fontId="4"/>
  </si>
  <si>
    <t>株式会社 ケイ・ツー設計</t>
    <phoneticPr fontId="4"/>
  </si>
  <si>
    <t>カブシキガイシャ ケイ・ツーセッケイ</t>
    <phoneticPr fontId="4"/>
  </si>
  <si>
    <t>建物内 雨水貯留槽あり。建物内勾配あり。看板は杭基礎。</t>
    <rPh sb="0" eb="2">
      <t>タテモノ</t>
    </rPh>
    <rPh sb="2" eb="3">
      <t>ナイ</t>
    </rPh>
    <rPh sb="4" eb="6">
      <t>ウスイ</t>
    </rPh>
    <rPh sb="6" eb="8">
      <t>チョリュウ</t>
    </rPh>
    <rPh sb="8" eb="9">
      <t>ソウ</t>
    </rPh>
    <rPh sb="12" eb="14">
      <t>タテモノ</t>
    </rPh>
    <rPh sb="14" eb="15">
      <t>ナイ</t>
    </rPh>
    <rPh sb="15" eb="17">
      <t>コウバイ</t>
    </rPh>
    <rPh sb="20" eb="22">
      <t>カンバン</t>
    </rPh>
    <rPh sb="23" eb="24">
      <t>クイ</t>
    </rPh>
    <rPh sb="24" eb="26">
      <t>キソ</t>
    </rPh>
    <phoneticPr fontId="4"/>
  </si>
  <si>
    <t>財団法人 福島県建築安全機構</t>
    <rPh sb="0" eb="2">
      <t>ザイダン</t>
    </rPh>
    <rPh sb="2" eb="4">
      <t>ホウジン</t>
    </rPh>
    <rPh sb="5" eb="8">
      <t>フクシマケン</t>
    </rPh>
    <rPh sb="8" eb="10">
      <t>ケンチク</t>
    </rPh>
    <rPh sb="10" eb="12">
      <t>アンゼン</t>
    </rPh>
    <rPh sb="12" eb="14">
      <t>キコウ</t>
    </rPh>
    <phoneticPr fontId="4"/>
  </si>
  <si>
    <t>財団法人 福島県建築安全機構</t>
    <phoneticPr fontId="4"/>
  </si>
  <si>
    <t>共同組合 ビジバークおらが事務所</t>
    <rPh sb="0" eb="2">
      <t>キョウドウ</t>
    </rPh>
    <rPh sb="2" eb="4">
      <t>クミアイ</t>
    </rPh>
    <rPh sb="13" eb="15">
      <t>ジム</t>
    </rPh>
    <rPh sb="15" eb="16">
      <t>ショ</t>
    </rPh>
    <phoneticPr fontId="4"/>
  </si>
  <si>
    <t>西新涯町</t>
    <rPh sb="0" eb="1">
      <t>ニシ</t>
    </rPh>
    <rPh sb="1" eb="2">
      <t>シン</t>
    </rPh>
    <rPh sb="2" eb="3">
      <t>ガイ</t>
    </rPh>
    <rPh sb="3" eb="4">
      <t>マチ</t>
    </rPh>
    <phoneticPr fontId="4"/>
  </si>
  <si>
    <t>株式会社 渋谷設計</t>
    <rPh sb="0" eb="2">
      <t>カブシキ</t>
    </rPh>
    <rPh sb="2" eb="4">
      <t>カイシャ</t>
    </rPh>
    <rPh sb="5" eb="7">
      <t>シブタニ</t>
    </rPh>
    <rPh sb="7" eb="9">
      <t>セッケイ</t>
    </rPh>
    <phoneticPr fontId="4"/>
  </si>
  <si>
    <t>株式会社 渋谷設計</t>
    <phoneticPr fontId="4"/>
  </si>
  <si>
    <t>カブシキガイシャ シブタニセッケイ</t>
    <phoneticPr fontId="4"/>
  </si>
  <si>
    <t>株式会社 扶桑商会</t>
    <rPh sb="0" eb="4">
      <t>カブシキガイシャ</t>
    </rPh>
    <rPh sb="5" eb="7">
      <t>フソウ</t>
    </rPh>
    <rPh sb="7" eb="9">
      <t>ショウカイ</t>
    </rPh>
    <phoneticPr fontId="4"/>
  </si>
  <si>
    <t>カブシキガイシャ フソウショウカイ</t>
    <phoneticPr fontId="4"/>
  </si>
  <si>
    <t>1m</t>
    <phoneticPr fontId="4"/>
  </si>
  <si>
    <t>-</t>
    <phoneticPr fontId="4"/>
  </si>
  <si>
    <t>住宅・空地</t>
    <rPh sb="0" eb="2">
      <t>ジュウタク</t>
    </rPh>
    <rPh sb="3" eb="5">
      <t>クウチ</t>
    </rPh>
    <phoneticPr fontId="4"/>
  </si>
  <si>
    <t>盛土</t>
    <phoneticPr fontId="4"/>
  </si>
  <si>
    <t>株式会社 国際確認検査センター</t>
    <phoneticPr fontId="4"/>
  </si>
  <si>
    <t>開発工事あり。新設ﾎﾞｯｸﾙｶﾙﾊﾞｰﾄ近接。看板下地盤改良あり。</t>
    <rPh sb="0" eb="2">
      <t>カイハツ</t>
    </rPh>
    <rPh sb="2" eb="4">
      <t>コウジ</t>
    </rPh>
    <rPh sb="7" eb="9">
      <t>シンセツ</t>
    </rPh>
    <rPh sb="20" eb="22">
      <t>キンセツ</t>
    </rPh>
    <rPh sb="23" eb="25">
      <t>カンバン</t>
    </rPh>
    <rPh sb="25" eb="26">
      <t>シタ</t>
    </rPh>
    <rPh sb="26" eb="28">
      <t>ジバン</t>
    </rPh>
    <rPh sb="28" eb="30">
      <t>カイリョウ</t>
    </rPh>
    <phoneticPr fontId="4"/>
  </si>
  <si>
    <t>盛土</t>
    <phoneticPr fontId="4"/>
  </si>
  <si>
    <t>16m</t>
    <phoneticPr fontId="4"/>
  </si>
  <si>
    <t>盛土・砂礫</t>
    <rPh sb="0" eb="1">
      <t>モリ</t>
    </rPh>
    <rPh sb="1" eb="2">
      <t>ド</t>
    </rPh>
    <rPh sb="3" eb="5">
      <t>サレキ</t>
    </rPh>
    <phoneticPr fontId="4"/>
  </si>
  <si>
    <t>-</t>
    <phoneticPr fontId="4"/>
  </si>
  <si>
    <t>泊小柳町</t>
    <rPh sb="0" eb="1">
      <t>ハク</t>
    </rPh>
    <rPh sb="1" eb="4">
      <t>コヤナギチョウ</t>
    </rPh>
    <phoneticPr fontId="4"/>
  </si>
  <si>
    <t>180185-1</t>
    <phoneticPr fontId="4"/>
  </si>
  <si>
    <t>180185-2</t>
    <phoneticPr fontId="4"/>
  </si>
  <si>
    <t>本田興業 株式会社 本社ビル 事務所棟</t>
    <rPh sb="0" eb="2">
      <t>ホンダ</t>
    </rPh>
    <rPh sb="2" eb="4">
      <t>コウギョウ</t>
    </rPh>
    <rPh sb="5" eb="7">
      <t>カブシキ</t>
    </rPh>
    <rPh sb="7" eb="9">
      <t>カイシャ</t>
    </rPh>
    <rPh sb="10" eb="12">
      <t>ホンシャ</t>
    </rPh>
    <rPh sb="15" eb="17">
      <t>ジム</t>
    </rPh>
    <rPh sb="17" eb="18">
      <t>ショ</t>
    </rPh>
    <rPh sb="18" eb="19">
      <t>トウ</t>
    </rPh>
    <phoneticPr fontId="4"/>
  </si>
  <si>
    <t>本田興業 株式会社 本社ビル 倉庫棟</t>
    <rPh sb="0" eb="2">
      <t>ホンダ</t>
    </rPh>
    <rPh sb="2" eb="4">
      <t>コウギョウ</t>
    </rPh>
    <rPh sb="5" eb="7">
      <t>カブシキ</t>
    </rPh>
    <rPh sb="7" eb="9">
      <t>カイシャ</t>
    </rPh>
    <rPh sb="10" eb="12">
      <t>ホンシャ</t>
    </rPh>
    <rPh sb="15" eb="17">
      <t>ソウコ</t>
    </rPh>
    <rPh sb="17" eb="18">
      <t>トウ</t>
    </rPh>
    <phoneticPr fontId="4"/>
  </si>
  <si>
    <t>本田興業 株式会社 本社ビル 工場棟</t>
    <rPh sb="0" eb="2">
      <t>ホンダ</t>
    </rPh>
    <rPh sb="2" eb="4">
      <t>コウギョウ</t>
    </rPh>
    <rPh sb="5" eb="7">
      <t>カブシキ</t>
    </rPh>
    <rPh sb="7" eb="9">
      <t>カイシャ</t>
    </rPh>
    <rPh sb="10" eb="12">
      <t>ホンシャ</t>
    </rPh>
    <rPh sb="15" eb="17">
      <t>コウジョウ</t>
    </rPh>
    <rPh sb="17" eb="18">
      <t>トウ</t>
    </rPh>
    <phoneticPr fontId="4"/>
  </si>
  <si>
    <t>倶知安町八幡</t>
    <rPh sb="0" eb="3">
      <t>クッチャン</t>
    </rPh>
    <rPh sb="3" eb="4">
      <t>マチ</t>
    </rPh>
    <rPh sb="4" eb="6">
      <t>ヤハタ</t>
    </rPh>
    <phoneticPr fontId="4"/>
  </si>
  <si>
    <t>倉庫</t>
    <phoneticPr fontId="4"/>
  </si>
  <si>
    <t>街制作室 株式会社</t>
    <rPh sb="0" eb="1">
      <t>マチ</t>
    </rPh>
    <rPh sb="1" eb="4">
      <t>セイサクシツ</t>
    </rPh>
    <rPh sb="5" eb="7">
      <t>カブシキ</t>
    </rPh>
    <rPh sb="7" eb="9">
      <t>カイシャ</t>
    </rPh>
    <phoneticPr fontId="4"/>
  </si>
  <si>
    <t>街制作室 株式会社</t>
    <phoneticPr fontId="4"/>
  </si>
  <si>
    <t>マチセイサクシツ カブシキガイシャ</t>
    <phoneticPr fontId="4"/>
  </si>
  <si>
    <t>3m</t>
    <phoneticPr fontId="4"/>
  </si>
  <si>
    <t>-</t>
    <phoneticPr fontId="4"/>
  </si>
  <si>
    <t>有機質火山灰</t>
    <rPh sb="0" eb="3">
      <t>ユウキシツ</t>
    </rPh>
    <rPh sb="3" eb="5">
      <t>カザン</t>
    </rPh>
    <rPh sb="5" eb="6">
      <t>ハイ</t>
    </rPh>
    <phoneticPr fontId="4"/>
  </si>
  <si>
    <t>事務所棟、倉庫棟、工場棟の3棟</t>
    <rPh sb="0" eb="2">
      <t>ジム</t>
    </rPh>
    <rPh sb="2" eb="3">
      <t>ショ</t>
    </rPh>
    <rPh sb="3" eb="4">
      <t>トウ</t>
    </rPh>
    <rPh sb="5" eb="7">
      <t>ソウコ</t>
    </rPh>
    <rPh sb="7" eb="8">
      <t>トウ</t>
    </rPh>
    <rPh sb="9" eb="11">
      <t>コウジョウ</t>
    </rPh>
    <rPh sb="11" eb="12">
      <t>トウ</t>
    </rPh>
    <rPh sb="14" eb="15">
      <t>トウ</t>
    </rPh>
    <phoneticPr fontId="4"/>
  </si>
  <si>
    <t>-</t>
    <phoneticPr fontId="4"/>
  </si>
  <si>
    <t>埋土(細砂)</t>
    <rPh sb="0" eb="1">
      <t>ウ</t>
    </rPh>
    <rPh sb="1" eb="2">
      <t>ド</t>
    </rPh>
    <rPh sb="3" eb="4">
      <t>サイ</t>
    </rPh>
    <rPh sb="4" eb="5">
      <t>スナ</t>
    </rPh>
    <phoneticPr fontId="4"/>
  </si>
  <si>
    <t>4m</t>
    <phoneticPr fontId="4"/>
  </si>
  <si>
    <t>6m</t>
    <phoneticPr fontId="4"/>
  </si>
  <si>
    <t>2m</t>
    <phoneticPr fontId="4"/>
  </si>
  <si>
    <t>-</t>
    <phoneticPr fontId="4"/>
  </si>
  <si>
    <t>大宮区天沼町一丁目計画</t>
    <rPh sb="0" eb="3">
      <t>オオミヤク</t>
    </rPh>
    <rPh sb="3" eb="4">
      <t>テン</t>
    </rPh>
    <rPh sb="4" eb="5">
      <t>ヌマ</t>
    </rPh>
    <rPh sb="5" eb="6">
      <t>マチ</t>
    </rPh>
    <rPh sb="6" eb="9">
      <t>イッチョウメ</t>
    </rPh>
    <rPh sb="9" eb="11">
      <t>ケイカク</t>
    </rPh>
    <phoneticPr fontId="4"/>
  </si>
  <si>
    <t>大宮区天沼町</t>
    <rPh sb="0" eb="3">
      <t>オオミヤク</t>
    </rPh>
    <rPh sb="3" eb="4">
      <t>テン</t>
    </rPh>
    <rPh sb="4" eb="5">
      <t>ヌマ</t>
    </rPh>
    <rPh sb="5" eb="6">
      <t>マチ</t>
    </rPh>
    <phoneticPr fontId="4"/>
  </si>
  <si>
    <t>RC</t>
    <phoneticPr fontId="4"/>
  </si>
  <si>
    <t>バース建築設計 株式会社</t>
  </si>
  <si>
    <t>バース建築設計 株式会社</t>
    <rPh sb="3" eb="5">
      <t>ケンチク</t>
    </rPh>
    <rPh sb="5" eb="7">
      <t>セッケイ</t>
    </rPh>
    <rPh sb="8" eb="10">
      <t>カブシキ</t>
    </rPh>
    <rPh sb="10" eb="12">
      <t>カイシャ</t>
    </rPh>
    <phoneticPr fontId="4"/>
  </si>
  <si>
    <t>有限会社 千代田・構研設計</t>
    <rPh sb="0" eb="2">
      <t>ユウゲン</t>
    </rPh>
    <rPh sb="2" eb="4">
      <t>カイシャ</t>
    </rPh>
    <rPh sb="5" eb="8">
      <t>チヨダ</t>
    </rPh>
    <rPh sb="9" eb="10">
      <t>カマエ</t>
    </rPh>
    <rPh sb="10" eb="11">
      <t>ケン</t>
    </rPh>
    <rPh sb="11" eb="13">
      <t>セッケイ</t>
    </rPh>
    <phoneticPr fontId="4"/>
  </si>
  <si>
    <t>有限会社 千代田・構研設計</t>
    <phoneticPr fontId="4"/>
  </si>
  <si>
    <t>バースケンチクセッケイ カブシキガイシャ</t>
    <phoneticPr fontId="4"/>
  </si>
  <si>
    <t>ユウゲンガイシャ チヨダ・コウケンセッケイ</t>
    <phoneticPr fontId="4"/>
  </si>
  <si>
    <t>べた</t>
    <phoneticPr fontId="4"/>
  </si>
  <si>
    <t>3m</t>
    <phoneticPr fontId="4"/>
  </si>
  <si>
    <t>粘土質ﾛｰﾑ</t>
    <rPh sb="0" eb="2">
      <t>ネンド</t>
    </rPh>
    <rPh sb="2" eb="3">
      <t>シツ</t>
    </rPh>
    <phoneticPr fontId="4"/>
  </si>
  <si>
    <t>ﾛｰﾑ</t>
    <phoneticPr fontId="4"/>
  </si>
  <si>
    <t>5m</t>
    <phoneticPr fontId="4"/>
  </si>
  <si>
    <t>元請は川村建設</t>
    <rPh sb="0" eb="2">
      <t>モトウケ</t>
    </rPh>
    <rPh sb="3" eb="5">
      <t>カワムラ</t>
    </rPh>
    <rPh sb="5" eb="7">
      <t>ケンセツ</t>
    </rPh>
    <phoneticPr fontId="4"/>
  </si>
  <si>
    <t>向島流通ｻｰﾋﾞｽ㈱広野倉庫</t>
    <rPh sb="0" eb="2">
      <t>ムカイシマ</t>
    </rPh>
    <rPh sb="2" eb="4">
      <t>リュウツウ</t>
    </rPh>
    <rPh sb="10" eb="12">
      <t>ヒロノ</t>
    </rPh>
    <rPh sb="12" eb="14">
      <t>ソウコ</t>
    </rPh>
    <phoneticPr fontId="4"/>
  </si>
  <si>
    <t>山形県</t>
    <phoneticPr fontId="4"/>
  </si>
  <si>
    <t>酒田市</t>
    <phoneticPr fontId="4"/>
  </si>
  <si>
    <t>大字広野字榎橋</t>
    <rPh sb="0" eb="2">
      <t>オオアザ</t>
    </rPh>
    <rPh sb="2" eb="4">
      <t>ヒロノ</t>
    </rPh>
    <rPh sb="4" eb="5">
      <t>アザ</t>
    </rPh>
    <rPh sb="5" eb="6">
      <t>エノキ</t>
    </rPh>
    <rPh sb="6" eb="7">
      <t>バシ</t>
    </rPh>
    <phoneticPr fontId="4"/>
  </si>
  <si>
    <t>倉庫</t>
    <phoneticPr fontId="4"/>
  </si>
  <si>
    <t>株式会社 丸高</t>
    <rPh sb="0" eb="2">
      <t>カブシキ</t>
    </rPh>
    <rPh sb="2" eb="4">
      <t>カイシャ</t>
    </rPh>
    <rPh sb="5" eb="6">
      <t>マル</t>
    </rPh>
    <rPh sb="6" eb="7">
      <t>タカ</t>
    </rPh>
    <phoneticPr fontId="4"/>
  </si>
  <si>
    <t>株式会社 クオリア設計</t>
    <phoneticPr fontId="4"/>
  </si>
  <si>
    <t>株式会社 クオリア設計</t>
    <phoneticPr fontId="4"/>
  </si>
  <si>
    <t>1m</t>
    <phoneticPr fontId="4"/>
  </si>
  <si>
    <t>HTB駐車場</t>
    <rPh sb="3" eb="6">
      <t>チュウシャジョウ</t>
    </rPh>
    <phoneticPr fontId="4"/>
  </si>
  <si>
    <t>舞浜</t>
    <rPh sb="0" eb="2">
      <t>マイハマ</t>
    </rPh>
    <phoneticPr fontId="4"/>
  </si>
  <si>
    <t>-</t>
    <phoneticPr fontId="4"/>
  </si>
  <si>
    <t>清水建設 株式会社</t>
    <rPh sb="0" eb="2">
      <t>シミズ</t>
    </rPh>
    <rPh sb="2" eb="4">
      <t>ケンセツ</t>
    </rPh>
    <rPh sb="5" eb="7">
      <t>カブシキ</t>
    </rPh>
    <rPh sb="7" eb="9">
      <t>カイシャ</t>
    </rPh>
    <phoneticPr fontId="4"/>
  </si>
  <si>
    <t>清水建設 株式会社</t>
    <phoneticPr fontId="4"/>
  </si>
  <si>
    <t>シミズケンセツ カブシキガイシャ</t>
    <phoneticPr fontId="4"/>
  </si>
  <si>
    <t>埋土(ｼﾙﾄ)</t>
    <rPh sb="0" eb="1">
      <t>ウ</t>
    </rPh>
    <rPh sb="1" eb="2">
      <t>ド</t>
    </rPh>
    <phoneticPr fontId="4"/>
  </si>
  <si>
    <t>3m</t>
    <phoneticPr fontId="4"/>
  </si>
  <si>
    <t>埋土(砂質ｼﾙﾄ)</t>
    <rPh sb="0" eb="1">
      <t>ウ</t>
    </rPh>
    <rPh sb="1" eb="2">
      <t>ド</t>
    </rPh>
    <rPh sb="3" eb="4">
      <t>スナ</t>
    </rPh>
    <rPh sb="4" eb="5">
      <t>シツ</t>
    </rPh>
    <phoneticPr fontId="4"/>
  </si>
  <si>
    <t>3m</t>
    <phoneticPr fontId="4"/>
  </si>
  <si>
    <t>財団法人 愛知県建築住宅センター</t>
    <phoneticPr fontId="4"/>
  </si>
  <si>
    <t>ナイス由利本荘</t>
    <rPh sb="3" eb="7">
      <t>ユリホンジョウ</t>
    </rPh>
    <phoneticPr fontId="4"/>
  </si>
  <si>
    <t>表土(粘性土)</t>
    <rPh sb="0" eb="2">
      <t>ヒョウド</t>
    </rPh>
    <rPh sb="3" eb="5">
      <t>ネンセイ</t>
    </rPh>
    <rPh sb="5" eb="6">
      <t>ド</t>
    </rPh>
    <phoneticPr fontId="4"/>
  </si>
  <si>
    <t>株式会社 確認サービス</t>
    <phoneticPr fontId="4"/>
  </si>
  <si>
    <t>九州住宅保証 株式会社</t>
    <phoneticPr fontId="4"/>
  </si>
  <si>
    <t>ビューローベリタスジャパン株式会社(宮城)</t>
    <rPh sb="18" eb="20">
      <t>ミヤギ</t>
    </rPh>
    <phoneticPr fontId="4"/>
  </si>
  <si>
    <t>財団法人 福岡県建築住宅センター</t>
    <phoneticPr fontId="4"/>
  </si>
  <si>
    <t>財団法人 ベターリビング</t>
    <rPh sb="0" eb="2">
      <t>ザイダン</t>
    </rPh>
    <rPh sb="2" eb="4">
      <t>ホウジン</t>
    </rPh>
    <phoneticPr fontId="4"/>
  </si>
  <si>
    <t>3</t>
    <phoneticPr fontId="4"/>
  </si>
  <si>
    <t>-</t>
    <phoneticPr fontId="4"/>
  </si>
  <si>
    <t>事務所・住宅</t>
    <rPh sb="0" eb="2">
      <t>ジム</t>
    </rPh>
    <rPh sb="2" eb="3">
      <t>ショ</t>
    </rPh>
    <rPh sb="4" eb="6">
      <t>ジュウタク</t>
    </rPh>
    <phoneticPr fontId="4"/>
  </si>
  <si>
    <t>盛土(砂質土)</t>
    <rPh sb="3" eb="4">
      <t>スナ</t>
    </rPh>
    <rPh sb="4" eb="5">
      <t>シツ</t>
    </rPh>
    <rPh sb="5" eb="6">
      <t>ド</t>
    </rPh>
    <phoneticPr fontId="4"/>
  </si>
  <si>
    <t>4号建築物。新設擁壁近接。</t>
    <rPh sb="1" eb="2">
      <t>ゴウ</t>
    </rPh>
    <rPh sb="2" eb="5">
      <t>ケンチクブツ</t>
    </rPh>
    <rPh sb="6" eb="8">
      <t>シンセツ</t>
    </rPh>
    <rPh sb="8" eb="9">
      <t>ヨウ</t>
    </rPh>
    <rPh sb="9" eb="10">
      <t>ヘキ</t>
    </rPh>
    <rPh sb="10" eb="12">
      <t>キンセツ</t>
    </rPh>
    <phoneticPr fontId="4"/>
  </si>
  <si>
    <t>株式会社 扶桑商会</t>
    <phoneticPr fontId="4"/>
  </si>
  <si>
    <t>ユニバーサル設計</t>
    <rPh sb="6" eb="8">
      <t>セッケイ</t>
    </rPh>
    <phoneticPr fontId="4"/>
  </si>
  <si>
    <t>ユニバーサル設計</t>
    <phoneticPr fontId="4"/>
  </si>
  <si>
    <t>ユニバーサルセッケイ</t>
    <phoneticPr fontId="4"/>
  </si>
  <si>
    <t>財団法人 愛知県建築住宅センター</t>
    <phoneticPr fontId="4"/>
  </si>
  <si>
    <t>日本ERI 株式会社</t>
    <phoneticPr fontId="4"/>
  </si>
  <si>
    <t>アウェイ建築評価ネット株式会社</t>
  </si>
  <si>
    <t>財団法人 ベターリビング</t>
    <phoneticPr fontId="4"/>
  </si>
  <si>
    <t>株式会社 北日本建築検査機構</t>
    <phoneticPr fontId="4"/>
  </si>
  <si>
    <t>フーデリー霧島</t>
    <phoneticPr fontId="4"/>
  </si>
  <si>
    <t>沖本</t>
    <rPh sb="0" eb="1">
      <t>オキ</t>
    </rPh>
    <rPh sb="1" eb="2">
      <t>モト</t>
    </rPh>
    <phoneticPr fontId="4"/>
  </si>
  <si>
    <t>八戸市</t>
    <phoneticPr fontId="4"/>
  </si>
  <si>
    <t>卸センター</t>
    <rPh sb="0" eb="1">
      <t>オロシ</t>
    </rPh>
    <phoneticPr fontId="4"/>
  </si>
  <si>
    <t>有限会社 山本建築事務所</t>
    <rPh sb="0" eb="2">
      <t>ユウゲン</t>
    </rPh>
    <rPh sb="2" eb="4">
      <t>カイシャ</t>
    </rPh>
    <rPh sb="5" eb="7">
      <t>ヤマモト</t>
    </rPh>
    <rPh sb="7" eb="9">
      <t>ケンチク</t>
    </rPh>
    <rPh sb="9" eb="11">
      <t>ジム</t>
    </rPh>
    <rPh sb="11" eb="12">
      <t>ショ</t>
    </rPh>
    <phoneticPr fontId="4"/>
  </si>
  <si>
    <t>有限会社 山本建築事務所</t>
    <phoneticPr fontId="4"/>
  </si>
  <si>
    <t>ユウゲンガイシャ ヤマモトケンチクジムショ</t>
    <phoneticPr fontId="4"/>
  </si>
  <si>
    <t>4m</t>
    <phoneticPr fontId="4"/>
  </si>
  <si>
    <t>MINI北大阪</t>
    <rPh sb="4" eb="5">
      <t>キタ</t>
    </rPh>
    <rPh sb="5" eb="7">
      <t>オオサカ</t>
    </rPh>
    <phoneticPr fontId="4"/>
  </si>
  <si>
    <t>大阪市</t>
    <phoneticPr fontId="4"/>
  </si>
  <si>
    <t>西淀川区御幣島</t>
    <rPh sb="4" eb="5">
      <t>オ</t>
    </rPh>
    <rPh sb="5" eb="6">
      <t>ヘイ</t>
    </rPh>
    <rPh sb="6" eb="7">
      <t>シマ</t>
    </rPh>
    <phoneticPr fontId="4"/>
  </si>
  <si>
    <t>福岡県警航空隊【増築棟】</t>
    <rPh sb="0" eb="3">
      <t>フクオカケン</t>
    </rPh>
    <rPh sb="3" eb="4">
      <t>ケイ</t>
    </rPh>
    <rPh sb="4" eb="7">
      <t>コウクウタイ</t>
    </rPh>
    <rPh sb="8" eb="10">
      <t>ゾウチク</t>
    </rPh>
    <rPh sb="10" eb="11">
      <t>トウ</t>
    </rPh>
    <phoneticPr fontId="4"/>
  </si>
  <si>
    <t>180100-3</t>
    <phoneticPr fontId="4"/>
  </si>
  <si>
    <t>style Unit</t>
    <phoneticPr fontId="4"/>
  </si>
  <si>
    <t>株式会社 丸高</t>
    <phoneticPr fontId="4"/>
  </si>
  <si>
    <t>有限会社 奥山総合設計事務所</t>
    <phoneticPr fontId="4"/>
  </si>
  <si>
    <t>有限会社 奥山総合設計事務所</t>
    <rPh sb="0" eb="2">
      <t>ユウゲン</t>
    </rPh>
    <rPh sb="2" eb="4">
      <t>カイシャ</t>
    </rPh>
    <phoneticPr fontId="4"/>
  </si>
  <si>
    <t>財団法人 福岡県建築住宅センター</t>
    <phoneticPr fontId="4"/>
  </si>
  <si>
    <t>1-2</t>
    <phoneticPr fontId="4"/>
  </si>
  <si>
    <t>宮崎県</t>
    <rPh sb="0" eb="3">
      <t>ミヤザキケン</t>
    </rPh>
    <phoneticPr fontId="4"/>
  </si>
  <si>
    <t>宮崎市</t>
    <rPh sb="0" eb="3">
      <t>ミヤザキシ</t>
    </rPh>
    <phoneticPr fontId="4"/>
  </si>
  <si>
    <t>ラムー新潟亀田</t>
    <rPh sb="3" eb="5">
      <t>ニイガタ</t>
    </rPh>
    <rPh sb="5" eb="7">
      <t>カメダ</t>
    </rPh>
    <phoneticPr fontId="4"/>
  </si>
  <si>
    <t>新潟県</t>
    <phoneticPr fontId="4"/>
  </si>
  <si>
    <t>江南区西町</t>
    <rPh sb="0" eb="1">
      <t>エ</t>
    </rPh>
    <rPh sb="1" eb="2">
      <t>ミナミ</t>
    </rPh>
    <rPh sb="2" eb="3">
      <t>ク</t>
    </rPh>
    <rPh sb="3" eb="4">
      <t>ニシ</t>
    </rPh>
    <rPh sb="4" eb="5">
      <t>マチ</t>
    </rPh>
    <phoneticPr fontId="4"/>
  </si>
  <si>
    <t>-</t>
    <phoneticPr fontId="4"/>
  </si>
  <si>
    <t>盛土(ｼﾙﾄ)</t>
    <rPh sb="0" eb="1">
      <t>モリ</t>
    </rPh>
    <rPh sb="1" eb="2">
      <t>ド</t>
    </rPh>
    <phoneticPr fontId="4"/>
  </si>
  <si>
    <t>ホテル・駐車場</t>
    <rPh sb="4" eb="7">
      <t>チュウシャジョウ</t>
    </rPh>
    <phoneticPr fontId="4"/>
  </si>
  <si>
    <t>既存擁壁と近接。</t>
    <rPh sb="2" eb="3">
      <t>ヨウ</t>
    </rPh>
    <rPh sb="3" eb="4">
      <t>カベ</t>
    </rPh>
    <rPh sb="5" eb="7">
      <t>キンセツ</t>
    </rPh>
    <phoneticPr fontId="4"/>
  </si>
  <si>
    <t>財団法人 ふくしま建築住宅センター</t>
    <phoneticPr fontId="4"/>
  </si>
  <si>
    <t>網岡マンション</t>
    <rPh sb="0" eb="1">
      <t>アミ</t>
    </rPh>
    <rPh sb="1" eb="2">
      <t>オカ</t>
    </rPh>
    <phoneticPr fontId="4"/>
  </si>
  <si>
    <t>広島市</t>
    <phoneticPr fontId="4"/>
  </si>
  <si>
    <t>西区庚午南</t>
    <rPh sb="0" eb="2">
      <t>ニシク</t>
    </rPh>
    <rPh sb="4" eb="5">
      <t>ミナミ</t>
    </rPh>
    <phoneticPr fontId="4"/>
  </si>
  <si>
    <t>盛土(砂質土)</t>
    <rPh sb="0" eb="1">
      <t>モリ</t>
    </rPh>
    <rPh sb="1" eb="2">
      <t>ド</t>
    </rPh>
    <rPh sb="3" eb="4">
      <t>スナ</t>
    </rPh>
    <rPh sb="4" eb="5">
      <t>シツ</t>
    </rPh>
    <rPh sb="5" eb="6">
      <t>ド</t>
    </rPh>
    <phoneticPr fontId="4"/>
  </si>
  <si>
    <t>島根県 松江市役所</t>
    <rPh sb="0" eb="3">
      <t>シマネケン</t>
    </rPh>
    <rPh sb="4" eb="6">
      <t>マツエ</t>
    </rPh>
    <rPh sb="6" eb="9">
      <t>シヤクショ</t>
    </rPh>
    <phoneticPr fontId="4"/>
  </si>
  <si>
    <t>島根県 松江市役所</t>
    <phoneticPr fontId="4"/>
  </si>
  <si>
    <t>山名
尾川</t>
    <rPh sb="0" eb="2">
      <t>ヤマナ</t>
    </rPh>
    <rPh sb="3" eb="5">
      <t>オガワ</t>
    </rPh>
    <phoneticPr fontId="4"/>
  </si>
  <si>
    <t>近藤
ユイ</t>
    <rPh sb="0" eb="2">
      <t>コンドウ</t>
    </rPh>
    <phoneticPr fontId="4"/>
  </si>
  <si>
    <t>株式会社 朝日建装</t>
    <phoneticPr fontId="4"/>
  </si>
  <si>
    <t>株式会社 コンパース</t>
    <phoneticPr fontId="4"/>
  </si>
  <si>
    <t>原町田6丁目駐車場</t>
    <rPh sb="0" eb="1">
      <t>ハラ</t>
    </rPh>
    <rPh sb="1" eb="3">
      <t>マチダ</t>
    </rPh>
    <rPh sb="4" eb="6">
      <t>チョウメ</t>
    </rPh>
    <rPh sb="6" eb="9">
      <t>チュウシャジョウ</t>
    </rPh>
    <phoneticPr fontId="4"/>
  </si>
  <si>
    <t>町田市</t>
    <rPh sb="0" eb="3">
      <t>マチダシ</t>
    </rPh>
    <phoneticPr fontId="4"/>
  </si>
  <si>
    <t>原町田</t>
    <rPh sb="0" eb="1">
      <t>ハラ</t>
    </rPh>
    <rPh sb="1" eb="3">
      <t>マチダ</t>
    </rPh>
    <phoneticPr fontId="4"/>
  </si>
  <si>
    <t>4層5段</t>
    <rPh sb="1" eb="2">
      <t>ソウ</t>
    </rPh>
    <rPh sb="3" eb="4">
      <t>ダン</t>
    </rPh>
    <phoneticPr fontId="4"/>
  </si>
  <si>
    <t>4m</t>
    <phoneticPr fontId="4"/>
  </si>
  <si>
    <t>ﾛｰﾑ</t>
    <phoneticPr fontId="4"/>
  </si>
  <si>
    <t>1m</t>
    <phoneticPr fontId="4"/>
  </si>
  <si>
    <t>2m</t>
    <phoneticPr fontId="4"/>
  </si>
  <si>
    <t>3m</t>
    <phoneticPr fontId="4"/>
  </si>
  <si>
    <t>アイサワ工業 株式会社</t>
    <phoneticPr fontId="4"/>
  </si>
  <si>
    <t>スタイルユニット</t>
    <phoneticPr fontId="4"/>
  </si>
  <si>
    <t>カブシキガイシャ マルタカ</t>
    <phoneticPr fontId="4"/>
  </si>
  <si>
    <t>小俣幸三設計室</t>
    <phoneticPr fontId="4"/>
  </si>
  <si>
    <t>オマタコウゾウセッケイシツ</t>
    <phoneticPr fontId="4"/>
  </si>
  <si>
    <t>トウオウケンセツ</t>
    <phoneticPr fontId="4"/>
  </si>
  <si>
    <t>H30.09.07 大坂様にメールにて</t>
    <rPh sb="10" eb="12">
      <t>オオサカ</t>
    </rPh>
    <rPh sb="12" eb="13">
      <t>サマ</t>
    </rPh>
    <phoneticPr fontId="4"/>
  </si>
  <si>
    <t>にいはる工業団地</t>
    <rPh sb="4" eb="6">
      <t>コウギョウ</t>
    </rPh>
    <rPh sb="6" eb="8">
      <t>ダンチ</t>
    </rPh>
    <phoneticPr fontId="4"/>
  </si>
  <si>
    <t>1</t>
    <phoneticPr fontId="4"/>
  </si>
  <si>
    <t>3</t>
    <phoneticPr fontId="4"/>
  </si>
  <si>
    <t>ﾃﾞｯｷ</t>
    <phoneticPr fontId="4"/>
  </si>
  <si>
    <t>2</t>
    <phoneticPr fontId="4"/>
  </si>
  <si>
    <t>4号建築物。</t>
    <rPh sb="1" eb="2">
      <t>ゴウ</t>
    </rPh>
    <rPh sb="2" eb="5">
      <t>ケンチクブツ</t>
    </rPh>
    <phoneticPr fontId="4"/>
  </si>
  <si>
    <t>金町Ⅱ計画 店舗棟</t>
    <rPh sb="0" eb="2">
      <t>カナマチ</t>
    </rPh>
    <rPh sb="3" eb="5">
      <t>ケイカク</t>
    </rPh>
    <rPh sb="6" eb="8">
      <t>テンポ</t>
    </rPh>
    <rPh sb="8" eb="9">
      <t>トウ</t>
    </rPh>
    <phoneticPr fontId="4"/>
  </si>
  <si>
    <t>新宿</t>
    <rPh sb="0" eb="2">
      <t>シンジュク</t>
    </rPh>
    <phoneticPr fontId="4"/>
  </si>
  <si>
    <t>○</t>
    <phoneticPr fontId="4"/>
  </si>
  <si>
    <t>-</t>
    <phoneticPr fontId="4"/>
  </si>
  <si>
    <t>○
6m</t>
    <phoneticPr fontId="4"/>
  </si>
  <si>
    <t>ﾊｲﾌﾞﾘｯﾄﾞ6m</t>
    <phoneticPr fontId="4"/>
  </si>
  <si>
    <t>八木橋工業自社工場</t>
    <rPh sb="0" eb="1">
      <t>ハチ</t>
    </rPh>
    <rPh sb="1" eb="2">
      <t>キ</t>
    </rPh>
    <rPh sb="2" eb="3">
      <t>ハシ</t>
    </rPh>
    <rPh sb="3" eb="5">
      <t>コウギョウ</t>
    </rPh>
    <rPh sb="5" eb="7">
      <t>ジシャ</t>
    </rPh>
    <rPh sb="7" eb="9">
      <t>コウジョウ</t>
    </rPh>
    <phoneticPr fontId="4"/>
  </si>
  <si>
    <t>青森市</t>
    <phoneticPr fontId="4"/>
  </si>
  <si>
    <t>大字野木山口</t>
    <rPh sb="0" eb="2">
      <t>オオアザ</t>
    </rPh>
    <rPh sb="2" eb="3">
      <t>ノ</t>
    </rPh>
    <rPh sb="3" eb="4">
      <t>キ</t>
    </rPh>
    <rPh sb="4" eb="6">
      <t>ヤマグチ</t>
    </rPh>
    <phoneticPr fontId="4"/>
  </si>
  <si>
    <t>有限会社 羽賀設計</t>
    <rPh sb="0" eb="2">
      <t>ユウゲン</t>
    </rPh>
    <rPh sb="2" eb="4">
      <t>カイシャ</t>
    </rPh>
    <rPh sb="5" eb="7">
      <t>ハガ</t>
    </rPh>
    <rPh sb="7" eb="9">
      <t>セッケイ</t>
    </rPh>
    <phoneticPr fontId="4"/>
  </si>
  <si>
    <t>有限会社 羽賀設計</t>
    <phoneticPr fontId="4"/>
  </si>
  <si>
    <t>ユウゲンガイシャ ハガセッケイ</t>
    <phoneticPr fontId="4"/>
  </si>
  <si>
    <t>一級建築士事務所 Mkozo</t>
    <phoneticPr fontId="4"/>
  </si>
  <si>
    <t xml:space="preserve">イッキュウケンチクシジムショ Mkozo </t>
    <phoneticPr fontId="4"/>
  </si>
  <si>
    <t>西区築港新町</t>
    <rPh sb="0" eb="2">
      <t>ニシク</t>
    </rPh>
    <rPh sb="2" eb="3">
      <t>チク</t>
    </rPh>
    <rPh sb="3" eb="4">
      <t>ミナト</t>
    </rPh>
    <rPh sb="4" eb="5">
      <t>シン</t>
    </rPh>
    <rPh sb="5" eb="6">
      <t>マチ</t>
    </rPh>
    <phoneticPr fontId="4"/>
  </si>
  <si>
    <t>ｽﾊﾟﾝ16m</t>
    <phoneticPr fontId="4"/>
  </si>
  <si>
    <t>1.03(200gal,M=7.5)</t>
    <phoneticPr fontId="4"/>
  </si>
  <si>
    <t>1m</t>
    <phoneticPr fontId="4"/>
  </si>
  <si>
    <t>盛土(砂質ｼﾙﾄ)</t>
    <rPh sb="3" eb="4">
      <t>スナ</t>
    </rPh>
    <rPh sb="4" eb="5">
      <t>シツ</t>
    </rPh>
    <phoneticPr fontId="4"/>
  </si>
  <si>
    <t>財団法人 福井県建築住宅センター</t>
    <phoneticPr fontId="4"/>
  </si>
  <si>
    <t>15.4(RF)
14.8(2F)</t>
    <phoneticPr fontId="4"/>
  </si>
  <si>
    <t>16.1(RF)
34.9(2F)</t>
    <phoneticPr fontId="4"/>
  </si>
  <si>
    <t xml:space="preserve"> 5.9(RF)
14.4(2F)</t>
    <phoneticPr fontId="4"/>
  </si>
  <si>
    <t>37.4(RF)
64.1(2F)</t>
    <phoneticPr fontId="4"/>
  </si>
  <si>
    <t>株式会社 アーバン建築確認検査機関</t>
    <rPh sb="0" eb="2">
      <t>カブシキ</t>
    </rPh>
    <rPh sb="2" eb="4">
      <t>カイシャ</t>
    </rPh>
    <rPh sb="9" eb="11">
      <t>ケンチク</t>
    </rPh>
    <rPh sb="11" eb="13">
      <t>カクニン</t>
    </rPh>
    <rPh sb="13" eb="15">
      <t>ケンサ</t>
    </rPh>
    <rPh sb="15" eb="17">
      <t>キカン</t>
    </rPh>
    <phoneticPr fontId="4"/>
  </si>
  <si>
    <t>株式会社 アーバン建築確認検査機関</t>
    <phoneticPr fontId="4"/>
  </si>
  <si>
    <t>埋土・粗中砂</t>
    <rPh sb="0" eb="1">
      <t>ウ</t>
    </rPh>
    <rPh sb="1" eb="2">
      <t>ド</t>
    </rPh>
    <rPh sb="3" eb="4">
      <t>アラ</t>
    </rPh>
    <rPh sb="4" eb="5">
      <t>ナカ</t>
    </rPh>
    <rPh sb="5" eb="6">
      <t>スナ</t>
    </rPh>
    <phoneticPr fontId="4"/>
  </si>
  <si>
    <t>海に近い。平板載荷試験実施。ﾊｲﾌﾞﾘｯﾄﾞ6m</t>
    <rPh sb="0" eb="1">
      <t>ウミ</t>
    </rPh>
    <rPh sb="2" eb="3">
      <t>チカ</t>
    </rPh>
    <rPh sb="5" eb="7">
      <t>ヘイバン</t>
    </rPh>
    <rPh sb="7" eb="8">
      <t>サイ</t>
    </rPh>
    <rPh sb="8" eb="9">
      <t>カ</t>
    </rPh>
    <rPh sb="9" eb="11">
      <t>シケン</t>
    </rPh>
    <rPh sb="11" eb="13">
      <t>ジッシ</t>
    </rPh>
    <phoneticPr fontId="4"/>
  </si>
  <si>
    <t>砂混じりｼﾙﾄ質砂</t>
    <rPh sb="0" eb="1">
      <t>スナ</t>
    </rPh>
    <rPh sb="1" eb="2">
      <t>マ</t>
    </rPh>
    <rPh sb="7" eb="8">
      <t>シツ</t>
    </rPh>
    <rPh sb="8" eb="9">
      <t>スナ</t>
    </rPh>
    <phoneticPr fontId="4"/>
  </si>
  <si>
    <t>㈱川健川村商店倉庫</t>
    <rPh sb="1" eb="2">
      <t>カワ</t>
    </rPh>
    <rPh sb="2" eb="3">
      <t>ケン</t>
    </rPh>
    <rPh sb="3" eb="5">
      <t>カワムラ</t>
    </rPh>
    <rPh sb="5" eb="7">
      <t>ショウテン</t>
    </rPh>
    <rPh sb="7" eb="9">
      <t>ソウコ</t>
    </rPh>
    <phoneticPr fontId="4"/>
  </si>
  <si>
    <t>倉庫</t>
    <phoneticPr fontId="4"/>
  </si>
  <si>
    <t>株式会社 川島隆太郎建築事務所</t>
    <rPh sb="0" eb="2">
      <t>カブシキ</t>
    </rPh>
    <rPh sb="2" eb="4">
      <t>カイシャ</t>
    </rPh>
    <rPh sb="5" eb="7">
      <t>カワシマ</t>
    </rPh>
    <rPh sb="7" eb="10">
      <t>タカタロウ</t>
    </rPh>
    <rPh sb="10" eb="12">
      <t>ケンチク</t>
    </rPh>
    <rPh sb="12" eb="14">
      <t>ジム</t>
    </rPh>
    <rPh sb="14" eb="15">
      <t>ショ</t>
    </rPh>
    <phoneticPr fontId="4"/>
  </si>
  <si>
    <t>株式会社 川島隆太郎建築事務所</t>
    <phoneticPr fontId="4"/>
  </si>
  <si>
    <t>有限会社 阿部構造設計事務所</t>
    <phoneticPr fontId="4"/>
  </si>
  <si>
    <t>有限会社 阿部構造設計事務所</t>
    <phoneticPr fontId="4"/>
  </si>
  <si>
    <t>9m</t>
    <phoneticPr fontId="4"/>
  </si>
  <si>
    <t>6m</t>
    <phoneticPr fontId="4"/>
  </si>
  <si>
    <t>東洋アイテック鳥取工場 学生寮</t>
    <rPh sb="0" eb="2">
      <t>トウヨウ</t>
    </rPh>
    <rPh sb="7" eb="9">
      <t>トットリ</t>
    </rPh>
    <rPh sb="9" eb="11">
      <t>コウジョウ</t>
    </rPh>
    <rPh sb="12" eb="15">
      <t>ガクセイリョウ</t>
    </rPh>
    <phoneticPr fontId="4"/>
  </si>
  <si>
    <t>セルポール山形</t>
    <rPh sb="5" eb="7">
      <t>ヤマガタ</t>
    </rPh>
    <phoneticPr fontId="4"/>
  </si>
  <si>
    <t>酒田市</t>
    <phoneticPr fontId="4"/>
  </si>
  <si>
    <t>字西田</t>
    <rPh sb="0" eb="1">
      <t>アザ</t>
    </rPh>
    <rPh sb="1" eb="2">
      <t>ニシ</t>
    </rPh>
    <rPh sb="2" eb="3">
      <t>タ</t>
    </rPh>
    <phoneticPr fontId="4"/>
  </si>
  <si>
    <t>2</t>
    <phoneticPr fontId="4"/>
  </si>
  <si>
    <t>穀物倉庫</t>
    <rPh sb="0" eb="2">
      <t>コクモツ</t>
    </rPh>
    <rPh sb="2" eb="4">
      <t>ソウコ</t>
    </rPh>
    <phoneticPr fontId="4"/>
  </si>
  <si>
    <t>意匠事務所より、穀物をパレットにて積むとの事。</t>
    <rPh sb="0" eb="2">
      <t>イショウ</t>
    </rPh>
    <rPh sb="2" eb="4">
      <t>ジム</t>
    </rPh>
    <rPh sb="4" eb="5">
      <t>ショ</t>
    </rPh>
    <rPh sb="8" eb="10">
      <t>コクモツ</t>
    </rPh>
    <rPh sb="17" eb="18">
      <t>ツ</t>
    </rPh>
    <rPh sb="21" eb="22">
      <t>コト</t>
    </rPh>
    <phoneticPr fontId="16"/>
  </si>
  <si>
    <t>6m</t>
    <phoneticPr fontId="4"/>
  </si>
  <si>
    <t>10m</t>
    <phoneticPr fontId="4"/>
  </si>
  <si>
    <t>4m</t>
    <phoneticPr fontId="4"/>
  </si>
  <si>
    <t>2m</t>
    <phoneticPr fontId="4"/>
  </si>
  <si>
    <t>休憩室</t>
    <rPh sb="0" eb="3">
      <t>キュウケイシツ</t>
    </rPh>
    <phoneticPr fontId="4"/>
  </si>
  <si>
    <t>広島バス㈱井口車庫事務所</t>
    <rPh sb="0" eb="2">
      <t>ヒロシマ</t>
    </rPh>
    <rPh sb="5" eb="7">
      <t>イノクチ</t>
    </rPh>
    <rPh sb="7" eb="9">
      <t>シャコ</t>
    </rPh>
    <rPh sb="9" eb="11">
      <t>ジム</t>
    </rPh>
    <rPh sb="11" eb="12">
      <t>ショ</t>
    </rPh>
    <phoneticPr fontId="4"/>
  </si>
  <si>
    <t>広島市</t>
    <phoneticPr fontId="4"/>
  </si>
  <si>
    <t>西区商工センター</t>
    <rPh sb="0" eb="2">
      <t>ニシク</t>
    </rPh>
    <rPh sb="2" eb="4">
      <t>ショウコウ</t>
    </rPh>
    <phoneticPr fontId="4"/>
  </si>
  <si>
    <t>株式会社 カナイ建築構造事務所</t>
    <phoneticPr fontId="4"/>
  </si>
  <si>
    <t>盛土・砂質土</t>
    <rPh sb="0" eb="1">
      <t>モリ</t>
    </rPh>
    <rPh sb="1" eb="2">
      <t>ド</t>
    </rPh>
    <rPh sb="3" eb="4">
      <t>スナ</t>
    </rPh>
    <rPh sb="4" eb="5">
      <t>シツ</t>
    </rPh>
    <rPh sb="5" eb="6">
      <t>ド</t>
    </rPh>
    <phoneticPr fontId="4"/>
  </si>
  <si>
    <t>8m</t>
    <phoneticPr fontId="4"/>
  </si>
  <si>
    <t>4m</t>
    <phoneticPr fontId="4"/>
  </si>
  <si>
    <t>7m</t>
    <phoneticPr fontId="4"/>
  </si>
  <si>
    <t>5m</t>
    <phoneticPr fontId="4"/>
  </si>
  <si>
    <t>看板下地盤改良あり</t>
    <rPh sb="0" eb="2">
      <t>カンバン</t>
    </rPh>
    <rPh sb="2" eb="3">
      <t>シタ</t>
    </rPh>
    <rPh sb="3" eb="5">
      <t>ジバン</t>
    </rPh>
    <rPh sb="5" eb="7">
      <t>カイリョウ</t>
    </rPh>
    <phoneticPr fontId="4"/>
  </si>
  <si>
    <t>MA-HOUSE</t>
    <phoneticPr fontId="4"/>
  </si>
  <si>
    <t>窪田建築アトリエ</t>
    <phoneticPr fontId="4"/>
  </si>
  <si>
    <t>松山市</t>
    <rPh sb="0" eb="3">
      <t>マツヤマシ</t>
    </rPh>
    <phoneticPr fontId="4"/>
  </si>
  <si>
    <t>木屋町</t>
    <rPh sb="0" eb="1">
      <t>キ</t>
    </rPh>
    <rPh sb="1" eb="2">
      <t>ヤ</t>
    </rPh>
    <rPh sb="2" eb="3">
      <t>マチ</t>
    </rPh>
    <phoneticPr fontId="4"/>
  </si>
  <si>
    <t>既存建物への増築工事</t>
    <rPh sb="0" eb="2">
      <t>キソン</t>
    </rPh>
    <rPh sb="2" eb="4">
      <t>タテモノ</t>
    </rPh>
    <rPh sb="6" eb="8">
      <t>ゾウチク</t>
    </rPh>
    <rPh sb="8" eb="10">
      <t>コウジ</t>
    </rPh>
    <phoneticPr fontId="4"/>
  </si>
  <si>
    <t>以前設計した工場棟の隣の敷地</t>
    <rPh sb="0" eb="2">
      <t>イゼン</t>
    </rPh>
    <rPh sb="2" eb="4">
      <t>セッケイ</t>
    </rPh>
    <rPh sb="6" eb="8">
      <t>コウジョウ</t>
    </rPh>
    <rPh sb="8" eb="9">
      <t>トウ</t>
    </rPh>
    <rPh sb="10" eb="11">
      <t>トナリ</t>
    </rPh>
    <rPh sb="12" eb="14">
      <t>シキチ</t>
    </rPh>
    <phoneticPr fontId="4"/>
  </si>
  <si>
    <t>埋土・ﾛｰﾑ質土</t>
    <rPh sb="0" eb="1">
      <t>ウ</t>
    </rPh>
    <rPh sb="1" eb="2">
      <t>ド</t>
    </rPh>
    <rPh sb="6" eb="7">
      <t>シツ</t>
    </rPh>
    <rPh sb="7" eb="8">
      <t>ド</t>
    </rPh>
    <phoneticPr fontId="4"/>
  </si>
  <si>
    <t>地中梁1800x1200、基礎せい1400と大きい</t>
    <rPh sb="0" eb="2">
      <t>チチュウ</t>
    </rPh>
    <rPh sb="2" eb="3">
      <t>ハリ</t>
    </rPh>
    <rPh sb="13" eb="15">
      <t>キソ</t>
    </rPh>
    <rPh sb="22" eb="23">
      <t>オオ</t>
    </rPh>
    <phoneticPr fontId="4"/>
  </si>
  <si>
    <t>バロー浜松有玉店(A棟)</t>
    <rPh sb="10" eb="11">
      <t>トウ</t>
    </rPh>
    <phoneticPr fontId="4"/>
  </si>
  <si>
    <t>堺製油所体感訓練設備の導入(旧 コスモ石油㈱訓練棟新築計画)</t>
    <rPh sb="14" eb="15">
      <t>キュウ</t>
    </rPh>
    <rPh sb="19" eb="21">
      <t>セキユ</t>
    </rPh>
    <phoneticPr fontId="4"/>
  </si>
  <si>
    <t>ﾐｭｰｼﾞｱﾑ</t>
    <phoneticPr fontId="4"/>
  </si>
  <si>
    <t>有限会社 秀建築設計事務所</t>
    <rPh sb="0" eb="2">
      <t>ユウゲン</t>
    </rPh>
    <rPh sb="2" eb="4">
      <t>カイシャ</t>
    </rPh>
    <phoneticPr fontId="4"/>
  </si>
  <si>
    <t>有限会社 秀建築設計事務所</t>
    <phoneticPr fontId="4"/>
  </si>
  <si>
    <t>秀 一級建築士事務所</t>
    <phoneticPr fontId="4"/>
  </si>
  <si>
    <t>ユウゲンガイシャ ヒデケンチクセッケイジムショ</t>
    <phoneticPr fontId="4"/>
  </si>
  <si>
    <t>3m</t>
    <phoneticPr fontId="4"/>
  </si>
  <si>
    <t>5m</t>
    <phoneticPr fontId="4"/>
  </si>
  <si>
    <t>4m</t>
    <phoneticPr fontId="4"/>
  </si>
  <si>
    <t>転石混じりｼﾙﾄ</t>
    <rPh sb="0" eb="1">
      <t>テン</t>
    </rPh>
    <rPh sb="1" eb="2">
      <t>セキ</t>
    </rPh>
    <rPh sb="2" eb="3">
      <t>マ</t>
    </rPh>
    <phoneticPr fontId="4"/>
  </si>
  <si>
    <t>-</t>
    <phoneticPr fontId="4"/>
  </si>
  <si>
    <t>-</t>
    <phoneticPr fontId="4"/>
  </si>
  <si>
    <t>倉庫</t>
    <phoneticPr fontId="4"/>
  </si>
  <si>
    <t>庁舎、事務所、増築棟の3棟。</t>
    <rPh sb="0" eb="2">
      <t>チョウシャ</t>
    </rPh>
    <rPh sb="3" eb="5">
      <t>ジム</t>
    </rPh>
    <rPh sb="5" eb="6">
      <t>ショ</t>
    </rPh>
    <rPh sb="7" eb="9">
      <t>ゾウチク</t>
    </rPh>
    <rPh sb="9" eb="10">
      <t>トウ</t>
    </rPh>
    <rPh sb="12" eb="13">
      <t>トウ</t>
    </rPh>
    <phoneticPr fontId="4"/>
  </si>
  <si>
    <t>CFC茂原</t>
    <rPh sb="3" eb="4">
      <t>モ</t>
    </rPh>
    <rPh sb="4" eb="5">
      <t>ハラ</t>
    </rPh>
    <phoneticPr fontId="4"/>
  </si>
  <si>
    <t>茂原市</t>
    <rPh sb="0" eb="3">
      <t>モバラシ</t>
    </rPh>
    <phoneticPr fontId="4"/>
  </si>
  <si>
    <t>小林字八幡</t>
    <rPh sb="0" eb="2">
      <t>コバヤシ</t>
    </rPh>
    <rPh sb="2" eb="3">
      <t>アザ</t>
    </rPh>
    <rPh sb="3" eb="5">
      <t>ヤハタ</t>
    </rPh>
    <phoneticPr fontId="4"/>
  </si>
  <si>
    <t>ユープラン一級建築士事務所</t>
    <rPh sb="5" eb="7">
      <t>イッキュウ</t>
    </rPh>
    <rPh sb="7" eb="10">
      <t>ケンチクシ</t>
    </rPh>
    <rPh sb="10" eb="12">
      <t>ジム</t>
    </rPh>
    <rPh sb="12" eb="13">
      <t>ショ</t>
    </rPh>
    <phoneticPr fontId="4"/>
  </si>
  <si>
    <t>ユープラン一級建築士事務所</t>
    <phoneticPr fontId="4"/>
  </si>
  <si>
    <t>ユープランイッキュウケンチクシジムショ</t>
    <phoneticPr fontId="4"/>
  </si>
  <si>
    <t>カブシキガイシャ アベコウゾウセッケイジムショ</t>
    <phoneticPr fontId="4"/>
  </si>
  <si>
    <t>カブシキガイシャ カワシマリュウタロウケンチクジムショ</t>
    <phoneticPr fontId="4"/>
  </si>
  <si>
    <t>DS京都改修</t>
    <phoneticPr fontId="17"/>
  </si>
  <si>
    <t>プジョー京都改修</t>
    <phoneticPr fontId="17"/>
  </si>
  <si>
    <t>コスモ石油訓練棟</t>
    <phoneticPr fontId="17"/>
  </si>
  <si>
    <t>フーデリー霧島</t>
    <phoneticPr fontId="17"/>
  </si>
  <si>
    <t>滋賀運送倉庫</t>
    <phoneticPr fontId="17"/>
  </si>
  <si>
    <t>TNF</t>
    <phoneticPr fontId="17"/>
  </si>
  <si>
    <t>11/15見積図</t>
    <rPh sb="5" eb="7">
      <t>ミツモリ</t>
    </rPh>
    <rPh sb="7" eb="8">
      <t>ズ</t>
    </rPh>
    <phoneticPr fontId="17"/>
  </si>
  <si>
    <t>着工</t>
    <rPh sb="0" eb="2">
      <t>チャッコウ</t>
    </rPh>
    <phoneticPr fontId="4"/>
  </si>
  <si>
    <t>上尾市</t>
    <rPh sb="0" eb="1">
      <t>ウエ</t>
    </rPh>
    <rPh sb="1" eb="2">
      <t>オ</t>
    </rPh>
    <rPh sb="2" eb="3">
      <t>シ</t>
    </rPh>
    <phoneticPr fontId="4"/>
  </si>
  <si>
    <t>井戸木</t>
    <rPh sb="0" eb="2">
      <t>イド</t>
    </rPh>
    <rPh sb="2" eb="3">
      <t>キ</t>
    </rPh>
    <phoneticPr fontId="4"/>
  </si>
  <si>
    <t>アーツ建築</t>
    <rPh sb="3" eb="5">
      <t>ケンチク</t>
    </rPh>
    <phoneticPr fontId="4"/>
  </si>
  <si>
    <t>アーツ建築</t>
    <phoneticPr fontId="4"/>
  </si>
  <si>
    <t>株式会社 アクティ・ハウス</t>
    <rPh sb="0" eb="2">
      <t>カブシキ</t>
    </rPh>
    <rPh sb="2" eb="4">
      <t>カイシャ</t>
    </rPh>
    <phoneticPr fontId="4"/>
  </si>
  <si>
    <t>株式会社 アクティ・ハウス</t>
    <phoneticPr fontId="4"/>
  </si>
  <si>
    <t>アーツケンチク</t>
    <phoneticPr fontId="4"/>
  </si>
  <si>
    <t>カブシキガイシャ アクティ・ハウス</t>
    <phoneticPr fontId="4"/>
  </si>
  <si>
    <t>4m</t>
    <phoneticPr fontId="4"/>
  </si>
  <si>
    <t>1m</t>
    <phoneticPr fontId="4"/>
  </si>
  <si>
    <t>ｼﾙﾄ</t>
    <phoneticPr fontId="4"/>
  </si>
  <si>
    <t>盛土(礫混じり砂)</t>
    <rPh sb="0" eb="1">
      <t>モリ</t>
    </rPh>
    <rPh sb="1" eb="2">
      <t>ド</t>
    </rPh>
    <rPh sb="3" eb="4">
      <t>レキ</t>
    </rPh>
    <rPh sb="4" eb="5">
      <t>マ</t>
    </rPh>
    <rPh sb="7" eb="8">
      <t>スナ</t>
    </rPh>
    <phoneticPr fontId="4"/>
  </si>
  <si>
    <t>電柱近接</t>
    <rPh sb="0" eb="2">
      <t>デンチュウ</t>
    </rPh>
    <rPh sb="2" eb="4">
      <t>キンセツ</t>
    </rPh>
    <phoneticPr fontId="4"/>
  </si>
  <si>
    <t>社外秘</t>
    <rPh sb="0" eb="3">
      <t>シャガイヒ</t>
    </rPh>
    <phoneticPr fontId="4"/>
  </si>
  <si>
    <t>コメリ上越</t>
    <rPh sb="3" eb="5">
      <t>ジョウエツ</t>
    </rPh>
    <phoneticPr fontId="4"/>
  </si>
  <si>
    <t>新潟県</t>
    <phoneticPr fontId="4"/>
  </si>
  <si>
    <t>上越市</t>
    <phoneticPr fontId="4"/>
  </si>
  <si>
    <t>五智国分</t>
    <rPh sb="0" eb="1">
      <t>ゴ</t>
    </rPh>
    <rPh sb="1" eb="2">
      <t>チ</t>
    </rPh>
    <rPh sb="2" eb="4">
      <t>コクブ</t>
    </rPh>
    <phoneticPr fontId="4"/>
  </si>
  <si>
    <t>倉庫</t>
    <phoneticPr fontId="4"/>
  </si>
  <si>
    <t>富樫建設工業 株式会社</t>
    <rPh sb="0" eb="2">
      <t>トガシ</t>
    </rPh>
    <rPh sb="2" eb="4">
      <t>ケンセツ</t>
    </rPh>
    <rPh sb="4" eb="6">
      <t>コウギョウ</t>
    </rPh>
    <rPh sb="7" eb="9">
      <t>カブシキ</t>
    </rPh>
    <rPh sb="9" eb="11">
      <t>カイシャ</t>
    </rPh>
    <phoneticPr fontId="4"/>
  </si>
  <si>
    <t>4m</t>
    <phoneticPr fontId="4"/>
  </si>
  <si>
    <t>6m</t>
    <phoneticPr fontId="4"/>
  </si>
  <si>
    <t>180207-2</t>
    <phoneticPr fontId="4"/>
  </si>
  <si>
    <t>工場</t>
    <phoneticPr fontId="4"/>
  </si>
  <si>
    <t>有限会社 ナガオ建築設計事務所</t>
    <rPh sb="0" eb="2">
      <t>ユウゲン</t>
    </rPh>
    <rPh sb="2" eb="4">
      <t>カイシャ</t>
    </rPh>
    <rPh sb="8" eb="10">
      <t>ケンチク</t>
    </rPh>
    <rPh sb="10" eb="12">
      <t>セッケイ</t>
    </rPh>
    <rPh sb="12" eb="14">
      <t>ジム</t>
    </rPh>
    <rPh sb="14" eb="15">
      <t>ショ</t>
    </rPh>
    <phoneticPr fontId="4"/>
  </si>
  <si>
    <t>株式会社 MSP</t>
    <rPh sb="0" eb="4">
      <t>カブシキガイシャ</t>
    </rPh>
    <phoneticPr fontId="4"/>
  </si>
  <si>
    <t>株式会社 MSP</t>
    <phoneticPr fontId="4"/>
  </si>
  <si>
    <t>有限会社 ナガオ建築設計事務所</t>
    <phoneticPr fontId="4"/>
  </si>
  <si>
    <t>カブシキガイシャ MSP</t>
    <phoneticPr fontId="4"/>
  </si>
  <si>
    <t>ユウゲンガイシャ ナガオケンチクセッケイジムショ</t>
    <phoneticPr fontId="4"/>
  </si>
  <si>
    <t>ｼﾙﾄ</t>
    <phoneticPr fontId="4"/>
  </si>
  <si>
    <t>2m</t>
    <phoneticPr fontId="4"/>
  </si>
  <si>
    <t>ｼﾙﾄ質微細砂</t>
    <rPh sb="3" eb="4">
      <t>シツ</t>
    </rPh>
    <rPh sb="4" eb="5">
      <t>ビ</t>
    </rPh>
    <rPh sb="5" eb="6">
      <t>サイ</t>
    </rPh>
    <rPh sb="6" eb="7">
      <t>スナ</t>
    </rPh>
    <phoneticPr fontId="4"/>
  </si>
  <si>
    <t>1m</t>
    <phoneticPr fontId="4"/>
  </si>
  <si>
    <t>微細砂</t>
    <rPh sb="0" eb="1">
      <t>ビ</t>
    </rPh>
    <rPh sb="1" eb="2">
      <t>サイ</t>
    </rPh>
    <rPh sb="2" eb="3">
      <t>スナ</t>
    </rPh>
    <phoneticPr fontId="4"/>
  </si>
  <si>
    <t>店舗棟と工場棟の2棟。汚染土がある可能性があり、調査中。</t>
    <rPh sb="0" eb="2">
      <t>テンポ</t>
    </rPh>
    <rPh sb="2" eb="3">
      <t>トウ</t>
    </rPh>
    <rPh sb="4" eb="6">
      <t>コウジョウ</t>
    </rPh>
    <rPh sb="6" eb="7">
      <t>トウ</t>
    </rPh>
    <rPh sb="9" eb="10">
      <t>トウ</t>
    </rPh>
    <rPh sb="11" eb="13">
      <t>オセン</t>
    </rPh>
    <rPh sb="13" eb="14">
      <t>ツチ</t>
    </rPh>
    <rPh sb="17" eb="20">
      <t>カノウセイ</t>
    </rPh>
    <rPh sb="24" eb="27">
      <t>チョウサチュウ</t>
    </rPh>
    <phoneticPr fontId="4"/>
  </si>
  <si>
    <t>関東マツダ墨田 店舗棟</t>
    <rPh sb="0" eb="2">
      <t>カントウ</t>
    </rPh>
    <rPh sb="5" eb="7">
      <t>スミダ</t>
    </rPh>
    <rPh sb="8" eb="10">
      <t>テンポ</t>
    </rPh>
    <rPh sb="10" eb="11">
      <t>トウ</t>
    </rPh>
    <phoneticPr fontId="4"/>
  </si>
  <si>
    <t>関東マツダ墨田 工場棟</t>
    <rPh sb="5" eb="7">
      <t>スミダ</t>
    </rPh>
    <rPh sb="8" eb="11">
      <t>コウジョウトウ</t>
    </rPh>
    <phoneticPr fontId="4"/>
  </si>
  <si>
    <t>2019年に隣の敷地に2000㎡程度の工場をTNFで計画予定。</t>
    <rPh sb="4" eb="5">
      <t>ネン</t>
    </rPh>
    <rPh sb="6" eb="7">
      <t>トナリ</t>
    </rPh>
    <rPh sb="8" eb="10">
      <t>シキチ</t>
    </rPh>
    <rPh sb="16" eb="18">
      <t>テイド</t>
    </rPh>
    <rPh sb="19" eb="21">
      <t>コウジョウ</t>
    </rPh>
    <rPh sb="26" eb="28">
      <t>ケイカク</t>
    </rPh>
    <rPh sb="28" eb="30">
      <t>ヨテイ</t>
    </rPh>
    <phoneticPr fontId="4"/>
  </si>
  <si>
    <t>ソーデナガノ松本工場</t>
    <rPh sb="6" eb="8">
      <t>マツモト</t>
    </rPh>
    <rPh sb="8" eb="10">
      <t>コウジョウ</t>
    </rPh>
    <phoneticPr fontId="4"/>
  </si>
  <si>
    <t>松本市</t>
    <rPh sb="0" eb="3">
      <t>マツモトシ</t>
    </rPh>
    <phoneticPr fontId="4"/>
  </si>
  <si>
    <t>1m</t>
    <phoneticPr fontId="4"/>
  </si>
  <si>
    <t>ﾛｰﾑ</t>
    <phoneticPr fontId="4"/>
  </si>
  <si>
    <t>大阪府</t>
    <phoneticPr fontId="4"/>
  </si>
  <si>
    <t>大阪市</t>
    <phoneticPr fontId="4"/>
  </si>
  <si>
    <t>鶴見区浜</t>
    <rPh sb="3" eb="4">
      <t>ハマ</t>
    </rPh>
    <phoneticPr fontId="4"/>
  </si>
  <si>
    <t>有限会社 トチオ構造設計室</t>
    <phoneticPr fontId="4"/>
  </si>
  <si>
    <t>EMA一級建築士事務所</t>
    <phoneticPr fontId="4"/>
  </si>
  <si>
    <t>ｽｲﾐﾝｸﾞｽｸｰﾙﾋﾞｯｸﾞ･ｴｽ鶴見</t>
    <rPh sb="18" eb="20">
      <t>ツルミ</t>
    </rPh>
    <phoneticPr fontId="4"/>
  </si>
  <si>
    <t>3m</t>
    <phoneticPr fontId="4"/>
  </si>
  <si>
    <t>1m</t>
    <phoneticPr fontId="4"/>
  </si>
  <si>
    <t>竹原市立たけはら認定こども園</t>
    <rPh sb="0" eb="2">
      <t>タケハラ</t>
    </rPh>
    <rPh sb="2" eb="3">
      <t>シ</t>
    </rPh>
    <rPh sb="3" eb="4">
      <t>リツ</t>
    </rPh>
    <rPh sb="8" eb="10">
      <t>ニンテイ</t>
    </rPh>
    <rPh sb="13" eb="14">
      <t>エン</t>
    </rPh>
    <phoneticPr fontId="4"/>
  </si>
  <si>
    <t>株式会社 あい設計</t>
    <phoneticPr fontId="4"/>
  </si>
  <si>
    <t>3m</t>
    <phoneticPr fontId="4"/>
  </si>
  <si>
    <t>4m</t>
    <phoneticPr fontId="4"/>
  </si>
  <si>
    <t>礫混じり中砂</t>
    <rPh sb="0" eb="1">
      <t>レキ</t>
    </rPh>
    <rPh sb="1" eb="2">
      <t>マ</t>
    </rPh>
    <rPh sb="4" eb="5">
      <t>ナカ</t>
    </rPh>
    <rPh sb="5" eb="6">
      <t>スナ</t>
    </rPh>
    <phoneticPr fontId="4"/>
  </si>
  <si>
    <t>10/15仮図</t>
    <rPh sb="5" eb="6">
      <t>カリ</t>
    </rPh>
    <rPh sb="6" eb="7">
      <t>ズ</t>
    </rPh>
    <phoneticPr fontId="4"/>
  </si>
  <si>
    <t>株式会社 国際確認検査センター</t>
    <phoneticPr fontId="4"/>
  </si>
  <si>
    <t>財団法人 日本建築総合試験所</t>
    <phoneticPr fontId="4"/>
  </si>
  <si>
    <t>財団法人 日本建築総合試験所</t>
    <phoneticPr fontId="4"/>
  </si>
  <si>
    <t>21.5(RF)
21.5(2F)</t>
    <phoneticPr fontId="4"/>
  </si>
  <si>
    <t>22.7(RF)
28.9(2F)</t>
    <phoneticPr fontId="4"/>
  </si>
  <si>
    <t>8.7(RF)
12.0(2F)</t>
    <phoneticPr fontId="4"/>
  </si>
  <si>
    <t>52.9(RF)
62.4(2F)</t>
    <phoneticPr fontId="4"/>
  </si>
  <si>
    <t>埋土</t>
    <rPh sb="0" eb="2">
      <t>マイツチ</t>
    </rPh>
    <phoneticPr fontId="4"/>
  </si>
  <si>
    <t>-</t>
    <phoneticPr fontId="4"/>
  </si>
  <si>
    <t>2</t>
    <phoneticPr fontId="4"/>
  </si>
  <si>
    <t>既存建物への増築工事。4号建築物。</t>
    <rPh sb="0" eb="2">
      <t>キソン</t>
    </rPh>
    <rPh sb="2" eb="4">
      <t>タテモノ</t>
    </rPh>
    <rPh sb="6" eb="8">
      <t>ゾウチク</t>
    </rPh>
    <rPh sb="8" eb="10">
      <t>コウジ</t>
    </rPh>
    <rPh sb="12" eb="13">
      <t>ゴウ</t>
    </rPh>
    <rPh sb="13" eb="16">
      <t>ケンチクブツ</t>
    </rPh>
    <phoneticPr fontId="4"/>
  </si>
  <si>
    <t>ドラッグセイムス上尾井戸木</t>
    <rPh sb="8" eb="9">
      <t>ウエ</t>
    </rPh>
    <rPh sb="9" eb="10">
      <t>オ</t>
    </rPh>
    <rPh sb="10" eb="12">
      <t>イド</t>
    </rPh>
    <rPh sb="12" eb="13">
      <t>キ</t>
    </rPh>
    <phoneticPr fontId="4"/>
  </si>
  <si>
    <t>スギヤマ紙業 倉庫</t>
    <rPh sb="4" eb="5">
      <t>カミ</t>
    </rPh>
    <rPh sb="5" eb="6">
      <t>ギョウ</t>
    </rPh>
    <rPh sb="7" eb="9">
      <t>ソウコ</t>
    </rPh>
    <phoneticPr fontId="4"/>
  </si>
  <si>
    <t>今泉高尾奈</t>
    <rPh sb="0" eb="1">
      <t>イマ</t>
    </rPh>
    <rPh sb="1" eb="2">
      <t>イズミ</t>
    </rPh>
    <rPh sb="2" eb="4">
      <t>タカオ</t>
    </rPh>
    <rPh sb="4" eb="5">
      <t>ナ</t>
    </rPh>
    <phoneticPr fontId="4"/>
  </si>
  <si>
    <t>井上建設 株式会社</t>
    <rPh sb="0" eb="2">
      <t>イノウエ</t>
    </rPh>
    <rPh sb="2" eb="4">
      <t>ケンセツ</t>
    </rPh>
    <rPh sb="5" eb="7">
      <t>カブシキ</t>
    </rPh>
    <rPh sb="7" eb="9">
      <t>カイシャ</t>
    </rPh>
    <phoneticPr fontId="4"/>
  </si>
  <si>
    <t>井上建設 株式会社</t>
    <phoneticPr fontId="4"/>
  </si>
  <si>
    <t>イノウエケンセツ カブシキガイシャ</t>
    <phoneticPr fontId="4"/>
  </si>
  <si>
    <t>ｼﾙﾄ</t>
    <phoneticPr fontId="4"/>
  </si>
  <si>
    <t>2m</t>
    <phoneticPr fontId="4"/>
  </si>
  <si>
    <t>外構 ﾄﾗｯｸｽｹｰﾙあり。水路近接。根巻柱脚</t>
    <rPh sb="0" eb="1">
      <t>ガイ</t>
    </rPh>
    <rPh sb="1" eb="2">
      <t>コウ</t>
    </rPh>
    <rPh sb="14" eb="16">
      <t>スイロ</t>
    </rPh>
    <rPh sb="16" eb="18">
      <t>キンセツ</t>
    </rPh>
    <rPh sb="19" eb="20">
      <t>ネ</t>
    </rPh>
    <rPh sb="20" eb="21">
      <t>マ</t>
    </rPh>
    <rPh sb="21" eb="22">
      <t>チュウ</t>
    </rPh>
    <rPh sb="22" eb="23">
      <t>キャク</t>
    </rPh>
    <phoneticPr fontId="4"/>
  </si>
  <si>
    <t>青森県 青森市役所</t>
    <phoneticPr fontId="4"/>
  </si>
  <si>
    <t>ﾛｰﾑ質粘土</t>
    <rPh sb="3" eb="4">
      <t>シツ</t>
    </rPh>
    <rPh sb="4" eb="6">
      <t>ネンド</t>
    </rPh>
    <phoneticPr fontId="4"/>
  </si>
  <si>
    <t>○
3m</t>
    <phoneticPr fontId="4"/>
  </si>
  <si>
    <t>山梨県</t>
    <phoneticPr fontId="4"/>
  </si>
  <si>
    <t>韮崎市</t>
    <phoneticPr fontId="4"/>
  </si>
  <si>
    <t>龍岡町下條南割字西原</t>
    <phoneticPr fontId="4"/>
  </si>
  <si>
    <t>土間下配管あり。土間天=基礎天</t>
    <rPh sb="0" eb="2">
      <t>ドマ</t>
    </rPh>
    <rPh sb="2" eb="3">
      <t>シタ</t>
    </rPh>
    <rPh sb="3" eb="5">
      <t>ハイカン</t>
    </rPh>
    <rPh sb="8" eb="10">
      <t>ドマ</t>
    </rPh>
    <rPh sb="10" eb="11">
      <t>テン</t>
    </rPh>
    <rPh sb="12" eb="14">
      <t>キソ</t>
    </rPh>
    <rPh sb="14" eb="15">
      <t>テン</t>
    </rPh>
    <phoneticPr fontId="4"/>
  </si>
  <si>
    <t>スケジュール不明</t>
    <rPh sb="6" eb="8">
      <t>フメイ</t>
    </rPh>
    <phoneticPr fontId="4"/>
  </si>
  <si>
    <t>サンフィッシュ新工場</t>
    <rPh sb="7" eb="8">
      <t>シン</t>
    </rPh>
    <rPh sb="8" eb="10">
      <t>コウジョウ</t>
    </rPh>
    <phoneticPr fontId="4"/>
  </si>
  <si>
    <t>愛媛県</t>
    <phoneticPr fontId="4"/>
  </si>
  <si>
    <t>南宇和郡</t>
    <phoneticPr fontId="4"/>
  </si>
  <si>
    <t>愛南町御庄平城</t>
    <phoneticPr fontId="4"/>
  </si>
  <si>
    <t>株式会社 アークステーション</t>
    <phoneticPr fontId="4"/>
  </si>
  <si>
    <t>株式会社 アークステーション</t>
    <phoneticPr fontId="4"/>
  </si>
  <si>
    <t>カブシキガイシャ アークステーション</t>
    <phoneticPr fontId="4"/>
  </si>
  <si>
    <t>独立,布</t>
    <rPh sb="0" eb="2">
      <t>ドクリツ</t>
    </rPh>
    <rPh sb="3" eb="4">
      <t>ヌノ</t>
    </rPh>
    <phoneticPr fontId="4"/>
  </si>
  <si>
    <t>7m</t>
    <phoneticPr fontId="4"/>
  </si>
  <si>
    <t>4m</t>
    <phoneticPr fontId="4"/>
  </si>
  <si>
    <t>火山灰</t>
    <rPh sb="0" eb="2">
      <t>カザン</t>
    </rPh>
    <rPh sb="2" eb="3">
      <t>ハイ</t>
    </rPh>
    <phoneticPr fontId="4"/>
  </si>
  <si>
    <t>-</t>
    <phoneticPr fontId="4"/>
  </si>
  <si>
    <t>-</t>
    <phoneticPr fontId="4"/>
  </si>
  <si>
    <t>空地</t>
    <rPh sb="0" eb="2">
      <t>アキチ</t>
    </rPh>
    <phoneticPr fontId="4"/>
  </si>
  <si>
    <t>-</t>
    <phoneticPr fontId="4"/>
  </si>
  <si>
    <t>10/11図渡済、11月申請</t>
    <rPh sb="5" eb="6">
      <t>ズ</t>
    </rPh>
    <rPh sb="6" eb="7">
      <t>ワタ</t>
    </rPh>
    <rPh sb="7" eb="8">
      <t>スミ</t>
    </rPh>
    <rPh sb="11" eb="12">
      <t>ガツ</t>
    </rPh>
    <rPh sb="12" eb="14">
      <t>シンセイ</t>
    </rPh>
    <phoneticPr fontId="17"/>
  </si>
  <si>
    <t>埋土(砂質粘土)</t>
    <rPh sb="0" eb="1">
      <t>ウ</t>
    </rPh>
    <rPh sb="1" eb="2">
      <t>ド</t>
    </rPh>
    <rPh sb="3" eb="4">
      <t>スナ</t>
    </rPh>
    <rPh sb="4" eb="5">
      <t>シツ</t>
    </rPh>
    <rPh sb="5" eb="7">
      <t>ネンド</t>
    </rPh>
    <phoneticPr fontId="4"/>
  </si>
  <si>
    <t>BPS/MINI NEXT加古川</t>
    <rPh sb="13" eb="16">
      <t>カコガワ</t>
    </rPh>
    <phoneticPr fontId="4"/>
  </si>
  <si>
    <t>加古川市</t>
    <rPh sb="0" eb="4">
      <t>カコガワシ</t>
    </rPh>
    <phoneticPr fontId="4"/>
  </si>
  <si>
    <t>申請</t>
    <rPh sb="0" eb="2">
      <t>シンセイ</t>
    </rPh>
    <phoneticPr fontId="4"/>
  </si>
  <si>
    <t>ツルハドラッグ新発田</t>
    <rPh sb="7" eb="10">
      <t>シバタ</t>
    </rPh>
    <phoneticPr fontId="4"/>
  </si>
  <si>
    <t>新潟県</t>
    <phoneticPr fontId="4"/>
  </si>
  <si>
    <t>新発田市</t>
    <rPh sb="0" eb="3">
      <t>シバタ</t>
    </rPh>
    <rPh sb="3" eb="4">
      <t>シ</t>
    </rPh>
    <phoneticPr fontId="4"/>
  </si>
  <si>
    <t>中田町</t>
    <rPh sb="0" eb="2">
      <t>ナカタ</t>
    </rPh>
    <rPh sb="2" eb="3">
      <t>マチ</t>
    </rPh>
    <phoneticPr fontId="4"/>
  </si>
  <si>
    <t>株式会社 APT</t>
    <rPh sb="0" eb="2">
      <t>カブシキ</t>
    </rPh>
    <rPh sb="2" eb="4">
      <t>カイシャ</t>
    </rPh>
    <phoneticPr fontId="4"/>
  </si>
  <si>
    <t>有限会社 和 構造設計事務所</t>
    <rPh sb="0" eb="2">
      <t>ユウゲン</t>
    </rPh>
    <rPh sb="2" eb="4">
      <t>カイシャ</t>
    </rPh>
    <rPh sb="5" eb="6">
      <t>ワ</t>
    </rPh>
    <rPh sb="7" eb="9">
      <t>コウゾウ</t>
    </rPh>
    <rPh sb="9" eb="11">
      <t>セッケイ</t>
    </rPh>
    <rPh sb="11" eb="13">
      <t>ジム</t>
    </rPh>
    <rPh sb="13" eb="14">
      <t>ショ</t>
    </rPh>
    <phoneticPr fontId="4"/>
  </si>
  <si>
    <t>有限会社 和 構造設計事務所</t>
    <rPh sb="0" eb="2">
      <t>ユウゲン</t>
    </rPh>
    <rPh sb="2" eb="4">
      <t>カイシャ</t>
    </rPh>
    <phoneticPr fontId="4"/>
  </si>
  <si>
    <t>4m</t>
    <phoneticPr fontId="4"/>
  </si>
  <si>
    <t>ｼﾙﾄ</t>
    <phoneticPr fontId="4"/>
  </si>
  <si>
    <t>1m</t>
    <phoneticPr fontId="4"/>
  </si>
  <si>
    <t>1m</t>
    <phoneticPr fontId="4"/>
  </si>
  <si>
    <t>-</t>
    <phoneticPr fontId="4"/>
  </si>
  <si>
    <t>海に近い。人工埋立地。</t>
    <rPh sb="0" eb="1">
      <t>ウミ</t>
    </rPh>
    <rPh sb="2" eb="3">
      <t>チカ</t>
    </rPh>
    <rPh sb="5" eb="7">
      <t>ジンコウ</t>
    </rPh>
    <rPh sb="7" eb="10">
      <t>ウメタテチ</t>
    </rPh>
    <phoneticPr fontId="4"/>
  </si>
  <si>
    <t>敷地内の移転工事。埋立地。既存塀 近接。</t>
    <rPh sb="0" eb="2">
      <t>シキチ</t>
    </rPh>
    <rPh sb="2" eb="3">
      <t>ナイ</t>
    </rPh>
    <rPh sb="4" eb="6">
      <t>イテン</t>
    </rPh>
    <rPh sb="6" eb="8">
      <t>コウジ</t>
    </rPh>
    <rPh sb="9" eb="10">
      <t>ウ</t>
    </rPh>
    <rPh sb="10" eb="11">
      <t>タ</t>
    </rPh>
    <rPh sb="11" eb="12">
      <t>チ</t>
    </rPh>
    <rPh sb="13" eb="15">
      <t>キソン</t>
    </rPh>
    <rPh sb="15" eb="16">
      <t>ヘイ</t>
    </rPh>
    <rPh sb="17" eb="19">
      <t>キンセツ</t>
    </rPh>
    <phoneticPr fontId="4"/>
  </si>
  <si>
    <t>川に近い。既存L型擁壁あり。</t>
    <rPh sb="0" eb="1">
      <t>カワ</t>
    </rPh>
    <rPh sb="2" eb="3">
      <t>チカ</t>
    </rPh>
    <rPh sb="5" eb="7">
      <t>キソン</t>
    </rPh>
    <rPh sb="8" eb="9">
      <t>ガタ</t>
    </rPh>
    <rPh sb="9" eb="10">
      <t>ヨウ</t>
    </rPh>
    <rPh sb="10" eb="11">
      <t>カベ</t>
    </rPh>
    <phoneticPr fontId="4"/>
  </si>
  <si>
    <t>HA-HOUSE</t>
    <phoneticPr fontId="4"/>
  </si>
  <si>
    <t>泉南郡</t>
    <rPh sb="0" eb="1">
      <t>イズミ</t>
    </rPh>
    <rPh sb="1" eb="2">
      <t>ミナミ</t>
    </rPh>
    <rPh sb="2" eb="3">
      <t>グン</t>
    </rPh>
    <phoneticPr fontId="4"/>
  </si>
  <si>
    <t>岬町</t>
    <rPh sb="0" eb="1">
      <t>ミサキ</t>
    </rPh>
    <rPh sb="1" eb="2">
      <t>マチ</t>
    </rPh>
    <phoneticPr fontId="4"/>
  </si>
  <si>
    <t>竹原町</t>
    <rPh sb="0" eb="2">
      <t>タケハラ</t>
    </rPh>
    <rPh sb="2" eb="3">
      <t>マチ</t>
    </rPh>
    <phoneticPr fontId="4"/>
  </si>
  <si>
    <t>べた</t>
    <phoneticPr fontId="4"/>
  </si>
  <si>
    <t>?</t>
    <phoneticPr fontId="4"/>
  </si>
  <si>
    <t>11/20見積図</t>
    <rPh sb="5" eb="7">
      <t>ミツモリ</t>
    </rPh>
    <rPh sb="7" eb="8">
      <t>ズ</t>
    </rPh>
    <phoneticPr fontId="17"/>
  </si>
  <si>
    <t>できるだけ早く</t>
    <phoneticPr fontId="4"/>
  </si>
  <si>
    <t>住宅・河川</t>
    <rPh sb="0" eb="2">
      <t>ジュウタク</t>
    </rPh>
    <rPh sb="3" eb="5">
      <t>カセン</t>
    </rPh>
    <phoneticPr fontId="4"/>
  </si>
  <si>
    <t>株式会社 建築住宅センター</t>
    <phoneticPr fontId="4"/>
  </si>
  <si>
    <t>旧表土</t>
    <rPh sb="0" eb="1">
      <t>キュウ</t>
    </rPh>
    <rPh sb="1" eb="3">
      <t>ヒョウド</t>
    </rPh>
    <phoneticPr fontId="4"/>
  </si>
  <si>
    <t>カナモト山梨営業所</t>
    <rPh sb="4" eb="6">
      <t>ヤマナシ</t>
    </rPh>
    <rPh sb="6" eb="9">
      <t>エイギョウショ</t>
    </rPh>
    <phoneticPr fontId="4"/>
  </si>
  <si>
    <t>八代郡</t>
    <rPh sb="0" eb="2">
      <t>ヤツシロ</t>
    </rPh>
    <rPh sb="2" eb="3">
      <t>グン</t>
    </rPh>
    <phoneticPr fontId="4"/>
  </si>
  <si>
    <t>市川美郷町大鳥居</t>
    <rPh sb="0" eb="2">
      <t>イチカワ</t>
    </rPh>
    <rPh sb="2" eb="5">
      <t>ミサトチョウ</t>
    </rPh>
    <rPh sb="5" eb="8">
      <t>オオドリイ</t>
    </rPh>
    <phoneticPr fontId="4"/>
  </si>
  <si>
    <t>礫混じりｼﾙﾄ質細砂</t>
    <rPh sb="0" eb="1">
      <t>レキ</t>
    </rPh>
    <rPh sb="1" eb="2">
      <t>マ</t>
    </rPh>
    <rPh sb="7" eb="8">
      <t>シツ</t>
    </rPh>
    <rPh sb="8" eb="9">
      <t>サイ</t>
    </rPh>
    <rPh sb="9" eb="10">
      <t>スナ</t>
    </rPh>
    <phoneticPr fontId="4"/>
  </si>
  <si>
    <t>ｼﾙﾄ</t>
    <phoneticPr fontId="4"/>
  </si>
  <si>
    <t>2m</t>
    <phoneticPr fontId="4"/>
  </si>
  <si>
    <t>着工(仮)</t>
    <rPh sb="0" eb="2">
      <t>チャッコウ</t>
    </rPh>
    <rPh sb="3" eb="4">
      <t>カリ</t>
    </rPh>
    <phoneticPr fontId="4"/>
  </si>
  <si>
    <t>宮城県</t>
    <phoneticPr fontId="4"/>
  </si>
  <si>
    <t>角田市</t>
    <rPh sb="0" eb="2">
      <t>ツノダ</t>
    </rPh>
    <rPh sb="2" eb="3">
      <t>シ</t>
    </rPh>
    <phoneticPr fontId="4"/>
  </si>
  <si>
    <t>2m</t>
    <phoneticPr fontId="4"/>
  </si>
  <si>
    <t>ヤマザワ角田 SM棟</t>
    <rPh sb="4" eb="6">
      <t>ツノダ</t>
    </rPh>
    <rPh sb="9" eb="10">
      <t>トウ</t>
    </rPh>
    <phoneticPr fontId="4"/>
  </si>
  <si>
    <t>ヤマザワ角田 DR棟</t>
    <rPh sb="4" eb="6">
      <t>ツノダ</t>
    </rPh>
    <rPh sb="9" eb="10">
      <t>トウ</t>
    </rPh>
    <phoneticPr fontId="4"/>
  </si>
  <si>
    <t>ｼﾙﾄ</t>
    <phoneticPr fontId="4"/>
  </si>
  <si>
    <t>180219-2</t>
    <phoneticPr fontId="4"/>
  </si>
  <si>
    <t>3m</t>
    <phoneticPr fontId="4"/>
  </si>
  <si>
    <t>クスリのアオキ潟端</t>
    <rPh sb="7" eb="8">
      <t>カタ</t>
    </rPh>
    <rPh sb="8" eb="9">
      <t>タン</t>
    </rPh>
    <phoneticPr fontId="4"/>
  </si>
  <si>
    <t>河北郡</t>
    <rPh sb="0" eb="1">
      <t>カワ</t>
    </rPh>
    <rPh sb="1" eb="2">
      <t>キタ</t>
    </rPh>
    <rPh sb="2" eb="3">
      <t>グン</t>
    </rPh>
    <phoneticPr fontId="4"/>
  </si>
  <si>
    <t>津幡町字潟端</t>
    <rPh sb="0" eb="1">
      <t>ツ</t>
    </rPh>
    <rPh sb="1" eb="3">
      <t>ハタチョウ</t>
    </rPh>
    <rPh sb="3" eb="4">
      <t>ジ</t>
    </rPh>
    <phoneticPr fontId="4"/>
  </si>
  <si>
    <t>13m</t>
    <phoneticPr fontId="4"/>
  </si>
  <si>
    <t>6m</t>
    <phoneticPr fontId="4"/>
  </si>
  <si>
    <t>3m</t>
    <phoneticPr fontId="4"/>
  </si>
  <si>
    <t>2</t>
    <phoneticPr fontId="4"/>
  </si>
  <si>
    <t>株式会社 東京建築検査機構</t>
    <phoneticPr fontId="4"/>
  </si>
  <si>
    <t>コープながのｺｰﾌﾟﾃﾞﾘ諏訪ｾﾝﾀｰ</t>
    <rPh sb="13" eb="15">
      <t>スワ</t>
    </rPh>
    <phoneticPr fontId="4"/>
  </si>
  <si>
    <t>湖南城下</t>
    <rPh sb="0" eb="1">
      <t>ミズウミ</t>
    </rPh>
    <rPh sb="1" eb="2">
      <t>ミナミ</t>
    </rPh>
    <rPh sb="2" eb="3">
      <t>シロ</t>
    </rPh>
    <rPh sb="3" eb="4">
      <t>シタ</t>
    </rPh>
    <phoneticPr fontId="4"/>
  </si>
  <si>
    <t>小山町</t>
    <rPh sb="0" eb="2">
      <t>コヤマ</t>
    </rPh>
    <rPh sb="2" eb="3">
      <t>マチ</t>
    </rPh>
    <phoneticPr fontId="4"/>
  </si>
  <si>
    <t>有限会社 梶原建築設計事務所</t>
    <rPh sb="0" eb="2">
      <t>ユウゲン</t>
    </rPh>
    <rPh sb="2" eb="4">
      <t>カイシャ</t>
    </rPh>
    <rPh sb="5" eb="7">
      <t>カジワラ</t>
    </rPh>
    <rPh sb="7" eb="9">
      <t>ケンチク</t>
    </rPh>
    <rPh sb="9" eb="11">
      <t>セッケイ</t>
    </rPh>
    <rPh sb="11" eb="13">
      <t>ジム</t>
    </rPh>
    <rPh sb="13" eb="14">
      <t>ショ</t>
    </rPh>
    <phoneticPr fontId="4"/>
  </si>
  <si>
    <t>株式会社 建築住宅センター</t>
    <phoneticPr fontId="4"/>
  </si>
  <si>
    <t>AA-1</t>
    <phoneticPr fontId="4"/>
  </si>
  <si>
    <t>六甲アイランドﾌｪﾗｰﾘ改修</t>
    <rPh sb="0" eb="2">
      <t>ロッコウ</t>
    </rPh>
    <rPh sb="12" eb="14">
      <t>カイシュウ</t>
    </rPh>
    <phoneticPr fontId="17"/>
  </si>
  <si>
    <t>11/15現説、その後スケジュール確認中</t>
    <rPh sb="5" eb="6">
      <t>ゲン</t>
    </rPh>
    <rPh sb="6" eb="7">
      <t>セツ</t>
    </rPh>
    <rPh sb="10" eb="11">
      <t>ゴ</t>
    </rPh>
    <rPh sb="17" eb="19">
      <t>カクニン</t>
    </rPh>
    <rPh sb="19" eb="20">
      <t>ナカ</t>
    </rPh>
    <phoneticPr fontId="4"/>
  </si>
  <si>
    <t>11/20 申請</t>
    <rPh sb="6" eb="8">
      <t>シンセイ</t>
    </rPh>
    <phoneticPr fontId="4"/>
  </si>
  <si>
    <t>KO-HOUSE(窪田建築アトリエ)(栃木県那須郡)</t>
    <rPh sb="19" eb="22">
      <t>トチギケン</t>
    </rPh>
    <rPh sb="22" eb="24">
      <t>ナス</t>
    </rPh>
    <rPh sb="24" eb="25">
      <t>グン</t>
    </rPh>
    <phoneticPr fontId="17"/>
  </si>
  <si>
    <t>11/26現説、11/30申請</t>
    <rPh sb="5" eb="6">
      <t>ゲン</t>
    </rPh>
    <rPh sb="6" eb="7">
      <t>セツ</t>
    </rPh>
    <rPh sb="13" eb="15">
      <t>シンセイ</t>
    </rPh>
    <phoneticPr fontId="4"/>
  </si>
  <si>
    <t>クリエイティブ・スタジオ 株式会社</t>
    <rPh sb="13" eb="17">
      <t>カブシキガイシャ</t>
    </rPh>
    <phoneticPr fontId="4"/>
  </si>
  <si>
    <t>クリエイティブ・スタジオ 株式会社</t>
    <phoneticPr fontId="4"/>
  </si>
  <si>
    <t>クリエイティブ・スタジオ カブシキガイシャ</t>
    <phoneticPr fontId="4"/>
  </si>
  <si>
    <t>カブシキガイシャ APT</t>
    <phoneticPr fontId="4"/>
  </si>
  <si>
    <t>ｼﾙﾄ</t>
    <phoneticPr fontId="4"/>
  </si>
  <si>
    <t>2m</t>
    <phoneticPr fontId="4"/>
  </si>
  <si>
    <t>4m</t>
    <phoneticPr fontId="4"/>
  </si>
  <si>
    <t>1.07(M=7.5)</t>
    <phoneticPr fontId="4"/>
  </si>
  <si>
    <t>ナルス直江津東</t>
    <rPh sb="3" eb="4">
      <t>チョク</t>
    </rPh>
    <rPh sb="4" eb="5">
      <t>エ</t>
    </rPh>
    <rPh sb="5" eb="6">
      <t>ツ</t>
    </rPh>
    <rPh sb="6" eb="7">
      <t>ヒガシ</t>
    </rPh>
    <phoneticPr fontId="4"/>
  </si>
  <si>
    <t>新潟県</t>
    <phoneticPr fontId="4"/>
  </si>
  <si>
    <t>上越市</t>
    <phoneticPr fontId="4"/>
  </si>
  <si>
    <t>三ツ屋</t>
    <rPh sb="0" eb="1">
      <t>サン</t>
    </rPh>
    <rPh sb="2" eb="3">
      <t>ヤ</t>
    </rPh>
    <phoneticPr fontId="4"/>
  </si>
  <si>
    <t>11/27現説</t>
    <rPh sb="5" eb="6">
      <t>ゲン</t>
    </rPh>
    <rPh sb="6" eb="7">
      <t>セツ</t>
    </rPh>
    <phoneticPr fontId="17"/>
  </si>
  <si>
    <t>コーリツ笠岡工場</t>
    <phoneticPr fontId="4"/>
  </si>
  <si>
    <t>岡山県</t>
    <phoneticPr fontId="4"/>
  </si>
  <si>
    <t>財団法人 静岡県建築住宅まちづくりセンター</t>
    <phoneticPr fontId="4"/>
  </si>
  <si>
    <t>小林精機 新工場</t>
    <rPh sb="0" eb="2">
      <t>コバヤシ</t>
    </rPh>
    <rPh sb="2" eb="4">
      <t>セイキ</t>
    </rPh>
    <rPh sb="5" eb="6">
      <t>シン</t>
    </rPh>
    <rPh sb="6" eb="8">
      <t>コウジョウ</t>
    </rPh>
    <phoneticPr fontId="4"/>
  </si>
  <si>
    <t>東野建設工業 株式会社</t>
    <rPh sb="0" eb="1">
      <t>ヒガシ</t>
    </rPh>
    <rPh sb="1" eb="2">
      <t>ノ</t>
    </rPh>
    <rPh sb="2" eb="4">
      <t>ケンセツ</t>
    </rPh>
    <rPh sb="4" eb="6">
      <t>コウギョウ</t>
    </rPh>
    <rPh sb="7" eb="9">
      <t>カブシキ</t>
    </rPh>
    <rPh sb="9" eb="11">
      <t>カイシャ</t>
    </rPh>
    <phoneticPr fontId="4"/>
  </si>
  <si>
    <t>滝沢市</t>
    <rPh sb="0" eb="3">
      <t>タキザワシ</t>
    </rPh>
    <phoneticPr fontId="4"/>
  </si>
  <si>
    <t>11/20現説</t>
    <rPh sb="5" eb="6">
      <t>ゲン</t>
    </rPh>
    <rPh sb="6" eb="7">
      <t>セツ</t>
    </rPh>
    <phoneticPr fontId="17"/>
  </si>
  <si>
    <t>締切</t>
    <rPh sb="0" eb="1">
      <t>シ</t>
    </rPh>
    <rPh sb="1" eb="2">
      <t>キリ</t>
    </rPh>
    <phoneticPr fontId="4"/>
  </si>
  <si>
    <t>山形県 庄内総合支庁</t>
    <phoneticPr fontId="4"/>
  </si>
  <si>
    <t>3</t>
    <phoneticPr fontId="4"/>
  </si>
  <si>
    <t>2m</t>
    <phoneticPr fontId="4"/>
  </si>
  <si>
    <t>12m</t>
    <phoneticPr fontId="4"/>
  </si>
  <si>
    <t>1.11
(M=7.5)</t>
    <phoneticPr fontId="4"/>
  </si>
  <si>
    <t>岩手県 大船渡土木センター</t>
    <rPh sb="0" eb="3">
      <t>イワテケン</t>
    </rPh>
    <rPh sb="4" eb="7">
      <t>オオフナト</t>
    </rPh>
    <rPh sb="7" eb="9">
      <t>ドボク</t>
    </rPh>
    <phoneticPr fontId="4"/>
  </si>
  <si>
    <t>岩手県 大船渡土木センター</t>
    <phoneticPr fontId="4"/>
  </si>
  <si>
    <t>ユイ</t>
    <phoneticPr fontId="4"/>
  </si>
  <si>
    <t>青森県 青森市役所</t>
    <phoneticPr fontId="4"/>
  </si>
  <si>
    <t>房州CCクラブハウス</t>
    <rPh sb="0" eb="1">
      <t>フサ</t>
    </rPh>
    <rPh sb="1" eb="2">
      <t>シュウ</t>
    </rPh>
    <phoneticPr fontId="4"/>
  </si>
  <si>
    <t>館山市</t>
    <phoneticPr fontId="4"/>
  </si>
  <si>
    <t>飛島建設 株式会社</t>
    <rPh sb="0" eb="2">
      <t>トビシマ</t>
    </rPh>
    <rPh sb="2" eb="4">
      <t>ケンセツ</t>
    </rPh>
    <rPh sb="5" eb="7">
      <t>カブシキ</t>
    </rPh>
    <rPh sb="7" eb="9">
      <t>カイシャ</t>
    </rPh>
    <phoneticPr fontId="4"/>
  </si>
  <si>
    <t>飛島建設 株式会社</t>
    <phoneticPr fontId="4"/>
  </si>
  <si>
    <t>トビシマケンセツ カブシキガイシャ</t>
    <phoneticPr fontId="4"/>
  </si>
  <si>
    <t>ホクガン冷凍立体駐車場</t>
    <rPh sb="4" eb="6">
      <t>レイトウ</t>
    </rPh>
    <rPh sb="6" eb="8">
      <t>リッタイ</t>
    </rPh>
    <rPh sb="8" eb="11">
      <t>チュウシャジョウ</t>
    </rPh>
    <phoneticPr fontId="4"/>
  </si>
  <si>
    <t>糸満市</t>
    <rPh sb="0" eb="1">
      <t>イト</t>
    </rPh>
    <rPh sb="1" eb="2">
      <t>マン</t>
    </rPh>
    <rPh sb="2" eb="3">
      <t>シ</t>
    </rPh>
    <phoneticPr fontId="4"/>
  </si>
  <si>
    <t>西崎町</t>
    <rPh sb="0" eb="2">
      <t>ニシザキ</t>
    </rPh>
    <rPh sb="2" eb="3">
      <t>マチ</t>
    </rPh>
    <phoneticPr fontId="4"/>
  </si>
  <si>
    <t>株式会社 現代設計</t>
    <rPh sb="0" eb="2">
      <t>カブシキ</t>
    </rPh>
    <rPh sb="2" eb="4">
      <t>カイシャ</t>
    </rPh>
    <rPh sb="5" eb="7">
      <t>ゲンダイ</t>
    </rPh>
    <rPh sb="7" eb="9">
      <t>セッケイ</t>
    </rPh>
    <phoneticPr fontId="4"/>
  </si>
  <si>
    <t>株式会社 現代設計</t>
    <phoneticPr fontId="4"/>
  </si>
  <si>
    <t>カブシキガイシャ ゲンダイセッケイ</t>
    <phoneticPr fontId="4"/>
  </si>
  <si>
    <t>仮図</t>
    <rPh sb="0" eb="1">
      <t>カリ</t>
    </rPh>
    <rPh sb="1" eb="2">
      <t>ズ</t>
    </rPh>
    <phoneticPr fontId="4"/>
  </si>
  <si>
    <t>水路近接。看板下地盤改良あり。</t>
    <rPh sb="0" eb="2">
      <t>スイロ</t>
    </rPh>
    <rPh sb="2" eb="4">
      <t>キンセツ</t>
    </rPh>
    <rPh sb="5" eb="7">
      <t>カンバン</t>
    </rPh>
    <rPh sb="7" eb="8">
      <t>シタ</t>
    </rPh>
    <rPh sb="8" eb="10">
      <t>ジバン</t>
    </rPh>
    <rPh sb="10" eb="12">
      <t>カイリョウ</t>
    </rPh>
    <phoneticPr fontId="4"/>
  </si>
  <si>
    <t>角田</t>
    <phoneticPr fontId="4"/>
  </si>
  <si>
    <t>角田</t>
    <phoneticPr fontId="4"/>
  </si>
  <si>
    <t>一柳運送倉庫</t>
    <rPh sb="0" eb="2">
      <t>イチヤナギ</t>
    </rPh>
    <rPh sb="2" eb="4">
      <t>ウンソウ</t>
    </rPh>
    <rPh sb="4" eb="6">
      <t>ソウコ</t>
    </rPh>
    <phoneticPr fontId="4"/>
  </si>
  <si>
    <t>滋賀県</t>
    <phoneticPr fontId="4"/>
  </si>
  <si>
    <t>野洲市</t>
    <rPh sb="0" eb="2">
      <t>ヤス</t>
    </rPh>
    <rPh sb="2" eb="3">
      <t>シ</t>
    </rPh>
    <phoneticPr fontId="4"/>
  </si>
  <si>
    <t>大篠原</t>
    <rPh sb="0" eb="1">
      <t>オオ</t>
    </rPh>
    <rPh sb="1" eb="3">
      <t>シノハラ</t>
    </rPh>
    <phoneticPr fontId="4"/>
  </si>
  <si>
    <t>倉庫</t>
    <phoneticPr fontId="4"/>
  </si>
  <si>
    <t>宮城県</t>
    <phoneticPr fontId="4"/>
  </si>
  <si>
    <t>閖上</t>
    <rPh sb="0" eb="1">
      <t>ユ</t>
    </rPh>
    <rPh sb="1" eb="2">
      <t>ジョウ</t>
    </rPh>
    <phoneticPr fontId="4"/>
  </si>
  <si>
    <t>株式会社 タカヤ</t>
    <phoneticPr fontId="4"/>
  </si>
  <si>
    <t>霧島</t>
    <rPh sb="0" eb="2">
      <t>キリシマ</t>
    </rPh>
    <phoneticPr fontId="4"/>
  </si>
  <si>
    <t>14.5
4.4
9.1</t>
    <phoneticPr fontId="4"/>
  </si>
  <si>
    <t>13.9
28.1
19.0</t>
    <phoneticPr fontId="4"/>
  </si>
  <si>
    <t>11.8
29.0
12.0</t>
    <phoneticPr fontId="4"/>
  </si>
  <si>
    <t>40.2
61.5
40.1</t>
    <phoneticPr fontId="4"/>
  </si>
  <si>
    <t>1m</t>
    <phoneticPr fontId="4"/>
  </si>
  <si>
    <t>礫混じり中砂</t>
    <rPh sb="0" eb="1">
      <t>レキ</t>
    </rPh>
    <rPh sb="1" eb="2">
      <t>マ</t>
    </rPh>
    <rPh sb="4" eb="5">
      <t>チュウ</t>
    </rPh>
    <rPh sb="5" eb="6">
      <t>サ</t>
    </rPh>
    <phoneticPr fontId="4"/>
  </si>
  <si>
    <t>七蔵複合商業施設 ｽｰﾊﾟｰﾏｰｹｯﾄ棟(公正屋下九沢)</t>
    <rPh sb="0" eb="1">
      <t>ナナ</t>
    </rPh>
    <rPh sb="1" eb="2">
      <t>クラ</t>
    </rPh>
    <rPh sb="2" eb="4">
      <t>フクゴウ</t>
    </rPh>
    <rPh sb="4" eb="6">
      <t>ショウギョウ</t>
    </rPh>
    <rPh sb="6" eb="8">
      <t>シセツ</t>
    </rPh>
    <rPh sb="19" eb="20">
      <t>トウ</t>
    </rPh>
    <rPh sb="21" eb="22">
      <t>コウ</t>
    </rPh>
    <rPh sb="22" eb="23">
      <t>タダ</t>
    </rPh>
    <rPh sb="23" eb="24">
      <t>ヤ</t>
    </rPh>
    <rPh sb="24" eb="25">
      <t>シタ</t>
    </rPh>
    <rPh sb="25" eb="26">
      <t>ク</t>
    </rPh>
    <rPh sb="26" eb="27">
      <t>ザワ</t>
    </rPh>
    <phoneticPr fontId="4"/>
  </si>
  <si>
    <t>藤原</t>
    <rPh sb="0" eb="2">
      <t>フジワラ</t>
    </rPh>
    <phoneticPr fontId="4"/>
  </si>
  <si>
    <t>ｺﾞﾙﾌ場敷地内</t>
    <rPh sb="4" eb="5">
      <t>バ</t>
    </rPh>
    <rPh sb="5" eb="7">
      <t>シキチ</t>
    </rPh>
    <rPh sb="7" eb="8">
      <t>ナイ</t>
    </rPh>
    <phoneticPr fontId="4"/>
  </si>
  <si>
    <t>-</t>
    <phoneticPr fontId="4"/>
  </si>
  <si>
    <t>ﾛｰﾑ</t>
    <phoneticPr fontId="4"/>
  </si>
  <si>
    <t>2m</t>
    <phoneticPr fontId="4"/>
  </si>
  <si>
    <t>強風化泥岩</t>
    <rPh sb="0" eb="1">
      <t>ツヨ</t>
    </rPh>
    <rPh sb="1" eb="3">
      <t>フウカ</t>
    </rPh>
    <rPh sb="3" eb="4">
      <t>ドロ</t>
    </rPh>
    <rPh sb="4" eb="5">
      <t>イワ</t>
    </rPh>
    <phoneticPr fontId="4"/>
  </si>
  <si>
    <t>ﾚｽﾄﾗﾝ棟、ﾎｰﾙ棟の2棟。敷地高低差あり。</t>
    <rPh sb="5" eb="6">
      <t>トウ</t>
    </rPh>
    <rPh sb="10" eb="11">
      <t>トウ</t>
    </rPh>
    <rPh sb="13" eb="14">
      <t>トウ</t>
    </rPh>
    <rPh sb="15" eb="17">
      <t>シキチ</t>
    </rPh>
    <rPh sb="17" eb="19">
      <t>コウテイ</t>
    </rPh>
    <rPh sb="19" eb="20">
      <t>サ</t>
    </rPh>
    <phoneticPr fontId="4"/>
  </si>
  <si>
    <t>ｸﾗﾌﾞﾊｳｽ</t>
    <phoneticPr fontId="4"/>
  </si>
  <si>
    <t>2m</t>
    <phoneticPr fontId="4"/>
  </si>
  <si>
    <t>ﾛｰﾑ</t>
    <phoneticPr fontId="4"/>
  </si>
  <si>
    <t>5m</t>
    <phoneticPr fontId="4"/>
  </si>
  <si>
    <t>地盤改良下に既存擁壁あり</t>
    <rPh sb="0" eb="2">
      <t>ジバン</t>
    </rPh>
    <rPh sb="2" eb="4">
      <t>カイリョウ</t>
    </rPh>
    <rPh sb="4" eb="5">
      <t>シタ</t>
    </rPh>
    <rPh sb="6" eb="8">
      <t>キソン</t>
    </rPh>
    <rPh sb="8" eb="9">
      <t>ヨウ</t>
    </rPh>
    <rPh sb="9" eb="10">
      <t>ヘキ</t>
    </rPh>
    <phoneticPr fontId="4"/>
  </si>
  <si>
    <t>秋田県</t>
    <phoneticPr fontId="4"/>
  </si>
  <si>
    <t>にかほ市</t>
    <phoneticPr fontId="4"/>
  </si>
  <si>
    <t>象潟町後田</t>
    <phoneticPr fontId="4"/>
  </si>
  <si>
    <t>東野建設工業 株式会社</t>
    <phoneticPr fontId="4"/>
  </si>
  <si>
    <t>ヒガシノケンセツコウギョウ カブシキガイシャ</t>
    <phoneticPr fontId="4"/>
  </si>
  <si>
    <t>有限会社 梶原建築設計事務所</t>
    <phoneticPr fontId="4"/>
  </si>
  <si>
    <t>ユウゲンガイシャ カジワラケンチクセッケイジムショ</t>
    <phoneticPr fontId="4"/>
  </si>
  <si>
    <t>礫混じり砂質ｼﾙﾄ</t>
    <rPh sb="0" eb="1">
      <t>レキ</t>
    </rPh>
    <rPh sb="1" eb="2">
      <t>マ</t>
    </rPh>
    <rPh sb="4" eb="5">
      <t>スナ</t>
    </rPh>
    <rPh sb="5" eb="6">
      <t>シツ</t>
    </rPh>
    <phoneticPr fontId="4"/>
  </si>
  <si>
    <t>3m</t>
    <phoneticPr fontId="4"/>
  </si>
  <si>
    <t>3</t>
    <phoneticPr fontId="4"/>
  </si>
  <si>
    <t>-</t>
    <phoneticPr fontId="4"/>
  </si>
  <si>
    <t>1m</t>
    <phoneticPr fontId="4"/>
  </si>
  <si>
    <t>砂礫混じり粘性土</t>
    <rPh sb="0" eb="2">
      <t>サレキ</t>
    </rPh>
    <rPh sb="2" eb="3">
      <t>マ</t>
    </rPh>
    <rPh sb="5" eb="7">
      <t>ネンセイ</t>
    </rPh>
    <rPh sb="7" eb="8">
      <t>ド</t>
    </rPh>
    <phoneticPr fontId="4"/>
  </si>
  <si>
    <t>1m</t>
    <phoneticPr fontId="4"/>
  </si>
  <si>
    <t>埋立地。海に近い。</t>
    <rPh sb="0" eb="3">
      <t>ウメタテチ</t>
    </rPh>
    <rPh sb="4" eb="5">
      <t>ウミ</t>
    </rPh>
    <rPh sb="6" eb="7">
      <t>チカ</t>
    </rPh>
    <phoneticPr fontId="4"/>
  </si>
  <si>
    <t>SM棟とDR棟と100均の3棟</t>
    <rPh sb="2" eb="3">
      <t>トウ</t>
    </rPh>
    <rPh sb="6" eb="7">
      <t>トウ</t>
    </rPh>
    <rPh sb="11" eb="12">
      <t>タモツ</t>
    </rPh>
    <rPh sb="14" eb="15">
      <t>トウ</t>
    </rPh>
    <phoneticPr fontId="4"/>
  </si>
  <si>
    <t>大釜字風林</t>
    <rPh sb="0" eb="2">
      <t>オオカマ</t>
    </rPh>
    <rPh sb="2" eb="3">
      <t>アザ</t>
    </rPh>
    <rPh sb="3" eb="4">
      <t>フウ</t>
    </rPh>
    <rPh sb="4" eb="5">
      <t>バヤシ</t>
    </rPh>
    <phoneticPr fontId="4"/>
  </si>
  <si>
    <t>1m</t>
    <phoneticPr fontId="4"/>
  </si>
  <si>
    <t>海に近い。敷地内 店舗棟は別地業。</t>
    <rPh sb="0" eb="1">
      <t>ウミ</t>
    </rPh>
    <rPh sb="2" eb="3">
      <t>チカ</t>
    </rPh>
    <rPh sb="5" eb="7">
      <t>シキチ</t>
    </rPh>
    <rPh sb="7" eb="8">
      <t>ナイ</t>
    </rPh>
    <rPh sb="9" eb="11">
      <t>テンポ</t>
    </rPh>
    <rPh sb="11" eb="12">
      <t>トウ</t>
    </rPh>
    <rPh sb="13" eb="14">
      <t>ベツ</t>
    </rPh>
    <rPh sb="14" eb="15">
      <t>ジ</t>
    </rPh>
    <rPh sb="15" eb="16">
      <t>ギョウ</t>
    </rPh>
    <phoneticPr fontId="4"/>
  </si>
  <si>
    <t>現説</t>
    <rPh sb="0" eb="1">
      <t>ゲン</t>
    </rPh>
    <rPh sb="1" eb="2">
      <t>セツ</t>
    </rPh>
    <phoneticPr fontId="4"/>
  </si>
  <si>
    <t>ﾛｰﾑ</t>
    <phoneticPr fontId="4"/>
  </si>
  <si>
    <t>○</t>
    <phoneticPr fontId="4"/>
  </si>
  <si>
    <t>財団法人 愛知県建築住宅センター</t>
    <phoneticPr fontId="4"/>
  </si>
  <si>
    <t>八戸市</t>
    <phoneticPr fontId="4"/>
  </si>
  <si>
    <t>沼館</t>
    <rPh sb="0" eb="1">
      <t>ヌマ</t>
    </rPh>
    <rPh sb="1" eb="2">
      <t>ヤカタ</t>
    </rPh>
    <phoneticPr fontId="4"/>
  </si>
  <si>
    <t>橋本設計</t>
    <rPh sb="0" eb="2">
      <t>ハシモト</t>
    </rPh>
    <rPh sb="2" eb="4">
      <t>セッケイ</t>
    </rPh>
    <phoneticPr fontId="4"/>
  </si>
  <si>
    <t>橋本設計</t>
    <phoneticPr fontId="4"/>
  </si>
  <si>
    <t>ハシモトセッケイ</t>
    <phoneticPr fontId="4"/>
  </si>
  <si>
    <t>11m</t>
    <phoneticPr fontId="4"/>
  </si>
  <si>
    <t>5m</t>
    <phoneticPr fontId="4"/>
  </si>
  <si>
    <t>モダン・プロ 店舗</t>
    <rPh sb="7" eb="9">
      <t>テンポ</t>
    </rPh>
    <phoneticPr fontId="4"/>
  </si>
  <si>
    <t>かりや愛知中央生活協同組合新物流センター</t>
    <rPh sb="3" eb="5">
      <t>アイチ</t>
    </rPh>
    <rPh sb="5" eb="7">
      <t>チュウオウ</t>
    </rPh>
    <rPh sb="7" eb="9">
      <t>セイカツ</t>
    </rPh>
    <rPh sb="9" eb="11">
      <t>キョウドウ</t>
    </rPh>
    <rPh sb="11" eb="13">
      <t>クミアイ</t>
    </rPh>
    <rPh sb="13" eb="14">
      <t>シン</t>
    </rPh>
    <rPh sb="14" eb="16">
      <t>ブツリュウ</t>
    </rPh>
    <phoneticPr fontId="4"/>
  </si>
  <si>
    <t>高浜市</t>
    <rPh sb="0" eb="3">
      <t>タカハマシ</t>
    </rPh>
    <phoneticPr fontId="4"/>
  </si>
  <si>
    <t>豊田町</t>
    <rPh sb="0" eb="2">
      <t>トヨタ</t>
    </rPh>
    <rPh sb="2" eb="3">
      <t>マチ</t>
    </rPh>
    <phoneticPr fontId="4"/>
  </si>
  <si>
    <t>日本国土開発 株式会社</t>
    <rPh sb="0" eb="2">
      <t>ニホン</t>
    </rPh>
    <rPh sb="2" eb="4">
      <t>コクド</t>
    </rPh>
    <rPh sb="4" eb="6">
      <t>カイハツ</t>
    </rPh>
    <rPh sb="7" eb="9">
      <t>カブシキ</t>
    </rPh>
    <rPh sb="9" eb="11">
      <t>カイシャ</t>
    </rPh>
    <phoneticPr fontId="4"/>
  </si>
  <si>
    <t>社団法人 山梨県建設技術センター</t>
    <rPh sb="0" eb="2">
      <t>シャダン</t>
    </rPh>
    <rPh sb="2" eb="4">
      <t>ホウジン</t>
    </rPh>
    <rPh sb="5" eb="8">
      <t>ヤマナシケン</t>
    </rPh>
    <rPh sb="8" eb="10">
      <t>ケンセツ</t>
    </rPh>
    <rPh sb="10" eb="12">
      <t>ギジュツ</t>
    </rPh>
    <phoneticPr fontId="4"/>
  </si>
  <si>
    <t>社団法人 山梨県建設技術センター</t>
    <phoneticPr fontId="4"/>
  </si>
  <si>
    <t>隣接するEV棟(柱状改良)はTNF範囲外。敷地内3.0m程度の高低差あり。</t>
    <rPh sb="0" eb="2">
      <t>リンセツ</t>
    </rPh>
    <rPh sb="6" eb="7">
      <t>トウ</t>
    </rPh>
    <rPh sb="8" eb="10">
      <t>チュウジョウ</t>
    </rPh>
    <rPh sb="10" eb="12">
      <t>カイリョウ</t>
    </rPh>
    <rPh sb="17" eb="19">
      <t>ハンイ</t>
    </rPh>
    <rPh sb="19" eb="20">
      <t>ガイ</t>
    </rPh>
    <rPh sb="21" eb="23">
      <t>シキチ</t>
    </rPh>
    <rPh sb="23" eb="24">
      <t>ナイ</t>
    </rPh>
    <rPh sb="28" eb="30">
      <t>テイド</t>
    </rPh>
    <rPh sb="31" eb="33">
      <t>コウテイ</t>
    </rPh>
    <rPh sb="33" eb="34">
      <t>サ</t>
    </rPh>
    <phoneticPr fontId="4"/>
  </si>
  <si>
    <t>カブシキガイシャ コウソウケンチクジムショ</t>
    <phoneticPr fontId="4"/>
  </si>
  <si>
    <t>株式会社 構創建築事務所</t>
    <phoneticPr fontId="4"/>
  </si>
  <si>
    <t>入札</t>
    <rPh sb="0" eb="2">
      <t>ニュウサツ</t>
    </rPh>
    <phoneticPr fontId="4"/>
  </si>
  <si>
    <t>株式会社 アーバン建築確認検査機関</t>
    <phoneticPr fontId="4"/>
  </si>
  <si>
    <t>株式会社 十勝大福本舗 東京工場 事務所棟</t>
    <rPh sb="0" eb="2">
      <t>カブシキ</t>
    </rPh>
    <rPh sb="2" eb="4">
      <t>カイシャ</t>
    </rPh>
    <rPh sb="5" eb="7">
      <t>トカチ</t>
    </rPh>
    <rPh sb="7" eb="9">
      <t>ダイフク</t>
    </rPh>
    <rPh sb="9" eb="11">
      <t>ホンポ</t>
    </rPh>
    <rPh sb="12" eb="14">
      <t>トウキョウ</t>
    </rPh>
    <rPh sb="14" eb="16">
      <t>コウジョウ</t>
    </rPh>
    <rPh sb="17" eb="19">
      <t>ジム</t>
    </rPh>
    <rPh sb="19" eb="20">
      <t>ショ</t>
    </rPh>
    <rPh sb="20" eb="21">
      <t>トウ</t>
    </rPh>
    <phoneticPr fontId="4"/>
  </si>
  <si>
    <t>入間郡</t>
    <rPh sb="0" eb="2">
      <t>イリマ</t>
    </rPh>
    <rPh sb="2" eb="3">
      <t>グン</t>
    </rPh>
    <phoneticPr fontId="4"/>
  </si>
  <si>
    <t>三芳町北永井</t>
    <rPh sb="0" eb="1">
      <t>サン</t>
    </rPh>
    <rPh sb="1" eb="2">
      <t>ホウ</t>
    </rPh>
    <rPh sb="2" eb="3">
      <t>マチ</t>
    </rPh>
    <rPh sb="3" eb="4">
      <t>キタ</t>
    </rPh>
    <rPh sb="4" eb="6">
      <t>ナガイ</t>
    </rPh>
    <phoneticPr fontId="4"/>
  </si>
  <si>
    <t>JFEコンフォーム 株式会社</t>
    <rPh sb="10" eb="12">
      <t>カブシキ</t>
    </rPh>
    <rPh sb="12" eb="14">
      <t>カイシャ</t>
    </rPh>
    <phoneticPr fontId="4"/>
  </si>
  <si>
    <t>JFEコンフォーム 株式会社</t>
    <phoneticPr fontId="4"/>
  </si>
  <si>
    <t>JFEコンフォーム カブシキガイシャ</t>
    <phoneticPr fontId="4"/>
  </si>
  <si>
    <t>3m</t>
    <phoneticPr fontId="4"/>
  </si>
  <si>
    <t>1m</t>
    <phoneticPr fontId="4"/>
  </si>
  <si>
    <t>粘土質細砂</t>
    <rPh sb="0" eb="2">
      <t>ネンド</t>
    </rPh>
    <rPh sb="2" eb="3">
      <t>シツ</t>
    </rPh>
    <rPh sb="3" eb="4">
      <t>サイ</t>
    </rPh>
    <rPh sb="4" eb="5">
      <t>スナ</t>
    </rPh>
    <phoneticPr fontId="4"/>
  </si>
  <si>
    <t>礫混じり細砂</t>
    <rPh sb="0" eb="1">
      <t>レキ</t>
    </rPh>
    <rPh sb="1" eb="2">
      <t>マ</t>
    </rPh>
    <rPh sb="4" eb="5">
      <t>サイ</t>
    </rPh>
    <rPh sb="5" eb="6">
      <t>スナ</t>
    </rPh>
    <phoneticPr fontId="4"/>
  </si>
  <si>
    <t>河川近い。</t>
    <rPh sb="0" eb="2">
      <t>カセン</t>
    </rPh>
    <rPh sb="2" eb="3">
      <t>チカ</t>
    </rPh>
    <phoneticPr fontId="4"/>
  </si>
  <si>
    <t>3</t>
    <phoneticPr fontId="4"/>
  </si>
  <si>
    <t>盛土(細砂)</t>
    <rPh sb="0" eb="1">
      <t>モリ</t>
    </rPh>
    <rPh sb="1" eb="2">
      <t>ド</t>
    </rPh>
    <rPh sb="3" eb="4">
      <t>サイ</t>
    </rPh>
    <rPh sb="4" eb="5">
      <t>スナ</t>
    </rPh>
    <phoneticPr fontId="4"/>
  </si>
  <si>
    <t>㈱柳川合同 西蒲池センター</t>
    <rPh sb="1" eb="3">
      <t>ヤナガワ</t>
    </rPh>
    <rPh sb="3" eb="5">
      <t>ゴウドウ</t>
    </rPh>
    <rPh sb="6" eb="7">
      <t>ニシ</t>
    </rPh>
    <rPh sb="7" eb="8">
      <t>ガマ</t>
    </rPh>
    <rPh sb="8" eb="9">
      <t>イケ</t>
    </rPh>
    <phoneticPr fontId="4"/>
  </si>
  <si>
    <t>福岡県</t>
    <phoneticPr fontId="4"/>
  </si>
  <si>
    <t>西蒲池字茅原地内</t>
    <rPh sb="0" eb="3">
      <t>ニシカマチ</t>
    </rPh>
    <rPh sb="3" eb="4">
      <t>アザ</t>
    </rPh>
    <rPh sb="4" eb="6">
      <t>カヤバラ</t>
    </rPh>
    <rPh sb="6" eb="7">
      <t>チ</t>
    </rPh>
    <rPh sb="7" eb="8">
      <t>ナイ</t>
    </rPh>
    <phoneticPr fontId="4"/>
  </si>
  <si>
    <t>倉庫</t>
    <phoneticPr fontId="4"/>
  </si>
  <si>
    <t>空間工房</t>
    <rPh sb="0" eb="2">
      <t>クウカン</t>
    </rPh>
    <rPh sb="2" eb="4">
      <t>コウボウ</t>
    </rPh>
    <phoneticPr fontId="4"/>
  </si>
  <si>
    <t>空間工房</t>
    <phoneticPr fontId="4"/>
  </si>
  <si>
    <t>クウカンコウボウ</t>
    <phoneticPr fontId="4"/>
  </si>
  <si>
    <t>Cksカミリス設計</t>
    <rPh sb="7" eb="9">
      <t>セッケイ</t>
    </rPh>
    <phoneticPr fontId="4"/>
  </si>
  <si>
    <t>Cksカミリス設計</t>
    <phoneticPr fontId="4"/>
  </si>
  <si>
    <t>Cksカミリスセッケイ</t>
    <phoneticPr fontId="4"/>
  </si>
  <si>
    <t>2</t>
    <phoneticPr fontId="4"/>
  </si>
  <si>
    <t>5m</t>
    <phoneticPr fontId="4"/>
  </si>
  <si>
    <t>ｼﾙﾄ</t>
    <phoneticPr fontId="4"/>
  </si>
  <si>
    <t>3m</t>
    <phoneticPr fontId="4"/>
  </si>
  <si>
    <t>2m</t>
    <phoneticPr fontId="4"/>
  </si>
  <si>
    <t>㈱ケイ・エム環境(車庫)</t>
    <rPh sb="6" eb="8">
      <t>カンキョウ</t>
    </rPh>
    <rPh sb="9" eb="11">
      <t>シャコ</t>
    </rPh>
    <phoneticPr fontId="4"/>
  </si>
  <si>
    <t>ダイワ工業 株式会社</t>
    <rPh sb="3" eb="5">
      <t>コウギョウ</t>
    </rPh>
    <rPh sb="6" eb="8">
      <t>カブシキ</t>
    </rPh>
    <rPh sb="8" eb="10">
      <t>カイシャ</t>
    </rPh>
    <phoneticPr fontId="4"/>
  </si>
  <si>
    <t>ダイワ工業 株式会社</t>
    <phoneticPr fontId="4"/>
  </si>
  <si>
    <t>ダイワコウギョウ カブシキガイシャ</t>
    <phoneticPr fontId="4"/>
  </si>
  <si>
    <t>結果待ち</t>
    <rPh sb="0" eb="2">
      <t>ケッカ</t>
    </rPh>
    <rPh sb="2" eb="3">
      <t>マ</t>
    </rPh>
    <phoneticPr fontId="4"/>
  </si>
  <si>
    <t>株式会社 ジェイ・イー・サポート</t>
    <phoneticPr fontId="4"/>
  </si>
  <si>
    <t>沖本
山名</t>
    <rPh sb="0" eb="1">
      <t>オキ</t>
    </rPh>
    <rPh sb="1" eb="2">
      <t>モト</t>
    </rPh>
    <rPh sb="3" eb="5">
      <t>ヤマナ</t>
    </rPh>
    <phoneticPr fontId="4"/>
  </si>
  <si>
    <t>和田
ユイ</t>
    <rPh sb="0" eb="2">
      <t>ワダ</t>
    </rPh>
    <phoneticPr fontId="4"/>
  </si>
  <si>
    <t>近藤
ウット</t>
    <rPh sb="0" eb="2">
      <t>コンドウ</t>
    </rPh>
    <phoneticPr fontId="4"/>
  </si>
  <si>
    <t>太平洋ｾﾒﾝﾄ和歌山SS倉庫</t>
    <rPh sb="0" eb="3">
      <t>タイヘイヨウ</t>
    </rPh>
    <rPh sb="7" eb="10">
      <t>ワカヤマ</t>
    </rPh>
    <rPh sb="12" eb="14">
      <t>ソウコ</t>
    </rPh>
    <phoneticPr fontId="4"/>
  </si>
  <si>
    <t>和歌山市</t>
    <rPh sb="0" eb="3">
      <t>ワカヤマ</t>
    </rPh>
    <rPh sb="3" eb="4">
      <t>シ</t>
    </rPh>
    <phoneticPr fontId="4"/>
  </si>
  <si>
    <t>港字薬種畑</t>
    <rPh sb="0" eb="1">
      <t>ミナト</t>
    </rPh>
    <rPh sb="1" eb="2">
      <t>アザ</t>
    </rPh>
    <rPh sb="2" eb="3">
      <t>クスリ</t>
    </rPh>
    <rPh sb="3" eb="4">
      <t>タネ</t>
    </rPh>
    <rPh sb="4" eb="5">
      <t>ハタケ</t>
    </rPh>
    <phoneticPr fontId="4"/>
  </si>
  <si>
    <t>倉庫</t>
    <phoneticPr fontId="4"/>
  </si>
  <si>
    <t>一級建築士事務所 想建築工房</t>
    <rPh sb="0" eb="2">
      <t>イッキュウ</t>
    </rPh>
    <rPh sb="2" eb="5">
      <t>ケンチクシ</t>
    </rPh>
    <rPh sb="5" eb="7">
      <t>ジム</t>
    </rPh>
    <rPh sb="7" eb="8">
      <t>ショ</t>
    </rPh>
    <rPh sb="9" eb="10">
      <t>オモ</t>
    </rPh>
    <rPh sb="10" eb="12">
      <t>ケンチク</t>
    </rPh>
    <rPh sb="12" eb="14">
      <t>コウボウ</t>
    </rPh>
    <phoneticPr fontId="4"/>
  </si>
  <si>
    <t>一級建築士事務所 想建築工房</t>
    <phoneticPr fontId="4"/>
  </si>
  <si>
    <t>イッキュウケンチクシジムショ ソウケンチクコウボウ</t>
    <phoneticPr fontId="4"/>
  </si>
  <si>
    <t>6m</t>
    <phoneticPr fontId="4"/>
  </si>
  <si>
    <t>ﾛｰﾑ</t>
    <phoneticPr fontId="4"/>
  </si>
  <si>
    <t>千種区松軒</t>
    <rPh sb="3" eb="4">
      <t>マツ</t>
    </rPh>
    <rPh sb="4" eb="5">
      <t>ノキ</t>
    </rPh>
    <phoneticPr fontId="4"/>
  </si>
  <si>
    <t>V・drug千種公園北</t>
    <rPh sb="8" eb="10">
      <t>コウエン</t>
    </rPh>
    <rPh sb="10" eb="11">
      <t>キタ</t>
    </rPh>
    <phoneticPr fontId="4"/>
  </si>
  <si>
    <t>4m</t>
    <phoneticPr fontId="4"/>
  </si>
  <si>
    <t>ｼﾙﾄ</t>
    <phoneticPr fontId="4"/>
  </si>
  <si>
    <t>手稲区富丘</t>
    <rPh sb="0" eb="1">
      <t>テ</t>
    </rPh>
    <rPh sb="1" eb="2">
      <t>イナ</t>
    </rPh>
    <rPh sb="2" eb="3">
      <t>ク</t>
    </rPh>
    <rPh sb="3" eb="4">
      <t>トミ</t>
    </rPh>
    <rPh sb="4" eb="5">
      <t>オカ</t>
    </rPh>
    <phoneticPr fontId="4"/>
  </si>
  <si>
    <t>店舗・駐車場</t>
    <rPh sb="0" eb="2">
      <t>テンポ</t>
    </rPh>
    <rPh sb="3" eb="6">
      <t>チュウシャジョウ</t>
    </rPh>
    <phoneticPr fontId="4"/>
  </si>
  <si>
    <t>日本国土開発 株式会社</t>
    <phoneticPr fontId="4"/>
  </si>
  <si>
    <t>有限会社 原・大野建築設計事務所</t>
    <rPh sb="0" eb="2">
      <t>ユウゲン</t>
    </rPh>
    <rPh sb="2" eb="4">
      <t>カイシャ</t>
    </rPh>
    <rPh sb="5" eb="6">
      <t>ハラ</t>
    </rPh>
    <rPh sb="7" eb="9">
      <t>オオノ</t>
    </rPh>
    <rPh sb="9" eb="11">
      <t>ケンチク</t>
    </rPh>
    <rPh sb="11" eb="13">
      <t>セッケイ</t>
    </rPh>
    <rPh sb="13" eb="15">
      <t>ジム</t>
    </rPh>
    <rPh sb="15" eb="16">
      <t>ショ</t>
    </rPh>
    <phoneticPr fontId="4"/>
  </si>
  <si>
    <t>有限会社 原・大野建築設計事務所</t>
    <phoneticPr fontId="4"/>
  </si>
  <si>
    <t>ニホンコクドカイハツ カブシキガイシャ</t>
    <phoneticPr fontId="4"/>
  </si>
  <si>
    <t>ユウゲンガイシャ ハラ・オオノケンチクセッケイジムショ</t>
    <phoneticPr fontId="4"/>
  </si>
  <si>
    <t>つり具センター手稲富丘(旧 アイビック富丘)</t>
    <rPh sb="2" eb="3">
      <t>グ</t>
    </rPh>
    <rPh sb="7" eb="8">
      <t>テ</t>
    </rPh>
    <rPh sb="8" eb="9">
      <t>イナ</t>
    </rPh>
    <rPh sb="9" eb="11">
      <t>トミオカ</t>
    </rPh>
    <rPh sb="12" eb="13">
      <t>キュウ</t>
    </rPh>
    <rPh sb="19" eb="20">
      <t>トミ</t>
    </rPh>
    <rPh sb="20" eb="21">
      <t>オカ</t>
    </rPh>
    <phoneticPr fontId="4"/>
  </si>
  <si>
    <t>ハウスプラス確認検査 株式会社</t>
    <phoneticPr fontId="4"/>
  </si>
  <si>
    <t>3</t>
    <phoneticPr fontId="4"/>
  </si>
  <si>
    <t>ｼﾙﾄ</t>
    <phoneticPr fontId="4"/>
  </si>
  <si>
    <t>15m</t>
    <phoneticPr fontId="4"/>
  </si>
  <si>
    <t>3m</t>
    <phoneticPr fontId="4"/>
  </si>
  <si>
    <t>2m</t>
    <phoneticPr fontId="4"/>
  </si>
  <si>
    <t>冷凍倉庫</t>
    <rPh sb="0" eb="2">
      <t>レイトウ</t>
    </rPh>
    <rPh sb="2" eb="4">
      <t>ソウコ</t>
    </rPh>
    <phoneticPr fontId="4"/>
  </si>
  <si>
    <t>独立,布
(TREO,Tio)</t>
    <rPh sb="0" eb="2">
      <t>ドクリツ</t>
    </rPh>
    <rPh sb="3" eb="4">
      <t>ヌノ</t>
    </rPh>
    <phoneticPr fontId="4"/>
  </si>
  <si>
    <t>1m</t>
    <phoneticPr fontId="4"/>
  </si>
  <si>
    <t>2m</t>
    <phoneticPr fontId="4"/>
  </si>
  <si>
    <t>申請(100均)</t>
    <rPh sb="0" eb="2">
      <t>シンセイ</t>
    </rPh>
    <rPh sb="6" eb="7">
      <t>タモツ</t>
    </rPh>
    <phoneticPr fontId="4"/>
  </si>
  <si>
    <t>180219-3</t>
  </si>
  <si>
    <t>ヤマザワ角田 100均棟</t>
    <rPh sb="4" eb="6">
      <t>ツノダ</t>
    </rPh>
    <rPh sb="10" eb="11">
      <t>タモツ</t>
    </rPh>
    <rPh sb="11" eb="12">
      <t>トウ</t>
    </rPh>
    <phoneticPr fontId="4"/>
  </si>
  <si>
    <t>ｼﾙﾄ</t>
    <phoneticPr fontId="4"/>
  </si>
  <si>
    <t>前川構造企画</t>
    <rPh sb="0" eb="2">
      <t>マエカワ</t>
    </rPh>
    <rPh sb="2" eb="4">
      <t>コウゾウ</t>
    </rPh>
    <rPh sb="4" eb="6">
      <t>キカク</t>
    </rPh>
    <phoneticPr fontId="4"/>
  </si>
  <si>
    <t>前川構造企画</t>
    <phoneticPr fontId="4"/>
  </si>
  <si>
    <t>マエカワコウゾウキカク</t>
    <phoneticPr fontId="4"/>
  </si>
  <si>
    <t>既存建物と高低差1.3m程度あり。</t>
    <rPh sb="0" eb="2">
      <t>キソン</t>
    </rPh>
    <rPh sb="2" eb="4">
      <t>タテモノ</t>
    </rPh>
    <rPh sb="5" eb="7">
      <t>コウテイ</t>
    </rPh>
    <rPh sb="7" eb="8">
      <t>サ</t>
    </rPh>
    <rPh sb="12" eb="14">
      <t>テイド</t>
    </rPh>
    <phoneticPr fontId="4"/>
  </si>
  <si>
    <t>-</t>
    <phoneticPr fontId="4"/>
  </si>
  <si>
    <t>-</t>
    <phoneticPr fontId="4"/>
  </si>
  <si>
    <t>以前設計した工場・事務所棟の隣の敷地。開発工事あり。</t>
    <rPh sb="0" eb="2">
      <t>イゼン</t>
    </rPh>
    <rPh sb="2" eb="4">
      <t>セッケイ</t>
    </rPh>
    <rPh sb="6" eb="8">
      <t>コウジョウ</t>
    </rPh>
    <rPh sb="9" eb="11">
      <t>ジム</t>
    </rPh>
    <rPh sb="11" eb="12">
      <t>ショ</t>
    </rPh>
    <rPh sb="12" eb="13">
      <t>トウ</t>
    </rPh>
    <rPh sb="14" eb="15">
      <t>トナリ</t>
    </rPh>
    <rPh sb="16" eb="18">
      <t>シキチ</t>
    </rPh>
    <rPh sb="19" eb="21">
      <t>カイハツ</t>
    </rPh>
    <rPh sb="21" eb="23">
      <t>コウジ</t>
    </rPh>
    <phoneticPr fontId="4"/>
  </si>
  <si>
    <t>臼幸産業 株式会社</t>
    <rPh sb="0" eb="1">
      <t>ウス</t>
    </rPh>
    <rPh sb="1" eb="2">
      <t>コウ</t>
    </rPh>
    <rPh sb="2" eb="4">
      <t>サンギョウ</t>
    </rPh>
    <rPh sb="5" eb="9">
      <t>カブシキガイシャ</t>
    </rPh>
    <phoneticPr fontId="4"/>
  </si>
  <si>
    <t>スコリア混じり黒ボク</t>
    <rPh sb="4" eb="5">
      <t>マ</t>
    </rPh>
    <rPh sb="7" eb="8">
      <t>クロ</t>
    </rPh>
    <phoneticPr fontId="4"/>
  </si>
  <si>
    <t>ローム混じりスコリア</t>
    <rPh sb="3" eb="4">
      <t>マ</t>
    </rPh>
    <phoneticPr fontId="4"/>
  </si>
  <si>
    <t>-</t>
    <phoneticPr fontId="4"/>
  </si>
  <si>
    <t>4m</t>
    <phoneticPr fontId="4"/>
  </si>
  <si>
    <t>10m</t>
    <phoneticPr fontId="4"/>
  </si>
  <si>
    <t>砂・シルト互層</t>
    <rPh sb="0" eb="1">
      <t>スナ</t>
    </rPh>
    <rPh sb="5" eb="6">
      <t>ゴ</t>
    </rPh>
    <rPh sb="6" eb="7">
      <t>ソウ</t>
    </rPh>
    <phoneticPr fontId="4"/>
  </si>
  <si>
    <t>19m</t>
    <phoneticPr fontId="4"/>
  </si>
  <si>
    <t>野口町</t>
    <rPh sb="0" eb="3">
      <t>ノグチチョウ</t>
    </rPh>
    <phoneticPr fontId="4"/>
  </si>
  <si>
    <t>礫混じり砂質粘土</t>
    <rPh sb="0" eb="1">
      <t>レキ</t>
    </rPh>
    <rPh sb="1" eb="2">
      <t>マ</t>
    </rPh>
    <rPh sb="5" eb="6">
      <t>シツ</t>
    </rPh>
    <rPh sb="6" eb="8">
      <t>ネンド</t>
    </rPh>
    <phoneticPr fontId="4"/>
  </si>
  <si>
    <t>1</t>
    <phoneticPr fontId="4"/>
  </si>
  <si>
    <t>三輪野江</t>
    <rPh sb="0" eb="4">
      <t>ミワノエ</t>
    </rPh>
    <phoneticPr fontId="4"/>
  </si>
  <si>
    <t>礫シルト混じり砂</t>
    <rPh sb="0" eb="1">
      <t>レキ</t>
    </rPh>
    <rPh sb="4" eb="5">
      <t>マ</t>
    </rPh>
    <rPh sb="7" eb="8">
      <t>スナ</t>
    </rPh>
    <phoneticPr fontId="4"/>
  </si>
  <si>
    <t>礫混じりシルト質砂</t>
    <rPh sb="0" eb="1">
      <t>レキ</t>
    </rPh>
    <rPh sb="1" eb="2">
      <t>マ</t>
    </rPh>
    <rPh sb="7" eb="8">
      <t>シツ</t>
    </rPh>
    <rPh sb="8" eb="9">
      <t>スナ</t>
    </rPh>
    <phoneticPr fontId="4"/>
  </si>
  <si>
    <t>-</t>
    <phoneticPr fontId="4"/>
  </si>
  <si>
    <t>緑区下九沢</t>
    <rPh sb="0" eb="2">
      <t>ミドリク</t>
    </rPh>
    <rPh sb="2" eb="5">
      <t>シモクザワ</t>
    </rPh>
    <phoneticPr fontId="4"/>
  </si>
  <si>
    <t>財団法人 にいがた住宅センター</t>
    <phoneticPr fontId="4"/>
  </si>
  <si>
    <t>関東マツダ吉野町 リフレッシュセンター</t>
    <rPh sb="0" eb="2">
      <t>カントウ</t>
    </rPh>
    <rPh sb="5" eb="7">
      <t>ヨシノ</t>
    </rPh>
    <rPh sb="7" eb="8">
      <t>マチ</t>
    </rPh>
    <phoneticPr fontId="4"/>
  </si>
  <si>
    <t>北区吉野町</t>
    <rPh sb="0" eb="1">
      <t>キタ</t>
    </rPh>
    <rPh sb="1" eb="2">
      <t>ク</t>
    </rPh>
    <rPh sb="2" eb="4">
      <t>ヨシノ</t>
    </rPh>
    <rPh sb="4" eb="5">
      <t>マチ</t>
    </rPh>
    <phoneticPr fontId="4"/>
  </si>
  <si>
    <t>1m</t>
    <phoneticPr fontId="4"/>
  </si>
  <si>
    <t>2m</t>
    <phoneticPr fontId="4"/>
  </si>
  <si>
    <t>資料待ち</t>
    <phoneticPr fontId="4"/>
  </si>
  <si>
    <t>圧密未了
(OCR=0.91)</t>
    <rPh sb="0" eb="1">
      <t>アツ</t>
    </rPh>
    <rPh sb="1" eb="2">
      <t>ミツ</t>
    </rPh>
    <rPh sb="2" eb="4">
      <t>ミリョウ</t>
    </rPh>
    <phoneticPr fontId="4"/>
  </si>
  <si>
    <t>上益城郡</t>
    <rPh sb="0" eb="1">
      <t>ウエ</t>
    </rPh>
    <rPh sb="1" eb="2">
      <t>マ</t>
    </rPh>
    <rPh sb="2" eb="3">
      <t>シロ</t>
    </rPh>
    <rPh sb="3" eb="4">
      <t>グン</t>
    </rPh>
    <phoneticPr fontId="4"/>
  </si>
  <si>
    <t>嘉島町下仲間</t>
    <rPh sb="0" eb="2">
      <t>カシマ</t>
    </rPh>
    <rPh sb="2" eb="3">
      <t>マチ</t>
    </rPh>
    <rPh sb="3" eb="4">
      <t>シタ</t>
    </rPh>
    <rPh sb="4" eb="6">
      <t>ナカマ</t>
    </rPh>
    <phoneticPr fontId="4"/>
  </si>
  <si>
    <t>株式会社 建吉組</t>
    <phoneticPr fontId="4"/>
  </si>
  <si>
    <t>5m</t>
    <phoneticPr fontId="4"/>
  </si>
  <si>
    <t>ｼﾙﾄ</t>
    <phoneticPr fontId="4"/>
  </si>
  <si>
    <t>3m</t>
    <phoneticPr fontId="4"/>
  </si>
  <si>
    <t>OCRmin
(-は過圧密を示す)</t>
    <rPh sb="10" eb="13">
      <t>カアツミツ</t>
    </rPh>
    <rPh sb="14" eb="15">
      <t>シメ</t>
    </rPh>
    <phoneticPr fontId="4"/>
  </si>
  <si>
    <t>OCRmin</t>
    <phoneticPr fontId="4"/>
  </si>
  <si>
    <t>財団法人 沖縄県建設技術センター</t>
    <rPh sb="0" eb="2">
      <t>ザイダン</t>
    </rPh>
    <rPh sb="2" eb="4">
      <t>ホウジン</t>
    </rPh>
    <phoneticPr fontId="4"/>
  </si>
  <si>
    <t>山形県</t>
    <phoneticPr fontId="4"/>
  </si>
  <si>
    <t>西置賜郡</t>
    <rPh sb="0" eb="1">
      <t>ニシ</t>
    </rPh>
    <rPh sb="1" eb="2">
      <t>オ</t>
    </rPh>
    <rPh sb="2" eb="3">
      <t>タマワ</t>
    </rPh>
    <rPh sb="3" eb="4">
      <t>グン</t>
    </rPh>
    <phoneticPr fontId="4"/>
  </si>
  <si>
    <t>飯豊町大字萩生</t>
    <rPh sb="0" eb="1">
      <t>メシ</t>
    </rPh>
    <rPh sb="1" eb="2">
      <t>トヨ</t>
    </rPh>
    <rPh sb="2" eb="3">
      <t>マチ</t>
    </rPh>
    <rPh sb="3" eb="5">
      <t>オオアザ</t>
    </rPh>
    <rPh sb="5" eb="6">
      <t>ハギ</t>
    </rPh>
    <rPh sb="6" eb="7">
      <t>イ</t>
    </rPh>
    <phoneticPr fontId="4"/>
  </si>
  <si>
    <t>丸ト一級建築士事務所</t>
    <rPh sb="0" eb="1">
      <t>マル</t>
    </rPh>
    <rPh sb="2" eb="4">
      <t>イッキュウ</t>
    </rPh>
    <rPh sb="4" eb="7">
      <t>ケンチクシ</t>
    </rPh>
    <rPh sb="7" eb="9">
      <t>ジム</t>
    </rPh>
    <rPh sb="9" eb="10">
      <t>ショ</t>
    </rPh>
    <phoneticPr fontId="4"/>
  </si>
  <si>
    <t>丸ト一級建築士事務所</t>
    <phoneticPr fontId="4"/>
  </si>
  <si>
    <t>マルトイッキュウケンチクシジムショ</t>
    <phoneticPr fontId="4"/>
  </si>
  <si>
    <t>デンソー山形Ⅱ期工事</t>
    <rPh sb="4" eb="6">
      <t>ヤマガタ</t>
    </rPh>
    <rPh sb="7" eb="8">
      <t>キ</t>
    </rPh>
    <rPh sb="8" eb="10">
      <t>コウジ</t>
    </rPh>
    <phoneticPr fontId="4"/>
  </si>
  <si>
    <t>2m</t>
    <phoneticPr fontId="4"/>
  </si>
  <si>
    <t>10m</t>
    <phoneticPr fontId="4"/>
  </si>
  <si>
    <t>ｼﾙﾄ</t>
    <phoneticPr fontId="4"/>
  </si>
  <si>
    <t>コナズ珈琲幕張</t>
    <rPh sb="3" eb="5">
      <t>コーヒー</t>
    </rPh>
    <rPh sb="5" eb="7">
      <t>マクハリ</t>
    </rPh>
    <phoneticPr fontId="4"/>
  </si>
  <si>
    <t>習志野市</t>
    <rPh sb="0" eb="3">
      <t>ナラシノ</t>
    </rPh>
    <rPh sb="3" eb="4">
      <t>シ</t>
    </rPh>
    <phoneticPr fontId="4"/>
  </si>
  <si>
    <t>芝園</t>
    <rPh sb="0" eb="1">
      <t>シバ</t>
    </rPh>
    <rPh sb="1" eb="2">
      <t>ソノ</t>
    </rPh>
    <phoneticPr fontId="4"/>
  </si>
  <si>
    <t>1</t>
    <phoneticPr fontId="4"/>
  </si>
  <si>
    <t>えふ設計室</t>
    <rPh sb="2" eb="4">
      <t>セッケイ</t>
    </rPh>
    <rPh sb="4" eb="5">
      <t>シツ</t>
    </rPh>
    <phoneticPr fontId="4"/>
  </si>
  <si>
    <t>ジャパン建材 株式会社</t>
    <rPh sb="4" eb="6">
      <t>ケンザイ</t>
    </rPh>
    <rPh sb="7" eb="9">
      <t>カブシキ</t>
    </rPh>
    <rPh sb="9" eb="11">
      <t>カイシャ</t>
    </rPh>
    <phoneticPr fontId="4"/>
  </si>
  <si>
    <t>4m</t>
    <phoneticPr fontId="4"/>
  </si>
  <si>
    <t>5m</t>
    <phoneticPr fontId="4"/>
  </si>
  <si>
    <t>3m</t>
    <phoneticPr fontId="4"/>
  </si>
  <si>
    <t>○</t>
    <phoneticPr fontId="4"/>
  </si>
  <si>
    <t>物流ｾﾝﾀｰ、事務所、ﾘｻｲｸﾙ棟の3棟。既存水路近接。</t>
    <rPh sb="0" eb="2">
      <t>ブツリュウ</t>
    </rPh>
    <rPh sb="7" eb="9">
      <t>ジム</t>
    </rPh>
    <rPh sb="9" eb="10">
      <t>ショ</t>
    </rPh>
    <rPh sb="16" eb="17">
      <t>トウ</t>
    </rPh>
    <rPh sb="19" eb="20">
      <t>トウ</t>
    </rPh>
    <rPh sb="21" eb="23">
      <t>キソン</t>
    </rPh>
    <rPh sb="23" eb="25">
      <t>スイロ</t>
    </rPh>
    <rPh sb="25" eb="27">
      <t>キンセツ</t>
    </rPh>
    <phoneticPr fontId="4"/>
  </si>
  <si>
    <t>ﾛｰﾑ</t>
    <phoneticPr fontId="4"/>
  </si>
  <si>
    <t>マルエーミニ金石</t>
    <rPh sb="6" eb="7">
      <t>キン</t>
    </rPh>
    <rPh sb="7" eb="8">
      <t>イシ</t>
    </rPh>
    <phoneticPr fontId="4"/>
  </si>
  <si>
    <t>金沢市</t>
    <rPh sb="0" eb="2">
      <t>カナザワ</t>
    </rPh>
    <rPh sb="2" eb="3">
      <t>シ</t>
    </rPh>
    <phoneticPr fontId="4"/>
  </si>
  <si>
    <t>金石西</t>
    <rPh sb="0" eb="1">
      <t>キン</t>
    </rPh>
    <rPh sb="1" eb="2">
      <t>イシ</t>
    </rPh>
    <rPh sb="2" eb="3">
      <t>ニシ</t>
    </rPh>
    <phoneticPr fontId="4"/>
  </si>
  <si>
    <t>株式会社 中島建築事務所</t>
    <rPh sb="0" eb="2">
      <t>カブシキ</t>
    </rPh>
    <rPh sb="2" eb="4">
      <t>カイシャ</t>
    </rPh>
    <rPh sb="5" eb="7">
      <t>ナカジマ</t>
    </rPh>
    <rPh sb="7" eb="9">
      <t>ケンチク</t>
    </rPh>
    <rPh sb="9" eb="11">
      <t>ジム</t>
    </rPh>
    <rPh sb="11" eb="12">
      <t>ショ</t>
    </rPh>
    <phoneticPr fontId="4"/>
  </si>
  <si>
    <t>株式会社 中島建築事務所</t>
    <phoneticPr fontId="4"/>
  </si>
  <si>
    <t>カブシキガイシャ ナカジマケンチクジムショ</t>
    <phoneticPr fontId="4"/>
  </si>
  <si>
    <t>えふ設計室</t>
    <phoneticPr fontId="4"/>
  </si>
  <si>
    <t>エフセッケイシツ</t>
    <phoneticPr fontId="4"/>
  </si>
  <si>
    <t>ジャパン建材 株式会社</t>
    <phoneticPr fontId="4"/>
  </si>
  <si>
    <t>ジャパンケンザイ カブシキガイシャ</t>
    <phoneticPr fontId="4"/>
  </si>
  <si>
    <t>丸ト一級建築士事務所</t>
    <phoneticPr fontId="4"/>
  </si>
  <si>
    <t>マルトイッキュウケンチクシジムショ</t>
    <phoneticPr fontId="4"/>
  </si>
  <si>
    <t>株式会社 中島建築事務所</t>
    <phoneticPr fontId="4"/>
  </si>
  <si>
    <t>ｼﾙﾄ</t>
    <phoneticPr fontId="4"/>
  </si>
  <si>
    <t>4m</t>
    <phoneticPr fontId="4"/>
  </si>
  <si>
    <t>3m</t>
    <phoneticPr fontId="4"/>
  </si>
  <si>
    <t>図面</t>
    <rPh sb="0" eb="2">
      <t>ズメン</t>
    </rPh>
    <phoneticPr fontId="4"/>
  </si>
  <si>
    <t>株式会社 仙台都市整備センター</t>
    <phoneticPr fontId="4"/>
  </si>
  <si>
    <t>米山電導機 社屋 増築</t>
    <rPh sb="0" eb="2">
      <t>ヨネヤマ</t>
    </rPh>
    <rPh sb="2" eb="3">
      <t>デン</t>
    </rPh>
    <rPh sb="3" eb="4">
      <t>ドウ</t>
    </rPh>
    <rPh sb="4" eb="5">
      <t>キ</t>
    </rPh>
    <rPh sb="6" eb="8">
      <t>シャオク</t>
    </rPh>
    <rPh sb="9" eb="11">
      <t>ゾウチク</t>
    </rPh>
    <phoneticPr fontId="4"/>
  </si>
  <si>
    <t>塩冶有原町</t>
    <rPh sb="0" eb="1">
      <t>シオ</t>
    </rPh>
    <rPh sb="1" eb="2">
      <t>ヤ</t>
    </rPh>
    <rPh sb="2" eb="3">
      <t>ア</t>
    </rPh>
    <rPh sb="3" eb="4">
      <t>ハラ</t>
    </rPh>
    <rPh sb="4" eb="5">
      <t>マチ</t>
    </rPh>
    <phoneticPr fontId="4"/>
  </si>
  <si>
    <t>塩野建築設計事務所</t>
    <phoneticPr fontId="4"/>
  </si>
  <si>
    <t>2m</t>
    <phoneticPr fontId="4"/>
  </si>
  <si>
    <t>砂混りｼﾙﾄ質粘土</t>
    <rPh sb="0" eb="1">
      <t>スナ</t>
    </rPh>
    <rPh sb="1" eb="2">
      <t>マ</t>
    </rPh>
    <rPh sb="6" eb="7">
      <t>シツ</t>
    </rPh>
    <rPh sb="7" eb="9">
      <t>ネンド</t>
    </rPh>
    <phoneticPr fontId="4"/>
  </si>
  <si>
    <t>2m</t>
    <phoneticPr fontId="4"/>
  </si>
  <si>
    <t>-</t>
    <phoneticPr fontId="4"/>
  </si>
  <si>
    <t>既存建物への増築工事。基礎近接。</t>
    <rPh sb="0" eb="2">
      <t>キソン</t>
    </rPh>
    <rPh sb="2" eb="4">
      <t>タテモノ</t>
    </rPh>
    <rPh sb="6" eb="8">
      <t>ゾウチク</t>
    </rPh>
    <rPh sb="8" eb="10">
      <t>コウジ</t>
    </rPh>
    <rPh sb="11" eb="13">
      <t>キソ</t>
    </rPh>
    <rPh sb="13" eb="15">
      <t>キンセツ</t>
    </rPh>
    <phoneticPr fontId="4"/>
  </si>
  <si>
    <t>以前設計したハタノ印刷の隣の敷地</t>
    <rPh sb="0" eb="2">
      <t>イゼン</t>
    </rPh>
    <rPh sb="2" eb="4">
      <t>セッケイ</t>
    </rPh>
    <rPh sb="9" eb="11">
      <t>インサツ</t>
    </rPh>
    <rPh sb="12" eb="13">
      <t>トナリ</t>
    </rPh>
    <rPh sb="14" eb="16">
      <t>シキチ</t>
    </rPh>
    <phoneticPr fontId="4"/>
  </si>
  <si>
    <t>　申請</t>
    <rPh sb="1" eb="3">
      <t>シンセイ</t>
    </rPh>
    <phoneticPr fontId="4"/>
  </si>
  <si>
    <t>確認おり次第すぐ着工</t>
    <rPh sb="0" eb="2">
      <t>カクニン</t>
    </rPh>
    <rPh sb="4" eb="6">
      <t>シダイ</t>
    </rPh>
    <rPh sb="8" eb="10">
      <t>チャッコウ</t>
    </rPh>
    <phoneticPr fontId="4"/>
  </si>
  <si>
    <t>コメリPW札幌発寒</t>
    <rPh sb="5" eb="7">
      <t>サッポロ</t>
    </rPh>
    <rPh sb="7" eb="9">
      <t>ハッサム</t>
    </rPh>
    <phoneticPr fontId="4"/>
  </si>
  <si>
    <t>西区発寒</t>
    <rPh sb="0" eb="2">
      <t>ニシク</t>
    </rPh>
    <rPh sb="2" eb="4">
      <t>ハッサム</t>
    </rPh>
    <phoneticPr fontId="4"/>
  </si>
  <si>
    <t>3</t>
    <phoneticPr fontId="4"/>
  </si>
  <si>
    <t>SD工房</t>
    <rPh sb="2" eb="4">
      <t>コウボウ</t>
    </rPh>
    <phoneticPr fontId="4"/>
  </si>
  <si>
    <t>○</t>
    <phoneticPr fontId="4"/>
  </si>
  <si>
    <t>3m</t>
    <phoneticPr fontId="4"/>
  </si>
  <si>
    <t>1m</t>
    <phoneticPr fontId="4"/>
  </si>
  <si>
    <t>ウット</t>
    <phoneticPr fontId="4"/>
  </si>
  <si>
    <t>4号建築物。海に近い。カインズ幕張 敷地内。</t>
    <rPh sb="1" eb="2">
      <t>ゴウ</t>
    </rPh>
    <rPh sb="2" eb="5">
      <t>ケンチクブツ</t>
    </rPh>
    <rPh sb="6" eb="7">
      <t>ウミ</t>
    </rPh>
    <rPh sb="8" eb="9">
      <t>チカ</t>
    </rPh>
    <rPh sb="15" eb="17">
      <t>マクハリ</t>
    </rPh>
    <rPh sb="18" eb="20">
      <t>シキチ</t>
    </rPh>
    <rPh sb="20" eb="21">
      <t>ナイ</t>
    </rPh>
    <phoneticPr fontId="4"/>
  </si>
  <si>
    <t>株式会社 岩手県建築住宅センター</t>
    <phoneticPr fontId="4"/>
  </si>
  <si>
    <t>礫混じり砂質粘性土</t>
    <rPh sb="0" eb="1">
      <t>レキ</t>
    </rPh>
    <rPh sb="1" eb="2">
      <t>マ</t>
    </rPh>
    <rPh sb="4" eb="5">
      <t>スナ</t>
    </rPh>
    <rPh sb="5" eb="6">
      <t>シツ</t>
    </rPh>
    <rPh sb="6" eb="8">
      <t>ネンセイ</t>
    </rPh>
    <rPh sb="8" eb="9">
      <t>ド</t>
    </rPh>
    <phoneticPr fontId="4"/>
  </si>
  <si>
    <t>-</t>
    <phoneticPr fontId="4"/>
  </si>
  <si>
    <t>1.11
盛土で圧密未了</t>
    <rPh sb="5" eb="6">
      <t>モリ</t>
    </rPh>
    <rPh sb="6" eb="7">
      <t>ド</t>
    </rPh>
    <rPh sb="8" eb="9">
      <t>アツ</t>
    </rPh>
    <rPh sb="9" eb="10">
      <t>ミツ</t>
    </rPh>
    <rPh sb="10" eb="12">
      <t>ミリョウ</t>
    </rPh>
    <phoneticPr fontId="4"/>
  </si>
  <si>
    <t>○一部</t>
    <rPh sb="1" eb="3">
      <t>イチブ</t>
    </rPh>
    <phoneticPr fontId="4"/>
  </si>
  <si>
    <t>火山灰混じりｼﾙﾄ</t>
    <rPh sb="0" eb="2">
      <t>カザン</t>
    </rPh>
    <rPh sb="2" eb="3">
      <t>ハイ</t>
    </rPh>
    <rPh sb="3" eb="4">
      <t>マ</t>
    </rPh>
    <phoneticPr fontId="4"/>
  </si>
  <si>
    <t>アルビス笠舞</t>
    <rPh sb="4" eb="5">
      <t>カサ</t>
    </rPh>
    <rPh sb="5" eb="6">
      <t>マイ</t>
    </rPh>
    <phoneticPr fontId="4"/>
  </si>
  <si>
    <t>笠舞</t>
    <rPh sb="0" eb="1">
      <t>カサ</t>
    </rPh>
    <rPh sb="1" eb="2">
      <t>マイ</t>
    </rPh>
    <phoneticPr fontId="4"/>
  </si>
  <si>
    <t>株式会社 シンチョー</t>
    <rPh sb="0" eb="4">
      <t>カブシキガイシャ</t>
    </rPh>
    <phoneticPr fontId="4"/>
  </si>
  <si>
    <t>株式会社 シンチョー</t>
    <phoneticPr fontId="4"/>
  </si>
  <si>
    <t>カブシキガイシャ シンチョー</t>
    <phoneticPr fontId="4"/>
  </si>
  <si>
    <t>既存基礎(3m)程度解体後 建設</t>
    <rPh sb="0" eb="2">
      <t>キソン</t>
    </rPh>
    <rPh sb="2" eb="4">
      <t>キソ</t>
    </rPh>
    <rPh sb="8" eb="10">
      <t>テイド</t>
    </rPh>
    <rPh sb="10" eb="12">
      <t>カイタイ</t>
    </rPh>
    <rPh sb="12" eb="13">
      <t>ゴ</t>
    </rPh>
    <rPh sb="14" eb="16">
      <t>ケンセツ</t>
    </rPh>
    <phoneticPr fontId="4"/>
  </si>
  <si>
    <t>申請、現説</t>
    <rPh sb="0" eb="2">
      <t>シンセイ</t>
    </rPh>
    <rPh sb="3" eb="4">
      <t>ゲン</t>
    </rPh>
    <rPh sb="4" eb="5">
      <t>セツ</t>
    </rPh>
    <phoneticPr fontId="4"/>
  </si>
  <si>
    <t>静岡県建築技術安心支援センター</t>
    <phoneticPr fontId="4"/>
  </si>
  <si>
    <t>株式会社 構造プランニング</t>
    <phoneticPr fontId="4"/>
  </si>
  <si>
    <t>株式会社 空間創造社</t>
    <phoneticPr fontId="4"/>
  </si>
  <si>
    <t>株式会社 空間創造社</t>
    <rPh sb="0" eb="4">
      <t>カブシキガイシャ</t>
    </rPh>
    <rPh sb="5" eb="7">
      <t>クウカン</t>
    </rPh>
    <rPh sb="7" eb="9">
      <t>ソウゾウ</t>
    </rPh>
    <rPh sb="9" eb="10">
      <t>シャ</t>
    </rPh>
    <phoneticPr fontId="4"/>
  </si>
  <si>
    <t>敷地内 板金工場のみ。他棟は直接基礎。</t>
    <rPh sb="0" eb="2">
      <t>シキチ</t>
    </rPh>
    <rPh sb="2" eb="3">
      <t>ナイ</t>
    </rPh>
    <rPh sb="4" eb="6">
      <t>バンキン</t>
    </rPh>
    <rPh sb="6" eb="8">
      <t>コウジョウ</t>
    </rPh>
    <rPh sb="11" eb="12">
      <t>ホカ</t>
    </rPh>
    <rPh sb="12" eb="13">
      <t>トウ</t>
    </rPh>
    <rPh sb="14" eb="16">
      <t>チョクセツ</t>
    </rPh>
    <rPh sb="16" eb="18">
      <t>キソ</t>
    </rPh>
    <phoneticPr fontId="4"/>
  </si>
  <si>
    <t>宮城郡</t>
    <rPh sb="0" eb="3">
      <t>ミヤギグン</t>
    </rPh>
    <phoneticPr fontId="4"/>
  </si>
  <si>
    <t>利府町利府新揺橋</t>
    <rPh sb="0" eb="2">
      <t>リフ</t>
    </rPh>
    <rPh sb="2" eb="3">
      <t>マチ</t>
    </rPh>
    <rPh sb="3" eb="5">
      <t>リフ</t>
    </rPh>
    <rPh sb="5" eb="6">
      <t>シン</t>
    </rPh>
    <rPh sb="6" eb="7">
      <t>ユ</t>
    </rPh>
    <rPh sb="7" eb="8">
      <t>ハシ</t>
    </rPh>
    <phoneticPr fontId="4"/>
  </si>
  <si>
    <t>2m</t>
    <phoneticPr fontId="4"/>
  </si>
  <si>
    <t>4m</t>
    <phoneticPr fontId="4"/>
  </si>
  <si>
    <t>高有機質土</t>
    <rPh sb="0" eb="1">
      <t>タカ</t>
    </rPh>
    <rPh sb="1" eb="4">
      <t>ユウキシツ</t>
    </rPh>
    <rPh sb="4" eb="5">
      <t>ド</t>
    </rPh>
    <phoneticPr fontId="4"/>
  </si>
  <si>
    <t>2m</t>
    <phoneticPr fontId="4"/>
  </si>
  <si>
    <t>大河原町小島</t>
    <rPh sb="0" eb="4">
      <t>オオガワラマチ</t>
    </rPh>
    <rPh sb="4" eb="6">
      <t>コジマ</t>
    </rPh>
    <phoneticPr fontId="4"/>
  </si>
  <si>
    <t>有機質混じり粘土</t>
    <rPh sb="0" eb="3">
      <t>ユウキシツ</t>
    </rPh>
    <rPh sb="3" eb="4">
      <t>マ</t>
    </rPh>
    <rPh sb="6" eb="8">
      <t>ネンド</t>
    </rPh>
    <phoneticPr fontId="4"/>
  </si>
  <si>
    <t>敷地内 ｲｴﾛｰﾊｯﾄとTSUTAYAの2棟</t>
    <rPh sb="0" eb="2">
      <t>シキチ</t>
    </rPh>
    <rPh sb="2" eb="3">
      <t>ナイ</t>
    </rPh>
    <rPh sb="21" eb="22">
      <t>トウ</t>
    </rPh>
    <phoneticPr fontId="4"/>
  </si>
  <si>
    <t>イエローハット利府</t>
    <phoneticPr fontId="4"/>
  </si>
  <si>
    <t>TSUTAYA利府</t>
    <rPh sb="7" eb="9">
      <t>リフ</t>
    </rPh>
    <phoneticPr fontId="4"/>
  </si>
  <si>
    <t xml:space="preserve">  申請</t>
    <rPh sb="2" eb="4">
      <t>シンセイ</t>
    </rPh>
    <phoneticPr fontId="4"/>
  </si>
  <si>
    <t>3</t>
    <phoneticPr fontId="4"/>
  </si>
  <si>
    <t>1F床 ｱｽﾌｧﾙﾄ、根巻柱脚</t>
    <rPh sb="2" eb="3">
      <t>ユカ</t>
    </rPh>
    <rPh sb="11" eb="12">
      <t>ネ</t>
    </rPh>
    <rPh sb="12" eb="13">
      <t>マ</t>
    </rPh>
    <rPh sb="13" eb="14">
      <t>チュウ</t>
    </rPh>
    <rPh sb="14" eb="15">
      <t>キャク</t>
    </rPh>
    <phoneticPr fontId="4"/>
  </si>
  <si>
    <t>2</t>
    <phoneticPr fontId="4"/>
  </si>
  <si>
    <t>大丸防音㈱茨城機材ｾﾝﾀｰ倉庫</t>
    <rPh sb="0" eb="1">
      <t>ダイ</t>
    </rPh>
    <rPh sb="1" eb="2">
      <t>マル</t>
    </rPh>
    <rPh sb="2" eb="4">
      <t>ボウオン</t>
    </rPh>
    <rPh sb="5" eb="7">
      <t>イバラキ</t>
    </rPh>
    <rPh sb="7" eb="9">
      <t>キザイ</t>
    </rPh>
    <rPh sb="13" eb="15">
      <t>ソウコ</t>
    </rPh>
    <phoneticPr fontId="4"/>
  </si>
  <si>
    <t>稲敷市</t>
    <rPh sb="0" eb="1">
      <t>イナ</t>
    </rPh>
    <rPh sb="1" eb="2">
      <t>シキ</t>
    </rPh>
    <rPh sb="2" eb="3">
      <t>シ</t>
    </rPh>
    <phoneticPr fontId="4"/>
  </si>
  <si>
    <t>沼田</t>
    <rPh sb="0" eb="2">
      <t>ヌマタ</t>
    </rPh>
    <phoneticPr fontId="4"/>
  </si>
  <si>
    <t>若築建設 株式会社</t>
    <rPh sb="0" eb="2">
      <t>ワカチク</t>
    </rPh>
    <rPh sb="2" eb="4">
      <t>ケンセツ</t>
    </rPh>
    <rPh sb="5" eb="9">
      <t>カブシキガイシャ</t>
    </rPh>
    <phoneticPr fontId="4"/>
  </si>
  <si>
    <t>1m</t>
    <phoneticPr fontId="4"/>
  </si>
  <si>
    <t>5m</t>
    <phoneticPr fontId="4"/>
  </si>
  <si>
    <t>2m</t>
    <phoneticPr fontId="4"/>
  </si>
  <si>
    <t>以前TNFで設計した既存建物への増築工事。工場棟と事務所棟の2棟</t>
    <rPh sb="0" eb="2">
      <t>イゼン</t>
    </rPh>
    <rPh sb="6" eb="8">
      <t>セッケイ</t>
    </rPh>
    <rPh sb="10" eb="12">
      <t>キソン</t>
    </rPh>
    <rPh sb="12" eb="14">
      <t>タテモノ</t>
    </rPh>
    <rPh sb="16" eb="18">
      <t>ゾウチク</t>
    </rPh>
    <rPh sb="18" eb="20">
      <t>コウジ</t>
    </rPh>
    <rPh sb="21" eb="23">
      <t>コウジョウ</t>
    </rPh>
    <rPh sb="23" eb="24">
      <t>トウ</t>
    </rPh>
    <rPh sb="25" eb="27">
      <t>ジム</t>
    </rPh>
    <rPh sb="27" eb="28">
      <t>ショ</t>
    </rPh>
    <rPh sb="28" eb="29">
      <t>トウ</t>
    </rPh>
    <rPh sb="31" eb="32">
      <t>トウ</t>
    </rPh>
    <phoneticPr fontId="4"/>
  </si>
  <si>
    <t>株式会社 ピーエス三菱</t>
    <rPh sb="0" eb="4">
      <t>カブシキガイシャ</t>
    </rPh>
    <rPh sb="9" eb="11">
      <t>ミツビシ</t>
    </rPh>
    <phoneticPr fontId="4"/>
  </si>
  <si>
    <t>株式会社 ピーエス三菱</t>
    <phoneticPr fontId="4"/>
  </si>
  <si>
    <t>カブシキガイシャ ピーエスミツビシ</t>
    <phoneticPr fontId="4"/>
  </si>
  <si>
    <t>合同会社 台野建築事務所</t>
    <rPh sb="0" eb="2">
      <t>ゴウドウ</t>
    </rPh>
    <rPh sb="2" eb="4">
      <t>カイシャ</t>
    </rPh>
    <rPh sb="5" eb="6">
      <t>ダイ</t>
    </rPh>
    <rPh sb="6" eb="7">
      <t>ノ</t>
    </rPh>
    <rPh sb="7" eb="9">
      <t>ケンチク</t>
    </rPh>
    <rPh sb="9" eb="11">
      <t>ジム</t>
    </rPh>
    <rPh sb="11" eb="12">
      <t>ショ</t>
    </rPh>
    <phoneticPr fontId="4"/>
  </si>
  <si>
    <t>合同会社 台野建築事務所</t>
    <phoneticPr fontId="4"/>
  </si>
  <si>
    <t>ゴウドウガイシャ ダイノケンチクジムショ</t>
    <phoneticPr fontId="4"/>
  </si>
  <si>
    <t>見積図</t>
    <rPh sb="0" eb="2">
      <t>ミツモリ</t>
    </rPh>
    <rPh sb="2" eb="3">
      <t>ズ</t>
    </rPh>
    <phoneticPr fontId="4"/>
  </si>
  <si>
    <t>申請(意匠のみ)</t>
    <rPh sb="0" eb="2">
      <t>シンセイ</t>
    </rPh>
    <rPh sb="3" eb="5">
      <t>イショウ</t>
    </rPh>
    <phoneticPr fontId="4"/>
  </si>
  <si>
    <t>現地Bor</t>
    <rPh sb="0" eb="2">
      <t>ゲンチ</t>
    </rPh>
    <phoneticPr fontId="4"/>
  </si>
  <si>
    <t>北区百合が原</t>
    <rPh sb="0" eb="1">
      <t>キタ</t>
    </rPh>
    <rPh sb="1" eb="2">
      <t>ク</t>
    </rPh>
    <rPh sb="2" eb="4">
      <t>ユリ</t>
    </rPh>
    <rPh sb="5" eb="6">
      <t>ハラ</t>
    </rPh>
    <phoneticPr fontId="4"/>
  </si>
  <si>
    <t>2</t>
    <phoneticPr fontId="4"/>
  </si>
  <si>
    <t>4m</t>
    <phoneticPr fontId="4"/>
  </si>
  <si>
    <t>ｼﾙﾄ</t>
    <phoneticPr fontId="4"/>
  </si>
  <si>
    <t>1m</t>
    <phoneticPr fontId="4"/>
  </si>
  <si>
    <t>3m</t>
    <phoneticPr fontId="4"/>
  </si>
  <si>
    <t>締切</t>
    <rPh sb="0" eb="2">
      <t>シメキリ</t>
    </rPh>
    <phoneticPr fontId="4"/>
  </si>
  <si>
    <t>既存電光掲示板基礎、電柱 近接</t>
    <rPh sb="0" eb="2">
      <t>キソン</t>
    </rPh>
    <rPh sb="2" eb="4">
      <t>デンコウ</t>
    </rPh>
    <rPh sb="4" eb="7">
      <t>ケイジバン</t>
    </rPh>
    <rPh sb="7" eb="9">
      <t>キソ</t>
    </rPh>
    <rPh sb="10" eb="12">
      <t>デンチュウ</t>
    </rPh>
    <rPh sb="13" eb="15">
      <t>キンセツ</t>
    </rPh>
    <phoneticPr fontId="4"/>
  </si>
  <si>
    <t>店舗・空地</t>
    <rPh sb="0" eb="2">
      <t>テンポ</t>
    </rPh>
    <rPh sb="3" eb="5">
      <t>クウチ</t>
    </rPh>
    <phoneticPr fontId="4"/>
  </si>
  <si>
    <t>東京精密器具製作所</t>
    <rPh sb="0" eb="2">
      <t>トウキョウ</t>
    </rPh>
    <rPh sb="2" eb="4">
      <t>セイミツ</t>
    </rPh>
    <rPh sb="4" eb="6">
      <t>キグ</t>
    </rPh>
    <rPh sb="6" eb="9">
      <t>セイサクショ</t>
    </rPh>
    <phoneticPr fontId="4"/>
  </si>
  <si>
    <t>川崎区日ノ出町</t>
    <rPh sb="0" eb="2">
      <t>カワサキ</t>
    </rPh>
    <rPh sb="2" eb="3">
      <t>ク</t>
    </rPh>
    <rPh sb="3" eb="4">
      <t>ヒ</t>
    </rPh>
    <rPh sb="5" eb="6">
      <t>デ</t>
    </rPh>
    <rPh sb="6" eb="7">
      <t>チョウ</t>
    </rPh>
    <phoneticPr fontId="4"/>
  </si>
  <si>
    <t>株式会社 大建設計</t>
    <rPh sb="0" eb="4">
      <t>カブシキガイシャ</t>
    </rPh>
    <rPh sb="5" eb="6">
      <t>ダイ</t>
    </rPh>
    <rPh sb="6" eb="8">
      <t>ケンセツ</t>
    </rPh>
    <rPh sb="8" eb="9">
      <t>ケイ</t>
    </rPh>
    <phoneticPr fontId="4"/>
  </si>
  <si>
    <t>株式会社 大建設計</t>
    <phoneticPr fontId="4"/>
  </si>
  <si>
    <t>6m</t>
    <phoneticPr fontId="4"/>
  </si>
  <si>
    <t>増築着手</t>
    <rPh sb="0" eb="2">
      <t>ゾウチク</t>
    </rPh>
    <rPh sb="2" eb="4">
      <t>チャクシュ</t>
    </rPh>
    <phoneticPr fontId="4"/>
  </si>
  <si>
    <t>石狩市</t>
    <rPh sb="0" eb="2">
      <t>イシカリ</t>
    </rPh>
    <rPh sb="2" eb="3">
      <t>シ</t>
    </rPh>
    <phoneticPr fontId="4"/>
  </si>
  <si>
    <t>新港西</t>
    <rPh sb="0" eb="1">
      <t>シン</t>
    </rPh>
    <rPh sb="1" eb="2">
      <t>ミナト</t>
    </rPh>
    <rPh sb="2" eb="3">
      <t>ニシ</t>
    </rPh>
    <phoneticPr fontId="4"/>
  </si>
  <si>
    <t>株式会社 アラシキ建築設計事務所</t>
  </si>
  <si>
    <t>株式会社 アラシキ建築設計事務所</t>
    <rPh sb="0" eb="2">
      <t>カブシキ</t>
    </rPh>
    <rPh sb="2" eb="4">
      <t>カイシャ</t>
    </rPh>
    <rPh sb="9" eb="11">
      <t>ケンチク</t>
    </rPh>
    <rPh sb="11" eb="13">
      <t>セッケイ</t>
    </rPh>
    <rPh sb="13" eb="15">
      <t>ジム</t>
    </rPh>
    <rPh sb="15" eb="16">
      <t>ショ</t>
    </rPh>
    <phoneticPr fontId="4"/>
  </si>
  <si>
    <t>株式会社 エーシーエ設計</t>
    <phoneticPr fontId="4"/>
  </si>
  <si>
    <t>若築建設 株式会社</t>
    <phoneticPr fontId="4"/>
  </si>
  <si>
    <t>ワカチクケンセツ カブシキガイシャ</t>
    <phoneticPr fontId="4"/>
  </si>
  <si>
    <t>SD工房</t>
    <phoneticPr fontId="4"/>
  </si>
  <si>
    <t>SDコウボウ</t>
    <phoneticPr fontId="4"/>
  </si>
  <si>
    <t>臼幸産業 株式会社</t>
    <phoneticPr fontId="4"/>
  </si>
  <si>
    <t>株式会社 K・S・E建築設計</t>
    <rPh sb="0" eb="2">
      <t>カブシキ</t>
    </rPh>
    <rPh sb="2" eb="4">
      <t>カイシャ</t>
    </rPh>
    <rPh sb="10" eb="12">
      <t>ケンチク</t>
    </rPh>
    <rPh sb="12" eb="14">
      <t>セッケイ</t>
    </rPh>
    <phoneticPr fontId="4"/>
  </si>
  <si>
    <t>株式会社 K・S・E建築設計</t>
    <phoneticPr fontId="4"/>
  </si>
  <si>
    <t>カブシキガイシャ K・S・Eケンチクセッケイ</t>
    <phoneticPr fontId="4"/>
  </si>
  <si>
    <t>2m</t>
    <phoneticPr fontId="4"/>
  </si>
  <si>
    <t>火山灰混じり微細砂</t>
    <rPh sb="0" eb="2">
      <t>カザン</t>
    </rPh>
    <rPh sb="2" eb="3">
      <t>ハイ</t>
    </rPh>
    <rPh sb="3" eb="4">
      <t>マ</t>
    </rPh>
    <rPh sb="6" eb="7">
      <t>ビ</t>
    </rPh>
    <rPh sb="7" eb="8">
      <t>サイ</t>
    </rPh>
    <rPh sb="8" eb="9">
      <t>スナ</t>
    </rPh>
    <phoneticPr fontId="4"/>
  </si>
  <si>
    <t>TNF-D
(台形)</t>
    <rPh sb="7" eb="9">
      <t>ダイケイ</t>
    </rPh>
    <phoneticPr fontId="4"/>
  </si>
  <si>
    <t>株式会社 ティーエスハマモト</t>
    <rPh sb="0" eb="4">
      <t>カブシキガイシャ</t>
    </rPh>
    <phoneticPr fontId="4"/>
  </si>
  <si>
    <t>株式会社 ティーエスハマモト</t>
    <phoneticPr fontId="4"/>
  </si>
  <si>
    <t>カブシキガイシャ ティーエスハマモト</t>
    <phoneticPr fontId="4"/>
  </si>
  <si>
    <t>店舗・事務所</t>
    <rPh sb="3" eb="5">
      <t>ジム</t>
    </rPh>
    <rPh sb="5" eb="6">
      <t>ショ</t>
    </rPh>
    <phoneticPr fontId="4"/>
  </si>
  <si>
    <t>広島市</t>
    <phoneticPr fontId="4"/>
  </si>
  <si>
    <t>6m</t>
    <phoneticPr fontId="4"/>
  </si>
  <si>
    <t>岡山県建築住宅センター 株式会社</t>
    <phoneticPr fontId="4"/>
  </si>
  <si>
    <t>財団法人 沖縄県建設技術センター</t>
    <phoneticPr fontId="4"/>
  </si>
  <si>
    <t>3期に分かれた設計・施工。建物下に既存配管あり。1期のみ受注。2,3期は失注。</t>
    <rPh sb="1" eb="2">
      <t>キ</t>
    </rPh>
    <rPh sb="3" eb="4">
      <t>ワ</t>
    </rPh>
    <rPh sb="7" eb="9">
      <t>セッケイ</t>
    </rPh>
    <rPh sb="10" eb="12">
      <t>セコウ</t>
    </rPh>
    <rPh sb="13" eb="15">
      <t>タテモノ</t>
    </rPh>
    <rPh sb="15" eb="16">
      <t>シタ</t>
    </rPh>
    <rPh sb="17" eb="19">
      <t>キソン</t>
    </rPh>
    <rPh sb="19" eb="21">
      <t>ハイカン</t>
    </rPh>
    <rPh sb="25" eb="26">
      <t>キ</t>
    </rPh>
    <rPh sb="28" eb="30">
      <t>ジュチュウ</t>
    </rPh>
    <rPh sb="34" eb="35">
      <t>キ</t>
    </rPh>
    <rPh sb="36" eb="37">
      <t>シッ</t>
    </rPh>
    <rPh sb="37" eb="38">
      <t>チュウ</t>
    </rPh>
    <phoneticPr fontId="4"/>
  </si>
  <si>
    <t>9.4(2F)
16.2(1F)</t>
    <phoneticPr fontId="4"/>
  </si>
  <si>
    <t>23.7(2F)
27.3(1F)</t>
    <phoneticPr fontId="4"/>
  </si>
  <si>
    <t>8.4(2F)
17.4(1F)</t>
    <phoneticPr fontId="4"/>
  </si>
  <si>
    <t>41.5(2F)
60.9(1F)</t>
    <phoneticPr fontId="4"/>
  </si>
  <si>
    <t>民間検査機構 オーネックス</t>
    <phoneticPr fontId="4"/>
  </si>
  <si>
    <t>ユーイック UHEC 株式会社 都市居住評価センター</t>
    <phoneticPr fontId="4"/>
  </si>
  <si>
    <t>株式会社 山形県建築サポートセンター</t>
    <phoneticPr fontId="4"/>
  </si>
  <si>
    <t>財団法人 静岡県建築住宅まちづくりセンター</t>
    <phoneticPr fontId="4"/>
  </si>
  <si>
    <t>静岡県建築技術安心支援センター</t>
    <phoneticPr fontId="4"/>
  </si>
  <si>
    <t>既存L型擁壁 近接。敷地外との高低差5.7m</t>
    <rPh sb="0" eb="2">
      <t>キソン</t>
    </rPh>
    <rPh sb="3" eb="4">
      <t>ガタ</t>
    </rPh>
    <rPh sb="4" eb="5">
      <t>ヨウ</t>
    </rPh>
    <rPh sb="5" eb="6">
      <t>カベ</t>
    </rPh>
    <rPh sb="7" eb="9">
      <t>キンセツ</t>
    </rPh>
    <rPh sb="10" eb="12">
      <t>シキチ</t>
    </rPh>
    <rPh sb="12" eb="13">
      <t>ガイ</t>
    </rPh>
    <rPh sb="15" eb="17">
      <t>コウテイ</t>
    </rPh>
    <rPh sb="17" eb="18">
      <t>サ</t>
    </rPh>
    <phoneticPr fontId="4"/>
  </si>
  <si>
    <t>1.09
建物で正規圧密</t>
    <rPh sb="5" eb="7">
      <t>タテモノ</t>
    </rPh>
    <rPh sb="8" eb="10">
      <t>セイキ</t>
    </rPh>
    <rPh sb="10" eb="11">
      <t>アツ</t>
    </rPh>
    <rPh sb="11" eb="12">
      <t>ミツ</t>
    </rPh>
    <phoneticPr fontId="4"/>
  </si>
  <si>
    <t>-</t>
    <phoneticPr fontId="4"/>
  </si>
  <si>
    <t>工場・空地</t>
    <rPh sb="0" eb="2">
      <t>コウジョウ</t>
    </rPh>
    <rPh sb="3" eb="4">
      <t>ア</t>
    </rPh>
    <rPh sb="4" eb="5">
      <t>チ</t>
    </rPh>
    <phoneticPr fontId="4"/>
  </si>
  <si>
    <t>低温倉庫</t>
    <rPh sb="0" eb="2">
      <t>テイオン</t>
    </rPh>
    <rPh sb="2" eb="4">
      <t>ソウコ</t>
    </rPh>
    <phoneticPr fontId="4"/>
  </si>
  <si>
    <t>島尻郡</t>
    <rPh sb="0" eb="1">
      <t>シマ</t>
    </rPh>
    <rPh sb="1" eb="2">
      <t>シリ</t>
    </rPh>
    <rPh sb="2" eb="3">
      <t>グン</t>
    </rPh>
    <phoneticPr fontId="4"/>
  </si>
  <si>
    <t>与那原町字与那原</t>
    <rPh sb="0" eb="4">
      <t>ヨナバルチョウ</t>
    </rPh>
    <rPh sb="4" eb="5">
      <t>アザ</t>
    </rPh>
    <rPh sb="5" eb="8">
      <t>ヨナバル</t>
    </rPh>
    <phoneticPr fontId="4"/>
  </si>
  <si>
    <t>金秀建設 株式会社</t>
    <rPh sb="0" eb="1">
      <t>キン</t>
    </rPh>
    <rPh sb="1" eb="2">
      <t>ヒデ</t>
    </rPh>
    <rPh sb="2" eb="4">
      <t>ケンセツ</t>
    </rPh>
    <rPh sb="5" eb="7">
      <t>カブシキ</t>
    </rPh>
    <rPh sb="7" eb="9">
      <t>カイシャ</t>
    </rPh>
    <phoneticPr fontId="4"/>
  </si>
  <si>
    <t>株式会社 大有設計</t>
    <rPh sb="0" eb="2">
      <t>カブシキ</t>
    </rPh>
    <rPh sb="2" eb="4">
      <t>カイシャ</t>
    </rPh>
    <rPh sb="5" eb="6">
      <t>ダイ</t>
    </rPh>
    <rPh sb="6" eb="7">
      <t>ユウ</t>
    </rPh>
    <rPh sb="7" eb="9">
      <t>セッケイ</t>
    </rPh>
    <phoneticPr fontId="4"/>
  </si>
  <si>
    <t>エア・リキード蒲郡,工作物</t>
    <rPh sb="10" eb="13">
      <t>コウサクブツ</t>
    </rPh>
    <phoneticPr fontId="17"/>
  </si>
  <si>
    <t>ウット</t>
    <phoneticPr fontId="4"/>
  </si>
  <si>
    <t>ｼﾙﾄ混じり微細砂</t>
    <rPh sb="3" eb="4">
      <t>マ</t>
    </rPh>
    <rPh sb="6" eb="7">
      <t>ビ</t>
    </rPh>
    <rPh sb="7" eb="8">
      <t>サイ</t>
    </rPh>
    <rPh sb="8" eb="9">
      <t>スナ</t>
    </rPh>
    <phoneticPr fontId="4"/>
  </si>
  <si>
    <t>海、駅に近い。雨水貯留槽はWT</t>
    <rPh sb="0" eb="1">
      <t>ウミ</t>
    </rPh>
    <rPh sb="2" eb="3">
      <t>エキ</t>
    </rPh>
    <rPh sb="4" eb="5">
      <t>チカ</t>
    </rPh>
    <rPh sb="7" eb="9">
      <t>ウスイ</t>
    </rPh>
    <rPh sb="9" eb="11">
      <t>チョリュウ</t>
    </rPh>
    <rPh sb="11" eb="12">
      <t>ソウ</t>
    </rPh>
    <phoneticPr fontId="4"/>
  </si>
  <si>
    <t>北広島市</t>
    <rPh sb="0" eb="4">
      <t>キタヒロシマシ</t>
    </rPh>
    <phoneticPr fontId="4"/>
  </si>
  <si>
    <t>大曲並木</t>
    <rPh sb="0" eb="2">
      <t>オオマガリ</t>
    </rPh>
    <rPh sb="2" eb="4">
      <t>ナミキ</t>
    </rPh>
    <phoneticPr fontId="4"/>
  </si>
  <si>
    <t>クレタ北広島 事務所棟、工場棟</t>
    <rPh sb="7" eb="9">
      <t>ジム</t>
    </rPh>
    <rPh sb="9" eb="10">
      <t>ショ</t>
    </rPh>
    <rPh sb="10" eb="11">
      <t>トウ</t>
    </rPh>
    <rPh sb="12" eb="14">
      <t>コウジョウ</t>
    </rPh>
    <rPh sb="14" eb="15">
      <t>トウ</t>
    </rPh>
    <phoneticPr fontId="4"/>
  </si>
  <si>
    <t>2</t>
    <phoneticPr fontId="4"/>
  </si>
  <si>
    <t>株式会社 北工房</t>
    <rPh sb="0" eb="2">
      <t>カブシキ</t>
    </rPh>
    <rPh sb="2" eb="4">
      <t>カイシャ</t>
    </rPh>
    <rPh sb="5" eb="6">
      <t>キタ</t>
    </rPh>
    <rPh sb="6" eb="8">
      <t>コウボウ</t>
    </rPh>
    <phoneticPr fontId="4"/>
  </si>
  <si>
    <t>金秀建設 株式会社</t>
    <phoneticPr fontId="4"/>
  </si>
  <si>
    <t>株式会社 NEST</t>
    <rPh sb="0" eb="2">
      <t>カブシキ</t>
    </rPh>
    <rPh sb="2" eb="4">
      <t>カイシャ</t>
    </rPh>
    <phoneticPr fontId="4"/>
  </si>
  <si>
    <t>株式会社 NEST</t>
    <phoneticPr fontId="4"/>
  </si>
  <si>
    <t>株式会社 北工房</t>
    <phoneticPr fontId="4"/>
  </si>
  <si>
    <t xml:space="preserve">  現説</t>
    <rPh sb="2" eb="3">
      <t>ゲン</t>
    </rPh>
    <rPh sb="3" eb="4">
      <t>セツ</t>
    </rPh>
    <phoneticPr fontId="4"/>
  </si>
  <si>
    <t>1.5,3.5</t>
    <phoneticPr fontId="4"/>
  </si>
  <si>
    <t>3</t>
    <phoneticPr fontId="4"/>
  </si>
  <si>
    <t>-</t>
    <phoneticPr fontId="4"/>
  </si>
  <si>
    <t>株式会社 新潟建築確認検査機構</t>
    <phoneticPr fontId="4"/>
  </si>
  <si>
    <t>株式会社 Ｊ 建築検査センター</t>
    <phoneticPr fontId="4"/>
  </si>
  <si>
    <t>2m</t>
    <phoneticPr fontId="4"/>
  </si>
  <si>
    <t>日本ERI 株式会社</t>
    <phoneticPr fontId="4"/>
  </si>
  <si>
    <t>7.02
(M=7.2)</t>
    <phoneticPr fontId="4"/>
  </si>
  <si>
    <t>　 締切</t>
    <rPh sb="2" eb="4">
      <t>シメキリ</t>
    </rPh>
    <phoneticPr fontId="4"/>
  </si>
  <si>
    <t>ユイ
宮北</t>
    <rPh sb="3" eb="5">
      <t>ミヤキタ</t>
    </rPh>
    <phoneticPr fontId="4"/>
  </si>
  <si>
    <t>ハウスプラス確認検査 株式会社</t>
    <phoneticPr fontId="4"/>
  </si>
  <si>
    <t>社団法人 日本住宅性能評価機構</t>
    <phoneticPr fontId="4"/>
  </si>
  <si>
    <t>丸力運送㈱倉庫</t>
    <rPh sb="0" eb="1">
      <t>マル</t>
    </rPh>
    <rPh sb="1" eb="2">
      <t>チカラ</t>
    </rPh>
    <rPh sb="2" eb="4">
      <t>ウンソウ</t>
    </rPh>
    <rPh sb="5" eb="7">
      <t>ソウコ</t>
    </rPh>
    <phoneticPr fontId="4"/>
  </si>
  <si>
    <t>南相馬市</t>
    <phoneticPr fontId="4"/>
  </si>
  <si>
    <t>原町区下太田字川内迫</t>
    <rPh sb="0" eb="1">
      <t>ハラ</t>
    </rPh>
    <rPh sb="1" eb="2">
      <t>マチ</t>
    </rPh>
    <rPh sb="2" eb="3">
      <t>ク</t>
    </rPh>
    <rPh sb="3" eb="4">
      <t>シタ</t>
    </rPh>
    <rPh sb="4" eb="6">
      <t>オオタ</t>
    </rPh>
    <rPh sb="6" eb="7">
      <t>アザ</t>
    </rPh>
    <rPh sb="7" eb="8">
      <t>カワ</t>
    </rPh>
    <rPh sb="8" eb="9">
      <t>ウチ</t>
    </rPh>
    <rPh sb="9" eb="10">
      <t>サコ</t>
    </rPh>
    <phoneticPr fontId="4"/>
  </si>
  <si>
    <t>1m</t>
    <phoneticPr fontId="4"/>
  </si>
  <si>
    <t>10m</t>
    <phoneticPr fontId="4"/>
  </si>
  <si>
    <t>設計済</t>
    <rPh sb="0" eb="2">
      <t>セッケイ</t>
    </rPh>
    <rPh sb="2" eb="3">
      <t>スミ</t>
    </rPh>
    <phoneticPr fontId="4"/>
  </si>
  <si>
    <t>シグマ建築設計事務所</t>
    <rPh sb="3" eb="5">
      <t>ケンチク</t>
    </rPh>
    <rPh sb="5" eb="7">
      <t>セッケイ</t>
    </rPh>
    <rPh sb="7" eb="9">
      <t>ジム</t>
    </rPh>
    <rPh sb="9" eb="10">
      <t>ショ</t>
    </rPh>
    <phoneticPr fontId="4"/>
  </si>
  <si>
    <t>シグマ建築設計事務所</t>
    <phoneticPr fontId="4"/>
  </si>
  <si>
    <t>3m</t>
    <phoneticPr fontId="4"/>
  </si>
  <si>
    <t>2m</t>
    <phoneticPr fontId="4"/>
  </si>
  <si>
    <t>-</t>
    <phoneticPr fontId="4"/>
  </si>
  <si>
    <t>杭からの設計変更。海に近い。</t>
    <rPh sb="0" eb="1">
      <t>クイ</t>
    </rPh>
    <rPh sb="4" eb="6">
      <t>セッケイ</t>
    </rPh>
    <rPh sb="6" eb="8">
      <t>ヘンコウ</t>
    </rPh>
    <rPh sb="9" eb="10">
      <t>ウミ</t>
    </rPh>
    <rPh sb="11" eb="12">
      <t>チカ</t>
    </rPh>
    <phoneticPr fontId="4"/>
  </si>
  <si>
    <t>ｼﾙﾄ混じり細中砂</t>
    <rPh sb="3" eb="4">
      <t>マ</t>
    </rPh>
    <rPh sb="6" eb="7">
      <t>サイ</t>
    </rPh>
    <rPh sb="7" eb="8">
      <t>ナカ</t>
    </rPh>
    <rPh sb="8" eb="9">
      <t>スナ</t>
    </rPh>
    <phoneticPr fontId="4"/>
  </si>
  <si>
    <t>-</t>
    <phoneticPr fontId="4"/>
  </si>
  <si>
    <t>100満ボルト新金沢東</t>
    <rPh sb="3" eb="4">
      <t>マン</t>
    </rPh>
    <rPh sb="7" eb="8">
      <t>シン</t>
    </rPh>
    <rPh sb="8" eb="10">
      <t>カナザワ</t>
    </rPh>
    <rPh sb="10" eb="11">
      <t>ヒガシ</t>
    </rPh>
    <phoneticPr fontId="4"/>
  </si>
  <si>
    <t>高柳町</t>
    <rPh sb="0" eb="2">
      <t>タカヤナギ</t>
    </rPh>
    <rPh sb="2" eb="3">
      <t>マチ</t>
    </rPh>
    <phoneticPr fontId="4"/>
  </si>
  <si>
    <t>地方独立行政法人北海道立総合研究機構</t>
    <phoneticPr fontId="4"/>
  </si>
  <si>
    <t>関東</t>
    <phoneticPr fontId="4"/>
  </si>
  <si>
    <t>カネヒデケンセツ カブシキガイシャ</t>
    <phoneticPr fontId="4"/>
  </si>
  <si>
    <t>カブシキガイシャ ダイユウセッケイ</t>
    <phoneticPr fontId="4"/>
  </si>
  <si>
    <t>カブシキガイシャ キタコウボウ</t>
    <phoneticPr fontId="4"/>
  </si>
  <si>
    <t>カブシキガイシャ NEST</t>
    <phoneticPr fontId="4"/>
  </si>
  <si>
    <t>シグマケンチクセッケイジムショ</t>
    <phoneticPr fontId="4"/>
  </si>
  <si>
    <t>株式会社 ACS熊本</t>
    <phoneticPr fontId="4"/>
  </si>
  <si>
    <t>株式会社 ACS熊本</t>
    <phoneticPr fontId="4"/>
  </si>
  <si>
    <t>○
6m</t>
    <phoneticPr fontId="4"/>
  </si>
  <si>
    <t>○
6m</t>
    <phoneticPr fontId="4"/>
  </si>
  <si>
    <t>○
6m</t>
    <phoneticPr fontId="4"/>
  </si>
  <si>
    <t>○</t>
    <phoneticPr fontId="4"/>
  </si>
  <si>
    <t>○
8m</t>
    <phoneticPr fontId="4"/>
  </si>
  <si>
    <t>○
2段</t>
    <rPh sb="3" eb="4">
      <t>ダン</t>
    </rPh>
    <phoneticPr fontId="4"/>
  </si>
  <si>
    <t>○
3段</t>
    <rPh sb="3" eb="4">
      <t>ダン</t>
    </rPh>
    <phoneticPr fontId="4"/>
  </si>
  <si>
    <t>現説(仮)</t>
    <rPh sb="0" eb="1">
      <t>ゲン</t>
    </rPh>
    <rPh sb="1" eb="2">
      <t>セツ</t>
    </rPh>
    <rPh sb="3" eb="4">
      <t>カリ</t>
    </rPh>
    <phoneticPr fontId="4"/>
  </si>
  <si>
    <t>海に近い。移動ラックあり。X1通りに増築の計画があるが範囲・規模等は未確定。</t>
    <rPh sb="0" eb="1">
      <t>ウミ</t>
    </rPh>
    <rPh sb="2" eb="3">
      <t>チカ</t>
    </rPh>
    <rPh sb="5" eb="7">
      <t>イドウ</t>
    </rPh>
    <rPh sb="15" eb="16">
      <t>トオ</t>
    </rPh>
    <rPh sb="18" eb="20">
      <t>ゾウチク</t>
    </rPh>
    <rPh sb="21" eb="23">
      <t>ケイカク</t>
    </rPh>
    <rPh sb="27" eb="29">
      <t>ハンイ</t>
    </rPh>
    <rPh sb="30" eb="32">
      <t>キボ</t>
    </rPh>
    <rPh sb="32" eb="33">
      <t>トウ</t>
    </rPh>
    <rPh sb="34" eb="37">
      <t>ミカクテイ</t>
    </rPh>
    <phoneticPr fontId="4"/>
  </si>
  <si>
    <t>ハローズ大林</t>
    <rPh sb="4" eb="6">
      <t>オオバヤシ</t>
    </rPh>
    <phoneticPr fontId="4"/>
  </si>
  <si>
    <t>沖本</t>
    <phoneticPr fontId="4"/>
  </si>
  <si>
    <t>大林町</t>
    <rPh sb="0" eb="2">
      <t>オオバヤシ</t>
    </rPh>
    <rPh sb="2" eb="3">
      <t>マチ</t>
    </rPh>
    <phoneticPr fontId="4"/>
  </si>
  <si>
    <t>ハウスプラス中国住宅保証 株式会社</t>
    <phoneticPr fontId="4"/>
  </si>
  <si>
    <t>ハウスプラス中国住宅保証 株式会社(広島)</t>
    <rPh sb="18" eb="20">
      <t>ヒロシマ</t>
    </rPh>
    <phoneticPr fontId="4"/>
  </si>
  <si>
    <t>ハウスプラス中国住宅保証 株式会社(岡山)</t>
    <rPh sb="18" eb="20">
      <t>オカヤマ</t>
    </rPh>
    <phoneticPr fontId="4"/>
  </si>
  <si>
    <t>　解体工事</t>
    <phoneticPr fontId="4"/>
  </si>
  <si>
    <t>レント中京管理センター 倉庫棟</t>
    <rPh sb="12" eb="14">
      <t>ソウコ</t>
    </rPh>
    <rPh sb="14" eb="15">
      <t>トウ</t>
    </rPh>
    <phoneticPr fontId="4"/>
  </si>
  <si>
    <t>瀬戸市</t>
    <rPh sb="0" eb="2">
      <t>セト</t>
    </rPh>
    <rPh sb="2" eb="3">
      <t>シ</t>
    </rPh>
    <phoneticPr fontId="4"/>
  </si>
  <si>
    <t>太子町</t>
    <rPh sb="0" eb="3">
      <t>タイシチョウ</t>
    </rPh>
    <phoneticPr fontId="4"/>
  </si>
  <si>
    <t>株式会社 水野建築事務所</t>
    <phoneticPr fontId="4"/>
  </si>
  <si>
    <t>株式会社 ヒラテ技研</t>
  </si>
  <si>
    <t>株式会社 ヒラテ技研</t>
    <rPh sb="0" eb="2">
      <t>カブシキ</t>
    </rPh>
    <rPh sb="2" eb="4">
      <t>カイシャ</t>
    </rPh>
    <rPh sb="8" eb="10">
      <t>ギケン</t>
    </rPh>
    <phoneticPr fontId="4"/>
  </si>
  <si>
    <t>カブシキガイシャ ミズノケンチクジムショ</t>
    <phoneticPr fontId="4"/>
  </si>
  <si>
    <t>カブシキガイシャ ヒラテギケン</t>
    <phoneticPr fontId="4"/>
  </si>
  <si>
    <t>盛土
(ｼﾙﾄ質砂礫)</t>
    <rPh sb="0" eb="1">
      <t>モリ</t>
    </rPh>
    <rPh sb="1" eb="2">
      <t>ド</t>
    </rPh>
    <rPh sb="7" eb="8">
      <t>シツ</t>
    </rPh>
    <rPh sb="8" eb="10">
      <t>サレキ</t>
    </rPh>
    <phoneticPr fontId="4"/>
  </si>
  <si>
    <t>-</t>
    <phoneticPr fontId="4"/>
  </si>
  <si>
    <t>三郷市</t>
    <phoneticPr fontId="4"/>
  </si>
  <si>
    <t>谷口</t>
    <rPh sb="0" eb="2">
      <t>タニグチ</t>
    </rPh>
    <phoneticPr fontId="4"/>
  </si>
  <si>
    <t>株式会社 新中央設計東京</t>
    <phoneticPr fontId="4"/>
  </si>
  <si>
    <t>有限会社 アワノ建築設計</t>
    <phoneticPr fontId="4"/>
  </si>
  <si>
    <t>有限会社 アワノ建築設計</t>
    <phoneticPr fontId="4"/>
  </si>
  <si>
    <t>ユウゲンガイシャ アワノケンチクセッケイ</t>
    <phoneticPr fontId="4"/>
  </si>
  <si>
    <t>宮城県 仙台土木事務所</t>
    <rPh sb="0" eb="3">
      <t>ミヤギケン</t>
    </rPh>
    <rPh sb="6" eb="8">
      <t>ドボク</t>
    </rPh>
    <rPh sb="8" eb="10">
      <t>ジム</t>
    </rPh>
    <rPh sb="10" eb="11">
      <t>ショ</t>
    </rPh>
    <phoneticPr fontId="4"/>
  </si>
  <si>
    <t>宮城県 仙台土木事務所</t>
    <phoneticPr fontId="4"/>
  </si>
  <si>
    <t>北綾瀬高架下店舗</t>
    <rPh sb="0" eb="1">
      <t>キタ</t>
    </rPh>
    <rPh sb="1" eb="3">
      <t>アヤセ</t>
    </rPh>
    <rPh sb="3" eb="6">
      <t>コウカシタ</t>
    </rPh>
    <rPh sb="6" eb="8">
      <t>テンポ</t>
    </rPh>
    <phoneticPr fontId="4"/>
  </si>
  <si>
    <t>足立区</t>
    <phoneticPr fontId="4"/>
  </si>
  <si>
    <t>谷中</t>
    <rPh sb="0" eb="1">
      <t>タニ</t>
    </rPh>
    <rPh sb="1" eb="2">
      <t>ナカ</t>
    </rPh>
    <phoneticPr fontId="4"/>
  </si>
  <si>
    <t>8m</t>
    <phoneticPr fontId="4"/>
  </si>
  <si>
    <t>3m</t>
    <phoneticPr fontId="4"/>
  </si>
  <si>
    <t>株式会社 東急設計コンサルタント</t>
    <phoneticPr fontId="4"/>
  </si>
  <si>
    <t>株式会社 東急設計コンサルタント</t>
    <phoneticPr fontId="4"/>
  </si>
  <si>
    <t>カブシキガイシャ トウキュウセッケイコンサルタント</t>
    <phoneticPr fontId="4"/>
  </si>
  <si>
    <t>ウスコウサンギョウ カブシキガイシャ</t>
    <phoneticPr fontId="4"/>
  </si>
  <si>
    <t>腐植土
(有機質土)の
有無と厚さ</t>
    <rPh sb="0" eb="3">
      <t>フショクド</t>
    </rPh>
    <rPh sb="5" eb="8">
      <t>ユウキシツ</t>
    </rPh>
    <rPh sb="8" eb="9">
      <t>ド</t>
    </rPh>
    <rPh sb="12" eb="14">
      <t>ウム</t>
    </rPh>
    <rPh sb="15" eb="16">
      <t>アツ</t>
    </rPh>
    <phoneticPr fontId="4"/>
  </si>
  <si>
    <t>腐植土(有機質土)</t>
    <phoneticPr fontId="4"/>
  </si>
  <si>
    <t>層名</t>
    <rPh sb="0" eb="1">
      <t>ソウ</t>
    </rPh>
    <rPh sb="1" eb="2">
      <t>メイ</t>
    </rPh>
    <phoneticPr fontId="4"/>
  </si>
  <si>
    <t>厚さ[m]</t>
    <rPh sb="0" eb="1">
      <t>アツ</t>
    </rPh>
    <phoneticPr fontId="4"/>
  </si>
  <si>
    <t>砂混じりｼﾙﾄ
(有機物含む)</t>
    <rPh sb="0" eb="1">
      <t>スナ</t>
    </rPh>
    <rPh sb="1" eb="2">
      <t>マ</t>
    </rPh>
    <rPh sb="9" eb="12">
      <t>ユウキブツ</t>
    </rPh>
    <rPh sb="12" eb="13">
      <t>フク</t>
    </rPh>
    <phoneticPr fontId="4"/>
  </si>
  <si>
    <t>-</t>
    <phoneticPr fontId="4"/>
  </si>
  <si>
    <t>-</t>
    <phoneticPr fontId="4"/>
  </si>
  <si>
    <t>ｼﾙﾄ(腐植物少量混入)</t>
    <rPh sb="4" eb="6">
      <t>フショク</t>
    </rPh>
    <rPh sb="6" eb="7">
      <t>ブツ</t>
    </rPh>
    <rPh sb="7" eb="9">
      <t>ショウリョウ</t>
    </rPh>
    <rPh sb="9" eb="11">
      <t>コンニュウ</t>
    </rPh>
    <phoneticPr fontId="4"/>
  </si>
  <si>
    <t>有機質粘性土</t>
    <rPh sb="0" eb="3">
      <t>ユウキシツ</t>
    </rPh>
    <rPh sb="3" eb="5">
      <t>ネンセイ</t>
    </rPh>
    <rPh sb="5" eb="6">
      <t>ド</t>
    </rPh>
    <phoneticPr fontId="4"/>
  </si>
  <si>
    <t>埋土(有機質砂)</t>
    <rPh sb="0" eb="1">
      <t>ウ</t>
    </rPh>
    <rPh sb="1" eb="2">
      <t>ド</t>
    </rPh>
    <rPh sb="3" eb="6">
      <t>ユウキシツ</t>
    </rPh>
    <rPh sb="6" eb="7">
      <t>スナ</t>
    </rPh>
    <phoneticPr fontId="4"/>
  </si>
  <si>
    <t>砂混じりｼﾙﾄ(有機物点在)</t>
    <rPh sb="0" eb="1">
      <t>スナ</t>
    </rPh>
    <rPh sb="1" eb="2">
      <t>マ</t>
    </rPh>
    <rPh sb="8" eb="11">
      <t>ユウキブツ</t>
    </rPh>
    <rPh sb="11" eb="13">
      <t>テンザイ</t>
    </rPh>
    <phoneticPr fontId="4"/>
  </si>
  <si>
    <t>ｼﾙﾄ(有機物混入,点在)</t>
    <rPh sb="4" eb="7">
      <t>ユウキブツ</t>
    </rPh>
    <rPh sb="7" eb="9">
      <t>コンニュウ</t>
    </rPh>
    <rPh sb="10" eb="12">
      <t>テンザイ</t>
    </rPh>
    <phoneticPr fontId="4"/>
  </si>
  <si>
    <t>礫混じり砂
(腐植物混入)</t>
    <rPh sb="0" eb="1">
      <t>レキ</t>
    </rPh>
    <rPh sb="1" eb="2">
      <t>マ</t>
    </rPh>
    <rPh sb="4" eb="5">
      <t>スナ</t>
    </rPh>
    <rPh sb="7" eb="9">
      <t>フショク</t>
    </rPh>
    <rPh sb="9" eb="10">
      <t>ブツ</t>
    </rPh>
    <rPh sb="10" eb="12">
      <t>コンニュウ</t>
    </rPh>
    <phoneticPr fontId="4"/>
  </si>
  <si>
    <t>ｼﾙﾄ(有機物少量混入)</t>
    <rPh sb="4" eb="7">
      <t>ユウキブツ</t>
    </rPh>
    <rPh sb="7" eb="9">
      <t>ショウリョウ</t>
    </rPh>
    <rPh sb="9" eb="11">
      <t>コンニュウ</t>
    </rPh>
    <phoneticPr fontId="4"/>
  </si>
  <si>
    <t>ｼﾙﾄ混じり砂(腐植物混入)</t>
    <rPh sb="3" eb="4">
      <t>マ</t>
    </rPh>
    <rPh sb="6" eb="7">
      <t>スナ</t>
    </rPh>
    <rPh sb="8" eb="10">
      <t>フショク</t>
    </rPh>
    <rPh sb="10" eb="11">
      <t>ブツ</t>
    </rPh>
    <rPh sb="11" eb="13">
      <t>コンニュウ</t>
    </rPh>
    <phoneticPr fontId="4"/>
  </si>
  <si>
    <t>砂質ｼﾙﾄ
(腐植物混入)</t>
    <rPh sb="0" eb="1">
      <t>スナ</t>
    </rPh>
    <rPh sb="1" eb="2">
      <t>シツ</t>
    </rPh>
    <rPh sb="7" eb="9">
      <t>フショク</t>
    </rPh>
    <rPh sb="9" eb="10">
      <t>ブツ</t>
    </rPh>
    <rPh sb="10" eb="12">
      <t>コンニュウ</t>
    </rPh>
    <phoneticPr fontId="4"/>
  </si>
  <si>
    <t>ﾛｰﾑ(腐植物混入)</t>
    <rPh sb="4" eb="6">
      <t>フショク</t>
    </rPh>
    <rPh sb="6" eb="7">
      <t>ブツ</t>
    </rPh>
    <rPh sb="7" eb="9">
      <t>コンニュウ</t>
    </rPh>
    <phoneticPr fontId="4"/>
  </si>
  <si>
    <t>砂混じりｼﾙﾄ(腐植物混入)</t>
    <rPh sb="0" eb="1">
      <t>スナ</t>
    </rPh>
    <rPh sb="1" eb="2">
      <t>マ</t>
    </rPh>
    <rPh sb="8" eb="10">
      <t>フショク</t>
    </rPh>
    <rPh sb="10" eb="11">
      <t>ブツ</t>
    </rPh>
    <rPh sb="11" eb="13">
      <t>コンニュウ</t>
    </rPh>
    <phoneticPr fontId="4"/>
  </si>
  <si>
    <t>ｼﾙﾄ質微細砂(腐植物混入)</t>
    <rPh sb="3" eb="4">
      <t>シツ</t>
    </rPh>
    <rPh sb="4" eb="5">
      <t>ビ</t>
    </rPh>
    <rPh sb="5" eb="6">
      <t>サイ</t>
    </rPh>
    <rPh sb="6" eb="7">
      <t>スナ</t>
    </rPh>
    <rPh sb="8" eb="10">
      <t>フショク</t>
    </rPh>
    <rPh sb="10" eb="11">
      <t>ブツ</t>
    </rPh>
    <rPh sb="11" eb="13">
      <t>コンニュウ</t>
    </rPh>
    <phoneticPr fontId="4"/>
  </si>
  <si>
    <t>粘土(腐植物混入)</t>
    <rPh sb="0" eb="2">
      <t>ネンド</t>
    </rPh>
    <rPh sb="3" eb="5">
      <t>フショク</t>
    </rPh>
    <rPh sb="5" eb="6">
      <t>ブツ</t>
    </rPh>
    <rPh sb="6" eb="8">
      <t>コンニュウ</t>
    </rPh>
    <phoneticPr fontId="4"/>
  </si>
  <si>
    <t>ｼﾙﾄ質砂(腐植物少量混入)</t>
    <rPh sb="3" eb="4">
      <t>シツ</t>
    </rPh>
    <rPh sb="4" eb="5">
      <t>スナ</t>
    </rPh>
    <rPh sb="6" eb="8">
      <t>フショク</t>
    </rPh>
    <rPh sb="8" eb="9">
      <t>ブツ</t>
    </rPh>
    <rPh sb="9" eb="11">
      <t>ショウリョウ</t>
    </rPh>
    <rPh sb="11" eb="13">
      <t>コンニュウ</t>
    </rPh>
    <phoneticPr fontId="4"/>
  </si>
  <si>
    <t>ｼﾙﾄ質粘土(有機物含む)</t>
    <rPh sb="3" eb="4">
      <t>シツ</t>
    </rPh>
    <rPh sb="4" eb="6">
      <t>ネンド</t>
    </rPh>
    <rPh sb="7" eb="10">
      <t>ユウキブツ</t>
    </rPh>
    <rPh sb="10" eb="11">
      <t>フク</t>
    </rPh>
    <phoneticPr fontId="4"/>
  </si>
  <si>
    <t>有機物ｼﾙﾄ</t>
    <rPh sb="0" eb="3">
      <t>ユウキブツ</t>
    </rPh>
    <phoneticPr fontId="4"/>
  </si>
  <si>
    <t>砂混じり有機質ｼﾙﾄ</t>
    <rPh sb="0" eb="1">
      <t>スナ</t>
    </rPh>
    <rPh sb="1" eb="2">
      <t>マ</t>
    </rPh>
    <rPh sb="4" eb="7">
      <t>ユウキシツ</t>
    </rPh>
    <phoneticPr fontId="4"/>
  </si>
  <si>
    <t>-</t>
    <phoneticPr fontId="4"/>
  </si>
  <si>
    <t>ｼﾙﾄ(腐植物点在)</t>
    <rPh sb="4" eb="6">
      <t>フショク</t>
    </rPh>
    <rPh sb="6" eb="7">
      <t>ブツ</t>
    </rPh>
    <rPh sb="7" eb="9">
      <t>テンザイ</t>
    </rPh>
    <phoneticPr fontId="4"/>
  </si>
  <si>
    <t>ｼﾙﾄ質砂(有機物混入)</t>
    <rPh sb="3" eb="4">
      <t>シツ</t>
    </rPh>
    <rPh sb="4" eb="5">
      <t>スナ</t>
    </rPh>
    <rPh sb="6" eb="9">
      <t>ユウキブツ</t>
    </rPh>
    <rPh sb="9" eb="11">
      <t>コンニュウ</t>
    </rPh>
    <phoneticPr fontId="4"/>
  </si>
  <si>
    <t>細砂(腐植物混入)</t>
    <rPh sb="0" eb="1">
      <t>サイ</t>
    </rPh>
    <rPh sb="1" eb="2">
      <t>スナ</t>
    </rPh>
    <rPh sb="3" eb="5">
      <t>フショク</t>
    </rPh>
    <rPh sb="5" eb="6">
      <t>ブツ</t>
    </rPh>
    <rPh sb="6" eb="8">
      <t>コンニュウ</t>
    </rPh>
    <phoneticPr fontId="4"/>
  </si>
  <si>
    <t>砂質ｼﾙﾄ(有機物多量に含む)</t>
    <rPh sb="0" eb="1">
      <t>スナ</t>
    </rPh>
    <rPh sb="1" eb="2">
      <t>シツ</t>
    </rPh>
    <rPh sb="6" eb="9">
      <t>ユウキブツ</t>
    </rPh>
    <rPh sb="9" eb="11">
      <t>タリョウ</t>
    </rPh>
    <rPh sb="12" eb="13">
      <t>フク</t>
    </rPh>
    <phoneticPr fontId="4"/>
  </si>
  <si>
    <t>盛土(腐植物混入)</t>
    <rPh sb="0" eb="1">
      <t>モリ</t>
    </rPh>
    <rPh sb="1" eb="2">
      <t>ド</t>
    </rPh>
    <rPh sb="3" eb="5">
      <t>フショク</t>
    </rPh>
    <rPh sb="5" eb="6">
      <t>ブツ</t>
    </rPh>
    <rPh sb="6" eb="8">
      <t>コンニュウ</t>
    </rPh>
    <phoneticPr fontId="4"/>
  </si>
  <si>
    <t>ﾛｰﾑ(有機物混入)</t>
    <rPh sb="4" eb="7">
      <t>ユウキブツ</t>
    </rPh>
    <rPh sb="7" eb="9">
      <t>コンニュウ</t>
    </rPh>
    <phoneticPr fontId="4"/>
  </si>
  <si>
    <t>T-BAGS</t>
    <phoneticPr fontId="4"/>
  </si>
  <si>
    <t>ハイブリット</t>
    <phoneticPr fontId="4"/>
  </si>
  <si>
    <t>WT</t>
    <phoneticPr fontId="4"/>
  </si>
  <si>
    <t>盛土
計画有</t>
    <phoneticPr fontId="4"/>
  </si>
  <si>
    <t>日本ERI 株式会社</t>
    <phoneticPr fontId="4"/>
  </si>
  <si>
    <t>表層にN=50以上の岩盤(勾配あり)あり</t>
    <rPh sb="0" eb="2">
      <t>ヒョウソウ</t>
    </rPh>
    <rPh sb="7" eb="9">
      <t>イジョウ</t>
    </rPh>
    <rPh sb="10" eb="12">
      <t>ガンバン</t>
    </rPh>
    <rPh sb="13" eb="15">
      <t>コウバイ</t>
    </rPh>
    <phoneticPr fontId="4"/>
  </si>
  <si>
    <t>岐阜県</t>
    <phoneticPr fontId="4"/>
  </si>
  <si>
    <t>各務原市</t>
    <phoneticPr fontId="4"/>
  </si>
  <si>
    <t>蘇原東栄町</t>
    <phoneticPr fontId="4"/>
  </si>
  <si>
    <t>株式会社 タカヤ</t>
    <phoneticPr fontId="4"/>
  </si>
  <si>
    <t>宮城県</t>
    <phoneticPr fontId="4"/>
  </si>
  <si>
    <t>8m</t>
    <phoneticPr fontId="4"/>
  </si>
  <si>
    <t>-</t>
    <phoneticPr fontId="4"/>
  </si>
  <si>
    <t>-</t>
    <phoneticPr fontId="4"/>
  </si>
  <si>
    <t>海に近い</t>
    <rPh sb="0" eb="1">
      <t>ウミ</t>
    </rPh>
    <rPh sb="2" eb="3">
      <t>チカ</t>
    </rPh>
    <phoneticPr fontId="4"/>
  </si>
  <si>
    <t>圧密層無し</t>
    <rPh sb="0" eb="1">
      <t>アツ</t>
    </rPh>
    <rPh sb="1" eb="2">
      <t>ミツ</t>
    </rPh>
    <rPh sb="2" eb="3">
      <t>ソウ</t>
    </rPh>
    <rPh sb="3" eb="4">
      <t>ナ</t>
    </rPh>
    <phoneticPr fontId="4"/>
  </si>
  <si>
    <t>V・drug蟹江</t>
    <rPh sb="6" eb="8">
      <t>カニエ</t>
    </rPh>
    <phoneticPr fontId="4"/>
  </si>
  <si>
    <t>V・drug中部薬品大垣西</t>
    <rPh sb="6" eb="8">
      <t>チュウブ</t>
    </rPh>
    <rPh sb="8" eb="10">
      <t>ヤクヒン</t>
    </rPh>
    <rPh sb="10" eb="12">
      <t>オオガキ</t>
    </rPh>
    <rPh sb="12" eb="13">
      <t>ニシ</t>
    </rPh>
    <phoneticPr fontId="4"/>
  </si>
  <si>
    <t>V・drug日進赤池</t>
    <rPh sb="6" eb="8">
      <t>ニッシン</t>
    </rPh>
    <rPh sb="8" eb="10">
      <t>アカイケ</t>
    </rPh>
    <phoneticPr fontId="4"/>
  </si>
  <si>
    <t>V・drug安城今池</t>
    <rPh sb="6" eb="8">
      <t>アンジョウ</t>
    </rPh>
    <rPh sb="8" eb="9">
      <t>イマ</t>
    </rPh>
    <rPh sb="9" eb="10">
      <t>イケ</t>
    </rPh>
    <phoneticPr fontId="4"/>
  </si>
  <si>
    <t>V・drug刈谷下重原</t>
    <rPh sb="6" eb="8">
      <t>カリヤ</t>
    </rPh>
    <rPh sb="8" eb="9">
      <t>シタ</t>
    </rPh>
    <rPh sb="9" eb="10">
      <t>シゲ</t>
    </rPh>
    <rPh sb="10" eb="11">
      <t>ハラ</t>
    </rPh>
    <phoneticPr fontId="4"/>
  </si>
  <si>
    <t>V・drug中部薬品岐阜県庁西</t>
    <phoneticPr fontId="4"/>
  </si>
  <si>
    <t>V・drug港区宝神</t>
    <rPh sb="6" eb="8">
      <t>ミナトク</t>
    </rPh>
    <rPh sb="8" eb="9">
      <t>タカラ</t>
    </rPh>
    <rPh sb="9" eb="10">
      <t>カミ</t>
    </rPh>
    <phoneticPr fontId="4"/>
  </si>
  <si>
    <t>V・drug三重川越</t>
    <rPh sb="6" eb="8">
      <t>ミエ</t>
    </rPh>
    <rPh sb="8" eb="10">
      <t>カワゴエ</t>
    </rPh>
    <phoneticPr fontId="4"/>
  </si>
  <si>
    <t>財団法人 熊本建築構造評価センター</t>
    <rPh sb="0" eb="2">
      <t>ザイダン</t>
    </rPh>
    <rPh sb="2" eb="4">
      <t>ホウジン</t>
    </rPh>
    <rPh sb="5" eb="7">
      <t>クマモト</t>
    </rPh>
    <rPh sb="7" eb="9">
      <t>ケンチク</t>
    </rPh>
    <rPh sb="9" eb="11">
      <t>コウゾウ</t>
    </rPh>
    <rPh sb="11" eb="13">
      <t>ヒョウカ</t>
    </rPh>
    <phoneticPr fontId="4"/>
  </si>
  <si>
    <t>財団法人 熊本県建築住宅センター</t>
    <phoneticPr fontId="4"/>
  </si>
  <si>
    <t>財団法人 熊本建築構造評価センター</t>
    <phoneticPr fontId="4"/>
  </si>
  <si>
    <t>薬王堂多賀城</t>
    <rPh sb="0" eb="1">
      <t>ヤク</t>
    </rPh>
    <rPh sb="1" eb="2">
      <t>オウ</t>
    </rPh>
    <rPh sb="2" eb="3">
      <t>ドウ</t>
    </rPh>
    <rPh sb="3" eb="6">
      <t>タガジョウ</t>
    </rPh>
    <phoneticPr fontId="4"/>
  </si>
  <si>
    <t>宮城県</t>
    <rPh sb="0" eb="3">
      <t>ミヤギケン</t>
    </rPh>
    <phoneticPr fontId="4"/>
  </si>
  <si>
    <t>山王字山王三区</t>
    <phoneticPr fontId="4"/>
  </si>
  <si>
    <t>S造</t>
    <phoneticPr fontId="4"/>
  </si>
  <si>
    <t>3</t>
    <phoneticPr fontId="4"/>
  </si>
  <si>
    <t>株式会社 水野建築事務所</t>
    <phoneticPr fontId="4"/>
  </si>
  <si>
    <t>-</t>
    <phoneticPr fontId="4"/>
  </si>
  <si>
    <t>-</t>
    <phoneticPr fontId="4"/>
  </si>
  <si>
    <t>1m</t>
    <phoneticPr fontId="4"/>
  </si>
  <si>
    <t>10m</t>
    <phoneticPr fontId="4"/>
  </si>
  <si>
    <t>埋土(腐植物混入)</t>
    <rPh sb="0" eb="1">
      <t>ウ</t>
    </rPh>
    <rPh sb="1" eb="2">
      <t>ド</t>
    </rPh>
    <rPh sb="3" eb="5">
      <t>フショク</t>
    </rPh>
    <rPh sb="5" eb="6">
      <t>ブツ</t>
    </rPh>
    <rPh sb="6" eb="8">
      <t>コンニュウ</t>
    </rPh>
    <phoneticPr fontId="4"/>
  </si>
  <si>
    <t>○</t>
    <phoneticPr fontId="4"/>
  </si>
  <si>
    <t>水元</t>
    <rPh sb="0" eb="2">
      <t>ミズモト</t>
    </rPh>
    <phoneticPr fontId="4"/>
  </si>
  <si>
    <t>株式会社 a.s.t atelier</t>
    <rPh sb="0" eb="2">
      <t>カブシキ</t>
    </rPh>
    <rPh sb="2" eb="4">
      <t>カイシャ</t>
    </rPh>
    <phoneticPr fontId="4"/>
  </si>
  <si>
    <t>関設計</t>
    <phoneticPr fontId="4"/>
  </si>
  <si>
    <t>サテライト八代</t>
    <rPh sb="5" eb="7">
      <t>ヤツシロ</t>
    </rPh>
    <phoneticPr fontId="4"/>
  </si>
  <si>
    <t>場外車券売場</t>
    <phoneticPr fontId="4"/>
  </si>
  <si>
    <t>熊本県</t>
    <phoneticPr fontId="4"/>
  </si>
  <si>
    <t>八代市</t>
    <phoneticPr fontId="4"/>
  </si>
  <si>
    <t>沖町字</t>
    <phoneticPr fontId="4"/>
  </si>
  <si>
    <t>オリーブ設計</t>
  </si>
  <si>
    <t>オリーブ設計</t>
    <phoneticPr fontId="4"/>
  </si>
  <si>
    <t>与那原商業施設(ｽｰﾊﾟｰ棟)</t>
    <rPh sb="0" eb="3">
      <t>ヨナハラ</t>
    </rPh>
    <rPh sb="3" eb="5">
      <t>ショウギョウ</t>
    </rPh>
    <rPh sb="5" eb="7">
      <t>シセツ</t>
    </rPh>
    <rPh sb="13" eb="14">
      <t>トウ</t>
    </rPh>
    <phoneticPr fontId="4"/>
  </si>
  <si>
    <t>与那原商業施設(ﾃﾅﾝﾄ棟)</t>
    <rPh sb="0" eb="3">
      <t>ヨナハラ</t>
    </rPh>
    <rPh sb="3" eb="5">
      <t>ショウギョウ</t>
    </rPh>
    <rPh sb="5" eb="7">
      <t>シセツ</t>
    </rPh>
    <rPh sb="12" eb="13">
      <t>トウ</t>
    </rPh>
    <phoneticPr fontId="4"/>
  </si>
  <si>
    <t>メトロ開発 株式会社</t>
    <rPh sb="3" eb="5">
      <t>カイハツ</t>
    </rPh>
    <rPh sb="6" eb="8">
      <t>カブシキ</t>
    </rPh>
    <rPh sb="8" eb="10">
      <t>カイシャ</t>
    </rPh>
    <phoneticPr fontId="4"/>
  </si>
  <si>
    <t>メトロ開発 株式会社</t>
    <phoneticPr fontId="4"/>
  </si>
  <si>
    <t>べた</t>
    <phoneticPr fontId="4"/>
  </si>
  <si>
    <t>0.13,0.46</t>
    <phoneticPr fontId="4"/>
  </si>
  <si>
    <t>ｼﾙﾄ</t>
    <phoneticPr fontId="4"/>
  </si>
  <si>
    <t>3m</t>
    <phoneticPr fontId="4"/>
  </si>
  <si>
    <t>高架下</t>
    <rPh sb="0" eb="3">
      <t>コウカシタ</t>
    </rPh>
    <phoneticPr fontId="4"/>
  </si>
  <si>
    <t>高架下。3棟。柱状改良(ﾃﾉｺﾗﾑ)からの計画変更</t>
    <rPh sb="0" eb="3">
      <t>コウカシタ</t>
    </rPh>
    <rPh sb="5" eb="6">
      <t>トウ</t>
    </rPh>
    <rPh sb="7" eb="9">
      <t>チュウジョウ</t>
    </rPh>
    <rPh sb="9" eb="11">
      <t>カイリョウ</t>
    </rPh>
    <rPh sb="21" eb="23">
      <t>ケイカク</t>
    </rPh>
    <rPh sb="23" eb="25">
      <t>ヘンコウ</t>
    </rPh>
    <phoneticPr fontId="4"/>
  </si>
  <si>
    <t>着工</t>
    <rPh sb="0" eb="2">
      <t>チャッコウ</t>
    </rPh>
    <phoneticPr fontId="4"/>
  </si>
  <si>
    <t>礫混じりｼﾙﾄ質砂</t>
    <rPh sb="0" eb="1">
      <t>レキ</t>
    </rPh>
    <rPh sb="1" eb="2">
      <t>マ</t>
    </rPh>
    <rPh sb="7" eb="8">
      <t>シツ</t>
    </rPh>
    <rPh sb="8" eb="9">
      <t>スナ</t>
    </rPh>
    <phoneticPr fontId="4"/>
  </si>
  <si>
    <t>空地</t>
    <rPh sb="0" eb="2">
      <t>クウチ</t>
    </rPh>
    <phoneticPr fontId="4"/>
  </si>
  <si>
    <t>N=4以上
試験未実施</t>
    <rPh sb="3" eb="5">
      <t>イジョウ</t>
    </rPh>
    <rPh sb="6" eb="8">
      <t>シケン</t>
    </rPh>
    <rPh sb="8" eb="11">
      <t>ミジッシ</t>
    </rPh>
    <phoneticPr fontId="4"/>
  </si>
  <si>
    <t>N=3以上
試験未実施</t>
    <rPh sb="3" eb="5">
      <t>イジョウ</t>
    </rPh>
    <rPh sb="6" eb="8">
      <t>シケン</t>
    </rPh>
    <rPh sb="8" eb="11">
      <t>ミジッシ</t>
    </rPh>
    <phoneticPr fontId="4"/>
  </si>
  <si>
    <t>埋土</t>
    <rPh sb="0" eb="1">
      <t>ウ</t>
    </rPh>
    <rPh sb="1" eb="2">
      <t>ド</t>
    </rPh>
    <phoneticPr fontId="4"/>
  </si>
  <si>
    <t>砂混じりｼﾙﾄ</t>
    <rPh sb="0" eb="1">
      <t>スナ</t>
    </rPh>
    <rPh sb="1" eb="2">
      <t>マ</t>
    </rPh>
    <phoneticPr fontId="4"/>
  </si>
  <si>
    <t>5m</t>
    <phoneticPr fontId="4"/>
  </si>
  <si>
    <t>砂混じりｼﾙﾄ</t>
    <phoneticPr fontId="4"/>
  </si>
  <si>
    <t>14m</t>
    <phoneticPr fontId="4"/>
  </si>
  <si>
    <t>砂質ｼﾙﾄ</t>
    <rPh sb="0" eb="1">
      <t>スナ</t>
    </rPh>
    <rPh sb="1" eb="2">
      <t>シツ</t>
    </rPh>
    <phoneticPr fontId="4"/>
  </si>
  <si>
    <t>1m</t>
    <phoneticPr fontId="4"/>
  </si>
  <si>
    <t>ｼﾙﾄ混じり細砂</t>
    <rPh sb="3" eb="4">
      <t>マ</t>
    </rPh>
    <rPh sb="6" eb="7">
      <t>サイ</t>
    </rPh>
    <rPh sb="7" eb="8">
      <t>スナ</t>
    </rPh>
    <phoneticPr fontId="4"/>
  </si>
  <si>
    <t>砂質ｼﾙﾄ(有機物混入)</t>
    <rPh sb="0" eb="1">
      <t>スナ</t>
    </rPh>
    <rPh sb="1" eb="2">
      <t>シツ</t>
    </rPh>
    <rPh sb="6" eb="9">
      <t>ユウキブツ</t>
    </rPh>
    <rPh sb="9" eb="11">
      <t>コンニュウ</t>
    </rPh>
    <phoneticPr fontId="4"/>
  </si>
  <si>
    <t>杭からのVE。浄化槽下地盤改良あり</t>
    <rPh sb="0" eb="1">
      <t>クイ</t>
    </rPh>
    <rPh sb="7" eb="9">
      <t>ジョウカ</t>
    </rPh>
    <rPh sb="9" eb="10">
      <t>ソウ</t>
    </rPh>
    <rPh sb="10" eb="11">
      <t>シタ</t>
    </rPh>
    <rPh sb="11" eb="13">
      <t>ジバン</t>
    </rPh>
    <rPh sb="13" eb="15">
      <t>カイリョウ</t>
    </rPh>
    <phoneticPr fontId="4"/>
  </si>
  <si>
    <t>事務所・倉庫</t>
    <rPh sb="0" eb="2">
      <t>ジム</t>
    </rPh>
    <rPh sb="2" eb="3">
      <t>ショ</t>
    </rPh>
    <rPh sb="4" eb="6">
      <t>ソウコ</t>
    </rPh>
    <phoneticPr fontId="4"/>
  </si>
  <si>
    <t>盛土</t>
    <rPh sb="0" eb="1">
      <t>モリ</t>
    </rPh>
    <rPh sb="1" eb="2">
      <t>ド</t>
    </rPh>
    <phoneticPr fontId="4"/>
  </si>
  <si>
    <t>有機質ｼﾙﾄ</t>
    <rPh sb="0" eb="3">
      <t>ユウキシツ</t>
    </rPh>
    <phoneticPr fontId="4"/>
  </si>
  <si>
    <t>13m</t>
    <phoneticPr fontId="4"/>
  </si>
  <si>
    <t>11m</t>
    <phoneticPr fontId="4"/>
  </si>
  <si>
    <t>岩田産業㈱南熊本支店</t>
    <rPh sb="0" eb="2">
      <t>イワタ</t>
    </rPh>
    <rPh sb="2" eb="4">
      <t>サンギョウ</t>
    </rPh>
    <rPh sb="5" eb="6">
      <t>ミナミ</t>
    </rPh>
    <rPh sb="6" eb="8">
      <t>クマモト</t>
    </rPh>
    <rPh sb="8" eb="10">
      <t>シテン</t>
    </rPh>
    <phoneticPr fontId="4"/>
  </si>
  <si>
    <t>竹岡</t>
    <rPh sb="0" eb="2">
      <t>タケオカ</t>
    </rPh>
    <phoneticPr fontId="4"/>
  </si>
  <si>
    <t>熊本市</t>
    <phoneticPr fontId="4"/>
  </si>
  <si>
    <t>南区近見</t>
    <rPh sb="0" eb="1">
      <t>ミナミ</t>
    </rPh>
    <rPh sb="1" eb="2">
      <t>ク</t>
    </rPh>
    <rPh sb="2" eb="3">
      <t>チカ</t>
    </rPh>
    <rPh sb="3" eb="4">
      <t>ミ</t>
    </rPh>
    <phoneticPr fontId="4"/>
  </si>
  <si>
    <t>株式会社 アースワーク</t>
    <rPh sb="0" eb="2">
      <t>カブシキ</t>
    </rPh>
    <rPh sb="2" eb="4">
      <t>カイシャ</t>
    </rPh>
    <phoneticPr fontId="4"/>
  </si>
  <si>
    <t>株式会社 アースワーク</t>
    <phoneticPr fontId="4"/>
  </si>
  <si>
    <t>株式会社 清水製作所工場</t>
    <rPh sb="0" eb="2">
      <t>カブシキ</t>
    </rPh>
    <rPh sb="2" eb="4">
      <t>カイシャ</t>
    </rPh>
    <rPh sb="5" eb="7">
      <t>シミズ</t>
    </rPh>
    <rPh sb="7" eb="10">
      <t>セイサクショ</t>
    </rPh>
    <rPh sb="10" eb="12">
      <t>コウジョウ</t>
    </rPh>
    <phoneticPr fontId="4"/>
  </si>
  <si>
    <t>吉川市</t>
    <rPh sb="0" eb="2">
      <t>ヨシカワ</t>
    </rPh>
    <rPh sb="2" eb="3">
      <t>シ</t>
    </rPh>
    <phoneticPr fontId="4"/>
  </si>
  <si>
    <t>大字小松川</t>
    <rPh sb="0" eb="2">
      <t>オオアザ</t>
    </rPh>
    <rPh sb="2" eb="4">
      <t>コマツ</t>
    </rPh>
    <rPh sb="4" eb="5">
      <t>カワ</t>
    </rPh>
    <phoneticPr fontId="4"/>
  </si>
  <si>
    <t>池中建設 株式会社</t>
    <phoneticPr fontId="4"/>
  </si>
  <si>
    <t>大阪市</t>
    <rPh sb="0" eb="3">
      <t>オオサカシ</t>
    </rPh>
    <phoneticPr fontId="4"/>
  </si>
  <si>
    <t>盛土(ｼﾙﾄ質砂礫)</t>
    <rPh sb="0" eb="1">
      <t>モリ</t>
    </rPh>
    <rPh sb="1" eb="2">
      <t>ド</t>
    </rPh>
    <rPh sb="6" eb="7">
      <t>シツ</t>
    </rPh>
    <rPh sb="7" eb="9">
      <t>サレキ</t>
    </rPh>
    <phoneticPr fontId="4"/>
  </si>
  <si>
    <t>zoiz構造設計事務所</t>
  </si>
  <si>
    <t>株式会社 a.s.t atelier</t>
    <phoneticPr fontId="4"/>
  </si>
  <si>
    <t>カブシキガイシャ a.s.t atelier</t>
    <phoneticPr fontId="4"/>
  </si>
  <si>
    <t>セキセッケイ</t>
    <phoneticPr fontId="4"/>
  </si>
  <si>
    <t>オリーブセッケイ</t>
    <phoneticPr fontId="4"/>
  </si>
  <si>
    <t>メトロカイハツ カブシキガイシャ</t>
    <phoneticPr fontId="4"/>
  </si>
  <si>
    <t>カブシキガイシャ アースワーク</t>
    <phoneticPr fontId="4"/>
  </si>
  <si>
    <t>イケナカケンセツ カブシキガイヤ</t>
    <phoneticPr fontId="4"/>
  </si>
  <si>
    <t>zoizコウゾウセッケイジムショ</t>
    <phoneticPr fontId="4"/>
  </si>
  <si>
    <t>2</t>
    <phoneticPr fontId="4"/>
  </si>
  <si>
    <t>沖縄県 うるま市役所</t>
    <rPh sb="0" eb="3">
      <t>オキナワケン</t>
    </rPh>
    <rPh sb="7" eb="10">
      <t>シヤクショ</t>
    </rPh>
    <phoneticPr fontId="4"/>
  </si>
  <si>
    <t>沖縄県 うるま市役所</t>
    <phoneticPr fontId="4"/>
  </si>
  <si>
    <t>着工</t>
    <rPh sb="0" eb="2">
      <t>チャッコウ</t>
    </rPh>
    <phoneticPr fontId="4"/>
  </si>
  <si>
    <t>五所川原市</t>
    <phoneticPr fontId="4"/>
  </si>
  <si>
    <t>大字広田字柳沼</t>
    <rPh sb="0" eb="2">
      <t>オオアザ</t>
    </rPh>
    <rPh sb="2" eb="4">
      <t>ヒロタ</t>
    </rPh>
    <rPh sb="4" eb="5">
      <t>アザ</t>
    </rPh>
    <rPh sb="5" eb="6">
      <t>ヤナギ</t>
    </rPh>
    <rPh sb="6" eb="7">
      <t>ヌマ</t>
    </rPh>
    <phoneticPr fontId="4"/>
  </si>
  <si>
    <t>薬王堂山形遊佐</t>
    <rPh sb="0" eb="1">
      <t>ヤク</t>
    </rPh>
    <rPh sb="1" eb="2">
      <t>オウ</t>
    </rPh>
    <rPh sb="2" eb="3">
      <t>ドウ</t>
    </rPh>
    <rPh sb="3" eb="5">
      <t>ヤマガタ</t>
    </rPh>
    <rPh sb="5" eb="6">
      <t>アソ</t>
    </rPh>
    <rPh sb="6" eb="7">
      <t>サ</t>
    </rPh>
    <phoneticPr fontId="4"/>
  </si>
  <si>
    <t>山形県</t>
    <phoneticPr fontId="4"/>
  </si>
  <si>
    <t>飽海郡</t>
    <phoneticPr fontId="4"/>
  </si>
  <si>
    <t>遊佐町遊佐字京田</t>
    <phoneticPr fontId="4"/>
  </si>
  <si>
    <t>ツルハドラッグ五所川原広田</t>
    <phoneticPr fontId="4"/>
  </si>
  <si>
    <t>村上
ユイ</t>
    <rPh sb="0" eb="2">
      <t>ムラカミ</t>
    </rPh>
    <phoneticPr fontId="4"/>
  </si>
  <si>
    <t>村上</t>
    <rPh sb="0" eb="2">
      <t>ムラカミ</t>
    </rPh>
    <phoneticPr fontId="4"/>
  </si>
  <si>
    <t>申請</t>
    <rPh sb="0" eb="2">
      <t>シンセイ</t>
    </rPh>
    <phoneticPr fontId="4"/>
  </si>
  <si>
    <t>　着工</t>
    <rPh sb="1" eb="3">
      <t>チャッコウ</t>
    </rPh>
    <phoneticPr fontId="4"/>
  </si>
  <si>
    <t>一級建築士事務所 Mkozo</t>
    <phoneticPr fontId="4"/>
  </si>
  <si>
    <t>株式会社 アスコ建築構造室</t>
    <phoneticPr fontId="4"/>
  </si>
  <si>
    <t>株式会社 アスコ建築構造室</t>
    <phoneticPr fontId="4"/>
  </si>
  <si>
    <t>盛土</t>
    <rPh sb="0" eb="1">
      <t>モリ</t>
    </rPh>
    <rPh sb="1" eb="2">
      <t>ド</t>
    </rPh>
    <phoneticPr fontId="4"/>
  </si>
  <si>
    <t>ｼﾙﾄ</t>
    <phoneticPr fontId="4"/>
  </si>
  <si>
    <t>-</t>
    <phoneticPr fontId="4"/>
  </si>
  <si>
    <t>-</t>
    <phoneticPr fontId="4"/>
  </si>
  <si>
    <t>3m</t>
    <phoneticPr fontId="4"/>
  </si>
  <si>
    <t>3ｍ</t>
    <phoneticPr fontId="4"/>
  </si>
  <si>
    <t>4m</t>
    <phoneticPr fontId="4"/>
  </si>
  <si>
    <t>着工</t>
    <rPh sb="0" eb="2">
      <t>チャッコウ</t>
    </rPh>
    <phoneticPr fontId="4"/>
  </si>
  <si>
    <t>株式会社 確認審査機構 アネックス</t>
    <phoneticPr fontId="4"/>
  </si>
  <si>
    <t>盛土</t>
    <rPh sb="0" eb="1">
      <t>モリ</t>
    </rPh>
    <rPh sb="1" eb="2">
      <t>ド</t>
    </rPh>
    <phoneticPr fontId="4"/>
  </si>
  <si>
    <t>ｼﾙﾄ質砂</t>
    <rPh sb="3" eb="4">
      <t>シツ</t>
    </rPh>
    <rPh sb="4" eb="5">
      <t>スナ</t>
    </rPh>
    <phoneticPr fontId="4"/>
  </si>
  <si>
    <t>3m</t>
    <phoneticPr fontId="4"/>
  </si>
  <si>
    <t>砂混じり粘土</t>
    <rPh sb="0" eb="1">
      <t>スナ</t>
    </rPh>
    <rPh sb="1" eb="2">
      <t>マ</t>
    </rPh>
    <rPh sb="4" eb="6">
      <t>ネンド</t>
    </rPh>
    <phoneticPr fontId="4"/>
  </si>
  <si>
    <t>9m</t>
    <phoneticPr fontId="4"/>
  </si>
  <si>
    <t>8m</t>
    <phoneticPr fontId="4"/>
  </si>
  <si>
    <t>火山灰質土</t>
    <rPh sb="0" eb="2">
      <t>カザン</t>
    </rPh>
    <rPh sb="2" eb="3">
      <t>ハイ</t>
    </rPh>
    <rPh sb="3" eb="4">
      <t>シツ</t>
    </rPh>
    <rPh sb="4" eb="5">
      <t>ド</t>
    </rPh>
    <phoneticPr fontId="4"/>
  </si>
  <si>
    <t>広島県庁</t>
    <phoneticPr fontId="4"/>
  </si>
  <si>
    <t>宮崎駅東2丁目事務所</t>
    <rPh sb="0" eb="2">
      <t>ミヤザキ</t>
    </rPh>
    <rPh sb="2" eb="3">
      <t>エキ</t>
    </rPh>
    <rPh sb="3" eb="4">
      <t>ヒガシ</t>
    </rPh>
    <rPh sb="5" eb="7">
      <t>チョウメ</t>
    </rPh>
    <rPh sb="7" eb="9">
      <t>ジム</t>
    </rPh>
    <rPh sb="9" eb="10">
      <t>ショ</t>
    </rPh>
    <phoneticPr fontId="4"/>
  </si>
  <si>
    <t>宮崎市</t>
    <rPh sb="0" eb="3">
      <t>ミヤザキシ</t>
    </rPh>
    <phoneticPr fontId="4"/>
  </si>
  <si>
    <t>宮崎駅東</t>
    <rPh sb="0" eb="2">
      <t>ミヤザキ</t>
    </rPh>
    <rPh sb="2" eb="3">
      <t>エキ</t>
    </rPh>
    <rPh sb="3" eb="4">
      <t>ヒガシ</t>
    </rPh>
    <phoneticPr fontId="4"/>
  </si>
  <si>
    <t>RC造</t>
    <phoneticPr fontId="4"/>
  </si>
  <si>
    <t>3F建</t>
    <rPh sb="2" eb="3">
      <t>タ</t>
    </rPh>
    <phoneticPr fontId="4"/>
  </si>
  <si>
    <t>事務所</t>
    <rPh sb="0" eb="2">
      <t>ジム</t>
    </rPh>
    <rPh sb="2" eb="3">
      <t>ショ</t>
    </rPh>
    <phoneticPr fontId="4"/>
  </si>
  <si>
    <t>RC</t>
    <phoneticPr fontId="4"/>
  </si>
  <si>
    <t>松本陽一設計事務所</t>
    <rPh sb="0" eb="2">
      <t>マツモト</t>
    </rPh>
    <rPh sb="2" eb="4">
      <t>ヨウイチ</t>
    </rPh>
    <rPh sb="4" eb="6">
      <t>セッケイ</t>
    </rPh>
    <rPh sb="6" eb="8">
      <t>ジム</t>
    </rPh>
    <rPh sb="8" eb="9">
      <t>ショ</t>
    </rPh>
    <phoneticPr fontId="4"/>
  </si>
  <si>
    <t>エーピーエヌ設計 株式会社</t>
    <rPh sb="6" eb="8">
      <t>セッケイ</t>
    </rPh>
    <rPh sb="9" eb="11">
      <t>カブシキ</t>
    </rPh>
    <rPh sb="11" eb="13">
      <t>カイシャ</t>
    </rPh>
    <phoneticPr fontId="4"/>
  </si>
  <si>
    <t>松本陽一設計事務所</t>
    <phoneticPr fontId="4"/>
  </si>
  <si>
    <t>エーピーエヌ設計 株式会社</t>
    <phoneticPr fontId="4"/>
  </si>
  <si>
    <t>マツモトヨウイチセッケイジムショ</t>
    <phoneticPr fontId="4"/>
  </si>
  <si>
    <t>エーピーエヌセッケイ カブシキガイシャ</t>
    <phoneticPr fontId="4"/>
  </si>
  <si>
    <t>財団法人 石川県建築住宅センター</t>
    <phoneticPr fontId="4"/>
  </si>
  <si>
    <t>盛土</t>
    <rPh sb="0" eb="1">
      <t>モリ</t>
    </rPh>
    <rPh sb="1" eb="2">
      <t>ド</t>
    </rPh>
    <phoneticPr fontId="4"/>
  </si>
  <si>
    <t>2m</t>
    <phoneticPr fontId="4"/>
  </si>
  <si>
    <t>ｼﾙﾄ</t>
    <phoneticPr fontId="4"/>
  </si>
  <si>
    <t>4m</t>
    <phoneticPr fontId="4"/>
  </si>
  <si>
    <t>細砂</t>
    <rPh sb="0" eb="1">
      <t>サイ</t>
    </rPh>
    <rPh sb="1" eb="2">
      <t>スナ</t>
    </rPh>
    <phoneticPr fontId="4"/>
  </si>
  <si>
    <t>3m</t>
    <phoneticPr fontId="4"/>
  </si>
  <si>
    <t>細砂</t>
    <phoneticPr fontId="4"/>
  </si>
  <si>
    <t>畑</t>
    <rPh sb="0" eb="1">
      <t>ハタケ</t>
    </rPh>
    <phoneticPr fontId="4"/>
  </si>
  <si>
    <t>設計中</t>
    <rPh sb="0" eb="2">
      <t>セッケイ</t>
    </rPh>
    <rPh sb="2" eb="3">
      <t>ナカ</t>
    </rPh>
    <phoneticPr fontId="4"/>
  </si>
  <si>
    <t>Av・Br伊万里</t>
    <rPh sb="5" eb="8">
      <t>イマリ</t>
    </rPh>
    <phoneticPr fontId="4"/>
  </si>
  <si>
    <t>佐賀県</t>
    <phoneticPr fontId="4"/>
  </si>
  <si>
    <t>伊万里市</t>
    <rPh sb="0" eb="4">
      <t>イマリシ</t>
    </rPh>
    <phoneticPr fontId="4"/>
  </si>
  <si>
    <t>松島</t>
    <rPh sb="0" eb="2">
      <t>マツシマ</t>
    </rPh>
    <phoneticPr fontId="4"/>
  </si>
  <si>
    <t>着工</t>
    <rPh sb="0" eb="2">
      <t>チャッコウ</t>
    </rPh>
    <phoneticPr fontId="4"/>
  </si>
  <si>
    <t>桜山テラス</t>
    <phoneticPr fontId="4"/>
  </si>
  <si>
    <t>三原市</t>
    <rPh sb="0" eb="3">
      <t>ミハラシ</t>
    </rPh>
    <phoneticPr fontId="4"/>
  </si>
  <si>
    <t>-</t>
    <phoneticPr fontId="4"/>
  </si>
  <si>
    <t>盛土</t>
    <rPh sb="0" eb="1">
      <t>モリ</t>
    </rPh>
    <rPh sb="1" eb="2">
      <t>ド</t>
    </rPh>
    <phoneticPr fontId="4"/>
  </si>
  <si>
    <t>砂混じりｼﾙﾄ</t>
    <rPh sb="0" eb="1">
      <t>スナ</t>
    </rPh>
    <rPh sb="1" eb="2">
      <t>マ</t>
    </rPh>
    <phoneticPr fontId="4"/>
  </si>
  <si>
    <t>4m</t>
    <phoneticPr fontId="4"/>
  </si>
  <si>
    <t>腐植物混じりｼﾙﾄ</t>
    <rPh sb="0" eb="2">
      <t>フショク</t>
    </rPh>
    <rPh sb="2" eb="3">
      <t>ブツ</t>
    </rPh>
    <rPh sb="3" eb="4">
      <t>マ</t>
    </rPh>
    <phoneticPr fontId="4"/>
  </si>
  <si>
    <t>6m</t>
    <phoneticPr fontId="4"/>
  </si>
  <si>
    <t>ｼﾙﾄ</t>
    <phoneticPr fontId="4"/>
  </si>
  <si>
    <t>1m</t>
    <phoneticPr fontId="4"/>
  </si>
  <si>
    <t>砂質ｼﾙﾄ</t>
    <rPh sb="0" eb="1">
      <t>スナ</t>
    </rPh>
    <rPh sb="1" eb="2">
      <t>シツ</t>
    </rPh>
    <phoneticPr fontId="4"/>
  </si>
  <si>
    <t>申請</t>
    <rPh sb="0" eb="2">
      <t>シンセイ</t>
    </rPh>
    <phoneticPr fontId="4"/>
  </si>
  <si>
    <t xml:space="preserve"> </t>
    <phoneticPr fontId="4"/>
  </si>
  <si>
    <t>着工</t>
    <rPh sb="0" eb="2">
      <t>チャッコウ</t>
    </rPh>
    <phoneticPr fontId="4"/>
  </si>
  <si>
    <t>株式会社 染谷工務店</t>
    <phoneticPr fontId="4"/>
  </si>
  <si>
    <t>カブシキガイシャ ソメヤコウムテン</t>
    <phoneticPr fontId="4"/>
  </si>
  <si>
    <t>つくば市学園の森(日本郵便)</t>
    <rPh sb="9" eb="11">
      <t>ニホン</t>
    </rPh>
    <rPh sb="11" eb="13">
      <t>ユウビン</t>
    </rPh>
    <phoneticPr fontId="4"/>
  </si>
  <si>
    <t>つくば市</t>
    <rPh sb="3" eb="4">
      <t>シ</t>
    </rPh>
    <phoneticPr fontId="4"/>
  </si>
  <si>
    <t>学園の森</t>
    <rPh sb="0" eb="2">
      <t>ガクエン</t>
    </rPh>
    <rPh sb="3" eb="4">
      <t>モリ</t>
    </rPh>
    <phoneticPr fontId="4"/>
  </si>
  <si>
    <t>みちのくクボタ稲垣</t>
    <rPh sb="7" eb="9">
      <t>イナガキ</t>
    </rPh>
    <phoneticPr fontId="4"/>
  </si>
  <si>
    <t>つがる市</t>
    <rPh sb="3" eb="4">
      <t>シ</t>
    </rPh>
    <phoneticPr fontId="4"/>
  </si>
  <si>
    <t>稲垣町崎久米川</t>
    <rPh sb="0" eb="2">
      <t>イナガキ</t>
    </rPh>
    <rPh sb="2" eb="3">
      <t>マチ</t>
    </rPh>
    <rPh sb="3" eb="4">
      <t>サキ</t>
    </rPh>
    <rPh sb="4" eb="7">
      <t>クメガワ</t>
    </rPh>
    <phoneticPr fontId="4"/>
  </si>
  <si>
    <t>工場</t>
    <rPh sb="0" eb="2">
      <t>コウジョウ</t>
    </rPh>
    <phoneticPr fontId="4"/>
  </si>
  <si>
    <t>有限会社 三和シーエム</t>
    <rPh sb="0" eb="2">
      <t>ユウゲン</t>
    </rPh>
    <rPh sb="2" eb="4">
      <t>カイシャ</t>
    </rPh>
    <rPh sb="5" eb="7">
      <t>サンワ</t>
    </rPh>
    <phoneticPr fontId="4"/>
  </si>
  <si>
    <t>有限会社 三和シーエム</t>
    <phoneticPr fontId="4"/>
  </si>
  <si>
    <t>申請</t>
    <rPh sb="0" eb="2">
      <t>シンセイ</t>
    </rPh>
    <phoneticPr fontId="4"/>
  </si>
  <si>
    <t xml:space="preserve"> 着工</t>
    <rPh sb="1" eb="3">
      <t>チャッコウ</t>
    </rPh>
    <phoneticPr fontId="4"/>
  </si>
  <si>
    <t>病院</t>
    <rPh sb="0" eb="2">
      <t>ビョウイン</t>
    </rPh>
    <phoneticPr fontId="4"/>
  </si>
  <si>
    <t>-</t>
    <phoneticPr fontId="4"/>
  </si>
  <si>
    <t>ｼﾙﾄ混り砂</t>
    <rPh sb="3" eb="4">
      <t>マ</t>
    </rPh>
    <rPh sb="5" eb="6">
      <t>スナ</t>
    </rPh>
    <phoneticPr fontId="4"/>
  </si>
  <si>
    <t>礫混り砂</t>
    <rPh sb="0" eb="1">
      <t>レキ</t>
    </rPh>
    <rPh sb="1" eb="2">
      <t>マ</t>
    </rPh>
    <rPh sb="3" eb="4">
      <t>スナ</t>
    </rPh>
    <phoneticPr fontId="4"/>
  </si>
  <si>
    <t>2m</t>
    <phoneticPr fontId="4"/>
  </si>
  <si>
    <t>砂質ｼﾙﾄ</t>
    <rPh sb="0" eb="1">
      <t>スナ</t>
    </rPh>
    <rPh sb="1" eb="2">
      <t>シツ</t>
    </rPh>
    <phoneticPr fontId="4"/>
  </si>
  <si>
    <t>3m</t>
    <phoneticPr fontId="4"/>
  </si>
  <si>
    <t>5m</t>
    <phoneticPr fontId="4"/>
  </si>
  <si>
    <t>ｼﾙﾄ質砂</t>
    <rPh sb="3" eb="4">
      <t>シツ</t>
    </rPh>
    <rPh sb="4" eb="5">
      <t>スナ</t>
    </rPh>
    <phoneticPr fontId="4"/>
  </si>
  <si>
    <t>砂質ｼﾙﾄ(腐植物含む)</t>
    <rPh sb="0" eb="1">
      <t>スナ</t>
    </rPh>
    <rPh sb="1" eb="2">
      <t>シツ</t>
    </rPh>
    <rPh sb="6" eb="8">
      <t>フショク</t>
    </rPh>
    <rPh sb="8" eb="9">
      <t>ブツ</t>
    </rPh>
    <rPh sb="9" eb="10">
      <t>フク</t>
    </rPh>
    <phoneticPr fontId="4"/>
  </si>
  <si>
    <t>1.32
(M7.5)</t>
    <phoneticPr fontId="4"/>
  </si>
  <si>
    <t>集会所・事務所</t>
    <rPh sb="0" eb="2">
      <t>シュウカイ</t>
    </rPh>
    <rPh sb="2" eb="3">
      <t>ショ</t>
    </rPh>
    <rPh sb="4" eb="6">
      <t>ジム</t>
    </rPh>
    <rPh sb="6" eb="7">
      <t>ショ</t>
    </rPh>
    <phoneticPr fontId="4"/>
  </si>
  <si>
    <t>着工</t>
    <rPh sb="0" eb="2">
      <t>チャッコウ</t>
    </rPh>
    <phoneticPr fontId="4"/>
  </si>
  <si>
    <t>-</t>
    <phoneticPr fontId="4"/>
  </si>
  <si>
    <t>盛土</t>
    <rPh sb="0" eb="1">
      <t>モリ</t>
    </rPh>
    <rPh sb="1" eb="2">
      <t>ド</t>
    </rPh>
    <phoneticPr fontId="4"/>
  </si>
  <si>
    <t>砂質粘土</t>
    <rPh sb="0" eb="1">
      <t>スナ</t>
    </rPh>
    <rPh sb="1" eb="2">
      <t>シツ</t>
    </rPh>
    <rPh sb="2" eb="4">
      <t>ネンド</t>
    </rPh>
    <phoneticPr fontId="4"/>
  </si>
  <si>
    <t>○</t>
    <phoneticPr fontId="4"/>
  </si>
  <si>
    <t>7m</t>
    <phoneticPr fontId="4"/>
  </si>
  <si>
    <t>ｼﾙﾄ質粘土</t>
    <rPh sb="3" eb="4">
      <t>シツ</t>
    </rPh>
    <rPh sb="4" eb="6">
      <t>ネンド</t>
    </rPh>
    <phoneticPr fontId="4"/>
  </si>
  <si>
    <t>3m</t>
    <phoneticPr fontId="4"/>
  </si>
  <si>
    <t>砂質ｼﾙﾄ</t>
    <rPh sb="0" eb="1">
      <t>スナ</t>
    </rPh>
    <rPh sb="1" eb="2">
      <t>シツ</t>
    </rPh>
    <phoneticPr fontId="4"/>
  </si>
  <si>
    <t>3m</t>
    <phoneticPr fontId="4"/>
  </si>
  <si>
    <t>ｼﾙﾄ質粘土(腐植物混入)</t>
    <rPh sb="3" eb="4">
      <t>シツ</t>
    </rPh>
    <rPh sb="4" eb="6">
      <t>ネンド</t>
    </rPh>
    <rPh sb="7" eb="9">
      <t>フショク</t>
    </rPh>
    <rPh sb="9" eb="10">
      <t>ブツ</t>
    </rPh>
    <rPh sb="10" eb="12">
      <t>コンニュウ</t>
    </rPh>
    <phoneticPr fontId="4"/>
  </si>
  <si>
    <t>西浜</t>
    <rPh sb="0" eb="2">
      <t>ニシハマ</t>
    </rPh>
    <phoneticPr fontId="4"/>
  </si>
  <si>
    <t>Liebe建築設計</t>
    <phoneticPr fontId="4"/>
  </si>
  <si>
    <t>Liebe建築設計</t>
    <phoneticPr fontId="4"/>
  </si>
  <si>
    <t>C.N.S設計</t>
    <rPh sb="5" eb="7">
      <t>セッケイ</t>
    </rPh>
    <phoneticPr fontId="4"/>
  </si>
  <si>
    <t>Liebeケンチクセッケイ</t>
    <phoneticPr fontId="4"/>
  </si>
  <si>
    <t>C.N.S設計</t>
    <phoneticPr fontId="4"/>
  </si>
  <si>
    <t>C.N.Sセッケイ</t>
    <phoneticPr fontId="4"/>
  </si>
  <si>
    <t>敷地内 切土・盛土・高低差あり</t>
    <rPh sb="0" eb="2">
      <t>シキチ</t>
    </rPh>
    <rPh sb="2" eb="3">
      <t>ナイ</t>
    </rPh>
    <rPh sb="4" eb="5">
      <t>キリ</t>
    </rPh>
    <rPh sb="5" eb="6">
      <t>ド</t>
    </rPh>
    <rPh sb="7" eb="8">
      <t>モリ</t>
    </rPh>
    <rPh sb="8" eb="9">
      <t>ド</t>
    </rPh>
    <rPh sb="10" eb="12">
      <t>コウテイ</t>
    </rPh>
    <rPh sb="12" eb="13">
      <t>サ</t>
    </rPh>
    <phoneticPr fontId="4"/>
  </si>
  <si>
    <t>埋文あり。水路近接。</t>
    <rPh sb="0" eb="1">
      <t>マイ</t>
    </rPh>
    <rPh sb="1" eb="2">
      <t>ブン</t>
    </rPh>
    <rPh sb="5" eb="7">
      <t>スイロ</t>
    </rPh>
    <rPh sb="7" eb="9">
      <t>キンセツ</t>
    </rPh>
    <phoneticPr fontId="4"/>
  </si>
  <si>
    <t>申請</t>
    <rPh sb="0" eb="2">
      <t>シンセイ</t>
    </rPh>
    <phoneticPr fontId="4"/>
  </si>
  <si>
    <t>　申請</t>
    <rPh sb="1" eb="3">
      <t>シンセイ</t>
    </rPh>
    <phoneticPr fontId="4"/>
  </si>
  <si>
    <t>○
8m</t>
    <phoneticPr fontId="4"/>
  </si>
  <si>
    <t>木杭 一次・二次下に配置</t>
    <rPh sb="0" eb="1">
      <t>キ</t>
    </rPh>
    <rPh sb="1" eb="2">
      <t>クイ</t>
    </rPh>
    <rPh sb="3" eb="5">
      <t>イチジ</t>
    </rPh>
    <rPh sb="6" eb="8">
      <t>ニジ</t>
    </rPh>
    <rPh sb="8" eb="9">
      <t>シタ</t>
    </rPh>
    <rPh sb="10" eb="12">
      <t>ハイチ</t>
    </rPh>
    <phoneticPr fontId="4"/>
  </si>
  <si>
    <t>礫混じりｼﾙﾄ質砂</t>
    <rPh sb="0" eb="1">
      <t>レキ</t>
    </rPh>
    <rPh sb="1" eb="2">
      <t>マ</t>
    </rPh>
    <rPh sb="7" eb="8">
      <t>シツ</t>
    </rPh>
    <rPh sb="8" eb="9">
      <t>スナ</t>
    </rPh>
    <phoneticPr fontId="4"/>
  </si>
  <si>
    <t>-</t>
    <phoneticPr fontId="4"/>
  </si>
  <si>
    <t>-</t>
    <phoneticPr fontId="4"/>
  </si>
  <si>
    <t>粘土</t>
    <rPh sb="0" eb="2">
      <t>ネンド</t>
    </rPh>
    <phoneticPr fontId="4"/>
  </si>
  <si>
    <t>1m</t>
    <phoneticPr fontId="4"/>
  </si>
  <si>
    <t>2m</t>
    <phoneticPr fontId="4"/>
  </si>
  <si>
    <t>ｼﾙﾄ質砂</t>
    <rPh sb="3" eb="4">
      <t>シツ</t>
    </rPh>
    <rPh sb="4" eb="5">
      <t>スナ</t>
    </rPh>
    <phoneticPr fontId="4"/>
  </si>
  <si>
    <t>工場・店舗</t>
    <rPh sb="0" eb="2">
      <t>コウジョウ</t>
    </rPh>
    <rPh sb="3" eb="5">
      <t>テンポ</t>
    </rPh>
    <phoneticPr fontId="4"/>
  </si>
  <si>
    <t>河川、水路近接。</t>
    <rPh sb="0" eb="2">
      <t>カセン</t>
    </rPh>
    <rPh sb="3" eb="5">
      <t>スイロ</t>
    </rPh>
    <rPh sb="5" eb="7">
      <t>キンセツ</t>
    </rPh>
    <phoneticPr fontId="4"/>
  </si>
  <si>
    <t>着工</t>
    <rPh sb="0" eb="2">
      <t>チャッコウ</t>
    </rPh>
    <phoneticPr fontId="4"/>
  </si>
  <si>
    <t>圧密層の厚さに違いあり</t>
    <rPh sb="0" eb="1">
      <t>アツ</t>
    </rPh>
    <rPh sb="1" eb="2">
      <t>ミツ</t>
    </rPh>
    <rPh sb="2" eb="3">
      <t>ソウ</t>
    </rPh>
    <rPh sb="4" eb="5">
      <t>アツ</t>
    </rPh>
    <rPh sb="7" eb="8">
      <t>チガ</t>
    </rPh>
    <phoneticPr fontId="4"/>
  </si>
  <si>
    <t>盛土</t>
    <rPh sb="0" eb="1">
      <t>モリ</t>
    </rPh>
    <rPh sb="1" eb="2">
      <t>ド</t>
    </rPh>
    <phoneticPr fontId="4"/>
  </si>
  <si>
    <t>ｼﾙﾄ</t>
    <phoneticPr fontId="4"/>
  </si>
  <si>
    <t>3m</t>
    <phoneticPr fontId="4"/>
  </si>
  <si>
    <t>2m</t>
    <phoneticPr fontId="4"/>
  </si>
  <si>
    <t>1m</t>
    <phoneticPr fontId="4"/>
  </si>
  <si>
    <t>砂混じり細砂</t>
    <rPh sb="0" eb="1">
      <t>スナ</t>
    </rPh>
    <rPh sb="1" eb="2">
      <t>マ</t>
    </rPh>
    <rPh sb="4" eb="5">
      <t>サイ</t>
    </rPh>
    <rPh sb="5" eb="6">
      <t>スナ</t>
    </rPh>
    <phoneticPr fontId="4"/>
  </si>
  <si>
    <t>2F建</t>
    <rPh sb="2" eb="3">
      <t>タ</t>
    </rPh>
    <phoneticPr fontId="4"/>
  </si>
  <si>
    <t>事務所</t>
    <rPh sb="0" eb="2">
      <t>ジム</t>
    </rPh>
    <rPh sb="2" eb="3">
      <t>ショ</t>
    </rPh>
    <phoneticPr fontId="4"/>
  </si>
  <si>
    <t>吾郷税理士事務所社屋</t>
    <phoneticPr fontId="4"/>
  </si>
  <si>
    <t>　締切</t>
    <rPh sb="1" eb="3">
      <t>シメキリ</t>
    </rPh>
    <phoneticPr fontId="4"/>
  </si>
  <si>
    <t>山口県</t>
    <phoneticPr fontId="4"/>
  </si>
  <si>
    <t>熊毛郡</t>
    <rPh sb="0" eb="2">
      <t>クマゲ</t>
    </rPh>
    <rPh sb="2" eb="3">
      <t>グン</t>
    </rPh>
    <phoneticPr fontId="4"/>
  </si>
  <si>
    <t>田布施町大字上田布施字近石</t>
    <rPh sb="0" eb="1">
      <t>タ</t>
    </rPh>
    <rPh sb="1" eb="3">
      <t>フセ</t>
    </rPh>
    <rPh sb="3" eb="4">
      <t>マチ</t>
    </rPh>
    <rPh sb="4" eb="6">
      <t>オオアザ</t>
    </rPh>
    <rPh sb="6" eb="8">
      <t>ウエダ</t>
    </rPh>
    <rPh sb="8" eb="10">
      <t>フセ</t>
    </rPh>
    <rPh sb="10" eb="11">
      <t>アザ</t>
    </rPh>
    <rPh sb="11" eb="12">
      <t>チカ</t>
    </rPh>
    <rPh sb="12" eb="13">
      <t>イシ</t>
    </rPh>
    <phoneticPr fontId="4"/>
  </si>
  <si>
    <t>-</t>
    <phoneticPr fontId="4"/>
  </si>
  <si>
    <t>近藤</t>
    <rPh sb="0" eb="2">
      <t>コンドウ</t>
    </rPh>
    <phoneticPr fontId="4"/>
  </si>
  <si>
    <t>ユイ</t>
    <phoneticPr fontId="4"/>
  </si>
  <si>
    <t>浪田商事農産物一時保管倉庫</t>
    <rPh sb="0" eb="1">
      <t>ナミ</t>
    </rPh>
    <rPh sb="1" eb="2">
      <t>タ</t>
    </rPh>
    <rPh sb="2" eb="4">
      <t>ショウジ</t>
    </rPh>
    <rPh sb="4" eb="7">
      <t>ノウサンブツ</t>
    </rPh>
    <rPh sb="7" eb="9">
      <t>イチジ</t>
    </rPh>
    <rPh sb="9" eb="11">
      <t>ホカン</t>
    </rPh>
    <rPh sb="11" eb="13">
      <t>ソウコ</t>
    </rPh>
    <phoneticPr fontId="4"/>
  </si>
  <si>
    <t>岩見沢市</t>
    <rPh sb="0" eb="3">
      <t>イワミザワ</t>
    </rPh>
    <rPh sb="3" eb="4">
      <t>シ</t>
    </rPh>
    <phoneticPr fontId="4"/>
  </si>
  <si>
    <t>志文町</t>
    <rPh sb="0" eb="1">
      <t>シ</t>
    </rPh>
    <rPh sb="1" eb="2">
      <t>フミ</t>
    </rPh>
    <rPh sb="2" eb="3">
      <t>マチ</t>
    </rPh>
    <phoneticPr fontId="4"/>
  </si>
  <si>
    <t>有限会社 T工房</t>
    <rPh sb="0" eb="2">
      <t>ユウゲン</t>
    </rPh>
    <rPh sb="2" eb="4">
      <t>カイシャ</t>
    </rPh>
    <rPh sb="6" eb="8">
      <t>コウボウ</t>
    </rPh>
    <phoneticPr fontId="4"/>
  </si>
  <si>
    <t>有限会社 T工房</t>
    <phoneticPr fontId="4"/>
  </si>
  <si>
    <t>ユウゲンガイシャ Tコウボウ</t>
    <phoneticPr fontId="4"/>
  </si>
  <si>
    <t>2</t>
    <phoneticPr fontId="4"/>
  </si>
  <si>
    <t>有機質土</t>
    <rPh sb="0" eb="3">
      <t>ユウキシツ</t>
    </rPh>
    <rPh sb="3" eb="4">
      <t>ド</t>
    </rPh>
    <phoneticPr fontId="4"/>
  </si>
  <si>
    <t>細砂</t>
    <rPh sb="0" eb="1">
      <t>サイ</t>
    </rPh>
    <rPh sb="1" eb="2">
      <t>スナ</t>
    </rPh>
    <phoneticPr fontId="4"/>
  </si>
  <si>
    <t>7m</t>
    <phoneticPr fontId="4"/>
  </si>
  <si>
    <t>ｼﾙﾄ</t>
    <phoneticPr fontId="4"/>
  </si>
  <si>
    <t>3m</t>
    <phoneticPr fontId="4"/>
  </si>
  <si>
    <t>粗砂</t>
    <rPh sb="0" eb="1">
      <t>アラ</t>
    </rPh>
    <rPh sb="1" eb="2">
      <t>スナ</t>
    </rPh>
    <phoneticPr fontId="4"/>
  </si>
  <si>
    <t>3m</t>
    <phoneticPr fontId="4"/>
  </si>
  <si>
    <t>2m</t>
    <phoneticPr fontId="4"/>
  </si>
  <si>
    <t>水路・既存L型擁壁近接</t>
    <rPh sb="0" eb="2">
      <t>スイロ</t>
    </rPh>
    <rPh sb="3" eb="5">
      <t>キソン</t>
    </rPh>
    <rPh sb="6" eb="7">
      <t>ガタ</t>
    </rPh>
    <rPh sb="7" eb="8">
      <t>ヨウ</t>
    </rPh>
    <rPh sb="8" eb="9">
      <t>カベ</t>
    </rPh>
    <rPh sb="9" eb="11">
      <t>キンセツ</t>
    </rPh>
    <phoneticPr fontId="4"/>
  </si>
  <si>
    <t>ハローズ佐古</t>
    <rPh sb="4" eb="6">
      <t>サコ</t>
    </rPh>
    <phoneticPr fontId="4"/>
  </si>
  <si>
    <t>徳島県</t>
    <rPh sb="0" eb="3">
      <t>トクシマケン</t>
    </rPh>
    <phoneticPr fontId="4"/>
  </si>
  <si>
    <t>徳島市</t>
    <rPh sb="0" eb="2">
      <t>トクシマ</t>
    </rPh>
    <rPh sb="2" eb="3">
      <t>シ</t>
    </rPh>
    <phoneticPr fontId="4"/>
  </si>
  <si>
    <t>佐古</t>
    <rPh sb="0" eb="2">
      <t>サコ</t>
    </rPh>
    <phoneticPr fontId="4"/>
  </si>
  <si>
    <t>屋駐</t>
    <rPh sb="0" eb="1">
      <t>ヤ</t>
    </rPh>
    <rPh sb="1" eb="2">
      <t>チュウ</t>
    </rPh>
    <phoneticPr fontId="4"/>
  </si>
  <si>
    <t>埼玉県</t>
    <rPh sb="0" eb="3">
      <t>サイタマケン</t>
    </rPh>
    <phoneticPr fontId="4"/>
  </si>
  <si>
    <t>川越市</t>
    <rPh sb="0" eb="3">
      <t>カワゴエシ</t>
    </rPh>
    <phoneticPr fontId="4"/>
  </si>
  <si>
    <t>大字石田字八ツ島町</t>
    <rPh sb="0" eb="2">
      <t>オオアザ</t>
    </rPh>
    <rPh sb="2" eb="4">
      <t>イシダ</t>
    </rPh>
    <rPh sb="4" eb="5">
      <t>アザ</t>
    </rPh>
    <rPh sb="5" eb="6">
      <t>ハチ</t>
    </rPh>
    <rPh sb="7" eb="8">
      <t>シマ</t>
    </rPh>
    <rPh sb="8" eb="9">
      <t>マチ</t>
    </rPh>
    <phoneticPr fontId="4"/>
  </si>
  <si>
    <t>株式会社 タカヤ</t>
    <phoneticPr fontId="4"/>
  </si>
  <si>
    <t>都市環境建築設計事務所</t>
    <phoneticPr fontId="4"/>
  </si>
  <si>
    <t>中山設計</t>
    <rPh sb="0" eb="2">
      <t>ナカヤマ</t>
    </rPh>
    <rPh sb="2" eb="4">
      <t>セッケイ</t>
    </rPh>
    <phoneticPr fontId="4"/>
  </si>
  <si>
    <t>中山設計</t>
    <phoneticPr fontId="4"/>
  </si>
  <si>
    <t>ナカヤマセッケイ</t>
    <phoneticPr fontId="4"/>
  </si>
  <si>
    <t>福岡県</t>
    <rPh sb="0" eb="3">
      <t>フクオカケン</t>
    </rPh>
    <phoneticPr fontId="4"/>
  </si>
  <si>
    <t>田川市</t>
    <rPh sb="0" eb="2">
      <t>タガワ</t>
    </rPh>
    <rPh sb="2" eb="3">
      <t>シ</t>
    </rPh>
    <phoneticPr fontId="4"/>
  </si>
  <si>
    <t>弓削山</t>
    <rPh sb="0" eb="2">
      <t>ユゲ</t>
    </rPh>
    <rPh sb="2" eb="3">
      <t>ヤマ</t>
    </rPh>
    <phoneticPr fontId="4"/>
  </si>
  <si>
    <t>店舗(ﾊﾟﾁﾝｺ)</t>
    <rPh sb="0" eb="2">
      <t>テンポ</t>
    </rPh>
    <phoneticPr fontId="4"/>
  </si>
  <si>
    <t>株式会社 河野設計福岡</t>
    <phoneticPr fontId="4"/>
  </si>
  <si>
    <t>カブシキガイシャ コウノセッケイフクオカ</t>
    <phoneticPr fontId="4"/>
  </si>
  <si>
    <t>千葉県</t>
    <rPh sb="0" eb="3">
      <t>チバケン</t>
    </rPh>
    <phoneticPr fontId="4"/>
  </si>
  <si>
    <t>夷隅郡</t>
    <rPh sb="0" eb="2">
      <t>イスミ</t>
    </rPh>
    <rPh sb="2" eb="3">
      <t>グン</t>
    </rPh>
    <phoneticPr fontId="4"/>
  </si>
  <si>
    <t>大多喜町</t>
    <rPh sb="0" eb="4">
      <t>オオタキマチ</t>
    </rPh>
    <phoneticPr fontId="4"/>
  </si>
  <si>
    <t>作業場</t>
    <rPh sb="0" eb="2">
      <t>サギョウ</t>
    </rPh>
    <rPh sb="2" eb="3">
      <t>バ</t>
    </rPh>
    <phoneticPr fontId="4"/>
  </si>
  <si>
    <t>3</t>
    <phoneticPr fontId="4"/>
  </si>
  <si>
    <t>盛土</t>
    <rPh sb="0" eb="1">
      <t>モリ</t>
    </rPh>
    <rPh sb="1" eb="2">
      <t>ド</t>
    </rPh>
    <phoneticPr fontId="4"/>
  </si>
  <si>
    <t>有機質粘土</t>
    <rPh sb="0" eb="3">
      <t>ユウキシツ</t>
    </rPh>
    <rPh sb="3" eb="5">
      <t>ネンド</t>
    </rPh>
    <phoneticPr fontId="4"/>
  </si>
  <si>
    <t>○
1m</t>
    <phoneticPr fontId="4"/>
  </si>
  <si>
    <t>1m</t>
    <phoneticPr fontId="4"/>
  </si>
  <si>
    <t>凝灰質粘土</t>
    <rPh sb="0" eb="1">
      <t>ギョウ</t>
    </rPh>
    <rPh sb="1" eb="2">
      <t>ハイ</t>
    </rPh>
    <rPh sb="2" eb="3">
      <t>シツ</t>
    </rPh>
    <rPh sb="3" eb="5">
      <t>ネンド</t>
    </rPh>
    <phoneticPr fontId="4"/>
  </si>
  <si>
    <t>3m</t>
    <phoneticPr fontId="4"/>
  </si>
  <si>
    <t>3m</t>
    <phoneticPr fontId="4"/>
  </si>
  <si>
    <t>4m</t>
    <phoneticPr fontId="4"/>
  </si>
  <si>
    <t>砂混じりｼﾙﾄ</t>
    <rPh sb="0" eb="1">
      <t>スナ</t>
    </rPh>
    <rPh sb="1" eb="2">
      <t>マ</t>
    </rPh>
    <phoneticPr fontId="4"/>
  </si>
  <si>
    <t>盛土(有機質粘土)</t>
    <rPh sb="0" eb="1">
      <t>モリ</t>
    </rPh>
    <rPh sb="1" eb="2">
      <t>ド</t>
    </rPh>
    <rPh sb="3" eb="6">
      <t>ユウキシツ</t>
    </rPh>
    <rPh sb="6" eb="8">
      <t>ネンド</t>
    </rPh>
    <phoneticPr fontId="4"/>
  </si>
  <si>
    <t>埋土</t>
    <rPh sb="0" eb="1">
      <t>ウ</t>
    </rPh>
    <rPh sb="1" eb="2">
      <t>ド</t>
    </rPh>
    <phoneticPr fontId="4"/>
  </si>
  <si>
    <t>ｼﾙﾄ質粘土</t>
    <rPh sb="3" eb="4">
      <t>シツ</t>
    </rPh>
    <rPh sb="4" eb="6">
      <t>ネンド</t>
    </rPh>
    <phoneticPr fontId="4"/>
  </si>
  <si>
    <t>盛土厚、圧密層厚に勾配あり</t>
    <rPh sb="0" eb="1">
      <t>モリ</t>
    </rPh>
    <rPh sb="1" eb="2">
      <t>ド</t>
    </rPh>
    <rPh sb="2" eb="3">
      <t>アツ</t>
    </rPh>
    <rPh sb="4" eb="5">
      <t>アツ</t>
    </rPh>
    <rPh sb="5" eb="6">
      <t>ミツ</t>
    </rPh>
    <rPh sb="6" eb="7">
      <t>ソウ</t>
    </rPh>
    <rPh sb="7" eb="8">
      <t>アツ</t>
    </rPh>
    <rPh sb="9" eb="11">
      <t>コウバイ</t>
    </rPh>
    <phoneticPr fontId="4"/>
  </si>
  <si>
    <t>○
4m</t>
    <phoneticPr fontId="4"/>
  </si>
  <si>
    <t>○</t>
    <phoneticPr fontId="4"/>
  </si>
  <si>
    <t>ｼﾙﾄ質粘土</t>
    <rPh sb="3" eb="4">
      <t>シツ</t>
    </rPh>
    <rPh sb="4" eb="6">
      <t>ネンド</t>
    </rPh>
    <phoneticPr fontId="4"/>
  </si>
  <si>
    <t>10m</t>
    <phoneticPr fontId="4"/>
  </si>
  <si>
    <t>粘土質ｼﾙﾄ</t>
    <rPh sb="0" eb="2">
      <t>ネンド</t>
    </rPh>
    <rPh sb="2" eb="3">
      <t>シツ</t>
    </rPh>
    <phoneticPr fontId="4"/>
  </si>
  <si>
    <t>砂混じりｼﾙﾄ</t>
    <rPh sb="0" eb="1">
      <t>スナ</t>
    </rPh>
    <rPh sb="1" eb="2">
      <t>マ</t>
    </rPh>
    <phoneticPr fontId="4"/>
  </si>
  <si>
    <t>3m</t>
    <phoneticPr fontId="4"/>
  </si>
  <si>
    <t>2m</t>
    <phoneticPr fontId="4"/>
  </si>
  <si>
    <t>ｼﾙﾄ混じり細砂</t>
    <rPh sb="3" eb="4">
      <t>マ</t>
    </rPh>
    <rPh sb="6" eb="7">
      <t>サイ</t>
    </rPh>
    <rPh sb="7" eb="8">
      <t>スナ</t>
    </rPh>
    <phoneticPr fontId="4"/>
  </si>
  <si>
    <t>ｼﾙﾄ質粘土(腐植物混入)</t>
    <rPh sb="3" eb="4">
      <t>シツ</t>
    </rPh>
    <rPh sb="4" eb="6">
      <t>ネンド</t>
    </rPh>
    <rPh sb="7" eb="9">
      <t>フショク</t>
    </rPh>
    <rPh sb="9" eb="10">
      <t>ブツ</t>
    </rPh>
    <rPh sb="10" eb="12">
      <t>コンニュウ</t>
    </rPh>
    <phoneticPr fontId="4"/>
  </si>
  <si>
    <t>工場・住宅</t>
    <rPh sb="0" eb="2">
      <t>コウジョウ</t>
    </rPh>
    <rPh sb="3" eb="5">
      <t>ジュウタク</t>
    </rPh>
    <phoneticPr fontId="4"/>
  </si>
  <si>
    <t>敷地内 既存建物近接。</t>
    <rPh sb="0" eb="2">
      <t>シキチ</t>
    </rPh>
    <rPh sb="2" eb="3">
      <t>ナイ</t>
    </rPh>
    <rPh sb="4" eb="6">
      <t>キソン</t>
    </rPh>
    <rPh sb="6" eb="8">
      <t>タテモノ</t>
    </rPh>
    <rPh sb="8" eb="10">
      <t>キンセツ</t>
    </rPh>
    <phoneticPr fontId="4"/>
  </si>
  <si>
    <t>2m</t>
    <phoneticPr fontId="4"/>
  </si>
  <si>
    <t>ｼﾙﾄ</t>
    <phoneticPr fontId="4"/>
  </si>
  <si>
    <t>粘土</t>
    <rPh sb="0" eb="2">
      <t>ネンド</t>
    </rPh>
    <phoneticPr fontId="4"/>
  </si>
  <si>
    <t>2m</t>
    <phoneticPr fontId="4"/>
  </si>
  <si>
    <t>6m</t>
    <phoneticPr fontId="4"/>
  </si>
  <si>
    <t>1m</t>
    <phoneticPr fontId="4"/>
  </si>
  <si>
    <t>盛土</t>
    <rPh sb="0" eb="1">
      <t>モリ</t>
    </rPh>
    <rPh sb="1" eb="2">
      <t>ド</t>
    </rPh>
    <phoneticPr fontId="4"/>
  </si>
  <si>
    <t>砂混じり粘土</t>
    <rPh sb="0" eb="1">
      <t>スナ</t>
    </rPh>
    <rPh sb="1" eb="2">
      <t>マ</t>
    </rPh>
    <rPh sb="4" eb="6">
      <t>ネンド</t>
    </rPh>
    <phoneticPr fontId="4"/>
  </si>
  <si>
    <t>申請</t>
    <rPh sb="0" eb="2">
      <t>シンセイ</t>
    </rPh>
    <phoneticPr fontId="4"/>
  </si>
  <si>
    <t>村上</t>
    <rPh sb="0" eb="2">
      <t>ムラカミ</t>
    </rPh>
    <phoneticPr fontId="4"/>
  </si>
  <si>
    <t>財団法人 さいたま住宅検査センター</t>
    <phoneticPr fontId="4"/>
  </si>
  <si>
    <t>申請</t>
    <rPh sb="0" eb="2">
      <t>シンセイ</t>
    </rPh>
    <phoneticPr fontId="4"/>
  </si>
  <si>
    <t xml:space="preserve"> 　申請</t>
    <rPh sb="2" eb="4">
      <t>シンセイ</t>
    </rPh>
    <phoneticPr fontId="4"/>
  </si>
  <si>
    <t>池中建設 株式会社</t>
    <phoneticPr fontId="4"/>
  </si>
  <si>
    <t>株式会社 剛設計事務所</t>
    <rPh sb="0" eb="4">
      <t>カブシキガイシャ</t>
    </rPh>
    <rPh sb="5" eb="6">
      <t>ゴウ</t>
    </rPh>
    <rPh sb="6" eb="8">
      <t>セッケイ</t>
    </rPh>
    <rPh sb="8" eb="10">
      <t>ジム</t>
    </rPh>
    <rPh sb="10" eb="11">
      <t>ショ</t>
    </rPh>
    <phoneticPr fontId="4"/>
  </si>
  <si>
    <t>財団法人 ベターリビング</t>
    <phoneticPr fontId="4"/>
  </si>
  <si>
    <t xml:space="preserve"> 現説</t>
    <rPh sb="1" eb="2">
      <t>ゲン</t>
    </rPh>
    <rPh sb="2" eb="3">
      <t>セツ</t>
    </rPh>
    <phoneticPr fontId="4"/>
  </si>
  <si>
    <t>　 仮定</t>
    <rPh sb="2" eb="4">
      <t>カテイ</t>
    </rPh>
    <phoneticPr fontId="4"/>
  </si>
  <si>
    <t>弘前倉庫(アスコ構造設計)</t>
    <rPh sb="0" eb="2">
      <t>ヒロサキ</t>
    </rPh>
    <rPh sb="2" eb="4">
      <t>ソウコ</t>
    </rPh>
    <rPh sb="8" eb="10">
      <t>コウゾウ</t>
    </rPh>
    <rPh sb="10" eb="12">
      <t>セッケイ</t>
    </rPh>
    <phoneticPr fontId="4"/>
  </si>
  <si>
    <t>3</t>
    <phoneticPr fontId="4"/>
  </si>
  <si>
    <t>盛土</t>
    <rPh sb="0" eb="1">
      <t>モリ</t>
    </rPh>
    <rPh sb="1" eb="2">
      <t>ド</t>
    </rPh>
    <phoneticPr fontId="4"/>
  </si>
  <si>
    <t>粘土</t>
    <rPh sb="0" eb="2">
      <t>ネンド</t>
    </rPh>
    <phoneticPr fontId="4"/>
  </si>
  <si>
    <t>1m</t>
    <phoneticPr fontId="4"/>
  </si>
  <si>
    <t>有機質ｼﾙﾄ</t>
    <rPh sb="0" eb="3">
      <t>ユウキシツ</t>
    </rPh>
    <phoneticPr fontId="4"/>
  </si>
  <si>
    <t>米倉庫</t>
    <rPh sb="1" eb="3">
      <t>ソウコ</t>
    </rPh>
    <phoneticPr fontId="4"/>
  </si>
  <si>
    <t>米倉庫</t>
    <phoneticPr fontId="4"/>
  </si>
  <si>
    <t>日鉄物産システム建築 株式会社</t>
    <rPh sb="0" eb="2">
      <t>ニッテツ</t>
    </rPh>
    <rPh sb="2" eb="4">
      <t>ブッサン</t>
    </rPh>
    <rPh sb="8" eb="10">
      <t>ケンチク</t>
    </rPh>
    <rPh sb="11" eb="15">
      <t>カブシキガイシャ</t>
    </rPh>
    <phoneticPr fontId="4"/>
  </si>
  <si>
    <t>日鉄物産システム建築 株式会社</t>
    <phoneticPr fontId="4"/>
  </si>
  <si>
    <t>ニッテツブッサンシステムケンチク カブシキガイシャ</t>
    <phoneticPr fontId="4"/>
  </si>
  <si>
    <t>2019.4 住金システム建築が社名変更</t>
    <rPh sb="7" eb="9">
      <t>スミキン</t>
    </rPh>
    <rPh sb="13" eb="15">
      <t>ケンチク</t>
    </rPh>
    <rPh sb="16" eb="18">
      <t>シャメイ</t>
    </rPh>
    <rPh sb="18" eb="20">
      <t>ヘンコウ</t>
    </rPh>
    <phoneticPr fontId="4"/>
  </si>
  <si>
    <t>2棟</t>
    <rPh sb="1" eb="2">
      <t>トウ</t>
    </rPh>
    <phoneticPr fontId="4"/>
  </si>
  <si>
    <t>千葉建築設計事務所</t>
    <rPh sb="0" eb="2">
      <t>チバ</t>
    </rPh>
    <rPh sb="2" eb="4">
      <t>ケンチク</t>
    </rPh>
    <rPh sb="4" eb="6">
      <t>セッケイ</t>
    </rPh>
    <rPh sb="6" eb="8">
      <t>ジム</t>
    </rPh>
    <rPh sb="8" eb="9">
      <t>ショ</t>
    </rPh>
    <phoneticPr fontId="4"/>
  </si>
  <si>
    <t>千葉建築設計事務所</t>
    <phoneticPr fontId="4"/>
  </si>
  <si>
    <t>チバケンチクセッケイジムショ</t>
    <phoneticPr fontId="4"/>
  </si>
  <si>
    <t>株式会社 右門 第二工場</t>
    <phoneticPr fontId="4"/>
  </si>
  <si>
    <t>ハマイ大多喜工場 第7号棟</t>
    <rPh sb="3" eb="6">
      <t>オオタキ</t>
    </rPh>
    <rPh sb="6" eb="8">
      <t>コウジョウ</t>
    </rPh>
    <rPh sb="9" eb="10">
      <t>ダイ</t>
    </rPh>
    <rPh sb="11" eb="13">
      <t>ゴウトウ</t>
    </rPh>
    <phoneticPr fontId="4"/>
  </si>
  <si>
    <t>3</t>
    <phoneticPr fontId="4"/>
  </si>
  <si>
    <t>9.9
23.0</t>
    <phoneticPr fontId="4"/>
  </si>
  <si>
    <t>16.4
40.2</t>
    <phoneticPr fontId="4"/>
  </si>
  <si>
    <t>6.2
12.8</t>
    <phoneticPr fontId="4"/>
  </si>
  <si>
    <t>32.5
76.0</t>
    <phoneticPr fontId="4"/>
  </si>
  <si>
    <t>工場と渡り廊下の2棟.既存建物と近接。</t>
    <rPh sb="0" eb="2">
      <t>コウジョウ</t>
    </rPh>
    <rPh sb="3" eb="4">
      <t>ワタ</t>
    </rPh>
    <rPh sb="5" eb="7">
      <t>ロウカ</t>
    </rPh>
    <rPh sb="9" eb="10">
      <t>トウ</t>
    </rPh>
    <rPh sb="11" eb="13">
      <t>キソン</t>
    </rPh>
    <rPh sb="13" eb="15">
      <t>タテモノ</t>
    </rPh>
    <rPh sb="16" eb="18">
      <t>キンセツ</t>
    </rPh>
    <phoneticPr fontId="4"/>
  </si>
  <si>
    <t>1m</t>
    <phoneticPr fontId="4"/>
  </si>
  <si>
    <t>砂質粘土</t>
    <rPh sb="0" eb="1">
      <t>スナ</t>
    </rPh>
    <rPh sb="1" eb="2">
      <t>シツ</t>
    </rPh>
    <rPh sb="2" eb="4">
      <t>ネンド</t>
    </rPh>
    <phoneticPr fontId="4"/>
  </si>
  <si>
    <t>3m</t>
    <phoneticPr fontId="4"/>
  </si>
  <si>
    <t>風化花崗岩</t>
    <rPh sb="0" eb="2">
      <t>フウカ</t>
    </rPh>
    <rPh sb="2" eb="3">
      <t>ハナ</t>
    </rPh>
    <rPh sb="3" eb="4">
      <t>オカ</t>
    </rPh>
    <rPh sb="4" eb="5">
      <t>イワ</t>
    </rPh>
    <phoneticPr fontId="4"/>
  </si>
  <si>
    <t>2m</t>
    <phoneticPr fontId="4"/>
  </si>
  <si>
    <t>粘土質砂質礫</t>
    <rPh sb="0" eb="2">
      <t>ネンド</t>
    </rPh>
    <rPh sb="2" eb="3">
      <t>シツ</t>
    </rPh>
    <rPh sb="3" eb="4">
      <t>スナ</t>
    </rPh>
    <rPh sb="4" eb="5">
      <t>シツ</t>
    </rPh>
    <rPh sb="5" eb="6">
      <t>レキ</t>
    </rPh>
    <phoneticPr fontId="4"/>
  </si>
  <si>
    <t>砂質粘土(腐植物含む)</t>
    <rPh sb="0" eb="1">
      <t>スナ</t>
    </rPh>
    <rPh sb="1" eb="2">
      <t>シツ</t>
    </rPh>
    <rPh sb="2" eb="4">
      <t>ネンド</t>
    </rPh>
    <rPh sb="5" eb="7">
      <t>フショク</t>
    </rPh>
    <rPh sb="7" eb="8">
      <t>ブツ</t>
    </rPh>
    <rPh sb="8" eb="9">
      <t>フク</t>
    </rPh>
    <phoneticPr fontId="4"/>
  </si>
  <si>
    <t>2.29
(200,M=8)</t>
    <phoneticPr fontId="4"/>
  </si>
  <si>
    <t>埋土</t>
    <rPh sb="0" eb="1">
      <t>ウ</t>
    </rPh>
    <rPh sb="1" eb="2">
      <t>ド</t>
    </rPh>
    <phoneticPr fontId="4"/>
  </si>
  <si>
    <t>細砂</t>
    <rPh sb="0" eb="1">
      <t>サイ</t>
    </rPh>
    <rPh sb="1" eb="2">
      <t>スナ</t>
    </rPh>
    <phoneticPr fontId="4"/>
  </si>
  <si>
    <t>6m</t>
    <phoneticPr fontId="4"/>
  </si>
  <si>
    <t>9m</t>
    <phoneticPr fontId="4"/>
  </si>
  <si>
    <t>2m</t>
    <phoneticPr fontId="4"/>
  </si>
  <si>
    <t>細砂(腐植物混入)</t>
    <rPh sb="0" eb="1">
      <t>サイ</t>
    </rPh>
    <rPh sb="1" eb="2">
      <t>スナ</t>
    </rPh>
    <rPh sb="3" eb="5">
      <t>フショク</t>
    </rPh>
    <rPh sb="5" eb="6">
      <t>ブツ</t>
    </rPh>
    <rPh sb="6" eb="8">
      <t>コンニュウ</t>
    </rPh>
    <phoneticPr fontId="4"/>
  </si>
  <si>
    <t>-</t>
    <phoneticPr fontId="4"/>
  </si>
  <si>
    <t>海に近い。</t>
    <rPh sb="0" eb="1">
      <t>ウミ</t>
    </rPh>
    <rPh sb="2" eb="3">
      <t>チカ</t>
    </rPh>
    <phoneticPr fontId="4"/>
  </si>
  <si>
    <t>着工</t>
    <rPh sb="0" eb="2">
      <t>チャッコウ</t>
    </rPh>
    <phoneticPr fontId="4"/>
  </si>
  <si>
    <t>弘前倉庫㈱五所川原倉庫増築</t>
    <rPh sb="0" eb="5">
      <t>ヒロサキソウコカブ</t>
    </rPh>
    <rPh sb="5" eb="9">
      <t>ゴショガワラ</t>
    </rPh>
    <rPh sb="9" eb="11">
      <t>ソウコ</t>
    </rPh>
    <rPh sb="11" eb="13">
      <t>ゾウチク</t>
    </rPh>
    <phoneticPr fontId="4"/>
  </si>
  <si>
    <t>株式会社 建築構造センター(沖縄)</t>
    <rPh sb="14" eb="16">
      <t>オキナワ</t>
    </rPh>
    <phoneticPr fontId="4"/>
  </si>
  <si>
    <t>南国殖産殿(仮称)鹿児島南港水素ステーション</t>
    <phoneticPr fontId="4"/>
  </si>
  <si>
    <t>鹿児島県</t>
    <rPh sb="0" eb="4">
      <t>カゴシマケン</t>
    </rPh>
    <phoneticPr fontId="4"/>
  </si>
  <si>
    <t>着工予定</t>
    <phoneticPr fontId="4"/>
  </si>
  <si>
    <t>申請</t>
    <rPh sb="0" eb="2">
      <t>シンセイ</t>
    </rPh>
    <phoneticPr fontId="4"/>
  </si>
  <si>
    <t>2</t>
    <phoneticPr fontId="4"/>
  </si>
  <si>
    <t>2m</t>
    <phoneticPr fontId="4"/>
  </si>
  <si>
    <t>ｼﾙﾄ</t>
    <phoneticPr fontId="4"/>
  </si>
  <si>
    <t>14m</t>
    <phoneticPr fontId="4"/>
  </si>
  <si>
    <t>5m</t>
    <phoneticPr fontId="4"/>
  </si>
  <si>
    <t>細砂</t>
    <rPh sb="0" eb="1">
      <t>サイ</t>
    </rPh>
    <rPh sb="1" eb="2">
      <t>スナ</t>
    </rPh>
    <phoneticPr fontId="4"/>
  </si>
  <si>
    <t>ｼﾙﾄ(有機物混入)</t>
    <rPh sb="4" eb="7">
      <t>ユウキブツ</t>
    </rPh>
    <rPh sb="7" eb="9">
      <t>コンニュウ</t>
    </rPh>
    <phoneticPr fontId="4"/>
  </si>
  <si>
    <t>大字増林</t>
    <phoneticPr fontId="4"/>
  </si>
  <si>
    <t>エーピーエヌ設計 株式会社</t>
    <phoneticPr fontId="4"/>
  </si>
  <si>
    <t>G Proportionアーキテクツ</t>
    <phoneticPr fontId="4"/>
  </si>
  <si>
    <t>G Proportionアーキテクツ</t>
    <phoneticPr fontId="4"/>
  </si>
  <si>
    <t>G Proportionアーキテクツ</t>
    <phoneticPr fontId="4"/>
  </si>
  <si>
    <t>株式会社 朝日建装</t>
    <phoneticPr fontId="4"/>
  </si>
  <si>
    <t>株式会社 河野設計福岡</t>
    <phoneticPr fontId="4"/>
  </si>
  <si>
    <t>株式会社 田中構造設計事務所</t>
    <phoneticPr fontId="4"/>
  </si>
  <si>
    <t>岐阜県</t>
    <phoneticPr fontId="4"/>
  </si>
  <si>
    <t>株式会社 国際確認検査センター</t>
    <phoneticPr fontId="4"/>
  </si>
  <si>
    <t>福岡県</t>
    <phoneticPr fontId="4"/>
  </si>
  <si>
    <t>北九州市</t>
    <phoneticPr fontId="4"/>
  </si>
  <si>
    <t>小倉北区西港町</t>
    <phoneticPr fontId="4"/>
  </si>
  <si>
    <t>作業場</t>
    <rPh sb="0" eb="2">
      <t>サギョウ</t>
    </rPh>
    <rPh sb="2" eb="3">
      <t>バ</t>
    </rPh>
    <phoneticPr fontId="4"/>
  </si>
  <si>
    <t>埋土</t>
    <rPh sb="0" eb="1">
      <t>ウ</t>
    </rPh>
    <rPh sb="1" eb="2">
      <t>ド</t>
    </rPh>
    <phoneticPr fontId="4"/>
  </si>
  <si>
    <t>粘土質ｼﾙﾄ</t>
    <rPh sb="0" eb="2">
      <t>ネンド</t>
    </rPh>
    <rPh sb="2" eb="3">
      <t>シツ</t>
    </rPh>
    <phoneticPr fontId="4"/>
  </si>
  <si>
    <t>2m</t>
    <phoneticPr fontId="4"/>
  </si>
  <si>
    <t>7m</t>
    <phoneticPr fontId="4"/>
  </si>
  <si>
    <t>-</t>
    <phoneticPr fontId="4"/>
  </si>
  <si>
    <t>粘土質ｼﾙﾄ(腐植物含む)</t>
    <rPh sb="0" eb="2">
      <t>ネンド</t>
    </rPh>
    <rPh sb="2" eb="3">
      <t>シツ</t>
    </rPh>
    <rPh sb="7" eb="9">
      <t>フショク</t>
    </rPh>
    <rPh sb="9" eb="10">
      <t>ブツ</t>
    </rPh>
    <rPh sb="10" eb="11">
      <t>フク</t>
    </rPh>
    <phoneticPr fontId="4"/>
  </si>
  <si>
    <t>1.79
(200gal,M=7.5)</t>
    <phoneticPr fontId="4"/>
  </si>
  <si>
    <t>工場</t>
    <rPh sb="0" eb="2">
      <t>コウジョウ</t>
    </rPh>
    <phoneticPr fontId="4"/>
  </si>
  <si>
    <t>申請</t>
    <rPh sb="0" eb="2">
      <t>シンセイ</t>
    </rPh>
    <phoneticPr fontId="4"/>
  </si>
  <si>
    <t>ジュンテンドー大竹(建築工房)</t>
    <rPh sb="7" eb="9">
      <t>オオタケ</t>
    </rPh>
    <rPh sb="10" eb="12">
      <t>ケンチク</t>
    </rPh>
    <rPh sb="12" eb="14">
      <t>コウボウ</t>
    </rPh>
    <phoneticPr fontId="4"/>
  </si>
  <si>
    <t>ハウスプラス確認検査 株式会社</t>
    <phoneticPr fontId="4"/>
  </si>
  <si>
    <t>ビューローベリタスジャパン株式会社</t>
    <phoneticPr fontId="4"/>
  </si>
  <si>
    <t>日照電機製作所</t>
    <rPh sb="0" eb="2">
      <t>ニッショウ</t>
    </rPh>
    <rPh sb="2" eb="4">
      <t>デンキ</t>
    </rPh>
    <rPh sb="4" eb="7">
      <t>セイサクショ</t>
    </rPh>
    <phoneticPr fontId="4"/>
  </si>
  <si>
    <t>札幌市</t>
    <rPh sb="0" eb="3">
      <t>サッポロシ</t>
    </rPh>
    <phoneticPr fontId="4"/>
  </si>
  <si>
    <t>東区北丘珠</t>
    <rPh sb="0" eb="2">
      <t>ヒガシク</t>
    </rPh>
    <rPh sb="2" eb="3">
      <t>キタ</t>
    </rPh>
    <rPh sb="3" eb="4">
      <t>オカ</t>
    </rPh>
    <rPh sb="4" eb="5">
      <t>タマ</t>
    </rPh>
    <phoneticPr fontId="4"/>
  </si>
  <si>
    <t>株式会社 スカイ・サイト</t>
    <phoneticPr fontId="4"/>
  </si>
  <si>
    <t>近藤</t>
    <rPh sb="0" eb="2">
      <t>コンドウ</t>
    </rPh>
    <phoneticPr fontId="4"/>
  </si>
  <si>
    <t>アルバック東北㈱加工部事務所</t>
    <rPh sb="5" eb="7">
      <t>トウホク</t>
    </rPh>
    <rPh sb="8" eb="10">
      <t>カコウ</t>
    </rPh>
    <rPh sb="10" eb="11">
      <t>ブ</t>
    </rPh>
    <rPh sb="11" eb="13">
      <t>ジム</t>
    </rPh>
    <rPh sb="13" eb="14">
      <t>ショ</t>
    </rPh>
    <phoneticPr fontId="4"/>
  </si>
  <si>
    <t>八戸市</t>
    <phoneticPr fontId="4"/>
  </si>
  <si>
    <t>北インター工業団地</t>
    <rPh sb="0" eb="1">
      <t>キタ</t>
    </rPh>
    <rPh sb="5" eb="7">
      <t>コウギョウ</t>
    </rPh>
    <rPh sb="7" eb="9">
      <t>ダンチ</t>
    </rPh>
    <phoneticPr fontId="4"/>
  </si>
  <si>
    <t>株式会社 構創建築事務所</t>
    <rPh sb="0" eb="2">
      <t>カブシキ</t>
    </rPh>
    <rPh sb="2" eb="4">
      <t>ガイシャ</t>
    </rPh>
    <phoneticPr fontId="4"/>
  </si>
  <si>
    <t>株式会社 構創建築事務所</t>
    <phoneticPr fontId="4"/>
  </si>
  <si>
    <t>株式会社 キャディック</t>
    <phoneticPr fontId="4"/>
  </si>
  <si>
    <t>財団法人 日本建築総合試験所</t>
    <phoneticPr fontId="4"/>
  </si>
  <si>
    <t>財団法人 ベターリビング</t>
    <phoneticPr fontId="4"/>
  </si>
  <si>
    <t>広島県</t>
    <phoneticPr fontId="4"/>
  </si>
  <si>
    <t>大竹市</t>
    <phoneticPr fontId="4"/>
  </si>
  <si>
    <t>新町</t>
    <phoneticPr fontId="4"/>
  </si>
  <si>
    <t>有限会社 建築工房</t>
    <phoneticPr fontId="4"/>
  </si>
  <si>
    <t>盛土</t>
    <rPh sb="0" eb="1">
      <t>モリ</t>
    </rPh>
    <rPh sb="1" eb="2">
      <t>ド</t>
    </rPh>
    <phoneticPr fontId="4"/>
  </si>
  <si>
    <t>ｼﾙﾄ</t>
    <phoneticPr fontId="4"/>
  </si>
  <si>
    <t>以前設計した弘前倉庫の隣の敷地</t>
    <rPh sb="0" eb="2">
      <t>イゼン</t>
    </rPh>
    <rPh sb="2" eb="4">
      <t>セッケイ</t>
    </rPh>
    <rPh sb="6" eb="8">
      <t>ヒロサキ</t>
    </rPh>
    <rPh sb="8" eb="10">
      <t>ソウコ</t>
    </rPh>
    <rPh sb="11" eb="12">
      <t>トナリ</t>
    </rPh>
    <rPh sb="13" eb="15">
      <t>シキチ</t>
    </rPh>
    <phoneticPr fontId="4"/>
  </si>
  <si>
    <t>3</t>
    <phoneticPr fontId="4"/>
  </si>
  <si>
    <t>砂混じりｼﾙﾄ</t>
    <rPh sb="0" eb="1">
      <t>スナ</t>
    </rPh>
    <rPh sb="1" eb="2">
      <t>マ</t>
    </rPh>
    <phoneticPr fontId="4"/>
  </si>
  <si>
    <t>礫混じりｼﾙﾄ</t>
    <rPh sb="0" eb="1">
      <t>レキ</t>
    </rPh>
    <rPh sb="1" eb="2">
      <t>マ</t>
    </rPh>
    <phoneticPr fontId="4"/>
  </si>
  <si>
    <t>7m</t>
    <phoneticPr fontId="4"/>
  </si>
  <si>
    <t>1m</t>
    <phoneticPr fontId="4"/>
  </si>
  <si>
    <t>住宅</t>
    <rPh sb="0" eb="2">
      <t>ジュウタク</t>
    </rPh>
    <phoneticPr fontId="4"/>
  </si>
  <si>
    <t>日本海冷凍魚 冷蔵庫</t>
    <rPh sb="0" eb="2">
      <t>ニホン</t>
    </rPh>
    <rPh sb="2" eb="3">
      <t>ウミ</t>
    </rPh>
    <rPh sb="3" eb="5">
      <t>レイトウ</t>
    </rPh>
    <rPh sb="5" eb="6">
      <t>サカナ</t>
    </rPh>
    <rPh sb="7" eb="10">
      <t>レイゾウコ</t>
    </rPh>
    <phoneticPr fontId="4"/>
  </si>
  <si>
    <t>鳥取県</t>
    <rPh sb="0" eb="3">
      <t>トットリケン</t>
    </rPh>
    <phoneticPr fontId="4"/>
  </si>
  <si>
    <t>境港市</t>
    <phoneticPr fontId="4"/>
  </si>
  <si>
    <t>昭和町</t>
    <rPh sb="0" eb="2">
      <t>ショウワ</t>
    </rPh>
    <rPh sb="2" eb="3">
      <t>マチ</t>
    </rPh>
    <phoneticPr fontId="4"/>
  </si>
  <si>
    <t>冷蔵倉庫</t>
    <rPh sb="0" eb="2">
      <t>レイゾウ</t>
    </rPh>
    <rPh sb="2" eb="4">
      <t>ソウコ</t>
    </rPh>
    <phoneticPr fontId="4"/>
  </si>
  <si>
    <t>株式会社 平設計</t>
    <phoneticPr fontId="4"/>
  </si>
  <si>
    <t>株式会社 平設計</t>
    <phoneticPr fontId="4"/>
  </si>
  <si>
    <t>-</t>
    <phoneticPr fontId="4"/>
  </si>
  <si>
    <t>1.5,2.5</t>
    <phoneticPr fontId="4"/>
  </si>
  <si>
    <t>岡山県</t>
    <phoneticPr fontId="4"/>
  </si>
  <si>
    <t>岡山市</t>
    <rPh sb="0" eb="3">
      <t>オカヤマシ</t>
    </rPh>
    <phoneticPr fontId="4"/>
  </si>
  <si>
    <t>南区藤田</t>
    <rPh sb="0" eb="2">
      <t>ミナミク</t>
    </rPh>
    <rPh sb="2" eb="4">
      <t>フジタ</t>
    </rPh>
    <phoneticPr fontId="4"/>
  </si>
  <si>
    <t>倉庫</t>
    <rPh sb="0" eb="2">
      <t>ソウコ</t>
    </rPh>
    <phoneticPr fontId="4"/>
  </si>
  <si>
    <t>日成ビルド工業 株式会社</t>
    <phoneticPr fontId="4"/>
  </si>
  <si>
    <t>滋賀県</t>
    <phoneticPr fontId="4"/>
  </si>
  <si>
    <t>蒲生郡</t>
    <rPh sb="0" eb="2">
      <t>ガモウ</t>
    </rPh>
    <rPh sb="2" eb="3">
      <t>グン</t>
    </rPh>
    <phoneticPr fontId="4"/>
  </si>
  <si>
    <t>竜王町</t>
    <rPh sb="0" eb="2">
      <t>リュウオウ</t>
    </rPh>
    <rPh sb="2" eb="3">
      <t>マチ</t>
    </rPh>
    <phoneticPr fontId="4"/>
  </si>
  <si>
    <t>工場</t>
    <rPh sb="0" eb="2">
      <t>コウジョウ</t>
    </rPh>
    <phoneticPr fontId="4"/>
  </si>
  <si>
    <t>株式会社 奥田工務店</t>
    <phoneticPr fontId="4"/>
  </si>
  <si>
    <t xml:space="preserve"> 申請</t>
    <rPh sb="1" eb="3">
      <t>シンセイ</t>
    </rPh>
    <phoneticPr fontId="4"/>
  </si>
  <si>
    <t>着工</t>
    <rPh sb="0" eb="2">
      <t>チャッコウ</t>
    </rPh>
    <phoneticPr fontId="4"/>
  </si>
  <si>
    <t>粘土質砂質礫</t>
    <rPh sb="0" eb="2">
      <t>ネンド</t>
    </rPh>
    <rPh sb="2" eb="3">
      <t>シツ</t>
    </rPh>
    <rPh sb="3" eb="4">
      <t>スナ</t>
    </rPh>
    <rPh sb="4" eb="5">
      <t>シツ</t>
    </rPh>
    <rPh sb="5" eb="6">
      <t>レキ</t>
    </rPh>
    <phoneticPr fontId="4"/>
  </si>
  <si>
    <t>3</t>
    <phoneticPr fontId="4"/>
  </si>
  <si>
    <t>3</t>
    <phoneticPr fontId="4"/>
  </si>
  <si>
    <t>○
8m</t>
    <phoneticPr fontId="4"/>
  </si>
  <si>
    <t>ｼﾙﾄ</t>
    <phoneticPr fontId="4"/>
  </si>
  <si>
    <t>-</t>
    <phoneticPr fontId="4"/>
  </si>
  <si>
    <t>-</t>
    <phoneticPr fontId="4"/>
  </si>
  <si>
    <t>5m</t>
    <phoneticPr fontId="4"/>
  </si>
  <si>
    <t>粘土質ｼﾙﾄ</t>
    <rPh sb="0" eb="2">
      <t>ネンド</t>
    </rPh>
    <rPh sb="2" eb="3">
      <t>シツ</t>
    </rPh>
    <phoneticPr fontId="4"/>
  </si>
  <si>
    <t>7m</t>
    <phoneticPr fontId="4"/>
  </si>
  <si>
    <t>2m</t>
    <phoneticPr fontId="4"/>
  </si>
  <si>
    <t>埋土</t>
    <rPh sb="0" eb="1">
      <t>ウ</t>
    </rPh>
    <rPh sb="1" eb="2">
      <t>ド</t>
    </rPh>
    <phoneticPr fontId="4"/>
  </si>
  <si>
    <t>有機質土</t>
    <rPh sb="0" eb="3">
      <t>ユウキシツ</t>
    </rPh>
    <rPh sb="3" eb="4">
      <t>ド</t>
    </rPh>
    <phoneticPr fontId="4"/>
  </si>
  <si>
    <t>3m</t>
    <phoneticPr fontId="4"/>
  </si>
  <si>
    <t>5m</t>
    <phoneticPr fontId="4"/>
  </si>
  <si>
    <t>ｼﾙﾄ質砂</t>
    <rPh sb="3" eb="4">
      <t>シツ</t>
    </rPh>
    <rPh sb="4" eb="5">
      <t>スナ</t>
    </rPh>
    <phoneticPr fontId="4"/>
  </si>
  <si>
    <t>株式会社 唐澤建築設計事務所</t>
    <phoneticPr fontId="4"/>
  </si>
  <si>
    <t>株式会社 唐澤建築設計事務所</t>
    <phoneticPr fontId="4"/>
  </si>
  <si>
    <t>カブシキガイシャ カラサワケンチクセッケイジムショ</t>
    <phoneticPr fontId="4"/>
  </si>
  <si>
    <t>3</t>
    <phoneticPr fontId="4"/>
  </si>
  <si>
    <t>粘土混じりｼﾙﾄ</t>
    <rPh sb="0" eb="2">
      <t>ネンド</t>
    </rPh>
    <rPh sb="2" eb="3">
      <t>マ</t>
    </rPh>
    <phoneticPr fontId="4"/>
  </si>
  <si>
    <t>18m</t>
    <phoneticPr fontId="4"/>
  </si>
  <si>
    <t>粘土質ｼﾙﾄ</t>
    <rPh sb="0" eb="2">
      <t>ネンド</t>
    </rPh>
    <rPh sb="2" eb="3">
      <t>シツ</t>
    </rPh>
    <phoneticPr fontId="4"/>
  </si>
  <si>
    <t>6m</t>
    <phoneticPr fontId="4"/>
  </si>
  <si>
    <t>3m</t>
    <phoneticPr fontId="4"/>
  </si>
  <si>
    <t>1m</t>
    <phoneticPr fontId="4"/>
  </si>
  <si>
    <t>砂質ｼﾙﾄ</t>
    <rPh sb="0" eb="1">
      <t>スナ</t>
    </rPh>
    <rPh sb="1" eb="2">
      <t>シツ</t>
    </rPh>
    <phoneticPr fontId="4"/>
  </si>
  <si>
    <t>-</t>
    <phoneticPr fontId="4"/>
  </si>
  <si>
    <t>2m</t>
    <phoneticPr fontId="4"/>
  </si>
  <si>
    <t>4m</t>
    <phoneticPr fontId="4"/>
  </si>
  <si>
    <t>2m</t>
    <phoneticPr fontId="4"/>
  </si>
  <si>
    <t>-</t>
    <phoneticPr fontId="4"/>
  </si>
  <si>
    <t>-</t>
    <phoneticPr fontId="4"/>
  </si>
  <si>
    <t>ボタ、建物下に坑道あり。同敷地内 立体駐車場は別工法</t>
    <rPh sb="3" eb="5">
      <t>タテモノ</t>
    </rPh>
    <rPh sb="5" eb="6">
      <t>シタ</t>
    </rPh>
    <rPh sb="7" eb="9">
      <t>コウドウ</t>
    </rPh>
    <rPh sb="12" eb="13">
      <t>オナ</t>
    </rPh>
    <rPh sb="13" eb="15">
      <t>シキチ</t>
    </rPh>
    <rPh sb="15" eb="16">
      <t>ナイ</t>
    </rPh>
    <rPh sb="17" eb="19">
      <t>リッタイ</t>
    </rPh>
    <rPh sb="19" eb="22">
      <t>チュウシャジョウ</t>
    </rPh>
    <rPh sb="23" eb="24">
      <t>ベツ</t>
    </rPh>
    <rPh sb="24" eb="26">
      <t>コウホウ</t>
    </rPh>
    <phoneticPr fontId="4"/>
  </si>
  <si>
    <t>山岡建築設計</t>
    <phoneticPr fontId="4"/>
  </si>
  <si>
    <t>山岡建築設計</t>
    <phoneticPr fontId="4"/>
  </si>
  <si>
    <t>ヤマオカケンチクセッケイ</t>
    <phoneticPr fontId="4"/>
  </si>
  <si>
    <t>塩冶有原町</t>
    <phoneticPr fontId="4"/>
  </si>
  <si>
    <t>3</t>
    <phoneticPr fontId="4"/>
  </si>
  <si>
    <t>ビューローベリタスジャパン株式会社(横浜)</t>
    <rPh sb="18" eb="20">
      <t>ヨコハマ</t>
    </rPh>
    <phoneticPr fontId="4"/>
  </si>
  <si>
    <t>日本ERI 株式会社(さいたま)</t>
    <phoneticPr fontId="4"/>
  </si>
  <si>
    <t>ネッツトヨタ東都㈱おおたかの森</t>
    <rPh sb="6" eb="7">
      <t>ヒガシ</t>
    </rPh>
    <rPh sb="7" eb="8">
      <t>ト</t>
    </rPh>
    <rPh sb="14" eb="15">
      <t>モリ</t>
    </rPh>
    <phoneticPr fontId="4"/>
  </si>
  <si>
    <t>流山市</t>
    <rPh sb="0" eb="2">
      <t>ナガレヤマ</t>
    </rPh>
    <rPh sb="2" eb="3">
      <t>シ</t>
    </rPh>
    <phoneticPr fontId="4"/>
  </si>
  <si>
    <t>市野谷字宮尻</t>
    <rPh sb="0" eb="1">
      <t>シ</t>
    </rPh>
    <rPh sb="1" eb="2">
      <t>ノ</t>
    </rPh>
    <rPh sb="2" eb="3">
      <t>タニ</t>
    </rPh>
    <rPh sb="3" eb="4">
      <t>アザ</t>
    </rPh>
    <rPh sb="4" eb="5">
      <t>ミヤ</t>
    </rPh>
    <rPh sb="5" eb="6">
      <t>シリ</t>
    </rPh>
    <phoneticPr fontId="4"/>
  </si>
  <si>
    <t>ウット</t>
    <phoneticPr fontId="4"/>
  </si>
  <si>
    <t>ツルハドラッグ高知若松</t>
    <rPh sb="7" eb="9">
      <t>コウチ</t>
    </rPh>
    <rPh sb="9" eb="11">
      <t>ワカマツ</t>
    </rPh>
    <phoneticPr fontId="4"/>
  </si>
  <si>
    <t>高知市</t>
    <rPh sb="0" eb="3">
      <t>コウチシ</t>
    </rPh>
    <phoneticPr fontId="4"/>
  </si>
  <si>
    <t>若松町</t>
    <rPh sb="0" eb="2">
      <t>ワカマツ</t>
    </rPh>
    <rPh sb="2" eb="3">
      <t>マチ</t>
    </rPh>
    <phoneticPr fontId="4"/>
  </si>
  <si>
    <t>熊田構造設計事務所</t>
    <phoneticPr fontId="4"/>
  </si>
  <si>
    <t>熊田構造設計事務所</t>
    <phoneticPr fontId="4"/>
  </si>
  <si>
    <t>クマダコウゾウセッケイジムショ</t>
    <phoneticPr fontId="4"/>
  </si>
  <si>
    <t>横山建築設計事務所</t>
    <rPh sb="0" eb="2">
      <t>ヨコヤマ</t>
    </rPh>
    <rPh sb="2" eb="4">
      <t>ケンチク</t>
    </rPh>
    <rPh sb="4" eb="6">
      <t>セッケイ</t>
    </rPh>
    <rPh sb="6" eb="8">
      <t>ジム</t>
    </rPh>
    <rPh sb="8" eb="9">
      <t>ショ</t>
    </rPh>
    <phoneticPr fontId="4"/>
  </si>
  <si>
    <t>横山建築設計事務所</t>
    <phoneticPr fontId="4"/>
  </si>
  <si>
    <t>ヨコヤマケンチクセッケイジムショ</t>
    <phoneticPr fontId="4"/>
  </si>
  <si>
    <t>寄宿舎2棟</t>
    <rPh sb="0" eb="3">
      <t>キシュクシャ</t>
    </rPh>
    <rPh sb="4" eb="5">
      <t>トウ</t>
    </rPh>
    <phoneticPr fontId="4"/>
  </si>
  <si>
    <t>小松市</t>
    <rPh sb="0" eb="3">
      <t>コマツシ</t>
    </rPh>
    <phoneticPr fontId="4"/>
  </si>
  <si>
    <t>串町</t>
    <rPh sb="0" eb="1">
      <t>クシ</t>
    </rPh>
    <rPh sb="1" eb="2">
      <t>マチ</t>
    </rPh>
    <phoneticPr fontId="4"/>
  </si>
  <si>
    <t>2F,3F</t>
    <phoneticPr fontId="4"/>
  </si>
  <si>
    <t>寄宿舎</t>
    <rPh sb="0" eb="3">
      <t>キシュクシャ</t>
    </rPh>
    <phoneticPr fontId="4"/>
  </si>
  <si>
    <t>株式会社 吉光組</t>
    <rPh sb="0" eb="2">
      <t>カブシキ</t>
    </rPh>
    <rPh sb="2" eb="4">
      <t>カイシャ</t>
    </rPh>
    <rPh sb="5" eb="7">
      <t>ヨシミツ</t>
    </rPh>
    <rPh sb="7" eb="8">
      <t>クミ</t>
    </rPh>
    <phoneticPr fontId="4"/>
  </si>
  <si>
    <t>申請</t>
    <phoneticPr fontId="4"/>
  </si>
  <si>
    <t>圧密検討中、スケジュール確認中</t>
    <rPh sb="0" eb="1">
      <t>アツ</t>
    </rPh>
    <rPh sb="1" eb="2">
      <t>ミツ</t>
    </rPh>
    <rPh sb="2" eb="4">
      <t>ケントウ</t>
    </rPh>
    <rPh sb="4" eb="5">
      <t>ナカ</t>
    </rPh>
    <rPh sb="12" eb="14">
      <t>カクニン</t>
    </rPh>
    <rPh sb="14" eb="15">
      <t>ナカ</t>
    </rPh>
    <phoneticPr fontId="4"/>
  </si>
  <si>
    <t>申請</t>
    <rPh sb="0" eb="2">
      <t>シンセイ</t>
    </rPh>
    <phoneticPr fontId="4"/>
  </si>
  <si>
    <t>着工</t>
    <rPh sb="0" eb="2">
      <t>チャッコウ</t>
    </rPh>
    <phoneticPr fontId="4"/>
  </si>
  <si>
    <t>礫混じりｼﾙﾄ質砂</t>
    <rPh sb="0" eb="1">
      <t>レキ</t>
    </rPh>
    <rPh sb="1" eb="2">
      <t>マ</t>
    </rPh>
    <rPh sb="7" eb="8">
      <t>シツ</t>
    </rPh>
    <rPh sb="8" eb="9">
      <t>スナ</t>
    </rPh>
    <phoneticPr fontId="4"/>
  </si>
  <si>
    <t>3m</t>
    <phoneticPr fontId="4"/>
  </si>
  <si>
    <t>砂質ｼﾙﾄ</t>
    <rPh sb="0" eb="1">
      <t>スナ</t>
    </rPh>
    <rPh sb="1" eb="2">
      <t>シツ</t>
    </rPh>
    <phoneticPr fontId="4"/>
  </si>
  <si>
    <t>8m</t>
    <phoneticPr fontId="4"/>
  </si>
  <si>
    <t>1m</t>
    <phoneticPr fontId="4"/>
  </si>
  <si>
    <t>工場</t>
    <rPh sb="0" eb="2">
      <t>コウジョウ</t>
    </rPh>
    <phoneticPr fontId="4"/>
  </si>
  <si>
    <t>敷地内増築。既存浄化槽近接。</t>
    <rPh sb="0" eb="2">
      <t>シキチ</t>
    </rPh>
    <rPh sb="2" eb="3">
      <t>ナイ</t>
    </rPh>
    <rPh sb="3" eb="5">
      <t>ゾウチク</t>
    </rPh>
    <rPh sb="6" eb="8">
      <t>キソン</t>
    </rPh>
    <rPh sb="8" eb="10">
      <t>ジョウカ</t>
    </rPh>
    <rPh sb="10" eb="11">
      <t>ソウ</t>
    </rPh>
    <rPh sb="11" eb="13">
      <t>キンセツ</t>
    </rPh>
    <phoneticPr fontId="4"/>
  </si>
  <si>
    <t>財団法人 熊本建築構造評価センター</t>
    <phoneticPr fontId="4"/>
  </si>
  <si>
    <t>-</t>
    <phoneticPr fontId="4"/>
  </si>
  <si>
    <t>埋土</t>
    <rPh sb="0" eb="1">
      <t>ウ</t>
    </rPh>
    <rPh sb="1" eb="2">
      <t>ド</t>
    </rPh>
    <phoneticPr fontId="4"/>
  </si>
  <si>
    <t>砂質ｼﾙﾄ</t>
    <rPh sb="0" eb="1">
      <t>スナ</t>
    </rPh>
    <rPh sb="1" eb="2">
      <t>シツ</t>
    </rPh>
    <phoneticPr fontId="4"/>
  </si>
  <si>
    <t>13m</t>
    <phoneticPr fontId="4"/>
  </si>
  <si>
    <t>5m</t>
    <phoneticPr fontId="4"/>
  </si>
  <si>
    <t>2m</t>
    <phoneticPr fontId="4"/>
  </si>
  <si>
    <t>財団法人 沖縄県建設技術センター</t>
    <phoneticPr fontId="4"/>
  </si>
  <si>
    <t>粘土混じり砂</t>
    <rPh sb="0" eb="2">
      <t>ネンド</t>
    </rPh>
    <rPh sb="2" eb="3">
      <t>マ</t>
    </rPh>
    <rPh sb="5" eb="6">
      <t>スナ</t>
    </rPh>
    <phoneticPr fontId="4"/>
  </si>
  <si>
    <t>礫混じり粘土質砂</t>
    <rPh sb="0" eb="1">
      <t>レキ</t>
    </rPh>
    <rPh sb="1" eb="2">
      <t>マ</t>
    </rPh>
    <rPh sb="4" eb="6">
      <t>ネンド</t>
    </rPh>
    <rPh sb="6" eb="7">
      <t>シツ</t>
    </rPh>
    <rPh sb="7" eb="8">
      <t>スナ</t>
    </rPh>
    <phoneticPr fontId="4"/>
  </si>
  <si>
    <t>10m</t>
    <phoneticPr fontId="4"/>
  </si>
  <si>
    <t>ｼﾙﾄ</t>
    <phoneticPr fontId="4"/>
  </si>
  <si>
    <t>2m</t>
    <phoneticPr fontId="4"/>
  </si>
  <si>
    <t>1m</t>
    <phoneticPr fontId="4"/>
  </si>
  <si>
    <t>-</t>
    <phoneticPr fontId="4"/>
  </si>
  <si>
    <t>-</t>
    <phoneticPr fontId="4"/>
  </si>
  <si>
    <t>東京都</t>
    <rPh sb="0" eb="3">
      <t>トウキョウト</t>
    </rPh>
    <phoneticPr fontId="4"/>
  </si>
  <si>
    <t>八王子市</t>
    <rPh sb="0" eb="4">
      <t>ハチオウジシ</t>
    </rPh>
    <phoneticPr fontId="4"/>
  </si>
  <si>
    <t>別所</t>
    <rPh sb="0" eb="2">
      <t>ベッショ</t>
    </rPh>
    <phoneticPr fontId="4"/>
  </si>
  <si>
    <t>○</t>
    <phoneticPr fontId="4"/>
  </si>
  <si>
    <t>1m</t>
    <phoneticPr fontId="4"/>
  </si>
  <si>
    <t>ｼﾙﾄ</t>
    <phoneticPr fontId="4"/>
  </si>
  <si>
    <t>-</t>
    <phoneticPr fontId="4"/>
  </si>
  <si>
    <t>-</t>
    <phoneticPr fontId="4"/>
  </si>
  <si>
    <t>1m</t>
    <phoneticPr fontId="4"/>
  </si>
  <si>
    <t>ｼﾙﾄ質砂</t>
    <rPh sb="3" eb="4">
      <t>シツ</t>
    </rPh>
    <rPh sb="4" eb="5">
      <t>スナ</t>
    </rPh>
    <phoneticPr fontId="4"/>
  </si>
  <si>
    <t>ｼﾙﾄ質砂(腐植物含む)</t>
    <rPh sb="3" eb="4">
      <t>シツ</t>
    </rPh>
    <rPh sb="4" eb="5">
      <t>スナ</t>
    </rPh>
    <rPh sb="6" eb="8">
      <t>フショク</t>
    </rPh>
    <rPh sb="8" eb="9">
      <t>ブツ</t>
    </rPh>
    <rPh sb="9" eb="10">
      <t>フク</t>
    </rPh>
    <phoneticPr fontId="4"/>
  </si>
  <si>
    <t>工場</t>
    <rPh sb="0" eb="2">
      <t>コウジョウ</t>
    </rPh>
    <phoneticPr fontId="4"/>
  </si>
  <si>
    <t>1.04(建物荷重で正規圧密)</t>
    <rPh sb="5" eb="7">
      <t>タテモノ</t>
    </rPh>
    <rPh sb="7" eb="9">
      <t>カジュウ</t>
    </rPh>
    <rPh sb="10" eb="12">
      <t>セイキ</t>
    </rPh>
    <rPh sb="12" eb="13">
      <t>アツ</t>
    </rPh>
    <rPh sb="13" eb="14">
      <t>ミツ</t>
    </rPh>
    <phoneticPr fontId="4"/>
  </si>
  <si>
    <t>砂質ｼﾙﾄ</t>
    <rPh sb="0" eb="1">
      <t>スナ</t>
    </rPh>
    <rPh sb="1" eb="2">
      <t>シツ</t>
    </rPh>
    <phoneticPr fontId="4"/>
  </si>
  <si>
    <t>砂</t>
    <rPh sb="0" eb="1">
      <t>スナ</t>
    </rPh>
    <phoneticPr fontId="4"/>
  </si>
  <si>
    <t>3m</t>
    <phoneticPr fontId="4"/>
  </si>
  <si>
    <t>ｼﾙﾄ</t>
    <phoneticPr fontId="4"/>
  </si>
  <si>
    <t>7m</t>
    <phoneticPr fontId="4"/>
  </si>
  <si>
    <t>4m</t>
    <phoneticPr fontId="4"/>
  </si>
  <si>
    <t>-</t>
    <phoneticPr fontId="4"/>
  </si>
  <si>
    <t>-</t>
    <phoneticPr fontId="4"/>
  </si>
  <si>
    <t>元気市場たかはし元木</t>
    <rPh sb="0" eb="2">
      <t>ゲンキ</t>
    </rPh>
    <rPh sb="2" eb="4">
      <t>イチバ</t>
    </rPh>
    <rPh sb="8" eb="9">
      <t>モト</t>
    </rPh>
    <rPh sb="9" eb="10">
      <t>キ</t>
    </rPh>
    <phoneticPr fontId="4"/>
  </si>
  <si>
    <t>山形県</t>
    <phoneticPr fontId="4"/>
  </si>
  <si>
    <t>山形市</t>
    <rPh sb="0" eb="3">
      <t>ヤマガタシ</t>
    </rPh>
    <phoneticPr fontId="4"/>
  </si>
  <si>
    <t>元木</t>
    <rPh sb="0" eb="1">
      <t>モト</t>
    </rPh>
    <rPh sb="1" eb="2">
      <t>キ</t>
    </rPh>
    <phoneticPr fontId="4"/>
  </si>
  <si>
    <t>スギ薬局 練馬豊玉</t>
    <rPh sb="5" eb="7">
      <t>ネリマ</t>
    </rPh>
    <rPh sb="7" eb="8">
      <t>トヨ</t>
    </rPh>
    <rPh sb="8" eb="9">
      <t>タマ</t>
    </rPh>
    <phoneticPr fontId="4"/>
  </si>
  <si>
    <t>スギ薬局 八王子別所</t>
    <rPh sb="2" eb="4">
      <t>ヤッキョク</t>
    </rPh>
    <rPh sb="5" eb="8">
      <t>ハチオウジ</t>
    </rPh>
    <rPh sb="8" eb="10">
      <t>ベッショ</t>
    </rPh>
    <phoneticPr fontId="4"/>
  </si>
  <si>
    <t>練馬区</t>
    <rPh sb="0" eb="3">
      <t>ネリマク</t>
    </rPh>
    <phoneticPr fontId="4"/>
  </si>
  <si>
    <t>豊玉北</t>
    <rPh sb="0" eb="3">
      <t>トヨタマキタ</t>
    </rPh>
    <phoneticPr fontId="4"/>
  </si>
  <si>
    <t>山名
ユイ</t>
    <rPh sb="0" eb="2">
      <t>ヤマナ</t>
    </rPh>
    <phoneticPr fontId="4"/>
  </si>
  <si>
    <t>K幼保連携型認定こども園</t>
    <rPh sb="1" eb="2">
      <t>ヨウ</t>
    </rPh>
    <rPh sb="2" eb="3">
      <t>タモツ</t>
    </rPh>
    <rPh sb="3" eb="6">
      <t>レンケイガタ</t>
    </rPh>
    <rPh sb="6" eb="8">
      <t>ニンテイ</t>
    </rPh>
    <rPh sb="11" eb="12">
      <t>エン</t>
    </rPh>
    <phoneticPr fontId="4"/>
  </si>
  <si>
    <t>広島市</t>
    <phoneticPr fontId="4"/>
  </si>
  <si>
    <t>佐伯区五日市</t>
    <rPh sb="0" eb="3">
      <t>サエキク</t>
    </rPh>
    <rPh sb="3" eb="6">
      <t>イツカイチ</t>
    </rPh>
    <phoneticPr fontId="4"/>
  </si>
  <si>
    <t>認定こども園</t>
    <rPh sb="0" eb="2">
      <t>ニンテイ</t>
    </rPh>
    <rPh sb="5" eb="6">
      <t>エン</t>
    </rPh>
    <phoneticPr fontId="4"/>
  </si>
  <si>
    <t>2</t>
    <phoneticPr fontId="4"/>
  </si>
  <si>
    <t>盛土・砂</t>
    <rPh sb="0" eb="1">
      <t>モリ</t>
    </rPh>
    <rPh sb="1" eb="2">
      <t>ド</t>
    </rPh>
    <rPh sb="3" eb="4">
      <t>スナ</t>
    </rPh>
    <phoneticPr fontId="4"/>
  </si>
  <si>
    <t>盛土</t>
    <rPh sb="0" eb="1">
      <t>モリ</t>
    </rPh>
    <rPh sb="1" eb="2">
      <t>ド</t>
    </rPh>
    <phoneticPr fontId="4"/>
  </si>
  <si>
    <t>1m</t>
    <phoneticPr fontId="4"/>
  </si>
  <si>
    <t>砂質粘土</t>
    <rPh sb="0" eb="1">
      <t>スナ</t>
    </rPh>
    <rPh sb="1" eb="2">
      <t>シツ</t>
    </rPh>
    <rPh sb="2" eb="4">
      <t>ネンド</t>
    </rPh>
    <phoneticPr fontId="4"/>
  </si>
  <si>
    <t>-</t>
    <phoneticPr fontId="4"/>
  </si>
  <si>
    <t>ｼﾙﾄ質砂(腐植物多く混入)</t>
    <rPh sb="3" eb="4">
      <t>シツ</t>
    </rPh>
    <rPh sb="4" eb="5">
      <t>スナ</t>
    </rPh>
    <rPh sb="6" eb="8">
      <t>フショク</t>
    </rPh>
    <rPh sb="8" eb="9">
      <t>ブツ</t>
    </rPh>
    <rPh sb="9" eb="10">
      <t>オオ</t>
    </rPh>
    <rPh sb="11" eb="13">
      <t>コンニュウ</t>
    </rPh>
    <phoneticPr fontId="4"/>
  </si>
  <si>
    <t>砂質ｼﾙﾄ(腐植物少量)</t>
    <rPh sb="0" eb="1">
      <t>スナ</t>
    </rPh>
    <rPh sb="1" eb="2">
      <t>シツ</t>
    </rPh>
    <phoneticPr fontId="4"/>
  </si>
  <si>
    <t>空地・畑</t>
    <rPh sb="0" eb="2">
      <t>クウチ</t>
    </rPh>
    <rPh sb="3" eb="4">
      <t>ハタケ</t>
    </rPh>
    <phoneticPr fontId="4"/>
  </si>
  <si>
    <t>2019.05.20計画中止の為、失注。</t>
    <phoneticPr fontId="4"/>
  </si>
  <si>
    <t>有限会社 餘野木建築設計事務所</t>
    <rPh sb="0" eb="2">
      <t>ユウゲン</t>
    </rPh>
    <rPh sb="2" eb="4">
      <t>カイシャ</t>
    </rPh>
    <phoneticPr fontId="4"/>
  </si>
  <si>
    <t>有限会社 餘野木建築設計事務所</t>
    <phoneticPr fontId="4"/>
  </si>
  <si>
    <t>ユウゲンガイシャ ヨノキケンチクセッケイジムショ</t>
    <phoneticPr fontId="4"/>
  </si>
  <si>
    <t>株式会社 吉光組</t>
    <phoneticPr fontId="4"/>
  </si>
  <si>
    <t>カブシキガイシャ ヨシミツグミ</t>
    <phoneticPr fontId="4"/>
  </si>
  <si>
    <t>敷地内 増築工事。水路近接。</t>
    <rPh sb="0" eb="2">
      <t>シキチ</t>
    </rPh>
    <rPh sb="2" eb="3">
      <t>ナイ</t>
    </rPh>
    <rPh sb="4" eb="6">
      <t>ゾウチク</t>
    </rPh>
    <rPh sb="6" eb="8">
      <t>コウジ</t>
    </rPh>
    <rPh sb="9" eb="11">
      <t>スイロ</t>
    </rPh>
    <rPh sb="11" eb="13">
      <t>キンセツ</t>
    </rPh>
    <phoneticPr fontId="4"/>
  </si>
  <si>
    <t>Audi青森ショールーム</t>
    <rPh sb="4" eb="6">
      <t>アオモリ</t>
    </rPh>
    <phoneticPr fontId="4"/>
  </si>
  <si>
    <t>青森市</t>
    <phoneticPr fontId="4"/>
  </si>
  <si>
    <t>一級建築士事務所 Mkozo</t>
    <phoneticPr fontId="4"/>
  </si>
  <si>
    <t>一級建築士事務所 Mkozo</t>
    <phoneticPr fontId="4"/>
  </si>
  <si>
    <t>K・アーキテクツ</t>
    <phoneticPr fontId="4"/>
  </si>
  <si>
    <t>確認
申請
提出日</t>
    <phoneticPr fontId="4"/>
  </si>
  <si>
    <t>着工
時期
(予定)</t>
    <phoneticPr fontId="4"/>
  </si>
  <si>
    <t>物件名</t>
    <phoneticPr fontId="4"/>
  </si>
  <si>
    <t>確認
申請
提出日</t>
    <phoneticPr fontId="4"/>
  </si>
  <si>
    <t>着工
時期
(予定)</t>
    <phoneticPr fontId="4"/>
  </si>
  <si>
    <t>着工</t>
    <rPh sb="0" eb="2">
      <t>チャッコウ</t>
    </rPh>
    <phoneticPr fontId="4"/>
  </si>
  <si>
    <t>財団法人 福岡県建築住宅センター</t>
    <phoneticPr fontId="4"/>
  </si>
  <si>
    <t>株式会社 国際確認検査センター</t>
    <phoneticPr fontId="4"/>
  </si>
  <si>
    <t>2</t>
    <phoneticPr fontId="4"/>
  </si>
  <si>
    <t>盛土</t>
    <rPh sb="0" eb="1">
      <t>モリ</t>
    </rPh>
    <rPh sb="1" eb="2">
      <t>ド</t>
    </rPh>
    <phoneticPr fontId="4"/>
  </si>
  <si>
    <t>○</t>
    <phoneticPr fontId="4"/>
  </si>
  <si>
    <t>1m</t>
    <phoneticPr fontId="4"/>
  </si>
  <si>
    <t>砂混じりｼﾙﾄ</t>
    <rPh sb="0" eb="1">
      <t>スナ</t>
    </rPh>
    <rPh sb="1" eb="2">
      <t>マ</t>
    </rPh>
    <phoneticPr fontId="4"/>
  </si>
  <si>
    <t>-</t>
    <phoneticPr fontId="4"/>
  </si>
  <si>
    <t>-</t>
    <phoneticPr fontId="4"/>
  </si>
  <si>
    <t>2m</t>
    <phoneticPr fontId="4"/>
  </si>
  <si>
    <t>ｼﾙﾄ質砂</t>
    <rPh sb="3" eb="4">
      <t>シツ</t>
    </rPh>
    <rPh sb="4" eb="5">
      <t>スナ</t>
    </rPh>
    <phoneticPr fontId="4"/>
  </si>
  <si>
    <t>3m</t>
    <phoneticPr fontId="4"/>
  </si>
  <si>
    <t>有機物混じりｼﾙﾄ</t>
    <rPh sb="0" eb="3">
      <t>ユウキブツ</t>
    </rPh>
    <rPh sb="3" eb="4">
      <t>マ</t>
    </rPh>
    <phoneticPr fontId="4"/>
  </si>
  <si>
    <t>敷地高低差2.2m</t>
    <rPh sb="0" eb="2">
      <t>シキチ</t>
    </rPh>
    <rPh sb="2" eb="4">
      <t>コウテイ</t>
    </rPh>
    <rPh sb="4" eb="5">
      <t>サ</t>
    </rPh>
    <phoneticPr fontId="4"/>
  </si>
  <si>
    <t>水路近接。海に近い。</t>
    <rPh sb="0" eb="2">
      <t>スイロ</t>
    </rPh>
    <rPh sb="2" eb="4">
      <t>キンセツ</t>
    </rPh>
    <rPh sb="5" eb="6">
      <t>ウミ</t>
    </rPh>
    <rPh sb="7" eb="8">
      <t>チカ</t>
    </rPh>
    <phoneticPr fontId="4"/>
  </si>
  <si>
    <t>3,1-2</t>
    <phoneticPr fontId="4"/>
  </si>
  <si>
    <t>株式会社 a.s.t atelier</t>
    <phoneticPr fontId="4"/>
  </si>
  <si>
    <t>盛土</t>
    <rPh sb="0" eb="1">
      <t>モリ</t>
    </rPh>
    <rPh sb="1" eb="2">
      <t>ド</t>
    </rPh>
    <phoneticPr fontId="4"/>
  </si>
  <si>
    <t>ﾛｰﾑ</t>
    <phoneticPr fontId="4"/>
  </si>
  <si>
    <t>2m</t>
    <phoneticPr fontId="4"/>
  </si>
  <si>
    <t>凝灰質砂質ｼﾙﾄ</t>
    <rPh sb="0" eb="1">
      <t>ギョウ</t>
    </rPh>
    <rPh sb="1" eb="2">
      <t>ハイ</t>
    </rPh>
    <rPh sb="2" eb="3">
      <t>シツ</t>
    </rPh>
    <rPh sb="3" eb="4">
      <t>スナ</t>
    </rPh>
    <rPh sb="4" eb="5">
      <t>シツ</t>
    </rPh>
    <phoneticPr fontId="4"/>
  </si>
  <si>
    <t>5m</t>
    <phoneticPr fontId="4"/>
  </si>
  <si>
    <t>1m</t>
    <phoneticPr fontId="4"/>
  </si>
  <si>
    <t>凝灰質ﾛｰﾑ(有機物混入)</t>
    <rPh sb="0" eb="1">
      <t>ギョウ</t>
    </rPh>
    <rPh sb="1" eb="2">
      <t>ハイ</t>
    </rPh>
    <rPh sb="2" eb="3">
      <t>シツ</t>
    </rPh>
    <rPh sb="7" eb="10">
      <t>ユウキブツ</t>
    </rPh>
    <rPh sb="10" eb="12">
      <t>コンニュウ</t>
    </rPh>
    <phoneticPr fontId="4"/>
  </si>
  <si>
    <t>3棟。敷地内貯留浸透槽は別工法。</t>
    <rPh sb="1" eb="2">
      <t>トウ</t>
    </rPh>
    <rPh sb="3" eb="5">
      <t>シキチ</t>
    </rPh>
    <rPh sb="5" eb="6">
      <t>ナイ</t>
    </rPh>
    <rPh sb="6" eb="8">
      <t>チョリュウ</t>
    </rPh>
    <rPh sb="8" eb="10">
      <t>シントウ</t>
    </rPh>
    <rPh sb="10" eb="11">
      <t>ソウ</t>
    </rPh>
    <rPh sb="12" eb="13">
      <t>ベツ</t>
    </rPh>
    <rPh sb="13" eb="15">
      <t>コウホウ</t>
    </rPh>
    <phoneticPr fontId="4"/>
  </si>
  <si>
    <t>申請</t>
    <rPh sb="0" eb="2">
      <t>シンセイ</t>
    </rPh>
    <phoneticPr fontId="4"/>
  </si>
  <si>
    <t>TPかねひで東江市場</t>
    <rPh sb="6" eb="7">
      <t>ヒガシ</t>
    </rPh>
    <rPh sb="7" eb="8">
      <t>エ</t>
    </rPh>
    <rPh sb="8" eb="10">
      <t>イチバ</t>
    </rPh>
    <phoneticPr fontId="4"/>
  </si>
  <si>
    <t>沖縄県</t>
    <rPh sb="0" eb="3">
      <t>オキナワケン</t>
    </rPh>
    <phoneticPr fontId="4"/>
  </si>
  <si>
    <t>名護市</t>
    <rPh sb="0" eb="2">
      <t>ナゴ</t>
    </rPh>
    <rPh sb="2" eb="3">
      <t>シ</t>
    </rPh>
    <phoneticPr fontId="4"/>
  </si>
  <si>
    <t>東江</t>
    <rPh sb="0" eb="1">
      <t>ヒガシ</t>
    </rPh>
    <rPh sb="1" eb="2">
      <t>エ</t>
    </rPh>
    <phoneticPr fontId="4"/>
  </si>
  <si>
    <t>申請</t>
    <rPh sb="0" eb="2">
      <t>シンセイ</t>
    </rPh>
    <phoneticPr fontId="4"/>
  </si>
  <si>
    <t>　 申請</t>
    <rPh sb="2" eb="4">
      <t>シンセイ</t>
    </rPh>
    <phoneticPr fontId="4"/>
  </si>
  <si>
    <t>着工</t>
    <rPh sb="0" eb="2">
      <t>チャッコウ</t>
    </rPh>
    <phoneticPr fontId="4"/>
  </si>
  <si>
    <t>友納</t>
    <rPh sb="0" eb="1">
      <t>トモ</t>
    </rPh>
    <rPh sb="1" eb="2">
      <t>ノウ</t>
    </rPh>
    <phoneticPr fontId="4"/>
  </si>
  <si>
    <t>鹿児島市</t>
    <rPh sb="0" eb="4">
      <t>カゴシマシ</t>
    </rPh>
    <phoneticPr fontId="4"/>
  </si>
  <si>
    <t>富山県</t>
    <rPh sb="0" eb="3">
      <t>トヤマケン</t>
    </rPh>
    <phoneticPr fontId="4"/>
  </si>
  <si>
    <t>高岡市</t>
    <rPh sb="0" eb="3">
      <t>タカオカシ</t>
    </rPh>
    <phoneticPr fontId="4"/>
  </si>
  <si>
    <t>米島</t>
    <rPh sb="0" eb="1">
      <t>コメ</t>
    </rPh>
    <rPh sb="1" eb="2">
      <t>シマ</t>
    </rPh>
    <phoneticPr fontId="4"/>
  </si>
  <si>
    <t>中越エコプロダクツ MAPKA製造工場</t>
    <rPh sb="0" eb="2">
      <t>チュウエツ</t>
    </rPh>
    <rPh sb="15" eb="17">
      <t>セイゾウ</t>
    </rPh>
    <rPh sb="17" eb="19">
      <t>コウジョウ</t>
    </rPh>
    <phoneticPr fontId="4"/>
  </si>
  <si>
    <t>株式会社 植木組</t>
    <phoneticPr fontId="4"/>
  </si>
  <si>
    <t>高橋ふとん大松</t>
    <rPh sb="0" eb="1">
      <t>タカ</t>
    </rPh>
    <rPh sb="1" eb="2">
      <t>ハシ</t>
    </rPh>
    <rPh sb="5" eb="7">
      <t>オオマツ</t>
    </rPh>
    <phoneticPr fontId="4"/>
  </si>
  <si>
    <t>徳島市</t>
    <rPh sb="0" eb="2">
      <t>トクシマ</t>
    </rPh>
    <rPh sb="2" eb="3">
      <t>シ</t>
    </rPh>
    <phoneticPr fontId="4"/>
  </si>
  <si>
    <t>大松町西奥</t>
    <rPh sb="0" eb="2">
      <t>オオマツ</t>
    </rPh>
    <rPh sb="2" eb="3">
      <t>マチ</t>
    </rPh>
    <rPh sb="3" eb="4">
      <t>ニシ</t>
    </rPh>
    <rPh sb="4" eb="5">
      <t>オク</t>
    </rPh>
    <phoneticPr fontId="4"/>
  </si>
  <si>
    <t>良樹建築設計事務所</t>
    <rPh sb="0" eb="1">
      <t>ヨ</t>
    </rPh>
    <rPh sb="1" eb="2">
      <t>キ</t>
    </rPh>
    <rPh sb="2" eb="4">
      <t>ケンチク</t>
    </rPh>
    <rPh sb="4" eb="6">
      <t>セッケイ</t>
    </rPh>
    <rPh sb="6" eb="8">
      <t>ジム</t>
    </rPh>
    <rPh sb="8" eb="9">
      <t>ショ</t>
    </rPh>
    <phoneticPr fontId="4"/>
  </si>
  <si>
    <t>良樹建築設計事務所</t>
    <phoneticPr fontId="4"/>
  </si>
  <si>
    <t>株式会社 ティ・ティ・アール設計</t>
    <rPh sb="14" eb="16">
      <t>セッケイ</t>
    </rPh>
    <phoneticPr fontId="4"/>
  </si>
  <si>
    <t>3,1-2</t>
    <phoneticPr fontId="4"/>
  </si>
  <si>
    <t>砂質ｼﾙﾄ</t>
    <rPh sb="0" eb="1">
      <t>スナ</t>
    </rPh>
    <rPh sb="1" eb="2">
      <t>シツ</t>
    </rPh>
    <phoneticPr fontId="4"/>
  </si>
  <si>
    <t>-</t>
    <phoneticPr fontId="4"/>
  </si>
  <si>
    <t>1m</t>
    <phoneticPr fontId="4"/>
  </si>
  <si>
    <t>ｼﾙﾄ</t>
    <phoneticPr fontId="4"/>
  </si>
  <si>
    <t>3m</t>
    <phoneticPr fontId="4"/>
  </si>
  <si>
    <t>11m</t>
    <phoneticPr fontId="4"/>
  </si>
  <si>
    <t>1m</t>
    <phoneticPr fontId="4"/>
  </si>
  <si>
    <t>ｼﾙﾄ混じり砂</t>
    <rPh sb="3" eb="4">
      <t>マ</t>
    </rPh>
    <rPh sb="6" eb="7">
      <t>スナ</t>
    </rPh>
    <phoneticPr fontId="4"/>
  </si>
  <si>
    <t>ｼﾙﾄ(腐植物混入)</t>
    <rPh sb="4" eb="6">
      <t>フショク</t>
    </rPh>
    <rPh sb="6" eb="7">
      <t>ブツ</t>
    </rPh>
    <rPh sb="7" eb="9">
      <t>コンニュウ</t>
    </rPh>
    <phoneticPr fontId="4"/>
  </si>
  <si>
    <t>工場</t>
    <rPh sb="0" eb="2">
      <t>コウジョウ</t>
    </rPh>
    <phoneticPr fontId="4"/>
  </si>
  <si>
    <t>愛知県</t>
    <phoneticPr fontId="4"/>
  </si>
  <si>
    <t>豊田市</t>
    <phoneticPr fontId="4"/>
  </si>
  <si>
    <t>本地町</t>
    <phoneticPr fontId="4"/>
  </si>
  <si>
    <t>天野建築設計</t>
    <phoneticPr fontId="4"/>
  </si>
  <si>
    <t>天野建築設計</t>
    <phoneticPr fontId="4"/>
  </si>
  <si>
    <t>アマノケンチクセッケイ</t>
    <phoneticPr fontId="4"/>
  </si>
  <si>
    <t>和光技建 建築構造設計事務所</t>
    <phoneticPr fontId="4"/>
  </si>
  <si>
    <t>ワコウギケン ケンチクコウゾウセッケイジムショ</t>
    <phoneticPr fontId="4"/>
  </si>
  <si>
    <t>エア・リキード北名古屋水素ステーション</t>
    <phoneticPr fontId="4"/>
  </si>
  <si>
    <t>3m</t>
    <phoneticPr fontId="4"/>
  </si>
  <si>
    <t>火山灰質粘土</t>
    <rPh sb="0" eb="2">
      <t>カザン</t>
    </rPh>
    <rPh sb="2" eb="3">
      <t>ハイ</t>
    </rPh>
    <rPh sb="3" eb="4">
      <t>シツ</t>
    </rPh>
    <rPh sb="4" eb="6">
      <t>ネンド</t>
    </rPh>
    <phoneticPr fontId="4"/>
  </si>
  <si>
    <t>2m</t>
    <phoneticPr fontId="4"/>
  </si>
  <si>
    <t>埋土</t>
    <rPh sb="0" eb="1">
      <t>ウ</t>
    </rPh>
    <rPh sb="1" eb="2">
      <t>ド</t>
    </rPh>
    <phoneticPr fontId="4"/>
  </si>
  <si>
    <t>アウェイ建築評価ネット株式会社</t>
    <phoneticPr fontId="4"/>
  </si>
  <si>
    <t>日本ERI 株式会社(高知)</t>
    <rPh sb="11" eb="13">
      <t>コウチ</t>
    </rPh>
    <phoneticPr fontId="4"/>
  </si>
  <si>
    <t>申請</t>
    <rPh sb="0" eb="2">
      <t>シンセイ</t>
    </rPh>
    <phoneticPr fontId="4"/>
  </si>
  <si>
    <t>着工(仮)</t>
    <rPh sb="0" eb="2">
      <t>チャッコウ</t>
    </rPh>
    <rPh sb="3" eb="4">
      <t>カリ</t>
    </rPh>
    <phoneticPr fontId="4"/>
  </si>
  <si>
    <t>仮図</t>
    <rPh sb="0" eb="1">
      <t>カリ</t>
    </rPh>
    <rPh sb="1" eb="2">
      <t>ズ</t>
    </rPh>
    <phoneticPr fontId="4"/>
  </si>
  <si>
    <t>着工(37条申請)</t>
    <rPh sb="0" eb="2">
      <t>チャッコウ</t>
    </rPh>
    <rPh sb="5" eb="6">
      <t>ジョウ</t>
    </rPh>
    <rPh sb="6" eb="8">
      <t>シンセイ</t>
    </rPh>
    <phoneticPr fontId="4"/>
  </si>
  <si>
    <t>静岡県</t>
    <rPh sb="0" eb="3">
      <t>シズオカケン</t>
    </rPh>
    <phoneticPr fontId="4"/>
  </si>
  <si>
    <t>静岡市</t>
    <rPh sb="0" eb="3">
      <t>シズオカシ</t>
    </rPh>
    <phoneticPr fontId="4"/>
  </si>
  <si>
    <t>駿河区中吉田</t>
    <rPh sb="0" eb="3">
      <t>スルガク</t>
    </rPh>
    <rPh sb="3" eb="4">
      <t>ナカ</t>
    </rPh>
    <rPh sb="4" eb="6">
      <t>ヨシダ</t>
    </rPh>
    <phoneticPr fontId="4"/>
  </si>
  <si>
    <t>株式会社 河野設計東京</t>
  </si>
  <si>
    <t>株式会社 河野設計東京</t>
    <rPh sb="9" eb="11">
      <t>トウキョウ</t>
    </rPh>
    <phoneticPr fontId="4"/>
  </si>
  <si>
    <t>カブシキガイシャ コウノセッケイトウキョウ</t>
    <phoneticPr fontId="4"/>
  </si>
  <si>
    <t>KAZ設計室</t>
    <phoneticPr fontId="4"/>
  </si>
  <si>
    <t>KAZセッケイシツ</t>
    <phoneticPr fontId="4"/>
  </si>
  <si>
    <t>KAZ設計室</t>
    <phoneticPr fontId="4"/>
  </si>
  <si>
    <t>株式会社 ティ・ティ・アール設計</t>
    <phoneticPr fontId="4"/>
  </si>
  <si>
    <t>カブシキガイシャ ティ・ティ・アールセッケイ</t>
    <phoneticPr fontId="4"/>
  </si>
  <si>
    <t>協栄倉庫㈱F棟 危険物倉庫</t>
    <rPh sb="0" eb="5">
      <t>キョウエイソウコカブ</t>
    </rPh>
    <rPh sb="6" eb="7">
      <t>ムネ</t>
    </rPh>
    <rPh sb="8" eb="11">
      <t>キケンブツ</t>
    </rPh>
    <rPh sb="11" eb="13">
      <t>ソウコ</t>
    </rPh>
    <phoneticPr fontId="4"/>
  </si>
  <si>
    <t>埼玉県</t>
    <rPh sb="0" eb="3">
      <t>サイタマケン</t>
    </rPh>
    <phoneticPr fontId="4"/>
  </si>
  <si>
    <t>八潮市</t>
    <rPh sb="0" eb="3">
      <t>ヤシオシ</t>
    </rPh>
    <phoneticPr fontId="4"/>
  </si>
  <si>
    <t>木曽根</t>
    <rPh sb="0" eb="2">
      <t>キソ</t>
    </rPh>
    <rPh sb="2" eb="3">
      <t>ネ</t>
    </rPh>
    <phoneticPr fontId="4"/>
  </si>
  <si>
    <t>株式会社 蔵建築設計事務所</t>
    <phoneticPr fontId="4"/>
  </si>
  <si>
    <t>日鉄物産システム建築 株式会社</t>
    <phoneticPr fontId="4"/>
  </si>
  <si>
    <t>敷地内増築</t>
    <rPh sb="0" eb="2">
      <t>シキチ</t>
    </rPh>
    <rPh sb="2" eb="3">
      <t>ナイ</t>
    </rPh>
    <rPh sb="3" eb="5">
      <t>ゾウチク</t>
    </rPh>
    <phoneticPr fontId="4"/>
  </si>
  <si>
    <t>無添くら寿司 戸田駅前</t>
    <rPh sb="0" eb="1">
      <t>ム</t>
    </rPh>
    <rPh sb="1" eb="2">
      <t>ソウ</t>
    </rPh>
    <rPh sb="4" eb="6">
      <t>ズシ</t>
    </rPh>
    <rPh sb="7" eb="9">
      <t>トダ</t>
    </rPh>
    <rPh sb="9" eb="11">
      <t>エキマエ</t>
    </rPh>
    <phoneticPr fontId="4"/>
  </si>
  <si>
    <t>戸田市</t>
    <rPh sb="0" eb="3">
      <t>トダシ</t>
    </rPh>
    <phoneticPr fontId="4"/>
  </si>
  <si>
    <t>新曽</t>
    <rPh sb="0" eb="1">
      <t>シン</t>
    </rPh>
    <rPh sb="1" eb="2">
      <t>ソ</t>
    </rPh>
    <phoneticPr fontId="4"/>
  </si>
  <si>
    <t>駐車場・店舗</t>
    <rPh sb="0" eb="3">
      <t>チュウシャジョウ</t>
    </rPh>
    <rPh sb="4" eb="6">
      <t>テンポ</t>
    </rPh>
    <phoneticPr fontId="4"/>
  </si>
  <si>
    <t>アトリエA&amp;J</t>
    <phoneticPr fontId="4"/>
  </si>
  <si>
    <t>アトリエA&amp;J</t>
    <phoneticPr fontId="4"/>
  </si>
  <si>
    <t>株式会社 シグマ構建</t>
    <phoneticPr fontId="4"/>
  </si>
  <si>
    <t>2</t>
    <phoneticPr fontId="4"/>
  </si>
  <si>
    <t>粘土混じり砂礫</t>
    <rPh sb="0" eb="2">
      <t>ネンド</t>
    </rPh>
    <rPh sb="2" eb="3">
      <t>マ</t>
    </rPh>
    <rPh sb="5" eb="7">
      <t>サレキ</t>
    </rPh>
    <phoneticPr fontId="4"/>
  </si>
  <si>
    <t>6m</t>
    <phoneticPr fontId="4"/>
  </si>
  <si>
    <t>粘土質ｼﾙﾄ</t>
    <rPh sb="0" eb="2">
      <t>ネンド</t>
    </rPh>
    <rPh sb="2" eb="3">
      <t>シツ</t>
    </rPh>
    <phoneticPr fontId="4"/>
  </si>
  <si>
    <t>3m</t>
    <phoneticPr fontId="4"/>
  </si>
  <si>
    <t>ｼﾙﾄ質砂</t>
    <rPh sb="3" eb="4">
      <t>シツ</t>
    </rPh>
    <rPh sb="4" eb="5">
      <t>スナ</t>
    </rPh>
    <phoneticPr fontId="4"/>
  </si>
  <si>
    <t>8m</t>
    <phoneticPr fontId="4"/>
  </si>
  <si>
    <t>ｼﾙﾄ混じり砂</t>
    <rPh sb="3" eb="4">
      <t>マ</t>
    </rPh>
    <rPh sb="6" eb="7">
      <t>スナ</t>
    </rPh>
    <phoneticPr fontId="4"/>
  </si>
  <si>
    <t>-</t>
    <phoneticPr fontId="4"/>
  </si>
  <si>
    <t>-</t>
    <phoneticPr fontId="4"/>
  </si>
  <si>
    <t>大阪マツダ菱江(基本設計)</t>
    <rPh sb="0" eb="2">
      <t>オオサカ</t>
    </rPh>
    <rPh sb="5" eb="7">
      <t>ヒシエ</t>
    </rPh>
    <rPh sb="8" eb="10">
      <t>キホン</t>
    </rPh>
    <rPh sb="10" eb="12">
      <t>セッケイ</t>
    </rPh>
    <phoneticPr fontId="4"/>
  </si>
  <si>
    <t>大字八ツ役字矢作</t>
    <rPh sb="0" eb="2">
      <t>オオアザ</t>
    </rPh>
    <rPh sb="2" eb="3">
      <t>ハチ</t>
    </rPh>
    <rPh sb="4" eb="5">
      <t>ヤク</t>
    </rPh>
    <rPh sb="5" eb="6">
      <t>アザ</t>
    </rPh>
    <rPh sb="6" eb="8">
      <t>ヤハギ</t>
    </rPh>
    <phoneticPr fontId="4"/>
  </si>
  <si>
    <t>2</t>
    <phoneticPr fontId="4"/>
  </si>
  <si>
    <t>○
6m</t>
    <phoneticPr fontId="4"/>
  </si>
  <si>
    <t>細砂</t>
    <rPh sb="0" eb="1">
      <t>サイ</t>
    </rPh>
    <rPh sb="1" eb="2">
      <t>スナ</t>
    </rPh>
    <phoneticPr fontId="4"/>
  </si>
  <si>
    <t>ｼﾙﾄ</t>
    <phoneticPr fontId="4"/>
  </si>
  <si>
    <t>2m</t>
    <phoneticPr fontId="4"/>
  </si>
  <si>
    <t>7m</t>
    <phoneticPr fontId="4"/>
  </si>
  <si>
    <t>2m</t>
    <phoneticPr fontId="4"/>
  </si>
  <si>
    <t>ｼﾙﾄ混じり砂</t>
    <rPh sb="3" eb="4">
      <t>マ</t>
    </rPh>
    <rPh sb="6" eb="7">
      <t>スナ</t>
    </rPh>
    <phoneticPr fontId="4"/>
  </si>
  <si>
    <t>1m</t>
    <phoneticPr fontId="4"/>
  </si>
  <si>
    <t>浮石混じり砂</t>
    <rPh sb="0" eb="1">
      <t>ウ</t>
    </rPh>
    <rPh sb="1" eb="2">
      <t>イシ</t>
    </rPh>
    <rPh sb="2" eb="3">
      <t>マ</t>
    </rPh>
    <rPh sb="5" eb="6">
      <t>スナ</t>
    </rPh>
    <phoneticPr fontId="4"/>
  </si>
  <si>
    <t>ｼﾙﾄ(腐植物混入)</t>
    <rPh sb="4" eb="6">
      <t>フショク</t>
    </rPh>
    <rPh sb="6" eb="7">
      <t>ブツ</t>
    </rPh>
    <rPh sb="7" eb="9">
      <t>コンニュウ</t>
    </rPh>
    <phoneticPr fontId="4"/>
  </si>
  <si>
    <t>既存水路近接。隣地との高低差(800mm程度)あり</t>
    <rPh sb="0" eb="2">
      <t>キソン</t>
    </rPh>
    <rPh sb="2" eb="4">
      <t>スイロ</t>
    </rPh>
    <rPh sb="4" eb="6">
      <t>キンセツ</t>
    </rPh>
    <rPh sb="7" eb="9">
      <t>リンチ</t>
    </rPh>
    <rPh sb="11" eb="13">
      <t>コウテイ</t>
    </rPh>
    <rPh sb="13" eb="14">
      <t>サ</t>
    </rPh>
    <rPh sb="20" eb="22">
      <t>テイド</t>
    </rPh>
    <phoneticPr fontId="4"/>
  </si>
  <si>
    <t>ゲンキー羽昨大田</t>
    <rPh sb="4" eb="5">
      <t>ハネ</t>
    </rPh>
    <rPh sb="5" eb="6">
      <t>サク</t>
    </rPh>
    <rPh sb="6" eb="8">
      <t>オオタ</t>
    </rPh>
    <phoneticPr fontId="4"/>
  </si>
  <si>
    <t>直江北</t>
    <rPh sb="0" eb="2">
      <t>ナオエ</t>
    </rPh>
    <rPh sb="2" eb="3">
      <t>キタ</t>
    </rPh>
    <phoneticPr fontId="4"/>
  </si>
  <si>
    <t>入間郡</t>
    <rPh sb="0" eb="2">
      <t>イリマ</t>
    </rPh>
    <rPh sb="2" eb="3">
      <t>グン</t>
    </rPh>
    <phoneticPr fontId="4"/>
  </si>
  <si>
    <t>三芳町竹間沢</t>
    <rPh sb="0" eb="1">
      <t>サン</t>
    </rPh>
    <rPh sb="1" eb="2">
      <t>ホウ</t>
    </rPh>
    <rPh sb="2" eb="3">
      <t>マチ</t>
    </rPh>
    <rPh sb="3" eb="4">
      <t>タケ</t>
    </rPh>
    <rPh sb="4" eb="5">
      <t>マ</t>
    </rPh>
    <rPh sb="5" eb="6">
      <t>サワ</t>
    </rPh>
    <phoneticPr fontId="4"/>
  </si>
  <si>
    <t>沢建工業 株式会社</t>
    <phoneticPr fontId="4"/>
  </si>
  <si>
    <t>サワケンコウギョウ カブシキガイシャ</t>
    <phoneticPr fontId="4"/>
  </si>
  <si>
    <t>ウット</t>
    <phoneticPr fontId="4"/>
  </si>
  <si>
    <t>近藤</t>
    <rPh sb="0" eb="2">
      <t>コンドウ</t>
    </rPh>
    <phoneticPr fontId="4"/>
  </si>
  <si>
    <t>申請</t>
    <rPh sb="0" eb="2">
      <t>シンセイ</t>
    </rPh>
    <phoneticPr fontId="4"/>
  </si>
  <si>
    <t>着工</t>
    <rPh sb="0" eb="2">
      <t>チャッコウ</t>
    </rPh>
    <phoneticPr fontId="4"/>
  </si>
  <si>
    <t>松本建築設計事務所</t>
    <rPh sb="0" eb="2">
      <t>マツモト</t>
    </rPh>
    <rPh sb="2" eb="4">
      <t>ケンチク</t>
    </rPh>
    <rPh sb="4" eb="6">
      <t>セッケイ</t>
    </rPh>
    <rPh sb="6" eb="8">
      <t>ジム</t>
    </rPh>
    <rPh sb="8" eb="9">
      <t>ショ</t>
    </rPh>
    <phoneticPr fontId="4"/>
  </si>
  <si>
    <t>コンストラクションインベストメントマネジャーズ株式会社</t>
    <phoneticPr fontId="4"/>
  </si>
  <si>
    <t>松本建築設計事務所</t>
    <phoneticPr fontId="4"/>
  </si>
  <si>
    <t>コンストラクションインベストメントマネジャーズ株式会社</t>
    <phoneticPr fontId="4"/>
  </si>
  <si>
    <t>コンストラクションインベストメントマネジャーズカブシキガイシャ</t>
    <phoneticPr fontId="4"/>
  </si>
  <si>
    <t>マツモトケンチクセッケイジムショ</t>
    <phoneticPr fontId="4"/>
  </si>
  <si>
    <t>山名</t>
    <rPh sb="0" eb="2">
      <t>ヤマナ</t>
    </rPh>
    <phoneticPr fontId="4"/>
  </si>
  <si>
    <t>佐賀県</t>
    <phoneticPr fontId="4"/>
  </si>
  <si>
    <t>鶏舎</t>
    <rPh sb="0" eb="2">
      <t>ケイシャ</t>
    </rPh>
    <phoneticPr fontId="4"/>
  </si>
  <si>
    <t>着工</t>
    <rPh sb="0" eb="2">
      <t>チャッコウ</t>
    </rPh>
    <phoneticPr fontId="4"/>
  </si>
  <si>
    <t>北名古屋市</t>
    <phoneticPr fontId="4"/>
  </si>
  <si>
    <t>ﾃｨｰｱﾝﾄﾞﾋﾟｨｰ設計事務所</t>
    <phoneticPr fontId="4"/>
  </si>
  <si>
    <t>ﾃｨｰｱﾝﾄﾞﾋﾟｨｰ設計事務所</t>
    <phoneticPr fontId="4"/>
  </si>
  <si>
    <t>-</t>
    <phoneticPr fontId="4"/>
  </si>
  <si>
    <t>ユイ</t>
    <phoneticPr fontId="4"/>
  </si>
  <si>
    <t>埋文あり</t>
    <rPh sb="0" eb="1">
      <t>マイ</t>
    </rPh>
    <rPh sb="1" eb="2">
      <t>ブン</t>
    </rPh>
    <phoneticPr fontId="4"/>
  </si>
  <si>
    <t>ユウゲンガイシャ オオハタケンチクケンキュウショ</t>
    <phoneticPr fontId="4"/>
  </si>
  <si>
    <t>有限会社 オオハタ建築研究所</t>
    <phoneticPr fontId="4"/>
  </si>
  <si>
    <t>有限会社 オオハタ建築研究所</t>
    <rPh sb="0" eb="4">
      <t>ユウゲンガイシャ</t>
    </rPh>
    <rPh sb="9" eb="11">
      <t>ケンチク</t>
    </rPh>
    <rPh sb="11" eb="14">
      <t>ケンキュウショ</t>
    </rPh>
    <phoneticPr fontId="4"/>
  </si>
  <si>
    <t>引渡し</t>
    <rPh sb="0" eb="2">
      <t>ヒキワタ</t>
    </rPh>
    <phoneticPr fontId="4"/>
  </si>
  <si>
    <t>2020.2中旬 引渡し</t>
    <rPh sb="6" eb="8">
      <t>チュウジュン</t>
    </rPh>
    <rPh sb="9" eb="11">
      <t>ヒキワタ</t>
    </rPh>
    <phoneticPr fontId="4"/>
  </si>
  <si>
    <t>自動ラックあり。2棟。海に近い。2期工事での施工。</t>
    <rPh sb="0" eb="2">
      <t>ジドウ</t>
    </rPh>
    <rPh sb="9" eb="10">
      <t>トウ</t>
    </rPh>
    <rPh sb="11" eb="12">
      <t>ウミ</t>
    </rPh>
    <rPh sb="13" eb="14">
      <t>チカ</t>
    </rPh>
    <rPh sb="17" eb="18">
      <t>キ</t>
    </rPh>
    <rPh sb="18" eb="20">
      <t>コウジ</t>
    </rPh>
    <rPh sb="22" eb="24">
      <t>セコウ</t>
    </rPh>
    <phoneticPr fontId="4"/>
  </si>
  <si>
    <t>学校・住宅</t>
    <rPh sb="0" eb="2">
      <t>ガッコウ</t>
    </rPh>
    <rPh sb="3" eb="5">
      <t>ジュウタク</t>
    </rPh>
    <phoneticPr fontId="4"/>
  </si>
  <si>
    <t>株式会社 あい設計</t>
    <phoneticPr fontId="4"/>
  </si>
  <si>
    <t>呉市</t>
    <rPh sb="0" eb="2">
      <t>クレシ</t>
    </rPh>
    <phoneticPr fontId="4"/>
  </si>
  <si>
    <t>築地町</t>
    <rPh sb="0" eb="2">
      <t>ツキジ</t>
    </rPh>
    <rPh sb="2" eb="3">
      <t>マチ</t>
    </rPh>
    <phoneticPr fontId="4"/>
  </si>
  <si>
    <t>3</t>
    <phoneticPr fontId="4"/>
  </si>
  <si>
    <t>和光技建 建築構造設計事務所</t>
    <phoneticPr fontId="4"/>
  </si>
  <si>
    <t>粗中砂</t>
    <rPh sb="0" eb="1">
      <t>アラ</t>
    </rPh>
    <rPh sb="1" eb="2">
      <t>ナカ</t>
    </rPh>
    <rPh sb="2" eb="3">
      <t>スナ</t>
    </rPh>
    <phoneticPr fontId="4"/>
  </si>
  <si>
    <t>粘土</t>
    <rPh sb="0" eb="2">
      <t>ネンド</t>
    </rPh>
    <phoneticPr fontId="4"/>
  </si>
  <si>
    <t>2m</t>
    <phoneticPr fontId="4"/>
  </si>
  <si>
    <t>盛土・砂質ｼﾙﾄ</t>
    <rPh sb="0" eb="1">
      <t>モリ</t>
    </rPh>
    <rPh sb="1" eb="2">
      <t>ド</t>
    </rPh>
    <rPh sb="3" eb="4">
      <t>スナ</t>
    </rPh>
    <rPh sb="4" eb="5">
      <t>シツ</t>
    </rPh>
    <phoneticPr fontId="4"/>
  </si>
  <si>
    <t>砂質ｼﾙﾄ</t>
    <rPh sb="0" eb="1">
      <t>スナ</t>
    </rPh>
    <rPh sb="1" eb="2">
      <t>シツ</t>
    </rPh>
    <phoneticPr fontId="4"/>
  </si>
  <si>
    <t>2m</t>
    <phoneticPr fontId="4"/>
  </si>
  <si>
    <t>砂混り粘土</t>
    <rPh sb="0" eb="1">
      <t>スナ</t>
    </rPh>
    <rPh sb="1" eb="2">
      <t>マ</t>
    </rPh>
    <rPh sb="3" eb="5">
      <t>ネンド</t>
    </rPh>
    <phoneticPr fontId="4"/>
  </si>
  <si>
    <t>砂混じりｼﾙﾄ(腐植物混入)</t>
    <rPh sb="0" eb="1">
      <t>スナ</t>
    </rPh>
    <rPh sb="1" eb="2">
      <t>マ</t>
    </rPh>
    <rPh sb="8" eb="10">
      <t>フショク</t>
    </rPh>
    <rPh sb="10" eb="11">
      <t>ブツ</t>
    </rPh>
    <rPh sb="11" eb="13">
      <t>コンニュウ</t>
    </rPh>
    <phoneticPr fontId="4"/>
  </si>
  <si>
    <t>住宅</t>
    <rPh sb="0" eb="2">
      <t>ジュウタク</t>
    </rPh>
    <phoneticPr fontId="4"/>
  </si>
  <si>
    <t>2棟。37条申請。既存擁壁上に地盤改良計画。</t>
    <rPh sb="1" eb="2">
      <t>トウ</t>
    </rPh>
    <rPh sb="5" eb="6">
      <t>ジョウ</t>
    </rPh>
    <rPh sb="6" eb="8">
      <t>シンセイ</t>
    </rPh>
    <rPh sb="9" eb="11">
      <t>キソン</t>
    </rPh>
    <rPh sb="11" eb="12">
      <t>ヨウ</t>
    </rPh>
    <rPh sb="12" eb="13">
      <t>ヘキ</t>
    </rPh>
    <rPh sb="13" eb="14">
      <t>ウエ</t>
    </rPh>
    <rPh sb="15" eb="17">
      <t>ジバン</t>
    </rPh>
    <rPh sb="17" eb="19">
      <t>カイリョウ</t>
    </rPh>
    <rPh sb="19" eb="21">
      <t>ケイカク</t>
    </rPh>
    <phoneticPr fontId="4"/>
  </si>
  <si>
    <t>3</t>
    <phoneticPr fontId="4"/>
  </si>
  <si>
    <t>-</t>
    <phoneticPr fontId="4"/>
  </si>
  <si>
    <t>埋土</t>
    <rPh sb="0" eb="1">
      <t>ウ</t>
    </rPh>
    <rPh sb="1" eb="2">
      <t>ド</t>
    </rPh>
    <phoneticPr fontId="4"/>
  </si>
  <si>
    <t>ｼﾙﾄ混じり砂礫</t>
    <rPh sb="3" eb="4">
      <t>マ</t>
    </rPh>
    <rPh sb="6" eb="8">
      <t>サレキ</t>
    </rPh>
    <phoneticPr fontId="4"/>
  </si>
  <si>
    <t>2m</t>
    <phoneticPr fontId="4"/>
  </si>
  <si>
    <t>砂礫</t>
    <rPh sb="0" eb="2">
      <t>サレキ</t>
    </rPh>
    <phoneticPr fontId="4"/>
  </si>
  <si>
    <t>1m</t>
    <phoneticPr fontId="4"/>
  </si>
  <si>
    <t>圧密層無し</t>
    <rPh sb="0" eb="1">
      <t>アツ</t>
    </rPh>
    <rPh sb="1" eb="2">
      <t>ミツ</t>
    </rPh>
    <rPh sb="2" eb="3">
      <t>ソウ</t>
    </rPh>
    <rPh sb="3" eb="4">
      <t>ナ</t>
    </rPh>
    <phoneticPr fontId="4"/>
  </si>
  <si>
    <t>-</t>
    <phoneticPr fontId="4"/>
  </si>
  <si>
    <t>住宅</t>
    <rPh sb="0" eb="2">
      <t>ジュウタク</t>
    </rPh>
    <phoneticPr fontId="4"/>
  </si>
  <si>
    <t>海に近い。</t>
    <rPh sb="0" eb="1">
      <t>ウミ</t>
    </rPh>
    <rPh sb="2" eb="3">
      <t>チカ</t>
    </rPh>
    <phoneticPr fontId="4"/>
  </si>
  <si>
    <t>稚内市</t>
    <rPh sb="0" eb="2">
      <t>ワッカナイ</t>
    </rPh>
    <rPh sb="2" eb="3">
      <t>シ</t>
    </rPh>
    <phoneticPr fontId="4"/>
  </si>
  <si>
    <t>大黒</t>
    <rPh sb="0" eb="2">
      <t>ダイコク</t>
    </rPh>
    <phoneticPr fontId="4"/>
  </si>
  <si>
    <t>株式会社 坂井田建築設計事務所</t>
    <phoneticPr fontId="4"/>
  </si>
  <si>
    <t>株式会社 坂井田建築設計事務所</t>
    <phoneticPr fontId="4"/>
  </si>
  <si>
    <t>カブシキガイシャ サカイダケンチクセッケイジムショ</t>
    <phoneticPr fontId="4"/>
  </si>
  <si>
    <t>株式会社 TKアーキテクト</t>
    <rPh sb="0" eb="2">
      <t>カブシキ</t>
    </rPh>
    <rPh sb="2" eb="4">
      <t>カイシャ</t>
    </rPh>
    <phoneticPr fontId="4"/>
  </si>
  <si>
    <t>株式会社 TKアーキテクト</t>
    <phoneticPr fontId="4"/>
  </si>
  <si>
    <t>カブシキガイシャ TKアーキテクト</t>
    <phoneticPr fontId="4"/>
  </si>
  <si>
    <t>瓦葺</t>
    <rPh sb="0" eb="1">
      <t>カワラ</t>
    </rPh>
    <rPh sb="1" eb="2">
      <t>ブキ</t>
    </rPh>
    <phoneticPr fontId="4"/>
  </si>
  <si>
    <t>3</t>
    <phoneticPr fontId="4"/>
  </si>
  <si>
    <t>15.8
15.7</t>
    <phoneticPr fontId="4"/>
  </si>
  <si>
    <t>21.2
28.3</t>
    <phoneticPr fontId="4"/>
  </si>
  <si>
    <t>10.3
26.3</t>
    <phoneticPr fontId="4"/>
  </si>
  <si>
    <t>47.3
70.4</t>
    <phoneticPr fontId="4"/>
  </si>
  <si>
    <t>礫質土</t>
    <rPh sb="0" eb="1">
      <t>レキ</t>
    </rPh>
    <rPh sb="1" eb="2">
      <t>シツ</t>
    </rPh>
    <rPh sb="2" eb="3">
      <t>ド</t>
    </rPh>
    <phoneticPr fontId="4"/>
  </si>
  <si>
    <t>砂質ｼﾙﾄ</t>
    <rPh sb="0" eb="1">
      <t>スナ</t>
    </rPh>
    <rPh sb="1" eb="2">
      <t>シツ</t>
    </rPh>
    <phoneticPr fontId="4"/>
  </si>
  <si>
    <t>1m</t>
    <phoneticPr fontId="4"/>
  </si>
  <si>
    <t>有機質粘性土</t>
    <rPh sb="0" eb="3">
      <t>ユウキシツ</t>
    </rPh>
    <rPh sb="3" eb="5">
      <t>ネンセイ</t>
    </rPh>
    <rPh sb="5" eb="6">
      <t>ド</t>
    </rPh>
    <phoneticPr fontId="4"/>
  </si>
  <si>
    <t>住宅</t>
    <rPh sb="0" eb="2">
      <t>ジュウタク</t>
    </rPh>
    <phoneticPr fontId="4"/>
  </si>
  <si>
    <t>既存建物は今回建物建設後に解体</t>
    <rPh sb="0" eb="2">
      <t>キソン</t>
    </rPh>
    <rPh sb="2" eb="4">
      <t>タテモノ</t>
    </rPh>
    <rPh sb="5" eb="7">
      <t>コンカイ</t>
    </rPh>
    <rPh sb="7" eb="9">
      <t>タテモノ</t>
    </rPh>
    <rPh sb="9" eb="11">
      <t>ケンセツ</t>
    </rPh>
    <rPh sb="11" eb="12">
      <t>ゴ</t>
    </rPh>
    <rPh sb="13" eb="15">
      <t>カイタイ</t>
    </rPh>
    <phoneticPr fontId="4"/>
  </si>
  <si>
    <t>東方町倉庫</t>
    <rPh sb="0" eb="2">
      <t>トウホウ</t>
    </rPh>
    <rPh sb="2" eb="3">
      <t>マチ</t>
    </rPh>
    <rPh sb="3" eb="5">
      <t>ソウコ</t>
    </rPh>
    <phoneticPr fontId="4"/>
  </si>
  <si>
    <t>横浜市</t>
    <phoneticPr fontId="4"/>
  </si>
  <si>
    <t>都筑区東方町</t>
    <rPh sb="0" eb="1">
      <t>ト</t>
    </rPh>
    <rPh sb="1" eb="2">
      <t>チク</t>
    </rPh>
    <rPh sb="2" eb="3">
      <t>ク</t>
    </rPh>
    <rPh sb="3" eb="6">
      <t>ヒガシガタチョウ</t>
    </rPh>
    <phoneticPr fontId="4"/>
  </si>
  <si>
    <t>田中土建工業 株式会社</t>
    <rPh sb="0" eb="2">
      <t>タナカ</t>
    </rPh>
    <rPh sb="2" eb="4">
      <t>ドケン</t>
    </rPh>
    <rPh sb="4" eb="6">
      <t>コウギョウ</t>
    </rPh>
    <rPh sb="7" eb="9">
      <t>カブシキ</t>
    </rPh>
    <rPh sb="9" eb="11">
      <t>カイシャ</t>
    </rPh>
    <phoneticPr fontId="4"/>
  </si>
  <si>
    <t>田中土建工業 株式会社</t>
    <phoneticPr fontId="4"/>
  </si>
  <si>
    <t>タナカドケンコウギョウ カブシキガイシャ</t>
    <phoneticPr fontId="4"/>
  </si>
  <si>
    <t>カインズ羽生</t>
    <rPh sb="4" eb="5">
      <t>ハネ</t>
    </rPh>
    <rPh sb="5" eb="6">
      <t>イ</t>
    </rPh>
    <phoneticPr fontId="4"/>
  </si>
  <si>
    <t>羽生市</t>
    <rPh sb="0" eb="2">
      <t>ハニュウ</t>
    </rPh>
    <rPh sb="2" eb="3">
      <t>シ</t>
    </rPh>
    <phoneticPr fontId="4"/>
  </si>
  <si>
    <t>岩瀬</t>
    <rPh sb="0" eb="2">
      <t>イワセ</t>
    </rPh>
    <phoneticPr fontId="4"/>
  </si>
  <si>
    <t>財団法人 山口県建築住宅センター</t>
    <phoneticPr fontId="4"/>
  </si>
  <si>
    <t>財団法人 静岡県建築住宅まちづくりセンター</t>
    <phoneticPr fontId="4"/>
  </si>
  <si>
    <t>東松浦郡</t>
    <phoneticPr fontId="4"/>
  </si>
  <si>
    <t>玄海町</t>
    <phoneticPr fontId="4"/>
  </si>
  <si>
    <t>申請</t>
    <rPh sb="0" eb="2">
      <t>シンセイ</t>
    </rPh>
    <phoneticPr fontId="4"/>
  </si>
  <si>
    <t>-</t>
    <phoneticPr fontId="4"/>
  </si>
  <si>
    <t>○</t>
    <phoneticPr fontId="4"/>
  </si>
  <si>
    <t>ｼﾙﾄ(腐植物混入)</t>
    <rPh sb="4" eb="6">
      <t>フショク</t>
    </rPh>
    <rPh sb="6" eb="7">
      <t>ブツ</t>
    </rPh>
    <rPh sb="7" eb="9">
      <t>コンニュウ</t>
    </rPh>
    <phoneticPr fontId="4"/>
  </si>
  <si>
    <t>砂</t>
    <rPh sb="0" eb="1">
      <t>スナ</t>
    </rPh>
    <phoneticPr fontId="4"/>
  </si>
  <si>
    <t>1m</t>
    <phoneticPr fontId="4"/>
  </si>
  <si>
    <t>-</t>
    <phoneticPr fontId="4"/>
  </si>
  <si>
    <t>ｼﾙﾄ</t>
    <phoneticPr fontId="4"/>
  </si>
  <si>
    <t>5m</t>
    <phoneticPr fontId="4"/>
  </si>
  <si>
    <t>ｼﾙﾄ</t>
    <phoneticPr fontId="4"/>
  </si>
  <si>
    <t>1m</t>
    <phoneticPr fontId="4"/>
  </si>
  <si>
    <t>○</t>
    <phoneticPr fontId="4"/>
  </si>
  <si>
    <t>-</t>
    <phoneticPr fontId="4"/>
  </si>
  <si>
    <t>盛土</t>
    <rPh sb="0" eb="1">
      <t>モリ</t>
    </rPh>
    <rPh sb="1" eb="2">
      <t>ド</t>
    </rPh>
    <phoneticPr fontId="4"/>
  </si>
  <si>
    <t>2</t>
    <phoneticPr fontId="4"/>
  </si>
  <si>
    <t>平屋建</t>
    <phoneticPr fontId="4"/>
  </si>
  <si>
    <t>S造</t>
    <phoneticPr fontId="4"/>
  </si>
  <si>
    <t>見積図</t>
    <rPh sb="0" eb="2">
      <t>ミツモリ</t>
    </rPh>
    <rPh sb="2" eb="3">
      <t>ズ</t>
    </rPh>
    <phoneticPr fontId="4"/>
  </si>
  <si>
    <t>3</t>
    <phoneticPr fontId="4"/>
  </si>
  <si>
    <t>埋土</t>
    <rPh sb="0" eb="1">
      <t>ウ</t>
    </rPh>
    <rPh sb="1" eb="2">
      <t>ド</t>
    </rPh>
    <phoneticPr fontId="4"/>
  </si>
  <si>
    <t>7m</t>
    <phoneticPr fontId="4"/>
  </si>
  <si>
    <t>ｼﾙﾄ</t>
    <phoneticPr fontId="4"/>
  </si>
  <si>
    <t>4m</t>
    <phoneticPr fontId="4"/>
  </si>
  <si>
    <t>砂質ｼﾙﾄ</t>
    <rPh sb="0" eb="1">
      <t>スナ</t>
    </rPh>
    <rPh sb="1" eb="2">
      <t>シツ</t>
    </rPh>
    <phoneticPr fontId="4"/>
  </si>
  <si>
    <t>3m</t>
    <phoneticPr fontId="4"/>
  </si>
  <si>
    <t>2m</t>
    <phoneticPr fontId="4"/>
  </si>
  <si>
    <t>ｼﾙﾄ混じり細砂</t>
    <rPh sb="3" eb="4">
      <t>マ</t>
    </rPh>
    <rPh sb="6" eb="7">
      <t>サイ</t>
    </rPh>
    <rPh sb="7" eb="8">
      <t>スナ</t>
    </rPh>
    <phoneticPr fontId="4"/>
  </si>
  <si>
    <t>ｼﾙﾄ(有機物混入)</t>
    <rPh sb="4" eb="7">
      <t>ユウキブツ</t>
    </rPh>
    <rPh sb="7" eb="9">
      <t>コンニュウ</t>
    </rPh>
    <phoneticPr fontId="4"/>
  </si>
  <si>
    <t>180313-2</t>
    <phoneticPr fontId="4"/>
  </si>
  <si>
    <t>アピア静岡 店舗棟</t>
    <rPh sb="3" eb="5">
      <t>シズオカ</t>
    </rPh>
    <rPh sb="6" eb="8">
      <t>テンポ</t>
    </rPh>
    <rPh sb="8" eb="9">
      <t>トウ</t>
    </rPh>
    <phoneticPr fontId="4"/>
  </si>
  <si>
    <t>アピア静岡 駐車場棟</t>
    <rPh sb="3" eb="5">
      <t>シズオカ</t>
    </rPh>
    <rPh sb="6" eb="9">
      <t>チュウシャジョウ</t>
    </rPh>
    <rPh sb="9" eb="10">
      <t>トウ</t>
    </rPh>
    <phoneticPr fontId="4"/>
  </si>
  <si>
    <t>株式会社 朝日建装</t>
    <phoneticPr fontId="4"/>
  </si>
  <si>
    <t>株式会社 朝日建装</t>
    <phoneticPr fontId="4"/>
  </si>
  <si>
    <t>株式会社 朝日建装</t>
    <phoneticPr fontId="4"/>
  </si>
  <si>
    <t>株式会社 エストルクトゥーラ</t>
    <phoneticPr fontId="4"/>
  </si>
  <si>
    <t>アグナス 株式会社</t>
    <phoneticPr fontId="4"/>
  </si>
  <si>
    <t>アグナス 株式会社</t>
    <phoneticPr fontId="4"/>
  </si>
  <si>
    <t>アグナス カブシキガイシャ</t>
    <phoneticPr fontId="4"/>
  </si>
  <si>
    <t>5m</t>
    <phoneticPr fontId="4"/>
  </si>
  <si>
    <t>砂混じりｼﾙﾄ</t>
    <rPh sb="0" eb="1">
      <t>スナ</t>
    </rPh>
    <rPh sb="1" eb="2">
      <t>マ</t>
    </rPh>
    <phoneticPr fontId="4"/>
  </si>
  <si>
    <t>14m</t>
    <phoneticPr fontId="4"/>
  </si>
  <si>
    <t>ｼﾙﾄ</t>
    <phoneticPr fontId="4"/>
  </si>
  <si>
    <t>3m</t>
    <phoneticPr fontId="4"/>
  </si>
  <si>
    <t>1m</t>
    <phoneticPr fontId="4"/>
  </si>
  <si>
    <t>ｼﾙﾄ混じり細砂</t>
    <rPh sb="3" eb="4">
      <t>マ</t>
    </rPh>
    <rPh sb="6" eb="7">
      <t>サイ</t>
    </rPh>
    <rPh sb="7" eb="8">
      <t>スナ</t>
    </rPh>
    <phoneticPr fontId="4"/>
  </si>
  <si>
    <t>-</t>
    <phoneticPr fontId="4"/>
  </si>
  <si>
    <t>-</t>
    <phoneticPr fontId="4"/>
  </si>
  <si>
    <t>3m</t>
    <phoneticPr fontId="4"/>
  </si>
  <si>
    <t>ｼﾙﾄ</t>
    <phoneticPr fontId="4"/>
  </si>
  <si>
    <t>5m</t>
    <phoneticPr fontId="4"/>
  </si>
  <si>
    <t>砂質ｼﾙﾄ</t>
    <rPh sb="0" eb="1">
      <t>スナ</t>
    </rPh>
    <rPh sb="1" eb="2">
      <t>シツ</t>
    </rPh>
    <phoneticPr fontId="4"/>
  </si>
  <si>
    <t>8m</t>
    <phoneticPr fontId="4"/>
  </si>
  <si>
    <t>1m</t>
    <phoneticPr fontId="4"/>
  </si>
  <si>
    <t>砂混じり粘土</t>
    <rPh sb="0" eb="1">
      <t>スナ</t>
    </rPh>
    <rPh sb="1" eb="2">
      <t>マ</t>
    </rPh>
    <rPh sb="4" eb="6">
      <t>ネンド</t>
    </rPh>
    <phoneticPr fontId="4"/>
  </si>
  <si>
    <t>ｼﾙﾄ混じり砂礫</t>
    <rPh sb="3" eb="4">
      <t>マ</t>
    </rPh>
    <rPh sb="6" eb="8">
      <t>サレキ</t>
    </rPh>
    <phoneticPr fontId="4"/>
  </si>
  <si>
    <t>3m</t>
    <phoneticPr fontId="4"/>
  </si>
  <si>
    <t>有機質ｼﾙﾄ</t>
    <rPh sb="0" eb="3">
      <t>ユウキシツ</t>
    </rPh>
    <phoneticPr fontId="4"/>
  </si>
  <si>
    <t>1m</t>
    <phoneticPr fontId="4"/>
  </si>
  <si>
    <t>砂</t>
    <rPh sb="0" eb="1">
      <t>スナ</t>
    </rPh>
    <phoneticPr fontId="4"/>
  </si>
  <si>
    <t>-</t>
    <phoneticPr fontId="4"/>
  </si>
  <si>
    <t>-</t>
    <phoneticPr fontId="4"/>
  </si>
  <si>
    <t>5m</t>
    <phoneticPr fontId="4"/>
  </si>
  <si>
    <t>ｼﾙﾄ</t>
    <phoneticPr fontId="4"/>
  </si>
  <si>
    <t>有機物混じり粘土</t>
    <rPh sb="0" eb="3">
      <t>ユウキブツ</t>
    </rPh>
    <rPh sb="3" eb="4">
      <t>マ</t>
    </rPh>
    <rPh sb="6" eb="8">
      <t>ネンド</t>
    </rPh>
    <phoneticPr fontId="4"/>
  </si>
  <si>
    <t>7m</t>
    <phoneticPr fontId="4"/>
  </si>
  <si>
    <t>有機質土</t>
    <rPh sb="0" eb="3">
      <t>ユウキシツ</t>
    </rPh>
    <rPh sb="3" eb="4">
      <t>ド</t>
    </rPh>
    <phoneticPr fontId="4"/>
  </si>
  <si>
    <t>4m</t>
    <phoneticPr fontId="4"/>
  </si>
  <si>
    <t>4m</t>
    <phoneticPr fontId="4"/>
  </si>
  <si>
    <t>ｼﾙﾄ質細砂</t>
    <rPh sb="3" eb="4">
      <t>シツ</t>
    </rPh>
    <rPh sb="4" eb="5">
      <t>サイ</t>
    </rPh>
    <rPh sb="5" eb="6">
      <t>スナ</t>
    </rPh>
    <phoneticPr fontId="4"/>
  </si>
  <si>
    <t>3m</t>
    <phoneticPr fontId="4"/>
  </si>
  <si>
    <t>1m</t>
    <phoneticPr fontId="4"/>
  </si>
  <si>
    <t>1m</t>
    <phoneticPr fontId="4"/>
  </si>
  <si>
    <t>3m</t>
    <phoneticPr fontId="4"/>
  </si>
  <si>
    <t>ｼﾙﾄ</t>
    <phoneticPr fontId="4"/>
  </si>
  <si>
    <t>ｼﾙﾄ</t>
    <phoneticPr fontId="4"/>
  </si>
  <si>
    <t>2m</t>
    <phoneticPr fontId="4"/>
  </si>
  <si>
    <t>ｼﾙﾄ質砂</t>
    <rPh sb="3" eb="4">
      <t>シツ</t>
    </rPh>
    <rPh sb="4" eb="5">
      <t>スナ</t>
    </rPh>
    <phoneticPr fontId="4"/>
  </si>
  <si>
    <t>株式会社 住宅性能評価センター</t>
    <phoneticPr fontId="4"/>
  </si>
  <si>
    <t>株式会社 住宅性能評価センター</t>
    <phoneticPr fontId="4"/>
  </si>
  <si>
    <t>新琴似1条12丁目商業施設 保育所・学童保育所</t>
    <rPh sb="0" eb="1">
      <t>シン</t>
    </rPh>
    <rPh sb="1" eb="2">
      <t>コト</t>
    </rPh>
    <rPh sb="2" eb="3">
      <t>ニ</t>
    </rPh>
    <rPh sb="4" eb="5">
      <t>ジョウ</t>
    </rPh>
    <rPh sb="7" eb="9">
      <t>チョウメ</t>
    </rPh>
    <rPh sb="9" eb="11">
      <t>ショウギョウ</t>
    </rPh>
    <rPh sb="11" eb="13">
      <t>シセツ</t>
    </rPh>
    <rPh sb="14" eb="16">
      <t>ホイク</t>
    </rPh>
    <rPh sb="16" eb="17">
      <t>ショ</t>
    </rPh>
    <rPh sb="18" eb="20">
      <t>ガクドウ</t>
    </rPh>
    <rPh sb="20" eb="22">
      <t>ホイク</t>
    </rPh>
    <rPh sb="22" eb="23">
      <t>ショ</t>
    </rPh>
    <phoneticPr fontId="4"/>
  </si>
  <si>
    <t>新琴似</t>
    <rPh sb="0" eb="1">
      <t>シン</t>
    </rPh>
    <rPh sb="1" eb="2">
      <t>コト</t>
    </rPh>
    <rPh sb="2" eb="3">
      <t>ニ</t>
    </rPh>
    <phoneticPr fontId="4"/>
  </si>
  <si>
    <t>-</t>
    <phoneticPr fontId="4"/>
  </si>
  <si>
    <t>株式会社 横河システム建築</t>
    <phoneticPr fontId="4"/>
  </si>
  <si>
    <t>株式会社 スカイ・サイト</t>
    <phoneticPr fontId="4"/>
  </si>
  <si>
    <t>埋土・粘性土</t>
    <rPh sb="0" eb="1">
      <t>ウ</t>
    </rPh>
    <rPh sb="1" eb="2">
      <t>ド</t>
    </rPh>
    <rPh sb="3" eb="5">
      <t>ネンセイ</t>
    </rPh>
    <rPh sb="5" eb="6">
      <t>ド</t>
    </rPh>
    <phoneticPr fontId="4"/>
  </si>
  <si>
    <t>ｼﾙﾄ</t>
    <phoneticPr fontId="4"/>
  </si>
  <si>
    <t>さくら建築設計 株式会社</t>
    <phoneticPr fontId="4"/>
  </si>
  <si>
    <t>株式会社 横河システム建築</t>
    <phoneticPr fontId="4"/>
  </si>
  <si>
    <t>ハローズ大林 ﾃﾅﾝﾄF棟</t>
    <rPh sb="4" eb="6">
      <t>オオバヤシ</t>
    </rPh>
    <rPh sb="12" eb="13">
      <t>トウ</t>
    </rPh>
    <phoneticPr fontId="4"/>
  </si>
  <si>
    <t>3</t>
    <phoneticPr fontId="4"/>
  </si>
  <si>
    <t>-</t>
    <phoneticPr fontId="4"/>
  </si>
  <si>
    <t>埋土</t>
    <rPh sb="0" eb="1">
      <t>ウ</t>
    </rPh>
    <rPh sb="1" eb="2">
      <t>ド</t>
    </rPh>
    <phoneticPr fontId="4"/>
  </si>
  <si>
    <t>4m</t>
    <phoneticPr fontId="4"/>
  </si>
  <si>
    <t>粘土質ﾛｰﾑ</t>
    <rPh sb="0" eb="2">
      <t>ネンド</t>
    </rPh>
    <rPh sb="2" eb="3">
      <t>シツ</t>
    </rPh>
    <phoneticPr fontId="4"/>
  </si>
  <si>
    <t>2m</t>
    <phoneticPr fontId="4"/>
  </si>
  <si>
    <t>粘土質ﾛｰﾑ(有機物混入)</t>
    <rPh sb="0" eb="2">
      <t>ネンド</t>
    </rPh>
    <rPh sb="2" eb="3">
      <t>シツ</t>
    </rPh>
    <rPh sb="7" eb="10">
      <t>ユウキブツ</t>
    </rPh>
    <rPh sb="10" eb="12">
      <t>コンニュウ</t>
    </rPh>
    <phoneticPr fontId="4"/>
  </si>
  <si>
    <t>株式会社 向後構造設計事務所</t>
    <phoneticPr fontId="4"/>
  </si>
  <si>
    <t>株式会社 横河システム建築</t>
    <phoneticPr fontId="4"/>
  </si>
  <si>
    <t>カブシキガイシャ コウゴコウゾウセッケイジムショ</t>
    <phoneticPr fontId="4"/>
  </si>
  <si>
    <t>1</t>
    <phoneticPr fontId="4"/>
  </si>
  <si>
    <t>6m</t>
    <phoneticPr fontId="4"/>
  </si>
  <si>
    <t>ｼﾙﾄ質粘土</t>
    <rPh sb="3" eb="4">
      <t>シツ</t>
    </rPh>
    <rPh sb="4" eb="6">
      <t>ネンド</t>
    </rPh>
    <phoneticPr fontId="4"/>
  </si>
  <si>
    <t>1m</t>
    <phoneticPr fontId="4"/>
  </si>
  <si>
    <t>埋土(砂)</t>
    <rPh sb="0" eb="1">
      <t>ウ</t>
    </rPh>
    <rPh sb="1" eb="2">
      <t>ド</t>
    </rPh>
    <rPh sb="3" eb="4">
      <t>スナ</t>
    </rPh>
    <phoneticPr fontId="4"/>
  </si>
  <si>
    <t>5m</t>
    <phoneticPr fontId="4"/>
  </si>
  <si>
    <t>-</t>
    <phoneticPr fontId="4"/>
  </si>
  <si>
    <t>海・工場</t>
    <rPh sb="0" eb="1">
      <t>ウミ</t>
    </rPh>
    <rPh sb="2" eb="4">
      <t>コウジョウ</t>
    </rPh>
    <phoneticPr fontId="4"/>
  </si>
  <si>
    <t>着工</t>
    <rPh sb="0" eb="2">
      <t>チャッコウ</t>
    </rPh>
    <phoneticPr fontId="4"/>
  </si>
  <si>
    <t>申請</t>
    <rPh sb="0" eb="2">
      <t>シンセイ</t>
    </rPh>
    <phoneticPr fontId="4"/>
  </si>
  <si>
    <t xml:space="preserve"> 申請</t>
    <rPh sb="1" eb="3">
      <t>シンセイ</t>
    </rPh>
    <phoneticPr fontId="4"/>
  </si>
  <si>
    <t>22019.06.27基礎躯体が過大になる事、検討時間が無く、スケジュールに乗らない為。杭とする</t>
    <rPh sb="44" eb="45">
      <t>クイ</t>
    </rPh>
    <phoneticPr fontId="4"/>
  </si>
  <si>
    <t>アルビス小松(新建築設計事務所)</t>
    <rPh sb="4" eb="6">
      <t>コマツ</t>
    </rPh>
    <phoneticPr fontId="4"/>
  </si>
  <si>
    <t>3</t>
    <phoneticPr fontId="4"/>
  </si>
  <si>
    <t>盛土</t>
    <rPh sb="0" eb="1">
      <t>モリ</t>
    </rPh>
    <rPh sb="1" eb="2">
      <t>ド</t>
    </rPh>
    <phoneticPr fontId="4"/>
  </si>
  <si>
    <t>細砂</t>
    <rPh sb="0" eb="1">
      <t>サイ</t>
    </rPh>
    <rPh sb="1" eb="2">
      <t>スナ</t>
    </rPh>
    <phoneticPr fontId="4"/>
  </si>
  <si>
    <t>1m</t>
    <phoneticPr fontId="4"/>
  </si>
  <si>
    <t>-</t>
    <phoneticPr fontId="4"/>
  </si>
  <si>
    <t>-</t>
    <phoneticPr fontId="4"/>
  </si>
  <si>
    <t>-</t>
    <phoneticPr fontId="4"/>
  </si>
  <si>
    <t>2019.06.27失注沈下量が大きくプレロード必要。</t>
    <rPh sb="10" eb="11">
      <t>シッ</t>
    </rPh>
    <rPh sb="11" eb="12">
      <t>チュウ</t>
    </rPh>
    <rPh sb="12" eb="14">
      <t>チンカ</t>
    </rPh>
    <rPh sb="14" eb="15">
      <t>リョウ</t>
    </rPh>
    <rPh sb="16" eb="17">
      <t>オオ</t>
    </rPh>
    <rPh sb="24" eb="26">
      <t>ヒツヨウ</t>
    </rPh>
    <phoneticPr fontId="4"/>
  </si>
  <si>
    <t>申請</t>
    <rPh sb="0" eb="2">
      <t>シンセイ</t>
    </rPh>
    <phoneticPr fontId="4"/>
  </si>
  <si>
    <t>着工</t>
    <rPh sb="0" eb="2">
      <t>チャッコウ</t>
    </rPh>
    <phoneticPr fontId="4"/>
  </si>
  <si>
    <t>4m</t>
    <phoneticPr fontId="4"/>
  </si>
  <si>
    <t>-</t>
    <phoneticPr fontId="4"/>
  </si>
  <si>
    <t>-</t>
    <phoneticPr fontId="4"/>
  </si>
  <si>
    <t>住宅</t>
    <rPh sb="0" eb="2">
      <t>ジュウタク</t>
    </rPh>
    <phoneticPr fontId="4"/>
  </si>
  <si>
    <t>ｼﾞｬﾑﾌﾚﾝﾄﾞｸﾗﾌﾞAむつ十二林</t>
    <rPh sb="16" eb="18">
      <t>ジュウニ</t>
    </rPh>
    <rPh sb="18" eb="19">
      <t>ハヤシ</t>
    </rPh>
    <phoneticPr fontId="4"/>
  </si>
  <si>
    <t>むつ市</t>
    <rPh sb="2" eb="3">
      <t>シ</t>
    </rPh>
    <phoneticPr fontId="4"/>
  </si>
  <si>
    <t>十二林</t>
    <rPh sb="0" eb="2">
      <t>ジュウニ</t>
    </rPh>
    <rPh sb="2" eb="3">
      <t>ハヤシ</t>
    </rPh>
    <phoneticPr fontId="4"/>
  </si>
  <si>
    <t>駐車場</t>
    <rPh sb="0" eb="3">
      <t>チュウシャジョウ</t>
    </rPh>
    <phoneticPr fontId="4"/>
  </si>
  <si>
    <t>株式会社 ネクジット</t>
    <rPh sb="0" eb="2">
      <t>カブシキ</t>
    </rPh>
    <rPh sb="2" eb="4">
      <t>カイシャ</t>
    </rPh>
    <phoneticPr fontId="4"/>
  </si>
  <si>
    <t>株式会社 ネクジット</t>
    <phoneticPr fontId="4"/>
  </si>
  <si>
    <t>カブシキガイシャ ネクジット</t>
    <phoneticPr fontId="4"/>
  </si>
  <si>
    <t>6/27 失注</t>
    <rPh sb="5" eb="6">
      <t>シッ</t>
    </rPh>
    <rPh sb="6" eb="7">
      <t>チュウ</t>
    </rPh>
    <phoneticPr fontId="4"/>
  </si>
  <si>
    <t>財団法人 福岡県建築住宅センター</t>
    <phoneticPr fontId="4"/>
  </si>
  <si>
    <t>圧密未了</t>
    <rPh sb="0" eb="1">
      <t>アツ</t>
    </rPh>
    <rPh sb="1" eb="2">
      <t>ミツ</t>
    </rPh>
    <rPh sb="2" eb="4">
      <t>ミリョウ</t>
    </rPh>
    <phoneticPr fontId="4"/>
  </si>
  <si>
    <t>圧密未了</t>
    <phoneticPr fontId="4"/>
  </si>
  <si>
    <t>圧密未了</t>
    <phoneticPr fontId="4"/>
  </si>
  <si>
    <t>-25,0</t>
    <phoneticPr fontId="4"/>
  </si>
  <si>
    <t>-25,-60</t>
    <phoneticPr fontId="4"/>
  </si>
  <si>
    <t>-30</t>
    <phoneticPr fontId="4"/>
  </si>
  <si>
    <t>山名
ウット</t>
    <rPh sb="0" eb="2">
      <t>ヤマナ</t>
    </rPh>
    <phoneticPr fontId="4"/>
  </si>
  <si>
    <t>3</t>
    <phoneticPr fontId="4"/>
  </si>
  <si>
    <t>盛土</t>
    <rPh sb="0" eb="1">
      <t>モリ</t>
    </rPh>
    <rPh sb="1" eb="2">
      <t>ド</t>
    </rPh>
    <phoneticPr fontId="4"/>
  </si>
  <si>
    <t>強風化玄武岩</t>
    <rPh sb="0" eb="1">
      <t>ツヨ</t>
    </rPh>
    <rPh sb="1" eb="3">
      <t>フウカ</t>
    </rPh>
    <rPh sb="3" eb="5">
      <t>ゲンブ</t>
    </rPh>
    <rPh sb="5" eb="6">
      <t>イワ</t>
    </rPh>
    <phoneticPr fontId="4"/>
  </si>
  <si>
    <t>1m</t>
    <phoneticPr fontId="4"/>
  </si>
  <si>
    <t>無</t>
    <rPh sb="0" eb="1">
      <t>ナ</t>
    </rPh>
    <phoneticPr fontId="4"/>
  </si>
  <si>
    <t>-</t>
    <phoneticPr fontId="4"/>
  </si>
  <si>
    <t>-</t>
    <phoneticPr fontId="4"/>
  </si>
  <si>
    <t>空地</t>
    <rPh sb="0" eb="2">
      <t>クウチ</t>
    </rPh>
    <phoneticPr fontId="4"/>
  </si>
  <si>
    <t>盛土(礫混じり砂質粘土)</t>
    <rPh sb="0" eb="1">
      <t>モリ</t>
    </rPh>
    <rPh sb="1" eb="2">
      <t>ド</t>
    </rPh>
    <rPh sb="3" eb="4">
      <t>レキ</t>
    </rPh>
    <rPh sb="4" eb="5">
      <t>マ</t>
    </rPh>
    <rPh sb="7" eb="8">
      <t>スナ</t>
    </rPh>
    <rPh sb="8" eb="9">
      <t>シツ</t>
    </rPh>
    <rPh sb="9" eb="11">
      <t>ネンド</t>
    </rPh>
    <phoneticPr fontId="4"/>
  </si>
  <si>
    <t>株式会社 総合確認検査機構</t>
    <phoneticPr fontId="4"/>
  </si>
  <si>
    <t>着工</t>
    <rPh sb="0" eb="2">
      <t>チャッコウ</t>
    </rPh>
    <phoneticPr fontId="4"/>
  </si>
  <si>
    <t>設計中</t>
    <rPh sb="0" eb="2">
      <t>セッケイ</t>
    </rPh>
    <rPh sb="2" eb="3">
      <t>ナカ</t>
    </rPh>
    <phoneticPr fontId="4"/>
  </si>
  <si>
    <t>設計済</t>
    <rPh sb="0" eb="2">
      <t>セッケイ</t>
    </rPh>
    <rPh sb="2" eb="3">
      <t>スミ</t>
    </rPh>
    <phoneticPr fontId="4"/>
  </si>
  <si>
    <t>地方独立行政法人北海道立総合研究機構</t>
    <phoneticPr fontId="4"/>
  </si>
  <si>
    <t>見積提出</t>
    <rPh sb="0" eb="2">
      <t>ミツモリ</t>
    </rPh>
    <rPh sb="2" eb="4">
      <t>テイシュツ</t>
    </rPh>
    <phoneticPr fontId="4"/>
  </si>
  <si>
    <t>事前申請</t>
    <rPh sb="0" eb="2">
      <t>ジゼン</t>
    </rPh>
    <rPh sb="2" eb="4">
      <t>シンセイ</t>
    </rPh>
    <phoneticPr fontId="4"/>
  </si>
  <si>
    <t>本申請</t>
    <rPh sb="0" eb="1">
      <t>ホン</t>
    </rPh>
    <rPh sb="1" eb="3">
      <t>シンセイ</t>
    </rPh>
    <phoneticPr fontId="4"/>
  </si>
  <si>
    <t>平板載荷試験実施。</t>
    <rPh sb="0" eb="2">
      <t>ヘイバン</t>
    </rPh>
    <rPh sb="2" eb="3">
      <t>サイ</t>
    </rPh>
    <rPh sb="3" eb="4">
      <t>カ</t>
    </rPh>
    <rPh sb="4" eb="6">
      <t>シケン</t>
    </rPh>
    <rPh sb="6" eb="8">
      <t>ジッシ</t>
    </rPh>
    <phoneticPr fontId="4"/>
  </si>
  <si>
    <t>水路(GL-1.0m)、新設擁壁・既存浸透管(GL-1.4m)近接。平板載荷試験実施。</t>
    <rPh sb="0" eb="2">
      <t>スイロ</t>
    </rPh>
    <rPh sb="12" eb="14">
      <t>シンセツ</t>
    </rPh>
    <rPh sb="14" eb="15">
      <t>ヨウ</t>
    </rPh>
    <rPh sb="15" eb="16">
      <t>カベ</t>
    </rPh>
    <rPh sb="17" eb="19">
      <t>キソン</t>
    </rPh>
    <rPh sb="19" eb="21">
      <t>シントウ</t>
    </rPh>
    <rPh sb="21" eb="22">
      <t>カン</t>
    </rPh>
    <rPh sb="31" eb="33">
      <t>キンセツ</t>
    </rPh>
    <rPh sb="34" eb="36">
      <t>ヘイバン</t>
    </rPh>
    <rPh sb="36" eb="37">
      <t>サイ</t>
    </rPh>
    <rPh sb="37" eb="38">
      <t>カ</t>
    </rPh>
    <rPh sb="38" eb="40">
      <t>シケン</t>
    </rPh>
    <rPh sb="40" eb="42">
      <t>ジッシ</t>
    </rPh>
    <phoneticPr fontId="4"/>
  </si>
  <si>
    <t>　 申請</t>
    <rPh sb="2" eb="4">
      <t>シンセイ</t>
    </rPh>
    <phoneticPr fontId="4"/>
  </si>
  <si>
    <t>千葉県</t>
    <rPh sb="0" eb="3">
      <t>チバケン</t>
    </rPh>
    <phoneticPr fontId="4"/>
  </si>
  <si>
    <t>船橋市</t>
    <rPh sb="0" eb="3">
      <t>フナバシシ</t>
    </rPh>
    <phoneticPr fontId="4"/>
  </si>
  <si>
    <t>西浦</t>
    <rPh sb="0" eb="2">
      <t>ニシウラ</t>
    </rPh>
    <phoneticPr fontId="4"/>
  </si>
  <si>
    <t>着工</t>
    <rPh sb="0" eb="2">
      <t>チャッコウ</t>
    </rPh>
    <phoneticPr fontId="4"/>
  </si>
  <si>
    <t>倉庫</t>
    <rPh sb="0" eb="2">
      <t>ソウコ</t>
    </rPh>
    <phoneticPr fontId="4"/>
  </si>
  <si>
    <t>田村市</t>
    <rPh sb="0" eb="3">
      <t>タムラシ</t>
    </rPh>
    <phoneticPr fontId="4"/>
  </si>
  <si>
    <t>船引町堀越字柴平</t>
    <rPh sb="0" eb="1">
      <t>フネ</t>
    </rPh>
    <rPh sb="1" eb="2">
      <t>ヒ</t>
    </rPh>
    <rPh sb="2" eb="3">
      <t>マチ</t>
    </rPh>
    <rPh sb="3" eb="5">
      <t>ホリコシ</t>
    </rPh>
    <rPh sb="5" eb="6">
      <t>アザ</t>
    </rPh>
    <rPh sb="6" eb="7">
      <t>シバ</t>
    </rPh>
    <rPh sb="7" eb="8">
      <t>ヒラ</t>
    </rPh>
    <phoneticPr fontId="4"/>
  </si>
  <si>
    <t>日本ペイント防食コーティングス(株)</t>
    <phoneticPr fontId="4"/>
  </si>
  <si>
    <t>いわき市</t>
    <rPh sb="3" eb="4">
      <t>シ</t>
    </rPh>
    <phoneticPr fontId="4"/>
  </si>
  <si>
    <t>小名浜字高田町</t>
    <rPh sb="0" eb="2">
      <t>オナ</t>
    </rPh>
    <rPh sb="2" eb="3">
      <t>ハマ</t>
    </rPh>
    <rPh sb="3" eb="4">
      <t>アザ</t>
    </rPh>
    <rPh sb="4" eb="6">
      <t>タカダ</t>
    </rPh>
    <rPh sb="6" eb="7">
      <t>マチ</t>
    </rPh>
    <phoneticPr fontId="4"/>
  </si>
  <si>
    <t>常磐開発 株式会社</t>
    <rPh sb="0" eb="2">
      <t>ジョウバン</t>
    </rPh>
    <rPh sb="2" eb="4">
      <t>カイハツ</t>
    </rPh>
    <rPh sb="5" eb="7">
      <t>カブシキ</t>
    </rPh>
    <rPh sb="7" eb="9">
      <t>カイシャ</t>
    </rPh>
    <phoneticPr fontId="4"/>
  </si>
  <si>
    <t>常磐開発 株式会社</t>
    <phoneticPr fontId="4"/>
  </si>
  <si>
    <t>ジョウバンカイハツ カブシキガイシャ</t>
    <phoneticPr fontId="4"/>
  </si>
  <si>
    <t>着工</t>
    <rPh sb="0" eb="2">
      <t>チャッコウ</t>
    </rPh>
    <phoneticPr fontId="4"/>
  </si>
  <si>
    <t xml:space="preserve">  申請</t>
    <rPh sb="2" eb="4">
      <t>シンセイ</t>
    </rPh>
    <phoneticPr fontId="4"/>
  </si>
  <si>
    <t>高萩自動車工業 大型塗装工場</t>
    <phoneticPr fontId="4"/>
  </si>
  <si>
    <t>埋土</t>
    <rPh sb="0" eb="1">
      <t>ウ</t>
    </rPh>
    <rPh sb="1" eb="2">
      <t>ド</t>
    </rPh>
    <phoneticPr fontId="4"/>
  </si>
  <si>
    <t>砂質ｼﾙﾄ</t>
    <rPh sb="0" eb="1">
      <t>スナ</t>
    </rPh>
    <rPh sb="1" eb="2">
      <t>シツ</t>
    </rPh>
    <phoneticPr fontId="4"/>
  </si>
  <si>
    <t>1m</t>
    <phoneticPr fontId="4"/>
  </si>
  <si>
    <t>6m</t>
    <phoneticPr fontId="4"/>
  </si>
  <si>
    <t>ｼﾙﾄ</t>
    <phoneticPr fontId="4"/>
  </si>
  <si>
    <t>ｼﾙﾄ(腐植物混入)</t>
    <rPh sb="4" eb="6">
      <t>フショク</t>
    </rPh>
    <rPh sb="6" eb="7">
      <t>ブツ</t>
    </rPh>
    <rPh sb="7" eb="9">
      <t>コンニュウ</t>
    </rPh>
    <phoneticPr fontId="4"/>
  </si>
  <si>
    <t>TNF+(スラリー改良)</t>
    <rPh sb="9" eb="11">
      <t>カイリョウ</t>
    </rPh>
    <phoneticPr fontId="4"/>
  </si>
  <si>
    <t>アルビス小松幸</t>
    <rPh sb="4" eb="6">
      <t>コマツ</t>
    </rPh>
    <rPh sb="6" eb="7">
      <t>サイワ</t>
    </rPh>
    <phoneticPr fontId="4"/>
  </si>
  <si>
    <t>小松市</t>
    <rPh sb="0" eb="3">
      <t>コマツシ</t>
    </rPh>
    <phoneticPr fontId="4"/>
  </si>
  <si>
    <t>幸町</t>
    <phoneticPr fontId="4"/>
  </si>
  <si>
    <t>株式会社 ジェイ・イー・サポート</t>
    <phoneticPr fontId="4"/>
  </si>
  <si>
    <t>盛土(ｼﾙﾄ混じり砂)</t>
    <rPh sb="0" eb="1">
      <t>モリ</t>
    </rPh>
    <rPh sb="1" eb="2">
      <t>ド</t>
    </rPh>
    <rPh sb="6" eb="7">
      <t>マ</t>
    </rPh>
    <rPh sb="9" eb="10">
      <t>スナ</t>
    </rPh>
    <phoneticPr fontId="4"/>
  </si>
  <si>
    <t>ｼﾙﾄ混じり砂</t>
    <rPh sb="3" eb="4">
      <t>マ</t>
    </rPh>
    <rPh sb="6" eb="7">
      <t>スナ</t>
    </rPh>
    <phoneticPr fontId="4"/>
  </si>
  <si>
    <t>2m</t>
    <phoneticPr fontId="4"/>
  </si>
  <si>
    <t>ｼﾙﾄ質粘土</t>
    <rPh sb="3" eb="4">
      <t>シツ</t>
    </rPh>
    <rPh sb="4" eb="6">
      <t>ネンド</t>
    </rPh>
    <phoneticPr fontId="4"/>
  </si>
  <si>
    <t>1m</t>
    <phoneticPr fontId="4"/>
  </si>
  <si>
    <t>3m</t>
    <phoneticPr fontId="4"/>
  </si>
  <si>
    <t>粘土質砂</t>
    <rPh sb="0" eb="2">
      <t>ネンド</t>
    </rPh>
    <rPh sb="2" eb="3">
      <t>シツ</t>
    </rPh>
    <rPh sb="3" eb="4">
      <t>スナ</t>
    </rPh>
    <phoneticPr fontId="4"/>
  </si>
  <si>
    <t>砂(腐植物混入)</t>
    <rPh sb="0" eb="1">
      <t>スナ</t>
    </rPh>
    <rPh sb="2" eb="4">
      <t>フショク</t>
    </rPh>
    <rPh sb="4" eb="5">
      <t>ブツ</t>
    </rPh>
    <rPh sb="5" eb="7">
      <t>コンニュウ</t>
    </rPh>
    <phoneticPr fontId="4"/>
  </si>
  <si>
    <t>埋文あり。2.8tｸﾚｰﾝ2台、7.5tｸﾚｰﾝ1台。</t>
    <rPh sb="0" eb="1">
      <t>マイ</t>
    </rPh>
    <rPh sb="1" eb="2">
      <t>ブン</t>
    </rPh>
    <rPh sb="14" eb="15">
      <t>ダイ</t>
    </rPh>
    <rPh sb="25" eb="26">
      <t>ダイ</t>
    </rPh>
    <phoneticPr fontId="4"/>
  </si>
  <si>
    <t>カイトアーキテクツ</t>
    <phoneticPr fontId="4"/>
  </si>
  <si>
    <t>西宇和郡</t>
    <rPh sb="0" eb="1">
      <t>ニシ</t>
    </rPh>
    <rPh sb="1" eb="3">
      <t>ウワ</t>
    </rPh>
    <rPh sb="3" eb="4">
      <t>グン</t>
    </rPh>
    <phoneticPr fontId="4"/>
  </si>
  <si>
    <t>伊方町三崎</t>
    <rPh sb="0" eb="1">
      <t>イ</t>
    </rPh>
    <rPh sb="1" eb="2">
      <t>ホウ</t>
    </rPh>
    <rPh sb="2" eb="3">
      <t>マチ</t>
    </rPh>
    <rPh sb="3" eb="5">
      <t>ミサキ</t>
    </rPh>
    <phoneticPr fontId="4"/>
  </si>
  <si>
    <t>完工交流拠点施設</t>
    <rPh sb="0" eb="2">
      <t>カンコウ</t>
    </rPh>
    <rPh sb="2" eb="4">
      <t>コウリュウ</t>
    </rPh>
    <rPh sb="4" eb="6">
      <t>キョテン</t>
    </rPh>
    <rPh sb="6" eb="8">
      <t>シセツ</t>
    </rPh>
    <phoneticPr fontId="4"/>
  </si>
  <si>
    <t>siinari一級建築士事務所</t>
    <phoneticPr fontId="4"/>
  </si>
  <si>
    <t>siinari一級建築士事務所</t>
    <phoneticPr fontId="4"/>
  </si>
  <si>
    <t>siinariイッキュウケンチクシジムショ</t>
    <phoneticPr fontId="4"/>
  </si>
  <si>
    <t>満田英輔構造計画研究所</t>
    <phoneticPr fontId="4"/>
  </si>
  <si>
    <t>満田英輔構造計画研究所</t>
    <phoneticPr fontId="4"/>
  </si>
  <si>
    <t>マンダエイスケコウゾウケイカクケンキュウショ</t>
    <phoneticPr fontId="4"/>
  </si>
  <si>
    <t>ウット
VINA</t>
    <phoneticPr fontId="4"/>
  </si>
  <si>
    <t>村上
VINA</t>
    <rPh sb="0" eb="2">
      <t>ムラカミ</t>
    </rPh>
    <phoneticPr fontId="4"/>
  </si>
  <si>
    <t>ユイ</t>
    <phoneticPr fontId="4"/>
  </si>
  <si>
    <t>タオ
VINA</t>
    <phoneticPr fontId="4"/>
  </si>
  <si>
    <t>ウット</t>
    <phoneticPr fontId="4"/>
  </si>
  <si>
    <t>提出</t>
    <rPh sb="0" eb="2">
      <t>テイシュツ</t>
    </rPh>
    <phoneticPr fontId="4"/>
  </si>
  <si>
    <t>ｼﾙﾄ</t>
    <phoneticPr fontId="4"/>
  </si>
  <si>
    <t>ｼﾙﾄ</t>
    <phoneticPr fontId="4"/>
  </si>
  <si>
    <t>2m</t>
    <phoneticPr fontId="4"/>
  </si>
  <si>
    <t>ｼﾙﾄ</t>
    <phoneticPr fontId="4"/>
  </si>
  <si>
    <t>2m</t>
    <phoneticPr fontId="4"/>
  </si>
  <si>
    <t>砂質ｼﾙﾄ</t>
    <rPh sb="0" eb="1">
      <t>スナ</t>
    </rPh>
    <rPh sb="1" eb="2">
      <t>シツ</t>
    </rPh>
    <phoneticPr fontId="4"/>
  </si>
  <si>
    <t>3m</t>
    <phoneticPr fontId="4"/>
  </si>
  <si>
    <t>1m</t>
    <phoneticPr fontId="4"/>
  </si>
  <si>
    <t>ｼﾙﾄ質細砂</t>
    <rPh sb="3" eb="4">
      <t>シツ</t>
    </rPh>
    <rPh sb="4" eb="5">
      <t>サイ</t>
    </rPh>
    <rPh sb="5" eb="6">
      <t>スナ</t>
    </rPh>
    <phoneticPr fontId="4"/>
  </si>
  <si>
    <t>ｼﾙﾄ(有機質混入)</t>
    <rPh sb="4" eb="7">
      <t>ユウキシツ</t>
    </rPh>
    <rPh sb="7" eb="9">
      <t>コンニュウ</t>
    </rPh>
    <phoneticPr fontId="4"/>
  </si>
  <si>
    <t>住宅</t>
    <rPh sb="0" eb="2">
      <t>ジュウタク</t>
    </rPh>
    <phoneticPr fontId="4"/>
  </si>
  <si>
    <t>事務所</t>
    <phoneticPr fontId="4"/>
  </si>
  <si>
    <t>盛土(砂質土)</t>
    <rPh sb="0" eb="1">
      <t>モリ</t>
    </rPh>
    <rPh sb="1" eb="2">
      <t>ド</t>
    </rPh>
    <rPh sb="3" eb="4">
      <t>スナ</t>
    </rPh>
    <rPh sb="4" eb="5">
      <t>シツ</t>
    </rPh>
    <rPh sb="5" eb="6">
      <t>ド</t>
    </rPh>
    <phoneticPr fontId="4"/>
  </si>
  <si>
    <t>1m</t>
    <phoneticPr fontId="4"/>
  </si>
  <si>
    <t>5m</t>
    <phoneticPr fontId="4"/>
  </si>
  <si>
    <t>2m</t>
    <phoneticPr fontId="4"/>
  </si>
  <si>
    <t>砂</t>
    <rPh sb="0" eb="1">
      <t>スナ</t>
    </rPh>
    <phoneticPr fontId="4"/>
  </si>
  <si>
    <t>盛土(腐植物混入)</t>
    <rPh sb="0" eb="1">
      <t>モリ</t>
    </rPh>
    <rPh sb="1" eb="2">
      <t>ド</t>
    </rPh>
    <rPh sb="3" eb="5">
      <t>フショク</t>
    </rPh>
    <rPh sb="5" eb="6">
      <t>ブツ</t>
    </rPh>
    <rPh sb="6" eb="8">
      <t>コンニュウ</t>
    </rPh>
    <phoneticPr fontId="4"/>
  </si>
  <si>
    <t>空地</t>
    <rPh sb="0" eb="2">
      <t>クウチ</t>
    </rPh>
    <phoneticPr fontId="4"/>
  </si>
  <si>
    <t>はやま農場田村若雌農場 事務所棟</t>
    <rPh sb="3" eb="5">
      <t>ノウジョウ</t>
    </rPh>
    <rPh sb="5" eb="7">
      <t>タムラ</t>
    </rPh>
    <rPh sb="7" eb="8">
      <t>ワカ</t>
    </rPh>
    <rPh sb="8" eb="9">
      <t>メス</t>
    </rPh>
    <rPh sb="9" eb="11">
      <t>ノウジョウ</t>
    </rPh>
    <rPh sb="12" eb="14">
      <t>ジム</t>
    </rPh>
    <rPh sb="14" eb="15">
      <t>ショ</t>
    </rPh>
    <rPh sb="15" eb="16">
      <t>トウ</t>
    </rPh>
    <phoneticPr fontId="4"/>
  </si>
  <si>
    <t>社団法人 日本住宅性能評価機構</t>
    <phoneticPr fontId="4"/>
  </si>
  <si>
    <t>店舗</t>
    <rPh sb="0" eb="2">
      <t>テンポ</t>
    </rPh>
    <phoneticPr fontId="4"/>
  </si>
  <si>
    <t xml:space="preserve">  申請</t>
    <rPh sb="2" eb="4">
      <t>シンセイ</t>
    </rPh>
    <phoneticPr fontId="4"/>
  </si>
  <si>
    <t>RC+木</t>
    <rPh sb="3" eb="4">
      <t>キ</t>
    </rPh>
    <phoneticPr fontId="4"/>
  </si>
  <si>
    <t>3</t>
    <phoneticPr fontId="4"/>
  </si>
  <si>
    <t>べた</t>
    <phoneticPr fontId="4"/>
  </si>
  <si>
    <t>埋土・砂混じり礫</t>
    <rPh sb="0" eb="1">
      <t>ウ</t>
    </rPh>
    <rPh sb="1" eb="2">
      <t>ド</t>
    </rPh>
    <rPh sb="3" eb="4">
      <t>スナ</t>
    </rPh>
    <rPh sb="4" eb="5">
      <t>マ</t>
    </rPh>
    <rPh sb="7" eb="8">
      <t>レキ</t>
    </rPh>
    <phoneticPr fontId="4"/>
  </si>
  <si>
    <t>4m</t>
    <phoneticPr fontId="4"/>
  </si>
  <si>
    <t>砂混じり礫</t>
    <rPh sb="0" eb="1">
      <t>スナ</t>
    </rPh>
    <rPh sb="1" eb="2">
      <t>マ</t>
    </rPh>
    <rPh sb="4" eb="5">
      <t>レキ</t>
    </rPh>
    <phoneticPr fontId="4"/>
  </si>
  <si>
    <t>名前</t>
    <rPh sb="0" eb="2">
      <t>ナマエ</t>
    </rPh>
    <phoneticPr fontId="4"/>
  </si>
  <si>
    <t>?</t>
    <phoneticPr fontId="4"/>
  </si>
  <si>
    <t>御所野堤台</t>
    <phoneticPr fontId="4"/>
  </si>
  <si>
    <t>駅・店舗</t>
    <rPh sb="0" eb="1">
      <t>エキ</t>
    </rPh>
    <rPh sb="2" eb="4">
      <t>テンポ</t>
    </rPh>
    <phoneticPr fontId="4"/>
  </si>
  <si>
    <t>住宅・空地</t>
    <rPh sb="3" eb="4">
      <t>ア</t>
    </rPh>
    <rPh sb="4" eb="5">
      <t>チ</t>
    </rPh>
    <phoneticPr fontId="4"/>
  </si>
  <si>
    <t>工場・空地</t>
    <phoneticPr fontId="4"/>
  </si>
  <si>
    <t>工場・空地</t>
    <phoneticPr fontId="4"/>
  </si>
  <si>
    <t>店舗・住宅</t>
    <phoneticPr fontId="25"/>
  </si>
  <si>
    <t>住宅</t>
    <phoneticPr fontId="4"/>
  </si>
  <si>
    <t>住宅・畑</t>
    <phoneticPr fontId="4"/>
  </si>
  <si>
    <t>敷地内 工場</t>
    <rPh sb="0" eb="2">
      <t>シキチ</t>
    </rPh>
    <rPh sb="2" eb="3">
      <t>ナイ</t>
    </rPh>
    <rPh sb="4" eb="6">
      <t>コウジョウ</t>
    </rPh>
    <phoneticPr fontId="4"/>
  </si>
  <si>
    <t>ユイ
VINA</t>
    <phoneticPr fontId="4"/>
  </si>
  <si>
    <t>近藤
タオ
VINA</t>
    <rPh sb="0" eb="2">
      <t>コンドウ</t>
    </rPh>
    <phoneticPr fontId="4"/>
  </si>
  <si>
    <t>財団法人 さいたま住宅検査センター</t>
    <phoneticPr fontId="4"/>
  </si>
  <si>
    <t>2019/07/19 取り止め</t>
    <rPh sb="11" eb="12">
      <t>ト</t>
    </rPh>
    <rPh sb="13" eb="14">
      <t>ヤ</t>
    </rPh>
    <phoneticPr fontId="4"/>
  </si>
  <si>
    <t>案件名</t>
    <rPh sb="0" eb="2">
      <t>アンケン</t>
    </rPh>
    <rPh sb="2" eb="3">
      <t>メイ</t>
    </rPh>
    <phoneticPr fontId="4"/>
  </si>
  <si>
    <t>○</t>
    <phoneticPr fontId="4"/>
  </si>
  <si>
    <t>タオ</t>
    <phoneticPr fontId="4"/>
  </si>
  <si>
    <t>3</t>
    <phoneticPr fontId="4"/>
  </si>
  <si>
    <t>埋土・ｼﾙﾄ</t>
    <rPh sb="0" eb="1">
      <t>ウ</t>
    </rPh>
    <rPh sb="1" eb="2">
      <t>ド</t>
    </rPh>
    <phoneticPr fontId="4"/>
  </si>
  <si>
    <t>-</t>
    <phoneticPr fontId="4"/>
  </si>
  <si>
    <t>3m</t>
    <phoneticPr fontId="4"/>
  </si>
  <si>
    <t>ｼﾙﾄ</t>
    <phoneticPr fontId="4"/>
  </si>
  <si>
    <t>3m</t>
    <phoneticPr fontId="4"/>
  </si>
  <si>
    <t>細砂</t>
    <rPh sb="0" eb="1">
      <t>サイ</t>
    </rPh>
    <rPh sb="1" eb="2">
      <t>スナ</t>
    </rPh>
    <phoneticPr fontId="4"/>
  </si>
  <si>
    <t>2m</t>
    <phoneticPr fontId="4"/>
  </si>
  <si>
    <t>工場</t>
    <phoneticPr fontId="4"/>
  </si>
  <si>
    <t>海に近い。埋立地</t>
    <rPh sb="0" eb="1">
      <t>ウミ</t>
    </rPh>
    <rPh sb="2" eb="3">
      <t>チカ</t>
    </rPh>
    <rPh sb="5" eb="8">
      <t>ウメタテチ</t>
    </rPh>
    <phoneticPr fontId="4"/>
  </si>
  <si>
    <t>VINA</t>
    <phoneticPr fontId="4"/>
  </si>
  <si>
    <t>京都府</t>
    <phoneticPr fontId="4"/>
  </si>
  <si>
    <t>綾部市</t>
    <rPh sb="0" eb="2">
      <t>アヤベ</t>
    </rPh>
    <rPh sb="2" eb="3">
      <t>シ</t>
    </rPh>
    <phoneticPr fontId="4"/>
  </si>
  <si>
    <t>城山町</t>
    <rPh sb="0" eb="2">
      <t>シロヤマ</t>
    </rPh>
    <rPh sb="2" eb="3">
      <t>マチ</t>
    </rPh>
    <phoneticPr fontId="4"/>
  </si>
  <si>
    <t>矢野建設</t>
    <rPh sb="0" eb="2">
      <t>ヤノ</t>
    </rPh>
    <rPh sb="2" eb="4">
      <t>ケンセツ</t>
    </rPh>
    <phoneticPr fontId="4"/>
  </si>
  <si>
    <t>ヨネダ 株式会社</t>
    <rPh sb="4" eb="6">
      <t>カブシキ</t>
    </rPh>
    <rPh sb="6" eb="8">
      <t>カイシャ</t>
    </rPh>
    <phoneticPr fontId="4"/>
  </si>
  <si>
    <t>ヨネダ 株式会社</t>
    <phoneticPr fontId="4"/>
  </si>
  <si>
    <t>ヨネダ カブシキガイシャ</t>
    <phoneticPr fontId="4"/>
  </si>
  <si>
    <t>3棟。内1棟はTPで意匠設計。境界部既存擁壁あり。
2019.07.22竹内社長より失注</t>
    <rPh sb="1" eb="2">
      <t>トウ</t>
    </rPh>
    <rPh sb="3" eb="4">
      <t>ウチ</t>
    </rPh>
    <rPh sb="5" eb="6">
      <t>トウ</t>
    </rPh>
    <rPh sb="10" eb="12">
      <t>イショウ</t>
    </rPh>
    <rPh sb="12" eb="14">
      <t>セッケイ</t>
    </rPh>
    <rPh sb="15" eb="17">
      <t>キョウカイ</t>
    </rPh>
    <rPh sb="17" eb="18">
      <t>ブ</t>
    </rPh>
    <rPh sb="18" eb="20">
      <t>キソン</t>
    </rPh>
    <rPh sb="20" eb="21">
      <t>ヨウ</t>
    </rPh>
    <rPh sb="21" eb="22">
      <t>カベ</t>
    </rPh>
    <rPh sb="36" eb="38">
      <t>タケウチ</t>
    </rPh>
    <rPh sb="38" eb="40">
      <t>シャチョウ</t>
    </rPh>
    <rPh sb="42" eb="43">
      <t>シッ</t>
    </rPh>
    <rPh sb="43" eb="44">
      <t>チュウ</t>
    </rPh>
    <phoneticPr fontId="4"/>
  </si>
  <si>
    <t>16m</t>
    <phoneticPr fontId="4"/>
  </si>
  <si>
    <t>砂混じりｼﾙﾄ</t>
    <rPh sb="0" eb="1">
      <t>スナ</t>
    </rPh>
    <rPh sb="1" eb="2">
      <t>マ</t>
    </rPh>
    <phoneticPr fontId="4"/>
  </si>
  <si>
    <t>2m</t>
    <phoneticPr fontId="4"/>
  </si>
  <si>
    <t>ｼﾙﾄ質粘土</t>
    <rPh sb="3" eb="4">
      <t>シツ</t>
    </rPh>
    <rPh sb="4" eb="6">
      <t>ネンド</t>
    </rPh>
    <phoneticPr fontId="4"/>
  </si>
  <si>
    <t>-</t>
    <phoneticPr fontId="4"/>
  </si>
  <si>
    <t>1m</t>
    <phoneticPr fontId="4"/>
  </si>
  <si>
    <t>ｼﾙﾄ質細砂</t>
    <rPh sb="3" eb="4">
      <t>シツ</t>
    </rPh>
    <rPh sb="4" eb="5">
      <t>サイ</t>
    </rPh>
    <rPh sb="5" eb="6">
      <t>スナ</t>
    </rPh>
    <phoneticPr fontId="4"/>
  </si>
  <si>
    <t>ｼﾙﾄ質粘土(腐植物混入)</t>
    <rPh sb="3" eb="4">
      <t>シツ</t>
    </rPh>
    <rPh sb="4" eb="6">
      <t>ネンド</t>
    </rPh>
    <rPh sb="7" eb="9">
      <t>フショク</t>
    </rPh>
    <rPh sb="9" eb="10">
      <t>ブツ</t>
    </rPh>
    <rPh sb="10" eb="12">
      <t>コンニュウ</t>
    </rPh>
    <phoneticPr fontId="4"/>
  </si>
  <si>
    <t>新栄町</t>
    <rPh sb="0" eb="1">
      <t>シン</t>
    </rPh>
    <rPh sb="1" eb="2">
      <t>サカエ</t>
    </rPh>
    <rPh sb="2" eb="3">
      <t>マチ</t>
    </rPh>
    <phoneticPr fontId="4"/>
  </si>
  <si>
    <t>ｷｬ18.1
事22.7</t>
    <rPh sb="7" eb="8">
      <t>コト</t>
    </rPh>
    <phoneticPr fontId="4"/>
  </si>
  <si>
    <t>23.6
24.7</t>
    <phoneticPr fontId="4"/>
  </si>
  <si>
    <t>19.8
9.2</t>
    <phoneticPr fontId="4"/>
  </si>
  <si>
    <t>61.5
56.6</t>
    <phoneticPr fontId="4"/>
  </si>
  <si>
    <t>海に近い。2020.2末竣工</t>
    <rPh sb="0" eb="1">
      <t>ウミ</t>
    </rPh>
    <rPh sb="2" eb="3">
      <t>チカ</t>
    </rPh>
    <rPh sb="11" eb="12">
      <t>マツ</t>
    </rPh>
    <rPh sb="12" eb="14">
      <t>シュンコウ</t>
    </rPh>
    <phoneticPr fontId="4"/>
  </si>
  <si>
    <t>2</t>
    <phoneticPr fontId="4"/>
  </si>
  <si>
    <t>火山灰質粘性土</t>
    <rPh sb="0" eb="2">
      <t>カザン</t>
    </rPh>
    <rPh sb="2" eb="3">
      <t>ハイ</t>
    </rPh>
    <rPh sb="3" eb="4">
      <t>シツ</t>
    </rPh>
    <rPh sb="4" eb="6">
      <t>ネンセイ</t>
    </rPh>
    <rPh sb="6" eb="7">
      <t>ド</t>
    </rPh>
    <phoneticPr fontId="4"/>
  </si>
  <si>
    <t>礫混り粘土</t>
    <rPh sb="0" eb="1">
      <t>レキ</t>
    </rPh>
    <rPh sb="1" eb="2">
      <t>マ</t>
    </rPh>
    <rPh sb="3" eb="5">
      <t>ネンド</t>
    </rPh>
    <phoneticPr fontId="4"/>
  </si>
  <si>
    <t>1m</t>
    <phoneticPr fontId="4"/>
  </si>
  <si>
    <t>砂質ｼﾙﾄ</t>
    <rPh sb="0" eb="1">
      <t>スナ</t>
    </rPh>
    <rPh sb="1" eb="2">
      <t>シツ</t>
    </rPh>
    <phoneticPr fontId="4"/>
  </si>
  <si>
    <t>盛土</t>
    <rPh sb="0" eb="1">
      <t>モリ</t>
    </rPh>
    <rPh sb="1" eb="2">
      <t>ド</t>
    </rPh>
    <phoneticPr fontId="4"/>
  </si>
  <si>
    <t>3m</t>
    <phoneticPr fontId="4"/>
  </si>
  <si>
    <t>2m</t>
    <phoneticPr fontId="4"/>
  </si>
  <si>
    <t>粘土(有機物含む)</t>
    <rPh sb="0" eb="2">
      <t>ネンド</t>
    </rPh>
    <rPh sb="3" eb="6">
      <t>ユウキブツ</t>
    </rPh>
    <rPh sb="6" eb="7">
      <t>フク</t>
    </rPh>
    <phoneticPr fontId="4"/>
  </si>
  <si>
    <t>3</t>
    <phoneticPr fontId="4"/>
  </si>
  <si>
    <t>盛土</t>
    <rPh sb="0" eb="1">
      <t>モリ</t>
    </rPh>
    <rPh sb="1" eb="2">
      <t>ド</t>
    </rPh>
    <phoneticPr fontId="4"/>
  </si>
  <si>
    <t>ｼﾙﾄ</t>
    <phoneticPr fontId="4"/>
  </si>
  <si>
    <t>6m</t>
    <phoneticPr fontId="4"/>
  </si>
  <si>
    <t>-</t>
    <phoneticPr fontId="4"/>
  </si>
  <si>
    <t>-</t>
    <phoneticPr fontId="4"/>
  </si>
  <si>
    <t>有機質ｼﾙﾄ</t>
    <rPh sb="0" eb="3">
      <t>ユウキシツ</t>
    </rPh>
    <phoneticPr fontId="4"/>
  </si>
  <si>
    <t>工場</t>
    <rPh sb="0" eb="2">
      <t>コウジョウ</t>
    </rPh>
    <phoneticPr fontId="4"/>
  </si>
  <si>
    <t>財団法人 愛知県建築住宅センター</t>
    <phoneticPr fontId="4"/>
  </si>
  <si>
    <t>財団法人 ベターリビング</t>
    <phoneticPr fontId="4"/>
  </si>
  <si>
    <t>千歳市</t>
    <rPh sb="0" eb="3">
      <t>チトセシ</t>
    </rPh>
    <phoneticPr fontId="4"/>
  </si>
  <si>
    <t>長都</t>
    <rPh sb="0" eb="1">
      <t>ナガ</t>
    </rPh>
    <rPh sb="1" eb="2">
      <t>ト</t>
    </rPh>
    <phoneticPr fontId="4"/>
  </si>
  <si>
    <t>：監理</t>
    <rPh sb="1" eb="3">
      <t>カンリ</t>
    </rPh>
    <phoneticPr fontId="4"/>
  </si>
  <si>
    <t>：今週変更箇所</t>
    <rPh sb="1" eb="3">
      <t>コンシュウ</t>
    </rPh>
    <rPh sb="3" eb="5">
      <t>ヘンコウ</t>
    </rPh>
    <rPh sb="5" eb="7">
      <t>カショ</t>
    </rPh>
    <phoneticPr fontId="4"/>
  </si>
  <si>
    <t>赤字</t>
    <rPh sb="0" eb="1">
      <t>アカ</t>
    </rPh>
    <rPh sb="1" eb="2">
      <t>ジ</t>
    </rPh>
    <phoneticPr fontId="4"/>
  </si>
  <si>
    <t>凡例</t>
    <rPh sb="0" eb="2">
      <t>ハンレイ</t>
    </rPh>
    <phoneticPr fontId="4"/>
  </si>
  <si>
    <t>保育所</t>
    <rPh sb="0" eb="2">
      <t>ホイク</t>
    </rPh>
    <rPh sb="2" eb="3">
      <t>ジョ</t>
    </rPh>
    <phoneticPr fontId="4"/>
  </si>
  <si>
    <t>矢野建設</t>
    <phoneticPr fontId="4"/>
  </si>
  <si>
    <t>3</t>
    <phoneticPr fontId="4"/>
  </si>
  <si>
    <t>着工</t>
    <rPh sb="0" eb="2">
      <t>チャッコウ</t>
    </rPh>
    <phoneticPr fontId="4"/>
  </si>
  <si>
    <t>株式会社 東京建築検査機構</t>
    <phoneticPr fontId="4"/>
  </si>
  <si>
    <t>盛土</t>
    <rPh sb="0" eb="1">
      <t>モリ</t>
    </rPh>
    <rPh sb="1" eb="2">
      <t>ド</t>
    </rPh>
    <phoneticPr fontId="4"/>
  </si>
  <si>
    <t>有機質ｼﾙﾄ</t>
    <rPh sb="0" eb="3">
      <t>ユウキシツ</t>
    </rPh>
    <phoneticPr fontId="4"/>
  </si>
  <si>
    <t>4m</t>
    <phoneticPr fontId="4"/>
  </si>
  <si>
    <t>2m</t>
    <phoneticPr fontId="4"/>
  </si>
  <si>
    <t>細砂</t>
    <rPh sb="0" eb="1">
      <t>サイ</t>
    </rPh>
    <rPh sb="1" eb="2">
      <t>スナ</t>
    </rPh>
    <phoneticPr fontId="4"/>
  </si>
  <si>
    <t>3m</t>
    <phoneticPr fontId="4"/>
  </si>
  <si>
    <t>中央物産株式会社 伊勢原LC危険物倉庫</t>
    <rPh sb="0" eb="2">
      <t>チュウオウ</t>
    </rPh>
    <rPh sb="2" eb="4">
      <t>ブッサン</t>
    </rPh>
    <rPh sb="4" eb="6">
      <t>カブシキ</t>
    </rPh>
    <rPh sb="6" eb="8">
      <t>カイシャ</t>
    </rPh>
    <rPh sb="9" eb="12">
      <t>イセハラ</t>
    </rPh>
    <rPh sb="14" eb="17">
      <t>キケンブツ</t>
    </rPh>
    <rPh sb="17" eb="19">
      <t>ソウコ</t>
    </rPh>
    <phoneticPr fontId="4"/>
  </si>
  <si>
    <t>日本建物評価機構 株式会社</t>
    <phoneticPr fontId="4"/>
  </si>
  <si>
    <t>申請</t>
    <rPh sb="0" eb="2">
      <t>シンセイ</t>
    </rPh>
    <phoneticPr fontId="4"/>
  </si>
  <si>
    <t>着工</t>
    <rPh sb="0" eb="2">
      <t>チャッコウ</t>
    </rPh>
    <phoneticPr fontId="4"/>
  </si>
  <si>
    <t>見積図</t>
    <rPh sb="0" eb="2">
      <t>ミツモリ</t>
    </rPh>
    <rPh sb="2" eb="3">
      <t>ズ</t>
    </rPh>
    <phoneticPr fontId="4"/>
  </si>
  <si>
    <t>ヤノケンセツ</t>
    <phoneticPr fontId="4"/>
  </si>
  <si>
    <t>岩田醸造株式会社 千歳工場</t>
    <phoneticPr fontId="4"/>
  </si>
  <si>
    <t>ゆきのこ保育園</t>
    <rPh sb="4" eb="7">
      <t>ホイクエン</t>
    </rPh>
    <phoneticPr fontId="4"/>
  </si>
  <si>
    <t>むつ市</t>
    <rPh sb="2" eb="3">
      <t>シ</t>
    </rPh>
    <phoneticPr fontId="4"/>
  </si>
  <si>
    <t>旭町</t>
    <rPh sb="0" eb="1">
      <t>アサヒ</t>
    </rPh>
    <rPh sb="1" eb="2">
      <t>マチ</t>
    </rPh>
    <phoneticPr fontId="4"/>
  </si>
  <si>
    <t>株式会社 創設計</t>
    <phoneticPr fontId="4"/>
  </si>
  <si>
    <t>木村構造室</t>
    <rPh sb="0" eb="2">
      <t>キムラ</t>
    </rPh>
    <rPh sb="2" eb="4">
      <t>コウゾウ</t>
    </rPh>
    <rPh sb="4" eb="5">
      <t>シツ</t>
    </rPh>
    <phoneticPr fontId="4"/>
  </si>
  <si>
    <t>木村構造室</t>
    <phoneticPr fontId="4"/>
  </si>
  <si>
    <t>キムラコウゾウシツ</t>
    <phoneticPr fontId="4"/>
  </si>
  <si>
    <t>株式会社 アスコ建築構造室</t>
    <phoneticPr fontId="4"/>
  </si>
  <si>
    <t>株式会社 アスコ建築構造室</t>
    <phoneticPr fontId="4"/>
  </si>
  <si>
    <t>財団法人 さいたま住宅検査センター</t>
    <phoneticPr fontId="4"/>
  </si>
  <si>
    <t>　申請</t>
    <rPh sb="1" eb="3">
      <t>シンセイ</t>
    </rPh>
    <phoneticPr fontId="4"/>
  </si>
  <si>
    <t>申請</t>
    <rPh sb="0" eb="2">
      <t>シンセイ</t>
    </rPh>
    <phoneticPr fontId="4"/>
  </si>
  <si>
    <t>3</t>
    <phoneticPr fontId="4"/>
  </si>
  <si>
    <t>○</t>
    <phoneticPr fontId="4"/>
  </si>
  <si>
    <t>1m</t>
    <phoneticPr fontId="4"/>
  </si>
  <si>
    <t>粘土</t>
    <rPh sb="0" eb="2">
      <t>ネンド</t>
    </rPh>
    <phoneticPr fontId="4"/>
  </si>
  <si>
    <t>4m</t>
    <phoneticPr fontId="4"/>
  </si>
  <si>
    <t>3m</t>
    <phoneticPr fontId="4"/>
  </si>
  <si>
    <t>ｼﾙﾄ質砂</t>
    <rPh sb="3" eb="4">
      <t>シツ</t>
    </rPh>
    <rPh sb="4" eb="5">
      <t>スナ</t>
    </rPh>
    <phoneticPr fontId="4"/>
  </si>
  <si>
    <t>7m</t>
    <phoneticPr fontId="4"/>
  </si>
  <si>
    <t>盛土</t>
    <rPh sb="0" eb="1">
      <t>モリ</t>
    </rPh>
    <rPh sb="1" eb="2">
      <t>ド</t>
    </rPh>
    <phoneticPr fontId="4"/>
  </si>
  <si>
    <t>ｼﾙﾄ質火山灰</t>
    <rPh sb="3" eb="4">
      <t>シツ</t>
    </rPh>
    <rPh sb="4" eb="7">
      <t>カザンバイ</t>
    </rPh>
    <phoneticPr fontId="4"/>
  </si>
  <si>
    <t>1m</t>
    <phoneticPr fontId="4"/>
  </si>
  <si>
    <t>粗粒火山灰</t>
    <rPh sb="0" eb="1">
      <t>アラ</t>
    </rPh>
    <rPh sb="1" eb="2">
      <t>ツブ</t>
    </rPh>
    <rPh sb="2" eb="4">
      <t>カザン</t>
    </rPh>
    <rPh sb="4" eb="5">
      <t>ハイ</t>
    </rPh>
    <phoneticPr fontId="4"/>
  </si>
  <si>
    <t>7m</t>
    <phoneticPr fontId="4"/>
  </si>
  <si>
    <t>火山灰</t>
    <rPh sb="0" eb="2">
      <t>カザン</t>
    </rPh>
    <rPh sb="2" eb="3">
      <t>ハイ</t>
    </rPh>
    <phoneticPr fontId="4"/>
  </si>
  <si>
    <t>敷地内増築工事</t>
    <rPh sb="0" eb="2">
      <t>シキチ</t>
    </rPh>
    <rPh sb="2" eb="3">
      <t>ナイ</t>
    </rPh>
    <rPh sb="3" eb="5">
      <t>ゾウチク</t>
    </rPh>
    <rPh sb="5" eb="7">
      <t>コウジ</t>
    </rPh>
    <phoneticPr fontId="4"/>
  </si>
  <si>
    <t>柏田淳建築設計事務所</t>
    <rPh sb="0" eb="1">
      <t>カシワ</t>
    </rPh>
    <rPh sb="1" eb="2">
      <t>タ</t>
    </rPh>
    <rPh sb="2" eb="3">
      <t>ジュン</t>
    </rPh>
    <rPh sb="3" eb="5">
      <t>ケンチク</t>
    </rPh>
    <rPh sb="5" eb="7">
      <t>セッケイ</t>
    </rPh>
    <rPh sb="7" eb="9">
      <t>ジム</t>
    </rPh>
    <rPh sb="9" eb="10">
      <t>ショ</t>
    </rPh>
    <phoneticPr fontId="4"/>
  </si>
  <si>
    <t>柏田淳建築設計事務所</t>
    <phoneticPr fontId="4"/>
  </si>
  <si>
    <t>カシワダジュンケンチクセッケイジムショ</t>
    <phoneticPr fontId="4"/>
  </si>
  <si>
    <t>芋ラック</t>
    <rPh sb="0" eb="1">
      <t>イモ</t>
    </rPh>
    <phoneticPr fontId="4"/>
  </si>
  <si>
    <t>着工</t>
    <rPh sb="0" eb="2">
      <t>チャッコウ</t>
    </rPh>
    <phoneticPr fontId="4"/>
  </si>
  <si>
    <t>鉄骨建屋</t>
    <rPh sb="0" eb="2">
      <t>テッコツ</t>
    </rPh>
    <rPh sb="2" eb="3">
      <t>タ</t>
    </rPh>
    <rPh sb="3" eb="4">
      <t>ヤ</t>
    </rPh>
    <phoneticPr fontId="4"/>
  </si>
  <si>
    <t>有限会社 柳計画設計</t>
    <phoneticPr fontId="4"/>
  </si>
  <si>
    <t>秋田グルーラム 株式会社</t>
    <rPh sb="8" eb="10">
      <t>カブシキ</t>
    </rPh>
    <rPh sb="10" eb="12">
      <t>カイシャ</t>
    </rPh>
    <phoneticPr fontId="4"/>
  </si>
  <si>
    <t>秋田グルーラム 株式会社</t>
    <phoneticPr fontId="4"/>
  </si>
  <si>
    <t>アキタグルーラム カブシキガイシャ</t>
    <phoneticPr fontId="4"/>
  </si>
  <si>
    <t>既存建物への増築工事
2019.08.05動きが無いため失注</t>
    <rPh sb="0" eb="2">
      <t>キソン</t>
    </rPh>
    <rPh sb="2" eb="4">
      <t>タテモノ</t>
    </rPh>
    <rPh sb="6" eb="8">
      <t>ゾウチク</t>
    </rPh>
    <rPh sb="8" eb="10">
      <t>コウジ</t>
    </rPh>
    <phoneticPr fontId="4"/>
  </si>
  <si>
    <t>2019.08.05動きが無いため失注</t>
    <phoneticPr fontId="4"/>
  </si>
  <si>
    <t>2019.08.05動きが無いため失注</t>
    <phoneticPr fontId="4"/>
  </si>
  <si>
    <t>2019.08.05動きが無いため失注</t>
    <phoneticPr fontId="4"/>
  </si>
  <si>
    <t>3</t>
    <phoneticPr fontId="4"/>
  </si>
  <si>
    <t>6m</t>
    <phoneticPr fontId="4"/>
  </si>
  <si>
    <t>砂混じりｼﾙﾄ</t>
    <rPh sb="0" eb="1">
      <t>スナ</t>
    </rPh>
    <rPh sb="1" eb="2">
      <t>マ</t>
    </rPh>
    <phoneticPr fontId="4"/>
  </si>
  <si>
    <t>12m</t>
    <phoneticPr fontId="4"/>
  </si>
  <si>
    <t>2m</t>
    <phoneticPr fontId="4"/>
  </si>
  <si>
    <t>砂</t>
    <rPh sb="0" eb="1">
      <t>スナ</t>
    </rPh>
    <phoneticPr fontId="4"/>
  </si>
  <si>
    <t>ハウスプラス中国住宅保証 株式会社</t>
    <phoneticPr fontId="4"/>
  </si>
  <si>
    <t>ハウスプラス中国住宅保証 株式会社</t>
    <phoneticPr fontId="4"/>
  </si>
  <si>
    <t>バロー領下</t>
    <rPh sb="3" eb="4">
      <t>リョウ</t>
    </rPh>
    <rPh sb="4" eb="5">
      <t>シタ</t>
    </rPh>
    <phoneticPr fontId="4"/>
  </si>
  <si>
    <t>岐阜県</t>
    <phoneticPr fontId="4"/>
  </si>
  <si>
    <t>岐阜市</t>
    <rPh sb="0" eb="3">
      <t>ギフシ</t>
    </rPh>
    <phoneticPr fontId="4"/>
  </si>
  <si>
    <t>領下</t>
    <rPh sb="0" eb="1">
      <t>リョウ</t>
    </rPh>
    <rPh sb="1" eb="2">
      <t>シタ</t>
    </rPh>
    <phoneticPr fontId="4"/>
  </si>
  <si>
    <t>ｼﾙﾄ混じり砂</t>
    <rPh sb="3" eb="4">
      <t>マ</t>
    </rPh>
    <rPh sb="6" eb="7">
      <t>スナ</t>
    </rPh>
    <phoneticPr fontId="4"/>
  </si>
  <si>
    <t>3</t>
    <phoneticPr fontId="4"/>
  </si>
  <si>
    <t>盛土</t>
    <rPh sb="0" eb="1">
      <t>モリ</t>
    </rPh>
    <rPh sb="1" eb="2">
      <t>ド</t>
    </rPh>
    <phoneticPr fontId="4"/>
  </si>
  <si>
    <t>礫混じりｼﾙﾄ</t>
    <rPh sb="0" eb="1">
      <t>レキ</t>
    </rPh>
    <rPh sb="1" eb="2">
      <t>マ</t>
    </rPh>
    <phoneticPr fontId="4"/>
  </si>
  <si>
    <t>6m</t>
    <phoneticPr fontId="4"/>
  </si>
  <si>
    <t>ｼﾙﾄ(腐植物混じり)</t>
    <rPh sb="4" eb="6">
      <t>フショク</t>
    </rPh>
    <rPh sb="6" eb="7">
      <t>ブツ</t>
    </rPh>
    <rPh sb="7" eb="8">
      <t>マ</t>
    </rPh>
    <phoneticPr fontId="4"/>
  </si>
  <si>
    <t>工場</t>
    <rPh sb="0" eb="2">
      <t>コウジョウ</t>
    </rPh>
    <phoneticPr fontId="4"/>
  </si>
  <si>
    <t>擁壁下地盤改良あり。</t>
    <rPh sb="0" eb="1">
      <t>ヨウ</t>
    </rPh>
    <rPh sb="1" eb="2">
      <t>ヘキ</t>
    </rPh>
    <rPh sb="2" eb="3">
      <t>シタ</t>
    </rPh>
    <rPh sb="3" eb="5">
      <t>ジバン</t>
    </rPh>
    <rPh sb="5" eb="7">
      <t>カイリョウ</t>
    </rPh>
    <phoneticPr fontId="4"/>
  </si>
  <si>
    <t>株式会社 総合プランニングセンター</t>
    <phoneticPr fontId="4"/>
  </si>
  <si>
    <t>階上保育園</t>
    <phoneticPr fontId="4"/>
  </si>
  <si>
    <t xml:space="preserve">  申請</t>
    <rPh sb="2" eb="4">
      <t>シンセイ</t>
    </rPh>
    <phoneticPr fontId="4"/>
  </si>
  <si>
    <t>着工</t>
    <rPh sb="0" eb="2">
      <t>チャッコウ</t>
    </rPh>
    <phoneticPr fontId="4"/>
  </si>
  <si>
    <t>2019.08.08失注。エルマッド工法に変更</t>
    <rPh sb="10" eb="11">
      <t>シッ</t>
    </rPh>
    <rPh sb="11" eb="12">
      <t>チュウ</t>
    </rPh>
    <rPh sb="18" eb="20">
      <t>コウホウ</t>
    </rPh>
    <rPh sb="21" eb="23">
      <t>ヘンコウ</t>
    </rPh>
    <phoneticPr fontId="4"/>
  </si>
  <si>
    <t>申請</t>
    <rPh sb="0" eb="2">
      <t>シンセイ</t>
    </rPh>
    <phoneticPr fontId="4"/>
  </si>
  <si>
    <t>着工</t>
    <rPh sb="0" eb="2">
      <t>チャッコウ</t>
    </rPh>
    <phoneticPr fontId="4"/>
  </si>
  <si>
    <t>1.29(建物荷重で正規圧密)</t>
    <phoneticPr fontId="4"/>
  </si>
  <si>
    <t>JA全農とうほく設計センター</t>
    <phoneticPr fontId="4"/>
  </si>
  <si>
    <t>JA全農とうほく設計センター</t>
    <phoneticPr fontId="4"/>
  </si>
  <si>
    <t>五所川原市</t>
    <phoneticPr fontId="4"/>
  </si>
  <si>
    <t>失注</t>
    <rPh sb="0" eb="1">
      <t>シッ</t>
    </rPh>
    <rPh sb="1" eb="2">
      <t>チュウ</t>
    </rPh>
    <phoneticPr fontId="4"/>
  </si>
  <si>
    <t>株式会社 沖縄建築確認検査センター</t>
    <rPh sb="0" eb="2">
      <t>カブシキ</t>
    </rPh>
    <rPh sb="2" eb="4">
      <t>カイシャ</t>
    </rPh>
    <rPh sb="5" eb="7">
      <t>オキナワ</t>
    </rPh>
    <rPh sb="7" eb="9">
      <t>ケンチク</t>
    </rPh>
    <rPh sb="9" eb="11">
      <t>カクニン</t>
    </rPh>
    <rPh sb="11" eb="13">
      <t>ケンサ</t>
    </rPh>
    <phoneticPr fontId="4"/>
  </si>
  <si>
    <t>株式会社 沖縄建築確認検査センター</t>
    <phoneticPr fontId="4"/>
  </si>
  <si>
    <t>株式会社 沖縄建築確認検査センター</t>
    <phoneticPr fontId="4"/>
  </si>
  <si>
    <t>株式会社 国際確認検査センター</t>
    <phoneticPr fontId="4"/>
  </si>
  <si>
    <t>山形県</t>
    <phoneticPr fontId="4"/>
  </si>
  <si>
    <t>鶴岡市</t>
    <phoneticPr fontId="4"/>
  </si>
  <si>
    <t>茅原</t>
    <phoneticPr fontId="4"/>
  </si>
  <si>
    <t>2</t>
    <phoneticPr fontId="4"/>
  </si>
  <si>
    <t>幼稚園</t>
    <rPh sb="0" eb="3">
      <t>ヨウチエン</t>
    </rPh>
    <phoneticPr fontId="4"/>
  </si>
  <si>
    <t>BMW姫路</t>
    <rPh sb="3" eb="5">
      <t>ヒメジ</t>
    </rPh>
    <phoneticPr fontId="4"/>
  </si>
  <si>
    <t>兵庫県</t>
    <phoneticPr fontId="4"/>
  </si>
  <si>
    <t>姫路市</t>
    <rPh sb="0" eb="3">
      <t>ヒメジシ</t>
    </rPh>
    <phoneticPr fontId="4"/>
  </si>
  <si>
    <t>亀山</t>
    <rPh sb="0" eb="2">
      <t>カメヤマ</t>
    </rPh>
    <phoneticPr fontId="4"/>
  </si>
  <si>
    <t>店舗・工場</t>
    <rPh sb="0" eb="2">
      <t>テンポ</t>
    </rPh>
    <rPh sb="3" eb="5">
      <t>コウジョウ</t>
    </rPh>
    <phoneticPr fontId="4"/>
  </si>
  <si>
    <t>株式会社 ジェイ・イー・サポート</t>
    <phoneticPr fontId="4"/>
  </si>
  <si>
    <t>着工</t>
    <rPh sb="0" eb="2">
      <t>チャッコウ</t>
    </rPh>
    <phoneticPr fontId="4"/>
  </si>
  <si>
    <t>VINA TAKEUCHI スケジュール</t>
    <phoneticPr fontId="4"/>
  </si>
  <si>
    <t>三戸郡</t>
    <rPh sb="0" eb="1">
      <t>サン</t>
    </rPh>
    <rPh sb="1" eb="2">
      <t>ト</t>
    </rPh>
    <rPh sb="2" eb="3">
      <t>グン</t>
    </rPh>
    <phoneticPr fontId="4"/>
  </si>
  <si>
    <t>階上町赤保内柳沢</t>
    <rPh sb="0" eb="1">
      <t>カイ</t>
    </rPh>
    <rPh sb="1" eb="2">
      <t>ウエ</t>
    </rPh>
    <rPh sb="2" eb="3">
      <t>マチ</t>
    </rPh>
    <rPh sb="3" eb="4">
      <t>アカ</t>
    </rPh>
    <rPh sb="4" eb="5">
      <t>ホ</t>
    </rPh>
    <rPh sb="5" eb="6">
      <t>ナイ</t>
    </rPh>
    <rPh sb="6" eb="7">
      <t>ヤナギ</t>
    </rPh>
    <rPh sb="7" eb="8">
      <t>サワ</t>
    </rPh>
    <phoneticPr fontId="4"/>
  </si>
  <si>
    <t>190015-1</t>
    <phoneticPr fontId="4"/>
  </si>
  <si>
    <t>ヤマザワ鶴岡茅原 食料品棟</t>
    <rPh sb="4" eb="6">
      <t>ツルオカ</t>
    </rPh>
    <rPh sb="7" eb="8">
      <t>ハラ</t>
    </rPh>
    <rPh sb="9" eb="12">
      <t>ショクリョウヒン</t>
    </rPh>
    <rPh sb="12" eb="13">
      <t>トウ</t>
    </rPh>
    <phoneticPr fontId="4"/>
  </si>
  <si>
    <t>ヤマザワ鶴岡茅原 ドラッグ棟</t>
    <rPh sb="4" eb="6">
      <t>ツルオカ</t>
    </rPh>
    <rPh sb="7" eb="8">
      <t>ハラ</t>
    </rPh>
    <rPh sb="13" eb="14">
      <t>トウ</t>
    </rPh>
    <phoneticPr fontId="4"/>
  </si>
  <si>
    <t>盛土</t>
    <rPh sb="0" eb="1">
      <t>モリ</t>
    </rPh>
    <rPh sb="1" eb="2">
      <t>ド</t>
    </rPh>
    <phoneticPr fontId="4"/>
  </si>
  <si>
    <t>1m</t>
    <phoneticPr fontId="4"/>
  </si>
  <si>
    <t>15m</t>
    <phoneticPr fontId="4"/>
  </si>
  <si>
    <t>-</t>
    <phoneticPr fontId="4"/>
  </si>
  <si>
    <t>布</t>
    <rPh sb="0" eb="1">
      <t>ヌノ</t>
    </rPh>
    <phoneticPr fontId="4"/>
  </si>
  <si>
    <t>ﾛｰﾑ</t>
    <phoneticPr fontId="4"/>
  </si>
  <si>
    <t>7m</t>
    <phoneticPr fontId="4"/>
  </si>
  <si>
    <t>3m</t>
    <phoneticPr fontId="4"/>
  </si>
  <si>
    <t>1m</t>
    <phoneticPr fontId="4"/>
  </si>
  <si>
    <t>火山灰質砂</t>
    <rPh sb="0" eb="2">
      <t>カザン</t>
    </rPh>
    <rPh sb="2" eb="3">
      <t>ハイ</t>
    </rPh>
    <rPh sb="3" eb="4">
      <t>シツ</t>
    </rPh>
    <rPh sb="4" eb="5">
      <t>スナ</t>
    </rPh>
    <phoneticPr fontId="4"/>
  </si>
  <si>
    <t>ウット
VINA</t>
    <phoneticPr fontId="4"/>
  </si>
  <si>
    <t>-</t>
    <phoneticPr fontId="4"/>
  </si>
  <si>
    <t>出雲市</t>
    <rPh sb="0" eb="3">
      <t>イズモシ</t>
    </rPh>
    <phoneticPr fontId="4"/>
  </si>
  <si>
    <t>矢野町</t>
    <rPh sb="0" eb="2">
      <t>ヤノ</t>
    </rPh>
    <rPh sb="2" eb="3">
      <t>マチ</t>
    </rPh>
    <phoneticPr fontId="4"/>
  </si>
  <si>
    <t>工場・貯蔵庫・倉庫</t>
    <rPh sb="3" eb="6">
      <t>チョゾウコ</t>
    </rPh>
    <rPh sb="7" eb="9">
      <t>ソウコ</t>
    </rPh>
    <phoneticPr fontId="4"/>
  </si>
  <si>
    <t>株式会社 中林建築設計事務所</t>
    <phoneticPr fontId="4"/>
  </si>
  <si>
    <t>株式会社 中林建築設計事務所</t>
    <phoneticPr fontId="4"/>
  </si>
  <si>
    <t>着工</t>
    <rPh sb="0" eb="2">
      <t>チャッコウ</t>
    </rPh>
    <phoneticPr fontId="4"/>
  </si>
  <si>
    <t>神奈川県</t>
    <rPh sb="0" eb="4">
      <t>カナガワケン</t>
    </rPh>
    <phoneticPr fontId="4"/>
  </si>
  <si>
    <t>伊勢原市</t>
    <rPh sb="0" eb="3">
      <t>イセハラ</t>
    </rPh>
    <rPh sb="3" eb="4">
      <t>シ</t>
    </rPh>
    <phoneticPr fontId="4"/>
  </si>
  <si>
    <t>北茨城市</t>
    <rPh sb="0" eb="1">
      <t>キタ</t>
    </rPh>
    <rPh sb="1" eb="3">
      <t>イバラギ</t>
    </rPh>
    <rPh sb="3" eb="4">
      <t>シ</t>
    </rPh>
    <phoneticPr fontId="4"/>
  </si>
  <si>
    <t>関本町関本中</t>
    <rPh sb="0" eb="1">
      <t>セキ</t>
    </rPh>
    <rPh sb="1" eb="2">
      <t>ホン</t>
    </rPh>
    <rPh sb="2" eb="3">
      <t>マチ</t>
    </rPh>
    <rPh sb="3" eb="4">
      <t>セキ</t>
    </rPh>
    <rPh sb="4" eb="5">
      <t>ホン</t>
    </rPh>
    <rPh sb="5" eb="6">
      <t>ナカ</t>
    </rPh>
    <phoneticPr fontId="4"/>
  </si>
  <si>
    <t>寺西化学工業(株)出雲工場</t>
    <phoneticPr fontId="4"/>
  </si>
  <si>
    <t>申請</t>
    <rPh sb="0" eb="2">
      <t>シンセイ</t>
    </rPh>
    <phoneticPr fontId="4"/>
  </si>
  <si>
    <t>五所川原市</t>
    <phoneticPr fontId="4"/>
  </si>
  <si>
    <t>大字金山字亀ヶ岡</t>
    <rPh sb="0" eb="2">
      <t>オオアザ</t>
    </rPh>
    <rPh sb="2" eb="3">
      <t>キン</t>
    </rPh>
    <rPh sb="3" eb="4">
      <t>ヤマ</t>
    </rPh>
    <rPh sb="4" eb="5">
      <t>アザ</t>
    </rPh>
    <rPh sb="5" eb="6">
      <t>カメ</t>
    </rPh>
    <rPh sb="7" eb="8">
      <t>オカ</t>
    </rPh>
    <phoneticPr fontId="4"/>
  </si>
  <si>
    <t>有機質土</t>
    <rPh sb="0" eb="3">
      <t>ユウキシツ</t>
    </rPh>
    <rPh sb="3" eb="4">
      <t>ド</t>
    </rPh>
    <phoneticPr fontId="4"/>
  </si>
  <si>
    <t>2m</t>
    <phoneticPr fontId="4"/>
  </si>
  <si>
    <t>有機質ｼﾙﾄ</t>
    <rPh sb="0" eb="3">
      <t>ユウキシツ</t>
    </rPh>
    <phoneticPr fontId="4"/>
  </si>
  <si>
    <t>砂質ｼﾙﾄ</t>
    <rPh sb="0" eb="1">
      <t>スナ</t>
    </rPh>
    <rPh sb="1" eb="2">
      <t>シツ</t>
    </rPh>
    <phoneticPr fontId="4"/>
  </si>
  <si>
    <t>細砂</t>
    <rPh sb="0" eb="1">
      <t>サイ</t>
    </rPh>
    <rPh sb="1" eb="2">
      <t>スナ</t>
    </rPh>
    <phoneticPr fontId="4"/>
  </si>
  <si>
    <t>1m</t>
    <phoneticPr fontId="4"/>
  </si>
  <si>
    <t>粘性土</t>
    <rPh sb="0" eb="2">
      <t>ネンセイ</t>
    </rPh>
    <rPh sb="2" eb="3">
      <t>ド</t>
    </rPh>
    <phoneticPr fontId="4"/>
  </si>
  <si>
    <t>2m</t>
    <phoneticPr fontId="4"/>
  </si>
  <si>
    <t>軽石混じり砂</t>
    <rPh sb="0" eb="2">
      <t>カルイシ</t>
    </rPh>
    <rPh sb="2" eb="3">
      <t>マ</t>
    </rPh>
    <rPh sb="5" eb="6">
      <t>スナ</t>
    </rPh>
    <phoneticPr fontId="4"/>
  </si>
  <si>
    <t>みちのく銀行沖館支店</t>
    <phoneticPr fontId="4"/>
  </si>
  <si>
    <t>11m</t>
    <phoneticPr fontId="4"/>
  </si>
  <si>
    <t>ｼﾙﾄ</t>
    <phoneticPr fontId="4"/>
  </si>
  <si>
    <t>8m</t>
    <phoneticPr fontId="4"/>
  </si>
  <si>
    <t>2m</t>
    <phoneticPr fontId="4"/>
  </si>
  <si>
    <t>5m</t>
    <phoneticPr fontId="4"/>
  </si>
  <si>
    <t>9m</t>
    <phoneticPr fontId="4"/>
  </si>
  <si>
    <t>5m</t>
    <phoneticPr fontId="4"/>
  </si>
  <si>
    <t>4m</t>
    <phoneticPr fontId="4"/>
  </si>
  <si>
    <t>ｼﾙﾄ質砂</t>
    <rPh sb="3" eb="4">
      <t>シツ</t>
    </rPh>
    <rPh sb="4" eb="5">
      <t>スナ</t>
    </rPh>
    <phoneticPr fontId="4"/>
  </si>
  <si>
    <t>山形県</t>
    <phoneticPr fontId="4"/>
  </si>
  <si>
    <t>酒田市</t>
    <phoneticPr fontId="4"/>
  </si>
  <si>
    <t>新橋</t>
    <rPh sb="0" eb="1">
      <t>シン</t>
    </rPh>
    <rPh sb="1" eb="2">
      <t>ハシ</t>
    </rPh>
    <phoneticPr fontId="4"/>
  </si>
  <si>
    <t>株式会社 新藤建築設計事務所</t>
    <rPh sb="0" eb="4">
      <t>カブシキガイシャ</t>
    </rPh>
    <rPh sb="5" eb="7">
      <t>シンドウ</t>
    </rPh>
    <rPh sb="7" eb="9">
      <t>ケンチク</t>
    </rPh>
    <rPh sb="9" eb="11">
      <t>セッケイ</t>
    </rPh>
    <rPh sb="11" eb="13">
      <t>ジム</t>
    </rPh>
    <rPh sb="13" eb="14">
      <t>ショ</t>
    </rPh>
    <phoneticPr fontId="4"/>
  </si>
  <si>
    <t>株式会社 新藤建築設計事務所</t>
    <phoneticPr fontId="4"/>
  </si>
  <si>
    <t>カブシキガイシャ シンドウケンチクセッケイジムショ</t>
    <phoneticPr fontId="4"/>
  </si>
  <si>
    <t>○
10m</t>
    <phoneticPr fontId="4"/>
  </si>
  <si>
    <t>高架(6m)、既存基礎 近接。2019.08.26失注</t>
    <rPh sb="0" eb="2">
      <t>コウカ</t>
    </rPh>
    <rPh sb="7" eb="9">
      <t>キソン</t>
    </rPh>
    <rPh sb="9" eb="11">
      <t>キソ</t>
    </rPh>
    <rPh sb="12" eb="14">
      <t>キンセツ</t>
    </rPh>
    <rPh sb="25" eb="26">
      <t>シッ</t>
    </rPh>
    <rPh sb="26" eb="27">
      <t>チュウ</t>
    </rPh>
    <phoneticPr fontId="4"/>
  </si>
  <si>
    <t>2019.08.26失注</t>
    <phoneticPr fontId="4"/>
  </si>
  <si>
    <t>ｱｲｱｲﾃｰ石狩第2物流ｾﾝﾀｰA棟</t>
    <phoneticPr fontId="4"/>
  </si>
  <si>
    <t>石狩市</t>
    <phoneticPr fontId="4"/>
  </si>
  <si>
    <t>新港西</t>
    <phoneticPr fontId="4"/>
  </si>
  <si>
    <t>S造</t>
    <phoneticPr fontId="4"/>
  </si>
  <si>
    <t>3</t>
    <phoneticPr fontId="4"/>
  </si>
  <si>
    <t>株式会社 総合プランニングセンター</t>
    <phoneticPr fontId="4"/>
  </si>
  <si>
    <t>株式会社 TA structure design</t>
    <phoneticPr fontId="4"/>
  </si>
  <si>
    <t>-</t>
    <phoneticPr fontId="4"/>
  </si>
  <si>
    <t>○</t>
    <phoneticPr fontId="4"/>
  </si>
  <si>
    <t>細砂</t>
    <rPh sb="0" eb="1">
      <t>サイ</t>
    </rPh>
    <rPh sb="1" eb="2">
      <t>スナ</t>
    </rPh>
    <phoneticPr fontId="4"/>
  </si>
  <si>
    <t>-</t>
    <phoneticPr fontId="4"/>
  </si>
  <si>
    <t>-</t>
    <phoneticPr fontId="4"/>
  </si>
  <si>
    <t>-</t>
    <phoneticPr fontId="4"/>
  </si>
  <si>
    <t>○</t>
    <phoneticPr fontId="4"/>
  </si>
  <si>
    <t>工場</t>
    <phoneticPr fontId="4"/>
  </si>
  <si>
    <t>海に近い。敷地内 増築工事</t>
    <rPh sb="0" eb="1">
      <t>ウミ</t>
    </rPh>
    <rPh sb="2" eb="3">
      <t>チカ</t>
    </rPh>
    <rPh sb="5" eb="7">
      <t>シキチ</t>
    </rPh>
    <rPh sb="7" eb="8">
      <t>ナイ</t>
    </rPh>
    <rPh sb="9" eb="11">
      <t>ゾウチク</t>
    </rPh>
    <rPh sb="11" eb="13">
      <t>コウジ</t>
    </rPh>
    <phoneticPr fontId="4"/>
  </si>
  <si>
    <t>大字梅田字燕口</t>
    <rPh sb="0" eb="2">
      <t>オオアザ</t>
    </rPh>
    <rPh sb="2" eb="4">
      <t>ウメダ</t>
    </rPh>
    <rPh sb="4" eb="5">
      <t>アザ</t>
    </rPh>
    <rPh sb="5" eb="6">
      <t>ツバメ</t>
    </rPh>
    <rPh sb="6" eb="7">
      <t>クチ</t>
    </rPh>
    <phoneticPr fontId="4"/>
  </si>
  <si>
    <t>広島県</t>
    <rPh sb="0" eb="3">
      <t>ヒロシマケン</t>
    </rPh>
    <phoneticPr fontId="4"/>
  </si>
  <si>
    <t>福山市</t>
    <rPh sb="0" eb="3">
      <t>フクヤマシ</t>
    </rPh>
    <phoneticPr fontId="4"/>
  </si>
  <si>
    <t>松浜町</t>
    <rPh sb="0" eb="1">
      <t>マツ</t>
    </rPh>
    <rPh sb="1" eb="2">
      <t>ハマ</t>
    </rPh>
    <rPh sb="2" eb="3">
      <t>マチ</t>
    </rPh>
    <phoneticPr fontId="4"/>
  </si>
  <si>
    <t>寄宿舎</t>
    <rPh sb="0" eb="3">
      <t>キシュクシャ</t>
    </rPh>
    <phoneticPr fontId="4"/>
  </si>
  <si>
    <t>-</t>
    <phoneticPr fontId="4"/>
  </si>
  <si>
    <t>木造</t>
    <rPh sb="0" eb="2">
      <t>モクゾウ</t>
    </rPh>
    <phoneticPr fontId="4"/>
  </si>
  <si>
    <t>1</t>
    <phoneticPr fontId="4"/>
  </si>
  <si>
    <t>株式会社 日立建築設計</t>
    <rPh sb="0" eb="2">
      <t>カブシキ</t>
    </rPh>
    <rPh sb="2" eb="4">
      <t>カイシャ</t>
    </rPh>
    <rPh sb="5" eb="7">
      <t>ヒタチ</t>
    </rPh>
    <rPh sb="7" eb="9">
      <t>ケンチク</t>
    </rPh>
    <rPh sb="9" eb="11">
      <t>セッケイ</t>
    </rPh>
    <phoneticPr fontId="4"/>
  </si>
  <si>
    <t>株式会社 ティ・ティ・アール設計</t>
    <phoneticPr fontId="4"/>
  </si>
  <si>
    <t>-</t>
    <phoneticPr fontId="4"/>
  </si>
  <si>
    <t>○
8m</t>
    <phoneticPr fontId="4"/>
  </si>
  <si>
    <t>盛土</t>
    <rPh sb="0" eb="1">
      <t>モリ</t>
    </rPh>
    <rPh sb="1" eb="2">
      <t>ド</t>
    </rPh>
    <phoneticPr fontId="4"/>
  </si>
  <si>
    <t>ｼﾙﾄ混じり砂</t>
    <rPh sb="3" eb="4">
      <t>マ</t>
    </rPh>
    <rPh sb="6" eb="7">
      <t>スナ</t>
    </rPh>
    <phoneticPr fontId="4"/>
  </si>
  <si>
    <t>○</t>
    <phoneticPr fontId="4"/>
  </si>
  <si>
    <t>1m</t>
    <phoneticPr fontId="4"/>
  </si>
  <si>
    <t>砂混じりｼﾙﾄ質細砂</t>
    <rPh sb="0" eb="1">
      <t>スナ</t>
    </rPh>
    <rPh sb="1" eb="2">
      <t>マ</t>
    </rPh>
    <rPh sb="7" eb="8">
      <t>シツ</t>
    </rPh>
    <rPh sb="8" eb="9">
      <t>サイ</t>
    </rPh>
    <rPh sb="9" eb="10">
      <t>スナ</t>
    </rPh>
    <phoneticPr fontId="4"/>
  </si>
  <si>
    <t>5m</t>
    <phoneticPr fontId="4"/>
  </si>
  <si>
    <t>ｼﾙﾄ質細砂</t>
    <rPh sb="3" eb="4">
      <t>シツ</t>
    </rPh>
    <rPh sb="4" eb="5">
      <t>サイ</t>
    </rPh>
    <rPh sb="5" eb="6">
      <t>スナ</t>
    </rPh>
    <phoneticPr fontId="4"/>
  </si>
  <si>
    <t>2m</t>
    <phoneticPr fontId="4"/>
  </si>
  <si>
    <t>ｼﾙﾄ質細砂(腐植物少量混入)</t>
    <rPh sb="3" eb="4">
      <t>シツ</t>
    </rPh>
    <rPh sb="4" eb="5">
      <t>サイ</t>
    </rPh>
    <rPh sb="5" eb="6">
      <t>スナ</t>
    </rPh>
    <rPh sb="7" eb="9">
      <t>フショク</t>
    </rPh>
    <rPh sb="9" eb="10">
      <t>ブツ</t>
    </rPh>
    <rPh sb="10" eb="12">
      <t>ショウリョウ</t>
    </rPh>
    <rPh sb="12" eb="14">
      <t>コンニュウ</t>
    </rPh>
    <phoneticPr fontId="4"/>
  </si>
  <si>
    <t>工場</t>
    <rPh sb="0" eb="2">
      <t>コウジョウ</t>
    </rPh>
    <phoneticPr fontId="4"/>
  </si>
  <si>
    <t>株式会社 TA structure design</t>
    <phoneticPr fontId="4"/>
  </si>
  <si>
    <t>株式会社 日立建築設計</t>
    <phoneticPr fontId="4"/>
  </si>
  <si>
    <t>カブシキガイシャ ヒタチケンチクセッケイ</t>
    <phoneticPr fontId="4"/>
  </si>
  <si>
    <t>1</t>
    <phoneticPr fontId="4"/>
  </si>
  <si>
    <t>株式会社 国際確認検査センター</t>
    <phoneticPr fontId="4"/>
  </si>
  <si>
    <t>財団法人 日本建築設備・昇降機センター</t>
    <phoneticPr fontId="4"/>
  </si>
  <si>
    <t>財団法人 日本建築設備・昇降機センター</t>
    <phoneticPr fontId="4"/>
  </si>
  <si>
    <t>広島県</t>
    <rPh sb="0" eb="3">
      <t>ヒロシマケン</t>
    </rPh>
    <phoneticPr fontId="4"/>
  </si>
  <si>
    <t>三原市</t>
    <rPh sb="0" eb="3">
      <t>ミハラシ</t>
    </rPh>
    <phoneticPr fontId="4"/>
  </si>
  <si>
    <t>皆実</t>
    <rPh sb="0" eb="2">
      <t>ミナミ</t>
    </rPh>
    <phoneticPr fontId="4"/>
  </si>
  <si>
    <t>株式会社 NSE</t>
    <phoneticPr fontId="4"/>
  </si>
  <si>
    <t>カブシキガイシャ NSE</t>
    <phoneticPr fontId="4"/>
  </si>
  <si>
    <t>ビューローベリタスジャパン株式会社(埼玉)</t>
    <phoneticPr fontId="4"/>
  </si>
  <si>
    <t>ｼﾙﾄ質細砂</t>
    <rPh sb="3" eb="4">
      <t>シツ</t>
    </rPh>
    <rPh sb="4" eb="5">
      <t>サイ</t>
    </rPh>
    <rPh sb="5" eb="6">
      <t>スナ</t>
    </rPh>
    <phoneticPr fontId="4"/>
  </si>
  <si>
    <t>1m</t>
    <phoneticPr fontId="4"/>
  </si>
  <si>
    <t>4m</t>
    <phoneticPr fontId="4"/>
  </si>
  <si>
    <t>5m</t>
    <phoneticPr fontId="4"/>
  </si>
  <si>
    <t>ｼﾙﾄ</t>
    <phoneticPr fontId="4"/>
  </si>
  <si>
    <t>ｼﾙﾄ(有機物点在)</t>
    <rPh sb="4" eb="7">
      <t>ユウキブツ</t>
    </rPh>
    <rPh sb="7" eb="9">
      <t>テンザイ</t>
    </rPh>
    <phoneticPr fontId="4"/>
  </si>
  <si>
    <t>住宅</t>
    <rPh sb="0" eb="2">
      <t>ジュウタク</t>
    </rPh>
    <phoneticPr fontId="4"/>
  </si>
  <si>
    <t>見附島</t>
    <rPh sb="0" eb="1">
      <t>ミ</t>
    </rPh>
    <rPh sb="1" eb="2">
      <t>フ</t>
    </rPh>
    <rPh sb="2" eb="3">
      <t>シマ</t>
    </rPh>
    <phoneticPr fontId="4"/>
  </si>
  <si>
    <t>3</t>
    <phoneticPr fontId="4"/>
  </si>
  <si>
    <t>腐植土</t>
    <rPh sb="0" eb="2">
      <t>フショク</t>
    </rPh>
    <rPh sb="2" eb="3">
      <t>ド</t>
    </rPh>
    <phoneticPr fontId="4"/>
  </si>
  <si>
    <t>埋土(礫混じり粘土)</t>
    <rPh sb="0" eb="1">
      <t>ウ</t>
    </rPh>
    <rPh sb="1" eb="2">
      <t>ド</t>
    </rPh>
    <rPh sb="3" eb="4">
      <t>レキ</t>
    </rPh>
    <rPh sb="4" eb="5">
      <t>マ</t>
    </rPh>
    <rPh sb="7" eb="9">
      <t>ネンド</t>
    </rPh>
    <phoneticPr fontId="4"/>
  </si>
  <si>
    <t>1m</t>
    <phoneticPr fontId="4"/>
  </si>
  <si>
    <t>粘土質ｼﾙﾄ</t>
    <rPh sb="0" eb="2">
      <t>ネンド</t>
    </rPh>
    <rPh sb="2" eb="3">
      <t>シツ</t>
    </rPh>
    <phoneticPr fontId="4"/>
  </si>
  <si>
    <t>8m</t>
    <phoneticPr fontId="4"/>
  </si>
  <si>
    <t>-</t>
    <phoneticPr fontId="4"/>
  </si>
  <si>
    <t>-</t>
    <phoneticPr fontId="4"/>
  </si>
  <si>
    <t>敷地内 増築工事</t>
    <rPh sb="0" eb="2">
      <t>シキチ</t>
    </rPh>
    <rPh sb="2" eb="3">
      <t>ナイ</t>
    </rPh>
    <rPh sb="4" eb="6">
      <t>ゾウチク</t>
    </rPh>
    <rPh sb="6" eb="8">
      <t>コウジ</t>
    </rPh>
    <phoneticPr fontId="4"/>
  </si>
  <si>
    <t>工場</t>
    <rPh sb="0" eb="2">
      <t>コウジョウ</t>
    </rPh>
    <phoneticPr fontId="4"/>
  </si>
  <si>
    <t>山乃腰天神東</t>
    <rPh sb="0" eb="1">
      <t>ヤマ</t>
    </rPh>
    <rPh sb="1" eb="2">
      <t>ノ</t>
    </rPh>
    <rPh sb="2" eb="3">
      <t>コシ</t>
    </rPh>
    <rPh sb="3" eb="5">
      <t>テンジン</t>
    </rPh>
    <rPh sb="5" eb="6">
      <t>ヒガシ</t>
    </rPh>
    <phoneticPr fontId="4"/>
  </si>
  <si>
    <t>3m</t>
    <phoneticPr fontId="4"/>
  </si>
  <si>
    <t>ｼﾙﾄ質細砂</t>
    <rPh sb="3" eb="4">
      <t>シツ</t>
    </rPh>
    <rPh sb="4" eb="5">
      <t>サイ</t>
    </rPh>
    <rPh sb="5" eb="6">
      <t>スナ</t>
    </rPh>
    <phoneticPr fontId="4"/>
  </si>
  <si>
    <t>-</t>
    <phoneticPr fontId="4"/>
  </si>
  <si>
    <t>砂質ｼﾙﾄ(腐植物混入)</t>
    <rPh sb="0" eb="1">
      <t>スナ</t>
    </rPh>
    <rPh sb="1" eb="2">
      <t>シツ</t>
    </rPh>
    <rPh sb="6" eb="8">
      <t>フショク</t>
    </rPh>
    <rPh sb="8" eb="9">
      <t>ブツ</t>
    </rPh>
    <rPh sb="9" eb="11">
      <t>コンニュウ</t>
    </rPh>
    <phoneticPr fontId="4"/>
  </si>
  <si>
    <t>粘土混じり砂礫</t>
    <rPh sb="0" eb="2">
      <t>ネンド</t>
    </rPh>
    <rPh sb="2" eb="3">
      <t>マ</t>
    </rPh>
    <rPh sb="5" eb="7">
      <t>サレキ</t>
    </rPh>
    <phoneticPr fontId="4"/>
  </si>
  <si>
    <t>砂質ｼﾙﾄ</t>
    <rPh sb="0" eb="1">
      <t>スナ</t>
    </rPh>
    <rPh sb="1" eb="2">
      <t>シツ</t>
    </rPh>
    <phoneticPr fontId="4"/>
  </si>
  <si>
    <t>株式会社 兵庫確認検査機構</t>
    <rPh sb="0" eb="2">
      <t>カブシキ</t>
    </rPh>
    <rPh sb="2" eb="4">
      <t>カイシャ</t>
    </rPh>
    <phoneticPr fontId="4"/>
  </si>
  <si>
    <t>盛土</t>
    <rPh sb="0" eb="1">
      <t>モリ</t>
    </rPh>
    <rPh sb="1" eb="2">
      <t>ド</t>
    </rPh>
    <phoneticPr fontId="4"/>
  </si>
  <si>
    <t>砂質ｼﾙﾄ</t>
    <rPh sb="0" eb="1">
      <t>スナ</t>
    </rPh>
    <rPh sb="1" eb="2">
      <t>シツ</t>
    </rPh>
    <phoneticPr fontId="4"/>
  </si>
  <si>
    <t>移動ラックあり。水路近接。平板載荷試験実施</t>
    <rPh sb="0" eb="2">
      <t>イドウ</t>
    </rPh>
    <rPh sb="8" eb="10">
      <t>スイロ</t>
    </rPh>
    <rPh sb="10" eb="12">
      <t>キンセツ</t>
    </rPh>
    <rPh sb="13" eb="15">
      <t>ヘイバン</t>
    </rPh>
    <rPh sb="15" eb="16">
      <t>サイ</t>
    </rPh>
    <rPh sb="16" eb="17">
      <t>カ</t>
    </rPh>
    <rPh sb="17" eb="19">
      <t>シケン</t>
    </rPh>
    <rPh sb="19" eb="21">
      <t>ジッシ</t>
    </rPh>
    <phoneticPr fontId="4"/>
  </si>
  <si>
    <t>細砂</t>
    <rPh sb="0" eb="1">
      <t>サイ</t>
    </rPh>
    <rPh sb="1" eb="2">
      <t>スナ</t>
    </rPh>
    <phoneticPr fontId="4"/>
  </si>
  <si>
    <t>砂混じりｼﾙﾄ</t>
    <rPh sb="0" eb="1">
      <t>スナ</t>
    </rPh>
    <rPh sb="1" eb="2">
      <t>マ</t>
    </rPh>
    <phoneticPr fontId="4"/>
  </si>
  <si>
    <t>ｼﾙﾄ質砂</t>
    <rPh sb="3" eb="4">
      <t>シツ</t>
    </rPh>
    <rPh sb="4" eb="5">
      <t>スナ</t>
    </rPh>
    <phoneticPr fontId="4"/>
  </si>
  <si>
    <t>2m</t>
    <phoneticPr fontId="4"/>
  </si>
  <si>
    <t>砂質ｼﾙﾄ(有機物混入)</t>
    <rPh sb="0" eb="1">
      <t>スナ</t>
    </rPh>
    <rPh sb="1" eb="2">
      <t>シツ</t>
    </rPh>
    <rPh sb="6" eb="9">
      <t>ユウキブツ</t>
    </rPh>
    <rPh sb="9" eb="11">
      <t>コンニュウ</t>
    </rPh>
    <phoneticPr fontId="4"/>
  </si>
  <si>
    <t>敷地内既存土留めあり。仕様不明。水路近接。</t>
    <rPh sb="0" eb="2">
      <t>シキチ</t>
    </rPh>
    <rPh sb="2" eb="3">
      <t>ナイ</t>
    </rPh>
    <rPh sb="3" eb="5">
      <t>キソン</t>
    </rPh>
    <rPh sb="5" eb="7">
      <t>ドド</t>
    </rPh>
    <rPh sb="11" eb="13">
      <t>シヨウ</t>
    </rPh>
    <rPh sb="13" eb="15">
      <t>フメイ</t>
    </rPh>
    <rPh sb="16" eb="18">
      <t>スイロ</t>
    </rPh>
    <rPh sb="18" eb="20">
      <t>キンセツ</t>
    </rPh>
    <phoneticPr fontId="4"/>
  </si>
  <si>
    <t>日本ERI 株式会社(さいたま)</t>
    <phoneticPr fontId="4"/>
  </si>
  <si>
    <t>株式会社 国際確認検査センター</t>
    <phoneticPr fontId="4"/>
  </si>
  <si>
    <t>小松市</t>
    <rPh sb="0" eb="3">
      <t>コマツシ</t>
    </rPh>
    <phoneticPr fontId="4"/>
  </si>
  <si>
    <t>土居原</t>
    <rPh sb="0" eb="2">
      <t>ドイ</t>
    </rPh>
    <rPh sb="2" eb="3">
      <t>ハラ</t>
    </rPh>
    <phoneticPr fontId="4"/>
  </si>
  <si>
    <t>正木眼科</t>
    <phoneticPr fontId="4"/>
  </si>
  <si>
    <t>酒田福祉会 地域密着型介護老人福祉施設・歯科ｸﾘﾆｯｸ</t>
    <rPh sb="0" eb="2">
      <t>サカタ</t>
    </rPh>
    <rPh sb="2" eb="4">
      <t>フクシ</t>
    </rPh>
    <rPh sb="4" eb="5">
      <t>カイ</t>
    </rPh>
    <rPh sb="6" eb="8">
      <t>チイキ</t>
    </rPh>
    <rPh sb="8" eb="11">
      <t>ミッチャクガタ</t>
    </rPh>
    <rPh sb="11" eb="13">
      <t>カイゴ</t>
    </rPh>
    <rPh sb="13" eb="15">
      <t>ロウジン</t>
    </rPh>
    <rPh sb="15" eb="17">
      <t>フクシ</t>
    </rPh>
    <rPh sb="17" eb="19">
      <t>シセツ</t>
    </rPh>
    <rPh sb="20" eb="22">
      <t>シカ</t>
    </rPh>
    <phoneticPr fontId="4"/>
  </si>
  <si>
    <t>申請</t>
    <rPh sb="0" eb="2">
      <t>シンセイ</t>
    </rPh>
    <phoneticPr fontId="4"/>
  </si>
  <si>
    <t>ウット</t>
    <phoneticPr fontId="4"/>
  </si>
  <si>
    <t>盛土</t>
    <rPh sb="0" eb="1">
      <t>モリ</t>
    </rPh>
    <rPh sb="1" eb="2">
      <t>ド</t>
    </rPh>
    <phoneticPr fontId="4"/>
  </si>
  <si>
    <t>有機質ｼﾙﾄ</t>
    <rPh sb="0" eb="3">
      <t>ユウキシツ</t>
    </rPh>
    <phoneticPr fontId="4"/>
  </si>
  <si>
    <t>2m</t>
    <phoneticPr fontId="4"/>
  </si>
  <si>
    <t>2m</t>
    <phoneticPr fontId="4"/>
  </si>
  <si>
    <t>ｼﾙﾄ混じり砂</t>
    <rPh sb="3" eb="4">
      <t>マ</t>
    </rPh>
    <rPh sb="6" eb="7">
      <t>スナ</t>
    </rPh>
    <phoneticPr fontId="4"/>
  </si>
  <si>
    <t>6m</t>
    <phoneticPr fontId="4"/>
  </si>
  <si>
    <t>　申請</t>
    <rPh sb="1" eb="3">
      <t>シンセイ</t>
    </rPh>
    <phoneticPr fontId="4"/>
  </si>
  <si>
    <t xml:space="preserve"> 申請</t>
    <rPh sb="1" eb="3">
      <t>シンセイ</t>
    </rPh>
    <phoneticPr fontId="4"/>
  </si>
  <si>
    <t>着工</t>
    <rPh sb="0" eb="2">
      <t>チャッコウ</t>
    </rPh>
    <phoneticPr fontId="4"/>
  </si>
  <si>
    <t>4棟。2019.09.02失注</t>
    <rPh sb="1" eb="2">
      <t>トウ</t>
    </rPh>
    <rPh sb="13" eb="14">
      <t>シッ</t>
    </rPh>
    <rPh sb="14" eb="15">
      <t>チュウ</t>
    </rPh>
    <phoneticPr fontId="4"/>
  </si>
  <si>
    <t>1m</t>
    <phoneticPr fontId="4"/>
  </si>
  <si>
    <t>盛土</t>
    <rPh sb="0" eb="1">
      <t>モリ</t>
    </rPh>
    <rPh sb="1" eb="2">
      <t>ド</t>
    </rPh>
    <phoneticPr fontId="4"/>
  </si>
  <si>
    <t>3m</t>
    <phoneticPr fontId="4"/>
  </si>
  <si>
    <t>5m</t>
    <phoneticPr fontId="4"/>
  </si>
  <si>
    <t>砂</t>
    <rPh sb="0" eb="1">
      <t>スナ</t>
    </rPh>
    <phoneticPr fontId="4"/>
  </si>
  <si>
    <t>-</t>
    <phoneticPr fontId="4"/>
  </si>
  <si>
    <t>-</t>
    <phoneticPr fontId="4"/>
  </si>
  <si>
    <t>敷地内3棟目。電柱近接。</t>
    <rPh sb="0" eb="2">
      <t>シキチ</t>
    </rPh>
    <rPh sb="2" eb="3">
      <t>ナイ</t>
    </rPh>
    <rPh sb="4" eb="5">
      <t>トウ</t>
    </rPh>
    <rPh sb="5" eb="6">
      <t>メ</t>
    </rPh>
    <rPh sb="7" eb="9">
      <t>デンチュウ</t>
    </rPh>
    <rPh sb="9" eb="11">
      <t>キンセツ</t>
    </rPh>
    <phoneticPr fontId="4"/>
  </si>
  <si>
    <t>広告塔あり。</t>
    <rPh sb="0" eb="2">
      <t>コウコク</t>
    </rPh>
    <rPh sb="2" eb="3">
      <t>トウ</t>
    </rPh>
    <phoneticPr fontId="4"/>
  </si>
  <si>
    <t>地方独立行政法人北海道立総合研究機構</t>
    <phoneticPr fontId="4"/>
  </si>
  <si>
    <t>3</t>
    <phoneticPr fontId="4"/>
  </si>
  <si>
    <t>水路近接。</t>
    <rPh sb="0" eb="2">
      <t>スイロ</t>
    </rPh>
    <rPh sb="2" eb="4">
      <t>キンセツ</t>
    </rPh>
    <phoneticPr fontId="4"/>
  </si>
  <si>
    <t xml:space="preserve"> 現説</t>
    <rPh sb="1" eb="2">
      <t>ゲン</t>
    </rPh>
    <rPh sb="2" eb="3">
      <t>セツ</t>
    </rPh>
    <phoneticPr fontId="4"/>
  </si>
  <si>
    <t>【失注】</t>
    <rPh sb="1" eb="2">
      <t>シッ</t>
    </rPh>
    <rPh sb="2" eb="3">
      <t>チュウ</t>
    </rPh>
    <phoneticPr fontId="4"/>
  </si>
  <si>
    <t>ｼﾙﾄ</t>
    <phoneticPr fontId="4"/>
  </si>
  <si>
    <t>6m</t>
    <phoneticPr fontId="4"/>
  </si>
  <si>
    <t>3m</t>
    <phoneticPr fontId="4"/>
  </si>
  <si>
    <t>1m</t>
    <phoneticPr fontId="4"/>
  </si>
  <si>
    <t>火山灰質粘土</t>
    <rPh sb="0" eb="2">
      <t>カザン</t>
    </rPh>
    <rPh sb="2" eb="3">
      <t>ハイ</t>
    </rPh>
    <rPh sb="3" eb="4">
      <t>シツ</t>
    </rPh>
    <rPh sb="4" eb="6">
      <t>ネンド</t>
    </rPh>
    <phoneticPr fontId="4"/>
  </si>
  <si>
    <t>34,13</t>
    <phoneticPr fontId="4"/>
  </si>
  <si>
    <t>新設計コンサルタンツ 株式会社</t>
    <phoneticPr fontId="4"/>
  </si>
  <si>
    <t>関西住建 株式会社</t>
    <rPh sb="0" eb="2">
      <t>カンサイ</t>
    </rPh>
    <rPh sb="2" eb="4">
      <t>ジュウケン</t>
    </rPh>
    <rPh sb="5" eb="9">
      <t>カブシキガイシャ</t>
    </rPh>
    <phoneticPr fontId="4"/>
  </si>
  <si>
    <t>関西住建 株式会社</t>
    <phoneticPr fontId="4"/>
  </si>
  <si>
    <t>カンサイジュウケン カブシキガイシャ</t>
    <phoneticPr fontId="4"/>
  </si>
  <si>
    <t>ウット
タオ</t>
    <phoneticPr fontId="4"/>
  </si>
  <si>
    <t>オートバックス三原</t>
    <phoneticPr fontId="4"/>
  </si>
  <si>
    <t>富山県 高岡市役所</t>
    <rPh sb="0" eb="3">
      <t>トヤマケン</t>
    </rPh>
    <rPh sb="4" eb="6">
      <t>タカオカ</t>
    </rPh>
    <rPh sb="6" eb="9">
      <t>シヤクショ</t>
    </rPh>
    <phoneticPr fontId="4"/>
  </si>
  <si>
    <t>富山県 高岡市役所</t>
    <phoneticPr fontId="4"/>
  </si>
  <si>
    <t>ユニクロ羽生</t>
    <rPh sb="4" eb="6">
      <t>ハニュウ</t>
    </rPh>
    <phoneticPr fontId="4"/>
  </si>
  <si>
    <t>株式会社 環アソシエイツ</t>
    <phoneticPr fontId="4"/>
  </si>
  <si>
    <t>株式会社 環アソシエイツ</t>
    <phoneticPr fontId="4"/>
  </si>
  <si>
    <t>カブシキガイシャ カンアソシエイツ</t>
    <phoneticPr fontId="4"/>
  </si>
  <si>
    <t>並木建築設計事務所</t>
    <phoneticPr fontId="4"/>
  </si>
  <si>
    <t>並木建築設計事務所</t>
    <phoneticPr fontId="4"/>
  </si>
  <si>
    <t>ナミキケンチクセッケイジムショ</t>
    <phoneticPr fontId="4"/>
  </si>
  <si>
    <t>入札</t>
    <rPh sb="0" eb="2">
      <t>ニュウサツ</t>
    </rPh>
    <phoneticPr fontId="4"/>
  </si>
  <si>
    <t>開札</t>
    <rPh sb="0" eb="2">
      <t>カイサツ</t>
    </rPh>
    <phoneticPr fontId="4"/>
  </si>
  <si>
    <t>2020.4着工</t>
    <rPh sb="6" eb="8">
      <t>チャッコウ</t>
    </rPh>
    <phoneticPr fontId="4"/>
  </si>
  <si>
    <t>株式会社 吉光組</t>
    <phoneticPr fontId="4"/>
  </si>
  <si>
    <t>有限会社 重原建築設計事務所</t>
  </si>
  <si>
    <t>有限会社 重原建築設計事務所</t>
    <rPh sb="0" eb="2">
      <t>ユウゲン</t>
    </rPh>
    <rPh sb="2" eb="4">
      <t>カイシャ</t>
    </rPh>
    <phoneticPr fontId="4"/>
  </si>
  <si>
    <t>有限会社 重原建築設計事務所</t>
    <phoneticPr fontId="4"/>
  </si>
  <si>
    <t>ユウゲンガイシャ シゲハラケンチクセッケイジムショ</t>
    <phoneticPr fontId="4"/>
  </si>
  <si>
    <t>眼科</t>
    <rPh sb="0" eb="2">
      <t>ガンカ</t>
    </rPh>
    <phoneticPr fontId="4"/>
  </si>
  <si>
    <t>2</t>
    <phoneticPr fontId="4"/>
  </si>
  <si>
    <t>ｼﾙﾄ混じり中砂</t>
    <rPh sb="3" eb="4">
      <t>マ</t>
    </rPh>
    <rPh sb="6" eb="7">
      <t>ナカ</t>
    </rPh>
    <rPh sb="7" eb="8">
      <t>スナ</t>
    </rPh>
    <phoneticPr fontId="4"/>
  </si>
  <si>
    <t>9m</t>
    <phoneticPr fontId="4"/>
  </si>
  <si>
    <t>粘土</t>
    <rPh sb="0" eb="2">
      <t>ネンド</t>
    </rPh>
    <phoneticPr fontId="4"/>
  </si>
  <si>
    <t>7m</t>
    <phoneticPr fontId="4"/>
  </si>
  <si>
    <t>細砂(有機物混入)</t>
    <rPh sb="0" eb="1">
      <t>サイ</t>
    </rPh>
    <rPh sb="1" eb="2">
      <t>スナ</t>
    </rPh>
    <rPh sb="3" eb="6">
      <t>ユウキブツ</t>
    </rPh>
    <rPh sb="6" eb="8">
      <t>コンニュウ</t>
    </rPh>
    <phoneticPr fontId="4"/>
  </si>
  <si>
    <t>既存CB壁近接</t>
    <rPh sb="4" eb="5">
      <t>カベ</t>
    </rPh>
    <rPh sb="5" eb="7">
      <t>キンセツ</t>
    </rPh>
    <phoneticPr fontId="4"/>
  </si>
  <si>
    <t>2019.09.10 三軸・圧密試験結果が悪く、失注</t>
    <rPh sb="11" eb="12">
      <t>サン</t>
    </rPh>
    <rPh sb="12" eb="13">
      <t>ジク</t>
    </rPh>
    <rPh sb="14" eb="15">
      <t>アツ</t>
    </rPh>
    <rPh sb="15" eb="16">
      <t>ミツ</t>
    </rPh>
    <rPh sb="16" eb="18">
      <t>シケン</t>
    </rPh>
    <rPh sb="18" eb="20">
      <t>ケッカ</t>
    </rPh>
    <rPh sb="21" eb="22">
      <t>ワル</t>
    </rPh>
    <rPh sb="24" eb="25">
      <t>シッ</t>
    </rPh>
    <rPh sb="25" eb="26">
      <t>チュウ</t>
    </rPh>
    <phoneticPr fontId="4"/>
  </si>
  <si>
    <t>三軸・圧密試験結果が悪く、失注</t>
    <rPh sb="0" eb="1">
      <t>サン</t>
    </rPh>
    <rPh sb="1" eb="2">
      <t>ジク</t>
    </rPh>
    <rPh sb="3" eb="4">
      <t>アツ</t>
    </rPh>
    <rPh sb="4" eb="5">
      <t>ミツ</t>
    </rPh>
    <rPh sb="5" eb="7">
      <t>シケン</t>
    </rPh>
    <rPh sb="7" eb="9">
      <t>ケッカ</t>
    </rPh>
    <rPh sb="10" eb="11">
      <t>ワル</t>
    </rPh>
    <rPh sb="13" eb="14">
      <t>シッ</t>
    </rPh>
    <rPh sb="14" eb="15">
      <t>チュウ</t>
    </rPh>
    <phoneticPr fontId="4"/>
  </si>
  <si>
    <t>失注</t>
    <rPh sb="0" eb="1">
      <t>シッ</t>
    </rPh>
    <rPh sb="1" eb="2">
      <t>チュウ</t>
    </rPh>
    <phoneticPr fontId="4"/>
  </si>
  <si>
    <t>玉石礫混じり砂</t>
    <rPh sb="0" eb="1">
      <t>タマ</t>
    </rPh>
    <rPh sb="1" eb="2">
      <t>イシ</t>
    </rPh>
    <rPh sb="2" eb="3">
      <t>レキ</t>
    </rPh>
    <rPh sb="3" eb="4">
      <t>マ</t>
    </rPh>
    <rPh sb="6" eb="7">
      <t>スナ</t>
    </rPh>
    <phoneticPr fontId="4"/>
  </si>
  <si>
    <t>粘土質砂</t>
    <rPh sb="0" eb="2">
      <t>ネンド</t>
    </rPh>
    <rPh sb="2" eb="3">
      <t>シツ</t>
    </rPh>
    <rPh sb="3" eb="4">
      <t>スナ</t>
    </rPh>
    <phoneticPr fontId="4"/>
  </si>
  <si>
    <t>6m</t>
    <phoneticPr fontId="4"/>
  </si>
  <si>
    <t>2m</t>
    <phoneticPr fontId="4"/>
  </si>
  <si>
    <t>粘土質砂(有機質粘土含有)</t>
    <rPh sb="0" eb="2">
      <t>ネンド</t>
    </rPh>
    <rPh sb="2" eb="3">
      <t>シツ</t>
    </rPh>
    <rPh sb="3" eb="4">
      <t>スナ</t>
    </rPh>
    <rPh sb="5" eb="8">
      <t>ユウキシツ</t>
    </rPh>
    <rPh sb="8" eb="10">
      <t>ネンド</t>
    </rPh>
    <rPh sb="10" eb="12">
      <t>ガンユウ</t>
    </rPh>
    <phoneticPr fontId="4"/>
  </si>
  <si>
    <t>1.02
(M=7.5)</t>
    <phoneticPr fontId="4"/>
  </si>
  <si>
    <t>フジタケイ建築設計事務所</t>
    <phoneticPr fontId="4"/>
  </si>
  <si>
    <t>フジタケイ建築設計事務所</t>
    <phoneticPr fontId="4"/>
  </si>
  <si>
    <t>フジタケイケンチクセッケイジムショ</t>
    <phoneticPr fontId="4"/>
  </si>
  <si>
    <t>礫混じり土</t>
    <rPh sb="0" eb="1">
      <t>レキ</t>
    </rPh>
    <rPh sb="1" eb="2">
      <t>マ</t>
    </rPh>
    <rPh sb="4" eb="5">
      <t>ツチ</t>
    </rPh>
    <phoneticPr fontId="4"/>
  </si>
  <si>
    <t>砂</t>
    <rPh sb="0" eb="1">
      <t>スナ</t>
    </rPh>
    <phoneticPr fontId="4"/>
  </si>
  <si>
    <t>1m</t>
    <phoneticPr fontId="4"/>
  </si>
  <si>
    <t>盛土・礫混じり土</t>
    <rPh sb="0" eb="1">
      <t>モリ</t>
    </rPh>
    <rPh sb="1" eb="2">
      <t>ド</t>
    </rPh>
    <rPh sb="3" eb="4">
      <t>レキ</t>
    </rPh>
    <rPh sb="4" eb="5">
      <t>マ</t>
    </rPh>
    <rPh sb="7" eb="8">
      <t>ド</t>
    </rPh>
    <phoneticPr fontId="4"/>
  </si>
  <si>
    <t>2m</t>
    <phoneticPr fontId="4"/>
  </si>
  <si>
    <t>粘土混り砂</t>
    <rPh sb="0" eb="2">
      <t>ネンド</t>
    </rPh>
    <rPh sb="2" eb="3">
      <t>マ</t>
    </rPh>
    <rPh sb="4" eb="5">
      <t>スナ</t>
    </rPh>
    <phoneticPr fontId="4"/>
  </si>
  <si>
    <t>住宅</t>
    <rPh sb="0" eb="2">
      <t>ジュウタク</t>
    </rPh>
    <phoneticPr fontId="4"/>
  </si>
  <si>
    <t>　仮図</t>
    <rPh sb="1" eb="2">
      <t>カリ</t>
    </rPh>
    <rPh sb="2" eb="3">
      <t>ズ</t>
    </rPh>
    <phoneticPr fontId="4"/>
  </si>
  <si>
    <t>カインズ羽生と同敷地内</t>
    <rPh sb="4" eb="6">
      <t>ハニュウ</t>
    </rPh>
    <rPh sb="7" eb="8">
      <t>ドウ</t>
    </rPh>
    <rPh sb="8" eb="10">
      <t>シキチ</t>
    </rPh>
    <rPh sb="10" eb="11">
      <t>ナイ</t>
    </rPh>
    <phoneticPr fontId="4"/>
  </si>
  <si>
    <t>3m</t>
    <phoneticPr fontId="4"/>
  </si>
  <si>
    <t>腐植物混じりｼﾙﾄ</t>
    <rPh sb="0" eb="2">
      <t>フショク</t>
    </rPh>
    <rPh sb="2" eb="3">
      <t>ブツ</t>
    </rPh>
    <rPh sb="3" eb="4">
      <t>マ</t>
    </rPh>
    <phoneticPr fontId="4"/>
  </si>
  <si>
    <t>ｼﾙﾄ質細砂</t>
    <rPh sb="3" eb="4">
      <t>シツ</t>
    </rPh>
    <rPh sb="4" eb="5">
      <t>サイ</t>
    </rPh>
    <rPh sb="5" eb="6">
      <t>スナ</t>
    </rPh>
    <phoneticPr fontId="4"/>
  </si>
  <si>
    <t>6m</t>
    <phoneticPr fontId="4"/>
  </si>
  <si>
    <t>北上群</t>
    <rPh sb="0" eb="1">
      <t>キタ</t>
    </rPh>
    <rPh sb="1" eb="2">
      <t>ウエ</t>
    </rPh>
    <rPh sb="2" eb="3">
      <t>グン</t>
    </rPh>
    <phoneticPr fontId="4"/>
  </si>
  <si>
    <t>六戸</t>
    <rPh sb="0" eb="1">
      <t>ロク</t>
    </rPh>
    <rPh sb="1" eb="2">
      <t>ト</t>
    </rPh>
    <phoneticPr fontId="4"/>
  </si>
  <si>
    <t>ながいも・にんにくＣＡ冷蔵貯蔵施設</t>
    <phoneticPr fontId="4"/>
  </si>
  <si>
    <t>2019.09.18杭に変更</t>
    <rPh sb="10" eb="11">
      <t>クイ</t>
    </rPh>
    <rPh sb="12" eb="14">
      <t>ヘンコウ</t>
    </rPh>
    <phoneticPr fontId="4"/>
  </si>
  <si>
    <t>失注</t>
    <rPh sb="0" eb="1">
      <t>シッ</t>
    </rPh>
    <rPh sb="1" eb="2">
      <t>チュウ</t>
    </rPh>
    <phoneticPr fontId="4"/>
  </si>
  <si>
    <t>那覇市</t>
    <rPh sb="0" eb="3">
      <t>ナハシ</t>
    </rPh>
    <phoneticPr fontId="4"/>
  </si>
  <si>
    <t>字具志</t>
    <rPh sb="0" eb="1">
      <t>アザ</t>
    </rPh>
    <rPh sb="1" eb="2">
      <t>グ</t>
    </rPh>
    <rPh sb="2" eb="3">
      <t>シ</t>
    </rPh>
    <phoneticPr fontId="4"/>
  </si>
  <si>
    <t>2019/09/18 柱状改良に変更</t>
    <rPh sb="11" eb="13">
      <t>チュウジョウ</t>
    </rPh>
    <rPh sb="13" eb="15">
      <t>カイリョウ</t>
    </rPh>
    <rPh sb="16" eb="18">
      <t>ヘンコウ</t>
    </rPh>
    <phoneticPr fontId="4"/>
  </si>
  <si>
    <t>粘性土</t>
    <rPh sb="0" eb="2">
      <t>ネンセイ</t>
    </rPh>
    <rPh sb="2" eb="3">
      <t>ド</t>
    </rPh>
    <phoneticPr fontId="4"/>
  </si>
  <si>
    <t>有機質ｼﾙﾄ</t>
    <rPh sb="0" eb="3">
      <t>ユウキシツ</t>
    </rPh>
    <phoneticPr fontId="4"/>
  </si>
  <si>
    <t>粘土</t>
    <rPh sb="0" eb="2">
      <t>ネンド</t>
    </rPh>
    <phoneticPr fontId="4"/>
  </si>
  <si>
    <t>7m</t>
    <phoneticPr fontId="4"/>
  </si>
  <si>
    <t>3m</t>
    <phoneticPr fontId="4"/>
  </si>
  <si>
    <t>1m</t>
    <phoneticPr fontId="4"/>
  </si>
  <si>
    <t>粘土混り細砂</t>
    <rPh sb="0" eb="2">
      <t>ネンド</t>
    </rPh>
    <rPh sb="2" eb="3">
      <t>マ</t>
    </rPh>
    <rPh sb="4" eb="5">
      <t>サイ</t>
    </rPh>
    <rPh sb="5" eb="6">
      <t>スナ</t>
    </rPh>
    <phoneticPr fontId="4"/>
  </si>
  <si>
    <t>S造</t>
    <phoneticPr fontId="4"/>
  </si>
  <si>
    <t>3</t>
    <phoneticPr fontId="4"/>
  </si>
  <si>
    <t>○
6m</t>
    <phoneticPr fontId="4"/>
  </si>
  <si>
    <t>○</t>
    <phoneticPr fontId="4"/>
  </si>
  <si>
    <t>盛土</t>
    <rPh sb="0" eb="1">
      <t>モリ</t>
    </rPh>
    <rPh sb="1" eb="2">
      <t>ド</t>
    </rPh>
    <phoneticPr fontId="4"/>
  </si>
  <si>
    <t>ｼﾙﾄ</t>
    <phoneticPr fontId="4"/>
  </si>
  <si>
    <t>有機質ｼﾙﾄ</t>
    <rPh sb="0" eb="3">
      <t>ユウキシツ</t>
    </rPh>
    <phoneticPr fontId="4"/>
  </si>
  <si>
    <t>7m</t>
    <phoneticPr fontId="4"/>
  </si>
  <si>
    <t>3m</t>
    <phoneticPr fontId="4"/>
  </si>
  <si>
    <t>ｼﾙﾄ</t>
    <phoneticPr fontId="4"/>
  </si>
  <si>
    <t>2m</t>
    <phoneticPr fontId="4"/>
  </si>
  <si>
    <t>住宅・工場</t>
    <rPh sb="0" eb="2">
      <t>ジュウタク</t>
    </rPh>
    <rPh sb="3" eb="5">
      <t>コウジョウ</t>
    </rPh>
    <phoneticPr fontId="4"/>
  </si>
  <si>
    <t>申請(仮)</t>
    <rPh sb="0" eb="2">
      <t>シンセイ</t>
    </rPh>
    <rPh sb="3" eb="4">
      <t>カリ</t>
    </rPh>
    <phoneticPr fontId="4"/>
  </si>
  <si>
    <t>PC棟,ドライ倉庫棟,センター棟の3棟</t>
    <rPh sb="18" eb="19">
      <t>トウ</t>
    </rPh>
    <phoneticPr fontId="4"/>
  </si>
  <si>
    <t>秋田市</t>
    <rPh sb="0" eb="3">
      <t>アキタシ</t>
    </rPh>
    <phoneticPr fontId="4"/>
  </si>
  <si>
    <t>御所野湯本</t>
    <rPh sb="0" eb="2">
      <t>ゴショ</t>
    </rPh>
    <rPh sb="2" eb="3">
      <t>ノ</t>
    </rPh>
    <rPh sb="3" eb="5">
      <t>ユモト</t>
    </rPh>
    <phoneticPr fontId="4"/>
  </si>
  <si>
    <t>グローバルロジスティクス センター棟</t>
    <phoneticPr fontId="4"/>
  </si>
  <si>
    <t>190027-1</t>
    <phoneticPr fontId="4"/>
  </si>
  <si>
    <t>190027-2</t>
    <phoneticPr fontId="4"/>
  </si>
  <si>
    <t>グローバルロジスティクス ドライ倉庫棟</t>
    <phoneticPr fontId="4"/>
  </si>
  <si>
    <t>ユイ
宮北</t>
    <rPh sb="3" eb="5">
      <t>ミヤキタ</t>
    </rPh>
    <phoneticPr fontId="4"/>
  </si>
  <si>
    <t>ｼﾙﾄ</t>
    <phoneticPr fontId="4"/>
  </si>
  <si>
    <t>5m</t>
    <phoneticPr fontId="4"/>
  </si>
  <si>
    <t>ｼﾙﾄ</t>
    <phoneticPr fontId="4"/>
  </si>
  <si>
    <t>ｼﾙﾄ(腐植物多く混入)</t>
    <rPh sb="4" eb="6">
      <t>フショク</t>
    </rPh>
    <rPh sb="6" eb="7">
      <t>ブツ</t>
    </rPh>
    <rPh sb="7" eb="8">
      <t>オオ</t>
    </rPh>
    <rPh sb="9" eb="11">
      <t>コンニュウ</t>
    </rPh>
    <phoneticPr fontId="4"/>
  </si>
  <si>
    <t>既存水路近接。二重折版。屋上緑化。</t>
    <rPh sb="0" eb="2">
      <t>キソン</t>
    </rPh>
    <rPh sb="2" eb="4">
      <t>スイロ</t>
    </rPh>
    <rPh sb="4" eb="6">
      <t>キンセツ</t>
    </rPh>
    <rPh sb="7" eb="9">
      <t>ニジュウ</t>
    </rPh>
    <rPh sb="9" eb="10">
      <t>オリ</t>
    </rPh>
    <rPh sb="10" eb="11">
      <t>バン</t>
    </rPh>
    <rPh sb="12" eb="14">
      <t>オクジョウ</t>
    </rPh>
    <rPh sb="14" eb="16">
      <t>リョクカ</t>
    </rPh>
    <phoneticPr fontId="4"/>
  </si>
  <si>
    <t>ビューローベリタスジャパン株式会社</t>
    <phoneticPr fontId="4"/>
  </si>
  <si>
    <t>日本建築検査協会 株式会社</t>
    <phoneticPr fontId="4"/>
  </si>
  <si>
    <t>3</t>
    <phoneticPr fontId="4"/>
  </si>
  <si>
    <t>黒ボク</t>
    <rPh sb="0" eb="1">
      <t>クロ</t>
    </rPh>
    <phoneticPr fontId="4"/>
  </si>
  <si>
    <t>火山灰質砂</t>
    <rPh sb="0" eb="2">
      <t>カザン</t>
    </rPh>
    <rPh sb="2" eb="3">
      <t>ハイ</t>
    </rPh>
    <rPh sb="3" eb="4">
      <t>シツ</t>
    </rPh>
    <rPh sb="4" eb="5">
      <t>スナ</t>
    </rPh>
    <phoneticPr fontId="4"/>
  </si>
  <si>
    <t>5m</t>
    <phoneticPr fontId="4"/>
  </si>
  <si>
    <t>火山灰質粘土</t>
    <rPh sb="0" eb="2">
      <t>カザン</t>
    </rPh>
    <rPh sb="2" eb="3">
      <t>ハイ</t>
    </rPh>
    <rPh sb="3" eb="4">
      <t>シツ</t>
    </rPh>
    <rPh sb="4" eb="6">
      <t>ネンド</t>
    </rPh>
    <phoneticPr fontId="4"/>
  </si>
  <si>
    <t>1m</t>
    <phoneticPr fontId="4"/>
  </si>
  <si>
    <t>黒ボク(府植物点在)</t>
    <rPh sb="0" eb="1">
      <t>クロ</t>
    </rPh>
    <rPh sb="4" eb="5">
      <t>フ</t>
    </rPh>
    <rPh sb="5" eb="7">
      <t>ショクブツ</t>
    </rPh>
    <rPh sb="7" eb="9">
      <t>テンザイ</t>
    </rPh>
    <phoneticPr fontId="4"/>
  </si>
  <si>
    <t>敷地内増築工事</t>
    <rPh sb="0" eb="2">
      <t>シキチ</t>
    </rPh>
    <rPh sb="2" eb="3">
      <t>ナイ</t>
    </rPh>
    <rPh sb="3" eb="5">
      <t>ゾウチク</t>
    </rPh>
    <rPh sb="5" eb="7">
      <t>コウジ</t>
    </rPh>
    <phoneticPr fontId="4"/>
  </si>
  <si>
    <t>着工</t>
    <rPh sb="0" eb="2">
      <t>チャッコウ</t>
    </rPh>
    <phoneticPr fontId="4"/>
  </si>
  <si>
    <t>大智企画 株式会社</t>
    <rPh sb="5" eb="9">
      <t>カブシキガイシャ</t>
    </rPh>
    <phoneticPr fontId="4"/>
  </si>
  <si>
    <t>ダイチキカク カブシキガイシャ</t>
    <phoneticPr fontId="4"/>
  </si>
  <si>
    <t>公共
案件</t>
    <rPh sb="0" eb="2">
      <t>コウキョウ</t>
    </rPh>
    <rPh sb="3" eb="5">
      <t>アンケン</t>
    </rPh>
    <phoneticPr fontId="4"/>
  </si>
  <si>
    <t>16m</t>
    <phoneticPr fontId="4"/>
  </si>
  <si>
    <t>3m</t>
    <phoneticPr fontId="4"/>
  </si>
  <si>
    <t>盛土</t>
    <rPh sb="0" eb="2">
      <t>モリド</t>
    </rPh>
    <phoneticPr fontId="4"/>
  </si>
  <si>
    <t>2m</t>
    <phoneticPr fontId="4"/>
  </si>
  <si>
    <t>細砂</t>
    <rPh sb="0" eb="1">
      <t>サイ</t>
    </rPh>
    <rPh sb="1" eb="2">
      <t>スナ</t>
    </rPh>
    <phoneticPr fontId="4"/>
  </si>
  <si>
    <t>○</t>
    <phoneticPr fontId="4"/>
  </si>
  <si>
    <t>4m</t>
    <phoneticPr fontId="4"/>
  </si>
  <si>
    <t>粘土質ｼﾙﾄ</t>
    <rPh sb="0" eb="3">
      <t>ネンドシツ</t>
    </rPh>
    <phoneticPr fontId="4"/>
  </si>
  <si>
    <t>7m</t>
    <phoneticPr fontId="4"/>
  </si>
  <si>
    <t>有機質ｼﾙﾄ</t>
    <rPh sb="0" eb="3">
      <t>ユウキシツ</t>
    </rPh>
    <phoneticPr fontId="4"/>
  </si>
  <si>
    <t>12m</t>
    <phoneticPr fontId="4"/>
  </si>
  <si>
    <t>腐植土</t>
    <rPh sb="0" eb="3">
      <t>フショクド</t>
    </rPh>
    <phoneticPr fontId="4"/>
  </si>
  <si>
    <t>5m</t>
    <phoneticPr fontId="4"/>
  </si>
  <si>
    <t>10m</t>
    <phoneticPr fontId="4"/>
  </si>
  <si>
    <t>三郷市立新和小学校</t>
    <phoneticPr fontId="4"/>
  </si>
  <si>
    <t>6m</t>
    <phoneticPr fontId="4"/>
  </si>
  <si>
    <t>1m</t>
    <phoneticPr fontId="4"/>
  </si>
  <si>
    <t>4m</t>
    <phoneticPr fontId="4"/>
  </si>
  <si>
    <t>6m</t>
    <phoneticPr fontId="4"/>
  </si>
  <si>
    <t>9m</t>
    <phoneticPr fontId="4"/>
  </si>
  <si>
    <t>確認済</t>
    <rPh sb="0" eb="2">
      <t>カクニン</t>
    </rPh>
    <rPh sb="2" eb="3">
      <t>スミ</t>
    </rPh>
    <phoneticPr fontId="4"/>
  </si>
  <si>
    <t>着工</t>
    <rPh sb="0" eb="2">
      <t>チャッコウ</t>
    </rPh>
    <phoneticPr fontId="4"/>
  </si>
  <si>
    <t>有限会社 KAZU設計 一級建築士事務所</t>
    <rPh sb="0" eb="2">
      <t>ユウゲン</t>
    </rPh>
    <rPh sb="2" eb="4">
      <t>カイシャ</t>
    </rPh>
    <rPh sb="9" eb="11">
      <t>セッケイ</t>
    </rPh>
    <rPh sb="12" eb="14">
      <t>イッキュウ</t>
    </rPh>
    <rPh sb="14" eb="17">
      <t>ケンチクシ</t>
    </rPh>
    <rPh sb="17" eb="19">
      <t>ジム</t>
    </rPh>
    <rPh sb="19" eb="20">
      <t>ショ</t>
    </rPh>
    <phoneticPr fontId="4"/>
  </si>
  <si>
    <t>有限会社 KAZU設計 一級建築士事務所</t>
    <phoneticPr fontId="4"/>
  </si>
  <si>
    <t>ユウゲンガイシャ KAZUセッケイ イッキュウケンチクシジムショ</t>
    <phoneticPr fontId="4"/>
  </si>
  <si>
    <t>りんかい日産建設 株式会社</t>
    <rPh sb="9" eb="11">
      <t>カブシキ</t>
    </rPh>
    <rPh sb="11" eb="13">
      <t>カイシャ</t>
    </rPh>
    <phoneticPr fontId="4"/>
  </si>
  <si>
    <t>りんかい日産建設 株式会社</t>
    <phoneticPr fontId="4"/>
  </si>
  <si>
    <t>リンカイニッサンケンセツ カブシキガイシャ</t>
    <phoneticPr fontId="4"/>
  </si>
  <si>
    <t>加工場</t>
    <rPh sb="0" eb="2">
      <t>カコウ</t>
    </rPh>
    <rPh sb="2" eb="3">
      <t>バ</t>
    </rPh>
    <phoneticPr fontId="4"/>
  </si>
  <si>
    <t>倉庫</t>
    <rPh sb="0" eb="2">
      <t>ソウコ</t>
    </rPh>
    <phoneticPr fontId="4"/>
  </si>
  <si>
    <t>3m</t>
    <phoneticPr fontId="4"/>
  </si>
  <si>
    <t>有機質ｼﾙﾄ</t>
    <rPh sb="0" eb="3">
      <t>ユウキシツ</t>
    </rPh>
    <phoneticPr fontId="4"/>
  </si>
  <si>
    <t>5m</t>
    <phoneticPr fontId="4"/>
  </si>
  <si>
    <t>粘土</t>
    <rPh sb="0" eb="2">
      <t>ネンド</t>
    </rPh>
    <phoneticPr fontId="4"/>
  </si>
  <si>
    <t>財団法人 日本建築総合試験所</t>
    <phoneticPr fontId="4"/>
  </si>
  <si>
    <t>アール・イー・ジャパン 株式会社</t>
    <phoneticPr fontId="4"/>
  </si>
  <si>
    <t>礫混じり砂</t>
    <rPh sb="0" eb="1">
      <t>レキ</t>
    </rPh>
    <rPh sb="1" eb="2">
      <t>マ</t>
    </rPh>
    <rPh sb="4" eb="5">
      <t>スナ</t>
    </rPh>
    <phoneticPr fontId="4"/>
  </si>
  <si>
    <t>有機質ｼﾙﾄ</t>
    <rPh sb="0" eb="3">
      <t>ユウキシツ</t>
    </rPh>
    <phoneticPr fontId="4"/>
  </si>
  <si>
    <t>1.638
(M=7.5)</t>
    <phoneticPr fontId="4"/>
  </si>
  <si>
    <t>福岡県</t>
    <rPh sb="0" eb="3">
      <t>フクオカケン</t>
    </rPh>
    <phoneticPr fontId="4"/>
  </si>
  <si>
    <t>大牟田市</t>
    <rPh sb="0" eb="4">
      <t>オオムタシ</t>
    </rPh>
    <phoneticPr fontId="4"/>
  </si>
  <si>
    <t>新開町</t>
    <rPh sb="0" eb="1">
      <t>シン</t>
    </rPh>
    <rPh sb="1" eb="2">
      <t>ヒラ</t>
    </rPh>
    <rPh sb="2" eb="3">
      <t>マチ</t>
    </rPh>
    <phoneticPr fontId="4"/>
  </si>
  <si>
    <t>千葉北水素ステーション</t>
    <rPh sb="0" eb="2">
      <t>チバ</t>
    </rPh>
    <rPh sb="2" eb="3">
      <t>キタ</t>
    </rPh>
    <rPh sb="3" eb="5">
      <t>スイソ</t>
    </rPh>
    <phoneticPr fontId="4"/>
  </si>
  <si>
    <t>千葉市</t>
    <rPh sb="0" eb="3">
      <t>チバシ</t>
    </rPh>
    <phoneticPr fontId="4"/>
  </si>
  <si>
    <t>意匠
構造
TNF</t>
    <rPh sb="0" eb="2">
      <t>イショウ</t>
    </rPh>
    <rPh sb="3" eb="5">
      <t>コウゾウ</t>
    </rPh>
    <phoneticPr fontId="4"/>
  </si>
  <si>
    <t>粘土質砂礫</t>
    <rPh sb="0" eb="2">
      <t>ネンド</t>
    </rPh>
    <rPh sb="2" eb="3">
      <t>シツ</t>
    </rPh>
    <rPh sb="3" eb="5">
      <t>サレキ</t>
    </rPh>
    <phoneticPr fontId="4"/>
  </si>
  <si>
    <t>砂混り粘土</t>
    <rPh sb="0" eb="1">
      <t>スナ</t>
    </rPh>
    <rPh sb="1" eb="2">
      <t>マ</t>
    </rPh>
    <rPh sb="3" eb="5">
      <t>ネンド</t>
    </rPh>
    <phoneticPr fontId="4"/>
  </si>
  <si>
    <t>3m</t>
    <phoneticPr fontId="4"/>
  </si>
  <si>
    <t>砂混じり粘土</t>
    <rPh sb="0" eb="1">
      <t>スナ</t>
    </rPh>
    <rPh sb="1" eb="2">
      <t>マ</t>
    </rPh>
    <rPh sb="4" eb="6">
      <t>ネンド</t>
    </rPh>
    <phoneticPr fontId="4"/>
  </si>
  <si>
    <t>1m</t>
    <phoneticPr fontId="4"/>
  </si>
  <si>
    <t>礫混じり砂質粘土</t>
    <rPh sb="0" eb="1">
      <t>レキ</t>
    </rPh>
    <rPh sb="1" eb="2">
      <t>マ</t>
    </rPh>
    <rPh sb="4" eb="5">
      <t>スナ</t>
    </rPh>
    <rPh sb="5" eb="6">
      <t>シツ</t>
    </rPh>
    <rPh sb="6" eb="8">
      <t>ネンド</t>
    </rPh>
    <phoneticPr fontId="4"/>
  </si>
  <si>
    <t>砂混じり粘土(府植物少量)</t>
    <rPh sb="0" eb="1">
      <t>スナ</t>
    </rPh>
    <rPh sb="1" eb="2">
      <t>マ</t>
    </rPh>
    <rPh sb="4" eb="6">
      <t>ネンド</t>
    </rPh>
    <rPh sb="7" eb="8">
      <t>フ</t>
    </rPh>
    <rPh sb="8" eb="10">
      <t>ショクブツ</t>
    </rPh>
    <rPh sb="10" eb="12">
      <t>ショウリョウ</t>
    </rPh>
    <phoneticPr fontId="4"/>
  </si>
  <si>
    <t>大麻元町 Ａ工区(特養・看護小多機・老健)(旧:江別)</t>
    <rPh sb="22" eb="23">
      <t>キュウ</t>
    </rPh>
    <rPh sb="24" eb="26">
      <t>エベツ</t>
    </rPh>
    <phoneticPr fontId="4"/>
  </si>
  <si>
    <t>廿日市</t>
    <phoneticPr fontId="4"/>
  </si>
  <si>
    <t>宮島口西</t>
    <phoneticPr fontId="4"/>
  </si>
  <si>
    <t>屋内練習場</t>
    <phoneticPr fontId="4"/>
  </si>
  <si>
    <t>宮北</t>
    <rPh sb="0" eb="2">
      <t>ミヤキタ</t>
    </rPh>
    <phoneticPr fontId="4"/>
  </si>
  <si>
    <t>江別市</t>
    <rPh sb="0" eb="3">
      <t>エベツシ</t>
    </rPh>
    <phoneticPr fontId="4"/>
  </si>
  <si>
    <t>大麻元町</t>
    <rPh sb="0" eb="1">
      <t>オオ</t>
    </rPh>
    <rPh sb="1" eb="2">
      <t>アサ</t>
    </rPh>
    <rPh sb="2" eb="3">
      <t>モト</t>
    </rPh>
    <rPh sb="3" eb="4">
      <t>マチ</t>
    </rPh>
    <phoneticPr fontId="4"/>
  </si>
  <si>
    <t>宇城市</t>
    <rPh sb="0" eb="1">
      <t>ウ</t>
    </rPh>
    <rPh sb="1" eb="2">
      <t>シロ</t>
    </rPh>
    <rPh sb="2" eb="3">
      <t>シ</t>
    </rPh>
    <phoneticPr fontId="4"/>
  </si>
  <si>
    <t>末橋町豊福</t>
    <rPh sb="0" eb="1">
      <t>マツ</t>
    </rPh>
    <rPh sb="1" eb="2">
      <t>ハシ</t>
    </rPh>
    <rPh sb="2" eb="3">
      <t>マチ</t>
    </rPh>
    <rPh sb="3" eb="5">
      <t>トヨフク</t>
    </rPh>
    <phoneticPr fontId="4"/>
  </si>
  <si>
    <t>申請</t>
    <rPh sb="0" eb="2">
      <t>シンセイ</t>
    </rPh>
    <phoneticPr fontId="4"/>
  </si>
  <si>
    <t>着工</t>
    <rPh sb="0" eb="2">
      <t>チャッコウ</t>
    </rPh>
    <phoneticPr fontId="4"/>
  </si>
  <si>
    <t>緑区大野台</t>
    <rPh sb="0" eb="2">
      <t>ミドリク</t>
    </rPh>
    <rPh sb="2" eb="4">
      <t>オオノ</t>
    </rPh>
    <rPh sb="4" eb="5">
      <t>ダイ</t>
    </rPh>
    <phoneticPr fontId="4"/>
  </si>
  <si>
    <t>一級建築士事務所 Crest</t>
    <rPh sb="0" eb="2">
      <t>イッキュウ</t>
    </rPh>
    <rPh sb="2" eb="5">
      <t>ケンチクシ</t>
    </rPh>
    <rPh sb="5" eb="7">
      <t>ジム</t>
    </rPh>
    <rPh sb="7" eb="8">
      <t>ショ</t>
    </rPh>
    <phoneticPr fontId="4"/>
  </si>
  <si>
    <t>一級建築士事務所 Crest</t>
    <phoneticPr fontId="4"/>
  </si>
  <si>
    <t>イッキュウケンチクシジムショ Crest</t>
    <phoneticPr fontId="4"/>
  </si>
  <si>
    <t>濱川構造設計</t>
    <rPh sb="0" eb="1">
      <t>ハマ</t>
    </rPh>
    <rPh sb="1" eb="2">
      <t>カワ</t>
    </rPh>
    <rPh sb="2" eb="4">
      <t>コウゾウ</t>
    </rPh>
    <rPh sb="4" eb="6">
      <t>セッケイ</t>
    </rPh>
    <phoneticPr fontId="4"/>
  </si>
  <si>
    <t>濱川構造設計</t>
    <phoneticPr fontId="4"/>
  </si>
  <si>
    <t>ハマカワコウゾウセッケイ</t>
    <phoneticPr fontId="4"/>
  </si>
  <si>
    <t>2</t>
    <phoneticPr fontId="4"/>
  </si>
  <si>
    <t>埋土(粘土)</t>
    <rPh sb="0" eb="1">
      <t>ウ</t>
    </rPh>
    <rPh sb="1" eb="2">
      <t>ド</t>
    </rPh>
    <rPh sb="3" eb="5">
      <t>ネンド</t>
    </rPh>
    <phoneticPr fontId="4"/>
  </si>
  <si>
    <t>1m</t>
    <phoneticPr fontId="4"/>
  </si>
  <si>
    <t>砂質ｼﾙﾄ</t>
    <rPh sb="0" eb="1">
      <t>スナ</t>
    </rPh>
    <rPh sb="1" eb="2">
      <t>シツ</t>
    </rPh>
    <phoneticPr fontId="4"/>
  </si>
  <si>
    <t>13m</t>
    <phoneticPr fontId="4"/>
  </si>
  <si>
    <t>ｼﾙﾄ混り砂</t>
    <rPh sb="3" eb="4">
      <t>マ</t>
    </rPh>
    <rPh sb="5" eb="6">
      <t>スナ</t>
    </rPh>
    <phoneticPr fontId="4"/>
  </si>
  <si>
    <t>礫混り粘土(府植物混入)</t>
    <rPh sb="0" eb="1">
      <t>レキ</t>
    </rPh>
    <rPh sb="1" eb="2">
      <t>マ</t>
    </rPh>
    <rPh sb="3" eb="5">
      <t>ネンド</t>
    </rPh>
    <rPh sb="6" eb="7">
      <t>フ</t>
    </rPh>
    <rPh sb="7" eb="9">
      <t>ショクブツ</t>
    </rPh>
    <rPh sb="9" eb="11">
      <t>コンニュウ</t>
    </rPh>
    <phoneticPr fontId="4"/>
  </si>
  <si>
    <t>-</t>
    <phoneticPr fontId="4"/>
  </si>
  <si>
    <t>浄化槽下地盤改良あり。</t>
    <rPh sb="0" eb="3">
      <t>ジョウカソウ</t>
    </rPh>
    <rPh sb="3" eb="4">
      <t>シタ</t>
    </rPh>
    <rPh sb="4" eb="6">
      <t>ジバン</t>
    </rPh>
    <rPh sb="6" eb="8">
      <t>カイリョウ</t>
    </rPh>
    <phoneticPr fontId="4"/>
  </si>
  <si>
    <t>センコン物流㈱新潟新倉庫</t>
    <phoneticPr fontId="4"/>
  </si>
  <si>
    <t>新潟県</t>
    <phoneticPr fontId="4"/>
  </si>
  <si>
    <t>北蒲原郡</t>
    <rPh sb="0" eb="1">
      <t>キタ</t>
    </rPh>
    <rPh sb="1" eb="2">
      <t>カマ</t>
    </rPh>
    <rPh sb="2" eb="3">
      <t>ハラ</t>
    </rPh>
    <rPh sb="3" eb="4">
      <t>グン</t>
    </rPh>
    <phoneticPr fontId="4"/>
  </si>
  <si>
    <t>聖籠町蓮潟</t>
    <rPh sb="0" eb="1">
      <t>セイ</t>
    </rPh>
    <rPh sb="1" eb="2">
      <t>カゴ</t>
    </rPh>
    <rPh sb="2" eb="3">
      <t>マチ</t>
    </rPh>
    <rPh sb="3" eb="4">
      <t>ハス</t>
    </rPh>
    <rPh sb="4" eb="5">
      <t>カタ</t>
    </rPh>
    <phoneticPr fontId="4"/>
  </si>
  <si>
    <t>ギオン相模原A棟</t>
    <rPh sb="7" eb="8">
      <t>トウ</t>
    </rPh>
    <phoneticPr fontId="4"/>
  </si>
  <si>
    <t>2</t>
    <phoneticPr fontId="4"/>
  </si>
  <si>
    <t>-</t>
    <phoneticPr fontId="4"/>
  </si>
  <si>
    <t>ギオン相模原B棟</t>
    <rPh sb="7" eb="8">
      <t>トウ</t>
    </rPh>
    <phoneticPr fontId="4"/>
  </si>
  <si>
    <t>S造</t>
    <phoneticPr fontId="4"/>
  </si>
  <si>
    <t>平屋建</t>
    <phoneticPr fontId="4"/>
  </si>
  <si>
    <t>2</t>
    <phoneticPr fontId="4"/>
  </si>
  <si>
    <t>190034-2</t>
    <phoneticPr fontId="4"/>
  </si>
  <si>
    <t>リュウテック工場棟</t>
    <phoneticPr fontId="4"/>
  </si>
  <si>
    <t>190031-2</t>
    <phoneticPr fontId="4"/>
  </si>
  <si>
    <t>3F建</t>
    <rPh sb="2" eb="3">
      <t>タ</t>
    </rPh>
    <phoneticPr fontId="4"/>
  </si>
  <si>
    <t>申請</t>
    <rPh sb="0" eb="2">
      <t>シンセイ</t>
    </rPh>
    <phoneticPr fontId="4"/>
  </si>
  <si>
    <t>小路建築研究所</t>
    <phoneticPr fontId="4"/>
  </si>
  <si>
    <t>ショウジケンチクケンキュウショ</t>
    <phoneticPr fontId="4"/>
  </si>
  <si>
    <t>3</t>
    <phoneticPr fontId="4"/>
  </si>
  <si>
    <t>盛土</t>
    <rPh sb="0" eb="2">
      <t>モリド</t>
    </rPh>
    <phoneticPr fontId="4"/>
  </si>
  <si>
    <t>埋土(砂質土)</t>
    <rPh sb="0" eb="1">
      <t>ウ</t>
    </rPh>
    <rPh sb="1" eb="2">
      <t>ド</t>
    </rPh>
    <rPh sb="3" eb="4">
      <t>スナ</t>
    </rPh>
    <rPh sb="4" eb="5">
      <t>シツ</t>
    </rPh>
    <rPh sb="5" eb="6">
      <t>ド</t>
    </rPh>
    <phoneticPr fontId="4"/>
  </si>
  <si>
    <t>-</t>
    <phoneticPr fontId="4"/>
  </si>
  <si>
    <t>ｼﾙﾄ質粘土</t>
    <rPh sb="3" eb="4">
      <t>シツ</t>
    </rPh>
    <rPh sb="4" eb="6">
      <t>ネンド</t>
    </rPh>
    <phoneticPr fontId="4"/>
  </si>
  <si>
    <t>8m</t>
    <phoneticPr fontId="4"/>
  </si>
  <si>
    <t>砂質ｼﾙﾄ</t>
    <rPh sb="0" eb="1">
      <t>スナ</t>
    </rPh>
    <rPh sb="1" eb="2">
      <t>シツ</t>
    </rPh>
    <phoneticPr fontId="4"/>
  </si>
  <si>
    <t>1m</t>
    <phoneticPr fontId="4"/>
  </si>
  <si>
    <t>ｼﾙﾄ質砂</t>
    <rPh sb="3" eb="4">
      <t>シツ</t>
    </rPh>
    <rPh sb="4" eb="5">
      <t>スナ</t>
    </rPh>
    <phoneticPr fontId="4"/>
  </si>
  <si>
    <t>工場</t>
    <rPh sb="0" eb="2">
      <t>コウジョウ</t>
    </rPh>
    <phoneticPr fontId="4"/>
  </si>
  <si>
    <t>埋立地。海に近い。建物廻り 配管ﾗｯｸ下も地盤改良</t>
    <rPh sb="0" eb="1">
      <t>ウ</t>
    </rPh>
    <rPh sb="1" eb="2">
      <t>タ</t>
    </rPh>
    <rPh sb="2" eb="3">
      <t>チ</t>
    </rPh>
    <rPh sb="4" eb="5">
      <t>ウミ</t>
    </rPh>
    <rPh sb="6" eb="7">
      <t>チカ</t>
    </rPh>
    <rPh sb="9" eb="11">
      <t>タテモノ</t>
    </rPh>
    <rPh sb="11" eb="12">
      <t>マワ</t>
    </rPh>
    <rPh sb="14" eb="16">
      <t>ハイカン</t>
    </rPh>
    <rPh sb="19" eb="20">
      <t>シタ</t>
    </rPh>
    <rPh sb="21" eb="23">
      <t>ジバン</t>
    </rPh>
    <rPh sb="23" eb="25">
      <t>カイリョウ</t>
    </rPh>
    <phoneticPr fontId="4"/>
  </si>
  <si>
    <t>設計済</t>
    <rPh sb="0" eb="2">
      <t>セッケイ</t>
    </rPh>
    <rPh sb="2" eb="3">
      <t>スミ</t>
    </rPh>
    <phoneticPr fontId="4"/>
  </si>
  <si>
    <t>半田市</t>
    <phoneticPr fontId="4"/>
  </si>
  <si>
    <t>乙川太田</t>
    <rPh sb="0" eb="1">
      <t>オツ</t>
    </rPh>
    <rPh sb="1" eb="2">
      <t>カワ</t>
    </rPh>
    <rPh sb="2" eb="4">
      <t>オオタ</t>
    </rPh>
    <phoneticPr fontId="4"/>
  </si>
  <si>
    <t>V・drug半田乙川</t>
    <phoneticPr fontId="4"/>
  </si>
  <si>
    <t>有限会社 中部設計</t>
    <phoneticPr fontId="4"/>
  </si>
  <si>
    <t>着工</t>
    <rPh sb="0" eb="2">
      <t>チャッコウ</t>
    </rPh>
    <phoneticPr fontId="4"/>
  </si>
  <si>
    <t>鉄骨建方</t>
    <rPh sb="0" eb="2">
      <t>テッコツ</t>
    </rPh>
    <rPh sb="2" eb="3">
      <t>タ</t>
    </rPh>
    <rPh sb="3" eb="4">
      <t>カタ</t>
    </rPh>
    <phoneticPr fontId="4"/>
  </si>
  <si>
    <t>3</t>
    <phoneticPr fontId="4"/>
  </si>
  <si>
    <t>株式会社 ミサワ建築設計事務所</t>
    <rPh sb="0" eb="2">
      <t>カブシキ</t>
    </rPh>
    <rPh sb="2" eb="4">
      <t>カイシャ</t>
    </rPh>
    <rPh sb="8" eb="10">
      <t>ケンチク</t>
    </rPh>
    <rPh sb="10" eb="12">
      <t>セッケイ</t>
    </rPh>
    <rPh sb="12" eb="14">
      <t>ジム</t>
    </rPh>
    <rPh sb="14" eb="15">
      <t>ショ</t>
    </rPh>
    <phoneticPr fontId="4"/>
  </si>
  <si>
    <t>株式会社 ミサワ建築設計事務所</t>
    <phoneticPr fontId="4"/>
  </si>
  <si>
    <t>カブシキガイシャ ミサワケンチクセッケイジムショ</t>
    <phoneticPr fontId="4"/>
  </si>
  <si>
    <t>株式会社 齋藤管工業</t>
    <phoneticPr fontId="4"/>
  </si>
  <si>
    <t>株式会社 齋藤管工業</t>
    <phoneticPr fontId="4"/>
  </si>
  <si>
    <t>カブシキガイシャ サイトウカンコウギョウ</t>
    <phoneticPr fontId="4"/>
  </si>
  <si>
    <t>1m</t>
    <phoneticPr fontId="4"/>
  </si>
  <si>
    <t>細砂</t>
    <rPh sb="0" eb="1">
      <t>サイ</t>
    </rPh>
    <rPh sb="1" eb="2">
      <t>スナ</t>
    </rPh>
    <phoneticPr fontId="4"/>
  </si>
  <si>
    <t>-</t>
    <phoneticPr fontId="4"/>
  </si>
  <si>
    <t>-</t>
    <phoneticPr fontId="4"/>
  </si>
  <si>
    <t>2m</t>
    <phoneticPr fontId="4"/>
  </si>
  <si>
    <t>細砂(有機物混入)</t>
    <rPh sb="0" eb="1">
      <t>サイ</t>
    </rPh>
    <rPh sb="1" eb="2">
      <t>スナ</t>
    </rPh>
    <rPh sb="3" eb="6">
      <t>ユウキブツ</t>
    </rPh>
    <rPh sb="6" eb="8">
      <t>コンニュウ</t>
    </rPh>
    <phoneticPr fontId="4"/>
  </si>
  <si>
    <t>圧密層無し</t>
    <rPh sb="0" eb="2">
      <t>アツミツ</t>
    </rPh>
    <rPh sb="2" eb="3">
      <t>ソウ</t>
    </rPh>
    <rPh sb="3" eb="4">
      <t>ナ</t>
    </rPh>
    <phoneticPr fontId="4"/>
  </si>
  <si>
    <t>株式会社 太陽設計</t>
    <rPh sb="0" eb="2">
      <t>カブシキ</t>
    </rPh>
    <rPh sb="2" eb="4">
      <t>カイシャ</t>
    </rPh>
    <rPh sb="5" eb="7">
      <t>タイヨウ</t>
    </rPh>
    <rPh sb="7" eb="9">
      <t>セッケイ</t>
    </rPh>
    <phoneticPr fontId="4"/>
  </si>
  <si>
    <t>株式会社 太陽設計</t>
    <phoneticPr fontId="4"/>
  </si>
  <si>
    <t>カブシキガイシャ タイヨウセッケイ</t>
    <phoneticPr fontId="4"/>
  </si>
  <si>
    <t>カワバシコウゾウ</t>
    <phoneticPr fontId="4"/>
  </si>
  <si>
    <t>福岡県</t>
    <rPh sb="0" eb="3">
      <t>フクオカケン</t>
    </rPh>
    <phoneticPr fontId="4"/>
  </si>
  <si>
    <t>直方市</t>
    <rPh sb="0" eb="1">
      <t>ナオ</t>
    </rPh>
    <rPh sb="1" eb="2">
      <t>カタ</t>
    </rPh>
    <rPh sb="2" eb="3">
      <t>シ</t>
    </rPh>
    <phoneticPr fontId="4"/>
  </si>
  <si>
    <t>失注</t>
    <rPh sb="0" eb="2">
      <t>シッチュウ</t>
    </rPh>
    <phoneticPr fontId="4"/>
  </si>
  <si>
    <t>安来市</t>
    <rPh sb="0" eb="3">
      <t>ヤスギシ</t>
    </rPh>
    <phoneticPr fontId="4"/>
  </si>
  <si>
    <t>今津町</t>
    <rPh sb="0" eb="1">
      <t>イマ</t>
    </rPh>
    <rPh sb="1" eb="2">
      <t>ツ</t>
    </rPh>
    <rPh sb="2" eb="3">
      <t>マチ</t>
    </rPh>
    <phoneticPr fontId="4"/>
  </si>
  <si>
    <t>工場・店舗</t>
    <rPh sb="0" eb="2">
      <t>コウジョウ</t>
    </rPh>
    <rPh sb="3" eb="5">
      <t>テンポ</t>
    </rPh>
    <phoneticPr fontId="4"/>
  </si>
  <si>
    <t>株式会社 サンヨーホーム</t>
    <rPh sb="0" eb="2">
      <t>カブシキ</t>
    </rPh>
    <rPh sb="2" eb="4">
      <t>カイシャ</t>
    </rPh>
    <phoneticPr fontId="4"/>
  </si>
  <si>
    <t>株式会社 サンヨーホーム</t>
    <phoneticPr fontId="4"/>
  </si>
  <si>
    <t>カブシキガイシャ サンヨーホーム</t>
    <phoneticPr fontId="4"/>
  </si>
  <si>
    <t>株式会社 大有設計</t>
    <phoneticPr fontId="4"/>
  </si>
  <si>
    <t>金秀建設 株式会社</t>
    <phoneticPr fontId="4"/>
  </si>
  <si>
    <t>一級建築士事務所 秋山立花</t>
    <phoneticPr fontId="4"/>
  </si>
  <si>
    <t>イッキュウケンチクシジムショ アキヤマタチバナ</t>
    <phoneticPr fontId="4"/>
  </si>
  <si>
    <t>株式会社 建築構造センター(本社)</t>
    <rPh sb="14" eb="16">
      <t>ホンシャ</t>
    </rPh>
    <phoneticPr fontId="4"/>
  </si>
  <si>
    <t>17.1
17.8</t>
    <phoneticPr fontId="4"/>
  </si>
  <si>
    <t>30.4
33.2</t>
    <phoneticPr fontId="4"/>
  </si>
  <si>
    <t>20.1
15.8</t>
    <phoneticPr fontId="4"/>
  </si>
  <si>
    <t>67.6
66.8</t>
    <phoneticPr fontId="4"/>
  </si>
  <si>
    <t>-</t>
    <phoneticPr fontId="4"/>
  </si>
  <si>
    <t>2m</t>
    <phoneticPr fontId="4"/>
  </si>
  <si>
    <t>砂混じりｼﾙﾄ</t>
    <rPh sb="0" eb="1">
      <t>スナ</t>
    </rPh>
    <rPh sb="1" eb="2">
      <t>マ</t>
    </rPh>
    <phoneticPr fontId="4"/>
  </si>
  <si>
    <t>2m</t>
    <phoneticPr fontId="4"/>
  </si>
  <si>
    <t>4m</t>
    <phoneticPr fontId="4"/>
  </si>
  <si>
    <t>砂質ｼﾙﾄ</t>
    <rPh sb="0" eb="1">
      <t>スナ</t>
    </rPh>
    <rPh sb="1" eb="2">
      <t>シツ</t>
    </rPh>
    <phoneticPr fontId="4"/>
  </si>
  <si>
    <t>4m</t>
    <phoneticPr fontId="4"/>
  </si>
  <si>
    <t>粘土</t>
    <rPh sb="0" eb="2">
      <t>ネンド</t>
    </rPh>
    <phoneticPr fontId="4"/>
  </si>
  <si>
    <t>1m</t>
    <phoneticPr fontId="4"/>
  </si>
  <si>
    <t>盛土</t>
    <rPh sb="0" eb="2">
      <t>モリド</t>
    </rPh>
    <phoneticPr fontId="4"/>
  </si>
  <si>
    <t>9m</t>
    <phoneticPr fontId="4"/>
  </si>
  <si>
    <t>ﾛｰﾑ</t>
    <phoneticPr fontId="4"/>
  </si>
  <si>
    <t>6m</t>
    <phoneticPr fontId="4"/>
  </si>
  <si>
    <t>株式会社 建築構造センター(福島)</t>
    <rPh sb="14" eb="16">
      <t>フクシマ</t>
    </rPh>
    <phoneticPr fontId="4"/>
  </si>
  <si>
    <t>受注
予定</t>
    <rPh sb="0" eb="2">
      <t>ジュチュウ</t>
    </rPh>
    <rPh sb="3" eb="5">
      <t>ヨテイ</t>
    </rPh>
    <phoneticPr fontId="4"/>
  </si>
  <si>
    <t>意匠
+
構造</t>
    <rPh sb="0" eb="2">
      <t>イショウ</t>
    </rPh>
    <rPh sb="5" eb="7">
      <t>コウゾウ</t>
    </rPh>
    <phoneticPr fontId="17"/>
  </si>
  <si>
    <t>ボーリング</t>
    <phoneticPr fontId="4"/>
  </si>
  <si>
    <t>出雲市</t>
    <rPh sb="0" eb="3">
      <t>イズモシ</t>
    </rPh>
    <phoneticPr fontId="4"/>
  </si>
  <si>
    <t>西沖町</t>
    <rPh sb="0" eb="1">
      <t>ニシ</t>
    </rPh>
    <rPh sb="1" eb="2">
      <t>オキ</t>
    </rPh>
    <rPh sb="2" eb="3">
      <t>マチ</t>
    </rPh>
    <phoneticPr fontId="4"/>
  </si>
  <si>
    <t>ティーアンドピィー設計事務所 スケジュール</t>
    <rPh sb="9" eb="11">
      <t>セッケイ</t>
    </rPh>
    <rPh sb="11" eb="13">
      <t>ジム</t>
    </rPh>
    <rPh sb="13" eb="14">
      <t>ショ</t>
    </rPh>
    <phoneticPr fontId="17"/>
  </si>
  <si>
    <t>青森県 西北地域県民局地域整備部</t>
    <phoneticPr fontId="4"/>
  </si>
  <si>
    <t>盛土</t>
    <rPh sb="0" eb="2">
      <t>モリド</t>
    </rPh>
    <phoneticPr fontId="4"/>
  </si>
  <si>
    <t>○300</t>
    <phoneticPr fontId="4"/>
  </si>
  <si>
    <t>A棟、B棟の2棟。既存擁壁不明。擁壁資料受領時に変更の可能性あり。自動ラックあり。既存建物に接合。</t>
    <rPh sb="1" eb="2">
      <t>トウ</t>
    </rPh>
    <rPh sb="4" eb="5">
      <t>トウ</t>
    </rPh>
    <rPh sb="7" eb="8">
      <t>トウ</t>
    </rPh>
    <rPh sb="9" eb="11">
      <t>キソン</t>
    </rPh>
    <rPh sb="11" eb="13">
      <t>ヨウヘキ</t>
    </rPh>
    <rPh sb="13" eb="15">
      <t>フメイ</t>
    </rPh>
    <rPh sb="16" eb="18">
      <t>ヨウヘキ</t>
    </rPh>
    <rPh sb="18" eb="20">
      <t>シリョウ</t>
    </rPh>
    <rPh sb="20" eb="22">
      <t>ジュリョウ</t>
    </rPh>
    <rPh sb="22" eb="23">
      <t>ジ</t>
    </rPh>
    <rPh sb="24" eb="26">
      <t>ヘンコウ</t>
    </rPh>
    <rPh sb="27" eb="30">
      <t>カノウセイ</t>
    </rPh>
    <rPh sb="33" eb="35">
      <t>ジドウ</t>
    </rPh>
    <rPh sb="41" eb="43">
      <t>キソン</t>
    </rPh>
    <rPh sb="43" eb="45">
      <t>タテモノ</t>
    </rPh>
    <rPh sb="46" eb="48">
      <t>セツゴウ</t>
    </rPh>
    <phoneticPr fontId="4"/>
  </si>
  <si>
    <t>島根中央炊飯センター</t>
    <rPh sb="0" eb="2">
      <t>シマネ</t>
    </rPh>
    <rPh sb="2" eb="4">
      <t>チュウオウ</t>
    </rPh>
    <rPh sb="4" eb="6">
      <t>スイハン</t>
    </rPh>
    <phoneticPr fontId="4"/>
  </si>
  <si>
    <t>出雲市</t>
    <rPh sb="0" eb="3">
      <t>イズモシ</t>
    </rPh>
    <phoneticPr fontId="4"/>
  </si>
  <si>
    <t>矢尾町</t>
    <rPh sb="0" eb="1">
      <t>ヤ</t>
    </rPh>
    <rPh sb="1" eb="2">
      <t>オ</t>
    </rPh>
    <rPh sb="2" eb="3">
      <t>マチ</t>
    </rPh>
    <phoneticPr fontId="4"/>
  </si>
  <si>
    <t>工場</t>
    <rPh sb="0" eb="2">
      <t>コウジョウ</t>
    </rPh>
    <phoneticPr fontId="4"/>
  </si>
  <si>
    <t>着工</t>
    <rPh sb="0" eb="2">
      <t>チャッコウ</t>
    </rPh>
    <phoneticPr fontId="4"/>
  </si>
  <si>
    <t>川橋構造(株式会社 I.S内)</t>
    <rPh sb="5" eb="7">
      <t>カブシキ</t>
    </rPh>
    <rPh sb="7" eb="9">
      <t>カイシャ</t>
    </rPh>
    <rPh sb="13" eb="14">
      <t>ナイ</t>
    </rPh>
    <phoneticPr fontId="4"/>
  </si>
  <si>
    <t>ユウゲンガイシャ ヨシムラケンチクセッケイシツ</t>
    <phoneticPr fontId="4"/>
  </si>
  <si>
    <t>川橋構造(株式会社 I.S内)</t>
    <phoneticPr fontId="4"/>
  </si>
  <si>
    <t>茨城県 北茨城市役所</t>
    <rPh sb="0" eb="3">
      <t>イバラキケン</t>
    </rPh>
    <rPh sb="4" eb="5">
      <t>キタ</t>
    </rPh>
    <rPh sb="5" eb="7">
      <t>イバラキ</t>
    </rPh>
    <rPh sb="7" eb="10">
      <t>シヤクショ</t>
    </rPh>
    <phoneticPr fontId="4"/>
  </si>
  <si>
    <t>茨城県 北茨城市役所</t>
    <phoneticPr fontId="4"/>
  </si>
  <si>
    <t>大字下堺</t>
    <rPh sb="0" eb="2">
      <t>オオアザ</t>
    </rPh>
    <rPh sb="2" eb="3">
      <t>シタ</t>
    </rPh>
    <rPh sb="3" eb="4">
      <t>サカイ</t>
    </rPh>
    <phoneticPr fontId="4"/>
  </si>
  <si>
    <t>申請</t>
    <rPh sb="0" eb="2">
      <t>シンセイ</t>
    </rPh>
    <phoneticPr fontId="4"/>
  </si>
  <si>
    <t>2019/10/25 失注(他工法に変更)</t>
    <rPh sb="11" eb="13">
      <t>シッチュウ</t>
    </rPh>
    <rPh sb="14" eb="15">
      <t>ホカ</t>
    </rPh>
    <rPh sb="15" eb="17">
      <t>コウホウ</t>
    </rPh>
    <rPh sb="18" eb="20">
      <t>ヘンコウ</t>
    </rPh>
    <phoneticPr fontId="4"/>
  </si>
  <si>
    <t>財団法人 愛知県建築住宅センター</t>
    <phoneticPr fontId="4"/>
  </si>
  <si>
    <t>株式会社 国際確認検査センター</t>
    <phoneticPr fontId="4"/>
  </si>
  <si>
    <t>3</t>
    <phoneticPr fontId="4"/>
  </si>
  <si>
    <t>盛土</t>
    <rPh sb="0" eb="2">
      <t>モリド</t>
    </rPh>
    <phoneticPr fontId="4"/>
  </si>
  <si>
    <t>府植物混じり砂質ｼﾙﾄ</t>
    <rPh sb="0" eb="1">
      <t>フ</t>
    </rPh>
    <rPh sb="1" eb="3">
      <t>ショクブツ</t>
    </rPh>
    <rPh sb="3" eb="4">
      <t>マ</t>
    </rPh>
    <rPh sb="6" eb="7">
      <t>スナ</t>
    </rPh>
    <rPh sb="7" eb="8">
      <t>シツ</t>
    </rPh>
    <phoneticPr fontId="4"/>
  </si>
  <si>
    <t>住宅・学校</t>
    <rPh sb="0" eb="2">
      <t>ジュウタク</t>
    </rPh>
    <rPh sb="3" eb="5">
      <t>ガッコウ</t>
    </rPh>
    <phoneticPr fontId="4"/>
  </si>
  <si>
    <t>2019.10.28 他工法に変更</t>
    <rPh sb="11" eb="12">
      <t>ホカ</t>
    </rPh>
    <rPh sb="12" eb="14">
      <t>コウホウ</t>
    </rPh>
    <rPh sb="15" eb="17">
      <t>ヘンコウ</t>
    </rPh>
    <phoneticPr fontId="4"/>
  </si>
  <si>
    <t>　申請</t>
    <rPh sb="1" eb="3">
      <t>シンセイ</t>
    </rPh>
    <phoneticPr fontId="4"/>
  </si>
  <si>
    <t>東京都</t>
    <rPh sb="0" eb="3">
      <t>トウキョウト</t>
    </rPh>
    <phoneticPr fontId="4"/>
  </si>
  <si>
    <t>大田区</t>
    <rPh sb="0" eb="3">
      <t>オオタク</t>
    </rPh>
    <phoneticPr fontId="4"/>
  </si>
  <si>
    <t>羽田空港</t>
    <rPh sb="0" eb="2">
      <t>ハネダ</t>
    </rPh>
    <rPh sb="2" eb="4">
      <t>クウコウ</t>
    </rPh>
    <phoneticPr fontId="4"/>
  </si>
  <si>
    <t>自動冷凍倉庫</t>
    <phoneticPr fontId="4"/>
  </si>
  <si>
    <t>ラック資料より ラック２本柱 12t×2/(0.63[B]×1.355[L]m)</t>
    <phoneticPr fontId="4"/>
  </si>
  <si>
    <t>D13@200</t>
  </si>
  <si>
    <t>ビューローベリタスジャパン株式会社</t>
    <phoneticPr fontId="4"/>
  </si>
  <si>
    <t>礫混じり砂質土</t>
    <rPh sb="0" eb="1">
      <t>レキ</t>
    </rPh>
    <rPh sb="1" eb="2">
      <t>マ</t>
    </rPh>
    <rPh sb="4" eb="5">
      <t>スナ</t>
    </rPh>
    <rPh sb="5" eb="6">
      <t>シツ</t>
    </rPh>
    <rPh sb="6" eb="7">
      <t>ド</t>
    </rPh>
    <phoneticPr fontId="4"/>
  </si>
  <si>
    <t>砂混じり粘土</t>
    <rPh sb="0" eb="1">
      <t>スナ</t>
    </rPh>
    <rPh sb="1" eb="2">
      <t>マ</t>
    </rPh>
    <rPh sb="4" eb="6">
      <t>ネンド</t>
    </rPh>
    <phoneticPr fontId="4"/>
  </si>
  <si>
    <t xml:space="preserve"> 申請</t>
    <rPh sb="1" eb="3">
      <t>シンセイ</t>
    </rPh>
    <phoneticPr fontId="4"/>
  </si>
  <si>
    <t>株式会社 市川工務店</t>
    <phoneticPr fontId="4"/>
  </si>
  <si>
    <t>株式会社 市川工務店</t>
    <phoneticPr fontId="4"/>
  </si>
  <si>
    <t>設計室ALL 株式会社</t>
    <phoneticPr fontId="4"/>
  </si>
  <si>
    <t>設計室ALL 株式会社</t>
    <phoneticPr fontId="4"/>
  </si>
  <si>
    <t>カブシキガイシャ イチカワコウムテン</t>
    <phoneticPr fontId="4"/>
  </si>
  <si>
    <t>セッケイシツALL カブシキガイシャ</t>
    <phoneticPr fontId="4"/>
  </si>
  <si>
    <t>申請</t>
    <rPh sb="0" eb="2">
      <t>シンセイ</t>
    </rPh>
    <phoneticPr fontId="4"/>
  </si>
  <si>
    <t>UDI確認検査 株式会社</t>
    <phoneticPr fontId="4"/>
  </si>
  <si>
    <t>UDI確認検査 株式会社</t>
    <phoneticPr fontId="4"/>
  </si>
  <si>
    <t>ジュンテンドー大崎</t>
    <phoneticPr fontId="4"/>
  </si>
  <si>
    <t>京田</t>
    <rPh sb="0" eb="1">
      <t>キョウ</t>
    </rPh>
    <rPh sb="1" eb="2">
      <t>タ</t>
    </rPh>
    <phoneticPr fontId="4"/>
  </si>
  <si>
    <t>タオ</t>
    <phoneticPr fontId="4"/>
  </si>
  <si>
    <t xml:space="preserve">  図面</t>
    <rPh sb="2" eb="4">
      <t>ズメン</t>
    </rPh>
    <phoneticPr fontId="4"/>
  </si>
  <si>
    <t>3期に分かれた工事</t>
    <rPh sb="1" eb="2">
      <t>キ</t>
    </rPh>
    <rPh sb="3" eb="4">
      <t>ワ</t>
    </rPh>
    <rPh sb="7" eb="9">
      <t>コウジ</t>
    </rPh>
    <phoneticPr fontId="4"/>
  </si>
  <si>
    <t>盛土</t>
    <rPh sb="0" eb="2">
      <t>モリド</t>
    </rPh>
    <phoneticPr fontId="4"/>
  </si>
  <si>
    <t>細砂</t>
    <rPh sb="0" eb="1">
      <t>サイ</t>
    </rPh>
    <rPh sb="1" eb="2">
      <t>スナ</t>
    </rPh>
    <phoneticPr fontId="4"/>
  </si>
  <si>
    <t>与那原市</t>
    <rPh sb="0" eb="3">
      <t>ヨナバル</t>
    </rPh>
    <rPh sb="3" eb="4">
      <t>シ</t>
    </rPh>
    <phoneticPr fontId="4"/>
  </si>
  <si>
    <t>与那原</t>
    <rPh sb="0" eb="3">
      <t>ヨナバル</t>
    </rPh>
    <phoneticPr fontId="4"/>
  </si>
  <si>
    <t>Nsd 中村孝正構造設計事務所</t>
    <phoneticPr fontId="4"/>
  </si>
  <si>
    <t>Nsd 中村孝正構造設計事務所</t>
    <phoneticPr fontId="4"/>
  </si>
  <si>
    <t>Nsd ナカムラコウセイコウゾウセッケイジムショ</t>
    <phoneticPr fontId="4"/>
  </si>
  <si>
    <t>ジュンテンドー岡山神崎</t>
    <phoneticPr fontId="4"/>
  </si>
  <si>
    <t>申請</t>
    <rPh sb="0" eb="2">
      <t>シンセイ</t>
    </rPh>
    <phoneticPr fontId="4"/>
  </si>
  <si>
    <t>○
4,6m</t>
    <phoneticPr fontId="4"/>
  </si>
  <si>
    <t>海に近い・既存擁壁近接。2019.11.11失注(PC杭に変更)</t>
    <rPh sb="0" eb="1">
      <t>ウミ</t>
    </rPh>
    <rPh sb="2" eb="3">
      <t>チカ</t>
    </rPh>
    <rPh sb="5" eb="7">
      <t>キソン</t>
    </rPh>
    <rPh sb="7" eb="8">
      <t>ヨウ</t>
    </rPh>
    <rPh sb="8" eb="9">
      <t>カベ</t>
    </rPh>
    <rPh sb="9" eb="11">
      <t>キンセツ</t>
    </rPh>
    <rPh sb="22" eb="24">
      <t>シッチュウ</t>
    </rPh>
    <rPh sb="27" eb="28">
      <t>クイ</t>
    </rPh>
    <rPh sb="29" eb="31">
      <t>ヘンコウ</t>
    </rPh>
    <phoneticPr fontId="4"/>
  </si>
  <si>
    <t>北海道</t>
    <rPh sb="0" eb="3">
      <t>ホッカイドウ</t>
    </rPh>
    <phoneticPr fontId="4"/>
  </si>
  <si>
    <t>北見市</t>
    <rPh sb="0" eb="3">
      <t>キタミシ</t>
    </rPh>
    <phoneticPr fontId="4"/>
  </si>
  <si>
    <t>眼科</t>
    <rPh sb="0" eb="2">
      <t>ガンカ</t>
    </rPh>
    <phoneticPr fontId="4"/>
  </si>
  <si>
    <t>2</t>
    <phoneticPr fontId="4"/>
  </si>
  <si>
    <t>埋土</t>
    <rPh sb="0" eb="1">
      <t>ウ</t>
    </rPh>
    <rPh sb="1" eb="2">
      <t>ド</t>
    </rPh>
    <phoneticPr fontId="4"/>
  </si>
  <si>
    <t>有機質粘土</t>
    <rPh sb="0" eb="3">
      <t>ユウキシツ</t>
    </rPh>
    <rPh sb="3" eb="5">
      <t>ネンド</t>
    </rPh>
    <phoneticPr fontId="4"/>
  </si>
  <si>
    <t>店舗・住宅・畑</t>
    <rPh sb="0" eb="2">
      <t>テンポ</t>
    </rPh>
    <rPh sb="3" eb="5">
      <t>ジュウタク</t>
    </rPh>
    <rPh sb="6" eb="7">
      <t>ハタケ</t>
    </rPh>
    <phoneticPr fontId="4"/>
  </si>
  <si>
    <t>駐車場下 外構改良あり</t>
    <rPh sb="0" eb="3">
      <t>チュウシャジョウ</t>
    </rPh>
    <rPh sb="3" eb="4">
      <t>シタ</t>
    </rPh>
    <rPh sb="5" eb="7">
      <t>ガイコウ</t>
    </rPh>
    <rPh sb="7" eb="9">
      <t>カイリョウ</t>
    </rPh>
    <phoneticPr fontId="4"/>
  </si>
  <si>
    <t>3m</t>
    <phoneticPr fontId="4"/>
  </si>
  <si>
    <t>6m</t>
    <phoneticPr fontId="4"/>
  </si>
  <si>
    <t>1m</t>
    <phoneticPr fontId="4"/>
  </si>
  <si>
    <t>砂混じり粘土</t>
    <rPh sb="0" eb="1">
      <t>スナ</t>
    </rPh>
    <rPh sb="1" eb="2">
      <t>マ</t>
    </rPh>
    <rPh sb="4" eb="6">
      <t>ネンド</t>
    </rPh>
    <phoneticPr fontId="4"/>
  </si>
  <si>
    <t>2m</t>
    <phoneticPr fontId="4"/>
  </si>
  <si>
    <t>スラリー改良。水路・既存擁壁近接。</t>
    <rPh sb="4" eb="6">
      <t>カイリョウ</t>
    </rPh>
    <rPh sb="7" eb="9">
      <t>スイロ</t>
    </rPh>
    <rPh sb="10" eb="12">
      <t>キソン</t>
    </rPh>
    <rPh sb="12" eb="14">
      <t>ヨウヘキ</t>
    </rPh>
    <rPh sb="14" eb="16">
      <t>キンセツ</t>
    </rPh>
    <phoneticPr fontId="4"/>
  </si>
  <si>
    <t>海に近い。電柱・水路近接。既存擁壁撤去→地盤改良→新設擁壁設置。</t>
    <rPh sb="0" eb="1">
      <t>ウミ</t>
    </rPh>
    <rPh sb="2" eb="3">
      <t>チカ</t>
    </rPh>
    <rPh sb="5" eb="7">
      <t>デンチュウ</t>
    </rPh>
    <rPh sb="8" eb="10">
      <t>スイロ</t>
    </rPh>
    <rPh sb="10" eb="12">
      <t>キンセツ</t>
    </rPh>
    <rPh sb="13" eb="15">
      <t>キソン</t>
    </rPh>
    <rPh sb="15" eb="17">
      <t>ヨウヘキ</t>
    </rPh>
    <rPh sb="17" eb="19">
      <t>テッキョ</t>
    </rPh>
    <rPh sb="20" eb="22">
      <t>ジバン</t>
    </rPh>
    <rPh sb="22" eb="24">
      <t>カイリョウ</t>
    </rPh>
    <rPh sb="25" eb="27">
      <t>シンセツ</t>
    </rPh>
    <rPh sb="27" eb="29">
      <t>ヨウヘキ</t>
    </rPh>
    <rPh sb="29" eb="31">
      <t>セッチ</t>
    </rPh>
    <phoneticPr fontId="4"/>
  </si>
  <si>
    <t>3</t>
    <phoneticPr fontId="4"/>
  </si>
  <si>
    <t>ｼﾙﾄ混じり砂</t>
    <rPh sb="3" eb="4">
      <t>マ</t>
    </rPh>
    <rPh sb="6" eb="7">
      <t>スナ</t>
    </rPh>
    <phoneticPr fontId="4"/>
  </si>
  <si>
    <t>砂</t>
    <rPh sb="0" eb="1">
      <t>スナ</t>
    </rPh>
    <phoneticPr fontId="4"/>
  </si>
  <si>
    <t>5m</t>
    <phoneticPr fontId="4"/>
  </si>
  <si>
    <t>ｼﾙﾄ質粘土</t>
    <rPh sb="3" eb="4">
      <t>シツ</t>
    </rPh>
    <rPh sb="4" eb="6">
      <t>ネンド</t>
    </rPh>
    <phoneticPr fontId="4"/>
  </si>
  <si>
    <t>8m</t>
    <phoneticPr fontId="4"/>
  </si>
  <si>
    <t>4m</t>
    <phoneticPr fontId="4"/>
  </si>
  <si>
    <t>砂質ｼﾙﾄ</t>
    <rPh sb="0" eb="1">
      <t>スナ</t>
    </rPh>
    <rPh sb="1" eb="2">
      <t>シツ</t>
    </rPh>
    <phoneticPr fontId="4"/>
  </si>
  <si>
    <t>3m</t>
    <phoneticPr fontId="4"/>
  </si>
  <si>
    <t>ｼﾙﾄ質粘土(有機物含む)</t>
    <rPh sb="3" eb="4">
      <t>シツ</t>
    </rPh>
    <rPh sb="4" eb="6">
      <t>ネンド</t>
    </rPh>
    <rPh sb="7" eb="10">
      <t>ユウキブツ</t>
    </rPh>
    <rPh sb="10" eb="11">
      <t>フク</t>
    </rPh>
    <phoneticPr fontId="4"/>
  </si>
  <si>
    <t>住宅・畑</t>
    <rPh sb="0" eb="2">
      <t>ジュウタク</t>
    </rPh>
    <rPh sb="3" eb="4">
      <t>ハタケ</t>
    </rPh>
    <phoneticPr fontId="4"/>
  </si>
  <si>
    <t>3</t>
    <phoneticPr fontId="4"/>
  </si>
  <si>
    <t>埋土(粘土)</t>
    <rPh sb="0" eb="1">
      <t>ウ</t>
    </rPh>
    <rPh sb="1" eb="2">
      <t>ド</t>
    </rPh>
    <rPh sb="3" eb="5">
      <t>ネンド</t>
    </rPh>
    <phoneticPr fontId="4"/>
  </si>
  <si>
    <t>埋土(砂混じりｼﾙﾄ)</t>
    <rPh sb="0" eb="1">
      <t>ウ</t>
    </rPh>
    <rPh sb="1" eb="2">
      <t>ド</t>
    </rPh>
    <rPh sb="3" eb="4">
      <t>スナ</t>
    </rPh>
    <rPh sb="4" eb="5">
      <t>マ</t>
    </rPh>
    <phoneticPr fontId="4"/>
  </si>
  <si>
    <t>3m</t>
    <phoneticPr fontId="4"/>
  </si>
  <si>
    <t>ｼﾙﾄ</t>
    <phoneticPr fontId="4"/>
  </si>
  <si>
    <t>2m</t>
    <phoneticPr fontId="4"/>
  </si>
  <si>
    <t>1m</t>
    <phoneticPr fontId="4"/>
  </si>
  <si>
    <t>1m</t>
    <phoneticPr fontId="4"/>
  </si>
  <si>
    <t>砂混じりｼﾙﾄ</t>
    <rPh sb="0" eb="1">
      <t>スナ</t>
    </rPh>
    <rPh sb="1" eb="2">
      <t>マ</t>
    </rPh>
    <phoneticPr fontId="4"/>
  </si>
  <si>
    <t>ｼﾙﾄ(府植物混入)</t>
    <rPh sb="4" eb="5">
      <t>フ</t>
    </rPh>
    <rPh sb="5" eb="7">
      <t>ショクブツ</t>
    </rPh>
    <rPh sb="7" eb="9">
      <t>コンニュウ</t>
    </rPh>
    <phoneticPr fontId="4"/>
  </si>
  <si>
    <t>盛土(礫混じり砂質ｼﾙﾄ)</t>
    <rPh sb="0" eb="2">
      <t>モリド</t>
    </rPh>
    <rPh sb="3" eb="4">
      <t>レキ</t>
    </rPh>
    <rPh sb="4" eb="5">
      <t>マ</t>
    </rPh>
    <rPh sb="7" eb="8">
      <t>スナ</t>
    </rPh>
    <rPh sb="8" eb="9">
      <t>シツ</t>
    </rPh>
    <phoneticPr fontId="4"/>
  </si>
  <si>
    <t>申請</t>
    <rPh sb="0" eb="2">
      <t>シンセイ</t>
    </rPh>
    <phoneticPr fontId="4"/>
  </si>
  <si>
    <t>財団法人 さいたま住宅検査センター</t>
    <phoneticPr fontId="4"/>
  </si>
  <si>
    <t>申請</t>
    <rPh sb="0" eb="2">
      <t>シンセイ</t>
    </rPh>
    <phoneticPr fontId="4"/>
  </si>
  <si>
    <t>ユイ</t>
    <phoneticPr fontId="4"/>
  </si>
  <si>
    <t>申請</t>
    <rPh sb="0" eb="2">
      <t>シンセイ</t>
    </rPh>
    <phoneticPr fontId="4"/>
  </si>
  <si>
    <t>着工</t>
    <rPh sb="0" eb="2">
      <t>チャッコウ</t>
    </rPh>
    <phoneticPr fontId="4"/>
  </si>
  <si>
    <t>2020.7末 竣工</t>
    <rPh sb="6" eb="7">
      <t>マツ</t>
    </rPh>
    <rPh sb="8" eb="10">
      <t>シュンコウ</t>
    </rPh>
    <phoneticPr fontId="4"/>
  </si>
  <si>
    <t>既存建物は今回建物建設後に解体。</t>
    <rPh sb="0" eb="2">
      <t>キソン</t>
    </rPh>
    <rPh sb="2" eb="4">
      <t>タテモノ</t>
    </rPh>
    <rPh sb="5" eb="7">
      <t>コンカイ</t>
    </rPh>
    <rPh sb="7" eb="9">
      <t>タテモノ</t>
    </rPh>
    <rPh sb="9" eb="11">
      <t>ケンセツ</t>
    </rPh>
    <rPh sb="11" eb="12">
      <t>ゴ</t>
    </rPh>
    <rPh sb="13" eb="15">
      <t>カイタイ</t>
    </rPh>
    <phoneticPr fontId="4"/>
  </si>
  <si>
    <t>沖本</t>
    <rPh sb="0" eb="2">
      <t>オキモト</t>
    </rPh>
    <phoneticPr fontId="4"/>
  </si>
  <si>
    <t>兵庫県</t>
    <phoneticPr fontId="4"/>
  </si>
  <si>
    <t>神戸市</t>
    <rPh sb="0" eb="3">
      <t>コウベシ</t>
    </rPh>
    <phoneticPr fontId="4"/>
  </si>
  <si>
    <t>住宅</t>
    <rPh sb="0" eb="2">
      <t>ジュウタク</t>
    </rPh>
    <phoneticPr fontId="4"/>
  </si>
  <si>
    <t>店舗</t>
    <phoneticPr fontId="25"/>
  </si>
  <si>
    <t>株式会社 マップス建築事務所</t>
    <rPh sb="0" eb="2">
      <t>カブシキ</t>
    </rPh>
    <rPh sb="2" eb="4">
      <t>カイシャ</t>
    </rPh>
    <phoneticPr fontId="4"/>
  </si>
  <si>
    <t>有限会社 山中設計事務所</t>
    <rPh sb="0" eb="2">
      <t>ユウゲン</t>
    </rPh>
    <rPh sb="2" eb="4">
      <t>カイシャ</t>
    </rPh>
    <phoneticPr fontId="4"/>
  </si>
  <si>
    <t>株式会社 マップス建築事務所</t>
    <phoneticPr fontId="4"/>
  </si>
  <si>
    <t>有限会社 山中設計事務所</t>
    <phoneticPr fontId="4"/>
  </si>
  <si>
    <t>有限会社 重原建築設計事務所</t>
    <phoneticPr fontId="4"/>
  </si>
  <si>
    <t>タカラスペースデザイン 株式会社</t>
    <rPh sb="12" eb="14">
      <t>カブシキ</t>
    </rPh>
    <rPh sb="14" eb="16">
      <t>カイシャ</t>
    </rPh>
    <phoneticPr fontId="4"/>
  </si>
  <si>
    <t>小泉</t>
    <rPh sb="0" eb="2">
      <t>コイズミ</t>
    </rPh>
    <phoneticPr fontId="4"/>
  </si>
  <si>
    <t>礫混じりｼﾙﾄ質砂</t>
    <rPh sb="0" eb="1">
      <t>レキ</t>
    </rPh>
    <rPh sb="1" eb="2">
      <t>マ</t>
    </rPh>
    <rPh sb="7" eb="8">
      <t>シツ</t>
    </rPh>
    <rPh sb="8" eb="9">
      <t>スナ</t>
    </rPh>
    <phoneticPr fontId="4"/>
  </si>
  <si>
    <t>砂質ｼﾙﾄ</t>
    <rPh sb="0" eb="1">
      <t>スナ</t>
    </rPh>
    <rPh sb="1" eb="2">
      <t>シツ</t>
    </rPh>
    <phoneticPr fontId="4"/>
  </si>
  <si>
    <t>1m</t>
    <phoneticPr fontId="4"/>
  </si>
  <si>
    <t>2m</t>
    <phoneticPr fontId="4"/>
  </si>
  <si>
    <t>-</t>
    <phoneticPr fontId="4"/>
  </si>
  <si>
    <t>-</t>
    <phoneticPr fontId="4"/>
  </si>
  <si>
    <t>事務所</t>
    <rPh sb="0" eb="2">
      <t>ジム</t>
    </rPh>
    <rPh sb="2" eb="3">
      <t>ショ</t>
    </rPh>
    <phoneticPr fontId="4"/>
  </si>
  <si>
    <t>着工</t>
    <rPh sb="0" eb="2">
      <t>チャッコウ</t>
    </rPh>
    <phoneticPr fontId="4"/>
  </si>
  <si>
    <t>4m</t>
    <phoneticPr fontId="4"/>
  </si>
  <si>
    <t>ｼﾙﾄ質粘土</t>
    <rPh sb="3" eb="4">
      <t>シツ</t>
    </rPh>
    <rPh sb="4" eb="6">
      <t>ネンド</t>
    </rPh>
    <phoneticPr fontId="4"/>
  </si>
  <si>
    <t>2m</t>
    <phoneticPr fontId="4"/>
  </si>
  <si>
    <t>ｼﾙﾄ</t>
    <phoneticPr fontId="4"/>
  </si>
  <si>
    <t>1m</t>
    <phoneticPr fontId="4"/>
  </si>
  <si>
    <t>バロー穂積</t>
    <rPh sb="3" eb="4">
      <t>ホ</t>
    </rPh>
    <rPh sb="4" eb="5">
      <t>ツ</t>
    </rPh>
    <phoneticPr fontId="4"/>
  </si>
  <si>
    <t>岐阜県</t>
    <phoneticPr fontId="4"/>
  </si>
  <si>
    <t>瑞穂市</t>
    <rPh sb="0" eb="3">
      <t>ミズホシ</t>
    </rPh>
    <phoneticPr fontId="4"/>
  </si>
  <si>
    <t>馬場春雨</t>
    <rPh sb="0" eb="2">
      <t>ババ</t>
    </rPh>
    <rPh sb="2" eb="4">
      <t>ハルサメ</t>
    </rPh>
    <phoneticPr fontId="4"/>
  </si>
  <si>
    <t>つちこ建築</t>
    <rPh sb="3" eb="5">
      <t>ケンチク</t>
    </rPh>
    <phoneticPr fontId="4"/>
  </si>
  <si>
    <t>システムハウスR＆C</t>
    <phoneticPr fontId="4"/>
  </si>
  <si>
    <t>つちこ建築</t>
    <phoneticPr fontId="4"/>
  </si>
  <si>
    <t>カブシキガイシャ マップスケンチクジムショ</t>
    <phoneticPr fontId="4"/>
  </si>
  <si>
    <t>ユウゲンガイシャ ヤマナカセッケイジムショ</t>
    <phoneticPr fontId="4"/>
  </si>
  <si>
    <t>タカラスペースデザイン 株式会社</t>
    <phoneticPr fontId="4"/>
  </si>
  <si>
    <t>タカラスペースデザイン カブシキガイシャ</t>
    <phoneticPr fontId="4"/>
  </si>
  <si>
    <t>システムハウスR＆C</t>
    <phoneticPr fontId="4"/>
  </si>
  <si>
    <t>ツチコケンチク</t>
    <phoneticPr fontId="4"/>
  </si>
  <si>
    <t>岡山市</t>
    <rPh sb="0" eb="3">
      <t>オカヤマシ</t>
    </rPh>
    <phoneticPr fontId="4"/>
  </si>
  <si>
    <t>南区福浜西</t>
    <rPh sb="2" eb="4">
      <t>フクハマ</t>
    </rPh>
    <rPh sb="4" eb="5">
      <t>ニシ</t>
    </rPh>
    <phoneticPr fontId="4"/>
  </si>
  <si>
    <t>着工</t>
    <rPh sb="0" eb="2">
      <t>チャッコウ</t>
    </rPh>
    <phoneticPr fontId="4"/>
  </si>
  <si>
    <t xml:space="preserve"> 着工</t>
    <rPh sb="1" eb="3">
      <t>チャッコウ</t>
    </rPh>
    <phoneticPr fontId="4"/>
  </si>
  <si>
    <t>株式会社 新潟建築確認検査機構</t>
    <phoneticPr fontId="4"/>
  </si>
  <si>
    <t>申請</t>
    <rPh sb="0" eb="2">
      <t>シンセイ</t>
    </rPh>
    <phoneticPr fontId="4"/>
  </si>
  <si>
    <t>近藤
タオ</t>
    <rPh sb="0" eb="2">
      <t>コンドウ</t>
    </rPh>
    <phoneticPr fontId="4"/>
  </si>
  <si>
    <t>岡崎市</t>
    <rPh sb="0" eb="2">
      <t>オカザキ</t>
    </rPh>
    <rPh sb="2" eb="3">
      <t>シ</t>
    </rPh>
    <phoneticPr fontId="4"/>
  </si>
  <si>
    <t>岡崎駅南</t>
    <rPh sb="0" eb="2">
      <t>オカザキ</t>
    </rPh>
    <rPh sb="2" eb="3">
      <t>エキ</t>
    </rPh>
    <rPh sb="3" eb="4">
      <t>ミナミ</t>
    </rPh>
    <phoneticPr fontId="4"/>
  </si>
  <si>
    <t>豊見城市</t>
    <rPh sb="0" eb="3">
      <t>トミグスク</t>
    </rPh>
    <rPh sb="3" eb="4">
      <t>シ</t>
    </rPh>
    <phoneticPr fontId="4"/>
  </si>
  <si>
    <t>字与根</t>
    <rPh sb="0" eb="1">
      <t>ジ</t>
    </rPh>
    <rPh sb="1" eb="3">
      <t>ヨネ</t>
    </rPh>
    <phoneticPr fontId="4"/>
  </si>
  <si>
    <t>株式会社 エー・アール・ジー</t>
    <rPh sb="0" eb="2">
      <t>カブシキ</t>
    </rPh>
    <rPh sb="2" eb="4">
      <t>カイシャ</t>
    </rPh>
    <phoneticPr fontId="4"/>
  </si>
  <si>
    <t>株式会社 エー・アール・ジー</t>
    <phoneticPr fontId="4"/>
  </si>
  <si>
    <t>カブシキガイシャ エー・アール・ジー</t>
    <phoneticPr fontId="4"/>
  </si>
  <si>
    <t>石川県</t>
    <rPh sb="0" eb="3">
      <t>イシカワケン</t>
    </rPh>
    <phoneticPr fontId="4"/>
  </si>
  <si>
    <t>かほく市</t>
    <rPh sb="3" eb="4">
      <t>シ</t>
    </rPh>
    <phoneticPr fontId="4"/>
  </si>
  <si>
    <t>大崎</t>
    <rPh sb="0" eb="2">
      <t>オオサキ</t>
    </rPh>
    <phoneticPr fontId="4"/>
  </si>
  <si>
    <t>川口市</t>
    <rPh sb="0" eb="2">
      <t>カワグチ</t>
    </rPh>
    <rPh sb="2" eb="3">
      <t>シ</t>
    </rPh>
    <phoneticPr fontId="4"/>
  </si>
  <si>
    <t>江戸</t>
    <rPh sb="0" eb="2">
      <t>エド</t>
    </rPh>
    <phoneticPr fontId="4"/>
  </si>
  <si>
    <t>〇250</t>
    <phoneticPr fontId="4"/>
  </si>
  <si>
    <t>大阪屋ショップ豊田</t>
    <rPh sb="0" eb="2">
      <t>オオサカ</t>
    </rPh>
    <rPh sb="2" eb="3">
      <t>ヤ</t>
    </rPh>
    <rPh sb="7" eb="9">
      <t>トヨタ</t>
    </rPh>
    <phoneticPr fontId="4"/>
  </si>
  <si>
    <t>富山県</t>
    <rPh sb="0" eb="3">
      <t>トヤマケン</t>
    </rPh>
    <phoneticPr fontId="4"/>
  </si>
  <si>
    <t>富山市</t>
    <rPh sb="0" eb="3">
      <t>トヤマシ</t>
    </rPh>
    <phoneticPr fontId="4"/>
  </si>
  <si>
    <t>関係会社1</t>
    <rPh sb="0" eb="2">
      <t>カンケイ</t>
    </rPh>
    <rPh sb="2" eb="4">
      <t>カイシャ</t>
    </rPh>
    <phoneticPr fontId="4"/>
  </si>
  <si>
    <t>関係会社2</t>
    <rPh sb="0" eb="2">
      <t>カンケイ</t>
    </rPh>
    <rPh sb="2" eb="4">
      <t>カイシャ</t>
    </rPh>
    <phoneticPr fontId="4"/>
  </si>
  <si>
    <t>株式会社 エストルクトゥーラ</t>
    <phoneticPr fontId="4"/>
  </si>
  <si>
    <t>テクノブリッジ</t>
    <phoneticPr fontId="4"/>
  </si>
  <si>
    <t>マクドナルド与那原</t>
    <rPh sb="6" eb="9">
      <t>ヨナバル</t>
    </rPh>
    <phoneticPr fontId="4"/>
  </si>
  <si>
    <t>金秀建設 株式会社</t>
    <phoneticPr fontId="4"/>
  </si>
  <si>
    <t>株式会社 大屋設計</t>
    <rPh sb="0" eb="4">
      <t>カブシキガイシャ</t>
    </rPh>
    <rPh sb="5" eb="7">
      <t>オオヤ</t>
    </rPh>
    <rPh sb="7" eb="9">
      <t>セッケイ</t>
    </rPh>
    <phoneticPr fontId="4"/>
  </si>
  <si>
    <t>株式会社 大屋設計</t>
    <phoneticPr fontId="4"/>
  </si>
  <si>
    <t>カブシキガイシャ オオヤセッケイ</t>
    <phoneticPr fontId="4"/>
  </si>
  <si>
    <t>埋土</t>
    <rPh sb="0" eb="1">
      <t>ウ</t>
    </rPh>
    <rPh sb="1" eb="2">
      <t>ド</t>
    </rPh>
    <phoneticPr fontId="4"/>
  </si>
  <si>
    <t>ｼﾙﾄ質粘土</t>
    <rPh sb="3" eb="4">
      <t>シツ</t>
    </rPh>
    <rPh sb="4" eb="6">
      <t>ネンド</t>
    </rPh>
    <phoneticPr fontId="4"/>
  </si>
  <si>
    <t>与那原商業施設と同敷地。看板下地盤改良あり</t>
    <rPh sb="0" eb="3">
      <t>ヨナバル</t>
    </rPh>
    <rPh sb="3" eb="5">
      <t>ショウギョウ</t>
    </rPh>
    <rPh sb="5" eb="7">
      <t>シセツ</t>
    </rPh>
    <rPh sb="8" eb="9">
      <t>ドウ</t>
    </rPh>
    <rPh sb="9" eb="11">
      <t>シキチ</t>
    </rPh>
    <rPh sb="12" eb="14">
      <t>カンバン</t>
    </rPh>
    <rPh sb="14" eb="15">
      <t>シタ</t>
    </rPh>
    <rPh sb="15" eb="17">
      <t>ジバン</t>
    </rPh>
    <rPh sb="17" eb="19">
      <t>カイリョウ</t>
    </rPh>
    <phoneticPr fontId="4"/>
  </si>
  <si>
    <t>上部+TNF</t>
    <rPh sb="0" eb="2">
      <t>ジョウブ</t>
    </rPh>
    <phoneticPr fontId="4"/>
  </si>
  <si>
    <t>ｼﾙﾄ質粘土</t>
    <rPh sb="3" eb="4">
      <t>シツ</t>
    </rPh>
    <rPh sb="4" eb="6">
      <t>ネンド</t>
    </rPh>
    <phoneticPr fontId="4"/>
  </si>
  <si>
    <t>後</t>
    <phoneticPr fontId="4"/>
  </si>
  <si>
    <t>柏広志野田</t>
    <phoneticPr fontId="4"/>
  </si>
  <si>
    <t>新三田PCB保管庫</t>
    <phoneticPr fontId="4"/>
  </si>
  <si>
    <t>山口地域鉄道部乗務員センター外新設</t>
    <phoneticPr fontId="4"/>
  </si>
  <si>
    <t>広島醤油㈱工場</t>
    <phoneticPr fontId="4"/>
  </si>
  <si>
    <t>田中種苗社屋建設 倉庫棟</t>
    <phoneticPr fontId="4"/>
  </si>
  <si>
    <t>東武運輸 テント倉庫棟</t>
    <phoneticPr fontId="4"/>
  </si>
  <si>
    <t>株式会社 T&amp;N北海道設計事務所</t>
    <phoneticPr fontId="4"/>
  </si>
  <si>
    <t>株式会社 T&amp;N北海道設計事務所</t>
    <phoneticPr fontId="4"/>
  </si>
  <si>
    <t>○</t>
    <phoneticPr fontId="4"/>
  </si>
  <si>
    <t>カインズ羽生 テナント棟</t>
    <rPh sb="4" eb="6">
      <t>ハニュウ</t>
    </rPh>
    <rPh sb="11" eb="12">
      <t>トウ</t>
    </rPh>
    <phoneticPr fontId="4"/>
  </si>
  <si>
    <t>-</t>
    <phoneticPr fontId="4"/>
  </si>
  <si>
    <t xml:space="preserve">  申請</t>
    <rPh sb="2" eb="4">
      <t>シンセイ</t>
    </rPh>
    <phoneticPr fontId="4"/>
  </si>
  <si>
    <t xml:space="preserve">   事前申請</t>
    <rPh sb="3" eb="5">
      <t>ジゼン</t>
    </rPh>
    <rPh sb="5" eb="7">
      <t>シンセイ</t>
    </rPh>
    <phoneticPr fontId="4"/>
  </si>
  <si>
    <t>荷扱所</t>
    <rPh sb="0" eb="2">
      <t>ニアツカイ</t>
    </rPh>
    <rPh sb="2" eb="3">
      <t>ジョ</t>
    </rPh>
    <phoneticPr fontId="4"/>
  </si>
  <si>
    <t>2</t>
    <phoneticPr fontId="4"/>
  </si>
  <si>
    <t>ｼﾙﾄ</t>
    <phoneticPr fontId="4"/>
  </si>
  <si>
    <t>○
1m</t>
    <phoneticPr fontId="4"/>
  </si>
  <si>
    <t>8m</t>
    <phoneticPr fontId="4"/>
  </si>
  <si>
    <t>13m</t>
    <phoneticPr fontId="4"/>
  </si>
  <si>
    <t>-</t>
    <phoneticPr fontId="4"/>
  </si>
  <si>
    <t>-</t>
    <phoneticPr fontId="4"/>
  </si>
  <si>
    <t>ｼﾙﾄ(府植物混入)</t>
    <rPh sb="4" eb="5">
      <t>フ</t>
    </rPh>
    <rPh sb="5" eb="7">
      <t>ショクブツ</t>
    </rPh>
    <rPh sb="7" eb="9">
      <t>コンニュウ</t>
    </rPh>
    <phoneticPr fontId="4"/>
  </si>
  <si>
    <t>○</t>
    <phoneticPr fontId="4"/>
  </si>
  <si>
    <t xml:space="preserve"> 着工</t>
    <rPh sb="1" eb="3">
      <t>チャッコウ</t>
    </rPh>
    <phoneticPr fontId="4"/>
  </si>
  <si>
    <t>意匠</t>
    <rPh sb="0" eb="2">
      <t>イショウ</t>
    </rPh>
    <phoneticPr fontId="4"/>
  </si>
  <si>
    <t>構造</t>
    <rPh sb="0" eb="2">
      <t>コウゾウ</t>
    </rPh>
    <phoneticPr fontId="4"/>
  </si>
  <si>
    <t>物件名</t>
    <phoneticPr fontId="4"/>
  </si>
  <si>
    <t>株式会社 沖縄建築確認検査センター</t>
    <phoneticPr fontId="4"/>
  </si>
  <si>
    <t>村山市</t>
    <rPh sb="0" eb="2">
      <t>ムラヤマ</t>
    </rPh>
    <rPh sb="2" eb="3">
      <t>シ</t>
    </rPh>
    <phoneticPr fontId="4"/>
  </si>
  <si>
    <t>大字大槇</t>
    <rPh sb="0" eb="2">
      <t>オオアザ</t>
    </rPh>
    <rPh sb="2" eb="3">
      <t>オオ</t>
    </rPh>
    <rPh sb="3" eb="4">
      <t>マキ</t>
    </rPh>
    <phoneticPr fontId="4"/>
  </si>
  <si>
    <t>全農山形一級建築士事務所</t>
    <phoneticPr fontId="4"/>
  </si>
  <si>
    <t>財団法人 福岡県建築住宅センター</t>
    <phoneticPr fontId="4"/>
  </si>
  <si>
    <t>構造+TNF</t>
    <rPh sb="0" eb="2">
      <t>コウゾウ</t>
    </rPh>
    <phoneticPr fontId="17"/>
  </si>
  <si>
    <t>2月～3月着工</t>
    <rPh sb="1" eb="2">
      <t>ガツ</t>
    </rPh>
    <rPh sb="4" eb="5">
      <t>ガツ</t>
    </rPh>
    <rPh sb="5" eb="7">
      <t>チャッコウ</t>
    </rPh>
    <phoneticPr fontId="4"/>
  </si>
  <si>
    <t>沖縄トヨペット豊見城(旧 サザン)</t>
    <rPh sb="11" eb="12">
      <t>キュウ</t>
    </rPh>
    <phoneticPr fontId="4"/>
  </si>
  <si>
    <t>jeep岡山</t>
    <rPh sb="4" eb="6">
      <t>オカヤマ</t>
    </rPh>
    <phoneticPr fontId="4"/>
  </si>
  <si>
    <t>折板</t>
    <phoneticPr fontId="4"/>
  </si>
  <si>
    <t>折板</t>
    <phoneticPr fontId="4"/>
  </si>
  <si>
    <t>折板</t>
    <phoneticPr fontId="4"/>
  </si>
  <si>
    <t>折板</t>
    <phoneticPr fontId="4"/>
  </si>
  <si>
    <t>折板</t>
    <phoneticPr fontId="4"/>
  </si>
  <si>
    <t>折板</t>
    <phoneticPr fontId="4"/>
  </si>
  <si>
    <t>折板</t>
    <phoneticPr fontId="4"/>
  </si>
  <si>
    <t>折板</t>
    <phoneticPr fontId="4"/>
  </si>
  <si>
    <t>折板</t>
    <phoneticPr fontId="4"/>
  </si>
  <si>
    <t>折板</t>
    <phoneticPr fontId="4"/>
  </si>
  <si>
    <t>折板</t>
    <phoneticPr fontId="4"/>
  </si>
  <si>
    <t>折板</t>
    <phoneticPr fontId="4"/>
  </si>
  <si>
    <t>軽量S造</t>
    <rPh sb="0" eb="2">
      <t>ケイリョウ</t>
    </rPh>
    <rPh sb="3" eb="4">
      <t>ゾウ</t>
    </rPh>
    <phoneticPr fontId="4"/>
  </si>
  <si>
    <t>布</t>
    <phoneticPr fontId="4"/>
  </si>
  <si>
    <t>既存埋設配管 近接。</t>
    <rPh sb="0" eb="2">
      <t>キソン</t>
    </rPh>
    <rPh sb="2" eb="4">
      <t>マイセツ</t>
    </rPh>
    <rPh sb="4" eb="6">
      <t>ハイカン</t>
    </rPh>
    <rPh sb="7" eb="9">
      <t>キンセツ</t>
    </rPh>
    <phoneticPr fontId="4"/>
  </si>
  <si>
    <t>190046-1</t>
    <phoneticPr fontId="4"/>
  </si>
  <si>
    <t>東京国際空港リサイクルセンター リサイクル棟</t>
    <rPh sb="21" eb="22">
      <t>トウ</t>
    </rPh>
    <phoneticPr fontId="4"/>
  </si>
  <si>
    <t>小林</t>
    <rPh sb="0" eb="2">
      <t>コバヤシ</t>
    </rPh>
    <phoneticPr fontId="4"/>
  </si>
  <si>
    <t>東京国際空港リサイクルセンター ストックヤード棟</t>
    <rPh sb="23" eb="24">
      <t>トウ</t>
    </rPh>
    <phoneticPr fontId="4"/>
  </si>
  <si>
    <t>3</t>
    <phoneticPr fontId="4"/>
  </si>
  <si>
    <t>倉庫</t>
    <phoneticPr fontId="4"/>
  </si>
  <si>
    <t>平屋建(中2F)</t>
    <rPh sb="4" eb="5">
      <t>ナカ</t>
    </rPh>
    <phoneticPr fontId="4"/>
  </si>
  <si>
    <t>埋土(ｼﾙﾄ混じり細砂)</t>
    <rPh sb="0" eb="1">
      <t>ウ</t>
    </rPh>
    <rPh sb="1" eb="2">
      <t>ド</t>
    </rPh>
    <rPh sb="6" eb="7">
      <t>マ</t>
    </rPh>
    <rPh sb="9" eb="10">
      <t>サイ</t>
    </rPh>
    <rPh sb="10" eb="11">
      <t>スナ</t>
    </rPh>
    <phoneticPr fontId="4"/>
  </si>
  <si>
    <t>2m</t>
    <phoneticPr fontId="4"/>
  </si>
  <si>
    <t>1m</t>
    <phoneticPr fontId="4"/>
  </si>
  <si>
    <t>工場</t>
    <rPh sb="0" eb="2">
      <t>コウジョウ</t>
    </rPh>
    <phoneticPr fontId="4"/>
  </si>
  <si>
    <t>株式会社 ナイカイアーキット</t>
    <phoneticPr fontId="4"/>
  </si>
  <si>
    <t>アウェイ建築評価ネット株式会社</t>
    <phoneticPr fontId="4"/>
  </si>
  <si>
    <t>シー・アイ建築認証機構 株式会社</t>
    <phoneticPr fontId="4"/>
  </si>
  <si>
    <t>シー・アイ建築認証機構 株式会社</t>
    <phoneticPr fontId="4"/>
  </si>
  <si>
    <t>カインズ羽生と同敷地</t>
    <rPh sb="4" eb="6">
      <t>ハニュウ</t>
    </rPh>
    <rPh sb="7" eb="8">
      <t>ドウ</t>
    </rPh>
    <rPh sb="8" eb="10">
      <t>シキチ</t>
    </rPh>
    <phoneticPr fontId="4"/>
  </si>
  <si>
    <t>有限会社 塚本建築設計事務所</t>
    <rPh sb="0" eb="2">
      <t>ユウゲン</t>
    </rPh>
    <rPh sb="2" eb="4">
      <t>カイシャ</t>
    </rPh>
    <phoneticPr fontId="4"/>
  </si>
  <si>
    <t>株式会社 タカノ建築設計事務所</t>
    <phoneticPr fontId="4"/>
  </si>
  <si>
    <t>株式会社 タカノ建築設計事務所</t>
    <phoneticPr fontId="4"/>
  </si>
  <si>
    <t>有限会社 塚本建築設計事務所</t>
    <phoneticPr fontId="4"/>
  </si>
  <si>
    <t>厚木市</t>
    <rPh sb="0" eb="3">
      <t>アツギシ</t>
    </rPh>
    <phoneticPr fontId="4"/>
  </si>
  <si>
    <t>申請</t>
    <rPh sb="0" eb="2">
      <t>シンセイ</t>
    </rPh>
    <phoneticPr fontId="4"/>
  </si>
  <si>
    <t>着工</t>
    <rPh sb="0" eb="2">
      <t>チャッコウ</t>
    </rPh>
    <phoneticPr fontId="4"/>
  </si>
  <si>
    <t>エディオン岸和田</t>
    <rPh sb="5" eb="8">
      <t>キシワダ</t>
    </rPh>
    <phoneticPr fontId="4"/>
  </si>
  <si>
    <t>野田町</t>
    <rPh sb="0" eb="1">
      <t>ノ</t>
    </rPh>
    <rPh sb="1" eb="2">
      <t>タ</t>
    </rPh>
    <rPh sb="2" eb="3">
      <t>マチ</t>
    </rPh>
    <phoneticPr fontId="4"/>
  </si>
  <si>
    <t>S造</t>
    <phoneticPr fontId="4"/>
  </si>
  <si>
    <t>-</t>
    <phoneticPr fontId="4"/>
  </si>
  <si>
    <t>株式会社 入江設計室</t>
    <rPh sb="0" eb="2">
      <t>カブシキ</t>
    </rPh>
    <rPh sb="2" eb="4">
      <t>カイシャ</t>
    </rPh>
    <rPh sb="5" eb="7">
      <t>イリエ</t>
    </rPh>
    <rPh sb="7" eb="9">
      <t>セッケイ</t>
    </rPh>
    <rPh sb="9" eb="10">
      <t>シツ</t>
    </rPh>
    <phoneticPr fontId="4"/>
  </si>
  <si>
    <t>-</t>
    <phoneticPr fontId="4"/>
  </si>
  <si>
    <t>-</t>
    <phoneticPr fontId="4"/>
  </si>
  <si>
    <t>-</t>
    <phoneticPr fontId="4"/>
  </si>
  <si>
    <t>-</t>
    <phoneticPr fontId="4"/>
  </si>
  <si>
    <t>-</t>
    <phoneticPr fontId="4"/>
  </si>
  <si>
    <t>株式会社 入江設計室</t>
    <phoneticPr fontId="4"/>
  </si>
  <si>
    <t>老人福祉施設</t>
    <phoneticPr fontId="4"/>
  </si>
  <si>
    <t>-</t>
    <phoneticPr fontId="4"/>
  </si>
  <si>
    <t>RC</t>
    <phoneticPr fontId="4"/>
  </si>
  <si>
    <t>1</t>
    <phoneticPr fontId="4"/>
  </si>
  <si>
    <t>株式会社 スカイ・サイト</t>
    <phoneticPr fontId="4"/>
  </si>
  <si>
    <t>-</t>
    <phoneticPr fontId="4"/>
  </si>
  <si>
    <t>1m</t>
    <phoneticPr fontId="4"/>
  </si>
  <si>
    <t>有機質土</t>
    <rPh sb="0" eb="4">
      <t>ユウキシツド</t>
    </rPh>
    <phoneticPr fontId="4"/>
  </si>
  <si>
    <t>2m</t>
    <phoneticPr fontId="4"/>
  </si>
  <si>
    <t>有機質土・腐植土</t>
    <rPh sb="0" eb="3">
      <t>ユウキシツ</t>
    </rPh>
    <rPh sb="3" eb="4">
      <t>ド</t>
    </rPh>
    <rPh sb="5" eb="8">
      <t>フショクド</t>
    </rPh>
    <phoneticPr fontId="4"/>
  </si>
  <si>
    <t>○</t>
    <phoneticPr fontId="4"/>
  </si>
  <si>
    <t>カブシキガイシャ ナイカイアーキット</t>
    <phoneticPr fontId="4"/>
  </si>
  <si>
    <t>カブシキガイシャ タカノケンチクセッケイジムショ</t>
    <phoneticPr fontId="4"/>
  </si>
  <si>
    <t>ユウゲンガイシャ ツカモトケンチクセッケイジムショ</t>
    <phoneticPr fontId="4"/>
  </si>
  <si>
    <t>カブシキガイシャ イリエセッケイシツ</t>
    <phoneticPr fontId="4"/>
  </si>
  <si>
    <t>財団法人 兵庫県住宅建築総合センター</t>
    <phoneticPr fontId="4"/>
  </si>
  <si>
    <t>12.1
19.1</t>
    <phoneticPr fontId="4"/>
  </si>
  <si>
    <t>15.2
40.2</t>
    <phoneticPr fontId="4"/>
  </si>
  <si>
    <t>7.4
12.2</t>
    <phoneticPr fontId="4"/>
  </si>
  <si>
    <t>34.7
71.5</t>
    <phoneticPr fontId="4"/>
  </si>
  <si>
    <t>180023
180039</t>
    <phoneticPr fontId="4"/>
  </si>
  <si>
    <t>受注予定案件</t>
    <rPh sb="0" eb="2">
      <t>ジュチュウ</t>
    </rPh>
    <rPh sb="2" eb="4">
      <t>ヨテイ</t>
    </rPh>
    <rPh sb="4" eb="6">
      <t>アンケン</t>
    </rPh>
    <phoneticPr fontId="4"/>
  </si>
  <si>
    <t>FEM
解析</t>
    <rPh sb="4" eb="6">
      <t>カイセキ</t>
    </rPh>
    <phoneticPr fontId="4"/>
  </si>
  <si>
    <t>ホテル・駐車場</t>
    <rPh sb="4" eb="7">
      <t>チュウシャジョウ</t>
    </rPh>
    <phoneticPr fontId="4"/>
  </si>
  <si>
    <t>190041-1</t>
    <phoneticPr fontId="4"/>
  </si>
  <si>
    <t>ﾎﾟｰﾄｱｲﾗﾝﾄﾞﾃｸﾆｶﾙｾﾝﾀｰ 立体駐車場</t>
    <rPh sb="20" eb="22">
      <t>リッタイ</t>
    </rPh>
    <rPh sb="22" eb="25">
      <t>チュウシャジョウ</t>
    </rPh>
    <phoneticPr fontId="4"/>
  </si>
  <si>
    <t>整備工場</t>
    <rPh sb="0" eb="2">
      <t>セイビ</t>
    </rPh>
    <rPh sb="2" eb="4">
      <t>コウジョウ</t>
    </rPh>
    <phoneticPr fontId="4"/>
  </si>
  <si>
    <t>立体駐車場</t>
    <rPh sb="0" eb="2">
      <t>リッタイ</t>
    </rPh>
    <rPh sb="2" eb="5">
      <t>チュウシャジョウ</t>
    </rPh>
    <phoneticPr fontId="4"/>
  </si>
  <si>
    <t>(基礎)</t>
    <rPh sb="1" eb="3">
      <t>キソ</t>
    </rPh>
    <phoneticPr fontId="4"/>
  </si>
  <si>
    <t>折板(太陽光,二重折板)</t>
    <rPh sb="0" eb="2">
      <t>セッパン</t>
    </rPh>
    <rPh sb="3" eb="6">
      <t>タイヨウコウ</t>
    </rPh>
    <rPh sb="7" eb="9">
      <t>ニジュウ</t>
    </rPh>
    <rPh sb="9" eb="11">
      <t>セッパン</t>
    </rPh>
    <phoneticPr fontId="4"/>
  </si>
  <si>
    <t>-</t>
    <phoneticPr fontId="4"/>
  </si>
  <si>
    <t>MPディベロップメント カブシキガイシャ</t>
    <phoneticPr fontId="4"/>
  </si>
  <si>
    <t>○</t>
    <phoneticPr fontId="4"/>
  </si>
  <si>
    <t>-</t>
    <phoneticPr fontId="4"/>
  </si>
  <si>
    <t>-</t>
    <phoneticPr fontId="4"/>
  </si>
  <si>
    <t>-</t>
    <phoneticPr fontId="4"/>
  </si>
  <si>
    <t>豊田町</t>
    <rPh sb="0" eb="2">
      <t>トヨタ</t>
    </rPh>
    <rPh sb="2" eb="3">
      <t>マチ</t>
    </rPh>
    <phoneticPr fontId="4"/>
  </si>
  <si>
    <t>○
0.75m</t>
    <phoneticPr fontId="4"/>
  </si>
  <si>
    <t>着工</t>
    <rPh sb="0" eb="2">
      <t>チャッコウ</t>
    </rPh>
    <phoneticPr fontId="4"/>
  </si>
  <si>
    <t>3</t>
    <phoneticPr fontId="4"/>
  </si>
  <si>
    <t>砂・盛土</t>
    <rPh sb="0" eb="1">
      <t>スナ</t>
    </rPh>
    <rPh sb="2" eb="4">
      <t>モリド</t>
    </rPh>
    <phoneticPr fontId="4"/>
  </si>
  <si>
    <t>7m</t>
    <phoneticPr fontId="4"/>
  </si>
  <si>
    <t>無</t>
    <rPh sb="0" eb="1">
      <t>ナ</t>
    </rPh>
    <phoneticPr fontId="4"/>
  </si>
  <si>
    <t>2</t>
    <phoneticPr fontId="4"/>
  </si>
  <si>
    <t>盛土・粘性土</t>
    <rPh sb="0" eb="2">
      <t>モリド</t>
    </rPh>
    <rPh sb="3" eb="5">
      <t>ネンセイ</t>
    </rPh>
    <rPh sb="5" eb="6">
      <t>ド</t>
    </rPh>
    <phoneticPr fontId="4"/>
  </si>
  <si>
    <t>1m</t>
    <phoneticPr fontId="4"/>
  </si>
  <si>
    <t>粘土</t>
    <rPh sb="0" eb="2">
      <t>ネンド</t>
    </rPh>
    <phoneticPr fontId="4"/>
  </si>
  <si>
    <t>5m</t>
    <phoneticPr fontId="4"/>
  </si>
  <si>
    <t>有機質ｼﾙﾄ</t>
    <rPh sb="0" eb="3">
      <t>ユウキシツ</t>
    </rPh>
    <phoneticPr fontId="4"/>
  </si>
  <si>
    <t>礫混じり粘土質細砂</t>
    <rPh sb="0" eb="1">
      <t>レキ</t>
    </rPh>
    <rPh sb="1" eb="2">
      <t>マ</t>
    </rPh>
    <rPh sb="4" eb="6">
      <t>ネンド</t>
    </rPh>
    <rPh sb="6" eb="7">
      <t>シツ</t>
    </rPh>
    <rPh sb="7" eb="8">
      <t>サイ</t>
    </rPh>
    <rPh sb="8" eb="9">
      <t>スナ</t>
    </rPh>
    <phoneticPr fontId="4"/>
  </si>
  <si>
    <t>3m</t>
    <phoneticPr fontId="4"/>
  </si>
  <si>
    <t>礫混じり細砂</t>
    <rPh sb="0" eb="1">
      <t>レキ</t>
    </rPh>
    <rPh sb="1" eb="2">
      <t>マ</t>
    </rPh>
    <rPh sb="4" eb="5">
      <t>サイ</t>
    </rPh>
    <rPh sb="5" eb="6">
      <t>スナ</t>
    </rPh>
    <phoneticPr fontId="4"/>
  </si>
  <si>
    <t>茨城県</t>
    <phoneticPr fontId="4"/>
  </si>
  <si>
    <t>土浦市</t>
    <phoneticPr fontId="4"/>
  </si>
  <si>
    <t>神立町</t>
    <phoneticPr fontId="4"/>
  </si>
  <si>
    <t>1</t>
    <phoneticPr fontId="4"/>
  </si>
  <si>
    <t>株式会社 日立建設設計</t>
    <rPh sb="0" eb="2">
      <t>カブシキ</t>
    </rPh>
    <rPh sb="2" eb="4">
      <t>カイシャ</t>
    </rPh>
    <rPh sb="5" eb="7">
      <t>ヒタチ</t>
    </rPh>
    <rPh sb="7" eb="9">
      <t>ケンセツ</t>
    </rPh>
    <rPh sb="9" eb="11">
      <t>セッケイ</t>
    </rPh>
    <phoneticPr fontId="4"/>
  </si>
  <si>
    <t>株式会社 日立建設設計</t>
    <phoneticPr fontId="4"/>
  </si>
  <si>
    <t>布</t>
    <rPh sb="0" eb="1">
      <t>ヌノ</t>
    </rPh>
    <phoneticPr fontId="4"/>
  </si>
  <si>
    <t>株式会社 建築構造センター(広島)</t>
    <rPh sb="14" eb="16">
      <t>ヒロシマ</t>
    </rPh>
    <phoneticPr fontId="4"/>
  </si>
  <si>
    <t>ユイ
VINA</t>
    <phoneticPr fontId="4"/>
  </si>
  <si>
    <t>株式会社 日立建設設計</t>
    <phoneticPr fontId="4"/>
  </si>
  <si>
    <t>カブシキガイシャ ヒタチケンセツセッケイ</t>
    <phoneticPr fontId="4"/>
  </si>
  <si>
    <t>中央区港島南町</t>
    <phoneticPr fontId="4"/>
  </si>
  <si>
    <t>中央区港島南町</t>
    <phoneticPr fontId="4"/>
  </si>
  <si>
    <t>3m</t>
    <phoneticPr fontId="4"/>
  </si>
  <si>
    <t>盛土(砂)</t>
    <rPh sb="0" eb="2">
      <t>モリド</t>
    </rPh>
    <rPh sb="3" eb="4">
      <t>スナ</t>
    </rPh>
    <phoneticPr fontId="4"/>
  </si>
  <si>
    <t>いわき市</t>
    <phoneticPr fontId="4"/>
  </si>
  <si>
    <t>小名浜字高山地先</t>
    <phoneticPr fontId="4"/>
  </si>
  <si>
    <t>常磐開発 株式会社</t>
    <phoneticPr fontId="4"/>
  </si>
  <si>
    <t>常磐開発 株式会社</t>
    <phoneticPr fontId="4"/>
  </si>
  <si>
    <t>小名浜港東港地区石炭ターミナル</t>
    <phoneticPr fontId="4"/>
  </si>
  <si>
    <t xml:space="preserve"> 申請</t>
    <rPh sb="1" eb="3">
      <t>シンセイ</t>
    </rPh>
    <phoneticPr fontId="4"/>
  </si>
  <si>
    <t>見積図</t>
    <rPh sb="0" eb="2">
      <t>ミツモリ</t>
    </rPh>
    <rPh sb="2" eb="3">
      <t>ズ</t>
    </rPh>
    <phoneticPr fontId="4"/>
  </si>
  <si>
    <t>申請</t>
    <rPh sb="0" eb="2">
      <t>シンセイ</t>
    </rPh>
    <phoneticPr fontId="4"/>
  </si>
  <si>
    <t>池伝㈱名古屋支店新事務所</t>
    <phoneticPr fontId="4"/>
  </si>
  <si>
    <t>愛知県</t>
    <rPh sb="0" eb="3">
      <t>アイチケン</t>
    </rPh>
    <phoneticPr fontId="4"/>
  </si>
  <si>
    <t>名古屋市</t>
    <rPh sb="0" eb="4">
      <t>ナゴヤシ</t>
    </rPh>
    <phoneticPr fontId="4"/>
  </si>
  <si>
    <t>ユイ</t>
    <phoneticPr fontId="4"/>
  </si>
  <si>
    <t>申請</t>
    <rPh sb="0" eb="2">
      <t>シンセイ</t>
    </rPh>
    <phoneticPr fontId="4"/>
  </si>
  <si>
    <t>着工</t>
    <rPh sb="0" eb="2">
      <t>チャッコウ</t>
    </rPh>
    <phoneticPr fontId="4"/>
  </si>
  <si>
    <t>秋田県</t>
    <rPh sb="0" eb="3">
      <t>アキタケン</t>
    </rPh>
    <phoneticPr fontId="4"/>
  </si>
  <si>
    <t>事務所棟と仕分けスペース棟の2棟</t>
    <rPh sb="15" eb="16">
      <t>トウ</t>
    </rPh>
    <phoneticPr fontId="4"/>
  </si>
  <si>
    <t>ヤマト運輸株式会社 秋田広面センター</t>
    <phoneticPr fontId="4"/>
  </si>
  <si>
    <t>株式会社 コア設計事務所</t>
    <rPh sb="0" eb="2">
      <t>カブシキ</t>
    </rPh>
    <rPh sb="2" eb="4">
      <t>カイシャ</t>
    </rPh>
    <rPh sb="7" eb="9">
      <t>セッケイ</t>
    </rPh>
    <rPh sb="9" eb="11">
      <t>ジム</t>
    </rPh>
    <rPh sb="11" eb="12">
      <t>ショ</t>
    </rPh>
    <phoneticPr fontId="4"/>
  </si>
  <si>
    <t>株式会社 コア設計事務所</t>
    <phoneticPr fontId="4"/>
  </si>
  <si>
    <t>カブシキガイシャ コアセッケイジムショ</t>
    <phoneticPr fontId="4"/>
  </si>
  <si>
    <t>こん設計</t>
    <rPh sb="2" eb="4">
      <t>セッケイ</t>
    </rPh>
    <phoneticPr fontId="4"/>
  </si>
  <si>
    <t>こん設計</t>
    <rPh sb="2" eb="4">
      <t>セッケイ</t>
    </rPh>
    <phoneticPr fontId="4"/>
  </si>
  <si>
    <t>コンセッケイ</t>
    <phoneticPr fontId="4"/>
  </si>
  <si>
    <t>新英エコライフ</t>
    <phoneticPr fontId="4"/>
  </si>
  <si>
    <t>三重県</t>
    <rPh sb="0" eb="3">
      <t>ミエケン</t>
    </rPh>
    <phoneticPr fontId="4"/>
  </si>
  <si>
    <t>四日市市</t>
    <rPh sb="0" eb="3">
      <t>ヨッカイチ</t>
    </rPh>
    <rPh sb="3" eb="4">
      <t>シ</t>
    </rPh>
    <phoneticPr fontId="4"/>
  </si>
  <si>
    <t>午起</t>
    <rPh sb="0" eb="1">
      <t>ウマ</t>
    </rPh>
    <rPh sb="1" eb="2">
      <t>キ</t>
    </rPh>
    <phoneticPr fontId="4"/>
  </si>
  <si>
    <t>東海インプル建設 株式会社</t>
    <rPh sb="9" eb="11">
      <t>カブシキ</t>
    </rPh>
    <rPh sb="11" eb="13">
      <t>カイシャ</t>
    </rPh>
    <phoneticPr fontId="4"/>
  </si>
  <si>
    <t>株式会社 杉浦建築事務所</t>
    <rPh sb="0" eb="2">
      <t>カブシキ</t>
    </rPh>
    <rPh sb="2" eb="4">
      <t>カイシャ</t>
    </rPh>
    <phoneticPr fontId="4"/>
  </si>
  <si>
    <t>株式会社 杉浦建築事務所</t>
    <phoneticPr fontId="4"/>
  </si>
  <si>
    <t>カブシキガイシャ スギウラケンチクジムショ</t>
    <phoneticPr fontId="4"/>
  </si>
  <si>
    <t>東海インプル建設 株式会社</t>
    <phoneticPr fontId="4"/>
  </si>
  <si>
    <t>トウカイインプルケンセツ カブシキガイシャ</t>
    <phoneticPr fontId="4"/>
  </si>
  <si>
    <t>カリヤ一級建築士事務所</t>
    <phoneticPr fontId="4"/>
  </si>
  <si>
    <t>カリヤ一級建築士事務所</t>
    <phoneticPr fontId="4"/>
  </si>
  <si>
    <t>カリヤイッキュウケンチクシジムショ</t>
    <phoneticPr fontId="4"/>
  </si>
  <si>
    <t>AA-1</t>
    <phoneticPr fontId="4"/>
  </si>
  <si>
    <t>着工</t>
    <rPh sb="0" eb="2">
      <t>チャッコウ</t>
    </rPh>
    <phoneticPr fontId="4"/>
  </si>
  <si>
    <t>質疑待ち</t>
    <rPh sb="0" eb="2">
      <t>シツギ</t>
    </rPh>
    <rPh sb="2" eb="3">
      <t>マ</t>
    </rPh>
    <phoneticPr fontId="4"/>
  </si>
  <si>
    <t>工場棟と事務所棟の2棟。造成工事あり。平板載荷試験で盛土の支持力確認。</t>
    <rPh sb="0" eb="2">
      <t>コウジョウ</t>
    </rPh>
    <rPh sb="2" eb="3">
      <t>トウ</t>
    </rPh>
    <rPh sb="4" eb="6">
      <t>ジム</t>
    </rPh>
    <rPh sb="6" eb="7">
      <t>ショ</t>
    </rPh>
    <rPh sb="7" eb="8">
      <t>トウ</t>
    </rPh>
    <rPh sb="10" eb="11">
      <t>トウ</t>
    </rPh>
    <rPh sb="12" eb="14">
      <t>ゾウセイ</t>
    </rPh>
    <rPh sb="14" eb="16">
      <t>コウジ</t>
    </rPh>
    <rPh sb="19" eb="21">
      <t>ヘイバン</t>
    </rPh>
    <rPh sb="21" eb="23">
      <t>サイカ</t>
    </rPh>
    <rPh sb="23" eb="25">
      <t>シケン</t>
    </rPh>
    <rPh sb="26" eb="28">
      <t>モリド</t>
    </rPh>
    <rPh sb="29" eb="32">
      <t>シジリョク</t>
    </rPh>
    <rPh sb="32" eb="34">
      <t>カクニン</t>
    </rPh>
    <phoneticPr fontId="4"/>
  </si>
  <si>
    <t>申請</t>
    <rPh sb="0" eb="2">
      <t>シンセイ</t>
    </rPh>
    <phoneticPr fontId="4"/>
  </si>
  <si>
    <t>着工</t>
    <rPh sb="0" eb="2">
      <t>チャッコウ</t>
    </rPh>
    <phoneticPr fontId="4"/>
  </si>
  <si>
    <t>確認済</t>
    <rPh sb="0" eb="2">
      <t>カクニン</t>
    </rPh>
    <rPh sb="2" eb="3">
      <t>スミ</t>
    </rPh>
    <phoneticPr fontId="4"/>
  </si>
  <si>
    <t>建物完成</t>
    <rPh sb="0" eb="2">
      <t>タテモノ</t>
    </rPh>
    <rPh sb="2" eb="4">
      <t>カンセイ</t>
    </rPh>
    <phoneticPr fontId="4"/>
  </si>
  <si>
    <t>東通</t>
    <rPh sb="0" eb="1">
      <t>ヒガシ</t>
    </rPh>
    <rPh sb="1" eb="2">
      <t>トオ</t>
    </rPh>
    <phoneticPr fontId="4"/>
  </si>
  <si>
    <t>ｼﾙﾄ・腐植土</t>
    <rPh sb="4" eb="7">
      <t>フショクド</t>
    </rPh>
    <phoneticPr fontId="4"/>
  </si>
  <si>
    <t>粘性土</t>
    <rPh sb="0" eb="2">
      <t>ネンセイ</t>
    </rPh>
    <rPh sb="2" eb="3">
      <t>ド</t>
    </rPh>
    <phoneticPr fontId="4"/>
  </si>
  <si>
    <t>6m</t>
    <phoneticPr fontId="4"/>
  </si>
  <si>
    <t>ｼﾙﾄ</t>
    <phoneticPr fontId="4"/>
  </si>
  <si>
    <t>2m</t>
    <phoneticPr fontId="4"/>
  </si>
  <si>
    <t>9m</t>
    <phoneticPr fontId="4"/>
  </si>
  <si>
    <t>1m</t>
    <phoneticPr fontId="4"/>
  </si>
  <si>
    <t>細砂</t>
    <phoneticPr fontId="4"/>
  </si>
  <si>
    <t>腐植土</t>
    <rPh sb="0" eb="3">
      <t>フショクド</t>
    </rPh>
    <phoneticPr fontId="4"/>
  </si>
  <si>
    <t>○
4m</t>
    <phoneticPr fontId="4"/>
  </si>
  <si>
    <t>2020/2頃 既存建物(立駐)解体。開発工事あり。敷地内に雨水浸透施設あり。電柱近接。</t>
    <rPh sb="8" eb="10">
      <t>キソン</t>
    </rPh>
    <rPh sb="10" eb="12">
      <t>タテモノ</t>
    </rPh>
    <rPh sb="13" eb="15">
      <t>リッチュウ</t>
    </rPh>
    <rPh sb="16" eb="18">
      <t>カイタイ</t>
    </rPh>
    <rPh sb="19" eb="21">
      <t>カイハツ</t>
    </rPh>
    <rPh sb="21" eb="23">
      <t>コウジ</t>
    </rPh>
    <rPh sb="26" eb="28">
      <t>シキチ</t>
    </rPh>
    <rPh sb="28" eb="29">
      <t>ナイ</t>
    </rPh>
    <rPh sb="30" eb="32">
      <t>ウスイ</t>
    </rPh>
    <rPh sb="32" eb="34">
      <t>シントウ</t>
    </rPh>
    <rPh sb="34" eb="36">
      <t>シセツ</t>
    </rPh>
    <rPh sb="39" eb="41">
      <t>デンチュウ</t>
    </rPh>
    <rPh sb="41" eb="43">
      <t>キンセツ</t>
    </rPh>
    <phoneticPr fontId="4"/>
  </si>
  <si>
    <t>見積図</t>
    <rPh sb="0" eb="2">
      <t>ミツモリ</t>
    </rPh>
    <rPh sb="2" eb="3">
      <t>ズ</t>
    </rPh>
    <phoneticPr fontId="4"/>
  </si>
  <si>
    <t>着工</t>
    <rPh sb="0" eb="2">
      <t>チャッコウ</t>
    </rPh>
    <phoneticPr fontId="4"/>
  </si>
  <si>
    <t>　現説</t>
    <rPh sb="1" eb="3">
      <t>ゲンセツ</t>
    </rPh>
    <phoneticPr fontId="4"/>
  </si>
  <si>
    <t>ユイ</t>
    <phoneticPr fontId="4"/>
  </si>
  <si>
    <t>村上</t>
    <rPh sb="0" eb="2">
      <t>ムラカミ</t>
    </rPh>
    <phoneticPr fontId="4"/>
  </si>
  <si>
    <t>株式会社 エコア総合設計</t>
    <rPh sb="0" eb="2">
      <t>カブシキ</t>
    </rPh>
    <rPh sb="2" eb="4">
      <t>カイシャ</t>
    </rPh>
    <phoneticPr fontId="4"/>
  </si>
  <si>
    <t>株式会社 エコア総合設計</t>
    <phoneticPr fontId="4"/>
  </si>
  <si>
    <t>カブシキガイシャ エコアソウゴウセッケイ</t>
    <phoneticPr fontId="4"/>
  </si>
  <si>
    <t>11m</t>
    <phoneticPr fontId="4"/>
  </si>
  <si>
    <t>ｼﾙﾄ</t>
    <phoneticPr fontId="4"/>
  </si>
  <si>
    <t>圧密層N＞7</t>
    <rPh sb="0" eb="2">
      <t>アツミツ</t>
    </rPh>
    <rPh sb="2" eb="3">
      <t>ソウ</t>
    </rPh>
    <phoneticPr fontId="4"/>
  </si>
  <si>
    <t>-</t>
    <phoneticPr fontId="4"/>
  </si>
  <si>
    <t>3</t>
    <phoneticPr fontId="4"/>
  </si>
  <si>
    <t>○
6m</t>
    <phoneticPr fontId="4"/>
  </si>
  <si>
    <t>港区小割通</t>
    <rPh sb="0" eb="2">
      <t>ミナトク</t>
    </rPh>
    <rPh sb="2" eb="4">
      <t>コワリ</t>
    </rPh>
    <rPh sb="4" eb="5">
      <t>トオ</t>
    </rPh>
    <phoneticPr fontId="4"/>
  </si>
  <si>
    <t>倉庫</t>
    <phoneticPr fontId="4"/>
  </si>
  <si>
    <t>○
0.75m</t>
    <phoneticPr fontId="4"/>
  </si>
  <si>
    <t>砂質ｼﾙﾄ</t>
    <rPh sb="0" eb="1">
      <t>スナ</t>
    </rPh>
    <rPh sb="1" eb="2">
      <t>シツ</t>
    </rPh>
    <phoneticPr fontId="4"/>
  </si>
  <si>
    <t>5m</t>
    <phoneticPr fontId="4"/>
  </si>
  <si>
    <t>砂</t>
    <rPh sb="0" eb="1">
      <t>スナ</t>
    </rPh>
    <phoneticPr fontId="4"/>
  </si>
  <si>
    <t>住宅・店舗</t>
    <rPh sb="0" eb="2">
      <t>ジュウタク</t>
    </rPh>
    <rPh sb="3" eb="5">
      <t>テンポ</t>
    </rPh>
    <phoneticPr fontId="4"/>
  </si>
  <si>
    <t>申請</t>
    <rPh sb="0" eb="2">
      <t>シンセイ</t>
    </rPh>
    <phoneticPr fontId="4"/>
  </si>
  <si>
    <t>粘土質砂礫</t>
    <rPh sb="0" eb="2">
      <t>ネンド</t>
    </rPh>
    <rPh sb="2" eb="3">
      <t>シツ</t>
    </rPh>
    <rPh sb="3" eb="5">
      <t>サレキ</t>
    </rPh>
    <phoneticPr fontId="4"/>
  </si>
  <si>
    <t>砂質ｼﾙﾄ</t>
    <rPh sb="0" eb="1">
      <t>スナ</t>
    </rPh>
    <rPh sb="1" eb="2">
      <t>シツ</t>
    </rPh>
    <phoneticPr fontId="4"/>
  </si>
  <si>
    <t>3m</t>
    <phoneticPr fontId="4"/>
  </si>
  <si>
    <t>4m</t>
    <phoneticPr fontId="4"/>
  </si>
  <si>
    <t>1m</t>
    <phoneticPr fontId="4"/>
  </si>
  <si>
    <t>ｼﾙﾄ混り砂</t>
    <rPh sb="3" eb="4">
      <t>マ</t>
    </rPh>
    <rPh sb="5" eb="6">
      <t>スナ</t>
    </rPh>
    <phoneticPr fontId="4"/>
  </si>
  <si>
    <t>1.38
M=7.5</t>
    <phoneticPr fontId="4"/>
  </si>
  <si>
    <t>冷媒ピットは掘削で対応。土間下砕石としない。</t>
    <rPh sb="0" eb="2">
      <t>レイバイ</t>
    </rPh>
    <rPh sb="6" eb="8">
      <t>クッサク</t>
    </rPh>
    <rPh sb="9" eb="11">
      <t>タイオウ</t>
    </rPh>
    <rPh sb="12" eb="14">
      <t>ドマ</t>
    </rPh>
    <rPh sb="14" eb="15">
      <t>シタ</t>
    </rPh>
    <rPh sb="15" eb="17">
      <t>サイセキ</t>
    </rPh>
    <phoneticPr fontId="4"/>
  </si>
  <si>
    <t>財団法人 福岡県建築住宅センター</t>
    <phoneticPr fontId="4"/>
  </si>
  <si>
    <t>事務所</t>
    <phoneticPr fontId="4"/>
  </si>
  <si>
    <t>1m</t>
    <phoneticPr fontId="4"/>
  </si>
  <si>
    <t>ｼﾙﾄ</t>
    <phoneticPr fontId="4"/>
  </si>
  <si>
    <t>3m</t>
    <phoneticPr fontId="4"/>
  </si>
  <si>
    <t>7m</t>
    <phoneticPr fontId="4"/>
  </si>
  <si>
    <t>細砂</t>
    <phoneticPr fontId="4"/>
  </si>
  <si>
    <t>工場・駐車場</t>
    <rPh sb="0" eb="2">
      <t>コウジョウ</t>
    </rPh>
    <rPh sb="3" eb="6">
      <t>チュウシャジョウ</t>
    </rPh>
    <phoneticPr fontId="4"/>
  </si>
  <si>
    <t>敷地内3棟あり。事務所管理棟のみ受注。</t>
    <rPh sb="0" eb="2">
      <t>シキチ</t>
    </rPh>
    <rPh sb="2" eb="3">
      <t>ナイ</t>
    </rPh>
    <rPh sb="4" eb="5">
      <t>トウ</t>
    </rPh>
    <rPh sb="8" eb="10">
      <t>ジム</t>
    </rPh>
    <rPh sb="10" eb="11">
      <t>ショ</t>
    </rPh>
    <rPh sb="11" eb="14">
      <t>カンリトウ</t>
    </rPh>
    <rPh sb="16" eb="18">
      <t>ジュチュウ</t>
    </rPh>
    <phoneticPr fontId="4"/>
  </si>
  <si>
    <t>日立建機(株)土浦工場事務所管理棟</t>
    <rPh sb="13" eb="14">
      <t>ショ</t>
    </rPh>
    <phoneticPr fontId="4"/>
  </si>
  <si>
    <t>3</t>
    <phoneticPr fontId="4"/>
  </si>
  <si>
    <t>埋土・玉石混り砂礫</t>
    <rPh sb="0" eb="1">
      <t>ウ</t>
    </rPh>
    <rPh sb="1" eb="2">
      <t>ド</t>
    </rPh>
    <rPh sb="3" eb="5">
      <t>タマイシ</t>
    </rPh>
    <rPh sb="5" eb="6">
      <t>マ</t>
    </rPh>
    <rPh sb="7" eb="9">
      <t>サレキ</t>
    </rPh>
    <phoneticPr fontId="4"/>
  </si>
  <si>
    <t>-</t>
    <phoneticPr fontId="4"/>
  </si>
  <si>
    <t>-</t>
    <phoneticPr fontId="4"/>
  </si>
  <si>
    <t>綿半ソリューションズ 株式会社</t>
    <phoneticPr fontId="4"/>
  </si>
  <si>
    <t>着工</t>
    <rPh sb="0" eb="2">
      <t>チャッコウ</t>
    </rPh>
    <phoneticPr fontId="4"/>
  </si>
  <si>
    <t>広島県</t>
    <phoneticPr fontId="4"/>
  </si>
  <si>
    <t>呉市</t>
    <phoneticPr fontId="4"/>
  </si>
  <si>
    <t>阿賀南</t>
    <phoneticPr fontId="4"/>
  </si>
  <si>
    <t>植松</t>
    <rPh sb="0" eb="2">
      <t>ウエマツ</t>
    </rPh>
    <phoneticPr fontId="4"/>
  </si>
  <si>
    <t>日成ビルド工業 株式会社</t>
    <phoneticPr fontId="4"/>
  </si>
  <si>
    <t>日成ビルド工業 株式会社</t>
    <phoneticPr fontId="4"/>
  </si>
  <si>
    <t>山陽海運株式会社 倉庫棟</t>
    <phoneticPr fontId="4"/>
  </si>
  <si>
    <t>申請</t>
    <rPh sb="0" eb="2">
      <t>シンセイ</t>
    </rPh>
    <phoneticPr fontId="4"/>
  </si>
  <si>
    <t xml:space="preserve"> 検査</t>
    <rPh sb="1" eb="3">
      <t>ケンサ</t>
    </rPh>
    <phoneticPr fontId="4"/>
  </si>
  <si>
    <t>2m</t>
    <phoneticPr fontId="4"/>
  </si>
  <si>
    <t>中砂</t>
    <rPh sb="0" eb="1">
      <t>ナカ</t>
    </rPh>
    <rPh sb="1" eb="2">
      <t>スナ</t>
    </rPh>
    <phoneticPr fontId="4"/>
  </si>
  <si>
    <t>2m</t>
    <phoneticPr fontId="4"/>
  </si>
  <si>
    <t>1m</t>
    <phoneticPr fontId="4"/>
  </si>
  <si>
    <t>中砂(府植物混入)</t>
    <rPh sb="0" eb="1">
      <t>ナカ</t>
    </rPh>
    <rPh sb="1" eb="2">
      <t>スナ</t>
    </rPh>
    <rPh sb="3" eb="4">
      <t>フ</t>
    </rPh>
    <rPh sb="4" eb="6">
      <t>ショクブツ</t>
    </rPh>
    <rPh sb="6" eb="8">
      <t>コンニュウ</t>
    </rPh>
    <phoneticPr fontId="4"/>
  </si>
  <si>
    <t>着工</t>
    <rPh sb="0" eb="2">
      <t>チャッコウ</t>
    </rPh>
    <phoneticPr fontId="4"/>
  </si>
  <si>
    <t>Honda Cars 埼玉中 白岡</t>
    <phoneticPr fontId="4"/>
  </si>
  <si>
    <t>埼玉県</t>
    <phoneticPr fontId="4"/>
  </si>
  <si>
    <t>白岡市</t>
    <phoneticPr fontId="4"/>
  </si>
  <si>
    <t>店舗・工場</t>
    <rPh sb="0" eb="2">
      <t>テンポ</t>
    </rPh>
    <rPh sb="3" eb="5">
      <t>コウジョウ</t>
    </rPh>
    <phoneticPr fontId="4"/>
  </si>
  <si>
    <t>株式会社 MUSA研究所</t>
    <phoneticPr fontId="4"/>
  </si>
  <si>
    <t>株式会社 MUSA研究所</t>
    <phoneticPr fontId="4"/>
  </si>
  <si>
    <t>カブシキガイシャ MUSAケンキュウショ</t>
    <phoneticPr fontId="4"/>
  </si>
  <si>
    <t>締切</t>
    <rPh sb="0" eb="2">
      <t>シメキリ</t>
    </rPh>
    <phoneticPr fontId="4"/>
  </si>
  <si>
    <t>着工</t>
    <rPh sb="0" eb="2">
      <t>チャッコウ</t>
    </rPh>
    <phoneticPr fontId="4"/>
  </si>
  <si>
    <t>申請</t>
    <rPh sb="0" eb="2">
      <t>シンセイ</t>
    </rPh>
    <phoneticPr fontId="4"/>
  </si>
  <si>
    <t>株式会社 確認サービス</t>
    <phoneticPr fontId="4"/>
  </si>
  <si>
    <t>株式会社 確認サービス</t>
    <phoneticPr fontId="4"/>
  </si>
  <si>
    <t>工場・事務所</t>
    <rPh sb="0" eb="2">
      <t>コウジョウ</t>
    </rPh>
    <rPh sb="3" eb="5">
      <t>ジム</t>
    </rPh>
    <rPh sb="5" eb="6">
      <t>ショ</t>
    </rPh>
    <phoneticPr fontId="4"/>
  </si>
  <si>
    <t>平屋,3F建</t>
    <rPh sb="0" eb="2">
      <t>ヒラヤ</t>
    </rPh>
    <rPh sb="5" eb="6">
      <t>タ</t>
    </rPh>
    <phoneticPr fontId="4"/>
  </si>
  <si>
    <t>粘土質ｼﾙﾄ</t>
    <rPh sb="0" eb="2">
      <t>ネンド</t>
    </rPh>
    <rPh sb="2" eb="3">
      <t>シツ</t>
    </rPh>
    <phoneticPr fontId="4"/>
  </si>
  <si>
    <t>3m</t>
    <phoneticPr fontId="4"/>
  </si>
  <si>
    <t>埋土・砂礫</t>
    <rPh sb="0" eb="1">
      <t>ウ</t>
    </rPh>
    <rPh sb="1" eb="2">
      <t>ド</t>
    </rPh>
    <rPh sb="3" eb="5">
      <t>サレキ</t>
    </rPh>
    <phoneticPr fontId="4"/>
  </si>
  <si>
    <t>盛土</t>
    <rPh sb="0" eb="2">
      <t>モリド</t>
    </rPh>
    <phoneticPr fontId="4"/>
  </si>
  <si>
    <t>ｼﾙﾄ質砂</t>
    <rPh sb="3" eb="4">
      <t>シツ</t>
    </rPh>
    <rPh sb="4" eb="5">
      <t>スナ</t>
    </rPh>
    <phoneticPr fontId="4"/>
  </si>
  <si>
    <t>以前設計した倉庫への増築</t>
    <rPh sb="0" eb="2">
      <t>イゼン</t>
    </rPh>
    <rPh sb="2" eb="4">
      <t>セッケイ</t>
    </rPh>
    <rPh sb="6" eb="8">
      <t>ソウコ</t>
    </rPh>
    <rPh sb="10" eb="12">
      <t>ゾウチク</t>
    </rPh>
    <phoneticPr fontId="4"/>
  </si>
  <si>
    <t>ホリコーポレーション倉庫増築</t>
    <phoneticPr fontId="4"/>
  </si>
  <si>
    <t>株式会社 NSE</t>
    <phoneticPr fontId="4"/>
  </si>
  <si>
    <t>大之木建設 株式会社</t>
    <rPh sb="0" eb="3">
      <t>オオノギ</t>
    </rPh>
    <rPh sb="3" eb="5">
      <t>ケンセツ</t>
    </rPh>
    <rPh sb="6" eb="8">
      <t>カブシキ</t>
    </rPh>
    <rPh sb="8" eb="10">
      <t>カイシャ</t>
    </rPh>
    <phoneticPr fontId="4"/>
  </si>
  <si>
    <t>大之木建設 株式会社</t>
    <phoneticPr fontId="4"/>
  </si>
  <si>
    <t>オオノキケンセツ カブシキガイシャ</t>
    <phoneticPr fontId="4"/>
  </si>
  <si>
    <t>埋土・砂礫</t>
    <rPh sb="0" eb="1">
      <t>ウ</t>
    </rPh>
    <rPh sb="1" eb="2">
      <t>ド</t>
    </rPh>
    <rPh sb="3" eb="5">
      <t>サレキ</t>
    </rPh>
    <phoneticPr fontId="4"/>
  </si>
  <si>
    <t>倉庫</t>
    <rPh sb="0" eb="2">
      <t>ソウコ</t>
    </rPh>
    <phoneticPr fontId="4"/>
  </si>
  <si>
    <t>阿賀マリノポリスの近く。埋立地。海に近い。30tクレーン</t>
    <rPh sb="0" eb="2">
      <t>アガ</t>
    </rPh>
    <rPh sb="9" eb="10">
      <t>チカ</t>
    </rPh>
    <rPh sb="12" eb="14">
      <t>ウメタテ</t>
    </rPh>
    <rPh sb="14" eb="15">
      <t>チ</t>
    </rPh>
    <rPh sb="16" eb="17">
      <t>ウミ</t>
    </rPh>
    <rPh sb="18" eb="19">
      <t>チカ</t>
    </rPh>
    <phoneticPr fontId="4"/>
  </si>
  <si>
    <t>1.183(M=7.4)</t>
    <phoneticPr fontId="4"/>
  </si>
  <si>
    <t>株式会社 ジェイ・イー・サポート</t>
    <phoneticPr fontId="4"/>
  </si>
  <si>
    <t>9m</t>
    <phoneticPr fontId="4"/>
  </si>
  <si>
    <t>ｼﾙﾄ</t>
    <phoneticPr fontId="4"/>
  </si>
  <si>
    <t>1.519(M=7.5)</t>
    <phoneticPr fontId="4"/>
  </si>
  <si>
    <t>埋土</t>
    <rPh sb="0" eb="1">
      <t>ウ</t>
    </rPh>
    <rPh sb="1" eb="2">
      <t>ド</t>
    </rPh>
    <phoneticPr fontId="4"/>
  </si>
  <si>
    <t>礫混じり細中砂</t>
    <rPh sb="0" eb="1">
      <t>レキ</t>
    </rPh>
    <rPh sb="1" eb="2">
      <t>マ</t>
    </rPh>
    <rPh sb="4" eb="5">
      <t>サイ</t>
    </rPh>
    <rPh sb="5" eb="6">
      <t>ナカ</t>
    </rPh>
    <rPh sb="6" eb="7">
      <t>スナ</t>
    </rPh>
    <phoneticPr fontId="4"/>
  </si>
  <si>
    <t>株式会社 山形県建築サポートセンター</t>
    <phoneticPr fontId="4"/>
  </si>
  <si>
    <t>8/1着工</t>
    <phoneticPr fontId="4"/>
  </si>
  <si>
    <t>開発工事あり。水路近接。</t>
    <rPh sb="0" eb="2">
      <t>カイハツ</t>
    </rPh>
    <rPh sb="2" eb="4">
      <t>コウジ</t>
    </rPh>
    <rPh sb="7" eb="9">
      <t>スイロ</t>
    </rPh>
    <rPh sb="9" eb="11">
      <t>キンセツ</t>
    </rPh>
    <phoneticPr fontId="4"/>
  </si>
  <si>
    <t>N=6以上
試験未実施</t>
    <rPh sb="3" eb="5">
      <t>イジョウ</t>
    </rPh>
    <rPh sb="6" eb="8">
      <t>シケン</t>
    </rPh>
    <rPh sb="8" eb="11">
      <t>ミジッシ</t>
    </rPh>
    <phoneticPr fontId="4"/>
  </si>
  <si>
    <t>㈱白馬物流菊陽物流ｾﾝﾀｰ営業所</t>
    <rPh sb="1" eb="2">
      <t>シロ</t>
    </rPh>
    <rPh sb="2" eb="3">
      <t>ウマ</t>
    </rPh>
    <rPh sb="3" eb="5">
      <t>ブツリュウ</t>
    </rPh>
    <rPh sb="5" eb="7">
      <t>キクヨウ</t>
    </rPh>
    <rPh sb="7" eb="9">
      <t>ブツリュウ</t>
    </rPh>
    <rPh sb="13" eb="16">
      <t>エイギョウショ</t>
    </rPh>
    <phoneticPr fontId="4"/>
  </si>
  <si>
    <t>熊本県</t>
    <phoneticPr fontId="4"/>
  </si>
  <si>
    <t>菊池郡</t>
    <phoneticPr fontId="4"/>
  </si>
  <si>
    <t>菊陽町大字辛川</t>
    <phoneticPr fontId="4"/>
  </si>
  <si>
    <t>エス・エー・アイ構造設計 株式会社</t>
    <phoneticPr fontId="4"/>
  </si>
  <si>
    <t>エス・エー・アイ構造設計 株式会社</t>
    <phoneticPr fontId="4"/>
  </si>
  <si>
    <t>エス・エー・アイコウゾウセッケイ カブシキガイシャ</t>
    <phoneticPr fontId="4"/>
  </si>
  <si>
    <t>IMA建築事務所</t>
    <phoneticPr fontId="4"/>
  </si>
  <si>
    <t>IMA建築事務所</t>
    <phoneticPr fontId="4"/>
  </si>
  <si>
    <t>IMAケンチクジムショ</t>
    <phoneticPr fontId="4"/>
  </si>
  <si>
    <t>申請</t>
    <rPh sb="0" eb="2">
      <t>シンセイ</t>
    </rPh>
    <phoneticPr fontId="4"/>
  </si>
  <si>
    <t>確認済</t>
    <rPh sb="0" eb="2">
      <t>カクニン</t>
    </rPh>
    <rPh sb="2" eb="3">
      <t>スミ</t>
    </rPh>
    <phoneticPr fontId="4"/>
  </si>
  <si>
    <t>着工</t>
    <rPh sb="0" eb="2">
      <t>チャッコウ</t>
    </rPh>
    <phoneticPr fontId="4"/>
  </si>
  <si>
    <t>申請</t>
    <rPh sb="0" eb="2">
      <t>シンセイ</t>
    </rPh>
    <phoneticPr fontId="4"/>
  </si>
  <si>
    <t>着工</t>
    <rPh sb="0" eb="2">
      <t>チャッコウ</t>
    </rPh>
    <phoneticPr fontId="4"/>
  </si>
  <si>
    <t>2</t>
    <phoneticPr fontId="4"/>
  </si>
  <si>
    <t>浚渫土(砂)</t>
    <rPh sb="1" eb="2">
      <t>ザラ</t>
    </rPh>
    <rPh sb="2" eb="3">
      <t>ド</t>
    </rPh>
    <rPh sb="4" eb="5">
      <t>スナ</t>
    </rPh>
    <phoneticPr fontId="4"/>
  </si>
  <si>
    <t>浚渫土(砂)</t>
    <rPh sb="0" eb="2">
      <t>シュンセツ</t>
    </rPh>
    <rPh sb="2" eb="3">
      <t>ツチ</t>
    </rPh>
    <rPh sb="4" eb="5">
      <t>スナ</t>
    </rPh>
    <phoneticPr fontId="4"/>
  </si>
  <si>
    <t>3m</t>
    <phoneticPr fontId="4"/>
  </si>
  <si>
    <t>浚渫土(砂)</t>
    <phoneticPr fontId="4"/>
  </si>
  <si>
    <t>10m</t>
    <phoneticPr fontId="4"/>
  </si>
  <si>
    <t>-</t>
    <phoneticPr fontId="4"/>
  </si>
  <si>
    <t>細砂(府植物混入)</t>
    <rPh sb="0" eb="1">
      <t>サイ</t>
    </rPh>
    <rPh sb="1" eb="2">
      <t>スナ</t>
    </rPh>
    <rPh sb="3" eb="6">
      <t>フショクブツ</t>
    </rPh>
    <rPh sb="6" eb="8">
      <t>コンニュウ</t>
    </rPh>
    <phoneticPr fontId="4"/>
  </si>
  <si>
    <t>空地</t>
    <rPh sb="0" eb="2">
      <t>クウチ</t>
    </rPh>
    <phoneticPr fontId="4"/>
  </si>
  <si>
    <t>倉庫棟と車両メンテナンススペースの2棟。埋立地</t>
    <rPh sb="0" eb="2">
      <t>ソウコ</t>
    </rPh>
    <rPh sb="2" eb="3">
      <t>トウ</t>
    </rPh>
    <rPh sb="4" eb="6">
      <t>シャリョウ</t>
    </rPh>
    <rPh sb="18" eb="19">
      <t>トウ</t>
    </rPh>
    <rPh sb="20" eb="22">
      <t>ウメタテ</t>
    </rPh>
    <rPh sb="22" eb="23">
      <t>チ</t>
    </rPh>
    <phoneticPr fontId="4"/>
  </si>
  <si>
    <t>バロー岡崎駅南 SM棟</t>
    <rPh sb="3" eb="5">
      <t>オカザキ</t>
    </rPh>
    <rPh sb="5" eb="6">
      <t>エキ</t>
    </rPh>
    <rPh sb="6" eb="7">
      <t>ミナミ</t>
    </rPh>
    <rPh sb="10" eb="11">
      <t>トウ</t>
    </rPh>
    <phoneticPr fontId="4"/>
  </si>
  <si>
    <t>バロー岡崎駅南 ﾃﾅﾝﾄ棟</t>
    <rPh sb="3" eb="5">
      <t>オカザキ</t>
    </rPh>
    <rPh sb="5" eb="6">
      <t>エキ</t>
    </rPh>
    <rPh sb="6" eb="7">
      <t>ミナミ</t>
    </rPh>
    <rPh sb="12" eb="13">
      <t>トウ</t>
    </rPh>
    <phoneticPr fontId="4"/>
  </si>
  <si>
    <t>SM棟とﾃﾅﾝﾄ棟の2棟</t>
    <rPh sb="2" eb="3">
      <t>トウ</t>
    </rPh>
    <rPh sb="8" eb="9">
      <t>トウ</t>
    </rPh>
    <rPh sb="11" eb="12">
      <t>トウ</t>
    </rPh>
    <phoneticPr fontId="4"/>
  </si>
  <si>
    <t>190062-2</t>
    <phoneticPr fontId="4"/>
  </si>
  <si>
    <t>宮北
近藤</t>
    <rPh sb="0" eb="2">
      <t>ミヤキタ</t>
    </rPh>
    <rPh sb="3" eb="5">
      <t>コンドウ</t>
    </rPh>
    <phoneticPr fontId="4"/>
  </si>
  <si>
    <t>海に近い。埋立地。平板載荷試験実施。洗車場棟・駐車場上屋あり。</t>
    <rPh sb="0" eb="1">
      <t>ウミ</t>
    </rPh>
    <rPh sb="2" eb="3">
      <t>チカ</t>
    </rPh>
    <rPh sb="5" eb="8">
      <t>ウメタテチ</t>
    </rPh>
    <rPh sb="9" eb="11">
      <t>ヘイバン</t>
    </rPh>
    <rPh sb="11" eb="13">
      <t>サイカ</t>
    </rPh>
    <rPh sb="13" eb="15">
      <t>シケン</t>
    </rPh>
    <rPh sb="15" eb="17">
      <t>ジッシ</t>
    </rPh>
    <rPh sb="18" eb="21">
      <t>センシャジョウ</t>
    </rPh>
    <rPh sb="21" eb="22">
      <t>トウ</t>
    </rPh>
    <rPh sb="23" eb="26">
      <t>チュウシャジョウ</t>
    </rPh>
    <rPh sb="26" eb="28">
      <t>ウワヤ</t>
    </rPh>
    <phoneticPr fontId="4"/>
  </si>
  <si>
    <t>担当者</t>
    <rPh sb="0" eb="3">
      <t>タントウシャ</t>
    </rPh>
    <phoneticPr fontId="4"/>
  </si>
  <si>
    <t>TEL</t>
    <phoneticPr fontId="4"/>
  </si>
  <si>
    <t>住所</t>
    <rPh sb="0" eb="2">
      <t>ジュウショ</t>
    </rPh>
    <phoneticPr fontId="4"/>
  </si>
  <si>
    <t>会社名</t>
    <rPh sb="0" eb="3">
      <t>カイシャメイ</t>
    </rPh>
    <phoneticPr fontId="4"/>
  </si>
  <si>
    <t>村田 俊博</t>
    <phoneticPr fontId="4"/>
  </si>
  <si>
    <t>大久保 あゆみ</t>
    <phoneticPr fontId="4"/>
  </si>
  <si>
    <t>052-265-6401</t>
    <phoneticPr fontId="4"/>
  </si>
  <si>
    <t>山下 賢一</t>
    <phoneticPr fontId="4"/>
  </si>
  <si>
    <t>052-241-2201</t>
    <phoneticPr fontId="4"/>
  </si>
  <si>
    <t>-</t>
    <phoneticPr fontId="4"/>
  </si>
  <si>
    <t>-</t>
    <phoneticPr fontId="4"/>
  </si>
  <si>
    <t>-</t>
    <phoneticPr fontId="4"/>
  </si>
  <si>
    <t>-</t>
    <phoneticPr fontId="4"/>
  </si>
  <si>
    <t>-</t>
    <phoneticPr fontId="4"/>
  </si>
  <si>
    <t>-</t>
    <phoneticPr fontId="4"/>
  </si>
  <si>
    <t>-</t>
    <phoneticPr fontId="4"/>
  </si>
  <si>
    <t>-</t>
    <phoneticPr fontId="4"/>
  </si>
  <si>
    <t>052-241-2201</t>
    <phoneticPr fontId="4"/>
  </si>
  <si>
    <t>メールアドレス</t>
    <phoneticPr fontId="4"/>
  </si>
  <si>
    <t>今村</t>
    <phoneticPr fontId="4"/>
  </si>
  <si>
    <t>096-293-7683</t>
    <phoneticPr fontId="4"/>
  </si>
  <si>
    <t>imamu-k@uma.bbiq.jp</t>
    <phoneticPr fontId="4"/>
  </si>
  <si>
    <t>菊川</t>
    <phoneticPr fontId="4"/>
  </si>
  <si>
    <t>092-403-3344</t>
    <phoneticPr fontId="4"/>
  </si>
  <si>
    <t>kikugawa@sai-structure.com</t>
    <phoneticPr fontId="4"/>
  </si>
  <si>
    <t>赤谷 一典</t>
    <phoneticPr fontId="4"/>
  </si>
  <si>
    <t>0234-23-4445</t>
    <phoneticPr fontId="4"/>
  </si>
  <si>
    <t>akatani@ic-net.or.jp</t>
    <phoneticPr fontId="4"/>
  </si>
  <si>
    <t>山形県酒田市新橋1丁目14-18</t>
    <phoneticPr fontId="4"/>
  </si>
  <si>
    <t>岩田 寛貴</t>
    <phoneticPr fontId="4"/>
  </si>
  <si>
    <t>022-721-0206</t>
    <phoneticPr fontId="4"/>
  </si>
  <si>
    <t>iwata-hrt@nst-sumisys.co.jp</t>
    <phoneticPr fontId="4"/>
  </si>
  <si>
    <t>石山</t>
    <phoneticPr fontId="4"/>
  </si>
  <si>
    <t>kurata@musalab.co.jp</t>
    <phoneticPr fontId="4"/>
  </si>
  <si>
    <t>倉田</t>
    <phoneticPr fontId="4"/>
  </si>
  <si>
    <t>東京都新宿区高田馬場2-13-8 松村ビル2F</t>
    <phoneticPr fontId="4"/>
  </si>
  <si>
    <t>03-3208-9854</t>
    <phoneticPr fontId="4"/>
  </si>
  <si>
    <t>大之木 佑美枝</t>
    <phoneticPr fontId="4"/>
  </si>
  <si>
    <t>0823-26-1523</t>
    <phoneticPr fontId="4"/>
  </si>
  <si>
    <t>広島県呉市中央3丁目12‐4</t>
    <phoneticPr fontId="4"/>
  </si>
  <si>
    <t>yumie.onoki@onoki.co.jp</t>
    <phoneticPr fontId="4"/>
  </si>
  <si>
    <t>愛媛県松山市岩崎町2丁目4番地39号</t>
    <phoneticPr fontId="4"/>
  </si>
  <si>
    <t>089-968-1804</t>
    <phoneticPr fontId="4"/>
  </si>
  <si>
    <t>柴田 和政</t>
    <phoneticPr fontId="4"/>
  </si>
  <si>
    <t>shibata@n-s-e.co.jp</t>
    <phoneticPr fontId="4"/>
  </si>
  <si>
    <t>小塩 光嘉</t>
    <phoneticPr fontId="4"/>
  </si>
  <si>
    <t>0538-43-4311</t>
    <phoneticPr fontId="4"/>
  </si>
  <si>
    <t>koshio@ecoa-sogo.co.jp</t>
    <phoneticPr fontId="4"/>
  </si>
  <si>
    <t>秋田県湯沢市字中野53-5</t>
    <phoneticPr fontId="4"/>
  </si>
  <si>
    <t>090-7799-5304</t>
    <phoneticPr fontId="4"/>
  </si>
  <si>
    <t>今 康博</t>
    <phoneticPr fontId="4"/>
  </si>
  <si>
    <t>hemhemromio@rainbow.plala.or.jp</t>
    <phoneticPr fontId="4"/>
  </si>
  <si>
    <t>秋田県大仙市</t>
    <phoneticPr fontId="4"/>
  </si>
  <si>
    <t>06-7651-8165</t>
    <phoneticPr fontId="4"/>
  </si>
  <si>
    <t>info@bi-i-architect.co.jp</t>
    <phoneticPr fontId="4"/>
  </si>
  <si>
    <t>谷本 彩香</t>
    <phoneticPr fontId="4"/>
  </si>
  <si>
    <t>中本 恭子</t>
    <phoneticPr fontId="4"/>
  </si>
  <si>
    <t>0246-72-1103</t>
    <phoneticPr fontId="4"/>
  </si>
  <si>
    <t>k.nakamoto@jobankaihatsu.co.jp</t>
    <phoneticPr fontId="4"/>
  </si>
  <si>
    <t>080-5961-9928</t>
    <phoneticPr fontId="4"/>
  </si>
  <si>
    <t>watanabeya@hae.co.jp</t>
    <phoneticPr fontId="4"/>
  </si>
  <si>
    <t>opachi@mt-plan.com</t>
    <phoneticPr fontId="4"/>
  </si>
  <si>
    <t>a.okubo@nagoya-sd.co.jp</t>
    <phoneticPr fontId="4"/>
  </si>
  <si>
    <t>yamashita-uenoyama@air.ocn.ne.jp</t>
    <phoneticPr fontId="4"/>
  </si>
  <si>
    <t>片倉 徹</t>
    <phoneticPr fontId="4"/>
  </si>
  <si>
    <t>046-228-6588</t>
    <phoneticPr fontId="4"/>
  </si>
  <si>
    <t>t-katakura@takano-arc.co.jp</t>
    <phoneticPr fontId="4"/>
  </si>
  <si>
    <t>柴木</t>
    <phoneticPr fontId="4"/>
  </si>
  <si>
    <t>shibaki@bc.iij4u.or.jp</t>
    <phoneticPr fontId="4"/>
  </si>
  <si>
    <t>江藤 千秋</t>
    <phoneticPr fontId="4"/>
  </si>
  <si>
    <t>052-265-6401</t>
    <phoneticPr fontId="4"/>
  </si>
  <si>
    <t>c.eto@nagoya-sd.co.jp</t>
    <phoneticPr fontId="4"/>
  </si>
  <si>
    <t>金井</t>
    <phoneticPr fontId="4"/>
  </si>
  <si>
    <t>taito-skanai@rhythm.ocn.ne.jp</t>
    <phoneticPr fontId="4"/>
  </si>
  <si>
    <t>s-kozo@amail.plala.or.jp</t>
    <phoneticPr fontId="4"/>
  </si>
  <si>
    <t>098-877-5556</t>
    <phoneticPr fontId="4"/>
  </si>
  <si>
    <t>比嘉 大介</t>
    <phoneticPr fontId="4"/>
  </si>
  <si>
    <t>daisuke_h@arg2000.co.jp</t>
    <phoneticPr fontId="4"/>
  </si>
  <si>
    <t>システムハウスR＆C</t>
    <phoneticPr fontId="4"/>
  </si>
  <si>
    <t>システムハウスR＆C</t>
    <phoneticPr fontId="4"/>
  </si>
  <si>
    <t>池田 雅之</t>
    <phoneticPr fontId="4"/>
  </si>
  <si>
    <t>03-5418-5901</t>
    <phoneticPr fontId="4"/>
  </si>
  <si>
    <t>東京都港区芝3-4-12 ＳＶＨＤビル5階</t>
    <phoneticPr fontId="4"/>
  </si>
  <si>
    <t>m.ikeda@nisseibuild.co.jp</t>
    <phoneticPr fontId="4"/>
  </si>
  <si>
    <t>土古 博一</t>
    <phoneticPr fontId="4"/>
  </si>
  <si>
    <t>047-703-8881</t>
    <phoneticPr fontId="4"/>
  </si>
  <si>
    <t>無</t>
    <rPh sb="0" eb="1">
      <t>ナ</t>
    </rPh>
    <phoneticPr fontId="4"/>
  </si>
  <si>
    <t>菅原眼科</t>
    <phoneticPr fontId="4"/>
  </si>
  <si>
    <t>重原 桂子</t>
    <phoneticPr fontId="4"/>
  </si>
  <si>
    <t>044-433-4834</t>
    <phoneticPr fontId="4"/>
  </si>
  <si>
    <t>kei26archi@rondo.ocn.ne.jp</t>
    <phoneticPr fontId="4"/>
  </si>
  <si>
    <t>中村 孝正</t>
    <phoneticPr fontId="4"/>
  </si>
  <si>
    <t>093-583-6351</t>
    <phoneticPr fontId="4"/>
  </si>
  <si>
    <t>nsd-21@jcom.home.ne.jp</t>
    <phoneticPr fontId="4"/>
  </si>
  <si>
    <t>エスラインギフ川口</t>
    <phoneticPr fontId="4"/>
  </si>
  <si>
    <t>古垣内 克幸</t>
    <phoneticPr fontId="4"/>
  </si>
  <si>
    <t>0577-32-5630</t>
    <phoneticPr fontId="4"/>
  </si>
  <si>
    <t>岐阜県高山市下岡本町１４６８番地７</t>
    <phoneticPr fontId="4"/>
  </si>
  <si>
    <t>katsu-k@aqua.plala.or.jp</t>
    <phoneticPr fontId="4"/>
  </si>
  <si>
    <t xml:space="preserve">浅野 文昭　 </t>
    <phoneticPr fontId="4"/>
  </si>
  <si>
    <t>058-251-2263</t>
    <phoneticPr fontId="4"/>
  </si>
  <si>
    <t>fumiaki_asano@ic-group.co.jp</t>
    <phoneticPr fontId="4"/>
  </si>
  <si>
    <t>エス・アイ・シー工場</t>
    <phoneticPr fontId="4"/>
  </si>
  <si>
    <t>赤谷建築設計事務所</t>
    <phoneticPr fontId="4"/>
  </si>
  <si>
    <t>齋藤 柾紀</t>
    <phoneticPr fontId="4"/>
  </si>
  <si>
    <t>山形県酒田市新橋1-14-18</t>
    <phoneticPr fontId="4"/>
  </si>
  <si>
    <t>akatani@ic-net.or.jp</t>
    <phoneticPr fontId="4"/>
  </si>
  <si>
    <t>TCN安来</t>
    <phoneticPr fontId="4"/>
  </si>
  <si>
    <t>山田</t>
    <phoneticPr fontId="4"/>
  </si>
  <si>
    <t>0852-25-2222</t>
    <phoneticPr fontId="4"/>
  </si>
  <si>
    <t>yamada@sakamoto-sekkei.co.jp</t>
    <phoneticPr fontId="4"/>
  </si>
  <si>
    <t>小路 秀一</t>
    <phoneticPr fontId="4"/>
  </si>
  <si>
    <t>shyoji@mbh.nifty.com</t>
    <phoneticPr fontId="4"/>
  </si>
  <si>
    <t>06-6445-2581</t>
    <phoneticPr fontId="4"/>
  </si>
  <si>
    <t>shiono-02@m1.izumo.ne.jp</t>
    <phoneticPr fontId="4"/>
  </si>
  <si>
    <t>高井 彰雄</t>
    <rPh sb="3" eb="4">
      <t>アキラ</t>
    </rPh>
    <rPh sb="4" eb="5">
      <t>オス</t>
    </rPh>
    <phoneticPr fontId="4"/>
  </si>
  <si>
    <t>島根県出雲市今市1154-3</t>
    <rPh sb="0" eb="3">
      <t>シマネケン</t>
    </rPh>
    <rPh sb="3" eb="6">
      <t>イズモシ</t>
    </rPh>
    <rPh sb="6" eb="8">
      <t>イマイチ</t>
    </rPh>
    <phoneticPr fontId="4"/>
  </si>
  <si>
    <t>0853-21-3450</t>
    <phoneticPr fontId="4"/>
  </si>
  <si>
    <t>早野 和智</t>
    <phoneticPr fontId="4"/>
  </si>
  <si>
    <t>hayano-uenoyama@vesta.ocn.ne.jp</t>
    <phoneticPr fontId="4"/>
  </si>
  <si>
    <t>今井</t>
    <phoneticPr fontId="4"/>
  </si>
  <si>
    <t>ys-kozo@nifty.com</t>
    <phoneticPr fontId="4"/>
  </si>
  <si>
    <t>092-474-3305</t>
    <phoneticPr fontId="4"/>
  </si>
  <si>
    <t>南嶋 啓介</t>
    <phoneticPr fontId="4"/>
  </si>
  <si>
    <t>minamishima@taiyo-sekkei.com</t>
    <phoneticPr fontId="4"/>
  </si>
  <si>
    <t>092-761-1266</t>
    <phoneticPr fontId="4"/>
  </si>
  <si>
    <t>山形県村山市楯岡北町2-6-29</t>
    <phoneticPr fontId="4"/>
  </si>
  <si>
    <t>0237-53-2397</t>
    <phoneticPr fontId="4"/>
  </si>
  <si>
    <t>mis@f5.dion.ne.jp</t>
    <phoneticPr fontId="4"/>
  </si>
  <si>
    <t>武田</t>
    <phoneticPr fontId="4"/>
  </si>
  <si>
    <t>千葉県袖ヶ浦市南袖11番</t>
    <phoneticPr fontId="4"/>
  </si>
  <si>
    <t>0438-62-6404</t>
    <phoneticPr fontId="4"/>
  </si>
  <si>
    <t>洲﨑 琴美</t>
    <phoneticPr fontId="4"/>
  </si>
  <si>
    <t>k.susaki@yokogawa-yess.co.jp</t>
    <phoneticPr fontId="4"/>
  </si>
  <si>
    <t>各務</t>
    <phoneticPr fontId="4"/>
  </si>
  <si>
    <t>0574-63-4399</t>
    <phoneticPr fontId="4"/>
  </si>
  <si>
    <t>chuubu_k@car.ocn.ne.jp</t>
    <phoneticPr fontId="4"/>
  </si>
  <si>
    <t>岐阜県可児市下恵土２３３－１</t>
    <phoneticPr fontId="4"/>
  </si>
  <si>
    <t>鬼頭</t>
    <phoneticPr fontId="4"/>
  </si>
  <si>
    <t>東京都世田谷区上馬2-26-6 チサンマンション三軒茶屋第二604</t>
    <phoneticPr fontId="4"/>
  </si>
  <si>
    <t>03-5433-1733</t>
    <phoneticPr fontId="4"/>
  </si>
  <si>
    <t>kito@ne-st.co.jp</t>
    <phoneticPr fontId="4"/>
  </si>
  <si>
    <t>高武 士斎</t>
    <phoneticPr fontId="4"/>
  </si>
  <si>
    <t>092-588-2500</t>
    <phoneticPr fontId="4"/>
  </si>
  <si>
    <t>s.kazu@h9.dion.ne.jp</t>
    <phoneticPr fontId="4"/>
  </si>
  <si>
    <t>092-731-1248</t>
    <phoneticPr fontId="4"/>
  </si>
  <si>
    <t>和田 一郎</t>
    <phoneticPr fontId="4"/>
  </si>
  <si>
    <t>ichiro-w@rncc.co.jp</t>
    <phoneticPr fontId="4"/>
  </si>
  <si>
    <t>江連</t>
    <phoneticPr fontId="4"/>
  </si>
  <si>
    <t>011-512-8114</t>
    <phoneticPr fontId="4"/>
  </si>
  <si>
    <t>info@skysite.co.jp</t>
    <phoneticPr fontId="4"/>
  </si>
  <si>
    <t>濵﨑</t>
    <phoneticPr fontId="4"/>
  </si>
  <si>
    <t>011-221-4971</t>
    <phoneticPr fontId="4"/>
  </si>
  <si>
    <t>skozo@crocus.ocn.ne.jp</t>
    <phoneticPr fontId="4"/>
  </si>
  <si>
    <t>山崎</t>
    <phoneticPr fontId="4"/>
  </si>
  <si>
    <t>daichiplanning@gmail.com</t>
    <phoneticPr fontId="4"/>
  </si>
  <si>
    <t>080-4312-5323</t>
    <phoneticPr fontId="4"/>
  </si>
  <si>
    <t>青木</t>
    <phoneticPr fontId="4"/>
  </si>
  <si>
    <t>hi.aoki@yokogawa-yess.co.jp</t>
    <phoneticPr fontId="4"/>
  </si>
  <si>
    <t>那覇バス具志営業所</t>
    <phoneticPr fontId="4"/>
  </si>
  <si>
    <t>小笹 公成</t>
    <phoneticPr fontId="4"/>
  </si>
  <si>
    <t>098-979-7188</t>
    <phoneticPr fontId="4"/>
  </si>
  <si>
    <t>info@hamast.jp</t>
    <phoneticPr fontId="4"/>
  </si>
  <si>
    <t>03-5928-4630</t>
    <phoneticPr fontId="4"/>
  </si>
  <si>
    <t>豊島区東池袋3-11-8 サンライズ小林805号</t>
    <phoneticPr fontId="4"/>
  </si>
  <si>
    <t>siguma@rice.ocn.ne.jp</t>
    <phoneticPr fontId="4"/>
  </si>
  <si>
    <t>稲垣 利郎</t>
    <phoneticPr fontId="4"/>
  </si>
  <si>
    <t>049-241-1430</t>
    <phoneticPr fontId="4"/>
  </si>
  <si>
    <t>埼玉県川越市豊田町1-24-8</t>
    <phoneticPr fontId="4"/>
  </si>
  <si>
    <t>l-sekkei@alto.ocn.ne.jp</t>
    <phoneticPr fontId="4"/>
  </si>
  <si>
    <t>ありあけ幼稚園</t>
    <phoneticPr fontId="4"/>
  </si>
  <si>
    <t>河野 公晴</t>
    <phoneticPr fontId="4"/>
  </si>
  <si>
    <t>092-526-4766</t>
    <phoneticPr fontId="4"/>
  </si>
  <si>
    <t>kawano.kousei@aisekkei.co.jp</t>
    <phoneticPr fontId="4"/>
  </si>
  <si>
    <t>齋藤 憲史</t>
    <phoneticPr fontId="4"/>
  </si>
  <si>
    <t>青森県青森市東大野二丁目１番地１５</t>
    <phoneticPr fontId="4"/>
  </si>
  <si>
    <t>017-762-2241</t>
    <phoneticPr fontId="4"/>
  </si>
  <si>
    <t>saitou-kenji-x@zennoh.or.jp</t>
    <phoneticPr fontId="4"/>
  </si>
  <si>
    <t>藤田 耕</t>
    <phoneticPr fontId="4"/>
  </si>
  <si>
    <t>017-787-3283</t>
    <phoneticPr fontId="4"/>
  </si>
  <si>
    <t>k-fujita@asco-archi.co.jp</t>
    <phoneticPr fontId="4"/>
  </si>
  <si>
    <t>092-526-3182</t>
    <phoneticPr fontId="4"/>
  </si>
  <si>
    <t xml:space="preserve">info@kan-a.jp </t>
    <phoneticPr fontId="4"/>
  </si>
  <si>
    <t>並木</t>
    <phoneticPr fontId="4"/>
  </si>
  <si>
    <t>092-871-9676</t>
    <phoneticPr fontId="4"/>
  </si>
  <si>
    <t>aknamiki@siren.ocn.ne.jp</t>
    <phoneticPr fontId="4"/>
  </si>
  <si>
    <t>エフピコホーム</t>
    <phoneticPr fontId="4"/>
  </si>
  <si>
    <t>多田羅 健二</t>
    <phoneticPr fontId="4"/>
  </si>
  <si>
    <t>香川県高松市扇町１丁目25-52</t>
    <phoneticPr fontId="4"/>
  </si>
  <si>
    <t>087-816-6906</t>
    <phoneticPr fontId="4"/>
  </si>
  <si>
    <t xml:space="preserve">tatara@t-t-r.jp </t>
    <phoneticPr fontId="4"/>
  </si>
  <si>
    <t>佐々木</t>
    <phoneticPr fontId="4"/>
  </si>
  <si>
    <t>019-604-1810</t>
    <phoneticPr fontId="4"/>
  </si>
  <si>
    <t>ks-info@ks-creates.com</t>
    <phoneticPr fontId="4"/>
  </si>
  <si>
    <t>北茨城精密加工関本第６工場</t>
    <phoneticPr fontId="4"/>
  </si>
  <si>
    <t>0438-62-6404</t>
    <phoneticPr fontId="4"/>
  </si>
  <si>
    <t>韓昶</t>
    <phoneticPr fontId="4"/>
  </si>
  <si>
    <t>c.kan@yokogawa-yess.co.jp</t>
    <phoneticPr fontId="4"/>
  </si>
  <si>
    <t>福島県いわき市常磐湯本町辰ノ口1</t>
    <phoneticPr fontId="4"/>
  </si>
  <si>
    <t>河野 美晴</t>
    <phoneticPr fontId="4"/>
  </si>
  <si>
    <t>masataka-sato@cameo.plala.or.jp</t>
    <phoneticPr fontId="4"/>
  </si>
  <si>
    <t>佐藤</t>
    <rPh sb="0" eb="2">
      <t>サトウ</t>
    </rPh>
    <phoneticPr fontId="4"/>
  </si>
  <si>
    <t>090-7069-0666</t>
    <phoneticPr fontId="4"/>
  </si>
  <si>
    <t>古川 修治</t>
    <phoneticPr fontId="4"/>
  </si>
  <si>
    <t>青森県青森市筒井２丁目1-13</t>
    <phoneticPr fontId="4"/>
  </si>
  <si>
    <t>017-738-0482</t>
    <phoneticPr fontId="4"/>
  </si>
  <si>
    <t>sosekkei@star.ocn.ne.jp</t>
    <phoneticPr fontId="4"/>
  </si>
  <si>
    <t>木村 智彦</t>
    <phoneticPr fontId="4"/>
  </si>
  <si>
    <t>017-728-2832</t>
    <phoneticPr fontId="4"/>
  </si>
  <si>
    <t>falcon5@actv.ne.jp</t>
    <phoneticPr fontId="4"/>
  </si>
  <si>
    <t>tastructuredesign@yahoo.co.jp</t>
    <phoneticPr fontId="4"/>
  </si>
  <si>
    <t>矢野 一史</t>
    <phoneticPr fontId="4"/>
  </si>
  <si>
    <t>011-215-5619</t>
    <phoneticPr fontId="4"/>
  </si>
  <si>
    <t>宮本 康範</t>
    <phoneticPr fontId="4"/>
  </si>
  <si>
    <t>011-721-0940</t>
    <phoneticPr fontId="4"/>
  </si>
  <si>
    <t>gpc@mx3.alpha-web.ne.jp</t>
    <phoneticPr fontId="4"/>
  </si>
  <si>
    <t>赤崎 隆博</t>
    <phoneticPr fontId="4"/>
  </si>
  <si>
    <t>t.akasaki@yokogawa-yess.co.jp</t>
    <phoneticPr fontId="4"/>
  </si>
  <si>
    <t>info@junkashiwada.com</t>
    <phoneticPr fontId="4"/>
  </si>
  <si>
    <t>柏田</t>
    <phoneticPr fontId="4"/>
  </si>
  <si>
    <t>㈱堀内機械工場</t>
    <phoneticPr fontId="4"/>
  </si>
  <si>
    <t>村松 陽野木</t>
    <phoneticPr fontId="4"/>
  </si>
  <si>
    <t>06-6233-8308</t>
    <phoneticPr fontId="4"/>
  </si>
  <si>
    <t>h.muramatsu@yokogawa-yess.co.jp</t>
    <phoneticPr fontId="4"/>
  </si>
  <si>
    <t>暮田 朋恵</t>
    <phoneticPr fontId="4"/>
  </si>
  <si>
    <t>京都府福知山市字堀小字道場2433番地</t>
    <phoneticPr fontId="4"/>
  </si>
  <si>
    <t>0773-45-8727</t>
    <phoneticPr fontId="4"/>
  </si>
  <si>
    <t>kureta@yonedagumi.com</t>
    <phoneticPr fontId="4"/>
  </si>
  <si>
    <t>伊方町観光交流拠点施設</t>
    <phoneticPr fontId="4"/>
  </si>
  <si>
    <t>大居 宏冶</t>
    <phoneticPr fontId="4"/>
  </si>
  <si>
    <t>富山県高岡市野村 657-3</t>
    <phoneticPr fontId="4"/>
  </si>
  <si>
    <t>0766-23-0707</t>
    <phoneticPr fontId="4"/>
  </si>
  <si>
    <t>daikyo@shinsekkei.co.jp</t>
    <phoneticPr fontId="4"/>
  </si>
  <si>
    <t>大居 宏冶</t>
    <phoneticPr fontId="4"/>
  </si>
  <si>
    <t>大居 宏冶</t>
    <phoneticPr fontId="4"/>
  </si>
  <si>
    <t>0766-23-0707</t>
    <phoneticPr fontId="4"/>
  </si>
  <si>
    <t>富山県高岡市野村 657-3</t>
    <phoneticPr fontId="4"/>
  </si>
  <si>
    <t>daikyo@shinsekkei.co.jp</t>
    <phoneticPr fontId="4"/>
  </si>
  <si>
    <t>daikyo@shinsekkei.co.jp</t>
    <phoneticPr fontId="4"/>
  </si>
  <si>
    <t>福屋 貴義</t>
    <phoneticPr fontId="4"/>
  </si>
  <si>
    <t>076-266-1162</t>
    <phoneticPr fontId="4"/>
  </si>
  <si>
    <t>t.fukuya@nisseibuild.co.jp</t>
    <phoneticPr fontId="4"/>
  </si>
  <si>
    <t>大畠 正行</t>
    <phoneticPr fontId="4"/>
  </si>
  <si>
    <t>m-ohata@sakura-arch.co.jp</t>
    <phoneticPr fontId="4"/>
  </si>
  <si>
    <t>082-502-7720</t>
    <phoneticPr fontId="4"/>
  </si>
  <si>
    <t>高田谷 重和</t>
    <phoneticPr fontId="4"/>
  </si>
  <si>
    <t>06-6773-2417</t>
    <phoneticPr fontId="4"/>
  </si>
  <si>
    <t>shigekazu@alto.ocn.ne.jp</t>
    <phoneticPr fontId="4"/>
  </si>
  <si>
    <t>a.o.m@aioros.ocn.ne.jp</t>
    <phoneticPr fontId="4"/>
  </si>
  <si>
    <t>野口</t>
    <phoneticPr fontId="4"/>
  </si>
  <si>
    <t>青野 弘輝</t>
    <phoneticPr fontId="4"/>
  </si>
  <si>
    <t>岡山県岡山市中区清水2丁目5番22号</t>
    <phoneticPr fontId="4"/>
  </si>
  <si>
    <t>086-271-7011</t>
  </si>
  <si>
    <t>086-271-7011</t>
    <phoneticPr fontId="4"/>
  </si>
  <si>
    <t>h-aono@sanyosekkei.co.jp</t>
    <phoneticPr fontId="4"/>
  </si>
  <si>
    <t>086-271-7011</t>
    <phoneticPr fontId="4"/>
  </si>
  <si>
    <t>086-271-7011</t>
    <phoneticPr fontId="4"/>
  </si>
  <si>
    <t>岡山県岡山市中区清水2丁目5番22号</t>
    <phoneticPr fontId="4"/>
  </si>
  <si>
    <t>岡山県岡山市中区清水2丁目5番22号</t>
    <phoneticPr fontId="4"/>
  </si>
  <si>
    <t>087-880-0333</t>
    <phoneticPr fontId="4"/>
  </si>
  <si>
    <t>浅井 聡之</t>
    <phoneticPr fontId="4"/>
  </si>
  <si>
    <t>011-252-5051</t>
    <phoneticPr fontId="4"/>
  </si>
  <si>
    <t>t.asai@nisseibuild.co.jp</t>
    <phoneticPr fontId="4"/>
  </si>
  <si>
    <t>田沼 恭章</t>
    <phoneticPr fontId="4"/>
  </si>
  <si>
    <t>古池 秀伸</t>
    <phoneticPr fontId="4"/>
  </si>
  <si>
    <t>052-222-8611</t>
    <phoneticPr fontId="4"/>
  </si>
  <si>
    <t>koike.hidenobu@ito-aei.co.jp</t>
    <phoneticPr fontId="4"/>
  </si>
  <si>
    <t>東京都千代田区外神田3-5-12</t>
    <phoneticPr fontId="4"/>
  </si>
  <si>
    <t>03-5294-6211</t>
    <phoneticPr fontId="4"/>
  </si>
  <si>
    <t>anakajima@ito-aei.co.jp</t>
    <phoneticPr fontId="4"/>
  </si>
  <si>
    <t>羽根 章禄</t>
    <phoneticPr fontId="4"/>
  </si>
  <si>
    <t>0466-45-5621</t>
    <phoneticPr fontId="4"/>
  </si>
  <si>
    <t>神奈川県藤沢市湘南台2-1-2</t>
    <phoneticPr fontId="4"/>
  </si>
  <si>
    <t>hane@tanaka-dk.co.jp</t>
    <phoneticPr fontId="4"/>
  </si>
  <si>
    <t>宮元 靖之</t>
    <phoneticPr fontId="4"/>
  </si>
  <si>
    <t>03-6860-7364</t>
    <phoneticPr fontId="4"/>
  </si>
  <si>
    <t>東京都港区浜松町2-4-1 世界貿易センタービル33階</t>
    <phoneticPr fontId="4"/>
  </si>
  <si>
    <t>miyamoto-ysy@nst-sumisys.co.jp</t>
    <phoneticPr fontId="4"/>
  </si>
  <si>
    <t>イーグルアクアパーク稚内</t>
    <phoneticPr fontId="4"/>
  </si>
  <si>
    <t>鈴木 康弘</t>
    <phoneticPr fontId="4"/>
  </si>
  <si>
    <t>yasuhiro@tk-a.com</t>
    <phoneticPr fontId="4"/>
  </si>
  <si>
    <t>052-529-3553</t>
    <phoneticPr fontId="4"/>
  </si>
  <si>
    <t>小木曾</t>
    <phoneticPr fontId="4"/>
  </si>
  <si>
    <t>052-414-5101</t>
    <phoneticPr fontId="4"/>
  </si>
  <si>
    <t>sks@sakaidasekkei.co.jp</t>
    <phoneticPr fontId="4"/>
  </si>
  <si>
    <t>旗艦長門</t>
    <phoneticPr fontId="4"/>
  </si>
  <si>
    <t>森田</t>
    <rPh sb="0" eb="2">
      <t>モリタ</t>
    </rPh>
    <phoneticPr fontId="4"/>
  </si>
  <si>
    <t>morita.yoshiyuki@aisekkei.co.jp</t>
    <phoneticPr fontId="4"/>
  </si>
  <si>
    <t>神田橋工業 工場</t>
    <phoneticPr fontId="4"/>
  </si>
  <si>
    <t>鎌田</t>
    <phoneticPr fontId="4"/>
  </si>
  <si>
    <t>浅野 幸司</t>
    <phoneticPr fontId="4"/>
  </si>
  <si>
    <t>076-237-9765</t>
    <phoneticPr fontId="4"/>
  </si>
  <si>
    <t>石川県金沢市直江北１丁目１９番地</t>
    <phoneticPr fontId="4"/>
  </si>
  <si>
    <t>ohata@spacelan.ne.jp</t>
    <phoneticPr fontId="4"/>
  </si>
  <si>
    <t>株式会社 吉光組</t>
    <phoneticPr fontId="4"/>
  </si>
  <si>
    <t>空間工房</t>
    <phoneticPr fontId="4"/>
  </si>
  <si>
    <t>藤井 利也</t>
    <phoneticPr fontId="4"/>
  </si>
  <si>
    <t>hza04442@nifty.com</t>
    <phoneticPr fontId="4"/>
  </si>
  <si>
    <t>川上 澄雄</t>
    <phoneticPr fontId="4"/>
  </si>
  <si>
    <t>埼玉県鴻巣市赤見台2-1-9-103</t>
    <phoneticPr fontId="4"/>
  </si>
  <si>
    <t>080-3152-6190</t>
    <phoneticPr fontId="4"/>
  </si>
  <si>
    <t>k-kouzou@sea.plala.or.jp</t>
    <phoneticPr fontId="4"/>
  </si>
  <si>
    <t>yamada@kura-sekkei.co.jp</t>
    <phoneticPr fontId="4"/>
  </si>
  <si>
    <t>東京都千代田区外神田2-2-19 丸和ビル８Ｆ</t>
    <phoneticPr fontId="4"/>
  </si>
  <si>
    <t>03-5209-3951</t>
    <phoneticPr fontId="4"/>
  </si>
  <si>
    <t>山田 文雄</t>
    <phoneticPr fontId="4"/>
  </si>
  <si>
    <t>羽衣 季隆</t>
    <phoneticPr fontId="4"/>
  </si>
  <si>
    <t>06-7670-0771</t>
    <phoneticPr fontId="4"/>
  </si>
  <si>
    <t>hai-tst@nst-sumisys.co.jp</t>
    <phoneticPr fontId="4"/>
  </si>
  <si>
    <t>鈴木</t>
    <phoneticPr fontId="4"/>
  </si>
  <si>
    <t>中川 康宏</t>
    <phoneticPr fontId="4"/>
  </si>
  <si>
    <t>03-5366-2461</t>
    <phoneticPr fontId="4"/>
  </si>
  <si>
    <t>東京都新宿区新宿1-11-17 第2KSビル3F</t>
    <phoneticPr fontId="4"/>
  </si>
  <si>
    <t>y_nakagawa@estructura.co.jp</t>
    <phoneticPr fontId="4"/>
  </si>
  <si>
    <t>木村</t>
    <phoneticPr fontId="4"/>
  </si>
  <si>
    <t>髙倉 慈広</t>
    <phoneticPr fontId="4"/>
  </si>
  <si>
    <t>東京都港区東麻布1-10-13東麻布アネックス3階</t>
    <phoneticPr fontId="4"/>
  </si>
  <si>
    <t>03-6807-4220</t>
    <phoneticPr fontId="4"/>
  </si>
  <si>
    <t>tokyo@kohnosekkei.com</t>
    <phoneticPr fontId="4"/>
  </si>
  <si>
    <t>kaz_cbzx@kxd.biglobe.ne.jp</t>
    <phoneticPr fontId="4"/>
  </si>
  <si>
    <t>朝日ヶ丘産業株式会社本地物流センター</t>
    <phoneticPr fontId="4"/>
  </si>
  <si>
    <t>amano.tsutomu@sea.plala.or.jp</t>
    <phoneticPr fontId="4"/>
  </si>
  <si>
    <t>天野</t>
    <phoneticPr fontId="4"/>
  </si>
  <si>
    <t>087-813-8275</t>
    <phoneticPr fontId="4"/>
  </si>
  <si>
    <t>arakitry@ked.biglobe.ne.jp</t>
    <phoneticPr fontId="4"/>
  </si>
  <si>
    <t>荒木</t>
    <phoneticPr fontId="4"/>
  </si>
  <si>
    <t>中島 彰士</t>
    <phoneticPr fontId="4"/>
  </si>
  <si>
    <t>安藤 祐太郎</t>
    <phoneticPr fontId="4"/>
  </si>
  <si>
    <t>03-3254-6132</t>
    <phoneticPr fontId="4"/>
  </si>
  <si>
    <t>y-andou@uekigumi.co.jp</t>
    <phoneticPr fontId="4"/>
  </si>
  <si>
    <t>東京都千代田区神田東松下町41番地2</t>
    <phoneticPr fontId="4"/>
  </si>
  <si>
    <t>髙瀬 亮平</t>
    <phoneticPr fontId="4"/>
  </si>
  <si>
    <t>097-578-8116</t>
    <phoneticPr fontId="4"/>
  </si>
  <si>
    <t>r-takase@dai-yu.jp</t>
    <phoneticPr fontId="4"/>
  </si>
  <si>
    <t>青森県黒石市緑ヶ丘28</t>
    <phoneticPr fontId="4"/>
  </si>
  <si>
    <t>090-1490-9870</t>
    <phoneticPr fontId="4"/>
  </si>
  <si>
    <t>村岡 寿博</t>
    <phoneticPr fontId="4"/>
  </si>
  <si>
    <t>phstniki@yahoo.co.jp</t>
    <phoneticPr fontId="4"/>
  </si>
  <si>
    <t>勝村 義隆</t>
    <phoneticPr fontId="4"/>
  </si>
  <si>
    <t>東京都千代田区神田佐久間町1-21山傳ビルディング6階</t>
    <phoneticPr fontId="4"/>
  </si>
  <si>
    <t>03-5298-2281</t>
    <phoneticPr fontId="4"/>
  </si>
  <si>
    <t>ka26ra@k-architects.co.jp</t>
    <phoneticPr fontId="4"/>
  </si>
  <si>
    <t>玄海農場鶏舎</t>
    <phoneticPr fontId="4"/>
  </si>
  <si>
    <t>佐藤</t>
    <phoneticPr fontId="4"/>
  </si>
  <si>
    <t>06-6910-8883</t>
    <phoneticPr fontId="4"/>
  </si>
  <si>
    <t>n.sato@cim2005.co.jp</t>
    <phoneticPr fontId="4"/>
  </si>
  <si>
    <t>登坂　勇</t>
    <phoneticPr fontId="4"/>
  </si>
  <si>
    <t>0238-43-7956</t>
    <phoneticPr fontId="4"/>
  </si>
  <si>
    <t>山形県南陽市三間通342-10</t>
    <phoneticPr fontId="4"/>
  </si>
  <si>
    <t>yuto@ms5.omn.ne.jp</t>
    <phoneticPr fontId="4"/>
  </si>
  <si>
    <t>石山</t>
    <phoneticPr fontId="4"/>
  </si>
  <si>
    <t>t-ishiyama@nagaisekkei.co.jp</t>
    <phoneticPr fontId="4"/>
  </si>
  <si>
    <t>林 順司</t>
    <phoneticPr fontId="4"/>
  </si>
  <si>
    <t>東京都港区赤坂２－９－４ 新光ビル２階</t>
    <phoneticPr fontId="4"/>
  </si>
  <si>
    <t>jhayashi@miyake-sekkei.jp</t>
    <phoneticPr fontId="4"/>
  </si>
  <si>
    <t>03-3560-2663</t>
    <phoneticPr fontId="4"/>
  </si>
  <si>
    <t>深沢 司</t>
    <phoneticPr fontId="4"/>
  </si>
  <si>
    <t>山梨県甲府市飯田2-6-6</t>
    <phoneticPr fontId="4"/>
  </si>
  <si>
    <t>055-228-0339</t>
    <phoneticPr fontId="4"/>
  </si>
  <si>
    <t>t-fukasawa@miyake-sekkei.jp</t>
    <phoneticPr fontId="4"/>
  </si>
  <si>
    <t>大京新工場従業員宿舎</t>
    <phoneticPr fontId="4"/>
  </si>
  <si>
    <t>野田 武</t>
    <phoneticPr fontId="4"/>
  </si>
  <si>
    <t>石川県小松市長崎町118番地</t>
    <phoneticPr fontId="4"/>
  </si>
  <si>
    <t>0761-24-5151</t>
    <phoneticPr fontId="4"/>
  </si>
  <si>
    <t>noda@yoshimitsugumi.co.jp</t>
    <phoneticPr fontId="4"/>
  </si>
  <si>
    <t>餘野木</t>
    <phoneticPr fontId="4"/>
  </si>
  <si>
    <t>yonoki@h7.dion.ne.jp</t>
    <phoneticPr fontId="4"/>
  </si>
  <si>
    <t>熊田</t>
    <phoneticPr fontId="4"/>
  </si>
  <si>
    <t>kuma5060@me.pikara.ne.jp</t>
    <phoneticPr fontId="4"/>
  </si>
  <si>
    <t>岡林　宿</t>
    <phoneticPr fontId="4"/>
  </si>
  <si>
    <t>088-883-2676</t>
    <phoneticPr fontId="4"/>
  </si>
  <si>
    <t>高知県高知市高須新町１丁目5番14号</t>
    <phoneticPr fontId="4"/>
  </si>
  <si>
    <t>yokoyama-4580@a011.broada.jp</t>
    <phoneticPr fontId="4"/>
  </si>
  <si>
    <t>阿部 雅広</t>
    <phoneticPr fontId="4"/>
  </si>
  <si>
    <t>048-813-3800</t>
    <phoneticPr fontId="4"/>
  </si>
  <si>
    <t>埼玉県さいたま市南区南浦和2-39-2 大雄ビル3階</t>
    <phoneticPr fontId="4"/>
  </si>
  <si>
    <t>m-abe@ast-atelier.biz</t>
    <phoneticPr fontId="4"/>
  </si>
  <si>
    <t>(株)倉田技研 竜王工場</t>
    <phoneticPr fontId="4"/>
  </si>
  <si>
    <t>滋賀県大津市大萱六丁目一番十九号1階101A</t>
    <phoneticPr fontId="4"/>
  </si>
  <si>
    <t>077-543-3244</t>
    <phoneticPr fontId="4"/>
  </si>
  <si>
    <t>y-sonoda@okudakoumuten.jp</t>
    <phoneticPr fontId="4"/>
  </si>
  <si>
    <t>園田</t>
    <rPh sb="0" eb="2">
      <t>ソノダ</t>
    </rPh>
    <phoneticPr fontId="4"/>
  </si>
  <si>
    <t>唐澤 俊明</t>
    <phoneticPr fontId="4"/>
  </si>
  <si>
    <t>karasawa@wellstone-se.com</t>
    <phoneticPr fontId="4"/>
  </si>
  <si>
    <t>埼玉県鴻巣市宮前88-24</t>
    <phoneticPr fontId="4"/>
  </si>
  <si>
    <t>048－597－1226</t>
    <phoneticPr fontId="4"/>
  </si>
  <si>
    <t>伊藤 玉一</t>
    <phoneticPr fontId="4"/>
  </si>
  <si>
    <t>0859-32-6161</t>
    <phoneticPr fontId="4"/>
  </si>
  <si>
    <t>ito@tairasekkei.com</t>
    <phoneticPr fontId="4"/>
  </si>
  <si>
    <t>ジュンテンドー大竹</t>
    <phoneticPr fontId="4"/>
  </si>
  <si>
    <t>金藤 郁雄</t>
    <phoneticPr fontId="4"/>
  </si>
  <si>
    <t>0847-25-0171</t>
    <phoneticPr fontId="4"/>
  </si>
  <si>
    <t>広島県世羅郡世羅町大字井折245-4</t>
    <phoneticPr fontId="4"/>
  </si>
  <si>
    <t>gnrjb503@ybb.ne.jp</t>
    <phoneticPr fontId="4"/>
  </si>
  <si>
    <t>山岡</t>
    <phoneticPr fontId="4"/>
  </si>
  <si>
    <t>yamaoka694@ybb.ne.jp</t>
    <phoneticPr fontId="4"/>
  </si>
  <si>
    <t>梅田</t>
    <phoneticPr fontId="4"/>
  </si>
  <si>
    <t>03-3366-2501</t>
    <phoneticPr fontId="4"/>
  </si>
  <si>
    <t>東京都新宿区西新宿７－９－７　ニッカビル５Ｆ</t>
    <phoneticPr fontId="4"/>
  </si>
  <si>
    <t>umeda@ko-so.co.jp</t>
    <phoneticPr fontId="4"/>
  </si>
  <si>
    <t>山﨑 昌弘</t>
    <phoneticPr fontId="4"/>
  </si>
  <si>
    <t>0178-51-8296</t>
    <phoneticPr fontId="4"/>
  </si>
  <si>
    <t>青森県八戸市北白山台５丁目２－５</t>
    <phoneticPr fontId="4"/>
  </si>
  <si>
    <t>yamazaki@cadec.co.jp</t>
    <phoneticPr fontId="4"/>
  </si>
  <si>
    <t>藤原</t>
    <phoneticPr fontId="4"/>
  </si>
  <si>
    <t>岩田産業(株)北九州支店</t>
    <phoneticPr fontId="4"/>
  </si>
  <si>
    <t>092-736-3111</t>
    <phoneticPr fontId="4"/>
  </si>
  <si>
    <t>e-work@ew-d.co.jp</t>
    <phoneticPr fontId="4"/>
  </si>
  <si>
    <t>林 清文</t>
    <phoneticPr fontId="4"/>
  </si>
  <si>
    <t>k.hayashi@yokogawa-yess.co.jp</t>
    <phoneticPr fontId="4"/>
  </si>
  <si>
    <t>佐土原 洋</t>
    <phoneticPr fontId="4"/>
  </si>
  <si>
    <t>フェイス田川</t>
    <phoneticPr fontId="4"/>
  </si>
  <si>
    <t>兼行 祥太</t>
    <phoneticPr fontId="4"/>
  </si>
  <si>
    <t>092-521-0307</t>
    <phoneticPr fontId="4"/>
  </si>
  <si>
    <t>fukuoka@kohnosekkei.com</t>
    <phoneticPr fontId="4"/>
  </si>
  <si>
    <t>吉沢 達裕</t>
    <phoneticPr fontId="4"/>
  </si>
  <si>
    <t>0283-62-3165</t>
    <phoneticPr fontId="4"/>
  </si>
  <si>
    <t>栃木県佐野市田沼町1805-9</t>
    <phoneticPr fontId="4"/>
  </si>
  <si>
    <t>cxm02457@nifty.com</t>
    <phoneticPr fontId="4"/>
  </si>
  <si>
    <t>関根様 自動車整備工場</t>
    <phoneticPr fontId="4"/>
  </si>
  <si>
    <t>筒井 文明</t>
    <phoneticPr fontId="4"/>
  </si>
  <si>
    <t>048-990-8560</t>
    <phoneticPr fontId="4"/>
  </si>
  <si>
    <t>埼玉県越谷市南越谷4-11-1 南越谷株竹ビル3F</t>
    <phoneticPr fontId="4"/>
  </si>
  <si>
    <t>ap-n@ap-n.co.jp</t>
    <phoneticPr fontId="4"/>
  </si>
  <si>
    <t>082-207-0888</t>
    <phoneticPr fontId="4"/>
  </si>
  <si>
    <t>terakawa1022@gmail.com</t>
    <phoneticPr fontId="4"/>
  </si>
  <si>
    <t>寺川 隆史</t>
    <phoneticPr fontId="4"/>
  </si>
  <si>
    <t>阿邉 真幸</t>
    <phoneticPr fontId="4"/>
  </si>
  <si>
    <t>岡島 康樹</t>
    <phoneticPr fontId="4"/>
  </si>
  <si>
    <t>岡島 康樹</t>
    <phoneticPr fontId="4"/>
  </si>
  <si>
    <t>087-880-0333</t>
    <phoneticPr fontId="4"/>
  </si>
  <si>
    <t>香川県高松市香西南町555-5</t>
    <phoneticPr fontId="4"/>
  </si>
  <si>
    <t>香川県高松市香西南町555-5</t>
    <phoneticPr fontId="4"/>
  </si>
  <si>
    <t>okajima@compass-sekkei.co.jp</t>
    <phoneticPr fontId="4"/>
  </si>
  <si>
    <t>okajima@compass-sekkei.co.jp</t>
    <phoneticPr fontId="4"/>
  </si>
  <si>
    <t>m-abe@sanyosekkei.co.jp</t>
    <phoneticPr fontId="4"/>
  </si>
  <si>
    <t>五十嵐 永紀</t>
    <phoneticPr fontId="4"/>
  </si>
  <si>
    <t>東京都港区浜松町2-1-17 浜松町松永ビル6階</t>
    <phoneticPr fontId="4"/>
  </si>
  <si>
    <t>03-6860-7363</t>
    <phoneticPr fontId="4"/>
  </si>
  <si>
    <t>igarashi-hsn@nst-sumisys.co.jp</t>
    <phoneticPr fontId="4"/>
  </si>
  <si>
    <t>早川 恵美</t>
    <phoneticPr fontId="4"/>
  </si>
  <si>
    <t>0470-77-0545</t>
    <phoneticPr fontId="4"/>
  </si>
  <si>
    <t>千葉県勝浦市市野川268</t>
    <phoneticPr fontId="4"/>
  </si>
  <si>
    <t>chibasekkei@vesta.ocn.ne.jp</t>
    <phoneticPr fontId="4"/>
  </si>
  <si>
    <t>千葉</t>
    <phoneticPr fontId="4"/>
  </si>
  <si>
    <t>chiba@net-tpa.com</t>
    <phoneticPr fontId="4"/>
  </si>
  <si>
    <t>中山 悟</t>
    <phoneticPr fontId="4"/>
  </si>
  <si>
    <t>03-3372-1914</t>
    <phoneticPr fontId="4"/>
  </si>
  <si>
    <t>東京都渋谷区代々木3-1-1 YKD代々木ビル 4階</t>
    <phoneticPr fontId="4"/>
  </si>
  <si>
    <t>nakayama@nakayama-sekkei.jp</t>
    <phoneticPr fontId="4"/>
  </si>
  <si>
    <t>寺嶌 遥</t>
    <phoneticPr fontId="4"/>
  </si>
  <si>
    <t>011-299-3380</t>
    <phoneticPr fontId="4"/>
  </si>
  <si>
    <t>tkb_ko@diary.ocn.ne.jp</t>
    <phoneticPr fontId="4"/>
  </si>
  <si>
    <t>劉 金鵬(リュウ　キンホウ)</t>
    <phoneticPr fontId="4"/>
  </si>
  <si>
    <t>千葉県船橋市山野町47番1 横河ウエストビル</t>
    <phoneticPr fontId="4"/>
  </si>
  <si>
    <t>047-410-3221</t>
    <phoneticPr fontId="4"/>
  </si>
  <si>
    <t>k.ryu@yokogawa-yess.co.jp</t>
    <phoneticPr fontId="4"/>
  </si>
  <si>
    <t>丸三食品株式会社</t>
    <phoneticPr fontId="4"/>
  </si>
  <si>
    <t>伊藤 慎吾</t>
    <phoneticPr fontId="4"/>
  </si>
  <si>
    <t>019-658-9806</t>
    <phoneticPr fontId="4"/>
  </si>
  <si>
    <t>岩手県盛岡市本宮五丁目5番5号</t>
    <phoneticPr fontId="4"/>
  </si>
  <si>
    <t>s-ito@takaya-net.co.jp</t>
    <phoneticPr fontId="4"/>
  </si>
  <si>
    <t>ドラッグコスモス西浜</t>
    <phoneticPr fontId="4"/>
  </si>
  <si>
    <t>名古 功</t>
    <phoneticPr fontId="4"/>
  </si>
  <si>
    <t>073-424-2839</t>
    <phoneticPr fontId="4"/>
  </si>
  <si>
    <t>cfafs309@jtw.zaq.ne.jp</t>
    <phoneticPr fontId="4"/>
  </si>
  <si>
    <t>島津 京示</t>
    <phoneticPr fontId="4"/>
  </si>
  <si>
    <t>073-471-8300</t>
    <phoneticPr fontId="4"/>
  </si>
  <si>
    <t>nnshs253_1007@yahoo.co.jp</t>
    <phoneticPr fontId="4"/>
  </si>
  <si>
    <t>橋本</t>
    <phoneticPr fontId="4"/>
  </si>
  <si>
    <t>sanwahashimoto@song.ocn.ne.jp</t>
    <phoneticPr fontId="4"/>
  </si>
  <si>
    <t>0176-21-2012</t>
    <phoneticPr fontId="4"/>
  </si>
  <si>
    <t>須田 達也</t>
    <phoneticPr fontId="4"/>
  </si>
  <si>
    <t>0297-22-2871</t>
    <phoneticPr fontId="4"/>
  </si>
  <si>
    <t>suda@someya.co.jp</t>
    <phoneticPr fontId="4"/>
  </si>
  <si>
    <t>国部 忠輝</t>
    <phoneticPr fontId="4"/>
  </si>
  <si>
    <t>076-252-4310</t>
    <phoneticPr fontId="4"/>
  </si>
  <si>
    <t>kuni@mt-plan.com</t>
    <phoneticPr fontId="4"/>
  </si>
  <si>
    <t>吉村 重紀</t>
    <phoneticPr fontId="4"/>
  </si>
  <si>
    <t>076-245-1134</t>
    <phoneticPr fontId="4"/>
  </si>
  <si>
    <t>yosimura@tiara.ocn.ne.jp</t>
    <phoneticPr fontId="4"/>
  </si>
  <si>
    <t>大平</t>
    <phoneticPr fontId="4"/>
  </si>
  <si>
    <t>045-201-3501</t>
    <phoneticPr fontId="4"/>
  </si>
  <si>
    <t>ohira@y-matsumoto.co.jp</t>
    <phoneticPr fontId="4"/>
  </si>
  <si>
    <t>大森</t>
    <phoneticPr fontId="4"/>
  </si>
  <si>
    <t>埼玉県越谷市南越谷4-11-1 南越谷株竹ビル3F</t>
    <phoneticPr fontId="4"/>
  </si>
  <si>
    <t>ap-n@ap-n.co.jp</t>
    <phoneticPr fontId="4"/>
  </si>
  <si>
    <t>高橋</t>
    <phoneticPr fontId="4"/>
  </si>
  <si>
    <t>安田</t>
    <phoneticPr fontId="4"/>
  </si>
  <si>
    <t>福島県郡山市八山田３丁目１１５番地</t>
    <phoneticPr fontId="4"/>
  </si>
  <si>
    <t>024-939-8015</t>
    <phoneticPr fontId="4"/>
  </si>
  <si>
    <t>ssm@basil.ocn.ne.jp</t>
    <phoneticPr fontId="4"/>
  </si>
  <si>
    <t>宮城 諭</t>
    <phoneticPr fontId="4"/>
  </si>
  <si>
    <t>098-894-6181</t>
    <phoneticPr fontId="4"/>
  </si>
  <si>
    <t>沖縄県那覇市旭町112番地1</t>
    <phoneticPr fontId="4"/>
  </si>
  <si>
    <t>sa-miyagi.310472@kanehide.co.jp</t>
    <phoneticPr fontId="4"/>
  </si>
  <si>
    <t>東松、木下</t>
    <phoneticPr fontId="4"/>
  </si>
  <si>
    <t>zoiz_kozo@wave.plala.or.jp</t>
    <phoneticPr fontId="4"/>
  </si>
  <si>
    <t>長谷川</t>
    <phoneticPr fontId="4"/>
  </si>
  <si>
    <t>hasegawa@olive-sekkei.com</t>
    <phoneticPr fontId="4"/>
  </si>
  <si>
    <t>高橋 功</t>
    <phoneticPr fontId="4"/>
  </si>
  <si>
    <t>022-377-8682</t>
    <phoneticPr fontId="4"/>
  </si>
  <si>
    <t>archkozo@xmail.plala.or.jp</t>
    <phoneticPr fontId="4"/>
  </si>
  <si>
    <t>水村、田中</t>
    <phoneticPr fontId="4"/>
  </si>
  <si>
    <t>goh-mizumura@nifty.com</t>
    <phoneticPr fontId="4"/>
  </si>
  <si>
    <t>ネッツトヨタ東都 株式会社 水元</t>
    <phoneticPr fontId="4"/>
  </si>
  <si>
    <t>m-abe@ast-atelier.biz</t>
    <phoneticPr fontId="4"/>
  </si>
  <si>
    <t>株式会社 かねせん 新社屋</t>
    <phoneticPr fontId="4"/>
  </si>
  <si>
    <t>V・drug蘇原</t>
    <phoneticPr fontId="4"/>
  </si>
  <si>
    <t>足立 英二</t>
    <phoneticPr fontId="4"/>
  </si>
  <si>
    <t>054-376-5027</t>
    <phoneticPr fontId="4"/>
  </si>
  <si>
    <t>静岡県静岡市清水区入船町1-10</t>
    <phoneticPr fontId="4"/>
  </si>
  <si>
    <t>eiji_adachi@hirate.com</t>
    <phoneticPr fontId="4"/>
  </si>
  <si>
    <t>m-abe@sanyosekkei.co.jp</t>
    <phoneticPr fontId="4"/>
  </si>
  <si>
    <t>回答(案)</t>
    <rPh sb="0" eb="2">
      <t>カイトウ</t>
    </rPh>
    <rPh sb="3" eb="4">
      <t>アン</t>
    </rPh>
    <phoneticPr fontId="4"/>
  </si>
  <si>
    <t>湯浅</t>
    <phoneticPr fontId="4"/>
  </si>
  <si>
    <t>福祉協同サービス移転</t>
    <phoneticPr fontId="4"/>
  </si>
  <si>
    <t>能登 俊之</t>
    <phoneticPr fontId="4"/>
  </si>
  <si>
    <t>東京都文京区本郷3-19-4 本郷大関ビル2F</t>
    <phoneticPr fontId="4"/>
  </si>
  <si>
    <t>03-6240-0878</t>
    <phoneticPr fontId="4"/>
  </si>
  <si>
    <t>noto@shinchuosekkei.co.jp</t>
    <phoneticPr fontId="4"/>
  </si>
  <si>
    <t>XLZ00047@nifty.ne.jp</t>
    <phoneticPr fontId="4"/>
  </si>
  <si>
    <t>東京都北区王子1-28-8・601</t>
    <phoneticPr fontId="4"/>
  </si>
  <si>
    <t>03-3919-1991</t>
    <phoneticPr fontId="4"/>
  </si>
  <si>
    <t>菊池 隆史</t>
    <phoneticPr fontId="4"/>
  </si>
  <si>
    <t>沖縄県浦添市牧港1丁目32番16号</t>
    <phoneticPr fontId="4"/>
  </si>
  <si>
    <t>098-943-5789</t>
    <phoneticPr fontId="4"/>
  </si>
  <si>
    <t>t-kikuchi@dai-yu.jp</t>
    <phoneticPr fontId="4"/>
  </si>
  <si>
    <t>KAPAS広島支店</t>
    <phoneticPr fontId="4"/>
  </si>
  <si>
    <t>常信</t>
    <phoneticPr fontId="4"/>
  </si>
  <si>
    <t>082-881-4025</t>
    <phoneticPr fontId="4"/>
  </si>
  <si>
    <t>tsune@cap-d.net</t>
    <phoneticPr fontId="4"/>
  </si>
  <si>
    <t>トラストシステム</t>
    <phoneticPr fontId="4"/>
  </si>
  <si>
    <t>011-611-2161</t>
    <phoneticPr fontId="4"/>
  </si>
  <si>
    <t>suzuki@arasiki.com</t>
    <phoneticPr fontId="4"/>
  </si>
  <si>
    <t>今 治宣</t>
    <phoneticPr fontId="4"/>
  </si>
  <si>
    <t>011-773-8474</t>
    <phoneticPr fontId="4"/>
  </si>
  <si>
    <t>kse-kon@syd.odn.ne.jp</t>
    <phoneticPr fontId="4"/>
  </si>
  <si>
    <t>中村 由美子</t>
    <phoneticPr fontId="4"/>
  </si>
  <si>
    <t>東京都品川区東五反田5-10-8 大建設計東京ビル</t>
    <phoneticPr fontId="4"/>
  </si>
  <si>
    <t>03-5424-8608</t>
    <phoneticPr fontId="4"/>
  </si>
  <si>
    <t>y.nakamura_954@daiken-sekkei.co.jp</t>
    <phoneticPr fontId="4"/>
  </si>
  <si>
    <t>丸山 竜平</t>
    <phoneticPr fontId="4"/>
  </si>
  <si>
    <t>011-205-0071</t>
    <phoneticPr fontId="4"/>
  </si>
  <si>
    <t>r-maruyama@puro1.net</t>
    <phoneticPr fontId="4"/>
  </si>
  <si>
    <t>下風</t>
    <phoneticPr fontId="4"/>
  </si>
  <si>
    <t>windseiki@yahoo.co.jp</t>
    <phoneticPr fontId="4"/>
  </si>
  <si>
    <t>山崎</t>
    <phoneticPr fontId="4"/>
  </si>
  <si>
    <t>台野 賢哉</t>
    <phoneticPr fontId="4"/>
  </si>
  <si>
    <t>011-206-4301</t>
    <phoneticPr fontId="4"/>
  </si>
  <si>
    <t>k-daino@sd-dsb.co.jp</t>
    <phoneticPr fontId="4"/>
  </si>
  <si>
    <t>日幸産業運輸石狩第二配送センター</t>
    <phoneticPr fontId="4"/>
  </si>
  <si>
    <t>畑井 さや子</t>
    <phoneticPr fontId="4"/>
  </si>
  <si>
    <t>03-3492-0286</t>
    <phoneticPr fontId="4"/>
  </si>
  <si>
    <t>sayako.hatai@wakachiku.co.jp</t>
    <phoneticPr fontId="4"/>
  </si>
  <si>
    <t>022-268-8771</t>
    <phoneticPr fontId="4"/>
  </si>
  <si>
    <t>下村</t>
    <rPh sb="0" eb="1">
      <t>シタ</t>
    </rPh>
    <rPh sb="1" eb="2">
      <t>ムラ</t>
    </rPh>
    <phoneticPr fontId="4"/>
  </si>
  <si>
    <t>main@k-planing.co.jp</t>
    <phoneticPr fontId="4"/>
  </si>
  <si>
    <t>新長 了</t>
    <phoneticPr fontId="4"/>
  </si>
  <si>
    <t>076-248-8061</t>
    <phoneticPr fontId="4"/>
  </si>
  <si>
    <t>sasshincho@arrow.ocn.ne.jp</t>
    <phoneticPr fontId="4"/>
  </si>
  <si>
    <t>石川県野々市市菅原町8-19ｻﾝ・ﾃﾞｨｱﾘｰⅢ103</t>
    <phoneticPr fontId="4"/>
  </si>
  <si>
    <t>小笠原</t>
    <rPh sb="0" eb="3">
      <t>オガサワラ</t>
    </rPh>
    <phoneticPr fontId="4"/>
  </si>
  <si>
    <t>ogasawar@hkd-sekkei.jp</t>
    <phoneticPr fontId="4"/>
  </si>
  <si>
    <t>木村 徹</t>
    <phoneticPr fontId="4"/>
  </si>
  <si>
    <t>塩崎 真里那</t>
    <phoneticPr fontId="4"/>
  </si>
  <si>
    <t>石川県金沢市清川町1-7</t>
    <phoneticPr fontId="4"/>
  </si>
  <si>
    <t>076-242-2341</t>
    <phoneticPr fontId="4"/>
  </si>
  <si>
    <t>shiozaki@nakajima-architects.co.jp</t>
    <phoneticPr fontId="4"/>
  </si>
  <si>
    <t>022-374-9792</t>
    <phoneticPr fontId="4"/>
  </si>
  <si>
    <t>江口</t>
    <phoneticPr fontId="4"/>
  </si>
  <si>
    <t>ef.sekkei@gmail.com</t>
    <phoneticPr fontId="4"/>
  </si>
  <si>
    <t>横山 忠志</t>
    <phoneticPr fontId="4"/>
  </si>
  <si>
    <t>03-5534-3719</t>
    <phoneticPr fontId="4"/>
  </si>
  <si>
    <t>東京都江東区新木場１ー７ー２２ 新木場タワー６階</t>
    <phoneticPr fontId="4"/>
  </si>
  <si>
    <t>t_yokoyama@jkenzai.com</t>
    <phoneticPr fontId="4"/>
  </si>
  <si>
    <t>市場</t>
    <phoneticPr fontId="4"/>
  </si>
  <si>
    <t>ichibakozo@jewel.ocn.ne.jp</t>
    <phoneticPr fontId="4"/>
  </si>
  <si>
    <t>022-247-5080</t>
    <phoneticPr fontId="4"/>
  </si>
  <si>
    <t>倉岡紙工新工場</t>
    <phoneticPr fontId="4"/>
  </si>
  <si>
    <t>村端</t>
    <phoneticPr fontId="4"/>
  </si>
  <si>
    <t>m-murahasi@tateyosi.co.jp</t>
    <phoneticPr fontId="4"/>
  </si>
  <si>
    <t>市川 健</t>
    <phoneticPr fontId="4"/>
  </si>
  <si>
    <t>神奈川県川崎市南渡田町1番1号</t>
    <phoneticPr fontId="4"/>
  </si>
  <si>
    <t>044-355-5531</t>
    <phoneticPr fontId="4"/>
  </si>
  <si>
    <t>ichikawa-ken@jfe-cf.co.jp</t>
    <phoneticPr fontId="4"/>
  </si>
  <si>
    <t>本田 匡亘</t>
    <phoneticPr fontId="4"/>
  </si>
  <si>
    <t>06-7670-0771</t>
    <phoneticPr fontId="4"/>
  </si>
  <si>
    <t>honda-msn@sumikin-sysken.co.jp</t>
    <phoneticPr fontId="4"/>
  </si>
  <si>
    <t>川邊 扶美</t>
    <phoneticPr fontId="4"/>
  </si>
  <si>
    <t>052-971-8150</t>
    <phoneticPr fontId="4"/>
  </si>
  <si>
    <t>fumi.kawabe@n-kokudo.co.jp</t>
    <phoneticPr fontId="4"/>
  </si>
  <si>
    <t>植原 康一</t>
    <phoneticPr fontId="4"/>
  </si>
  <si>
    <t>岡山県岡山市北区磨屋町1-6 岡山磨屋町ビル5F</t>
    <phoneticPr fontId="4"/>
  </si>
  <si>
    <t>086-803-6055</t>
    <phoneticPr fontId="4"/>
  </si>
  <si>
    <t>k.uehara@nisseibuild.co.jp</t>
    <phoneticPr fontId="4"/>
  </si>
  <si>
    <t>東京都新宿区新宿1-11-17　第2KSビル3F</t>
    <phoneticPr fontId="4"/>
  </si>
  <si>
    <t>関口 隆太郎</t>
    <phoneticPr fontId="4"/>
  </si>
  <si>
    <t>sekiguchi@estructura.co.jp</t>
    <phoneticPr fontId="4"/>
  </si>
  <si>
    <t>原 規文</t>
    <phoneticPr fontId="4"/>
  </si>
  <si>
    <t>hara214@nifty.com</t>
    <phoneticPr fontId="4"/>
  </si>
  <si>
    <t>011-562-7131</t>
    <phoneticPr fontId="4"/>
  </si>
  <si>
    <t>柏木 宏明</t>
    <phoneticPr fontId="4"/>
  </si>
  <si>
    <t>011-865-1691</t>
    <phoneticPr fontId="4"/>
  </si>
  <si>
    <t>h-kashiwagi@makitasekkei.co.jp</t>
    <phoneticPr fontId="4"/>
  </si>
  <si>
    <t>山中 淳</t>
    <phoneticPr fontId="4"/>
  </si>
  <si>
    <t>073-445-7776</t>
    <phoneticPr fontId="4"/>
  </si>
  <si>
    <t>yamanaka@site-sou.com</t>
    <phoneticPr fontId="4"/>
  </si>
  <si>
    <t>小林 健蔵</t>
    <phoneticPr fontId="4"/>
  </si>
  <si>
    <t>埼玉県吉川市須賀305番地3</t>
    <phoneticPr fontId="4"/>
  </si>
  <si>
    <t>048-982-2632</t>
    <phoneticPr fontId="4"/>
  </si>
  <si>
    <t>info@daiwakougyo.jp</t>
    <phoneticPr fontId="4"/>
  </si>
  <si>
    <t>高田</t>
    <phoneticPr fontId="4"/>
  </si>
  <si>
    <t>kuukankoubou@ams.odn.ne.jp</t>
    <phoneticPr fontId="4"/>
  </si>
  <si>
    <t>杉谷</t>
    <phoneticPr fontId="4"/>
  </si>
  <si>
    <t>issei.kamirisu@gmail.com</t>
    <phoneticPr fontId="4"/>
  </si>
  <si>
    <t>橋本</t>
    <phoneticPr fontId="4"/>
  </si>
  <si>
    <t>hashimoto2033@yahoo.co.jp</t>
    <phoneticPr fontId="4"/>
  </si>
  <si>
    <t>青森県八戸市沼館１丁目7-49 川崎板金工業3階</t>
    <phoneticPr fontId="4"/>
  </si>
  <si>
    <t>0178-41-1835</t>
    <phoneticPr fontId="4"/>
  </si>
  <si>
    <t>東北臨海興業㈱事務所</t>
    <phoneticPr fontId="4"/>
  </si>
  <si>
    <t>薬王堂にかほ象潟</t>
    <phoneticPr fontId="4"/>
  </si>
  <si>
    <t>miuraao@sky.plala.or.jp</t>
    <phoneticPr fontId="4"/>
  </si>
  <si>
    <t>018-893-4126</t>
    <phoneticPr fontId="4"/>
  </si>
  <si>
    <t>018-893-3342</t>
    <phoneticPr fontId="4"/>
  </si>
  <si>
    <t>itsuki-arc@iaa.itkeeper.ne.jp</t>
    <phoneticPr fontId="4"/>
  </si>
  <si>
    <t>皆川</t>
    <phoneticPr fontId="4"/>
  </si>
  <si>
    <t>山下 賢一</t>
    <phoneticPr fontId="4"/>
  </si>
  <si>
    <t>yamashita-uenoyama@air.ocn.ne.jp</t>
    <phoneticPr fontId="4"/>
  </si>
  <si>
    <t>神谷 満</t>
    <phoneticPr fontId="4"/>
  </si>
  <si>
    <t>石川県金沢市金石北３丁目１６－１０</t>
    <phoneticPr fontId="4"/>
  </si>
  <si>
    <t>m.kamiya@nisseibuild.co.jp</t>
    <phoneticPr fontId="4"/>
  </si>
  <si>
    <t>佐々木酒造店 工場及び店舗</t>
    <phoneticPr fontId="4"/>
  </si>
  <si>
    <t>小西 稔</t>
    <phoneticPr fontId="4"/>
  </si>
  <si>
    <t>滋賀県東近江市中野町800-1</t>
    <phoneticPr fontId="4"/>
  </si>
  <si>
    <t>0748-22-1205</t>
    <phoneticPr fontId="4"/>
  </si>
  <si>
    <t>a.o.noda-y@nifty.com</t>
    <phoneticPr fontId="4"/>
  </si>
  <si>
    <t>平塚 政己</t>
    <phoneticPr fontId="4"/>
  </si>
  <si>
    <t>k-eins@e-omi.ne.jp</t>
    <phoneticPr fontId="4"/>
  </si>
  <si>
    <t>滋賀県東近江市高木町155-2</t>
    <phoneticPr fontId="4"/>
  </si>
  <si>
    <t>050-5801-6191</t>
    <phoneticPr fontId="4"/>
  </si>
  <si>
    <t>金城</t>
    <phoneticPr fontId="4"/>
  </si>
  <si>
    <t>asl-05@kozo-k.co.jp</t>
    <phoneticPr fontId="4"/>
  </si>
  <si>
    <t>098-855-5027</t>
    <phoneticPr fontId="4"/>
  </si>
  <si>
    <t>里 侑典</t>
    <phoneticPr fontId="4"/>
  </si>
  <si>
    <t>東京都港区港南1丁目8番15号　Wビル4階</t>
    <phoneticPr fontId="4"/>
  </si>
  <si>
    <t>yuusuke_sato@tobishima.co.jp</t>
    <phoneticPr fontId="4"/>
  </si>
  <si>
    <t>03-6455-8349</t>
    <phoneticPr fontId="4"/>
  </si>
  <si>
    <t>塚澤</t>
    <phoneticPr fontId="4"/>
  </si>
  <si>
    <t>tukazawa@higashino-const.co.jp</t>
    <phoneticPr fontId="4"/>
  </si>
  <si>
    <t>吉野 匠</t>
    <phoneticPr fontId="4"/>
  </si>
  <si>
    <t>yoshino@bandai-s.co.jp</t>
    <phoneticPr fontId="4"/>
  </si>
  <si>
    <t>0258-27-1955</t>
    <phoneticPr fontId="4"/>
  </si>
  <si>
    <t>やまみ富士山麓工場</t>
    <phoneticPr fontId="4"/>
  </si>
  <si>
    <t>井澤</t>
    <phoneticPr fontId="4"/>
  </si>
  <si>
    <t>kajiwara@sky.tnc.ne.jp</t>
    <phoneticPr fontId="4"/>
  </si>
  <si>
    <t>藤原 武志</t>
    <phoneticPr fontId="4"/>
  </si>
  <si>
    <t>0438-62-6404</t>
    <phoneticPr fontId="4"/>
  </si>
  <si>
    <t>ta.fujihara@yokogawa-yess.co.jp</t>
    <phoneticPr fontId="4"/>
  </si>
  <si>
    <t>千葉県袖ヶ浦市南袖11番</t>
    <phoneticPr fontId="4"/>
  </si>
  <si>
    <t>矢内 一行</t>
    <phoneticPr fontId="4"/>
  </si>
  <si>
    <t>yanai@mt-plan.com</t>
    <phoneticPr fontId="4"/>
  </si>
  <si>
    <t>石山</t>
    <phoneticPr fontId="4"/>
  </si>
  <si>
    <t>t-ishiyama@nagaisekkei.co.jp</t>
    <phoneticPr fontId="4"/>
  </si>
  <si>
    <t>t-ishiyama@nagaisekkei.co.jp</t>
    <phoneticPr fontId="4"/>
  </si>
  <si>
    <t>芥 浩之</t>
    <phoneticPr fontId="4"/>
  </si>
  <si>
    <t>03-5418-5901</t>
    <phoneticPr fontId="4"/>
  </si>
  <si>
    <t>東京都港区芝3-4-12　SVHDビル５F</t>
    <phoneticPr fontId="4"/>
  </si>
  <si>
    <t>h.akuta@nisseibuild.co.jp</t>
    <phoneticPr fontId="4"/>
  </si>
  <si>
    <t>窪田、樋崎</t>
    <rPh sb="0" eb="2">
      <t>クボタ</t>
    </rPh>
    <rPh sb="3" eb="4">
      <t>トイ</t>
    </rPh>
    <rPh sb="4" eb="5">
      <t>サキ</t>
    </rPh>
    <phoneticPr fontId="4"/>
  </si>
  <si>
    <t>山口県岩国市今津町1-8-24</t>
    <phoneticPr fontId="4"/>
  </si>
  <si>
    <t>0827-22-0092</t>
    <phoneticPr fontId="4"/>
  </si>
  <si>
    <t>info@katsufumikubota.jp</t>
    <phoneticPr fontId="4"/>
  </si>
  <si>
    <t>kazukozo@sky.plala.or.jp</t>
    <phoneticPr fontId="4"/>
  </si>
  <si>
    <t>長嶺 力</t>
    <phoneticPr fontId="4"/>
  </si>
  <si>
    <t>福島県会津若松市鶴賀町2-10</t>
    <phoneticPr fontId="4"/>
  </si>
  <si>
    <t>0242-32-3939</t>
    <phoneticPr fontId="4"/>
  </si>
  <si>
    <t>t-miuchi@ar1965.co.jp</t>
    <phoneticPr fontId="4"/>
  </si>
  <si>
    <t>三内</t>
    <phoneticPr fontId="4"/>
  </si>
  <si>
    <t>市来</t>
    <phoneticPr fontId="4"/>
  </si>
  <si>
    <t>03-3816-6624</t>
    <phoneticPr fontId="4"/>
  </si>
  <si>
    <t>i.ichiki@arkstation.co.jp</t>
    <phoneticPr fontId="4"/>
  </si>
  <si>
    <t>ツルハドラッグ韮崎龍岡</t>
    <phoneticPr fontId="4"/>
  </si>
  <si>
    <t>林 順司</t>
    <phoneticPr fontId="4"/>
  </si>
  <si>
    <t>東京都港区赤坂２－９－４ 新光ビル２階</t>
    <phoneticPr fontId="4"/>
  </si>
  <si>
    <t>正尾 英三</t>
    <phoneticPr fontId="4"/>
  </si>
  <si>
    <t>06-7164-8749</t>
    <phoneticPr fontId="4"/>
  </si>
  <si>
    <t>aah27780@pop06.odn.ne.jp</t>
    <phoneticPr fontId="4"/>
  </si>
  <si>
    <t>栃尾 実</t>
    <phoneticPr fontId="4"/>
  </si>
  <si>
    <t>06-6763-8580</t>
    <phoneticPr fontId="4"/>
  </si>
  <si>
    <t>tochio@sea.plala.or.jp</t>
    <phoneticPr fontId="4"/>
  </si>
  <si>
    <t>永田 芳博</t>
    <phoneticPr fontId="4"/>
  </si>
  <si>
    <t>kozo.nagata@nifty.com</t>
    <phoneticPr fontId="4"/>
  </si>
  <si>
    <t>0545-71-9663</t>
    <phoneticPr fontId="4"/>
  </si>
  <si>
    <t>細山 典雄</t>
    <phoneticPr fontId="4"/>
  </si>
  <si>
    <t>東京都葛飾区西水元5丁目6-17-401</t>
    <phoneticPr fontId="4"/>
  </si>
  <si>
    <t>03-6231-3407</t>
    <phoneticPr fontId="4"/>
  </si>
  <si>
    <t>hosoyamanorio@actyhouse.com</t>
    <phoneticPr fontId="4"/>
  </si>
  <si>
    <t>石山 潤</t>
    <phoneticPr fontId="4"/>
  </si>
  <si>
    <t>048-796-5611</t>
    <phoneticPr fontId="4"/>
  </si>
  <si>
    <t>ishiyama@ar2-design.com</t>
    <phoneticPr fontId="4"/>
  </si>
  <si>
    <t>025-247-8421</t>
    <phoneticPr fontId="4"/>
  </si>
  <si>
    <t>森田 義之</t>
    <rPh sb="0" eb="2">
      <t>モリタ</t>
    </rPh>
    <rPh sb="3" eb="5">
      <t>ヨシユキ</t>
    </rPh>
    <phoneticPr fontId="4"/>
  </si>
  <si>
    <t>丸山 恵太</t>
    <phoneticPr fontId="4"/>
  </si>
  <si>
    <t>0266-22-4311</t>
    <phoneticPr fontId="4"/>
  </si>
  <si>
    <t>長野県岡谷市大栄町1-10-10</t>
    <phoneticPr fontId="4"/>
  </si>
  <si>
    <t>k.maruyama@suwasogo.co.jp</t>
    <phoneticPr fontId="4"/>
  </si>
  <si>
    <t>椿</t>
    <phoneticPr fontId="4"/>
  </si>
  <si>
    <t>k-tubaki@fg8.so-net.ne.jp</t>
    <phoneticPr fontId="4"/>
  </si>
  <si>
    <t>東京都中野区本町4-43-11 鍋横ビル508号</t>
    <phoneticPr fontId="4"/>
  </si>
  <si>
    <t>03-5385-7878</t>
    <phoneticPr fontId="4"/>
  </si>
  <si>
    <t>野口</t>
    <phoneticPr fontId="4"/>
  </si>
  <si>
    <t>msp@juno.dti.ne.jp</t>
    <phoneticPr fontId="4"/>
  </si>
  <si>
    <t>奈良</t>
    <phoneticPr fontId="4"/>
  </si>
  <si>
    <t>archi_2005@vanilla.ocn.ne.jp</t>
    <phoneticPr fontId="4"/>
  </si>
  <si>
    <t>布施 慶彦</t>
    <phoneticPr fontId="4"/>
  </si>
  <si>
    <t>03-6206-2513</t>
    <phoneticPr fontId="4"/>
  </si>
  <si>
    <t>東京都中央区日本橋小伝馬町7-10 ウィンド小伝馬町Ⅱ ５階</t>
    <phoneticPr fontId="4"/>
  </si>
  <si>
    <t>fuse@creativestudio.co.jp</t>
    <phoneticPr fontId="4"/>
  </si>
  <si>
    <t>加藤 哲夫</t>
    <phoneticPr fontId="4"/>
  </si>
  <si>
    <t>048-776-4616</t>
    <phoneticPr fontId="4"/>
  </si>
  <si>
    <t>upkato@ybb.ne.jp</t>
    <phoneticPr fontId="4"/>
  </si>
  <si>
    <t>複合観光施設</t>
    <phoneticPr fontId="4"/>
  </si>
  <si>
    <t>阿部</t>
    <phoneticPr fontId="4"/>
  </si>
  <si>
    <t>t-abe@basil.ocn.ne.jp</t>
    <phoneticPr fontId="4"/>
  </si>
  <si>
    <t>深澤 拓真</t>
    <phoneticPr fontId="4"/>
  </si>
  <si>
    <t>082-248-4103</t>
    <phoneticPr fontId="4"/>
  </si>
  <si>
    <t>kanaikozo@orion.ocn.ne.jp</t>
    <phoneticPr fontId="4"/>
  </si>
  <si>
    <t>村上 淳</t>
    <phoneticPr fontId="4"/>
  </si>
  <si>
    <t>082-504-5055</t>
    <phoneticPr fontId="4"/>
  </si>
  <si>
    <t>murakami-jyun@masuoka-g.co.jp</t>
    <phoneticPr fontId="4"/>
  </si>
  <si>
    <t>齋藤</t>
    <phoneticPr fontId="4"/>
  </si>
  <si>
    <t>abe-kobo@sea.plala.or.jp</t>
    <phoneticPr fontId="4"/>
  </si>
  <si>
    <t>北風 定則</t>
    <phoneticPr fontId="4"/>
  </si>
  <si>
    <t>06-7220-4207</t>
    <phoneticPr fontId="4"/>
  </si>
  <si>
    <t>kitakaze_sdn@rinku.zaq.ne.jp</t>
    <phoneticPr fontId="4"/>
  </si>
  <si>
    <t>竹之内 進</t>
    <phoneticPr fontId="4"/>
  </si>
  <si>
    <t>take511023@yahoo.co.jp</t>
    <phoneticPr fontId="4"/>
  </si>
  <si>
    <t>村岡 寿博</t>
    <phoneticPr fontId="4"/>
  </si>
  <si>
    <t>090-1490-9870</t>
    <phoneticPr fontId="4"/>
  </si>
  <si>
    <t>phstniki@yahoo.co.jp</t>
    <phoneticPr fontId="4"/>
  </si>
  <si>
    <t>奥寺 高義</t>
    <phoneticPr fontId="4"/>
  </si>
  <si>
    <t>埼玉県所沢市くすのき台１丁目１１番地の2</t>
    <phoneticPr fontId="4"/>
  </si>
  <si>
    <t>04-2926-3400</t>
    <phoneticPr fontId="4"/>
  </si>
  <si>
    <t>t-okudera@seibu-const.co.jp</t>
    <phoneticPr fontId="4"/>
  </si>
  <si>
    <t>小坂 美和</t>
    <phoneticPr fontId="4"/>
  </si>
  <si>
    <t>m-kosaka@seibu-const.co.jp</t>
    <phoneticPr fontId="4"/>
  </si>
  <si>
    <t>天野 大輔</t>
    <phoneticPr fontId="4"/>
  </si>
  <si>
    <t>082-533-7262</t>
    <phoneticPr fontId="4"/>
  </si>
  <si>
    <t>amano@nea-hiroshima.co.jp</t>
    <phoneticPr fontId="4"/>
  </si>
  <si>
    <t>ckss-tgc@celery.ocn.ne.jp</t>
    <phoneticPr fontId="4"/>
  </si>
  <si>
    <t>石井 康雄</t>
    <phoneticPr fontId="4"/>
  </si>
  <si>
    <t>Compass-ao@msj.biglobe.ne.jp</t>
    <phoneticPr fontId="4"/>
  </si>
  <si>
    <t>06-6539-5397</t>
    <phoneticPr fontId="4"/>
  </si>
  <si>
    <t>三野</t>
    <phoneticPr fontId="4"/>
  </si>
  <si>
    <t>06-6793-1688</t>
    <phoneticPr fontId="4"/>
  </si>
  <si>
    <t>sekkei@asahikensou.co.jp</t>
    <phoneticPr fontId="4"/>
  </si>
  <si>
    <t>笹原 一馬</t>
    <phoneticPr fontId="4"/>
  </si>
  <si>
    <t>三重県津市押加部町12-20</t>
    <phoneticPr fontId="4"/>
  </si>
  <si>
    <t>059-226-0139</t>
    <phoneticPr fontId="4"/>
  </si>
  <si>
    <t>sasahara@e-chubu.co.jp</t>
    <phoneticPr fontId="4"/>
  </si>
  <si>
    <t>太田垣</t>
    <phoneticPr fontId="4"/>
  </si>
  <si>
    <t>info@style-unit.jp</t>
    <phoneticPr fontId="4"/>
  </si>
  <si>
    <t>岩本</t>
    <phoneticPr fontId="4"/>
  </si>
  <si>
    <t>竹内 勝彦</t>
    <phoneticPr fontId="4"/>
  </si>
  <si>
    <t>青森県上北郡七戸町字笊田川久保9</t>
    <phoneticPr fontId="4"/>
  </si>
  <si>
    <t>0176-62-5177</t>
    <phoneticPr fontId="4"/>
  </si>
  <si>
    <t>ktakeuti@air.ocn.ne.jp</t>
    <phoneticPr fontId="4"/>
  </si>
  <si>
    <t>鴨沢塗料㈱販売取扱所</t>
    <phoneticPr fontId="4"/>
  </si>
  <si>
    <t>加藤 一也</t>
    <phoneticPr fontId="4"/>
  </si>
  <si>
    <t>青森県五所川原市字鎌谷町91-20</t>
    <phoneticPr fontId="4"/>
  </si>
  <si>
    <t>seiwaarc@cap.ocn.ne.jp</t>
    <phoneticPr fontId="4"/>
  </si>
  <si>
    <t>峪田</t>
    <phoneticPr fontId="4"/>
  </si>
  <si>
    <t>06-6768-3014</t>
    <phoneticPr fontId="4"/>
  </si>
  <si>
    <t>inoue-aa@pop06.odn.ne.jp</t>
    <phoneticPr fontId="4"/>
  </si>
  <si>
    <t>佐藤</t>
    <phoneticPr fontId="4"/>
  </si>
  <si>
    <t>m_satoh@aisawa.co.jp</t>
    <phoneticPr fontId="4"/>
  </si>
  <si>
    <t>大泉 修</t>
    <phoneticPr fontId="4"/>
  </si>
  <si>
    <t>東京都中央区京橋二丁目16-1</t>
    <phoneticPr fontId="4"/>
  </si>
  <si>
    <t>03-3561-2137</t>
    <phoneticPr fontId="4"/>
  </si>
  <si>
    <t>shu.ohizumi@shimz.co.jp</t>
    <phoneticPr fontId="4"/>
  </si>
  <si>
    <t>小林 陽子</t>
    <phoneticPr fontId="4"/>
  </si>
  <si>
    <t>082-298-1241</t>
    <phoneticPr fontId="4"/>
  </si>
  <si>
    <t>kobayashi@qualia-sekkei.jp</t>
    <phoneticPr fontId="4"/>
  </si>
  <si>
    <t>久保 譲</t>
    <phoneticPr fontId="4"/>
  </si>
  <si>
    <t>042-721-6559</t>
    <phoneticPr fontId="4"/>
  </si>
  <si>
    <t>beru-kou@pop06.odn.ne.jp</t>
    <phoneticPr fontId="4"/>
  </si>
  <si>
    <t>山田</t>
    <phoneticPr fontId="4"/>
  </si>
  <si>
    <t>011-221-4971</t>
    <phoneticPr fontId="4"/>
  </si>
  <si>
    <t>skozo@crocus.ocn.ne.jp</t>
    <phoneticPr fontId="4"/>
  </si>
  <si>
    <t>篠原 建太郎</t>
    <phoneticPr fontId="4"/>
  </si>
  <si>
    <t>千葉県袖ヶ浦市南袖11番</t>
    <phoneticPr fontId="4"/>
  </si>
  <si>
    <t>0438-62-6404</t>
    <phoneticPr fontId="4"/>
  </si>
  <si>
    <t>k.shinohara@yokogawa-yess.co.jp</t>
    <phoneticPr fontId="4"/>
  </si>
  <si>
    <t>片井</t>
    <phoneticPr fontId="4"/>
  </si>
  <si>
    <t>katai@nihonkensetsu.co.jp</t>
    <phoneticPr fontId="4"/>
  </si>
  <si>
    <t>渋谷 和正</t>
    <phoneticPr fontId="4"/>
  </si>
  <si>
    <t>広島県福山市霞町4-7-12-2</t>
    <phoneticPr fontId="4"/>
  </si>
  <si>
    <t>084-926-3438</t>
    <phoneticPr fontId="4"/>
  </si>
  <si>
    <t>k-shibuya@428s.jp</t>
    <phoneticPr fontId="4"/>
  </si>
  <si>
    <t>md3011@sage.ocn.ne.jp</t>
    <phoneticPr fontId="4"/>
  </si>
  <si>
    <t>土居 正輝</t>
    <phoneticPr fontId="4"/>
  </si>
  <si>
    <t>広島県福山市三吉町1-9-16</t>
    <phoneticPr fontId="4"/>
  </si>
  <si>
    <t>084-991-1760</t>
    <phoneticPr fontId="4"/>
  </si>
  <si>
    <t>小波津 和也</t>
    <phoneticPr fontId="4"/>
  </si>
  <si>
    <t>098-836-2862</t>
    <phoneticPr fontId="4"/>
  </si>
  <si>
    <t>沖縄県那覇市長田2-22-1　ミヤシン22</t>
    <phoneticPr fontId="4"/>
  </si>
  <si>
    <t>k2sekkei@kib.biglobe.ne.jp</t>
    <phoneticPr fontId="4"/>
  </si>
  <si>
    <t>古谷 守</t>
    <phoneticPr fontId="4"/>
  </si>
  <si>
    <t>滋賀県甲賀市水口町北脇１９１</t>
    <phoneticPr fontId="4"/>
  </si>
  <si>
    <t>0748-63-1333</t>
    <phoneticPr fontId="4"/>
  </si>
  <si>
    <t>m-furutani@okudakoumuten.jp</t>
    <phoneticPr fontId="4"/>
  </si>
  <si>
    <t>山形県鶴岡市山王町4-30</t>
    <phoneticPr fontId="4"/>
  </si>
  <si>
    <t>0235-25-5033</t>
    <phoneticPr fontId="4"/>
  </si>
  <si>
    <t>oku-t1@sea.plala.or.jp</t>
    <phoneticPr fontId="4"/>
  </si>
  <si>
    <t>蟻塚 学</t>
    <phoneticPr fontId="4"/>
  </si>
  <si>
    <t>manabuaritsuka@yahoo.co.jp</t>
    <phoneticPr fontId="4"/>
  </si>
  <si>
    <t>0172-88-5620</t>
    <phoneticPr fontId="4"/>
  </si>
  <si>
    <t>大原</t>
    <phoneticPr fontId="4"/>
  </si>
  <si>
    <t>kazuyuki.ohara@bsi-2010.co.jp</t>
    <phoneticPr fontId="4"/>
  </si>
  <si>
    <t>東京都品川区上大崎4-5-37 山京目黒ビル312</t>
    <phoneticPr fontId="4"/>
  </si>
  <si>
    <t>03-6417-4441</t>
    <phoneticPr fontId="4"/>
  </si>
  <si>
    <t>前川 隆裕</t>
    <phoneticPr fontId="4"/>
  </si>
  <si>
    <t>東京都千代田区外神田3-5-12　聖公会神田ビル</t>
    <phoneticPr fontId="4"/>
  </si>
  <si>
    <t>maekawa.takahiro@ito-aei.co.jp</t>
    <phoneticPr fontId="4"/>
  </si>
  <si>
    <t>03-5294-6211</t>
    <phoneticPr fontId="4"/>
  </si>
  <si>
    <t>皆川</t>
    <phoneticPr fontId="4"/>
  </si>
  <si>
    <t>018-893-3342</t>
    <phoneticPr fontId="4"/>
  </si>
  <si>
    <t>itsuki-arc@iaa.itkeeper.ne.jp</t>
    <phoneticPr fontId="4"/>
  </si>
  <si>
    <t>野村 毅</t>
    <phoneticPr fontId="4"/>
  </si>
  <si>
    <t>06-6229-5151</t>
    <phoneticPr fontId="4"/>
  </si>
  <si>
    <t>t_nomura@nosekenchiku.co.jp</t>
    <phoneticPr fontId="4"/>
  </si>
  <si>
    <t>安達 一郎</t>
    <phoneticPr fontId="4"/>
  </si>
  <si>
    <t>0859-32-6161</t>
    <phoneticPr fontId="4"/>
  </si>
  <si>
    <t>i.adachi@tairasekkei.com</t>
    <phoneticPr fontId="4"/>
  </si>
  <si>
    <t>飛澤 則男</t>
    <phoneticPr fontId="4"/>
  </si>
  <si>
    <t>019-654-2214</t>
    <phoneticPr fontId="4"/>
  </si>
  <si>
    <t>tobisawa.struct@rose.plala.or.jp</t>
    <phoneticPr fontId="4"/>
  </si>
  <si>
    <t>竹下 大地</t>
    <phoneticPr fontId="4"/>
  </si>
  <si>
    <t>0283-62-3165</t>
    <phoneticPr fontId="4"/>
  </si>
  <si>
    <t>栃木県佐野市田沼町1805-9</t>
    <phoneticPr fontId="4"/>
  </si>
  <si>
    <t>cxm02457@nifty.com</t>
    <phoneticPr fontId="4"/>
  </si>
  <si>
    <t>柳澤 哲也</t>
    <phoneticPr fontId="4"/>
  </si>
  <si>
    <t>03-5214-2303</t>
    <phoneticPr fontId="4"/>
  </si>
  <si>
    <t>t-yanagisawa@daiwalease.jp</t>
    <phoneticPr fontId="4"/>
  </si>
  <si>
    <t>佐々木 誠治</t>
    <phoneticPr fontId="4"/>
  </si>
  <si>
    <t>017-741-5084</t>
    <phoneticPr fontId="4"/>
  </si>
  <si>
    <t>s-sasaki@taira-yamaguchi.co.jp</t>
    <phoneticPr fontId="4"/>
  </si>
  <si>
    <t>近藤 富美夫</t>
    <phoneticPr fontId="4"/>
  </si>
  <si>
    <t>0859-32-3745</t>
    <phoneticPr fontId="4"/>
  </si>
  <si>
    <t>kuwamoto@sanmedia.or.jp</t>
    <phoneticPr fontId="4"/>
  </si>
  <si>
    <t>鳥取県米子市道笑町2丁目126番地</t>
    <phoneticPr fontId="4"/>
  </si>
  <si>
    <t>河野 美晴</t>
    <phoneticPr fontId="4"/>
  </si>
  <si>
    <t>安藤 祐太郎</t>
    <phoneticPr fontId="4"/>
  </si>
  <si>
    <t>新潟県柏崎市新橋2番8号</t>
    <phoneticPr fontId="4"/>
  </si>
  <si>
    <t>0257-23-3265</t>
    <phoneticPr fontId="4"/>
  </si>
  <si>
    <t>y-andou@uekigumi.co.jp</t>
    <phoneticPr fontId="4"/>
  </si>
  <si>
    <t>反町 桂一</t>
    <phoneticPr fontId="4"/>
  </si>
  <si>
    <t>sorimach-kii@sumikin-sysken.co.jp</t>
    <phoneticPr fontId="4"/>
  </si>
  <si>
    <t>03-6860-7361</t>
    <phoneticPr fontId="4"/>
  </si>
  <si>
    <t>田沼 恭章</t>
    <phoneticPr fontId="4"/>
  </si>
  <si>
    <t>info@skysite.co.jp</t>
    <phoneticPr fontId="4"/>
  </si>
  <si>
    <t>011-512-8114</t>
    <phoneticPr fontId="4"/>
  </si>
  <si>
    <t>鈴木 俊範</t>
    <phoneticPr fontId="4"/>
  </si>
  <si>
    <t>090-3774-1775</t>
    <phoneticPr fontId="4"/>
  </si>
  <si>
    <t>suzuki@sakura-kozo.jp</t>
    <phoneticPr fontId="4"/>
  </si>
  <si>
    <t>大崎 晃靖</t>
    <phoneticPr fontId="4"/>
  </si>
  <si>
    <t>奈良県天理市櫟本町2783-41</t>
    <phoneticPr fontId="4"/>
  </si>
  <si>
    <t>0743-65-2340</t>
    <phoneticPr fontId="4"/>
  </si>
  <si>
    <t>maru-so.2500@nifty.com</t>
    <phoneticPr fontId="4"/>
  </si>
  <si>
    <t>06-6441-5331</t>
    <phoneticPr fontId="4"/>
  </si>
  <si>
    <t>takeda@ang.co.jp</t>
    <phoneticPr fontId="4"/>
  </si>
  <si>
    <t>竹田 有里</t>
    <phoneticPr fontId="4"/>
  </si>
  <si>
    <t>折板(太陽光)</t>
    <rPh sb="0" eb="2">
      <t>セッパン</t>
    </rPh>
    <rPh sb="3" eb="6">
      <t>タイヨウコウ</t>
    </rPh>
    <phoneticPr fontId="4"/>
  </si>
  <si>
    <t>takezawa@musalab.co.jp</t>
    <phoneticPr fontId="4"/>
  </si>
  <si>
    <t>竹澤 慎吾</t>
    <phoneticPr fontId="4"/>
  </si>
  <si>
    <t>03-3208-9854</t>
    <phoneticPr fontId="4"/>
  </si>
  <si>
    <t>るいけ温泉</t>
    <phoneticPr fontId="4"/>
  </si>
  <si>
    <t>内山</t>
    <phoneticPr fontId="4"/>
  </si>
  <si>
    <t>017-782-4083</t>
    <phoneticPr fontId="4"/>
  </si>
  <si>
    <t>uchiyama-arc@aria.ocn.ne.jp</t>
    <phoneticPr fontId="4"/>
  </si>
  <si>
    <t>木村</t>
    <phoneticPr fontId="4"/>
  </si>
  <si>
    <t>akiyuki-4154@cream.plala.or.jp</t>
    <phoneticPr fontId="4"/>
  </si>
  <si>
    <t>櫻井 康治</t>
    <phoneticPr fontId="4"/>
  </si>
  <si>
    <t>sakurai@tsuchiya-corp.com</t>
    <phoneticPr fontId="4"/>
  </si>
  <si>
    <t>Honda Cars埼玉中レイクタウン南店店舗棟</t>
    <phoneticPr fontId="4"/>
  </si>
  <si>
    <t>和田</t>
    <phoneticPr fontId="4"/>
  </si>
  <si>
    <t>takao_wada@nifty.com</t>
    <phoneticPr fontId="4"/>
  </si>
  <si>
    <t>044-328-5200</t>
    <phoneticPr fontId="4"/>
  </si>
  <si>
    <t>石井 章規</t>
    <phoneticPr fontId="4"/>
  </si>
  <si>
    <t>03-6801-6685</t>
    <phoneticPr fontId="4"/>
  </si>
  <si>
    <t>東京都文京区本郷4-1-7第二近江屋ビル６階</t>
    <phoneticPr fontId="4"/>
  </si>
  <si>
    <t>akn@audesign.co.jp</t>
    <phoneticPr fontId="4"/>
  </si>
  <si>
    <t>山塙</t>
    <phoneticPr fontId="4"/>
  </si>
  <si>
    <t>022-278-5536</t>
    <phoneticPr fontId="4"/>
  </si>
  <si>
    <t>satokozo@gol.com</t>
    <phoneticPr fontId="4"/>
  </si>
  <si>
    <t>山形県東田川郡庄内町余目字町２１４－２</t>
    <phoneticPr fontId="4"/>
  </si>
  <si>
    <t>佐藤 博幸</t>
    <phoneticPr fontId="4"/>
  </si>
  <si>
    <t>0234-43-2485</t>
    <phoneticPr fontId="4"/>
  </si>
  <si>
    <t>kozo-sato@cpost.plala.or.jp</t>
    <phoneticPr fontId="4"/>
  </si>
  <si>
    <t>阿部 匡</t>
    <phoneticPr fontId="4"/>
  </si>
  <si>
    <t>山形県飽海郡遊佐町藤崎字千代ノ藤5-763</t>
    <phoneticPr fontId="4"/>
  </si>
  <si>
    <t>abe_ks@air.ocn.ne.jp</t>
    <phoneticPr fontId="4"/>
  </si>
  <si>
    <t>0234-43-6269</t>
    <phoneticPr fontId="4"/>
  </si>
  <si>
    <t>江山 桂嗣</t>
    <phoneticPr fontId="4"/>
  </si>
  <si>
    <t>058-371-2230</t>
    <phoneticPr fontId="4"/>
  </si>
  <si>
    <t>岐阜県各務原市那加不動丘１－１７</t>
    <phoneticPr fontId="4"/>
  </si>
  <si>
    <t>k.eyama@daiken-cp.co.jp</t>
    <phoneticPr fontId="4"/>
  </si>
  <si>
    <t>岐阜県関市倉知3210-17</t>
    <phoneticPr fontId="4"/>
  </si>
  <si>
    <t>山田 伸次</t>
    <phoneticPr fontId="4"/>
  </si>
  <si>
    <t>0575-23-2586</t>
    <phoneticPr fontId="4"/>
  </si>
  <si>
    <t>jcb00451@nifty.com</t>
    <phoneticPr fontId="4"/>
  </si>
  <si>
    <t>大久保 吉之</t>
    <phoneticPr fontId="4"/>
  </si>
  <si>
    <t>0166-73-6117</t>
    <phoneticPr fontId="4"/>
  </si>
  <si>
    <t>ohkubo@sanken-design.com</t>
    <phoneticPr fontId="4"/>
  </si>
  <si>
    <t>澤田 慶太</t>
    <phoneticPr fontId="4"/>
  </si>
  <si>
    <t>03-6809-8018</t>
    <phoneticPr fontId="4"/>
  </si>
  <si>
    <t>東京都世田谷区等々力2-33-15 STEPS 406</t>
    <phoneticPr fontId="4"/>
  </si>
  <si>
    <t>sawada@lowfatstructure.com</t>
    <phoneticPr fontId="4"/>
  </si>
  <si>
    <t>上野 伸司</t>
    <phoneticPr fontId="4"/>
  </si>
  <si>
    <t>東京都港区芝浦1-1-1 浜松町ビルディング6階</t>
    <phoneticPr fontId="4"/>
  </si>
  <si>
    <t>03-5931-5631</t>
    <phoneticPr fontId="4"/>
  </si>
  <si>
    <t>kamino-s@ichiken.co.jp</t>
    <phoneticPr fontId="4"/>
  </si>
  <si>
    <t>葛山</t>
    <phoneticPr fontId="4"/>
  </si>
  <si>
    <t>ai_katsuyama@yahoo.co.jp</t>
    <phoneticPr fontId="4"/>
  </si>
  <si>
    <t>石川</t>
    <phoneticPr fontId="4"/>
  </si>
  <si>
    <t>kk.iksk@alpha.ocn.ne.jp</t>
    <phoneticPr fontId="4"/>
  </si>
  <si>
    <t>早野 和智</t>
    <phoneticPr fontId="4"/>
  </si>
  <si>
    <t>尾崎 真哉</t>
    <phoneticPr fontId="4"/>
  </si>
  <si>
    <t>福島県郡山市安積町荒井字北大部5-2-406</t>
    <phoneticPr fontId="4"/>
  </si>
  <si>
    <t>024-953-7343</t>
    <phoneticPr fontId="4"/>
  </si>
  <si>
    <t>ozaki-kozo@mbe.nifty.com</t>
    <phoneticPr fontId="4"/>
  </si>
  <si>
    <t>藤川 幸一</t>
    <phoneticPr fontId="4"/>
  </si>
  <si>
    <t>千葉県袖ヶ浦市南袖11番</t>
    <phoneticPr fontId="4"/>
  </si>
  <si>
    <t>0438-62-6404</t>
    <phoneticPr fontId="4"/>
  </si>
  <si>
    <t>k.fujikawa@yokogawa-yess.co.jp</t>
    <phoneticPr fontId="4"/>
  </si>
  <si>
    <t>本澤 幸一</t>
    <phoneticPr fontId="4"/>
  </si>
  <si>
    <t>honart@etown-net.com</t>
    <phoneticPr fontId="4"/>
  </si>
  <si>
    <t>茨城県行方市玉造甲４１１０番地</t>
    <phoneticPr fontId="4"/>
  </si>
  <si>
    <t>0299-55-3476</t>
    <phoneticPr fontId="4"/>
  </si>
  <si>
    <t>上原</t>
    <phoneticPr fontId="4"/>
  </si>
  <si>
    <t>沖縄県那覇市古波蔵3-5-43</t>
    <phoneticPr fontId="4"/>
  </si>
  <si>
    <t>098-831-9293</t>
    <phoneticPr fontId="4"/>
  </si>
  <si>
    <t>t-uehara@tamaki-house.co.jp</t>
    <phoneticPr fontId="4"/>
  </si>
  <si>
    <t>田畠 隆志</t>
    <phoneticPr fontId="4"/>
  </si>
  <si>
    <t>090-2492-5356</t>
    <phoneticPr fontId="4"/>
  </si>
  <si>
    <t>神奈川県横浜市中区花咲町2-57-701</t>
    <phoneticPr fontId="4"/>
  </si>
  <si>
    <t>tabata@asd-jp.com</t>
    <phoneticPr fontId="4"/>
  </si>
  <si>
    <t>s.mizumoto@chugai-tec.co.jp</t>
    <phoneticPr fontId="4"/>
  </si>
  <si>
    <t>水本 真太郎</t>
    <phoneticPr fontId="4"/>
  </si>
  <si>
    <t>082-295-2343</t>
    <phoneticPr fontId="4"/>
  </si>
  <si>
    <t>三好 行則</t>
    <phoneticPr fontId="4"/>
  </si>
  <si>
    <t>082-223-1655</t>
    <phoneticPr fontId="4"/>
  </si>
  <si>
    <t>ikearc@extra.ocn.ne.jp</t>
    <phoneticPr fontId="4"/>
  </si>
  <si>
    <t>柳川冷凍食品(株)工場</t>
    <phoneticPr fontId="4"/>
  </si>
  <si>
    <t>野口 力</t>
    <phoneticPr fontId="4"/>
  </si>
  <si>
    <t>noguchi@inanaga-archi.com</t>
    <phoneticPr fontId="4"/>
  </si>
  <si>
    <t>092-561-1081</t>
    <phoneticPr fontId="4"/>
  </si>
  <si>
    <t>川合 博之</t>
    <phoneticPr fontId="4"/>
  </si>
  <si>
    <t>kawai-uenoyama@vesta.ocn.ne.jp</t>
    <phoneticPr fontId="4"/>
  </si>
  <si>
    <t>グリーンタウン甲府東ツルハドラッグ甲府向町</t>
    <phoneticPr fontId="4"/>
  </si>
  <si>
    <t>丸山ＨＤ倉庫</t>
    <phoneticPr fontId="4"/>
  </si>
  <si>
    <t>松田 貴仁</t>
    <phoneticPr fontId="4"/>
  </si>
  <si>
    <t>三重県桑名市多度町大鳥居37</t>
    <phoneticPr fontId="4"/>
  </si>
  <si>
    <t>0594-48-2520</t>
    <phoneticPr fontId="4"/>
  </si>
  <si>
    <t>info@maruki-matsuda.com</t>
    <phoneticPr fontId="4"/>
  </si>
  <si>
    <t>中野 修</t>
    <phoneticPr fontId="4"/>
  </si>
  <si>
    <t>0134-32-0213</t>
    <phoneticPr fontId="4"/>
  </si>
  <si>
    <t>forme@lb.moo.jp</t>
    <phoneticPr fontId="4"/>
  </si>
  <si>
    <t>青木</t>
    <phoneticPr fontId="4"/>
  </si>
  <si>
    <t>t.aoki@sankoh-sekkei.co.jp</t>
    <phoneticPr fontId="4"/>
  </si>
  <si>
    <t>東京都千代田区西神田1-3-14 D&amp;Iビル4F</t>
    <phoneticPr fontId="4"/>
  </si>
  <si>
    <t>03-5283-8825</t>
    <phoneticPr fontId="4"/>
  </si>
  <si>
    <t>大船渡発電所／バイオマス発電設備</t>
    <phoneticPr fontId="4"/>
  </si>
  <si>
    <t>佐藤 未紀</t>
    <phoneticPr fontId="4"/>
  </si>
  <si>
    <t>mi.satoh@yokogawa-yess.co.jp</t>
    <phoneticPr fontId="4"/>
  </si>
  <si>
    <t>千葉県船橋市山野町47-1 横河ウエストビル 3F</t>
    <phoneticPr fontId="4"/>
  </si>
  <si>
    <t>047-410-3221</t>
    <phoneticPr fontId="4"/>
  </si>
  <si>
    <t>03-5424-8620</t>
    <phoneticPr fontId="4"/>
  </si>
  <si>
    <t>足立</t>
    <phoneticPr fontId="4"/>
  </si>
  <si>
    <t>adachi@daiken-sekkei.co.jp</t>
    <phoneticPr fontId="4"/>
  </si>
  <si>
    <t>小林</t>
    <phoneticPr fontId="4"/>
  </si>
  <si>
    <t>092-415-5151</t>
    <phoneticPr fontId="4"/>
  </si>
  <si>
    <t>kkentiku@ruby.ocn.ne.jp</t>
    <phoneticPr fontId="4"/>
  </si>
  <si>
    <t>土赤 昌弘</t>
    <phoneticPr fontId="4"/>
  </si>
  <si>
    <t>東京都中央区日本橋堀留町1-9-11 NEWS日本橋堀留町8F</t>
    <phoneticPr fontId="4"/>
  </si>
  <si>
    <t>03-6275-1825</t>
    <phoneticPr fontId="4"/>
  </si>
  <si>
    <t>tsuchiaka@jaarc.co.jp</t>
    <phoneticPr fontId="4"/>
  </si>
  <si>
    <t>徳田 好克</t>
    <rPh sb="3" eb="4">
      <t>ス</t>
    </rPh>
    <phoneticPr fontId="4"/>
  </si>
  <si>
    <t>神奈川県横浜市中区蓬莱町2-4-1 横浜大通り公園ビル 8階</t>
    <phoneticPr fontId="4"/>
  </si>
  <si>
    <t>045-262-8090</t>
    <phoneticPr fontId="4"/>
  </si>
  <si>
    <t>tokuda.yoshikatsu@aisekkei.co.jp</t>
    <phoneticPr fontId="4"/>
  </si>
  <si>
    <t>北村 善昭</t>
    <phoneticPr fontId="4"/>
  </si>
  <si>
    <t>048-883-8145</t>
    <phoneticPr fontId="4"/>
  </si>
  <si>
    <t>y-m-r.kitamura-str@nifty.com</t>
    <phoneticPr fontId="4"/>
  </si>
  <si>
    <t>あすなろ第二保育園</t>
    <phoneticPr fontId="4"/>
  </si>
  <si>
    <t>木村</t>
    <phoneticPr fontId="4"/>
  </si>
  <si>
    <t>鳥取県米子市東町177番地　東町ビル</t>
    <phoneticPr fontId="4"/>
  </si>
  <si>
    <t>○
4m</t>
    <phoneticPr fontId="4"/>
  </si>
  <si>
    <t>埋土</t>
    <rPh sb="0" eb="1">
      <t>ウ</t>
    </rPh>
    <rPh sb="1" eb="2">
      <t>ド</t>
    </rPh>
    <phoneticPr fontId="4"/>
  </si>
  <si>
    <t>砂混じりｼﾙﾄ</t>
    <rPh sb="0" eb="1">
      <t>スナ</t>
    </rPh>
    <rPh sb="1" eb="2">
      <t>マ</t>
    </rPh>
    <phoneticPr fontId="4"/>
  </si>
  <si>
    <t>7m</t>
    <phoneticPr fontId="4"/>
  </si>
  <si>
    <t>3m</t>
    <phoneticPr fontId="4"/>
  </si>
  <si>
    <t>ｼﾙﾄ</t>
    <phoneticPr fontId="4"/>
  </si>
  <si>
    <t>1m</t>
    <phoneticPr fontId="4"/>
  </si>
  <si>
    <t>ｼﾙﾄ(府植物混入)</t>
    <rPh sb="4" eb="5">
      <t>フ</t>
    </rPh>
    <rPh sb="5" eb="7">
      <t>ショクブツ</t>
    </rPh>
    <rPh sb="7" eb="9">
      <t>コンニュウ</t>
    </rPh>
    <phoneticPr fontId="4"/>
  </si>
  <si>
    <t>広島市</t>
    <phoneticPr fontId="4"/>
  </si>
  <si>
    <t>中区光南</t>
    <rPh sb="0" eb="2">
      <t>ナカク</t>
    </rPh>
    <rPh sb="2" eb="3">
      <t>ヒカリ</t>
    </rPh>
    <rPh sb="3" eb="4">
      <t>ミナミ</t>
    </rPh>
    <phoneticPr fontId="4"/>
  </si>
  <si>
    <t>篠崎 太郎</t>
    <phoneticPr fontId="4"/>
  </si>
  <si>
    <t>082-263-6255</t>
    <phoneticPr fontId="4"/>
  </si>
  <si>
    <t>t.shinozaki@nisseibuild.co.jp</t>
    <phoneticPr fontId="4"/>
  </si>
  <si>
    <t>申請</t>
    <rPh sb="0" eb="2">
      <t>シンセイ</t>
    </rPh>
    <phoneticPr fontId="4"/>
  </si>
  <si>
    <t>ウット</t>
    <phoneticPr fontId="4"/>
  </si>
  <si>
    <t>財団法人 熊本建築構造評価センター</t>
    <phoneticPr fontId="4"/>
  </si>
  <si>
    <t>山陽自動車運送</t>
    <phoneticPr fontId="4"/>
  </si>
  <si>
    <t>3</t>
    <phoneticPr fontId="4"/>
  </si>
  <si>
    <t>盛土</t>
    <rPh sb="0" eb="2">
      <t>モリド</t>
    </rPh>
    <phoneticPr fontId="4"/>
  </si>
  <si>
    <t>細砂</t>
    <rPh sb="0" eb="1">
      <t>サイ</t>
    </rPh>
    <rPh sb="1" eb="2">
      <t>スナ</t>
    </rPh>
    <phoneticPr fontId="4"/>
  </si>
  <si>
    <t>○
0.9m</t>
    <phoneticPr fontId="4"/>
  </si>
  <si>
    <t>5m</t>
    <phoneticPr fontId="4"/>
  </si>
  <si>
    <t>ｼﾙﾄ</t>
    <phoneticPr fontId="4"/>
  </si>
  <si>
    <t>4m</t>
    <phoneticPr fontId="4"/>
  </si>
  <si>
    <t>4m</t>
    <phoneticPr fontId="4"/>
  </si>
  <si>
    <t>倉庫</t>
    <rPh sb="0" eb="2">
      <t>ソウコ</t>
    </rPh>
    <phoneticPr fontId="4"/>
  </si>
  <si>
    <t>ﾀｲﾔ倉庫</t>
    <rPh sb="3" eb="5">
      <t>ソウコ</t>
    </rPh>
    <phoneticPr fontId="4"/>
  </si>
  <si>
    <t>村上</t>
    <rPh sb="0" eb="2">
      <t>ムラカミ</t>
    </rPh>
    <phoneticPr fontId="4"/>
  </si>
  <si>
    <t>沢崎</t>
    <phoneticPr fontId="4"/>
  </si>
  <si>
    <t>sawazaki@tsuchiya-corp.com</t>
    <phoneticPr fontId="4"/>
  </si>
  <si>
    <t>家族葬ホール一休館船岡(旧 ｾﾚﾓﾆｰﾎｰﾙ掬水苑船岡)</t>
    <phoneticPr fontId="4"/>
  </si>
  <si>
    <t>加藤 正敏</t>
    <phoneticPr fontId="4"/>
  </si>
  <si>
    <t>022-716-1622</t>
    <phoneticPr fontId="4"/>
  </si>
  <si>
    <t>katou@askasougoukeikaku.co.jp</t>
    <phoneticPr fontId="4"/>
  </si>
  <si>
    <t>山並</t>
    <phoneticPr fontId="4"/>
  </si>
  <si>
    <t>yamanami.kstudio@cup.ocn.ne.jp</t>
    <phoneticPr fontId="4"/>
  </si>
  <si>
    <t>上田 康介</t>
    <phoneticPr fontId="4"/>
  </si>
  <si>
    <t>0438-62-6404</t>
    <phoneticPr fontId="4"/>
  </si>
  <si>
    <t>k.ueda@yokogawa-yess.co.jp</t>
    <phoneticPr fontId="4"/>
  </si>
  <si>
    <t>源田</t>
    <phoneticPr fontId="4"/>
  </si>
  <si>
    <t>06-6944-4001</t>
    <phoneticPr fontId="4"/>
  </si>
  <si>
    <t xml:space="preserve">河合 政也 </t>
    <phoneticPr fontId="4"/>
  </si>
  <si>
    <t>kawai-1@violin.ocn.ne.jp</t>
    <phoneticPr fontId="4"/>
  </si>
  <si>
    <t>06-6693-8771</t>
    <phoneticPr fontId="4"/>
  </si>
  <si>
    <t>0155-25-0689</t>
    <phoneticPr fontId="4"/>
  </si>
  <si>
    <t>t-genda@structure-design-office.com</t>
    <phoneticPr fontId="4"/>
  </si>
  <si>
    <t>tosuzuki@rose.ocn.ne.jp</t>
    <phoneticPr fontId="4"/>
  </si>
  <si>
    <t>河上 裕治</t>
    <phoneticPr fontId="4"/>
  </si>
  <si>
    <t>岩澤</t>
    <phoneticPr fontId="4"/>
  </si>
  <si>
    <t>0256-38-7173</t>
    <phoneticPr fontId="4"/>
  </si>
  <si>
    <t>gocho-iwasawa@cube.ocn.ne.jp</t>
    <phoneticPr fontId="4"/>
  </si>
  <si>
    <t>町田 道俊</t>
    <phoneticPr fontId="4"/>
  </si>
  <si>
    <t>048- 643-0403</t>
    <phoneticPr fontId="4"/>
  </si>
  <si>
    <t>machida.michitoshi@aisekkei.co.jp</t>
    <phoneticPr fontId="4"/>
  </si>
  <si>
    <t>吉田</t>
    <phoneticPr fontId="4"/>
  </si>
  <si>
    <t>白川</t>
    <phoneticPr fontId="4"/>
  </si>
  <si>
    <t>j-shirakawa@asco-archi.co.jp</t>
    <phoneticPr fontId="4"/>
  </si>
  <si>
    <t>垣本</t>
    <phoneticPr fontId="4"/>
  </si>
  <si>
    <t>k-hiroshima@k-kozo.co.jp</t>
    <phoneticPr fontId="4"/>
  </si>
  <si>
    <t>082-569-8808</t>
    <phoneticPr fontId="4"/>
  </si>
  <si>
    <t>丸尾 晋也</t>
    <phoneticPr fontId="4"/>
  </si>
  <si>
    <t>0836-39-9920</t>
    <phoneticPr fontId="4"/>
  </si>
  <si>
    <t>山口県宇部市大字西沖の山字西沖16番5他</t>
    <phoneticPr fontId="4"/>
  </si>
  <si>
    <t>smaruo_staff@nishimatsu.co.jp</t>
    <phoneticPr fontId="4"/>
  </si>
  <si>
    <t>北井 浩</t>
    <phoneticPr fontId="4"/>
  </si>
  <si>
    <t>03-5389-3921</t>
    <phoneticPr fontId="4"/>
  </si>
  <si>
    <t>東京都新宿区西新宿7-22-16</t>
    <phoneticPr fontId="4"/>
  </si>
  <si>
    <t>kitai@sdc-arc.jp</t>
    <phoneticPr fontId="4"/>
  </si>
  <si>
    <t>林</t>
    <phoneticPr fontId="4"/>
  </si>
  <si>
    <t>ym@kzf.jp</t>
    <phoneticPr fontId="4"/>
  </si>
  <si>
    <t>大阪府堺市堺区北瓦町2丁3番22号</t>
    <phoneticPr fontId="4"/>
  </si>
  <si>
    <t>ken_s@takahasi-at.co.jp</t>
    <phoneticPr fontId="4"/>
  </si>
  <si>
    <t>072-226-1185</t>
    <phoneticPr fontId="4"/>
  </si>
  <si>
    <t>小路</t>
    <phoneticPr fontId="4"/>
  </si>
  <si>
    <t>永田 敏久</t>
    <phoneticPr fontId="4"/>
  </si>
  <si>
    <t>nagata-tsh@sumikin-sysken.co.jp</t>
    <phoneticPr fontId="4"/>
  </si>
  <si>
    <t>080-1108-4057</t>
    <phoneticPr fontId="4"/>
  </si>
  <si>
    <t>原 広志</t>
    <phoneticPr fontId="4"/>
  </si>
  <si>
    <t>島根県出雲市高岡町511-1</t>
    <phoneticPr fontId="4"/>
  </si>
  <si>
    <t>0853-21-4329</t>
    <phoneticPr fontId="4"/>
  </si>
  <si>
    <t>h-hara@nakaizum.com</t>
    <phoneticPr fontId="4"/>
  </si>
  <si>
    <t>宮田</t>
    <phoneticPr fontId="4"/>
  </si>
  <si>
    <t>miyata@shimap.co.jp</t>
    <phoneticPr fontId="4"/>
  </si>
  <si>
    <t>清岡 登</t>
    <phoneticPr fontId="4"/>
  </si>
  <si>
    <t>052-587-7831</t>
    <phoneticPr fontId="4"/>
  </si>
  <si>
    <t>kiyooka@nihonkensetsu.co.jp</t>
    <phoneticPr fontId="4"/>
  </si>
  <si>
    <t>原 優</t>
    <phoneticPr fontId="4"/>
  </si>
  <si>
    <t>千葉県袖ケ浦市南袖11番</t>
    <phoneticPr fontId="4"/>
  </si>
  <si>
    <t xml:space="preserve">0438-62-6404 </t>
    <phoneticPr fontId="4"/>
  </si>
  <si>
    <t>yu.hara@yokogawa-yess.co.jp</t>
    <phoneticPr fontId="4"/>
  </si>
  <si>
    <t>hayano-uenoyama@vesta.ocn.ne.jp</t>
    <phoneticPr fontId="4"/>
  </si>
  <si>
    <t>hayano-uenoyama@vesta.ocn.ne.jp</t>
    <phoneticPr fontId="4"/>
  </si>
  <si>
    <t>神谷 満</t>
    <phoneticPr fontId="4"/>
  </si>
  <si>
    <t>076-266-1162</t>
    <phoneticPr fontId="4"/>
  </si>
  <si>
    <t>m.kamiya@nisseibuild.co.jp</t>
    <phoneticPr fontId="4"/>
  </si>
  <si>
    <t>須崎</t>
    <phoneticPr fontId="4"/>
  </si>
  <si>
    <t>suzaki@minos.ocn.ne.jp</t>
    <phoneticPr fontId="4"/>
  </si>
  <si>
    <t>三山 元洋</t>
    <phoneticPr fontId="4"/>
  </si>
  <si>
    <t>03-6383-3315</t>
    <phoneticPr fontId="4"/>
  </si>
  <si>
    <t>東京都新宿区西新宿5-1-3ハイブリッヂビル4A</t>
    <phoneticPr fontId="4"/>
  </si>
  <si>
    <t>miyama@miyama-architects.com</t>
    <phoneticPr fontId="4"/>
  </si>
  <si>
    <t>lep00604@nifty.ne.jp</t>
    <phoneticPr fontId="4"/>
  </si>
  <si>
    <t>011-231-0231</t>
    <phoneticPr fontId="4"/>
  </si>
  <si>
    <t>大下</t>
    <phoneticPr fontId="4"/>
  </si>
  <si>
    <t>蒲生 裕一</t>
    <phoneticPr fontId="4"/>
  </si>
  <si>
    <t>y-gamou@arasiki.com</t>
    <phoneticPr fontId="4"/>
  </si>
  <si>
    <t>木下 善智</t>
    <phoneticPr fontId="4"/>
  </si>
  <si>
    <t>06-6222-7237</t>
    <phoneticPr fontId="4"/>
  </si>
  <si>
    <t>y-kinoshita@morigumi.co.jp</t>
    <phoneticPr fontId="4"/>
  </si>
  <si>
    <t>JR海田市駅ＮＫビル開発</t>
    <phoneticPr fontId="4"/>
  </si>
  <si>
    <t>藤原</t>
    <phoneticPr fontId="4"/>
  </si>
  <si>
    <t>fujihara@kindaisc.jp</t>
    <phoneticPr fontId="4"/>
  </si>
  <si>
    <t>082-243-5555</t>
    <phoneticPr fontId="4"/>
  </si>
  <si>
    <t>080-5407-8797</t>
    <phoneticPr fontId="4"/>
  </si>
  <si>
    <t>nakaharahidetaka@gmail.com</t>
    <phoneticPr fontId="4"/>
  </si>
  <si>
    <t>常信</t>
    <phoneticPr fontId="4"/>
  </si>
  <si>
    <t>tsune@cap-d.net</t>
    <phoneticPr fontId="4"/>
  </si>
  <si>
    <t>秋永 恵里</t>
    <phoneticPr fontId="4"/>
  </si>
  <si>
    <t>092-821-5631</t>
    <phoneticPr fontId="4"/>
  </si>
  <si>
    <t>akinaga@shiga-ae.com</t>
    <phoneticPr fontId="4"/>
  </si>
  <si>
    <t>小俣 隆</t>
    <phoneticPr fontId="4"/>
  </si>
  <si>
    <t>omata-cch@r9.dion.ne.jp</t>
    <phoneticPr fontId="4"/>
  </si>
  <si>
    <t>045-290-6170</t>
    <phoneticPr fontId="4"/>
  </si>
  <si>
    <t>045-550-3074</t>
    <phoneticPr fontId="4"/>
  </si>
  <si>
    <t>桑原 真紀</t>
    <phoneticPr fontId="4"/>
  </si>
  <si>
    <t>kuwahara.fal@gmail.com</t>
    <phoneticPr fontId="4"/>
  </si>
  <si>
    <t>マルコンデンソー</t>
    <phoneticPr fontId="4"/>
  </si>
  <si>
    <t>登坂　勇</t>
    <phoneticPr fontId="4"/>
  </si>
  <si>
    <t>株式会社 ビーイー設計</t>
    <phoneticPr fontId="4"/>
  </si>
  <si>
    <t>村田</t>
    <phoneticPr fontId="4"/>
  </si>
  <si>
    <t>三浦</t>
    <phoneticPr fontId="4"/>
  </si>
  <si>
    <t>han_0416@cna.ne.jp</t>
    <phoneticPr fontId="4"/>
  </si>
  <si>
    <t>草野</t>
    <phoneticPr fontId="4"/>
  </si>
  <si>
    <t>kusano@ensekkei.jp</t>
    <phoneticPr fontId="4"/>
  </si>
  <si>
    <t>飯沼</t>
    <phoneticPr fontId="4"/>
  </si>
  <si>
    <t>fan1961@a05.itscom.net</t>
    <phoneticPr fontId="4"/>
  </si>
  <si>
    <t>日立建機日本 函館営業所 レンタル倉庫</t>
    <phoneticPr fontId="4"/>
  </si>
  <si>
    <t>木村 孝志</t>
    <phoneticPr fontId="4"/>
  </si>
  <si>
    <t>03-5288-8708</t>
    <phoneticPr fontId="4"/>
  </si>
  <si>
    <t>東京都千代田区丸の内1-4-1 丸の内永楽ビルディング22F</t>
    <phoneticPr fontId="4"/>
  </si>
  <si>
    <t>takashi.kimura@nagawa.co.jp</t>
    <phoneticPr fontId="4"/>
  </si>
  <si>
    <t>武田</t>
    <phoneticPr fontId="4"/>
  </si>
  <si>
    <t>go-sekky@yamagata.email.ne.jp</t>
    <phoneticPr fontId="4"/>
  </si>
  <si>
    <t>落合堂</t>
    <phoneticPr fontId="4"/>
  </si>
  <si>
    <t>023-643-2401</t>
    <phoneticPr fontId="4"/>
  </si>
  <si>
    <t>ftad@dewa.or.jp</t>
    <phoneticPr fontId="4"/>
  </si>
  <si>
    <t>大川 一幸</t>
    <phoneticPr fontId="4"/>
  </si>
  <si>
    <t>019-654-2214</t>
    <phoneticPr fontId="4"/>
  </si>
  <si>
    <t>bjmqc455@ybb.ne.jp</t>
    <phoneticPr fontId="4"/>
  </si>
  <si>
    <t>村田 宏文</t>
    <phoneticPr fontId="4"/>
  </si>
  <si>
    <t>092-409-6152</t>
    <phoneticPr fontId="4"/>
  </si>
  <si>
    <t>murata@kozo-keikaku.co.jp</t>
    <phoneticPr fontId="4"/>
  </si>
  <si>
    <t>tao-04@mx1.alpha-web.ne.jp</t>
    <phoneticPr fontId="4"/>
  </si>
  <si>
    <t>木本</t>
    <phoneticPr fontId="4"/>
  </si>
  <si>
    <t>桑原 真紀</t>
    <phoneticPr fontId="4"/>
  </si>
  <si>
    <t>kuwahara.fal@gmail.com</t>
    <phoneticPr fontId="4"/>
  </si>
  <si>
    <t>青島 明弘</t>
    <phoneticPr fontId="4"/>
  </si>
  <si>
    <t>053-458-0560</t>
    <phoneticPr fontId="4"/>
  </si>
  <si>
    <t>aos@h-bridge.co.jp</t>
    <phoneticPr fontId="4"/>
  </si>
  <si>
    <t>清水 素道</t>
    <phoneticPr fontId="4"/>
  </si>
  <si>
    <t>053-421-2046</t>
    <phoneticPr fontId="4"/>
  </si>
  <si>
    <t>VYG10457@nifty.com</t>
    <phoneticPr fontId="4"/>
  </si>
  <si>
    <t>髙橋 賢則</t>
    <phoneticPr fontId="4"/>
  </si>
  <si>
    <t>0178-51-8296</t>
    <phoneticPr fontId="4"/>
  </si>
  <si>
    <t>青森県八戸市北白山台5丁目2-5 東奥日報社八戸ビル5F</t>
    <phoneticPr fontId="4"/>
  </si>
  <si>
    <t>takahashi@cadec.co.jp</t>
    <phoneticPr fontId="4"/>
  </si>
  <si>
    <t>永田 康彦</t>
    <phoneticPr fontId="4"/>
  </si>
  <si>
    <t>0155-24-1946</t>
    <phoneticPr fontId="4"/>
  </si>
  <si>
    <t>ny-archi@octv.ne.jp</t>
    <phoneticPr fontId="4"/>
  </si>
  <si>
    <t>鈴木 正伸</t>
    <phoneticPr fontId="4"/>
  </si>
  <si>
    <t>03-6860-7363</t>
    <phoneticPr fontId="4"/>
  </si>
  <si>
    <t>suzuki-msn@sumikin-sysken.co.jp</t>
    <phoneticPr fontId="4"/>
  </si>
  <si>
    <t>東京都港区浜松町2-1-17 浜松町松永ビル6階</t>
    <phoneticPr fontId="4"/>
  </si>
  <si>
    <t>鈴木 徹</t>
    <phoneticPr fontId="4"/>
  </si>
  <si>
    <t>佐々木</t>
    <phoneticPr fontId="4"/>
  </si>
  <si>
    <t>阪井</t>
    <phoneticPr fontId="4"/>
  </si>
  <si>
    <t>06-6693-8771</t>
    <phoneticPr fontId="4"/>
  </si>
  <si>
    <t>kawai-1@violin.ocn.ne.jp</t>
    <phoneticPr fontId="4"/>
  </si>
  <si>
    <t>0776-24-7135</t>
    <phoneticPr fontId="4"/>
  </si>
  <si>
    <t>大橋 周二郎</t>
    <phoneticPr fontId="4"/>
  </si>
  <si>
    <t>kito-arch-oohashi@nifty.com</t>
    <phoneticPr fontId="4"/>
  </si>
  <si>
    <t>kishida@marble.ocn.ne.jp</t>
    <phoneticPr fontId="4"/>
  </si>
  <si>
    <t>岸田 慎</t>
    <phoneticPr fontId="4"/>
  </si>
  <si>
    <t>0776-21-3236</t>
    <phoneticPr fontId="4"/>
  </si>
  <si>
    <t>河野 美晴</t>
    <phoneticPr fontId="4"/>
  </si>
  <si>
    <t>栗原 千絵梨</t>
    <phoneticPr fontId="4"/>
  </si>
  <si>
    <t>kurihara@lowfatstructure.com</t>
    <phoneticPr fontId="4"/>
  </si>
  <si>
    <t>03-6809-8018</t>
    <phoneticPr fontId="4"/>
  </si>
  <si>
    <t>廣川 明</t>
    <phoneticPr fontId="4"/>
  </si>
  <si>
    <t>03-6277-7245</t>
    <phoneticPr fontId="4"/>
  </si>
  <si>
    <t>ahbw@interlink.or.jp</t>
    <phoneticPr fontId="4"/>
  </si>
  <si>
    <t>東京都港区赤坂7-5-56　ドイツ文化会館4階</t>
    <phoneticPr fontId="4"/>
  </si>
  <si>
    <t>蒲生</t>
    <phoneticPr fontId="4"/>
  </si>
  <si>
    <t>北名 和宏</t>
    <phoneticPr fontId="4"/>
  </si>
  <si>
    <t>011-206-9760</t>
    <phoneticPr fontId="4"/>
  </si>
  <si>
    <t>kitacobo@ybb.ne.jp</t>
    <phoneticPr fontId="4"/>
  </si>
  <si>
    <t>薬王堂山形川西</t>
    <phoneticPr fontId="4"/>
  </si>
  <si>
    <t>瀬谷</t>
    <phoneticPr fontId="4"/>
  </si>
  <si>
    <t>中本 明</t>
    <phoneticPr fontId="4"/>
  </si>
  <si>
    <t>奈良県香芝市瓦口2166番地</t>
    <phoneticPr fontId="4"/>
  </si>
  <si>
    <t>0745-71-2200</t>
    <phoneticPr fontId="4"/>
  </si>
  <si>
    <t>nakamoto@nobiso.jp</t>
    <phoneticPr fontId="4"/>
  </si>
  <si>
    <t>上塩冶マンション</t>
    <phoneticPr fontId="4"/>
  </si>
  <si>
    <t>島根県出雲市知井宮町138-3</t>
    <phoneticPr fontId="4"/>
  </si>
  <si>
    <t>0853-22-4118</t>
    <phoneticPr fontId="4"/>
  </si>
  <si>
    <t>藤田</t>
    <phoneticPr fontId="4"/>
  </si>
  <si>
    <t>t-mai@i-doken.co.jp</t>
    <phoneticPr fontId="4"/>
  </si>
  <si>
    <t>吉田 有希</t>
    <phoneticPr fontId="4"/>
  </si>
  <si>
    <t>03-5768-3044</t>
    <phoneticPr fontId="4"/>
  </si>
  <si>
    <t>東京都目黒区下目黒3-4-2 タムラビル 4F</t>
    <phoneticPr fontId="4"/>
  </si>
  <si>
    <t>yoshida@pfkura.co.jp</t>
    <phoneticPr fontId="4"/>
  </si>
  <si>
    <t>北川 慎也</t>
    <phoneticPr fontId="4"/>
  </si>
  <si>
    <t>三重県伊賀市平野東町107番地</t>
    <phoneticPr fontId="4"/>
  </si>
  <si>
    <t>0595-23-6112</t>
    <phoneticPr fontId="4"/>
  </si>
  <si>
    <t>s-kitagawa@hakuho-ad.co.jp</t>
    <phoneticPr fontId="4"/>
  </si>
  <si>
    <t>奥山 繁明</t>
    <phoneticPr fontId="4"/>
  </si>
  <si>
    <t>023-645-3638</t>
    <phoneticPr fontId="4"/>
  </si>
  <si>
    <t>s.okuyama@niwasekkei.co.jp</t>
    <phoneticPr fontId="4"/>
  </si>
  <si>
    <t>須藤　祐輔</t>
    <phoneticPr fontId="4"/>
  </si>
  <si>
    <t>sutou-yuusuke@zennoh.or.jp</t>
    <phoneticPr fontId="4"/>
  </si>
  <si>
    <t>023-634-8161</t>
    <phoneticPr fontId="4"/>
  </si>
  <si>
    <t>野呂</t>
    <phoneticPr fontId="4"/>
  </si>
  <si>
    <t>noroke@actv.ne.jp</t>
    <phoneticPr fontId="4"/>
  </si>
  <si>
    <t>薄田</t>
    <phoneticPr fontId="4"/>
  </si>
  <si>
    <t>018-866-2723</t>
    <phoneticPr fontId="4"/>
  </si>
  <si>
    <t>kinoe@poplar.ocn.ne.jp</t>
    <phoneticPr fontId="4"/>
  </si>
  <si>
    <t>大草 雄二</t>
    <phoneticPr fontId="4"/>
  </si>
  <si>
    <t>神田</t>
    <phoneticPr fontId="4"/>
  </si>
  <si>
    <t>0853-72-0566</t>
    <phoneticPr fontId="4"/>
  </si>
  <si>
    <t>maof1531sk@gmail.com</t>
    <phoneticPr fontId="4"/>
  </si>
  <si>
    <t>吉沢 達裕</t>
    <phoneticPr fontId="4"/>
  </si>
  <si>
    <t>茂木 大佑</t>
    <phoneticPr fontId="4"/>
  </si>
  <si>
    <t>03-5259-8711</t>
    <phoneticPr fontId="4"/>
  </si>
  <si>
    <t>東京都千代田区神田錦町1丁目17番地4錦町司ビル2F</t>
    <phoneticPr fontId="4"/>
  </si>
  <si>
    <t>moteki@nishizuka-kozo.co.jp</t>
    <phoneticPr fontId="4"/>
  </si>
  <si>
    <t>石丸 信明</t>
    <rPh sb="0" eb="2">
      <t>イシマル</t>
    </rPh>
    <phoneticPr fontId="4"/>
  </si>
  <si>
    <t>06-6136-1070</t>
    <phoneticPr fontId="4"/>
  </si>
  <si>
    <t>ishimaru@arxkobe.com</t>
    <phoneticPr fontId="4"/>
  </si>
  <si>
    <t>藤田 恵理子</t>
    <phoneticPr fontId="4"/>
  </si>
  <si>
    <t>e_fujita@arxkobe.com</t>
    <phoneticPr fontId="4"/>
  </si>
  <si>
    <t>有限会社 中部設計</t>
    <phoneticPr fontId="4"/>
  </si>
  <si>
    <t>新宅</t>
    <phoneticPr fontId="4"/>
  </si>
  <si>
    <t>0823-25-6655</t>
    <phoneticPr fontId="4"/>
  </si>
  <si>
    <t>副松 昌之</t>
    <phoneticPr fontId="4"/>
  </si>
  <si>
    <t>025-247-1197</t>
    <phoneticPr fontId="4"/>
  </si>
  <si>
    <t>soematsu@arch.taisei.co.jp</t>
    <phoneticPr fontId="4"/>
  </si>
  <si>
    <t>橋本</t>
    <phoneticPr fontId="4"/>
  </si>
  <si>
    <t>0176-21-2012</t>
    <phoneticPr fontId="4"/>
  </si>
  <si>
    <t>sanwahashimoto@song.ocn.ne.jp</t>
    <phoneticPr fontId="4"/>
  </si>
  <si>
    <t>山形県東田川郡庄内町余目字町２１４－２</t>
    <phoneticPr fontId="4"/>
  </si>
  <si>
    <t>佐藤 博幸</t>
    <phoneticPr fontId="4"/>
  </si>
  <si>
    <t>0234-43-2485</t>
    <phoneticPr fontId="4"/>
  </si>
  <si>
    <t>kozo-sato@cpost.plala.or.jp</t>
    <phoneticPr fontId="4"/>
  </si>
  <si>
    <t>佐藤建築設計工房</t>
    <phoneticPr fontId="4"/>
  </si>
  <si>
    <t>あべ建築設計事務所</t>
    <phoneticPr fontId="4"/>
  </si>
  <si>
    <t>sadoshima-co@mx51.tiki.ne.jp</t>
    <phoneticPr fontId="4"/>
  </si>
  <si>
    <t>鈴木 信男</t>
    <phoneticPr fontId="4"/>
  </si>
  <si>
    <t>東京都港区芝大門2-1-16芝大門MFビル4F</t>
    <phoneticPr fontId="4"/>
  </si>
  <si>
    <t>03-3433-7188</t>
    <phoneticPr fontId="4"/>
  </si>
  <si>
    <t>suzuki@yuken-ind.com</t>
    <phoneticPr fontId="4"/>
  </si>
  <si>
    <t>中原 剛</t>
    <phoneticPr fontId="4"/>
  </si>
  <si>
    <t>東京都足立区谷中4-14-4</t>
    <phoneticPr fontId="4"/>
  </si>
  <si>
    <t>03-3628-4881</t>
    <phoneticPr fontId="4"/>
  </si>
  <si>
    <t>t.nakahara@stp80.co.jp</t>
    <phoneticPr fontId="4"/>
  </si>
  <si>
    <t>瀬戸口 幹光</t>
    <phoneticPr fontId="4"/>
  </si>
  <si>
    <t>092-737-8636</t>
    <phoneticPr fontId="4"/>
  </si>
  <si>
    <t>sd2544@jupiter.ocn.ne.jp</t>
    <phoneticPr fontId="4"/>
  </si>
  <si>
    <t>k-ukida@mx4.tiki.ne.jp</t>
    <phoneticPr fontId="4"/>
  </si>
  <si>
    <t>浮田</t>
    <phoneticPr fontId="4"/>
  </si>
  <si>
    <t>有限会社 豊生建築設計事務所</t>
    <phoneticPr fontId="4"/>
  </si>
  <si>
    <t>森 浩</t>
    <phoneticPr fontId="4"/>
  </si>
  <si>
    <t>092-504-4188</t>
    <phoneticPr fontId="4"/>
  </si>
  <si>
    <t>福岡県大野城市大城4丁目7-21</t>
    <phoneticPr fontId="4"/>
  </si>
  <si>
    <t>yutaka-mori@giga.ocn.ne.jp</t>
    <phoneticPr fontId="4"/>
  </si>
  <si>
    <t>野崎 学</t>
    <phoneticPr fontId="4"/>
  </si>
  <si>
    <t>025-245-7111</t>
    <phoneticPr fontId="4"/>
  </si>
  <si>
    <t>nozaki@cosmo-k-co.com</t>
    <phoneticPr fontId="4"/>
  </si>
  <si>
    <t>高橋</t>
    <phoneticPr fontId="4"/>
  </si>
  <si>
    <t>鎧坂 勝大</t>
    <phoneticPr fontId="4"/>
  </si>
  <si>
    <t>082- 243-1700</t>
    <phoneticPr fontId="4"/>
  </si>
  <si>
    <t>okiaa@orange.ocn.ne.jp</t>
    <phoneticPr fontId="4"/>
  </si>
  <si>
    <t>仁木 洋介</t>
    <phoneticPr fontId="4"/>
  </si>
  <si>
    <t>075-211-3211</t>
    <phoneticPr fontId="4"/>
  </si>
  <si>
    <t>yniki@kaneshita.co.jp</t>
    <phoneticPr fontId="4"/>
  </si>
  <si>
    <t>株式会社 住金システム建築</t>
    <phoneticPr fontId="4"/>
  </si>
  <si>
    <t>武知 正義</t>
    <phoneticPr fontId="4"/>
  </si>
  <si>
    <t>a1-masa@ae.auone-net.jp</t>
    <phoneticPr fontId="4"/>
  </si>
  <si>
    <t>089-904-6433</t>
    <phoneticPr fontId="4"/>
  </si>
  <si>
    <t>A1プランニング 株式会社</t>
    <phoneticPr fontId="4"/>
  </si>
  <si>
    <t>A1プランニング カブシキガイシャ</t>
    <phoneticPr fontId="4"/>
  </si>
  <si>
    <t>022-299-3611</t>
    <phoneticPr fontId="4"/>
  </si>
  <si>
    <t>san5-suzuki@trad.ocn.ne.jp</t>
    <phoneticPr fontId="4"/>
  </si>
  <si>
    <t>鈴木</t>
    <phoneticPr fontId="4"/>
  </si>
  <si>
    <t>深澤</t>
    <phoneticPr fontId="4"/>
  </si>
  <si>
    <t>054-266-9031</t>
    <phoneticPr fontId="4"/>
  </si>
  <si>
    <t>fukasawa@f.email.ne.jp</t>
    <phoneticPr fontId="4"/>
  </si>
  <si>
    <t>良知 喜正</t>
    <phoneticPr fontId="4"/>
  </si>
  <si>
    <t>静岡県静岡市清水区幸町10-38</t>
    <phoneticPr fontId="4"/>
  </si>
  <si>
    <t>054-334-2654</t>
    <phoneticPr fontId="4"/>
  </si>
  <si>
    <t>architect-sei@ka.tnc.ne.jp</t>
    <phoneticPr fontId="4"/>
  </si>
  <si>
    <t>今 淳</t>
    <phoneticPr fontId="4"/>
  </si>
  <si>
    <t>017-743-6468</t>
    <phoneticPr fontId="4"/>
  </si>
  <si>
    <t>atushik@jomon.ne.jp</t>
    <phoneticPr fontId="4"/>
  </si>
  <si>
    <t>株式会社 八洲建築設計事務所</t>
    <phoneticPr fontId="4"/>
  </si>
  <si>
    <t>名原 智亮</t>
    <phoneticPr fontId="4"/>
  </si>
  <si>
    <t>0859-31-6800</t>
    <phoneticPr fontId="4"/>
  </si>
  <si>
    <t>鳥取県米子市東町１９４ 松江不動産米子ビル２F</t>
    <phoneticPr fontId="4"/>
  </si>
  <si>
    <t>nabara@someday-inc.co.jp</t>
    <phoneticPr fontId="4"/>
  </si>
  <si>
    <t>m.itoh@i-walk.jp</t>
    <phoneticPr fontId="4"/>
  </si>
  <si>
    <t>伊藤 正行</t>
    <phoneticPr fontId="4"/>
  </si>
  <si>
    <t>山本 学</t>
    <phoneticPr fontId="4"/>
  </si>
  <si>
    <t>京都府京都市下京区四条通り室町東入函谷鉾町79 ヤサカ四条烏丸ビル6F</t>
    <phoneticPr fontId="4"/>
  </si>
  <si>
    <t>075-746-5391</t>
    <phoneticPr fontId="4"/>
  </si>
  <si>
    <t>m-yamamoto@yoshizawa-arch.co.jp</t>
    <phoneticPr fontId="4"/>
  </si>
  <si>
    <t>あべ構房建築設計事務所</t>
    <phoneticPr fontId="4"/>
  </si>
  <si>
    <t>前川 隆裕</t>
    <phoneticPr fontId="4"/>
  </si>
  <si>
    <t>東京都千代田区外神田3-5-12　聖公会神田ビル</t>
    <phoneticPr fontId="4"/>
  </si>
  <si>
    <t>03-5294-6211</t>
    <phoneticPr fontId="4"/>
  </si>
  <si>
    <t>maekawa.takahiro@ito-aei.co.jp</t>
    <phoneticPr fontId="4"/>
  </si>
  <si>
    <t>佐藤 全重</t>
    <phoneticPr fontId="4"/>
  </si>
  <si>
    <t>011-624-7631</t>
    <phoneticPr fontId="4"/>
  </si>
  <si>
    <t>z-kozo@hb.tp1.jp</t>
    <phoneticPr fontId="4"/>
  </si>
  <si>
    <t xml:space="preserve">石川 俊二 </t>
    <phoneticPr fontId="4"/>
  </si>
  <si>
    <t>ishikawa.aeo@sunny.ocn.ne.jp　</t>
    <phoneticPr fontId="4"/>
  </si>
  <si>
    <t>0154-24-0213</t>
    <phoneticPr fontId="4"/>
  </si>
  <si>
    <t>南川 守</t>
    <phoneticPr fontId="4"/>
  </si>
  <si>
    <t>090-6235-4805</t>
    <phoneticPr fontId="4"/>
  </si>
  <si>
    <t>mmao@nike.eonet.ne.jp</t>
    <phoneticPr fontId="4"/>
  </si>
  <si>
    <t>福田</t>
    <phoneticPr fontId="4"/>
  </si>
  <si>
    <t>ing-kikaku@osaka.zaq.jp</t>
    <phoneticPr fontId="4"/>
  </si>
  <si>
    <t>菊池 俊一郎</t>
    <phoneticPr fontId="4"/>
  </si>
  <si>
    <t>原田小百合</t>
    <phoneticPr fontId="4"/>
  </si>
  <si>
    <t>harada@tera-s.jp</t>
    <phoneticPr fontId="4"/>
  </si>
  <si>
    <t>宮城県遠田郡涌谷町下郡字竹ノ花14</t>
    <phoneticPr fontId="4"/>
  </si>
  <si>
    <t>0229-43-5677</t>
    <phoneticPr fontId="4"/>
  </si>
  <si>
    <t>湯浅</t>
    <phoneticPr fontId="4"/>
  </si>
  <si>
    <t>terui@tera-s.jp</t>
    <phoneticPr fontId="4"/>
  </si>
  <si>
    <t>山城</t>
    <phoneticPr fontId="4"/>
  </si>
  <si>
    <t>skozo@crocus.ocn.ne.jp</t>
    <phoneticPr fontId="4"/>
  </si>
  <si>
    <t>戎 健志</t>
    <phoneticPr fontId="4"/>
  </si>
  <si>
    <t>078-855-6214</t>
    <phoneticPr fontId="4"/>
  </si>
  <si>
    <t>ebisu.motoi-ao@wb3.so-net.ne.jp</t>
    <phoneticPr fontId="4"/>
  </si>
  <si>
    <t>基建築設計事務所</t>
    <phoneticPr fontId="4"/>
  </si>
  <si>
    <t>戎 健志</t>
    <phoneticPr fontId="4"/>
  </si>
  <si>
    <t>岸</t>
    <phoneticPr fontId="4"/>
  </si>
  <si>
    <t>sdo-akazawa@nifty.com</t>
    <phoneticPr fontId="4"/>
  </si>
  <si>
    <t>岩手県盛岡市上田三丁目1-52</t>
    <phoneticPr fontId="4"/>
  </si>
  <si>
    <t>共同冷蔵 大井物流センター</t>
    <phoneticPr fontId="4"/>
  </si>
  <si>
    <t>永田 芳博</t>
    <phoneticPr fontId="4"/>
  </si>
  <si>
    <t>0545-71-9663</t>
    <phoneticPr fontId="4"/>
  </si>
  <si>
    <t>kozo.nagata@nifty.com</t>
    <phoneticPr fontId="4"/>
  </si>
  <si>
    <t>山口</t>
    <phoneticPr fontId="4"/>
  </si>
  <si>
    <t>yamaguchi@ishibashi-s.jp</t>
    <phoneticPr fontId="4"/>
  </si>
  <si>
    <t>栃尾</t>
    <phoneticPr fontId="4"/>
  </si>
  <si>
    <t>tochio@sea.plala.or.jp</t>
    <phoneticPr fontId="4"/>
  </si>
  <si>
    <t>ツルハドラッグ新宮城山元</t>
    <phoneticPr fontId="4"/>
  </si>
  <si>
    <t>薬王堂富谷成田</t>
    <phoneticPr fontId="4"/>
  </si>
  <si>
    <t>瀬谷</t>
    <phoneticPr fontId="4"/>
  </si>
  <si>
    <t>フレートサービス</t>
    <phoneticPr fontId="4"/>
  </si>
  <si>
    <t>南條</t>
    <phoneticPr fontId="4"/>
  </si>
  <si>
    <t>nanjosekkei@shirt.ocn.ne.jp</t>
    <phoneticPr fontId="4"/>
  </si>
  <si>
    <t>綾井</t>
    <phoneticPr fontId="4"/>
  </si>
  <si>
    <t>ayai@jfe-civil.com</t>
    <phoneticPr fontId="4"/>
  </si>
  <si>
    <t>090-7784-8663</t>
    <phoneticPr fontId="4"/>
  </si>
  <si>
    <t>水村</t>
    <phoneticPr fontId="4"/>
  </si>
  <si>
    <t>goh-mizumura@nifty.com</t>
    <phoneticPr fontId="4"/>
  </si>
  <si>
    <t>埼玉県吉川市平沼1707-1</t>
    <phoneticPr fontId="4"/>
  </si>
  <si>
    <t>048-981-4116</t>
    <phoneticPr fontId="4"/>
  </si>
  <si>
    <t>柴田 雄一郎</t>
    <phoneticPr fontId="4"/>
  </si>
  <si>
    <t>086-244-0173</t>
    <phoneticPr fontId="4"/>
  </si>
  <si>
    <t>shibata-y@ado-sekkei.co.jp</t>
    <phoneticPr fontId="4"/>
  </si>
  <si>
    <t>023-624-1133</t>
    <phoneticPr fontId="4"/>
  </si>
  <si>
    <t>向井 稔</t>
    <phoneticPr fontId="4"/>
  </si>
  <si>
    <t>m-mukai@sakura-arch.co.jp</t>
    <phoneticPr fontId="4"/>
  </si>
  <si>
    <t>関口 文夫</t>
    <phoneticPr fontId="4"/>
  </si>
  <si>
    <t>0277-76-7776</t>
    <phoneticPr fontId="4"/>
  </si>
  <si>
    <t>群馬県みどり市笠懸町鹿２５１６－６</t>
    <phoneticPr fontId="4"/>
  </si>
  <si>
    <t>sekiguchi.fumio@wave.plala.or.jp</t>
    <phoneticPr fontId="4"/>
  </si>
  <si>
    <t>早野 和智</t>
    <phoneticPr fontId="4"/>
  </si>
  <si>
    <t>尾髙 健司</t>
    <phoneticPr fontId="4"/>
  </si>
  <si>
    <t>03-5354-1035</t>
    <phoneticPr fontId="4"/>
  </si>
  <si>
    <t>東京都渋谷区代々木2-26-4-502</t>
    <phoneticPr fontId="4"/>
  </si>
  <si>
    <t>odaka@island.dti.ne.jp</t>
    <phoneticPr fontId="4"/>
  </si>
  <si>
    <t>有限会社 飛沢構造設計</t>
    <phoneticPr fontId="4"/>
  </si>
  <si>
    <t>大阪府箕面市牧落2丁目9-1</t>
    <phoneticPr fontId="4"/>
  </si>
  <si>
    <t>072-735-7980</t>
    <phoneticPr fontId="4"/>
  </si>
  <si>
    <t>松浦</t>
    <phoneticPr fontId="4"/>
  </si>
  <si>
    <t>m-ars-k@aroma.ocn.ne.jp</t>
    <phoneticPr fontId="4"/>
  </si>
  <si>
    <t>丸橋 正樹</t>
    <phoneticPr fontId="4"/>
  </si>
  <si>
    <t>072-675-7559</t>
    <phoneticPr fontId="4"/>
  </si>
  <si>
    <t>大阪府高槻市城内町2番53号</t>
    <phoneticPr fontId="4"/>
  </si>
  <si>
    <t>sys-084@rose.ocn.ne.jp</t>
    <phoneticPr fontId="4"/>
  </si>
  <si>
    <t>yamaji-y@e-chubu.co.jp</t>
    <phoneticPr fontId="4"/>
  </si>
  <si>
    <t>山路 康之</t>
    <phoneticPr fontId="4"/>
  </si>
  <si>
    <t>yanagikeikaku@aurora.ocn.ne.jp</t>
    <phoneticPr fontId="4"/>
  </si>
  <si>
    <t>内山</t>
    <phoneticPr fontId="4"/>
  </si>
  <si>
    <t>uchiyama-arc@aria.ocn.ne.jp</t>
    <phoneticPr fontId="4"/>
  </si>
  <si>
    <t>柳沢 満雄</t>
    <phoneticPr fontId="4"/>
  </si>
  <si>
    <t>0178-34-3949</t>
    <phoneticPr fontId="4"/>
  </si>
  <si>
    <t>青森県八戸市大字鮫町字小長根31-7</t>
    <phoneticPr fontId="4"/>
  </si>
  <si>
    <t>株式会社 アークリエイト</t>
    <phoneticPr fontId="4"/>
  </si>
  <si>
    <t>会社研修</t>
    <rPh sb="0" eb="2">
      <t>カイシャ</t>
    </rPh>
    <phoneticPr fontId="4"/>
  </si>
  <si>
    <t>TNF(一般、偏心等)設計</t>
    <rPh sb="4" eb="6">
      <t>イッパン</t>
    </rPh>
    <rPh sb="7" eb="9">
      <t>ヘンシン</t>
    </rPh>
    <rPh sb="9" eb="10">
      <t>トウ</t>
    </rPh>
    <rPh sb="11" eb="13">
      <t>セッケイ</t>
    </rPh>
    <phoneticPr fontId="4"/>
  </si>
  <si>
    <t>波多野 昭一</t>
    <phoneticPr fontId="4"/>
  </si>
  <si>
    <t>0838-25-3989</t>
    <phoneticPr fontId="4"/>
  </si>
  <si>
    <t>ah1952@amber.plala.or.jp</t>
    <phoneticPr fontId="4"/>
  </si>
  <si>
    <t>河野 広</t>
    <phoneticPr fontId="4"/>
  </si>
  <si>
    <t>山口県萩市土原249番地</t>
    <phoneticPr fontId="4"/>
  </si>
  <si>
    <t>0838-22-3255</t>
    <phoneticPr fontId="4"/>
  </si>
  <si>
    <t>kawax@mocha.ocn.ne.jp</t>
    <phoneticPr fontId="4"/>
  </si>
  <si>
    <t>畠山</t>
    <phoneticPr fontId="4"/>
  </si>
  <si>
    <t>06-6354-7456</t>
    <phoneticPr fontId="4"/>
  </si>
  <si>
    <t>endo@paramodern.com</t>
    <phoneticPr fontId="4"/>
  </si>
  <si>
    <t>神山 智里</t>
    <phoneticPr fontId="4"/>
  </si>
  <si>
    <t>千葉県流山市東初石1-89-6</t>
    <phoneticPr fontId="4"/>
  </si>
  <si>
    <t>04-7154-2106</t>
    <phoneticPr fontId="4"/>
  </si>
  <si>
    <t>nabe-ltd@nifty.com</t>
    <phoneticPr fontId="4"/>
  </si>
  <si>
    <t>原田 恭幸</t>
    <phoneticPr fontId="4"/>
  </si>
  <si>
    <t>079-296-2778</t>
    <phoneticPr fontId="4"/>
  </si>
  <si>
    <t>t-harada@harada-eng.co.jp</t>
    <phoneticPr fontId="4"/>
  </si>
  <si>
    <t>北山 正和</t>
    <phoneticPr fontId="4"/>
  </si>
  <si>
    <t>kitayama.masakazu@aisekkei.co.jp</t>
    <phoneticPr fontId="4"/>
  </si>
  <si>
    <t>広島県福山市新涯町6丁目10番37号</t>
    <phoneticPr fontId="4"/>
  </si>
  <si>
    <t>084-953-8415</t>
    <phoneticPr fontId="4"/>
  </si>
  <si>
    <t>ダイレックス三原宮浦</t>
    <phoneticPr fontId="4"/>
  </si>
  <si>
    <t>nitta@arata-s.jp</t>
    <phoneticPr fontId="4"/>
  </si>
  <si>
    <t>新田</t>
    <rPh sb="0" eb="2">
      <t>ニッタ</t>
    </rPh>
    <phoneticPr fontId="4"/>
  </si>
  <si>
    <t>伊林 聡</t>
    <phoneticPr fontId="4"/>
  </si>
  <si>
    <t>011-748-7701</t>
    <phoneticPr fontId="4"/>
  </si>
  <si>
    <t>ibayashi@hkd-sekkei.jp</t>
    <phoneticPr fontId="4"/>
  </si>
  <si>
    <t>岩崎 栄</t>
    <phoneticPr fontId="4"/>
  </si>
  <si>
    <t>sakae.iwasaki@daiiti-k.co.jp</t>
    <phoneticPr fontId="4"/>
  </si>
  <si>
    <t>渡部 恵一</t>
    <phoneticPr fontId="4"/>
  </si>
  <si>
    <t>022-291-2561</t>
    <phoneticPr fontId="4"/>
  </si>
  <si>
    <t>kura-watanabe@piano.ocn.ne.jp</t>
    <phoneticPr fontId="4"/>
  </si>
  <si>
    <t>025-283-2565</t>
    <phoneticPr fontId="4"/>
  </si>
  <si>
    <t>山崎</t>
    <phoneticPr fontId="4"/>
  </si>
  <si>
    <t>dam_yamazaki@zd.wakwak.com</t>
    <phoneticPr fontId="4"/>
  </si>
  <si>
    <t>村上 剛宏</t>
    <phoneticPr fontId="4"/>
  </si>
  <si>
    <t>murakamiSDR@jcom.home.ne.jp</t>
    <phoneticPr fontId="4"/>
  </si>
  <si>
    <t>092-542-1382</t>
    <phoneticPr fontId="4"/>
  </si>
  <si>
    <t>足立</t>
    <phoneticPr fontId="4"/>
  </si>
  <si>
    <t>0942-52-7235</t>
    <phoneticPr fontId="4"/>
  </si>
  <si>
    <t>info@miraikensetu.com</t>
    <phoneticPr fontId="4"/>
  </si>
  <si>
    <t>増田</t>
    <phoneticPr fontId="4"/>
  </si>
  <si>
    <t>m.s.d@ia5.itkeeper.ne.jp</t>
    <phoneticPr fontId="4"/>
  </si>
  <si>
    <t>吉田</t>
    <rPh sb="0" eb="2">
      <t>ヨシダ</t>
    </rPh>
    <phoneticPr fontId="4"/>
  </si>
  <si>
    <t>市岡　真</t>
    <phoneticPr fontId="4"/>
  </si>
  <si>
    <t>090-1921-8558</t>
    <phoneticPr fontId="4"/>
  </si>
  <si>
    <t>ichioka_maquoto@mac.com</t>
    <phoneticPr fontId="4"/>
  </si>
  <si>
    <t>稲田 拓也</t>
    <phoneticPr fontId="4"/>
  </si>
  <si>
    <t>東京都千代田区神田須田町1丁目16番地7 ＩＳアルプスビル９階</t>
    <phoneticPr fontId="4"/>
  </si>
  <si>
    <t>03-3526-2602</t>
    <phoneticPr fontId="4"/>
  </si>
  <si>
    <t>t-inada@hakuho-tokyo.jp</t>
    <phoneticPr fontId="4"/>
  </si>
  <si>
    <t>株式会社 NSE</t>
    <phoneticPr fontId="4"/>
  </si>
  <si>
    <t>株式会社 NSE</t>
    <phoneticPr fontId="4"/>
  </si>
  <si>
    <t>古宮 亮</t>
    <phoneticPr fontId="4"/>
  </si>
  <si>
    <t>052-265-6401</t>
    <phoneticPr fontId="4"/>
  </si>
  <si>
    <t>r.komiya@nagoya-sd.co.jp</t>
    <phoneticPr fontId="4"/>
  </si>
  <si>
    <t>小倉 敏宏</t>
    <phoneticPr fontId="4"/>
  </si>
  <si>
    <t>中市</t>
    <phoneticPr fontId="4"/>
  </si>
  <si>
    <t>06-6945-0008</t>
    <phoneticPr fontId="4"/>
  </si>
  <si>
    <t>nakaichi-isao@asano-sekkei.com</t>
    <phoneticPr fontId="4"/>
  </si>
  <si>
    <t>田渕 一成</t>
    <phoneticPr fontId="4"/>
  </si>
  <si>
    <t>東京都新宿区新宿1-11-17 第2KSビル3F</t>
    <phoneticPr fontId="4"/>
  </si>
  <si>
    <t>03-5366-2461</t>
    <phoneticPr fontId="4"/>
  </si>
  <si>
    <t>tabuchi@estructura.co.jp</t>
    <phoneticPr fontId="4"/>
  </si>
  <si>
    <t>増田 智行</t>
    <phoneticPr fontId="4"/>
  </si>
  <si>
    <t>06-6396-9188</t>
    <phoneticPr fontId="4"/>
  </si>
  <si>
    <t>t_masuda@watahan.co.jp</t>
    <phoneticPr fontId="4"/>
  </si>
  <si>
    <t>清水産業株式会社 佐賀事業所</t>
    <phoneticPr fontId="4"/>
  </si>
  <si>
    <t>近藤 功</t>
    <phoneticPr fontId="4"/>
  </si>
  <si>
    <t>092-894-2525</t>
    <phoneticPr fontId="4"/>
  </si>
  <si>
    <t>gbb03161@nifty.com</t>
    <phoneticPr fontId="4"/>
  </si>
  <si>
    <t>三浦 英明</t>
    <phoneticPr fontId="4"/>
  </si>
  <si>
    <t>miuraao@sky.plala.or.jp</t>
    <phoneticPr fontId="4"/>
  </si>
  <si>
    <t>018-893-4126</t>
    <phoneticPr fontId="4"/>
  </si>
  <si>
    <t>道瀬 晴紀</t>
    <phoneticPr fontId="4"/>
  </si>
  <si>
    <t>haruki_douse@kitamuragumi.co.jp</t>
    <phoneticPr fontId="4"/>
  </si>
  <si>
    <t>服部　諒</t>
    <phoneticPr fontId="4"/>
  </si>
  <si>
    <t>武田 健太郎</t>
    <phoneticPr fontId="4"/>
  </si>
  <si>
    <t>048-836-0490</t>
    <phoneticPr fontId="4"/>
  </si>
  <si>
    <t>m11931@daiwalease.jp</t>
    <phoneticPr fontId="4"/>
  </si>
  <si>
    <t>石井 義人</t>
    <phoneticPr fontId="4"/>
  </si>
  <si>
    <t>静岡県静岡市清水区袖師町１０７４</t>
    <phoneticPr fontId="4"/>
  </si>
  <si>
    <t>054-366-5439</t>
    <phoneticPr fontId="4"/>
  </si>
  <si>
    <t>arkawaguchi@mail.wbs.ne.jp</t>
    <phoneticPr fontId="4"/>
  </si>
  <si>
    <t>月岡 勇</t>
    <phoneticPr fontId="4"/>
  </si>
  <si>
    <t>054-207-7936</t>
    <phoneticPr fontId="4"/>
  </si>
  <si>
    <t>shin-t@shizuoka.tnc.ne.jp</t>
    <phoneticPr fontId="4"/>
  </si>
  <si>
    <t>竹内 健太郎</t>
    <phoneticPr fontId="4"/>
  </si>
  <si>
    <t>二期に分かれた工事</t>
    <rPh sb="0" eb="2">
      <t>ニキ</t>
    </rPh>
    <rPh sb="3" eb="4">
      <t>ワ</t>
    </rPh>
    <rPh sb="7" eb="9">
      <t>コウジ</t>
    </rPh>
    <phoneticPr fontId="4"/>
  </si>
  <si>
    <t>戸谷 正弘</t>
    <phoneticPr fontId="4"/>
  </si>
  <si>
    <t>03-3615-5503</t>
    <phoneticPr fontId="4"/>
  </si>
  <si>
    <t>東京都江東区東陽2-2-4</t>
    <phoneticPr fontId="4"/>
  </si>
  <si>
    <t>todani@tsuchiya-corp.com</t>
    <phoneticPr fontId="4"/>
  </si>
  <si>
    <t>nitta@arata-s.jp</t>
    <phoneticPr fontId="4"/>
  </si>
  <si>
    <t>新田</t>
    <rPh sb="0" eb="2">
      <t>ニッタ</t>
    </rPh>
    <phoneticPr fontId="4"/>
  </si>
  <si>
    <t>尾留川</t>
    <phoneticPr fontId="4"/>
  </si>
  <si>
    <t>018-866-3387</t>
    <phoneticPr fontId="4"/>
  </si>
  <si>
    <t>birukawa.keiji@k-kikaku.co</t>
    <phoneticPr fontId="4"/>
  </si>
  <si>
    <t>北村 憲生</t>
    <phoneticPr fontId="4"/>
  </si>
  <si>
    <t>kita@sakaisuzuki.co.jp</t>
    <phoneticPr fontId="4"/>
  </si>
  <si>
    <t>0234-35-1030</t>
    <phoneticPr fontId="4"/>
  </si>
  <si>
    <t>早坂牧場 牛舎</t>
    <phoneticPr fontId="4"/>
  </si>
  <si>
    <t>プラージュ古川駅東</t>
    <phoneticPr fontId="4"/>
  </si>
  <si>
    <t>上部 佳奈子</t>
    <phoneticPr fontId="4"/>
  </si>
  <si>
    <t>022-249-8638</t>
    <phoneticPr fontId="4"/>
  </si>
  <si>
    <t>m12220@daiwalease.jp</t>
    <phoneticPr fontId="4"/>
  </si>
  <si>
    <t>キャリオン第2期倉庫</t>
    <phoneticPr fontId="4"/>
  </si>
  <si>
    <t>平塚 政己</t>
    <phoneticPr fontId="4"/>
  </si>
  <si>
    <t>滋賀県東近江市高木町155-2</t>
    <phoneticPr fontId="4"/>
  </si>
  <si>
    <t>050-5801-6191</t>
    <phoneticPr fontId="4"/>
  </si>
  <si>
    <t>k-eins@e-omi.ne.jp</t>
    <phoneticPr fontId="4"/>
  </si>
  <si>
    <t>三木 拓也</t>
    <phoneticPr fontId="4"/>
  </si>
  <si>
    <t>奈良県香芝市瓦口2166番地</t>
    <phoneticPr fontId="4"/>
  </si>
  <si>
    <t>0745-71-2200</t>
    <phoneticPr fontId="4"/>
  </si>
  <si>
    <t>miki@nobiso.jp</t>
    <phoneticPr fontId="4"/>
  </si>
  <si>
    <t>中畠 義行</t>
    <phoneticPr fontId="4"/>
  </si>
  <si>
    <t>082-502-7720</t>
    <phoneticPr fontId="4"/>
  </si>
  <si>
    <t>y-nakahata@sakura-arch.co.jp</t>
    <phoneticPr fontId="4"/>
  </si>
  <si>
    <t>吉永 憲正</t>
    <phoneticPr fontId="4"/>
  </si>
  <si>
    <t>高知県高知市比島町3-19-9</t>
    <phoneticPr fontId="4"/>
  </si>
  <si>
    <t>088-822-9191</t>
    <phoneticPr fontId="4"/>
  </si>
  <si>
    <t>kyukyu@kcb-net.ne.jp</t>
    <phoneticPr fontId="4"/>
  </si>
  <si>
    <t>スギモト生肉冷凍倉庫</t>
    <phoneticPr fontId="4"/>
  </si>
  <si>
    <t>加藤 洋子</t>
    <phoneticPr fontId="4"/>
  </si>
  <si>
    <t>長野県岡谷市大栄町1-10-10</t>
    <phoneticPr fontId="4"/>
  </si>
  <si>
    <t>0266-22-4311</t>
    <phoneticPr fontId="4"/>
  </si>
  <si>
    <t>y.katou@suwasogo.co.jp</t>
    <phoneticPr fontId="4"/>
  </si>
  <si>
    <t>灰野 昭一</t>
    <phoneticPr fontId="4"/>
  </si>
  <si>
    <t>03-3695-8631</t>
    <phoneticPr fontId="4"/>
  </si>
  <si>
    <t>haino_kousetsu@nifty.com</t>
    <phoneticPr fontId="4"/>
  </si>
  <si>
    <t>阿部</t>
    <phoneticPr fontId="4"/>
  </si>
  <si>
    <t>abe-kobo@sea.plala.or.jp</t>
    <phoneticPr fontId="4"/>
  </si>
  <si>
    <t>太陽鉱油㈱4号線庄和SS</t>
    <phoneticPr fontId="4"/>
  </si>
  <si>
    <t>高野</t>
    <phoneticPr fontId="4"/>
  </si>
  <si>
    <t>takano@tiara.ocn.ne.jp</t>
    <phoneticPr fontId="4"/>
  </si>
  <si>
    <t>ヤンマー船用システム</t>
    <phoneticPr fontId="4"/>
  </si>
  <si>
    <t>藤波 篤</t>
    <phoneticPr fontId="4"/>
  </si>
  <si>
    <t>yhk02364@nifty.com</t>
    <phoneticPr fontId="4"/>
  </si>
  <si>
    <t>中川 敬雄</t>
    <phoneticPr fontId="4"/>
  </si>
  <si>
    <t>052-249-5652</t>
    <phoneticPr fontId="4"/>
  </si>
  <si>
    <t>m11268@daiwalease.jp</t>
    <phoneticPr fontId="4"/>
  </si>
  <si>
    <t>中川 敬雄</t>
    <phoneticPr fontId="4"/>
  </si>
  <si>
    <t>052-249-5652</t>
    <phoneticPr fontId="4"/>
  </si>
  <si>
    <t>加納 弘司</t>
    <phoneticPr fontId="4"/>
  </si>
  <si>
    <t>岐阜県関市中之保4594</t>
    <phoneticPr fontId="4"/>
  </si>
  <si>
    <t>s_plans@ccn.aitai.ne.jp</t>
    <phoneticPr fontId="4"/>
  </si>
  <si>
    <t>0575-40-0072</t>
    <phoneticPr fontId="4"/>
  </si>
  <si>
    <t>r-matsuda@tsukuba-ks.co.jp</t>
    <phoneticPr fontId="4"/>
  </si>
  <si>
    <t>久世 庸平</t>
    <phoneticPr fontId="4"/>
  </si>
  <si>
    <t>愛知県名 古屋 市中区錦二丁目18番5号 白川第6ビル8階</t>
    <phoneticPr fontId="4"/>
  </si>
  <si>
    <t>052-265-6401</t>
    <phoneticPr fontId="4"/>
  </si>
  <si>
    <t>h-sakai@morigumi.co.jp</t>
    <phoneticPr fontId="4"/>
  </si>
  <si>
    <t>永嶋 和彦</t>
    <phoneticPr fontId="4"/>
  </si>
  <si>
    <t>有限会社 永嶋建築設計事務所</t>
    <rPh sb="0" eb="2">
      <t>ユウゲン</t>
    </rPh>
    <rPh sb="2" eb="4">
      <t>カイシャ</t>
    </rPh>
    <rPh sb="5" eb="7">
      <t>ナガシマ</t>
    </rPh>
    <rPh sb="7" eb="9">
      <t>ケンチク</t>
    </rPh>
    <rPh sb="9" eb="11">
      <t>セッケイ</t>
    </rPh>
    <rPh sb="11" eb="13">
      <t>ジム</t>
    </rPh>
    <rPh sb="13" eb="14">
      <t>ショ</t>
    </rPh>
    <phoneticPr fontId="4"/>
  </si>
  <si>
    <t>有限会社 永嶋建築設計事務所</t>
    <rPh sb="5" eb="6">
      <t>ナガ</t>
    </rPh>
    <phoneticPr fontId="4"/>
  </si>
  <si>
    <t>022-279-5175</t>
    <phoneticPr fontId="4"/>
  </si>
  <si>
    <t>nagasima@sda.att.ne.jp</t>
    <phoneticPr fontId="4"/>
  </si>
  <si>
    <t>022-256-2139</t>
    <phoneticPr fontId="4"/>
  </si>
  <si>
    <t>cos-suga@vmail.plala.or.jp</t>
    <phoneticPr fontId="4"/>
  </si>
  <si>
    <t>菅原</t>
    <phoneticPr fontId="4"/>
  </si>
  <si>
    <t>平塚 雅昭</t>
    <phoneticPr fontId="4"/>
  </si>
  <si>
    <t>011-890-6050</t>
    <phoneticPr fontId="4"/>
  </si>
  <si>
    <t>hiratsuka@aipg.jp</t>
    <phoneticPr fontId="4"/>
  </si>
  <si>
    <t>山田 大生</t>
    <phoneticPr fontId="4"/>
  </si>
  <si>
    <t>0857-28-9112</t>
    <phoneticPr fontId="4"/>
  </si>
  <si>
    <t>鳥取県鳥取市岩吉96-30</t>
    <phoneticPr fontId="4"/>
  </si>
  <si>
    <t>h-yamada@tsukada-kenchiku.co.jp</t>
    <phoneticPr fontId="4"/>
  </si>
  <si>
    <t>山田 安司</t>
    <phoneticPr fontId="4"/>
  </si>
  <si>
    <t>yfry2006@bridge.ocn.ne.jp</t>
    <phoneticPr fontId="4"/>
  </si>
  <si>
    <t>田沼 恭章</t>
    <phoneticPr fontId="4"/>
  </si>
  <si>
    <t>山城</t>
    <phoneticPr fontId="4"/>
  </si>
  <si>
    <t>011-221-4971</t>
    <phoneticPr fontId="4"/>
  </si>
  <si>
    <t>skozo@crocus.ocn.ne.jp</t>
    <phoneticPr fontId="4"/>
  </si>
  <si>
    <t>冨樫 弘</t>
    <phoneticPr fontId="4"/>
  </si>
  <si>
    <t>023-685-5882</t>
    <phoneticPr fontId="4"/>
  </si>
  <si>
    <t>togashi.h@ace.ocn.ne.jp</t>
    <phoneticPr fontId="4"/>
  </si>
  <si>
    <t>島田 仁</t>
    <rPh sb="0" eb="2">
      <t>シマダ</t>
    </rPh>
    <rPh sb="3" eb="4">
      <t>ヒトシ</t>
    </rPh>
    <phoneticPr fontId="4"/>
  </si>
  <si>
    <t>0856-22-6587</t>
    <phoneticPr fontId="4"/>
  </si>
  <si>
    <t>島根県益田市幸町1番31号</t>
    <rPh sb="0" eb="3">
      <t>シマネケン</t>
    </rPh>
    <rPh sb="3" eb="6">
      <t>マスダシ</t>
    </rPh>
    <rPh sb="6" eb="7">
      <t>サイワイ</t>
    </rPh>
    <rPh sb="7" eb="8">
      <t>マチ</t>
    </rPh>
    <rPh sb="9" eb="10">
      <t>バン</t>
    </rPh>
    <rPh sb="12" eb="13">
      <t>ゴウ</t>
    </rPh>
    <phoneticPr fontId="4"/>
  </si>
  <si>
    <t>shima7@dream.ocn.ne.jp</t>
    <phoneticPr fontId="4"/>
  </si>
  <si>
    <t>中森 理恵</t>
    <phoneticPr fontId="4"/>
  </si>
  <si>
    <t>m11793@daiwalease.jp</t>
    <phoneticPr fontId="4"/>
  </si>
  <si>
    <t>三浦 伸</t>
    <phoneticPr fontId="4"/>
  </si>
  <si>
    <t>018-833-5555</t>
    <phoneticPr fontId="4"/>
  </si>
  <si>
    <t>s-miura@kusakai.co.jp</t>
    <phoneticPr fontId="4"/>
  </si>
  <si>
    <t>江藤</t>
    <phoneticPr fontId="4"/>
  </si>
  <si>
    <t>kei_eto@katahira-sekkei.com</t>
    <phoneticPr fontId="4"/>
  </si>
  <si>
    <t>伊計 直樹</t>
    <phoneticPr fontId="4"/>
  </si>
  <si>
    <t>082-501-3461</t>
    <phoneticPr fontId="4"/>
  </si>
  <si>
    <t>naoikei@daiwahouse.jp</t>
    <phoneticPr fontId="4"/>
  </si>
  <si>
    <t>武井 義正</t>
    <phoneticPr fontId="4"/>
  </si>
  <si>
    <t>011-641-5160</t>
    <phoneticPr fontId="4"/>
  </si>
  <si>
    <t>y-takei@hokuyou-ep.co.jp</t>
    <phoneticPr fontId="4"/>
  </si>
  <si>
    <t>水口 裕展</t>
    <phoneticPr fontId="4"/>
  </si>
  <si>
    <t>011-865-1691</t>
    <phoneticPr fontId="4"/>
  </si>
  <si>
    <t>mizuguchi@makitasekkei.co.jp</t>
    <phoneticPr fontId="4"/>
  </si>
  <si>
    <t>山幸物流</t>
    <phoneticPr fontId="4"/>
  </si>
  <si>
    <t>佐光 雄二郎</t>
    <phoneticPr fontId="4"/>
  </si>
  <si>
    <t>広島県福山市曙町4-3-18</t>
    <phoneticPr fontId="4"/>
  </si>
  <si>
    <t>084-957-5038</t>
    <phoneticPr fontId="4"/>
  </si>
  <si>
    <t>sa@lucks.co.jp</t>
    <phoneticPr fontId="4"/>
  </si>
  <si>
    <t>空田 昇</t>
    <phoneticPr fontId="4"/>
  </si>
  <si>
    <t>広島県福山市新涯町６-１０-３７</t>
    <phoneticPr fontId="4"/>
  </si>
  <si>
    <t>084-957-6464</t>
    <phoneticPr fontId="4"/>
  </si>
  <si>
    <t>sorada@okayamatc.co.jp</t>
    <phoneticPr fontId="4"/>
  </si>
  <si>
    <t>ヤマザワ漆山</t>
    <phoneticPr fontId="4"/>
  </si>
  <si>
    <t>一條 政範</t>
    <phoneticPr fontId="4"/>
  </si>
  <si>
    <t>023-666-7111</t>
    <phoneticPr fontId="4"/>
  </si>
  <si>
    <t>ichijo@hirabukisekkei.co.jp</t>
    <phoneticPr fontId="4"/>
  </si>
  <si>
    <t>ﾗﾝﾎﾞﾙｷﾞｰﾆ名古屋</t>
    <phoneticPr fontId="4"/>
  </si>
  <si>
    <t>村田</t>
    <rPh sb="0" eb="2">
      <t>ムラタ</t>
    </rPh>
    <phoneticPr fontId="4"/>
  </si>
  <si>
    <t>豊田車両 工場棟</t>
    <phoneticPr fontId="4"/>
  </si>
  <si>
    <t>赤崎 隆博</t>
    <phoneticPr fontId="4"/>
  </si>
  <si>
    <t>千葉県袖ヶ浦市南袖11番</t>
    <phoneticPr fontId="4"/>
  </si>
  <si>
    <t>0438-62-6404</t>
    <phoneticPr fontId="4"/>
  </si>
  <si>
    <t>t.akasaki@yokogawa-yess.co.jp</t>
    <phoneticPr fontId="4"/>
  </si>
  <si>
    <t>田村 律子</t>
    <phoneticPr fontId="4"/>
  </si>
  <si>
    <t>092-717-2666</t>
    <phoneticPr fontId="4"/>
  </si>
  <si>
    <t>ritsuko.tamura@nagawa.co.jp</t>
    <phoneticPr fontId="4"/>
  </si>
  <si>
    <t>佐藤 未紀</t>
    <phoneticPr fontId="4"/>
  </si>
  <si>
    <t>mi.satoh@yokogawa-yess.co.jp</t>
    <phoneticPr fontId="4"/>
  </si>
  <si>
    <t>特別養護老人ホーム「真砂寮」</t>
    <phoneticPr fontId="4"/>
  </si>
  <si>
    <t>ウエツジ</t>
    <phoneticPr fontId="4"/>
  </si>
  <si>
    <t>sankou77@nifty.com</t>
    <phoneticPr fontId="4"/>
  </si>
  <si>
    <t>企業主導型保育所ｷｯｽﾞﾙｰﾑにこにこ</t>
    <phoneticPr fontId="4"/>
  </si>
  <si>
    <t>佐治 和哉</t>
    <phoneticPr fontId="4"/>
  </si>
  <si>
    <t>082-504-5055</t>
    <phoneticPr fontId="4"/>
  </si>
  <si>
    <t>saji-kaduya@masuoka-g.co.jp</t>
    <phoneticPr fontId="4"/>
  </si>
  <si>
    <t>V・drug北丸子</t>
    <phoneticPr fontId="4"/>
  </si>
  <si>
    <t>奥山 辰雄</t>
    <phoneticPr fontId="4"/>
  </si>
  <si>
    <t>0823-25-5033</t>
    <phoneticPr fontId="4"/>
  </si>
  <si>
    <t>山形県鶴岡市山王町４-３０</t>
    <phoneticPr fontId="4"/>
  </si>
  <si>
    <t>oku-t1@sea.plala.or.jp</t>
    <phoneticPr fontId="4"/>
  </si>
  <si>
    <t>飯田 侑己</t>
    <phoneticPr fontId="4"/>
  </si>
  <si>
    <t>東京都新宿区高田馬場2-14-2 新陽ビル1006号室</t>
    <phoneticPr fontId="4"/>
  </si>
  <si>
    <t>iida@yat-str.co.jp</t>
    <phoneticPr fontId="4"/>
  </si>
  <si>
    <t>03-6233-8991</t>
    <phoneticPr fontId="4"/>
  </si>
  <si>
    <t>松田</t>
    <phoneticPr fontId="4"/>
  </si>
  <si>
    <t>原 優</t>
    <phoneticPr fontId="4"/>
  </si>
  <si>
    <t>千葉県袖ケ浦市南袖11番</t>
    <phoneticPr fontId="4"/>
  </si>
  <si>
    <t>yu.hara@yokogawa-yess.co.jp</t>
    <phoneticPr fontId="4"/>
  </si>
  <si>
    <t>高井</t>
    <phoneticPr fontId="4"/>
  </si>
  <si>
    <t>笹原 一馬</t>
    <phoneticPr fontId="4"/>
  </si>
  <si>
    <t>sasahara@e-chubu.co.jp</t>
    <phoneticPr fontId="4"/>
  </si>
  <si>
    <t>立本</t>
    <phoneticPr fontId="4"/>
  </si>
  <si>
    <t>tachimoto@kusuyama-arc.co.jp</t>
    <phoneticPr fontId="4"/>
  </si>
  <si>
    <t>022-224-1207</t>
    <phoneticPr fontId="4"/>
  </si>
  <si>
    <t>平間 勝久</t>
    <phoneticPr fontId="4"/>
  </si>
  <si>
    <t>dankozo-hirama@poppy.ocn.ne.jp</t>
    <phoneticPr fontId="4"/>
  </si>
  <si>
    <t>022-268-7442</t>
    <phoneticPr fontId="4"/>
  </si>
  <si>
    <t>小倉 敏宏</t>
    <phoneticPr fontId="4"/>
  </si>
  <si>
    <t>高村 雅男</t>
    <phoneticPr fontId="4"/>
  </si>
  <si>
    <t>東京都文京区本郷3-18-11　TYビル　7F</t>
    <phoneticPr fontId="4"/>
  </si>
  <si>
    <t>03-5918-6557</t>
    <phoneticPr fontId="4"/>
  </si>
  <si>
    <t>千葉</t>
    <phoneticPr fontId="4"/>
  </si>
  <si>
    <t>chiba@net-tpa.com</t>
    <phoneticPr fontId="4"/>
  </si>
  <si>
    <t>takamura@miracle.ocn.ne.jp</t>
    <phoneticPr fontId="4"/>
  </si>
  <si>
    <t>村田 佳秀</t>
    <phoneticPr fontId="4"/>
  </si>
  <si>
    <t>0246-64-8228</t>
    <phoneticPr fontId="4"/>
  </si>
  <si>
    <t>murata@kurehanishiki.co.jp</t>
    <phoneticPr fontId="4"/>
  </si>
  <si>
    <t>宿南 洋平</t>
    <phoneticPr fontId="4"/>
  </si>
  <si>
    <t>東京都千代田区紀尾井町3-6　紀尾井町パークビル</t>
    <phoneticPr fontId="4"/>
  </si>
  <si>
    <t>03-3237-8751</t>
    <phoneticPr fontId="4"/>
  </si>
  <si>
    <t>shukunami-yohei@plantec.co.jp</t>
    <phoneticPr fontId="4"/>
  </si>
  <si>
    <t>水﨑 喜章</t>
    <phoneticPr fontId="4"/>
  </si>
  <si>
    <t>mizz@aquadesign.biz</t>
    <phoneticPr fontId="4"/>
  </si>
  <si>
    <t>沼田 竜一</t>
    <phoneticPr fontId="4"/>
  </si>
  <si>
    <t>東京都大田区蒲田５丁目３８－３　蒲田朝日ビル ４階</t>
    <phoneticPr fontId="4"/>
  </si>
  <si>
    <t>03-5713-1011</t>
    <phoneticPr fontId="4"/>
  </si>
  <si>
    <t>numata@rui.ne.jp</t>
    <phoneticPr fontId="4"/>
  </si>
  <si>
    <t>a.amano@eco-kuwamoto.co.jp</t>
    <phoneticPr fontId="4"/>
  </si>
  <si>
    <t>渡部 恵一</t>
    <phoneticPr fontId="4"/>
  </si>
  <si>
    <t>022-291-2561</t>
    <phoneticPr fontId="4"/>
  </si>
  <si>
    <t>kura-watanabe@piano.ocn.ne.jp</t>
    <phoneticPr fontId="4"/>
  </si>
  <si>
    <t>仁串  誠</t>
    <phoneticPr fontId="4"/>
  </si>
  <si>
    <t>022-292-3656</t>
    <phoneticPr fontId="4"/>
  </si>
  <si>
    <t>nikushi-m@newarch.co.jp</t>
    <phoneticPr fontId="4"/>
  </si>
  <si>
    <t>天野 陽史</t>
    <phoneticPr fontId="4"/>
  </si>
  <si>
    <t>鳥取県米子市皆生6-1-25</t>
    <phoneticPr fontId="4"/>
  </si>
  <si>
    <t>0859-34-5811</t>
    <phoneticPr fontId="4"/>
  </si>
  <si>
    <t>松元 誠</t>
    <phoneticPr fontId="4"/>
  </si>
  <si>
    <t>06-6649-4866</t>
    <phoneticPr fontId="4"/>
  </si>
  <si>
    <t>makoto_matsumoto@fukui-sekkei.jp</t>
    <phoneticPr fontId="4"/>
  </si>
  <si>
    <t>ウット</t>
    <phoneticPr fontId="4"/>
  </si>
  <si>
    <t>近藤
ウット</t>
    <rPh sb="0" eb="2">
      <t>コンドウ</t>
    </rPh>
    <phoneticPr fontId="4"/>
  </si>
  <si>
    <t>杜 磊(ト ライ)</t>
    <phoneticPr fontId="4"/>
  </si>
  <si>
    <t>047-410-3221</t>
    <phoneticPr fontId="4"/>
  </si>
  <si>
    <t>千葉県船橋市山野町47番地1 横河ウエストビル３F</t>
    <phoneticPr fontId="4"/>
  </si>
  <si>
    <t>r.to@yokogawa-yess.co.jp</t>
    <phoneticPr fontId="4"/>
  </si>
  <si>
    <t>舘</t>
    <phoneticPr fontId="4"/>
  </si>
  <si>
    <t xml:space="preserve">sugi-kj@qc.commufa.jp </t>
    <phoneticPr fontId="4"/>
  </si>
  <si>
    <t>0564-71-7347</t>
    <phoneticPr fontId="4"/>
  </si>
  <si>
    <t>都市建築デザイン 株式会社</t>
    <phoneticPr fontId="4"/>
  </si>
  <si>
    <t>東京都文京区本郷4-1-7近江屋ビル6階</t>
    <phoneticPr fontId="4"/>
  </si>
  <si>
    <t>03-6801-6685</t>
    <phoneticPr fontId="4"/>
  </si>
  <si>
    <t>ishiyama@audesign.co.jp</t>
    <phoneticPr fontId="4"/>
  </si>
  <si>
    <t>t-omori@nakaizum.com</t>
    <phoneticPr fontId="4"/>
  </si>
  <si>
    <t>大森</t>
    <phoneticPr fontId="4"/>
  </si>
  <si>
    <t>三原 一浩</t>
    <phoneticPr fontId="4"/>
  </si>
  <si>
    <t>073-426-2451</t>
    <phoneticPr fontId="4"/>
  </si>
  <si>
    <t>maa@kzmaa.com</t>
    <phoneticPr fontId="4"/>
  </si>
  <si>
    <t>川路 朋尚</t>
    <phoneticPr fontId="4"/>
  </si>
  <si>
    <t>06-6233-8300</t>
    <phoneticPr fontId="4"/>
  </si>
  <si>
    <t>t.kawaji@yokogawa-yess.co.jp</t>
    <phoneticPr fontId="4"/>
  </si>
  <si>
    <t>亀山 英嗣</t>
    <phoneticPr fontId="4"/>
  </si>
  <si>
    <t>0852-54-2457</t>
    <phoneticPr fontId="4"/>
  </si>
  <si>
    <t>kura@ms10.megaegg.ne.jp</t>
    <phoneticPr fontId="4"/>
  </si>
  <si>
    <t>06-6353-1433</t>
    <phoneticPr fontId="4"/>
  </si>
  <si>
    <t>tomi77@gold.ocn.ne.jp</t>
    <phoneticPr fontId="4"/>
  </si>
  <si>
    <t>テニスコート東側倉庫</t>
    <phoneticPr fontId="4"/>
  </si>
  <si>
    <t>結束</t>
    <phoneticPr fontId="4"/>
  </si>
  <si>
    <t>ski@kessoku.co.jp</t>
    <phoneticPr fontId="4"/>
  </si>
  <si>
    <t>松田 亮磨</t>
    <phoneticPr fontId="4"/>
  </si>
  <si>
    <t>078-230-2730</t>
    <phoneticPr fontId="4"/>
  </si>
  <si>
    <t>sdo-akazawa@nifty.com</t>
    <phoneticPr fontId="4"/>
  </si>
  <si>
    <t>赤澤、岸</t>
    <phoneticPr fontId="4"/>
  </si>
  <si>
    <t>及川</t>
    <phoneticPr fontId="4"/>
  </si>
  <si>
    <t>宮城県遠田郡涌谷町下郡字竹の花14</t>
    <phoneticPr fontId="4"/>
  </si>
  <si>
    <t>0229-43-5677</t>
    <phoneticPr fontId="4"/>
  </si>
  <si>
    <t>oikawa@tera-s.jp</t>
    <phoneticPr fontId="4"/>
  </si>
  <si>
    <t>三原 政博</t>
    <phoneticPr fontId="4"/>
  </si>
  <si>
    <t>mihara@qualia-sekkei.jp</t>
    <phoneticPr fontId="4"/>
  </si>
  <si>
    <t>082-298-1241</t>
    <phoneticPr fontId="4"/>
  </si>
  <si>
    <t>長嶺</t>
    <phoneticPr fontId="4"/>
  </si>
  <si>
    <t>kazukozo@ht-net21.ne.jp</t>
    <phoneticPr fontId="4"/>
  </si>
  <si>
    <t>東京都豊島区南池袋2-14-10</t>
    <phoneticPr fontId="4"/>
  </si>
  <si>
    <t>03-3980-8484</t>
    <phoneticPr fontId="4"/>
  </si>
  <si>
    <t>仙波 陽介</t>
    <phoneticPr fontId="4"/>
  </si>
  <si>
    <t>y.semba@beams-dc.co.jp</t>
    <phoneticPr fontId="4"/>
  </si>
  <si>
    <t>宮森 康文</t>
    <phoneticPr fontId="4"/>
  </si>
  <si>
    <t>m.north.engineering@gmail.com</t>
    <phoneticPr fontId="4"/>
  </si>
  <si>
    <t>後藤 俊之</t>
    <phoneticPr fontId="4"/>
  </si>
  <si>
    <t>0166-85-6260</t>
    <phoneticPr fontId="4"/>
  </si>
  <si>
    <t>cube@potato.ne.jp</t>
    <phoneticPr fontId="4"/>
  </si>
  <si>
    <t>伊豆長岡学園</t>
    <phoneticPr fontId="4"/>
  </si>
  <si>
    <t>小山 大介</t>
    <phoneticPr fontId="4"/>
  </si>
  <si>
    <t>koyama.d@aoyama-d.jp</t>
    <phoneticPr fontId="4"/>
  </si>
  <si>
    <t>静岡県沼津市江原町13番24号</t>
    <phoneticPr fontId="4"/>
  </si>
  <si>
    <t>055-943-5078</t>
    <phoneticPr fontId="4"/>
  </si>
  <si>
    <t>関西マツダ松原</t>
    <phoneticPr fontId="4"/>
  </si>
  <si>
    <t>酒井 顕一</t>
    <phoneticPr fontId="4"/>
  </si>
  <si>
    <t>06-4792-1800</t>
    <phoneticPr fontId="4"/>
  </si>
  <si>
    <t>k_sakai@cojones.jp</t>
    <phoneticPr fontId="4"/>
  </si>
  <si>
    <t>柳澤 哲也</t>
    <phoneticPr fontId="4"/>
  </si>
  <si>
    <t>052-249-5652</t>
    <phoneticPr fontId="4"/>
  </si>
  <si>
    <t>t-yanagisawa@daiwalease.jp</t>
    <phoneticPr fontId="4"/>
  </si>
  <si>
    <t>k-kashiwai@nakaizum.com</t>
    <phoneticPr fontId="4"/>
  </si>
  <si>
    <t>柏井 恭平</t>
    <phoneticPr fontId="4"/>
  </si>
  <si>
    <t>村上 篤司</t>
    <phoneticPr fontId="4"/>
  </si>
  <si>
    <t>murakami.ofc@gmail.com</t>
    <phoneticPr fontId="4"/>
  </si>
  <si>
    <t>三岐通運</t>
    <phoneticPr fontId="4"/>
  </si>
  <si>
    <t>木村</t>
    <phoneticPr fontId="4"/>
  </si>
  <si>
    <t>yoshitomo_kimura@kitamuragumi.co.jp</t>
    <phoneticPr fontId="4"/>
  </si>
  <si>
    <t>三重県松阪市中央町306-1</t>
    <phoneticPr fontId="4"/>
  </si>
  <si>
    <t>0598-51-3801</t>
    <phoneticPr fontId="4"/>
  </si>
  <si>
    <t>千葉 直</t>
    <phoneticPr fontId="4"/>
  </si>
  <si>
    <t>福島県郡山市長者三丁目４番１号 武田ビル２０５</t>
    <phoneticPr fontId="4"/>
  </si>
  <si>
    <t>024-953-8312</t>
    <phoneticPr fontId="4"/>
  </si>
  <si>
    <t>yu-kozo@marble.ocn.ne.jp</t>
    <phoneticPr fontId="4"/>
  </si>
  <si>
    <t>浅野目 和博</t>
    <phoneticPr fontId="4"/>
  </si>
  <si>
    <t>011-612-1266</t>
    <phoneticPr fontId="4"/>
  </si>
  <si>
    <t>ebina-kozo@pop21.odn.ne.jp</t>
    <phoneticPr fontId="4"/>
  </si>
  <si>
    <t>下田部FM</t>
    <phoneticPr fontId="4"/>
  </si>
  <si>
    <t>吉田</t>
    <rPh sb="0" eb="2">
      <t>ヨシダ</t>
    </rPh>
    <phoneticPr fontId="4"/>
  </si>
  <si>
    <t>畑田 真</t>
    <phoneticPr fontId="4"/>
  </si>
  <si>
    <t>019-681-6331</t>
    <phoneticPr fontId="4"/>
  </si>
  <si>
    <t>mmm@m8.dion.ne.jp</t>
    <phoneticPr fontId="4"/>
  </si>
  <si>
    <t>内藤 貞中</t>
    <phoneticPr fontId="4"/>
  </si>
  <si>
    <t>019-681-1925</t>
    <phoneticPr fontId="4"/>
  </si>
  <si>
    <t>岩手県盛岡市開運橋通3-40</t>
    <phoneticPr fontId="4"/>
  </si>
  <si>
    <t>sada_n@nifty.com</t>
    <phoneticPr fontId="4"/>
  </si>
  <si>
    <t>原田 和彦</t>
    <phoneticPr fontId="4"/>
  </si>
  <si>
    <t>054-294-7642</t>
    <phoneticPr fontId="4"/>
  </si>
  <si>
    <t>harada@sekkei.tv</t>
    <phoneticPr fontId="4"/>
  </si>
  <si>
    <t>瀬川 孝友</t>
    <phoneticPr fontId="4"/>
  </si>
  <si>
    <t>t-segawa@asco-archi.co.jp</t>
    <phoneticPr fontId="4"/>
  </si>
  <si>
    <t>青森県青森市油川字千刈115-9</t>
    <phoneticPr fontId="4"/>
  </si>
  <si>
    <t>017-787-3283</t>
    <phoneticPr fontId="4"/>
  </si>
  <si>
    <t>tobisawa.struct@rose.plala.or.jp</t>
    <phoneticPr fontId="4"/>
  </si>
  <si>
    <t>飛澤 則男</t>
    <phoneticPr fontId="4"/>
  </si>
  <si>
    <t>白石 梢</t>
    <phoneticPr fontId="4"/>
  </si>
  <si>
    <t>神奈川県川崎市多摩区生田５－１１－１</t>
    <phoneticPr fontId="4"/>
  </si>
  <si>
    <t>044-954-9262</t>
    <phoneticPr fontId="4"/>
  </si>
  <si>
    <t>urbia@nifty.com</t>
    <phoneticPr fontId="4"/>
  </si>
  <si>
    <t>河野 良輔</t>
    <phoneticPr fontId="4"/>
  </si>
  <si>
    <t>0836-31-1020</t>
    <phoneticPr fontId="4"/>
  </si>
  <si>
    <t>hydesign@bronze.ocn.ne.jp</t>
    <phoneticPr fontId="4"/>
  </si>
  <si>
    <t>阿邉 真幸</t>
    <phoneticPr fontId="4"/>
  </si>
  <si>
    <t>m-abe@sanyosekkei.co.jp</t>
    <phoneticPr fontId="4"/>
  </si>
  <si>
    <t>安達 純子</t>
    <phoneticPr fontId="4"/>
  </si>
  <si>
    <t>m12010@daiwalease.jp</t>
    <phoneticPr fontId="4"/>
  </si>
  <si>
    <t>086-245-1391</t>
    <phoneticPr fontId="4"/>
  </si>
  <si>
    <t>大坂 英人</t>
    <phoneticPr fontId="4"/>
  </si>
  <si>
    <t>076-442-4161</t>
    <phoneticPr fontId="4"/>
  </si>
  <si>
    <t>osk-h@chubu-sekkei.co.jp</t>
    <phoneticPr fontId="4"/>
  </si>
  <si>
    <t>加藤</t>
    <phoneticPr fontId="4"/>
  </si>
  <si>
    <t>kato@arasiki.com</t>
    <phoneticPr fontId="4"/>
  </si>
  <si>
    <t>安達</t>
    <phoneticPr fontId="4"/>
  </si>
  <si>
    <t xml:space="preserve">ｽｰﾊﾟｰﾊﾞﾘｭｰ </t>
    <phoneticPr fontId="4"/>
  </si>
  <si>
    <t>川上 澄雄</t>
    <phoneticPr fontId="4"/>
  </si>
  <si>
    <t>東京都豊島区東池袋3-11-8 サンライズ小林802</t>
    <phoneticPr fontId="4"/>
  </si>
  <si>
    <t>03-3971-7774</t>
    <phoneticPr fontId="4"/>
  </si>
  <si>
    <t>k-kouzou@sea.plala.or.jp</t>
    <phoneticPr fontId="4"/>
  </si>
  <si>
    <t>久保</t>
    <phoneticPr fontId="4"/>
  </si>
  <si>
    <t>kubo333@mikamikouzou.co.jp</t>
    <phoneticPr fontId="4"/>
  </si>
  <si>
    <t>榛葉　亮太</t>
    <phoneticPr fontId="4"/>
  </si>
  <si>
    <t>ryouta_shinba@nishimatsu.co.jp</t>
    <phoneticPr fontId="4"/>
  </si>
  <si>
    <t>06-6942-1538</t>
    <phoneticPr fontId="4"/>
  </si>
  <si>
    <t>小場 正剛</t>
    <phoneticPr fontId="4"/>
  </si>
  <si>
    <t>082-230-8811</t>
    <phoneticPr fontId="4"/>
  </si>
  <si>
    <t>asic.s.koba@ac.auone-net.jp</t>
    <phoneticPr fontId="4"/>
  </si>
  <si>
    <t>小針 智幸</t>
    <phoneticPr fontId="4"/>
  </si>
  <si>
    <t>019-614-3222</t>
    <phoneticPr fontId="4"/>
  </si>
  <si>
    <t>tk@a-nord.com</t>
    <phoneticPr fontId="4"/>
  </si>
  <si>
    <t>fukaya@estructura.co.jp</t>
    <phoneticPr fontId="4"/>
  </si>
  <si>
    <t>深谷 桂恵</t>
    <phoneticPr fontId="4"/>
  </si>
  <si>
    <t>06-4705-8080</t>
    <phoneticPr fontId="4"/>
  </si>
  <si>
    <t>現説</t>
    <rPh sb="0" eb="2">
      <t>ゲンセツ</t>
    </rPh>
    <phoneticPr fontId="4"/>
  </si>
  <si>
    <t>着工</t>
    <rPh sb="0" eb="2">
      <t>チャッコウ</t>
    </rPh>
    <phoneticPr fontId="4"/>
  </si>
  <si>
    <t>2020.11OPEN</t>
    <phoneticPr fontId="4"/>
  </si>
  <si>
    <t>増田 大弘</t>
    <phoneticPr fontId="4"/>
  </si>
  <si>
    <t>06-6205-6087</t>
    <phoneticPr fontId="4"/>
  </si>
  <si>
    <t>masuda@yuken-ind.com</t>
    <phoneticPr fontId="4"/>
  </si>
  <si>
    <t>角田 浩</t>
    <phoneticPr fontId="4"/>
  </si>
  <si>
    <t>長野県長野市柳原 2360-4</t>
    <phoneticPr fontId="4"/>
  </si>
  <si>
    <t>026-296-8300</t>
    <phoneticPr fontId="4"/>
  </si>
  <si>
    <t>h-tsunoda@aca-sekkei.co.jp</t>
    <phoneticPr fontId="4"/>
  </si>
  <si>
    <t>具志</t>
    <phoneticPr fontId="4"/>
  </si>
  <si>
    <t>sanplus@sp-sekkei.com</t>
    <phoneticPr fontId="4"/>
  </si>
  <si>
    <t>佐藤</t>
    <phoneticPr fontId="4"/>
  </si>
  <si>
    <t>item@iaa.itkeeper.ne.jp</t>
    <phoneticPr fontId="4"/>
  </si>
  <si>
    <t>takaoki@ds-sekkei.co.jp</t>
    <phoneticPr fontId="4"/>
  </si>
  <si>
    <t>048-825-9391</t>
    <phoneticPr fontId="4"/>
  </si>
  <si>
    <t>伊藤 孝興</t>
    <phoneticPr fontId="4"/>
  </si>
  <si>
    <t>峰﨑 美佳</t>
    <phoneticPr fontId="4"/>
  </si>
  <si>
    <t>山根 栄治</t>
    <phoneticPr fontId="4"/>
  </si>
  <si>
    <t>広島県呉市本通４丁目７-７</t>
    <phoneticPr fontId="4"/>
  </si>
  <si>
    <t>0823-43-1378</t>
    <phoneticPr fontId="4"/>
  </si>
  <si>
    <t>info@m-archi.co.jp</t>
    <phoneticPr fontId="4"/>
  </si>
  <si>
    <t>m12006@daiwalease.jp</t>
    <phoneticPr fontId="4"/>
  </si>
  <si>
    <t>青木 基晃</t>
    <phoneticPr fontId="4"/>
  </si>
  <si>
    <t>n-ohira@span-design.jp</t>
    <phoneticPr fontId="4"/>
  </si>
  <si>
    <t>東京都渋谷区恵比寿西1-30-10　代官山イルテンポ305</t>
    <phoneticPr fontId="4"/>
  </si>
  <si>
    <t>03-5784-9330</t>
    <phoneticPr fontId="4"/>
  </si>
  <si>
    <t>大平 徳雄</t>
    <phoneticPr fontId="4"/>
  </si>
  <si>
    <t>鈴木リカルド敏夫</t>
    <phoneticPr fontId="4"/>
  </si>
  <si>
    <t>022-256-2139</t>
    <phoneticPr fontId="4"/>
  </si>
  <si>
    <t>cos-srt@vmail.plala.or.jp</t>
    <phoneticPr fontId="4"/>
  </si>
  <si>
    <t xml:space="preserve">佐々木 謙 </t>
    <phoneticPr fontId="4"/>
  </si>
  <si>
    <t>03-5294-6211</t>
    <phoneticPr fontId="4"/>
  </si>
  <si>
    <t>sasaki.ken@ito-aei.co.jp</t>
    <phoneticPr fontId="4"/>
  </si>
  <si>
    <t>arimura-kentiku@kna.biglobe.ne.jp</t>
    <phoneticPr fontId="4"/>
  </si>
  <si>
    <t>小西 清繁</t>
    <phoneticPr fontId="4"/>
  </si>
  <si>
    <t>konishi-kiyoshige@sei-k.jp</t>
    <phoneticPr fontId="4"/>
  </si>
  <si>
    <t>セイノーエンジニアリング</t>
    <phoneticPr fontId="4"/>
  </si>
  <si>
    <t>袴田</t>
    <phoneticPr fontId="4"/>
  </si>
  <si>
    <t>hakamada@nihonkensetsu.co.jp</t>
    <phoneticPr fontId="4"/>
  </si>
  <si>
    <t>亀川 綾子</t>
    <phoneticPr fontId="4"/>
  </si>
  <si>
    <t>06-6578-0400</t>
    <phoneticPr fontId="4"/>
  </si>
  <si>
    <t>kamegawa-r@ad-b.co.jp</t>
    <phoneticPr fontId="4"/>
  </si>
  <si>
    <t>赤谷 典夫</t>
    <phoneticPr fontId="4"/>
  </si>
  <si>
    <t>小池 雄二</t>
    <phoneticPr fontId="4"/>
  </si>
  <si>
    <t>096-366-2111</t>
    <phoneticPr fontId="4"/>
  </si>
  <si>
    <t>kaihatu@kotakegumi.jp</t>
    <phoneticPr fontId="4"/>
  </si>
  <si>
    <t>山根 智香</t>
    <rPh sb="1" eb="2">
      <t>ネ</t>
    </rPh>
    <phoneticPr fontId="4"/>
  </si>
  <si>
    <t>大橋 良則</t>
    <phoneticPr fontId="4"/>
  </si>
  <si>
    <t>03-6426-2315</t>
    <phoneticPr fontId="4"/>
  </si>
  <si>
    <t>info@chc-inc.co.jp</t>
    <phoneticPr fontId="4"/>
  </si>
  <si>
    <t>寺嶋 健太</t>
    <phoneticPr fontId="4"/>
  </si>
  <si>
    <t>06-6241-1580</t>
    <phoneticPr fontId="4"/>
  </si>
  <si>
    <t>tra@gendaikozo.co.jp</t>
    <phoneticPr fontId="4"/>
  </si>
  <si>
    <t>南波 篤志</t>
    <phoneticPr fontId="4"/>
  </si>
  <si>
    <t>namba1224@kanaikozo.jp</t>
    <phoneticPr fontId="4"/>
  </si>
  <si>
    <t>082-248-4103</t>
    <phoneticPr fontId="4"/>
  </si>
  <si>
    <t>篠崎 太郎</t>
    <phoneticPr fontId="4"/>
  </si>
  <si>
    <t>香川県高松市塩上町10-5 池商はせ川ビル３Ｆ</t>
    <phoneticPr fontId="4"/>
  </si>
  <si>
    <t>087-831-0868</t>
    <phoneticPr fontId="4"/>
  </si>
  <si>
    <t>t.shinozaki@nisseibuild.co.jp</t>
    <phoneticPr fontId="4"/>
  </si>
  <si>
    <t>姜 雅忠</t>
    <phoneticPr fontId="4"/>
  </si>
  <si>
    <t>村松 昭規</t>
    <phoneticPr fontId="4"/>
  </si>
  <si>
    <t>wbs96974@mail.wbs.ne.jp</t>
    <phoneticPr fontId="4"/>
  </si>
  <si>
    <t>安達</t>
    <phoneticPr fontId="4"/>
  </si>
  <si>
    <t>0774-34-0822</t>
    <phoneticPr fontId="4"/>
  </si>
  <si>
    <t>koshino@fine.ocn.ne.jp</t>
    <phoneticPr fontId="4"/>
  </si>
  <si>
    <t>宇治市折居台二丁目1-35</t>
    <phoneticPr fontId="4"/>
  </si>
  <si>
    <t>越野 孝之</t>
    <phoneticPr fontId="4"/>
  </si>
  <si>
    <t>山崎</t>
    <phoneticPr fontId="4"/>
  </si>
  <si>
    <t>090-3969-1799</t>
    <phoneticPr fontId="4"/>
  </si>
  <si>
    <t>hy_sao@yahoo.co.jp</t>
    <phoneticPr fontId="4"/>
  </si>
  <si>
    <t>森田</t>
    <phoneticPr fontId="4"/>
  </si>
  <si>
    <t>morita-yuuki@bcj.ne.jp</t>
    <phoneticPr fontId="4"/>
  </si>
  <si>
    <t>古松</t>
    <phoneticPr fontId="4"/>
  </si>
  <si>
    <t>s-furumatsu@sanyosekkei.co.jp</t>
    <phoneticPr fontId="4"/>
  </si>
  <si>
    <t>有限会社 中部設計</t>
    <phoneticPr fontId="4"/>
  </si>
  <si>
    <t>宮腰</t>
    <phoneticPr fontId="4"/>
  </si>
  <si>
    <t>chuubu_m@car.ocn.ne.jp</t>
    <phoneticPr fontId="4"/>
  </si>
  <si>
    <t>特別養護老人ホーム 偕生園</t>
    <phoneticPr fontId="4"/>
  </si>
  <si>
    <t>塩野建築設計事務所</t>
    <phoneticPr fontId="4"/>
  </si>
  <si>
    <t>森山</t>
    <rPh sb="0" eb="2">
      <t>モリヤマ</t>
    </rPh>
    <phoneticPr fontId="4"/>
  </si>
  <si>
    <t>shiono-02@m1.izumo.ne.jp</t>
    <phoneticPr fontId="4"/>
  </si>
  <si>
    <t>及川 静香</t>
    <phoneticPr fontId="4"/>
  </si>
  <si>
    <t>愛知県豊川市三蔵子町橋本22-1</t>
    <phoneticPr fontId="4"/>
  </si>
  <si>
    <t>0533-84-1521</t>
    <phoneticPr fontId="4"/>
  </si>
  <si>
    <t>oikawa@tia-arch.co.jp</t>
    <phoneticPr fontId="4"/>
  </si>
  <si>
    <t>スーパーサンシ</t>
    <phoneticPr fontId="4"/>
  </si>
  <si>
    <t>西村 覚</t>
    <phoneticPr fontId="4"/>
  </si>
  <si>
    <t>059-229-5677</t>
    <phoneticPr fontId="4"/>
  </si>
  <si>
    <t>nd0682@nippondoken.co.jp</t>
    <phoneticPr fontId="4"/>
  </si>
  <si>
    <t>052-265-6401</t>
    <phoneticPr fontId="4"/>
  </si>
  <si>
    <t>t.maeda@nagoya-sd.co.jp</t>
    <phoneticPr fontId="4"/>
  </si>
  <si>
    <t>前田 哲也</t>
    <phoneticPr fontId="4"/>
  </si>
  <si>
    <t>猪股 静香</t>
    <phoneticPr fontId="4"/>
  </si>
  <si>
    <t>022-249-8688</t>
    <phoneticPr fontId="4"/>
  </si>
  <si>
    <t>m12432@daiwalease.jp</t>
    <phoneticPr fontId="4"/>
  </si>
  <si>
    <t>能登</t>
    <phoneticPr fontId="4"/>
  </si>
  <si>
    <t>notokozo@theia.ocn.ne.jp</t>
    <phoneticPr fontId="4"/>
  </si>
  <si>
    <t>道又 哲也</t>
    <phoneticPr fontId="4"/>
  </si>
  <si>
    <t>0154-52-0565</t>
    <phoneticPr fontId="4"/>
  </si>
  <si>
    <t>michimata@s-juken.com</t>
    <phoneticPr fontId="4"/>
  </si>
  <si>
    <t>猪股 静香</t>
    <phoneticPr fontId="4"/>
  </si>
  <si>
    <t>m12432@daiwalease.jp</t>
    <phoneticPr fontId="4"/>
  </si>
  <si>
    <t>022-249-8688</t>
    <phoneticPr fontId="4"/>
  </si>
  <si>
    <t>y-minami@puro1.net</t>
    <phoneticPr fontId="4"/>
  </si>
  <si>
    <t>南 義秀</t>
    <phoneticPr fontId="4"/>
  </si>
  <si>
    <t>011-205-0071</t>
    <phoneticPr fontId="4"/>
  </si>
  <si>
    <t>田邉</t>
    <phoneticPr fontId="4"/>
  </si>
  <si>
    <t>tanabe_s@ysekkei.jp</t>
    <phoneticPr fontId="4"/>
  </si>
  <si>
    <t>江口 義之</t>
    <phoneticPr fontId="4"/>
  </si>
  <si>
    <t>092-282-4189</t>
    <phoneticPr fontId="4"/>
  </si>
  <si>
    <t>y_eguchi@watahan.co.jp</t>
    <phoneticPr fontId="4"/>
  </si>
  <si>
    <t>ヤマイシ水産加工施設</t>
    <phoneticPr fontId="4"/>
  </si>
  <si>
    <t>永野</t>
    <phoneticPr fontId="4"/>
  </si>
  <si>
    <t>017-723-6066</t>
    <phoneticPr fontId="4"/>
  </si>
  <si>
    <t>nagano@yashima-ae.com</t>
    <phoneticPr fontId="4"/>
  </si>
  <si>
    <t>ヤマザワ村山駅西町</t>
    <phoneticPr fontId="4"/>
  </si>
  <si>
    <t>黒部</t>
    <phoneticPr fontId="4"/>
  </si>
  <si>
    <t>wkd@pop02.odn.ne.jp</t>
    <phoneticPr fontId="4"/>
  </si>
  <si>
    <t>永江 俊祐</t>
    <phoneticPr fontId="4"/>
  </si>
  <si>
    <t>s-nagae@sumi-arc.com</t>
    <phoneticPr fontId="4"/>
  </si>
  <si>
    <t>北海道函館市豊川町21番7号</t>
    <phoneticPr fontId="4"/>
  </si>
  <si>
    <t>0138-22-2171</t>
    <phoneticPr fontId="4"/>
  </si>
  <si>
    <t>広井 徹</t>
    <phoneticPr fontId="4"/>
  </si>
  <si>
    <t>0248-23-1788</t>
    <phoneticPr fontId="4"/>
  </si>
  <si>
    <t>福島県白河市田町92</t>
    <phoneticPr fontId="4"/>
  </si>
  <si>
    <t>hemmi@d2.dion.ne.jp</t>
    <phoneticPr fontId="4"/>
  </si>
  <si>
    <t>内山</t>
    <phoneticPr fontId="4"/>
  </si>
  <si>
    <t>o183@mtc.biglobe.ne.jp</t>
    <phoneticPr fontId="4"/>
  </si>
  <si>
    <t>王 長山</t>
    <phoneticPr fontId="4"/>
  </si>
  <si>
    <t>na.ou@yokogawa-yess.co.jp</t>
    <phoneticPr fontId="4"/>
  </si>
  <si>
    <t>渡部 栄蔵</t>
    <phoneticPr fontId="4"/>
  </si>
  <si>
    <t>w-eizo@ms3.omn.ne.jp</t>
    <phoneticPr fontId="4"/>
  </si>
  <si>
    <t>清水 幸広</t>
    <phoneticPr fontId="4"/>
  </si>
  <si>
    <t>055-951-2999</t>
    <phoneticPr fontId="4"/>
  </si>
  <si>
    <t>yuki.shimizu@nifty.com</t>
    <phoneticPr fontId="4"/>
  </si>
  <si>
    <t>永松 広宣</t>
    <phoneticPr fontId="4"/>
  </si>
  <si>
    <t>愛媛県松山市竹原2丁目13-24 ハイシティ松山別棟2階</t>
    <phoneticPr fontId="4"/>
  </si>
  <si>
    <t>089-947-0160</t>
    <phoneticPr fontId="4"/>
  </si>
  <si>
    <t>nagamatsu.hironobu@aisekkei.co.jp</t>
    <phoneticPr fontId="4"/>
  </si>
  <si>
    <t>nose@ang.co.jp</t>
    <phoneticPr fontId="4"/>
  </si>
  <si>
    <t>能勢 和彦</t>
    <phoneticPr fontId="4"/>
  </si>
  <si>
    <t>佐々木 誠治</t>
    <phoneticPr fontId="4"/>
  </si>
  <si>
    <t>017-741-5084</t>
    <phoneticPr fontId="4"/>
  </si>
  <si>
    <t>s-sasaki@taira-yamaguchi.co.jp</t>
    <phoneticPr fontId="4"/>
  </si>
  <si>
    <t>河野</t>
    <phoneticPr fontId="4"/>
  </si>
  <si>
    <t>k.kouno@nisseibuild.co.jp</t>
    <phoneticPr fontId="4"/>
  </si>
  <si>
    <t>広島支店</t>
    <rPh sb="0" eb="2">
      <t>ヒロシマ</t>
    </rPh>
    <rPh sb="2" eb="4">
      <t>シテン</t>
    </rPh>
    <phoneticPr fontId="4"/>
  </si>
  <si>
    <t>小山 大介</t>
    <phoneticPr fontId="4"/>
  </si>
  <si>
    <t>koyama.d@aoyama-d.jp</t>
    <phoneticPr fontId="4"/>
  </si>
  <si>
    <t>静岡県沼津市江原町13番24号</t>
    <phoneticPr fontId="4"/>
  </si>
  <si>
    <t>055-943-5078</t>
    <phoneticPr fontId="4"/>
  </si>
  <si>
    <t>清水</t>
    <phoneticPr fontId="4"/>
  </si>
  <si>
    <t>徳田 好克</t>
    <phoneticPr fontId="4"/>
  </si>
  <si>
    <t>045-262-8090</t>
    <phoneticPr fontId="4"/>
  </si>
  <si>
    <t>神奈川県横浜市中区蓬莱町2-4-1 横浜大通り公園ビル　8階</t>
    <phoneticPr fontId="4"/>
  </si>
  <si>
    <t>tokuda.yoshikatsu@aisekkei.co.jp</t>
    <phoneticPr fontId="4"/>
  </si>
  <si>
    <t>川合 博之</t>
    <phoneticPr fontId="4"/>
  </si>
  <si>
    <t>kawai-uenoyama@vesta.ocn.ne.jp</t>
    <phoneticPr fontId="4"/>
  </si>
  <si>
    <t>バロー塩尻</t>
    <phoneticPr fontId="4"/>
  </si>
  <si>
    <t>積村不動産事務所</t>
    <phoneticPr fontId="4"/>
  </si>
  <si>
    <t>松島 章人</t>
    <phoneticPr fontId="4"/>
  </si>
  <si>
    <t>matsushima-uenoyama@tea.ocn.ne.jp</t>
    <phoneticPr fontId="4"/>
  </si>
  <si>
    <t>バロー松本</t>
    <phoneticPr fontId="4"/>
  </si>
  <si>
    <t>宮下</t>
    <phoneticPr fontId="4"/>
  </si>
  <si>
    <t>a-miyashita@sanyosekkei.co.jp</t>
    <phoneticPr fontId="4"/>
  </si>
  <si>
    <t>ハピッシュ新小田中</t>
    <phoneticPr fontId="4"/>
  </si>
  <si>
    <t>ハローズ西条 テナント1棟</t>
    <phoneticPr fontId="4"/>
  </si>
  <si>
    <t>ハローズ岡南店</t>
    <phoneticPr fontId="4"/>
  </si>
  <si>
    <t>バロー大津ショッピングセンター</t>
    <phoneticPr fontId="4"/>
  </si>
  <si>
    <t>バロー焼津石津</t>
    <phoneticPr fontId="4"/>
  </si>
  <si>
    <t>バロー浜松中野</t>
    <phoneticPr fontId="4"/>
  </si>
  <si>
    <t>バロー蟹江</t>
    <phoneticPr fontId="4"/>
  </si>
  <si>
    <t>バロー北浜田</t>
    <phoneticPr fontId="4"/>
  </si>
  <si>
    <t>バロー掛川成滝</t>
    <phoneticPr fontId="4"/>
  </si>
  <si>
    <t>バロー焼津 食品スーパー棟</t>
    <phoneticPr fontId="4"/>
  </si>
  <si>
    <t>バロー東起</t>
    <phoneticPr fontId="4"/>
  </si>
  <si>
    <t>V・drug各務原</t>
    <phoneticPr fontId="4"/>
  </si>
  <si>
    <t>バロー栗東</t>
    <phoneticPr fontId="4"/>
  </si>
  <si>
    <t>バロー浜松中島</t>
    <phoneticPr fontId="4"/>
  </si>
  <si>
    <t>西遠丸百農業協同組合事務所</t>
    <phoneticPr fontId="4"/>
  </si>
  <si>
    <t>バロー富木島店</t>
    <phoneticPr fontId="4"/>
  </si>
  <si>
    <t>バロー豊川</t>
    <phoneticPr fontId="4"/>
  </si>
  <si>
    <t>バロー上田秋和</t>
    <phoneticPr fontId="4"/>
  </si>
  <si>
    <t>バロー大垣中ノ江</t>
    <phoneticPr fontId="4"/>
  </si>
  <si>
    <t>Suzuki@pfkura.co.jp</t>
    <phoneticPr fontId="4"/>
  </si>
  <si>
    <t>鈴木</t>
    <phoneticPr fontId="4"/>
  </si>
  <si>
    <t>千種新西店舗</t>
    <phoneticPr fontId="4"/>
  </si>
  <si>
    <t>西新井店</t>
    <phoneticPr fontId="4"/>
  </si>
  <si>
    <t>松田 正明</t>
    <phoneticPr fontId="4"/>
  </si>
  <si>
    <t>matsuda@pfkura.co.jp</t>
    <phoneticPr fontId="4"/>
  </si>
  <si>
    <t>皆川 孝司</t>
    <phoneticPr fontId="4"/>
  </si>
  <si>
    <t xml:space="preserve">minagawa@pfkura.co.jp </t>
    <phoneticPr fontId="4"/>
  </si>
  <si>
    <t>熊本光の森店舗</t>
    <phoneticPr fontId="4"/>
  </si>
  <si>
    <t>坂本 雅敏</t>
    <phoneticPr fontId="4"/>
  </si>
  <si>
    <t>089-947-0160</t>
    <phoneticPr fontId="4"/>
  </si>
  <si>
    <t>愛媛県松山市竹原2丁目13-24 ハイシティ松山別棟2階</t>
    <phoneticPr fontId="4"/>
  </si>
  <si>
    <t>abs_k@xpost.plala.or.jp</t>
    <phoneticPr fontId="4"/>
  </si>
  <si>
    <t>0154-36-0140</t>
    <phoneticPr fontId="4"/>
  </si>
  <si>
    <t>花田 善廣</t>
    <phoneticPr fontId="4"/>
  </si>
  <si>
    <t>仁木 洋介</t>
    <phoneticPr fontId="4"/>
  </si>
  <si>
    <t>075-211-3211</t>
    <phoneticPr fontId="4"/>
  </si>
  <si>
    <t>yniki@kaneshita.co.jp</t>
    <phoneticPr fontId="4"/>
  </si>
  <si>
    <t>亀川 綾子</t>
    <phoneticPr fontId="4"/>
  </si>
  <si>
    <t>06-6578-0400</t>
    <phoneticPr fontId="4"/>
  </si>
  <si>
    <t>kamegawa-r@ad-b.co.jp</t>
    <phoneticPr fontId="4"/>
  </si>
  <si>
    <t>中村 誠二</t>
    <phoneticPr fontId="4"/>
  </si>
  <si>
    <t>026-235-3280</t>
    <phoneticPr fontId="4"/>
  </si>
  <si>
    <t>sss@lime.plala.or.jp</t>
    <phoneticPr fontId="4"/>
  </si>
  <si>
    <t>亀井 義明</t>
    <phoneticPr fontId="4"/>
  </si>
  <si>
    <t>088-832-1234</t>
    <phoneticPr fontId="4"/>
  </si>
  <si>
    <t>y.kamei@vesta.ocn.ne.jp</t>
    <phoneticPr fontId="4"/>
  </si>
  <si>
    <t>石井 康雄</t>
    <phoneticPr fontId="4"/>
  </si>
  <si>
    <t>Compass-ao@msj.biglobe.ne.jp</t>
    <phoneticPr fontId="4"/>
  </si>
  <si>
    <t>06-6539-5397</t>
    <phoneticPr fontId="4"/>
  </si>
  <si>
    <t>M-CLINIC</t>
    <phoneticPr fontId="4"/>
  </si>
  <si>
    <t>tak@asd-jp.com</t>
    <phoneticPr fontId="4"/>
  </si>
  <si>
    <t>田畑 孝幸</t>
    <phoneticPr fontId="4"/>
  </si>
  <si>
    <t>神奈川県横浜市中区花咲町2-57-701</t>
    <phoneticPr fontId="4"/>
  </si>
  <si>
    <t>090-3222-6801</t>
    <phoneticPr fontId="4"/>
  </si>
  <si>
    <t>加藤</t>
    <phoneticPr fontId="4"/>
  </si>
  <si>
    <t>info@zerom.co.jp</t>
    <phoneticPr fontId="4"/>
  </si>
  <si>
    <t>011-813-8175</t>
    <phoneticPr fontId="4"/>
  </si>
  <si>
    <t>武井 清次</t>
    <phoneticPr fontId="4"/>
  </si>
  <si>
    <t>0266-72-3236</t>
    <phoneticPr fontId="4"/>
  </si>
  <si>
    <t>長野県茅野市中大塩22-85</t>
    <phoneticPr fontId="4"/>
  </si>
  <si>
    <t>formplan.1979@diary.ocn.ne.jp</t>
    <phoneticPr fontId="4"/>
  </si>
  <si>
    <t>押谷</t>
    <phoneticPr fontId="4"/>
  </si>
  <si>
    <t>小林</t>
    <phoneticPr fontId="4"/>
  </si>
  <si>
    <t>大阪府松原市天美西4丁目176-1</t>
    <phoneticPr fontId="4"/>
  </si>
  <si>
    <t>072-349-3770</t>
    <phoneticPr fontId="4"/>
  </si>
  <si>
    <t>masakik1@silver.ocn.ne.jp</t>
    <phoneticPr fontId="4"/>
  </si>
  <si>
    <t>池田 和隆</t>
    <phoneticPr fontId="4"/>
  </si>
  <si>
    <t>k_ikeda@qualia-sekkei.jp</t>
    <phoneticPr fontId="4"/>
  </si>
  <si>
    <t>塩尻 健士</t>
    <phoneticPr fontId="4"/>
  </si>
  <si>
    <t>shiojiri@wellstone-se.com</t>
    <phoneticPr fontId="4"/>
  </si>
  <si>
    <t>千葉県成田市馬橋１－１８　ウエルストン３階</t>
    <phoneticPr fontId="4"/>
  </si>
  <si>
    <t>0476-22-8116</t>
    <phoneticPr fontId="4"/>
  </si>
  <si>
    <t>三井 正博</t>
    <phoneticPr fontId="4"/>
  </si>
  <si>
    <t>東京都墨田区立花3-2-6-502</t>
    <phoneticPr fontId="4"/>
  </si>
  <si>
    <t>03-5630-6374</t>
    <phoneticPr fontId="4"/>
  </si>
  <si>
    <t>mmsekkei@gmail.com</t>
    <phoneticPr fontId="4"/>
  </si>
  <si>
    <t>福田 紫苑</t>
    <phoneticPr fontId="4"/>
  </si>
  <si>
    <t>s.fukuda@tairasekkei.com</t>
    <phoneticPr fontId="4"/>
  </si>
  <si>
    <t>石巻かわまち商業施設</t>
    <phoneticPr fontId="4"/>
  </si>
  <si>
    <t>福田 紫苑</t>
    <phoneticPr fontId="4"/>
  </si>
  <si>
    <t>原田 智恵</t>
    <phoneticPr fontId="4"/>
  </si>
  <si>
    <t>東京都荒川区西日暮里2-14-12</t>
    <phoneticPr fontId="4"/>
  </si>
  <si>
    <t>03-3802-7684</t>
    <phoneticPr fontId="4"/>
  </si>
  <si>
    <t>harada@core-architecture.jp</t>
    <phoneticPr fontId="4"/>
  </si>
  <si>
    <t>インテルノ新工場</t>
    <phoneticPr fontId="4"/>
  </si>
  <si>
    <t>北川 智也</t>
    <phoneticPr fontId="4"/>
  </si>
  <si>
    <t>東京都品川区大崎一丁目5番1号大崎センタービル</t>
    <phoneticPr fontId="4"/>
  </si>
  <si>
    <t>080-2737-6156</t>
    <phoneticPr fontId="4"/>
  </si>
  <si>
    <t>kitagawa.tomoya.g8s@eng.nssmc.com</t>
    <phoneticPr fontId="4"/>
  </si>
  <si>
    <t>ysekkei@macbase.or.jp</t>
    <phoneticPr fontId="4"/>
  </si>
  <si>
    <t>井上 信一</t>
    <phoneticPr fontId="4"/>
  </si>
  <si>
    <t>023-624-2133</t>
    <phoneticPr fontId="4"/>
  </si>
  <si>
    <t>ランプロジェクト</t>
    <phoneticPr fontId="4"/>
  </si>
  <si>
    <t>久世 明義</t>
    <phoneticPr fontId="4"/>
  </si>
  <si>
    <t>058-234-0528</t>
    <phoneticPr fontId="4"/>
  </si>
  <si>
    <t>k-kozo@nifty.com</t>
    <phoneticPr fontId="4"/>
  </si>
  <si>
    <t>垣本</t>
    <phoneticPr fontId="4"/>
  </si>
  <si>
    <t>k-hiroshima@k-kozo.co.jp</t>
    <phoneticPr fontId="4"/>
  </si>
  <si>
    <t>北川 貴久</t>
    <phoneticPr fontId="4"/>
  </si>
  <si>
    <t>011-221-2207</t>
    <phoneticPr fontId="4"/>
  </si>
  <si>
    <t>t-kitagawa@iwata-gr.co.jp</t>
    <phoneticPr fontId="4"/>
  </si>
  <si>
    <t>佐藤 修明</t>
    <phoneticPr fontId="4"/>
  </si>
  <si>
    <t>026-255-1000</t>
    <phoneticPr fontId="4"/>
  </si>
  <si>
    <t>nobu-310@circus.ocn.ne.jp</t>
    <phoneticPr fontId="4"/>
  </si>
  <si>
    <t>竹田 有里</t>
    <phoneticPr fontId="4"/>
  </si>
  <si>
    <t>takeda@ang.co.jp</t>
    <phoneticPr fontId="4"/>
  </si>
  <si>
    <t>じゃんじゃん亭環七梅島</t>
    <phoneticPr fontId="4"/>
  </si>
  <si>
    <t>石山</t>
    <phoneticPr fontId="4"/>
  </si>
  <si>
    <t>t-ishiyama@nagaisekkei.co.jp</t>
    <phoneticPr fontId="4"/>
  </si>
  <si>
    <t>村山 智哉</t>
    <phoneticPr fontId="4"/>
  </si>
  <si>
    <t>murayama@e-chubu.co.jp</t>
    <phoneticPr fontId="4"/>
  </si>
  <si>
    <t>太田 武志</t>
    <phoneticPr fontId="4"/>
  </si>
  <si>
    <t>ohta@e-chubu.co.jp</t>
    <phoneticPr fontId="4"/>
  </si>
  <si>
    <t>山本</t>
    <phoneticPr fontId="4"/>
  </si>
  <si>
    <t>sail@osb.att.ne.jp</t>
    <phoneticPr fontId="4"/>
  </si>
  <si>
    <t>06-6353-7444</t>
    <phoneticPr fontId="4"/>
  </si>
  <si>
    <t>バロー津藤方</t>
    <phoneticPr fontId="4"/>
  </si>
  <si>
    <t>㈱南木曽発条 田立工場</t>
    <phoneticPr fontId="4"/>
  </si>
  <si>
    <t>株式会社 キュウアンドキュウ設計</t>
    <phoneticPr fontId="4"/>
  </si>
  <si>
    <t>助任学童保育会館</t>
    <phoneticPr fontId="4"/>
  </si>
  <si>
    <t>osaka@fukui-sekkei.jp</t>
    <phoneticPr fontId="4"/>
  </si>
  <si>
    <t>西野 義文</t>
    <phoneticPr fontId="4"/>
  </si>
  <si>
    <t>092-741-7228</t>
    <phoneticPr fontId="4"/>
  </si>
  <si>
    <t>yoshifumi.nishino@apost.plala.or.jp</t>
    <phoneticPr fontId="4"/>
  </si>
  <si>
    <t>加納 弘司</t>
    <phoneticPr fontId="4"/>
  </si>
  <si>
    <t>岐阜県関市中之保4594</t>
    <phoneticPr fontId="4"/>
  </si>
  <si>
    <t>0575-40-0072</t>
    <phoneticPr fontId="4"/>
  </si>
  <si>
    <t>s_plans@ccn.aitai.ne.jp</t>
    <phoneticPr fontId="4"/>
  </si>
  <si>
    <t>北総鉄道東松戸駅高架下店舗</t>
    <phoneticPr fontId="4"/>
  </si>
  <si>
    <t>東大阪営業所</t>
    <phoneticPr fontId="4"/>
  </si>
  <si>
    <t>河野 信之</t>
    <phoneticPr fontId="4"/>
  </si>
  <si>
    <t>nobuyuki.kono@hanshin-const.co.jp</t>
    <phoneticPr fontId="4"/>
  </si>
  <si>
    <t>06-6105-3038</t>
    <phoneticPr fontId="4"/>
  </si>
  <si>
    <t>森</t>
    <phoneticPr fontId="4"/>
  </si>
  <si>
    <t>052-202-6263</t>
    <phoneticPr fontId="4"/>
  </si>
  <si>
    <t>mori@espace-ao.com</t>
    <phoneticPr fontId="4"/>
  </si>
  <si>
    <t>酒井 紀彦</t>
    <phoneticPr fontId="4"/>
  </si>
  <si>
    <t>022-292-3656</t>
    <phoneticPr fontId="4"/>
  </si>
  <si>
    <t>sakai-n@newarch.co.jp</t>
    <phoneticPr fontId="4"/>
  </si>
  <si>
    <t>蒲生</t>
    <phoneticPr fontId="4"/>
  </si>
  <si>
    <t xml:space="preserve">info@shinba-s.co.jp </t>
    <phoneticPr fontId="4"/>
  </si>
  <si>
    <t>093-663-2813</t>
    <phoneticPr fontId="4"/>
  </si>
  <si>
    <t>ツルハドラッグ中田7丁目</t>
    <phoneticPr fontId="4"/>
  </si>
  <si>
    <t>徳力商業施設</t>
    <phoneticPr fontId="4"/>
  </si>
  <si>
    <t>nakao@yurino.co.jp</t>
    <phoneticPr fontId="4"/>
  </si>
  <si>
    <t>makoto.asakawa@fujita.co.jp</t>
    <phoneticPr fontId="4"/>
  </si>
  <si>
    <t>092-281-0674</t>
    <phoneticPr fontId="4"/>
  </si>
  <si>
    <t>中尾 祥子</t>
    <phoneticPr fontId="4"/>
  </si>
  <si>
    <t>092-713-1015</t>
    <phoneticPr fontId="4"/>
  </si>
  <si>
    <t>山傳商店仙台港工場</t>
    <phoneticPr fontId="4"/>
  </si>
  <si>
    <t>楢葉</t>
    <phoneticPr fontId="4"/>
  </si>
  <si>
    <t>株式会社 構造プランニング</t>
    <rPh sb="5" eb="7">
      <t>コウゾウ</t>
    </rPh>
    <phoneticPr fontId="4"/>
  </si>
  <si>
    <t>大野 泰史</t>
    <phoneticPr fontId="4"/>
  </si>
  <si>
    <t>022-224-0091</t>
    <phoneticPr fontId="4"/>
  </si>
  <si>
    <t>oono_y@nihonkensetsu.co.jp</t>
    <phoneticPr fontId="4"/>
  </si>
  <si>
    <t>協同組合八戸青果センター野菜加工施設</t>
    <phoneticPr fontId="4"/>
  </si>
  <si>
    <t>ktakeuti@air.ocn.ne.jp</t>
    <phoneticPr fontId="4"/>
  </si>
  <si>
    <t>続石</t>
    <phoneticPr fontId="4"/>
  </si>
  <si>
    <t>0178-43-8320</t>
    <phoneticPr fontId="4"/>
  </si>
  <si>
    <t>m.tuzu@kawahara.e-arc.jp</t>
    <phoneticPr fontId="4"/>
  </si>
  <si>
    <t>03-5998-9677</t>
    <phoneticPr fontId="4"/>
  </si>
  <si>
    <t>pin1231kouzo@spice.ocn.ne.jp</t>
    <phoneticPr fontId="4"/>
  </si>
  <si>
    <t>沼田 実</t>
    <phoneticPr fontId="4"/>
  </si>
  <si>
    <t>株式会社 ケイ・アーキテクツ</t>
    <phoneticPr fontId="4"/>
  </si>
  <si>
    <t>株式会社 ケイ・アーキテクツ</t>
    <phoneticPr fontId="4"/>
  </si>
  <si>
    <t>早坂 純一</t>
    <phoneticPr fontId="4"/>
  </si>
  <si>
    <t>j.hayasaka@k-architects.co.jp</t>
    <phoneticPr fontId="4"/>
  </si>
  <si>
    <t>羽田営業所</t>
    <phoneticPr fontId="4"/>
  </si>
  <si>
    <t>増田 高広</t>
    <phoneticPr fontId="4"/>
  </si>
  <si>
    <t>t-masuda@atlas-sekkei.co.jp</t>
    <phoneticPr fontId="4"/>
  </si>
  <si>
    <t>東京都渋谷区初台1-34-14　初台TNビル3階</t>
    <phoneticPr fontId="4"/>
  </si>
  <si>
    <t>03-6276-1898</t>
    <phoneticPr fontId="4"/>
  </si>
  <si>
    <t>田中 梅一</t>
    <phoneticPr fontId="4"/>
  </si>
  <si>
    <t>tanaka@atlas-sekkei.co.jp</t>
    <phoneticPr fontId="4"/>
  </si>
  <si>
    <t>石原 一豊</t>
    <phoneticPr fontId="4"/>
  </si>
  <si>
    <t>075-863-3160</t>
    <phoneticPr fontId="4"/>
  </si>
  <si>
    <t>ishihara@nom-ad.co.jp</t>
    <phoneticPr fontId="4"/>
  </si>
  <si>
    <t>小俣 智司</t>
    <phoneticPr fontId="4"/>
  </si>
  <si>
    <t>千葉県袖ヶ浦市南袖11番</t>
    <phoneticPr fontId="4"/>
  </si>
  <si>
    <t>0438-62-6404</t>
    <phoneticPr fontId="4"/>
  </si>
  <si>
    <t>ｔ.omata@yokogawa-yess.co.jp</t>
    <phoneticPr fontId="4"/>
  </si>
  <si>
    <t>佐田 信行</t>
    <phoneticPr fontId="4"/>
  </si>
  <si>
    <t>04-2932-8355</t>
    <phoneticPr fontId="4"/>
  </si>
  <si>
    <t>埼玉県入間市仏子603-1-26-503</t>
    <phoneticPr fontId="4"/>
  </si>
  <si>
    <t>asikagakouzou@yahoo.co.jp</t>
    <phoneticPr fontId="4"/>
  </si>
  <si>
    <t>株式会社 設計舎</t>
    <phoneticPr fontId="4"/>
  </si>
  <si>
    <t>株式会社 みなと</t>
    <rPh sb="0" eb="2">
      <t>カブシキ</t>
    </rPh>
    <rPh sb="2" eb="4">
      <t>カイシャ</t>
    </rPh>
    <phoneticPr fontId="4"/>
  </si>
  <si>
    <t>株式会社 みなと</t>
    <phoneticPr fontId="4"/>
  </si>
  <si>
    <t>カブシキガイシャ ミナト</t>
    <phoneticPr fontId="4"/>
  </si>
  <si>
    <t>佐々木 智子</t>
    <phoneticPr fontId="4"/>
  </si>
  <si>
    <t>山形県酒田市浜松町3-63</t>
    <phoneticPr fontId="4"/>
  </si>
  <si>
    <t>0234-33-0510</t>
    <phoneticPr fontId="4"/>
  </si>
  <si>
    <t>sasaki.s@ve-minato.co.jp</t>
    <phoneticPr fontId="4"/>
  </si>
  <si>
    <t>寺腰 政文</t>
    <phoneticPr fontId="4"/>
  </si>
  <si>
    <t>011-623-1688</t>
    <phoneticPr fontId="4"/>
  </si>
  <si>
    <t>terakoshi.m@landbrain.com</t>
    <phoneticPr fontId="4"/>
  </si>
  <si>
    <t>伊藤</t>
    <phoneticPr fontId="4"/>
  </si>
  <si>
    <t>itou-k@nishizuka-kozo.co.jp</t>
    <phoneticPr fontId="4"/>
  </si>
  <si>
    <t>南 義秀</t>
    <phoneticPr fontId="4"/>
  </si>
  <si>
    <t>011-205-0071</t>
    <phoneticPr fontId="4"/>
  </si>
  <si>
    <t>y-minami@puro1.net</t>
    <phoneticPr fontId="4"/>
  </si>
  <si>
    <t>島村 公清</t>
    <phoneticPr fontId="4"/>
  </si>
  <si>
    <t>011-251-1668</t>
    <phoneticPr fontId="4"/>
  </si>
  <si>
    <t>shimamur-kus@sumikin-sysken.co.jp</t>
    <phoneticPr fontId="4"/>
  </si>
  <si>
    <t>菊池 俊一郎</t>
    <phoneticPr fontId="4"/>
  </si>
  <si>
    <t>鈴木 達郎</t>
    <phoneticPr fontId="4"/>
  </si>
  <si>
    <t>t.suzuki@yokogawa-yess.co.jp</t>
    <phoneticPr fontId="4"/>
  </si>
  <si>
    <t>田深 政徳</t>
    <phoneticPr fontId="4"/>
  </si>
  <si>
    <t>06-4700-3145</t>
    <phoneticPr fontId="4"/>
  </si>
  <si>
    <t>architab@cronos.ocn.ne.jp</t>
    <phoneticPr fontId="4"/>
  </si>
  <si>
    <t>三浦 桂子</t>
    <phoneticPr fontId="4"/>
  </si>
  <si>
    <t>025-288-6030</t>
    <phoneticPr fontId="4"/>
  </si>
  <si>
    <t>sato-sekkeisitu@swan.ocn.ne.jp</t>
    <phoneticPr fontId="4"/>
  </si>
  <si>
    <t>サンライズ産業㈱ 浪岡第三倉庫</t>
    <phoneticPr fontId="4"/>
  </si>
  <si>
    <t>影山</t>
    <phoneticPr fontId="4"/>
  </si>
  <si>
    <t>t.kageyama@nisseibuild.co.jp</t>
    <phoneticPr fontId="4"/>
  </si>
  <si>
    <t>山田 恒義</t>
    <phoneticPr fontId="4"/>
  </si>
  <si>
    <t>0166-73-6117</t>
    <phoneticPr fontId="4"/>
  </si>
  <si>
    <t>t-yamada@sanken-design.com</t>
    <phoneticPr fontId="4"/>
  </si>
  <si>
    <t>西國 弘一</t>
    <phoneticPr fontId="4"/>
  </si>
  <si>
    <t>k-nishikuni@suzukitoken.jp</t>
    <phoneticPr fontId="4"/>
  </si>
  <si>
    <t>松田</t>
    <phoneticPr fontId="4"/>
  </si>
  <si>
    <t>r-matsuda@tsukuba-ks.co.jp</t>
    <phoneticPr fontId="4"/>
  </si>
  <si>
    <t>結束</t>
    <phoneticPr fontId="4"/>
  </si>
  <si>
    <t>029-862-5760</t>
    <phoneticPr fontId="4"/>
  </si>
  <si>
    <t>茨城県土浦市高岡字宮平2386-1</t>
    <phoneticPr fontId="4"/>
  </si>
  <si>
    <t>ski@kessoku.co.jp</t>
    <phoneticPr fontId="4"/>
  </si>
  <si>
    <t>久保田 康雅</t>
    <phoneticPr fontId="4"/>
  </si>
  <si>
    <t>092-623-3363</t>
    <phoneticPr fontId="4"/>
  </si>
  <si>
    <t>gen-sekkei@sand.ocn.ne.jp</t>
    <phoneticPr fontId="4"/>
  </si>
  <si>
    <t>福岡県糟屋郡志免町別府北4-2-1</t>
    <phoneticPr fontId="4"/>
  </si>
  <si>
    <t>境港海陸運送</t>
    <phoneticPr fontId="4"/>
  </si>
  <si>
    <t>073-498-6310</t>
    <phoneticPr fontId="4"/>
  </si>
  <si>
    <t>塩山 一良</t>
    <phoneticPr fontId="4"/>
  </si>
  <si>
    <t>shioyama.bsdo@violet.plala.or.jp</t>
    <phoneticPr fontId="4"/>
  </si>
  <si>
    <t>狐塚</t>
    <phoneticPr fontId="4"/>
  </si>
  <si>
    <t>06-6344-7608</t>
    <phoneticPr fontId="4"/>
  </si>
  <si>
    <t>koon@jfe-civil.com</t>
    <phoneticPr fontId="4"/>
  </si>
  <si>
    <t>髙橋</t>
    <phoneticPr fontId="4"/>
  </si>
  <si>
    <t>045-594-7197</t>
    <phoneticPr fontId="4"/>
  </si>
  <si>
    <t>takahashi@baku-sekkei.co.jp</t>
    <phoneticPr fontId="4"/>
  </si>
  <si>
    <t>園田</t>
    <phoneticPr fontId="4"/>
  </si>
  <si>
    <t>080-4615-8015</t>
    <phoneticPr fontId="4"/>
  </si>
  <si>
    <t>t.sonoda.sde@gmail.com</t>
    <phoneticPr fontId="4"/>
  </si>
  <si>
    <t>高橋 なつ美</t>
    <phoneticPr fontId="4"/>
  </si>
  <si>
    <t>kharata@kharata.co.jp</t>
    <phoneticPr fontId="4"/>
  </si>
  <si>
    <t>018-864-7603</t>
    <phoneticPr fontId="4"/>
  </si>
  <si>
    <t>樋笠 康男</t>
    <phoneticPr fontId="4"/>
  </si>
  <si>
    <t>06-6768-6121</t>
    <phoneticPr fontId="4"/>
  </si>
  <si>
    <t>yasu.higasa@nifty.com</t>
    <phoneticPr fontId="4"/>
  </si>
  <si>
    <t>海老澤</t>
    <phoneticPr fontId="4"/>
  </si>
  <si>
    <t>ebizawa@raft-inc.jp</t>
    <phoneticPr fontId="4"/>
  </si>
  <si>
    <t>06-6753-7652</t>
    <phoneticPr fontId="4"/>
  </si>
  <si>
    <t>十文字チキンカンパニー久慈工場</t>
    <phoneticPr fontId="4"/>
  </si>
  <si>
    <t>弓田 謙一</t>
    <phoneticPr fontId="4"/>
  </si>
  <si>
    <t>yumita-doujin@y7.dion.ne.jp</t>
    <phoneticPr fontId="4"/>
  </si>
  <si>
    <t>022-302-7511</t>
    <phoneticPr fontId="4"/>
  </si>
  <si>
    <t>市原</t>
    <phoneticPr fontId="4"/>
  </si>
  <si>
    <t>084-973-5331</t>
    <phoneticPr fontId="4"/>
  </si>
  <si>
    <t>広島県福山市霞町1-2-16</t>
    <phoneticPr fontId="4"/>
  </si>
  <si>
    <t>ichihara@k2d.co.jp</t>
    <phoneticPr fontId="4"/>
  </si>
  <si>
    <t>増谷 昌則</t>
    <phoneticPr fontId="4"/>
  </si>
  <si>
    <t>広島県竹原市中央2-14-8</t>
    <phoneticPr fontId="4"/>
  </si>
  <si>
    <t>0846-22-6789</t>
    <phoneticPr fontId="4"/>
  </si>
  <si>
    <t>mas_arc_mm@ybb.ne.jp</t>
    <phoneticPr fontId="4"/>
  </si>
  <si>
    <t>橋本様 貸事務所(郡山クリエイト)</t>
    <phoneticPr fontId="4"/>
  </si>
  <si>
    <t>加藤 榮一</t>
    <phoneticPr fontId="4"/>
  </si>
  <si>
    <t>0242-26-8751</t>
    <phoneticPr fontId="4"/>
  </si>
  <si>
    <t>ekt@s-katoh.co.jp</t>
    <phoneticPr fontId="4"/>
  </si>
  <si>
    <t>熊谷 修司</t>
    <phoneticPr fontId="4"/>
  </si>
  <si>
    <t>019-624-2020</t>
    <phoneticPr fontId="4"/>
  </si>
  <si>
    <t>s-kumagai@kuji-act.co.jp</t>
    <phoneticPr fontId="4"/>
  </si>
  <si>
    <t>山田</t>
    <phoneticPr fontId="4"/>
  </si>
  <si>
    <t>yamada@chuto.jp</t>
    <phoneticPr fontId="4"/>
  </si>
  <si>
    <t>株式会社 慎設計事務所</t>
    <phoneticPr fontId="4"/>
  </si>
  <si>
    <t>aso.h@shin-arc.co.jp</t>
    <phoneticPr fontId="4"/>
  </si>
  <si>
    <t>阿蘓 広幸</t>
    <phoneticPr fontId="4"/>
  </si>
  <si>
    <t>03-3626-5110</t>
    <phoneticPr fontId="4"/>
  </si>
  <si>
    <t>玉川</t>
    <phoneticPr fontId="4"/>
  </si>
  <si>
    <t>青森県三戸郡南部町杉沢あけぼの13-83</t>
    <phoneticPr fontId="4"/>
  </si>
  <si>
    <t>0178-84-3584</t>
    <phoneticPr fontId="4"/>
  </si>
  <si>
    <t>tamanori@abelia.ocn.ne.jp</t>
    <phoneticPr fontId="4"/>
  </si>
  <si>
    <t>エスポット相模原淵野</t>
    <phoneticPr fontId="4"/>
  </si>
  <si>
    <t>志村</t>
    <phoneticPr fontId="4"/>
  </si>
  <si>
    <t>shimura@vcs.wbs.ne.jp</t>
    <phoneticPr fontId="4"/>
  </si>
  <si>
    <t>山田</t>
    <phoneticPr fontId="4"/>
  </si>
  <si>
    <t>ym@yamada-design.co.jp</t>
    <phoneticPr fontId="4"/>
  </si>
  <si>
    <t>鈴与建設 株式会社</t>
    <phoneticPr fontId="4"/>
  </si>
  <si>
    <t>竹内 友哉</t>
    <phoneticPr fontId="4"/>
  </si>
  <si>
    <t>長野県長野市南千歳1-7-12</t>
    <phoneticPr fontId="4"/>
  </si>
  <si>
    <t>026-227-4831</t>
    <phoneticPr fontId="4"/>
  </si>
  <si>
    <t>takeuchi@archiplan.jp</t>
    <phoneticPr fontId="4"/>
  </si>
  <si>
    <t>sekita.sdc@yacht.ocn.ne.jp</t>
    <phoneticPr fontId="4"/>
  </si>
  <si>
    <t>026-244-8246</t>
    <phoneticPr fontId="4"/>
  </si>
  <si>
    <t>静谷 健一</t>
    <phoneticPr fontId="4"/>
  </si>
  <si>
    <t>能田 智光</t>
    <phoneticPr fontId="4"/>
  </si>
  <si>
    <t>noudat@himenogumi.co.jp</t>
    <phoneticPr fontId="4"/>
  </si>
  <si>
    <t>佐々木 謙</t>
    <phoneticPr fontId="4"/>
  </si>
  <si>
    <t>03-5294-6211</t>
    <phoneticPr fontId="4"/>
  </si>
  <si>
    <t>technos@aqua.ocn.ne.jp</t>
    <phoneticPr fontId="4"/>
  </si>
  <si>
    <t>中森 俊也</t>
    <phoneticPr fontId="4"/>
  </si>
  <si>
    <t>076-238-9941</t>
    <phoneticPr fontId="4"/>
  </si>
  <si>
    <t>箕輪 絵里</t>
    <phoneticPr fontId="4"/>
  </si>
  <si>
    <t>03-5738-7065</t>
    <phoneticPr fontId="4"/>
  </si>
  <si>
    <t>eri_minowa@dice77.com</t>
    <phoneticPr fontId="4"/>
  </si>
  <si>
    <t>稲場 好男</t>
    <phoneticPr fontId="4"/>
  </si>
  <si>
    <t>044-959-0124</t>
    <phoneticPr fontId="4"/>
  </si>
  <si>
    <t>神奈川県川崎市多摩区西生田3-6-22-104</t>
    <phoneticPr fontId="4"/>
  </si>
  <si>
    <t>take1inaba@gmail.com</t>
    <phoneticPr fontId="4"/>
  </si>
  <si>
    <t>押谷</t>
    <phoneticPr fontId="4"/>
  </si>
  <si>
    <t>着工</t>
    <rPh sb="0" eb="2">
      <t>チャッコウ</t>
    </rPh>
    <phoneticPr fontId="4"/>
  </si>
  <si>
    <t>山浦</t>
    <phoneticPr fontId="4"/>
  </si>
  <si>
    <t>022-268-7442</t>
    <phoneticPr fontId="4"/>
  </si>
  <si>
    <t>dankozo-yamaura@rhythm.ocn.ne.jp</t>
    <phoneticPr fontId="4"/>
  </si>
  <si>
    <t>株式会社 弾構造設計</t>
    <rPh sb="0" eb="2">
      <t>カブシキ</t>
    </rPh>
    <rPh sb="2" eb="4">
      <t>カイシャ</t>
    </rPh>
    <phoneticPr fontId="4"/>
  </si>
  <si>
    <t>カブシキガイシャ ダンコウゾウセッケイジムショ</t>
    <phoneticPr fontId="4"/>
  </si>
  <si>
    <t>株式会社 弾構造設計</t>
    <phoneticPr fontId="4"/>
  </si>
  <si>
    <t>株式会社 弾構造設計</t>
    <rPh sb="0" eb="2">
      <t>カブシキ</t>
    </rPh>
    <rPh sb="2" eb="4">
      <t>カイシャ</t>
    </rPh>
    <rPh sb="5" eb="6">
      <t>ダン</t>
    </rPh>
    <rPh sb="6" eb="8">
      <t>コウゾウ</t>
    </rPh>
    <rPh sb="8" eb="10">
      <t>セッケイ</t>
    </rPh>
    <phoneticPr fontId="4"/>
  </si>
  <si>
    <t>盛土</t>
    <rPh sb="0" eb="2">
      <t>モリド</t>
    </rPh>
    <phoneticPr fontId="4"/>
  </si>
  <si>
    <t>砂混じりｼﾙﾄ</t>
    <rPh sb="0" eb="1">
      <t>スナ</t>
    </rPh>
    <rPh sb="1" eb="2">
      <t>マ</t>
    </rPh>
    <phoneticPr fontId="4"/>
  </si>
  <si>
    <t>4m</t>
    <phoneticPr fontId="4"/>
  </si>
  <si>
    <t>砂質粘土</t>
    <rPh sb="0" eb="1">
      <t>スナ</t>
    </rPh>
    <rPh sb="1" eb="2">
      <t>シツ</t>
    </rPh>
    <rPh sb="2" eb="4">
      <t>ネンド</t>
    </rPh>
    <phoneticPr fontId="4"/>
  </si>
  <si>
    <t>-</t>
    <phoneticPr fontId="4"/>
  </si>
  <si>
    <t>-</t>
    <phoneticPr fontId="4"/>
  </si>
  <si>
    <t>工場</t>
    <rPh sb="0" eb="2">
      <t>コウジョウ</t>
    </rPh>
    <phoneticPr fontId="4"/>
  </si>
  <si>
    <t>○
1.0m</t>
    <phoneticPr fontId="4"/>
  </si>
  <si>
    <t>芳賀 泰紀</t>
    <phoneticPr fontId="4"/>
  </si>
  <si>
    <t>049-231-8466</t>
    <phoneticPr fontId="4"/>
  </si>
  <si>
    <t>埼玉県川越市天沼新田275-3</t>
    <phoneticPr fontId="4"/>
  </si>
  <si>
    <t>haga@at-mu.co.jp</t>
    <phoneticPr fontId="4"/>
  </si>
  <si>
    <t>埼玉県川越市松郷７９８－４</t>
    <phoneticPr fontId="4"/>
  </si>
  <si>
    <t>049-222-2624</t>
    <phoneticPr fontId="4"/>
  </si>
  <si>
    <t>tobisuzu@f2.dion.ne.jp</t>
    <phoneticPr fontId="4"/>
  </si>
  <si>
    <t>鈴木</t>
    <rPh sb="0" eb="2">
      <t>スズキ</t>
    </rPh>
    <phoneticPr fontId="4"/>
  </si>
  <si>
    <t>彦坂 正史</t>
    <phoneticPr fontId="4"/>
  </si>
  <si>
    <t>023-634-5145</t>
    <phoneticPr fontId="4"/>
  </si>
  <si>
    <t>hiko@daiwalease.jp</t>
    <phoneticPr fontId="4"/>
  </si>
  <si>
    <t>髙橋 圭一</t>
    <phoneticPr fontId="4"/>
  </si>
  <si>
    <t>keita.t@abyamagata.co.jp</t>
    <phoneticPr fontId="4"/>
  </si>
  <si>
    <t>023-642-8868</t>
    <phoneticPr fontId="4"/>
  </si>
  <si>
    <t>n-okazaki@nagaisekkei.co.jp</t>
    <phoneticPr fontId="4"/>
  </si>
  <si>
    <t>岡崎</t>
    <rPh sb="0" eb="2">
      <t>オカザキ</t>
    </rPh>
    <phoneticPr fontId="4"/>
  </si>
  <si>
    <t>嶽山 淳</t>
    <phoneticPr fontId="4"/>
  </si>
  <si>
    <t>048-642-1465</t>
    <phoneticPr fontId="4"/>
  </si>
  <si>
    <t>埼玉県さいたま市大宮区高鼻町１－１３０</t>
    <phoneticPr fontId="4"/>
  </si>
  <si>
    <t>jun.takeyama@dream.com</t>
    <phoneticPr fontId="4"/>
  </si>
  <si>
    <t>大塚</t>
    <phoneticPr fontId="4"/>
  </si>
  <si>
    <t>有限会社 高橋英建築設計室</t>
    <phoneticPr fontId="4"/>
  </si>
  <si>
    <t>コウダヤ建築設計事務所</t>
    <phoneticPr fontId="4"/>
  </si>
  <si>
    <t>六甲アイランドフェラーリ</t>
    <phoneticPr fontId="4"/>
  </si>
  <si>
    <t>フードD365見山</t>
    <rPh sb="7" eb="9">
      <t>ミヤマ</t>
    </rPh>
    <phoneticPr fontId="4"/>
  </si>
  <si>
    <t>北海道</t>
    <rPh sb="0" eb="3">
      <t>ホッカイドウ</t>
    </rPh>
    <phoneticPr fontId="4"/>
  </si>
  <si>
    <t>苫小牧市</t>
    <rPh sb="0" eb="3">
      <t>トマコマイ</t>
    </rPh>
    <rPh sb="3" eb="4">
      <t>シ</t>
    </rPh>
    <phoneticPr fontId="4"/>
  </si>
  <si>
    <t>見山</t>
    <rPh sb="0" eb="1">
      <t>ミ</t>
    </rPh>
    <rPh sb="1" eb="2">
      <t>ヤマ</t>
    </rPh>
    <phoneticPr fontId="4"/>
  </si>
  <si>
    <t>山本</t>
    <phoneticPr fontId="4"/>
  </si>
  <si>
    <t>竹内</t>
    <phoneticPr fontId="4"/>
  </si>
  <si>
    <t>図面</t>
    <rPh sb="0" eb="2">
      <t>ズメン</t>
    </rPh>
    <phoneticPr fontId="4"/>
  </si>
  <si>
    <t>現説</t>
    <rPh sb="0" eb="2">
      <t>ゲンセツ</t>
    </rPh>
    <phoneticPr fontId="4"/>
  </si>
  <si>
    <t>見積図</t>
    <rPh sb="0" eb="2">
      <t>ミツモリ</t>
    </rPh>
    <rPh sb="2" eb="3">
      <t>ズ</t>
    </rPh>
    <phoneticPr fontId="4"/>
  </si>
  <si>
    <t>スガテック東京事業所</t>
    <phoneticPr fontId="4"/>
  </si>
  <si>
    <t>内村 友重</t>
    <phoneticPr fontId="4"/>
  </si>
  <si>
    <t>東京都文京区小石川1-15-17 ＴＮ小石川ビル４Ｆ</t>
    <phoneticPr fontId="4"/>
  </si>
  <si>
    <t>03-5844-1381</t>
    <phoneticPr fontId="4"/>
  </si>
  <si>
    <t>uchimura@nihonkensetsu.co.jp</t>
    <phoneticPr fontId="4"/>
  </si>
  <si>
    <t>K2-DESIGN</t>
    <phoneticPr fontId="4"/>
  </si>
  <si>
    <t>sameshima@k2d.co.jp</t>
    <phoneticPr fontId="4"/>
  </si>
  <si>
    <t>鮫島</t>
    <rPh sb="0" eb="1">
      <t>サメ</t>
    </rPh>
    <rPh sb="1" eb="2">
      <t>シマ</t>
    </rPh>
    <phoneticPr fontId="4"/>
  </si>
  <si>
    <t>別所 隆</t>
    <phoneticPr fontId="4"/>
  </si>
  <si>
    <t>bessho@ko-sekkei.com</t>
    <phoneticPr fontId="4"/>
  </si>
  <si>
    <t>058-273-1461</t>
    <phoneticPr fontId="4"/>
  </si>
  <si>
    <t>加藤　一也</t>
    <phoneticPr fontId="4"/>
  </si>
  <si>
    <t>青森県五所川原市字鎌谷町91-20</t>
    <phoneticPr fontId="4"/>
  </si>
  <si>
    <t>0173-35-8331</t>
    <phoneticPr fontId="4"/>
  </si>
  <si>
    <t>seiwaarc@cap.ocn.ne.jp</t>
    <phoneticPr fontId="4"/>
  </si>
  <si>
    <t>新浦安有明海プロジェクト</t>
    <phoneticPr fontId="4"/>
  </si>
  <si>
    <t>中村 輝俊</t>
    <phoneticPr fontId="4"/>
  </si>
  <si>
    <t>03-3510-2135</t>
    <phoneticPr fontId="4"/>
  </si>
  <si>
    <t>東京都中央区日本橋3-1-8 スターツ日本橋ビル3階</t>
    <phoneticPr fontId="4"/>
  </si>
  <si>
    <t>terutoshi.nakamura@starts.co.jp</t>
    <phoneticPr fontId="4"/>
  </si>
  <si>
    <t>山本 武弘</t>
    <phoneticPr fontId="4"/>
  </si>
  <si>
    <t>ナプラス産業廃棄物処理施設</t>
    <phoneticPr fontId="4"/>
  </si>
  <si>
    <t>起田 陽子</t>
    <phoneticPr fontId="4"/>
  </si>
  <si>
    <t>蒲生</t>
    <phoneticPr fontId="4"/>
  </si>
  <si>
    <t>info@shinba-s.co.jp</t>
    <phoneticPr fontId="4"/>
  </si>
  <si>
    <t>093-663-2813</t>
    <phoneticPr fontId="4"/>
  </si>
  <si>
    <t>sumiki-w@kikoudou.com</t>
    <phoneticPr fontId="4"/>
  </si>
  <si>
    <t>渡邉 須美樹</t>
    <phoneticPr fontId="4"/>
  </si>
  <si>
    <t>0574-28-2160</t>
    <phoneticPr fontId="4"/>
  </si>
  <si>
    <t>岐阜県美濃加茂市牧野2283-3</t>
    <phoneticPr fontId="4"/>
  </si>
  <si>
    <t>川岡 直子</t>
    <phoneticPr fontId="4"/>
  </si>
  <si>
    <t>n-kawaoka@nakaizum.com</t>
    <phoneticPr fontId="4"/>
  </si>
  <si>
    <t>アートコーポレーション㈱大阪市港区支店</t>
    <phoneticPr fontId="4"/>
  </si>
  <si>
    <t>土屋 茂</t>
    <phoneticPr fontId="4"/>
  </si>
  <si>
    <t>072-753-4576</t>
    <phoneticPr fontId="4"/>
  </si>
  <si>
    <t>大阪府池田市菅原町6-2　4 階</t>
    <phoneticPr fontId="4"/>
  </si>
  <si>
    <t>tsuchiya-sekkei@nifty.com</t>
    <phoneticPr fontId="4"/>
  </si>
  <si>
    <t>上田</t>
    <phoneticPr fontId="4"/>
  </si>
  <si>
    <t>ueken@tune.ocn.ne.jp</t>
    <phoneticPr fontId="4"/>
  </si>
  <si>
    <t>青森県青森市月見野1丁目26番15号</t>
    <phoneticPr fontId="4"/>
  </si>
  <si>
    <t>017-744-4321</t>
    <phoneticPr fontId="4"/>
  </si>
  <si>
    <t>嶺岸、大場</t>
    <phoneticPr fontId="4"/>
  </si>
  <si>
    <t>022--247-9960</t>
    <phoneticPr fontId="4"/>
  </si>
  <si>
    <t>shiratori@k6.dion.ne.jp</t>
    <phoneticPr fontId="4"/>
  </si>
  <si>
    <t>菊川 浩孝</t>
    <phoneticPr fontId="4"/>
  </si>
  <si>
    <t>東京都文京区湯島3-23-6 金井ビル2F</t>
    <phoneticPr fontId="4"/>
  </si>
  <si>
    <t>03-5817-0919</t>
    <phoneticPr fontId="4"/>
  </si>
  <si>
    <t>kikukawa@shinchuosekkei.co.jp</t>
    <phoneticPr fontId="4"/>
  </si>
  <si>
    <t>三野</t>
    <phoneticPr fontId="4"/>
  </si>
  <si>
    <t>田井 和博</t>
    <phoneticPr fontId="4"/>
  </si>
  <si>
    <t>東京都新宿区西五軒町13-1 住友不動産飯田橋ビル3号館7F</t>
    <phoneticPr fontId="4"/>
  </si>
  <si>
    <t>03-5227-7592</t>
    <phoneticPr fontId="4"/>
  </si>
  <si>
    <t>k-tai@orimoto.co.jp</t>
    <phoneticPr fontId="4"/>
  </si>
  <si>
    <t>嶺岸</t>
    <phoneticPr fontId="4"/>
  </si>
  <si>
    <t>プラスワン長野</t>
    <phoneticPr fontId="4"/>
  </si>
  <si>
    <t>上野 寛之</t>
    <phoneticPr fontId="4"/>
  </si>
  <si>
    <t>長野県長野市柳原2360-8</t>
    <phoneticPr fontId="4"/>
  </si>
  <si>
    <t>026-296-7300</t>
    <phoneticPr fontId="4"/>
  </si>
  <si>
    <t>h-ueno@sanyu-setsubi.co.jp</t>
    <phoneticPr fontId="4"/>
  </si>
  <si>
    <t>sekita.sdc@yacht.ocn.ne.jp</t>
    <phoneticPr fontId="4"/>
  </si>
  <si>
    <t>JA郡山市耕作物共同利用施設整備</t>
    <phoneticPr fontId="4"/>
  </si>
  <si>
    <t>阿部 光輝</t>
    <phoneticPr fontId="4"/>
  </si>
  <si>
    <t>abe@aum.ne.jp</t>
    <phoneticPr fontId="4"/>
  </si>
  <si>
    <t>tachimoto@kusuyama-arc.co.jp</t>
    <phoneticPr fontId="4"/>
  </si>
  <si>
    <t>立本 直樹</t>
    <phoneticPr fontId="4"/>
  </si>
  <si>
    <t>022-224-1207</t>
    <phoneticPr fontId="4"/>
  </si>
  <si>
    <t>熊谷</t>
    <phoneticPr fontId="4"/>
  </si>
  <si>
    <t xml:space="preserve">052-931-3286 </t>
    <phoneticPr fontId="4"/>
  </si>
  <si>
    <t>kumagai@hinokikoumuten.jp</t>
    <phoneticPr fontId="4"/>
  </si>
  <si>
    <t>甲斐 浩介</t>
    <phoneticPr fontId="4"/>
  </si>
  <si>
    <t>06-6575-9285</t>
    <phoneticPr fontId="4"/>
  </si>
  <si>
    <t>k.kai@ciaociaru.com</t>
    <phoneticPr fontId="4"/>
  </si>
  <si>
    <t>株式会社 INABA建築設計事務所</t>
    <rPh sb="0" eb="2">
      <t>カブシキ</t>
    </rPh>
    <rPh sb="2" eb="4">
      <t>カイシャ</t>
    </rPh>
    <rPh sb="10" eb="12">
      <t>ケンチク</t>
    </rPh>
    <rPh sb="12" eb="14">
      <t>セッケイ</t>
    </rPh>
    <rPh sb="14" eb="16">
      <t>ジム</t>
    </rPh>
    <rPh sb="16" eb="17">
      <t>ショ</t>
    </rPh>
    <phoneticPr fontId="4"/>
  </si>
  <si>
    <t>稲葉 秀一</t>
    <phoneticPr fontId="4"/>
  </si>
  <si>
    <t>inaba@inaba-archi.com</t>
    <phoneticPr fontId="4"/>
  </si>
  <si>
    <t>東京都港区南青山5－11－15H&amp;M南青山WEST304</t>
    <phoneticPr fontId="4"/>
  </si>
  <si>
    <t>03-3406-1780</t>
    <phoneticPr fontId="4"/>
  </si>
  <si>
    <t>前田 清行</t>
    <phoneticPr fontId="4"/>
  </si>
  <si>
    <t>島根県出雲市斐川町学頭1531-4</t>
    <phoneticPr fontId="4"/>
  </si>
  <si>
    <t>maof1531@lime.ocn.ne.jp</t>
    <phoneticPr fontId="4"/>
  </si>
  <si>
    <t>吉田容器店第2立花ヤード</t>
    <phoneticPr fontId="4"/>
  </si>
  <si>
    <t>平野鋼線㈱ 幸手倉庫・工場</t>
    <phoneticPr fontId="4"/>
  </si>
  <si>
    <t>入川 英二</t>
    <phoneticPr fontId="4"/>
  </si>
  <si>
    <t>03-3864-3580</t>
    <phoneticPr fontId="4"/>
  </si>
  <si>
    <t>e-irikawa@jfe-civil.com</t>
    <phoneticPr fontId="4"/>
  </si>
  <si>
    <t>torimura.t@shin-arc.co.jp</t>
    <phoneticPr fontId="4"/>
  </si>
  <si>
    <t>03-3626-5110</t>
    <phoneticPr fontId="4"/>
  </si>
  <si>
    <t>東京都墨田区亀沢4-5-4 プルームビル5階</t>
    <phoneticPr fontId="4"/>
  </si>
  <si>
    <t>北村 善昭</t>
    <phoneticPr fontId="4"/>
  </si>
  <si>
    <t>048-883-8145</t>
    <phoneticPr fontId="4"/>
  </si>
  <si>
    <t>y-m-r.kitamura-str@nifty.com</t>
    <phoneticPr fontId="4"/>
  </si>
  <si>
    <t>011-556-8322</t>
    <phoneticPr fontId="4"/>
  </si>
  <si>
    <t>株式会社 木講堂</t>
    <phoneticPr fontId="4"/>
  </si>
  <si>
    <t>sniiyama@jomon.ne.jp</t>
    <phoneticPr fontId="4"/>
  </si>
  <si>
    <t>薮田 充彦</t>
    <phoneticPr fontId="4"/>
  </si>
  <si>
    <t>0234-26-2234</t>
    <phoneticPr fontId="4"/>
  </si>
  <si>
    <t>山形県酒田市浜田2-6-1</t>
    <phoneticPr fontId="4"/>
  </si>
  <si>
    <t>yasujima@smile.ocn.ne.jp</t>
    <phoneticPr fontId="4"/>
  </si>
  <si>
    <t>特別養護老人ホーム さくらそう</t>
    <phoneticPr fontId="4"/>
  </si>
  <si>
    <t>yachi@yoshioka-arc.co.jp</t>
    <phoneticPr fontId="4"/>
  </si>
  <si>
    <t>谷地</t>
    <phoneticPr fontId="4"/>
  </si>
  <si>
    <t>0467-52-6252</t>
    <phoneticPr fontId="4"/>
  </si>
  <si>
    <t>ケーアイ・オギワラ</t>
    <phoneticPr fontId="4"/>
  </si>
  <si>
    <t>湯本 徳夫</t>
    <phoneticPr fontId="4"/>
  </si>
  <si>
    <t>yumoton@yumotokoumuten.com</t>
    <phoneticPr fontId="4"/>
  </si>
  <si>
    <t>小泉</t>
    <phoneticPr fontId="4"/>
  </si>
  <si>
    <t>mkoizumi@abelia.ocn.ne.jp</t>
    <phoneticPr fontId="4"/>
  </si>
  <si>
    <t>双葉運輸　倉庫・事務所</t>
    <phoneticPr fontId="4"/>
  </si>
  <si>
    <t>福岡 誠</t>
    <rPh sb="0" eb="2">
      <t>フクオカ</t>
    </rPh>
    <rPh sb="3" eb="4">
      <t>マコト</t>
    </rPh>
    <phoneticPr fontId="4"/>
  </si>
  <si>
    <t>m.fukuoka@yokogawa-yess.co.jp</t>
    <phoneticPr fontId="4"/>
  </si>
  <si>
    <t>小池 雄二</t>
    <phoneticPr fontId="4"/>
  </si>
  <si>
    <t>096-366-2111</t>
    <phoneticPr fontId="4"/>
  </si>
  <si>
    <t>kaihatu@kotakegumi.jp</t>
    <phoneticPr fontId="4"/>
  </si>
  <si>
    <t>原田 雅文</t>
    <phoneticPr fontId="4"/>
  </si>
  <si>
    <t>0138-22-2171</t>
    <phoneticPr fontId="4"/>
  </si>
  <si>
    <t>m-harada@sumi-arc.com</t>
    <phoneticPr fontId="4"/>
  </si>
  <si>
    <t>K's Dining</t>
    <phoneticPr fontId="4"/>
  </si>
  <si>
    <t>井上 哲郎</t>
    <phoneticPr fontId="4"/>
  </si>
  <si>
    <t>東京都中央区日本橋蛎殻町１-１８-４ 山本ビル３階</t>
    <phoneticPr fontId="4"/>
  </si>
  <si>
    <t>03-5643-0334</t>
    <phoneticPr fontId="4"/>
  </si>
  <si>
    <t>t.inoue@toshi-kenchiku.co.jp</t>
    <phoneticPr fontId="4"/>
  </si>
  <si>
    <t>内山</t>
    <phoneticPr fontId="4"/>
  </si>
  <si>
    <t>y_utiyama@ojima-sekkei.com</t>
    <phoneticPr fontId="4"/>
  </si>
  <si>
    <t>hemmi@d2.dion.ne.jp</t>
    <phoneticPr fontId="4"/>
  </si>
  <si>
    <t>嶋崎 雄一</t>
    <phoneticPr fontId="4"/>
  </si>
  <si>
    <t>福島県白河市田町92</t>
    <phoneticPr fontId="4"/>
  </si>
  <si>
    <t>0248-23-1788</t>
    <phoneticPr fontId="4"/>
  </si>
  <si>
    <t>星野 昭雄</t>
    <phoneticPr fontId="4"/>
  </si>
  <si>
    <t>栃木県小山市駅南町1-12-32 カーサガレリア 602号室</t>
    <phoneticPr fontId="4"/>
  </si>
  <si>
    <t>0285-39-7425</t>
    <phoneticPr fontId="4"/>
  </si>
  <si>
    <t>akio.hoshino@co.email.ne.jp</t>
    <phoneticPr fontId="4"/>
  </si>
  <si>
    <t>汐田 浩二</t>
    <phoneticPr fontId="4"/>
  </si>
  <si>
    <t>東京都豊島区南池袋2-9-9 第一池袋ホワイトビル７階</t>
    <phoneticPr fontId="4"/>
  </si>
  <si>
    <t>03-3983-5071</t>
    <phoneticPr fontId="4"/>
  </si>
  <si>
    <t>k.shiota@sougen.co.jp</t>
    <phoneticPr fontId="4"/>
  </si>
  <si>
    <t>ナルシマ工場・事務所</t>
    <phoneticPr fontId="4"/>
  </si>
  <si>
    <t>加藤 貴夫</t>
    <phoneticPr fontId="4"/>
  </si>
  <si>
    <t>t-katoh@katohsekkei.com</t>
    <phoneticPr fontId="4"/>
  </si>
  <si>
    <t>鴨下 綾乃</t>
    <phoneticPr fontId="4"/>
  </si>
  <si>
    <t>kamoshita@ataka-sekkei.co.jp</t>
    <phoneticPr fontId="4"/>
  </si>
  <si>
    <t>東京都新宿区西新宿8-5-1 野村不動産西新宿共同ビル６Ｆ</t>
    <phoneticPr fontId="4"/>
  </si>
  <si>
    <t>03-3365-9311</t>
    <phoneticPr fontId="4"/>
  </si>
  <si>
    <t>塩野 裕士</t>
    <phoneticPr fontId="4"/>
  </si>
  <si>
    <t>h-shiono@m1.izumo.ne.jp</t>
    <phoneticPr fontId="4"/>
  </si>
  <si>
    <t>グッディウシオ大田</t>
    <phoneticPr fontId="4"/>
  </si>
  <si>
    <t>千葉 辰雄</t>
    <phoneticPr fontId="4"/>
  </si>
  <si>
    <t>chiba7225@gmail.com</t>
    <phoneticPr fontId="4"/>
  </si>
  <si>
    <t>龍野(リュウノ)</t>
    <phoneticPr fontId="4"/>
  </si>
  <si>
    <t>ryuno@k2d.co.jp</t>
    <phoneticPr fontId="4"/>
  </si>
  <si>
    <t>ユニバースむつ</t>
    <phoneticPr fontId="4"/>
  </si>
  <si>
    <t>加藤 智</t>
    <phoneticPr fontId="4"/>
  </si>
  <si>
    <t>katou.s@abyamagata.co.jp</t>
    <phoneticPr fontId="4"/>
  </si>
  <si>
    <t>越ケ谷保育園</t>
    <phoneticPr fontId="4"/>
  </si>
  <si>
    <t>大和リース 株式会社</t>
    <phoneticPr fontId="4"/>
  </si>
  <si>
    <t>024-934-0810</t>
    <phoneticPr fontId="4"/>
  </si>
  <si>
    <t>瀧島 信吾</t>
    <phoneticPr fontId="4"/>
  </si>
  <si>
    <t>03-5214-2303</t>
    <phoneticPr fontId="4"/>
  </si>
  <si>
    <t>m12232@daiwalease.jp</t>
    <phoneticPr fontId="4"/>
  </si>
  <si>
    <t>八潮市物販店舗</t>
    <phoneticPr fontId="4"/>
  </si>
  <si>
    <t>サン工業</t>
    <phoneticPr fontId="4"/>
  </si>
  <si>
    <t>藤代 寿志</t>
    <phoneticPr fontId="4"/>
  </si>
  <si>
    <t>054-202-6500</t>
    <phoneticPr fontId="4"/>
  </si>
  <si>
    <t>m4148@daiwalease.jp</t>
    <phoneticPr fontId="4"/>
  </si>
  <si>
    <t>tnowata@pop12.odn.ne.jp</t>
    <phoneticPr fontId="4"/>
  </si>
  <si>
    <t>河野 信之</t>
    <phoneticPr fontId="4"/>
  </si>
  <si>
    <t>nobuyuki.kono@hanshin-const.co.jp</t>
    <phoneticPr fontId="4"/>
  </si>
  <si>
    <t>06-6105-3038</t>
    <phoneticPr fontId="4"/>
  </si>
  <si>
    <t>三木 孝佳</t>
    <phoneticPr fontId="4"/>
  </si>
  <si>
    <t>06-6263-6263</t>
    <phoneticPr fontId="4"/>
  </si>
  <si>
    <t>miki@espace-ao.com</t>
    <phoneticPr fontId="4"/>
  </si>
  <si>
    <t>東京都豊島区池袋1-8-7 サン池袋I  307号</t>
    <phoneticPr fontId="4"/>
  </si>
  <si>
    <t>03-3984-1177</t>
    <phoneticPr fontId="4"/>
  </si>
  <si>
    <t>s.d.o@mail-mukai.co.jp</t>
    <phoneticPr fontId="4"/>
  </si>
  <si>
    <t>向井</t>
    <phoneticPr fontId="4"/>
  </si>
  <si>
    <t>三山 元洋</t>
    <phoneticPr fontId="4"/>
  </si>
  <si>
    <t>東京都新宿区西新宿 5-1-3 ハイブリッヂビル 4A</t>
    <phoneticPr fontId="4"/>
  </si>
  <si>
    <t>03-6383-3315</t>
    <phoneticPr fontId="4"/>
  </si>
  <si>
    <t>ホリコーポレーション</t>
    <phoneticPr fontId="4"/>
  </si>
  <si>
    <t>逢坂 佳代</t>
    <phoneticPr fontId="4"/>
  </si>
  <si>
    <t>088-623-9064</t>
    <phoneticPr fontId="4"/>
  </si>
  <si>
    <t>tcbn-oosaka@carol.ocn.ne.jp</t>
    <phoneticPr fontId="4"/>
  </si>
  <si>
    <t>大西</t>
    <phoneticPr fontId="4"/>
  </si>
  <si>
    <t>東京都中央区日本橋富沢町13－4　三宅ビル3階</t>
    <phoneticPr fontId="4"/>
  </si>
  <si>
    <t>03-3662-4196</t>
    <phoneticPr fontId="4"/>
  </si>
  <si>
    <t>高橋 雅人</t>
    <phoneticPr fontId="4"/>
  </si>
  <si>
    <t>019-661-8222</t>
    <phoneticPr fontId="4"/>
  </si>
  <si>
    <t>岩手県盛岡市北山二丁目2-58</t>
    <phoneticPr fontId="4"/>
  </si>
  <si>
    <t>sska@olive.plala.or.jp</t>
    <phoneticPr fontId="4"/>
  </si>
  <si>
    <t>清永 操代</t>
    <phoneticPr fontId="4"/>
  </si>
  <si>
    <t>082-502-6230</t>
    <phoneticPr fontId="4"/>
  </si>
  <si>
    <t>m.kiyonaga@maki-af.com</t>
    <phoneticPr fontId="4"/>
  </si>
  <si>
    <t>村沢</t>
    <phoneticPr fontId="4"/>
  </si>
  <si>
    <t>ascoral@blue.ocn.ne.jp</t>
    <phoneticPr fontId="4"/>
  </si>
  <si>
    <t>中森 俊也</t>
    <phoneticPr fontId="4"/>
  </si>
  <si>
    <t>076-238-9941</t>
    <phoneticPr fontId="4"/>
  </si>
  <si>
    <t>technos@aqua.ocn.ne.jp</t>
    <phoneticPr fontId="4"/>
  </si>
  <si>
    <t>日野 久</t>
    <phoneticPr fontId="4"/>
  </si>
  <si>
    <t>ys223727@zg8.so-net.ne.jp</t>
    <phoneticPr fontId="4"/>
  </si>
  <si>
    <t>川上 洋一</t>
    <phoneticPr fontId="4"/>
  </si>
  <si>
    <t>080-2272-4540</t>
    <phoneticPr fontId="4"/>
  </si>
  <si>
    <t>東京都港区台場２丁目３番４号</t>
    <phoneticPr fontId="4"/>
  </si>
  <si>
    <t>y.kawakami@nomura-g.jp</t>
    <phoneticPr fontId="4"/>
  </si>
  <si>
    <t>枝 和敏</t>
    <phoneticPr fontId="4"/>
  </si>
  <si>
    <t>東京都板橋区中板橋22-11 岩井ビル202</t>
    <phoneticPr fontId="4"/>
  </si>
  <si>
    <t>03-3579-9541</t>
    <phoneticPr fontId="4"/>
  </si>
  <si>
    <t>jdw05072@nifty.com</t>
    <phoneticPr fontId="4"/>
  </si>
  <si>
    <t>加藤 榮一</t>
    <phoneticPr fontId="4"/>
  </si>
  <si>
    <t>ekt@s-katoh.co.jp</t>
    <phoneticPr fontId="4"/>
  </si>
  <si>
    <t>0242-26-8751</t>
    <phoneticPr fontId="4"/>
  </si>
  <si>
    <t>尻手駅前計画</t>
    <phoneticPr fontId="4"/>
  </si>
  <si>
    <t>松本</t>
    <phoneticPr fontId="4"/>
  </si>
  <si>
    <t>0596-25-7667</t>
    <phoneticPr fontId="4"/>
  </si>
  <si>
    <t>pine1976＠amigo2.ne.jp</t>
    <phoneticPr fontId="4"/>
  </si>
  <si>
    <t>根岸 大希</t>
    <phoneticPr fontId="4"/>
  </si>
  <si>
    <t>03-5348-5771</t>
    <phoneticPr fontId="4"/>
  </si>
  <si>
    <t>negishi@okuno-associates.com</t>
    <phoneticPr fontId="4"/>
  </si>
  <si>
    <t>let05243@nifty.com</t>
    <phoneticPr fontId="4"/>
  </si>
  <si>
    <t>鈴木 將由</t>
    <phoneticPr fontId="4"/>
  </si>
  <si>
    <t>023-645-1818</t>
    <phoneticPr fontId="4"/>
  </si>
  <si>
    <t>m-suzuki@ono-const.co.jp</t>
    <phoneticPr fontId="4"/>
  </si>
  <si>
    <t>武田</t>
    <phoneticPr fontId="4"/>
  </si>
  <si>
    <t>go-sekky@yamagata.email.ne.jp</t>
    <phoneticPr fontId="4"/>
  </si>
  <si>
    <t>BAS建築設計事務所</t>
    <phoneticPr fontId="4"/>
  </si>
  <si>
    <t>BAS建築設計事務所</t>
    <phoneticPr fontId="4"/>
  </si>
  <si>
    <t>BASケンチクセッケイジムショ</t>
    <phoneticPr fontId="4"/>
  </si>
  <si>
    <t>中西 寿人</t>
    <phoneticPr fontId="4"/>
  </si>
  <si>
    <t>092-724-0355</t>
    <phoneticPr fontId="4"/>
  </si>
  <si>
    <t>hinakanishi@bas-arc.com</t>
    <phoneticPr fontId="4"/>
  </si>
  <si>
    <t>夙川学院ﾎﾟｰﾄｱｲﾗﾝﾄﾞｷｬﾝﾊﾟｽｽﾎﾟｰﾂ</t>
    <phoneticPr fontId="4"/>
  </si>
  <si>
    <t>車田 純彦</t>
    <phoneticPr fontId="4"/>
  </si>
  <si>
    <t>東京都千代田区飯田橋4-4-1 飯田橋ISビル 9F</t>
    <phoneticPr fontId="4"/>
  </si>
  <si>
    <t>03-6431-0123</t>
    <phoneticPr fontId="4"/>
  </si>
  <si>
    <t>kurumada@ncl.co.jp</t>
    <phoneticPr fontId="4"/>
  </si>
  <si>
    <t>平塚 愼</t>
    <phoneticPr fontId="4"/>
  </si>
  <si>
    <t>044- 299-7547</t>
    <phoneticPr fontId="4"/>
  </si>
  <si>
    <t>zan15500@nifty.com</t>
    <phoneticPr fontId="4"/>
  </si>
  <si>
    <t>鍋島</t>
    <phoneticPr fontId="4"/>
  </si>
  <si>
    <t>t.nabeshima@nisseibuild.co.jp</t>
    <phoneticPr fontId="4"/>
  </si>
  <si>
    <t>中嶋</t>
    <phoneticPr fontId="4"/>
  </si>
  <si>
    <t>nakasima@gol.com</t>
    <phoneticPr fontId="4"/>
  </si>
  <si>
    <t>高萩自動車工業</t>
    <phoneticPr fontId="4"/>
  </si>
  <si>
    <t>ホーマック倶知安</t>
    <phoneticPr fontId="4"/>
  </si>
  <si>
    <t>吉松 謙一郎</t>
    <phoneticPr fontId="4"/>
  </si>
  <si>
    <t>092-403-3344</t>
    <phoneticPr fontId="4"/>
  </si>
  <si>
    <t>yoshimatsu1970@sai-structure.com</t>
    <phoneticPr fontId="4"/>
  </si>
  <si>
    <t>岸田</t>
    <phoneticPr fontId="4"/>
  </si>
  <si>
    <t>kishida.k@landbrain.com</t>
    <phoneticPr fontId="4"/>
  </si>
  <si>
    <t>ラ・カーサ天童</t>
    <phoneticPr fontId="4"/>
  </si>
  <si>
    <t>セリア古川</t>
    <phoneticPr fontId="4"/>
  </si>
  <si>
    <t>ドラッグヤマザワ旭新町</t>
    <phoneticPr fontId="4"/>
  </si>
  <si>
    <t>ニシムラ鶴岡</t>
    <phoneticPr fontId="4"/>
  </si>
  <si>
    <t>ヤマザワ古川北貸店舗（美容室ロゼッタ様）</t>
    <phoneticPr fontId="4"/>
  </si>
  <si>
    <t>ヤマザワ新松見町</t>
    <phoneticPr fontId="4"/>
  </si>
  <si>
    <t>ヤマザワ宮町</t>
    <phoneticPr fontId="4"/>
  </si>
  <si>
    <t>下条町4丁目マンション</t>
    <phoneticPr fontId="4"/>
  </si>
  <si>
    <t>ヤマザワ古川北店</t>
    <phoneticPr fontId="4"/>
  </si>
  <si>
    <t>鳥谷部</t>
    <phoneticPr fontId="4"/>
  </si>
  <si>
    <t>roriyabe@iwamida.co.jp</t>
    <phoneticPr fontId="4"/>
  </si>
  <si>
    <t>板垣</t>
    <rPh sb="0" eb="2">
      <t>イタガキ</t>
    </rPh>
    <phoneticPr fontId="4"/>
  </si>
  <si>
    <t>ケーズデンキ東生駒</t>
    <phoneticPr fontId="4"/>
  </si>
  <si>
    <t>木村 徳之</t>
    <phoneticPr fontId="4"/>
  </si>
  <si>
    <t>023-666-7111</t>
    <phoneticPr fontId="4"/>
  </si>
  <si>
    <t>kimura@hirabukisekkei.co.jp</t>
    <phoneticPr fontId="4"/>
  </si>
  <si>
    <t>06-6443-3003</t>
    <phoneticPr fontId="4"/>
  </si>
  <si>
    <t>souken-ao@nifty.com</t>
    <phoneticPr fontId="4"/>
  </si>
  <si>
    <t>川端</t>
    <phoneticPr fontId="4"/>
  </si>
  <si>
    <t>06-6647-1067</t>
    <phoneticPr fontId="4"/>
  </si>
  <si>
    <t>suehara-sao@jewel.ocn.ne.jp</t>
    <phoneticPr fontId="4"/>
  </si>
  <si>
    <t>末原 真司</t>
    <rPh sb="0" eb="1">
      <t>マツ</t>
    </rPh>
    <rPh sb="1" eb="2">
      <t>ハラ</t>
    </rPh>
    <rPh sb="3" eb="5">
      <t>シンジ</t>
    </rPh>
    <phoneticPr fontId="4"/>
  </si>
  <si>
    <t>オートテラス長苗代</t>
    <phoneticPr fontId="4"/>
  </si>
  <si>
    <t>小池 明香利</t>
    <phoneticPr fontId="4"/>
  </si>
  <si>
    <t>03-5805-7517</t>
    <phoneticPr fontId="4"/>
  </si>
  <si>
    <t>koike@okak.co.jp</t>
    <phoneticPr fontId="4"/>
  </si>
  <si>
    <t>福田 博</t>
    <rPh sb="3" eb="4">
      <t>ヒロシ</t>
    </rPh>
    <phoneticPr fontId="4"/>
  </si>
  <si>
    <t>阿賀マリノポリス地区上屋</t>
    <phoneticPr fontId="4"/>
  </si>
  <si>
    <t>備北丘陵公園 展望台</t>
    <phoneticPr fontId="4"/>
  </si>
  <si>
    <t>大土井</t>
    <phoneticPr fontId="4"/>
  </si>
  <si>
    <t>usp01@lime.ocn.ne.jp</t>
    <phoneticPr fontId="4"/>
  </si>
  <si>
    <t>0868-31-3486</t>
    <phoneticPr fontId="4"/>
  </si>
  <si>
    <t>下村</t>
    <phoneticPr fontId="4"/>
  </si>
  <si>
    <t>西川</t>
    <phoneticPr fontId="4"/>
  </si>
  <si>
    <t>s-nisikinki@mbk.ocn.ne.jp</t>
    <phoneticPr fontId="4"/>
  </si>
  <si>
    <t>安城プロジェクト</t>
    <phoneticPr fontId="4"/>
  </si>
  <si>
    <t>堀 圭子</t>
    <phoneticPr fontId="4"/>
  </si>
  <si>
    <t>山梨県甲府市飯田２－６－６</t>
    <phoneticPr fontId="4"/>
  </si>
  <si>
    <t>055-228-0339</t>
    <phoneticPr fontId="4"/>
  </si>
  <si>
    <t>hori@miyake-sekkei.jp</t>
    <phoneticPr fontId="4"/>
  </si>
  <si>
    <t>宮坂米菓倉庫</t>
    <phoneticPr fontId="4"/>
  </si>
  <si>
    <t>山田</t>
    <phoneticPr fontId="4"/>
  </si>
  <si>
    <t>jcb00451@nifty.com</t>
    <phoneticPr fontId="4"/>
  </si>
  <si>
    <t>着工</t>
    <rPh sb="0" eb="2">
      <t>チャッコウ</t>
    </rPh>
    <phoneticPr fontId="4"/>
  </si>
  <si>
    <t>申請</t>
    <rPh sb="0" eb="2">
      <t>シンセイ</t>
    </rPh>
    <phoneticPr fontId="4"/>
  </si>
  <si>
    <t>日東工営 株式会社</t>
    <phoneticPr fontId="4"/>
  </si>
  <si>
    <t>日下 貴</t>
    <phoneticPr fontId="4"/>
  </si>
  <si>
    <t>022-266-3411</t>
    <phoneticPr fontId="4"/>
  </si>
  <si>
    <t>t.kusaka@nittohkoei.co.jp</t>
    <phoneticPr fontId="4"/>
  </si>
  <si>
    <t>サンデーペットショップ城下</t>
    <phoneticPr fontId="4"/>
  </si>
  <si>
    <t>おおた設計事務所</t>
    <phoneticPr fontId="4"/>
  </si>
  <si>
    <t>太田 憲士</t>
    <phoneticPr fontId="4"/>
  </si>
  <si>
    <t>0178-43-1531</t>
    <phoneticPr fontId="4"/>
  </si>
  <si>
    <t>ota_archite@air.ocn.ne.jp</t>
    <phoneticPr fontId="4"/>
  </si>
  <si>
    <t>申請</t>
    <rPh sb="0" eb="2">
      <t>シンセイ</t>
    </rPh>
    <phoneticPr fontId="4"/>
  </si>
  <si>
    <t>2</t>
    <phoneticPr fontId="4"/>
  </si>
  <si>
    <t>事務所</t>
    <phoneticPr fontId="4"/>
  </si>
  <si>
    <t>-</t>
    <phoneticPr fontId="4"/>
  </si>
  <si>
    <t>布</t>
    <rPh sb="0" eb="1">
      <t>ヌノ</t>
    </rPh>
    <phoneticPr fontId="4"/>
  </si>
  <si>
    <t>礫混り砂</t>
    <rPh sb="0" eb="1">
      <t>レキ</t>
    </rPh>
    <rPh sb="1" eb="2">
      <t>マ</t>
    </rPh>
    <rPh sb="3" eb="4">
      <t>スナ</t>
    </rPh>
    <phoneticPr fontId="4"/>
  </si>
  <si>
    <t>12m</t>
    <phoneticPr fontId="4"/>
  </si>
  <si>
    <t>ｼﾙﾄ</t>
    <phoneticPr fontId="4"/>
  </si>
  <si>
    <t>11m</t>
    <phoneticPr fontId="4"/>
  </si>
  <si>
    <t>ｼﾙﾄ混り砂</t>
    <rPh sb="3" eb="4">
      <t>マ</t>
    </rPh>
    <rPh sb="5" eb="6">
      <t>スナ</t>
    </rPh>
    <phoneticPr fontId="4"/>
  </si>
  <si>
    <t>7m</t>
    <phoneticPr fontId="4"/>
  </si>
  <si>
    <t>-</t>
    <phoneticPr fontId="4"/>
  </si>
  <si>
    <t>-</t>
    <phoneticPr fontId="4"/>
  </si>
  <si>
    <t>埋立地。</t>
    <rPh sb="0" eb="3">
      <t>ウメタテチ</t>
    </rPh>
    <phoneticPr fontId="4"/>
  </si>
  <si>
    <t>砂混り有機質ｼﾙﾄ</t>
    <rPh sb="0" eb="1">
      <t>スナ</t>
    </rPh>
    <rPh sb="1" eb="2">
      <t>マ</t>
    </rPh>
    <phoneticPr fontId="4"/>
  </si>
  <si>
    <t>橘</t>
    <phoneticPr fontId="4"/>
  </si>
  <si>
    <t>n-tachibana@puro1.net</t>
    <phoneticPr fontId="4"/>
  </si>
  <si>
    <t>北海道</t>
    <rPh sb="0" eb="3">
      <t>ホッカイドウ</t>
    </rPh>
    <phoneticPr fontId="4"/>
  </si>
  <si>
    <t>夕張郡</t>
    <rPh sb="0" eb="2">
      <t>ユウバリ</t>
    </rPh>
    <rPh sb="2" eb="3">
      <t>グン</t>
    </rPh>
    <phoneticPr fontId="4"/>
  </si>
  <si>
    <t>長沼町錦町南</t>
    <rPh sb="0" eb="2">
      <t>ナガヌマ</t>
    </rPh>
    <rPh sb="2" eb="3">
      <t>マチ</t>
    </rPh>
    <rPh sb="3" eb="4">
      <t>ニシキ</t>
    </rPh>
    <rPh sb="4" eb="5">
      <t>マチ</t>
    </rPh>
    <rPh sb="5" eb="6">
      <t>ミナミ</t>
    </rPh>
    <phoneticPr fontId="4"/>
  </si>
  <si>
    <t>10m</t>
    <phoneticPr fontId="4"/>
  </si>
  <si>
    <t>1m</t>
    <phoneticPr fontId="4"/>
  </si>
  <si>
    <t>礫混じり粘土質砂</t>
    <rPh sb="0" eb="1">
      <t>レキ</t>
    </rPh>
    <rPh sb="1" eb="2">
      <t>マ</t>
    </rPh>
    <rPh sb="4" eb="6">
      <t>ネンド</t>
    </rPh>
    <rPh sb="6" eb="7">
      <t>シツ</t>
    </rPh>
    <rPh sb="7" eb="8">
      <t>スナ</t>
    </rPh>
    <phoneticPr fontId="4"/>
  </si>
  <si>
    <t>ｼﾙﾄ混じり砂</t>
    <rPh sb="3" eb="4">
      <t>マ</t>
    </rPh>
    <rPh sb="6" eb="7">
      <t>スナ</t>
    </rPh>
    <phoneticPr fontId="4"/>
  </si>
  <si>
    <t>10月末完工</t>
    <rPh sb="2" eb="3">
      <t>ガツ</t>
    </rPh>
    <rPh sb="3" eb="4">
      <t>マツ</t>
    </rPh>
    <rPh sb="4" eb="6">
      <t>カンコウ</t>
    </rPh>
    <phoneticPr fontId="4"/>
  </si>
  <si>
    <t>神田設計</t>
    <phoneticPr fontId="4"/>
  </si>
  <si>
    <t>神田設計</t>
    <phoneticPr fontId="4"/>
  </si>
  <si>
    <t>カンダセッケイ</t>
    <phoneticPr fontId="4"/>
  </si>
  <si>
    <t>神田 正彦</t>
    <phoneticPr fontId="4"/>
  </si>
  <si>
    <t>mk2008@ymail.plala.or.jp</t>
    <phoneticPr fontId="4"/>
  </si>
  <si>
    <t>090-8427-0847</t>
    <phoneticPr fontId="4"/>
  </si>
  <si>
    <t>北海道釧路市松浦町16番15号</t>
    <phoneticPr fontId="4"/>
  </si>
  <si>
    <t>齋藤 俊</t>
    <phoneticPr fontId="4"/>
  </si>
  <si>
    <t>023-634-8161</t>
    <phoneticPr fontId="4"/>
  </si>
  <si>
    <t>saitou-shun@zennoh.or.jp</t>
    <phoneticPr fontId="4"/>
  </si>
  <si>
    <t>有限会社 安島建築構造設計事務所</t>
    <phoneticPr fontId="4"/>
  </si>
  <si>
    <t>八戸市</t>
    <phoneticPr fontId="4"/>
  </si>
  <si>
    <t>城下</t>
    <rPh sb="0" eb="1">
      <t>シロ</t>
    </rPh>
    <rPh sb="1" eb="2">
      <t>シタ</t>
    </rPh>
    <phoneticPr fontId="4"/>
  </si>
  <si>
    <t>着工</t>
    <rPh sb="0" eb="2">
      <t>チャッコウ</t>
    </rPh>
    <phoneticPr fontId="4"/>
  </si>
  <si>
    <t>五所川原市</t>
    <phoneticPr fontId="4"/>
  </si>
  <si>
    <t>大字漆川字珠椿</t>
    <rPh sb="0" eb="2">
      <t>オオアザ</t>
    </rPh>
    <rPh sb="2" eb="3">
      <t>ウルシ</t>
    </rPh>
    <rPh sb="3" eb="4">
      <t>カワ</t>
    </rPh>
    <rPh sb="4" eb="5">
      <t>ジ</t>
    </rPh>
    <rPh sb="5" eb="6">
      <t>タマ</t>
    </rPh>
    <rPh sb="6" eb="7">
      <t>ツバキ</t>
    </rPh>
    <phoneticPr fontId="4"/>
  </si>
  <si>
    <t>倉庫</t>
    <rPh sb="0" eb="2">
      <t>ソウコ</t>
    </rPh>
    <phoneticPr fontId="4"/>
  </si>
  <si>
    <t>厚岸郡</t>
    <rPh sb="0" eb="1">
      <t>アツ</t>
    </rPh>
    <rPh sb="1" eb="2">
      <t>キシ</t>
    </rPh>
    <rPh sb="2" eb="3">
      <t>グン</t>
    </rPh>
    <phoneticPr fontId="4"/>
  </si>
  <si>
    <t>厚岸町宮園</t>
    <phoneticPr fontId="4"/>
  </si>
  <si>
    <t>工場</t>
    <rPh sb="0" eb="2">
      <t>コウジョウ</t>
    </rPh>
    <phoneticPr fontId="4"/>
  </si>
  <si>
    <t>株式会社 創建設計</t>
    <rPh sb="0" eb="2">
      <t>カブシキ</t>
    </rPh>
    <rPh sb="2" eb="4">
      <t>カイシャ</t>
    </rPh>
    <rPh sb="5" eb="6">
      <t>ソウ</t>
    </rPh>
    <rPh sb="7" eb="9">
      <t>セッケイ</t>
    </rPh>
    <phoneticPr fontId="4"/>
  </si>
  <si>
    <t>株式会社 創建設計</t>
    <phoneticPr fontId="4"/>
  </si>
  <si>
    <t>カブシキガイシャ ソウケンセッケイ</t>
    <phoneticPr fontId="4"/>
  </si>
  <si>
    <t>栗原市</t>
    <rPh sb="0" eb="2">
      <t>クリハラ</t>
    </rPh>
    <rPh sb="2" eb="3">
      <t>シ</t>
    </rPh>
    <phoneticPr fontId="4"/>
  </si>
  <si>
    <t>若柳字川北塚原</t>
    <rPh sb="0" eb="2">
      <t>ワカヤナギ</t>
    </rPh>
    <rPh sb="2" eb="3">
      <t>ジ</t>
    </rPh>
    <rPh sb="3" eb="4">
      <t>カワ</t>
    </rPh>
    <rPh sb="4" eb="5">
      <t>キタ</t>
    </rPh>
    <rPh sb="5" eb="6">
      <t>ツカ</t>
    </rPh>
    <rPh sb="6" eb="7">
      <t>ハラ</t>
    </rPh>
    <phoneticPr fontId="4"/>
  </si>
  <si>
    <t>宮城県</t>
    <phoneticPr fontId="4"/>
  </si>
  <si>
    <t>ツルハ長沼下</t>
    <phoneticPr fontId="4"/>
  </si>
  <si>
    <t>近藤
フィ</t>
    <rPh sb="0" eb="2">
      <t>コンドウ</t>
    </rPh>
    <phoneticPr fontId="4"/>
  </si>
  <si>
    <t>ユイ
フィ</t>
    <phoneticPr fontId="4"/>
  </si>
  <si>
    <t>ユイ</t>
    <phoneticPr fontId="4"/>
  </si>
  <si>
    <t>ウット</t>
    <phoneticPr fontId="4"/>
  </si>
  <si>
    <t>タオ</t>
    <phoneticPr fontId="4"/>
  </si>
  <si>
    <t>ユイ</t>
    <phoneticPr fontId="4"/>
  </si>
  <si>
    <t>株式会社 エストルクトゥーラ</t>
    <phoneticPr fontId="4"/>
  </si>
  <si>
    <t>綿半ソリューションズ 株式会社</t>
    <phoneticPr fontId="4"/>
  </si>
  <si>
    <t>近藤
(外注)</t>
    <rPh sb="0" eb="2">
      <t>コンドウ</t>
    </rPh>
    <rPh sb="4" eb="6">
      <t>ガイチュウ</t>
    </rPh>
    <phoneticPr fontId="4"/>
  </si>
  <si>
    <t>tomoharu.uchiyama@starts.co.jp</t>
    <phoneticPr fontId="4"/>
  </si>
  <si>
    <t>内山 智晴</t>
    <phoneticPr fontId="4"/>
  </si>
  <si>
    <t>東京都中央区日本橋3-13-5　KDX日本橋313ビル2F</t>
    <phoneticPr fontId="4"/>
  </si>
  <si>
    <t>03-3510-2135</t>
    <phoneticPr fontId="4"/>
  </si>
  <si>
    <t>kubo-str@iaa.itkeeper.ne.jp</t>
    <phoneticPr fontId="4"/>
  </si>
  <si>
    <t>久保</t>
    <phoneticPr fontId="4"/>
  </si>
  <si>
    <t>平谷 伸吾</t>
    <phoneticPr fontId="4"/>
  </si>
  <si>
    <t>hiraya@nakai-net.co.jp</t>
    <phoneticPr fontId="4"/>
  </si>
  <si>
    <t>019-654-2311</t>
    <phoneticPr fontId="4"/>
  </si>
  <si>
    <t>(株)アドバネクス埼玉工場</t>
    <phoneticPr fontId="4"/>
  </si>
  <si>
    <t>佐々木</t>
    <phoneticPr fontId="4"/>
  </si>
  <si>
    <t>y-sasaki@uekigumi.co.jp</t>
    <phoneticPr fontId="4"/>
  </si>
  <si>
    <t>細川 進</t>
    <phoneticPr fontId="4"/>
  </si>
  <si>
    <t>山梨県南アルプス市百々1771－25</t>
    <phoneticPr fontId="4"/>
  </si>
  <si>
    <t>055-285-4506</t>
    <phoneticPr fontId="4"/>
  </si>
  <si>
    <t>hskw@apricot.ocn.ne.jp</t>
    <phoneticPr fontId="4"/>
  </si>
  <si>
    <t>株式会社リード R3工場</t>
    <phoneticPr fontId="4"/>
  </si>
  <si>
    <t>t.konno-doujin@ac.auone-net.jp</t>
    <phoneticPr fontId="4"/>
  </si>
  <si>
    <t>昆野 友則</t>
    <phoneticPr fontId="4"/>
  </si>
  <si>
    <t>022-302-7511</t>
    <phoneticPr fontId="4"/>
  </si>
  <si>
    <t>玉縄子どもセンター</t>
    <phoneticPr fontId="4"/>
  </si>
  <si>
    <t>瀧上</t>
    <phoneticPr fontId="4"/>
  </si>
  <si>
    <t>042-759-3691</t>
    <phoneticPr fontId="4"/>
  </si>
  <si>
    <t>takiue@katokou.com</t>
    <phoneticPr fontId="4"/>
  </si>
  <si>
    <t>佐野 翔太</t>
    <phoneticPr fontId="4"/>
  </si>
  <si>
    <t>045-253-0711</t>
    <phoneticPr fontId="4"/>
  </si>
  <si>
    <t>s-sano@naitohouse.co.jp</t>
    <phoneticPr fontId="4"/>
  </si>
  <si>
    <t>宇多興産株式会社 河原町建屋</t>
    <phoneticPr fontId="4"/>
  </si>
  <si>
    <t>早乙女 哲</t>
    <phoneticPr fontId="4"/>
  </si>
  <si>
    <t>東京都新宿区新宿5-11-22  中島ビル3階</t>
    <phoneticPr fontId="4"/>
  </si>
  <si>
    <t>03-3358-2421</t>
    <phoneticPr fontId="4"/>
  </si>
  <si>
    <t>s.saotome@omni-arc.co.jp</t>
    <phoneticPr fontId="4"/>
  </si>
  <si>
    <t>山谷 孝信</t>
    <phoneticPr fontId="4"/>
  </si>
  <si>
    <t>満尾 孝太郎</t>
    <phoneticPr fontId="4"/>
  </si>
  <si>
    <t>090-8100-1994</t>
    <phoneticPr fontId="4"/>
  </si>
  <si>
    <t>kotaro@hako-labo.jp</t>
    <phoneticPr fontId="4"/>
  </si>
  <si>
    <t>児玉産業株式会社 住宅</t>
    <phoneticPr fontId="4"/>
  </si>
  <si>
    <t>江澤</t>
    <phoneticPr fontId="4"/>
  </si>
  <si>
    <t>沢建築設計事務所</t>
    <rPh sb="0" eb="1">
      <t>サワ</t>
    </rPh>
    <rPh sb="1" eb="3">
      <t>ケンチク</t>
    </rPh>
    <rPh sb="3" eb="5">
      <t>セッケイ</t>
    </rPh>
    <rPh sb="5" eb="7">
      <t>ジム</t>
    </rPh>
    <rPh sb="7" eb="8">
      <t>ショ</t>
    </rPh>
    <phoneticPr fontId="4"/>
  </si>
  <si>
    <t>sawa-sekkei@cocoa.plala.or.jp</t>
    <phoneticPr fontId="4"/>
  </si>
  <si>
    <t>川上 正人</t>
    <phoneticPr fontId="4"/>
  </si>
  <si>
    <t>mymjk@plum.ocn.ne.jp</t>
    <phoneticPr fontId="4"/>
  </si>
  <si>
    <t>内山 直隆</t>
    <phoneticPr fontId="4"/>
  </si>
  <si>
    <t>017-782-4083</t>
    <phoneticPr fontId="4"/>
  </si>
  <si>
    <t>uchiyama-arc@aria.ocn.ne.jp</t>
    <phoneticPr fontId="4"/>
  </si>
  <si>
    <t>キムラ鉄工所</t>
    <phoneticPr fontId="4"/>
  </si>
  <si>
    <t>加川</t>
    <phoneticPr fontId="4"/>
  </si>
  <si>
    <t>022-246-4677</t>
    <phoneticPr fontId="4"/>
  </si>
  <si>
    <t>sanplus@sp-sekkei.com</t>
    <phoneticPr fontId="4"/>
  </si>
  <si>
    <t>ホーマック留萌</t>
    <phoneticPr fontId="4"/>
  </si>
  <si>
    <t>寺腰 政文</t>
    <phoneticPr fontId="4"/>
  </si>
  <si>
    <t>ホーマックスーパーデポ横手</t>
    <phoneticPr fontId="4"/>
  </si>
  <si>
    <t>青山 和司</t>
    <phoneticPr fontId="4"/>
  </si>
  <si>
    <t>k-aoyama@nakaizum.com</t>
    <phoneticPr fontId="4"/>
  </si>
  <si>
    <t>本田 匡亘</t>
    <phoneticPr fontId="4"/>
  </si>
  <si>
    <t>Myanmar Japan Steel</t>
    <phoneticPr fontId="4"/>
  </si>
  <si>
    <t>kitsukawa@k-souzousya.co.jp</t>
    <phoneticPr fontId="4"/>
  </si>
  <si>
    <t>橘川 俊也</t>
    <phoneticPr fontId="4"/>
  </si>
  <si>
    <t>022-796-1240</t>
    <phoneticPr fontId="4"/>
  </si>
  <si>
    <t>新田</t>
    <phoneticPr fontId="4"/>
  </si>
  <si>
    <t>urakami.yoshihisa@aisekkei.co.jp</t>
    <phoneticPr fontId="4"/>
  </si>
  <si>
    <t>東京都江東区亀戸2丁目26-10　立花亀戸ビル4階</t>
    <phoneticPr fontId="4"/>
  </si>
  <si>
    <t>03-5836-7810</t>
    <phoneticPr fontId="4"/>
  </si>
  <si>
    <t>浦上 義久</t>
    <phoneticPr fontId="4"/>
  </si>
  <si>
    <t>江村 進</t>
    <phoneticPr fontId="4"/>
  </si>
  <si>
    <t>047-711-0416</t>
    <phoneticPr fontId="4"/>
  </si>
  <si>
    <t>千葉県浦安市猫実3丁目28－28 山源ビル401号</t>
    <phoneticPr fontId="4"/>
  </si>
  <si>
    <t>emura@shiohama.co.jp</t>
    <phoneticPr fontId="4"/>
  </si>
  <si>
    <t>製缶陸運㈱事務所、倉庫</t>
    <phoneticPr fontId="4"/>
  </si>
  <si>
    <t>辻 喜彦</t>
    <phoneticPr fontId="4"/>
  </si>
  <si>
    <t>06-6658-6357</t>
    <phoneticPr fontId="4"/>
  </si>
  <si>
    <t>artec@silk.plala.or.jp</t>
    <phoneticPr fontId="4"/>
  </si>
  <si>
    <t>r-yamauchi@nakaizum.com</t>
    <phoneticPr fontId="4"/>
  </si>
  <si>
    <t>山内 律恵</t>
    <phoneticPr fontId="4"/>
  </si>
  <si>
    <t>島根県江津市都野津町2397-19</t>
    <phoneticPr fontId="4"/>
  </si>
  <si>
    <t>0855-54-3053</t>
    <phoneticPr fontId="4"/>
  </si>
  <si>
    <t>トーザイ貿易重機置場</t>
    <phoneticPr fontId="4"/>
  </si>
  <si>
    <t>06-4700-3145</t>
    <phoneticPr fontId="4"/>
  </si>
  <si>
    <t>田深 政徳</t>
    <phoneticPr fontId="4"/>
  </si>
  <si>
    <t>architab@cronos.ocn.ne.jp</t>
    <phoneticPr fontId="4"/>
  </si>
  <si>
    <t>小川 太一朗</t>
    <phoneticPr fontId="4"/>
  </si>
  <si>
    <t>t.ogawa@yokogawa-yess.co.jp</t>
    <phoneticPr fontId="4"/>
  </si>
  <si>
    <t>西糀谷二丁目グループホーム</t>
    <phoneticPr fontId="4"/>
  </si>
  <si>
    <t>山岸 匠</t>
    <phoneticPr fontId="4"/>
  </si>
  <si>
    <t>東京都中央区日本橋小網町18番3号</t>
    <phoneticPr fontId="4"/>
  </si>
  <si>
    <t>03-3664-1467</t>
    <phoneticPr fontId="4"/>
  </si>
  <si>
    <t>yamagishi-t@nitteiken.co.jp</t>
    <phoneticPr fontId="4"/>
  </si>
  <si>
    <t>HIひろせ明野店</t>
    <phoneticPr fontId="4"/>
  </si>
  <si>
    <t>瀬戸口 幹光</t>
    <phoneticPr fontId="4"/>
  </si>
  <si>
    <t>092-737-8636</t>
    <phoneticPr fontId="4"/>
  </si>
  <si>
    <t>kt2544@suo.bbiq.jp</t>
    <phoneticPr fontId="4"/>
  </si>
  <si>
    <t>鳶鈴木一級建築士事務所</t>
    <phoneticPr fontId="4"/>
  </si>
  <si>
    <t>マセラティ神戸</t>
    <phoneticPr fontId="4"/>
  </si>
  <si>
    <t>堀口</t>
    <phoneticPr fontId="4"/>
  </si>
  <si>
    <t>東京都渋谷区猿楽町10-1-204</t>
    <phoneticPr fontId="4"/>
  </si>
  <si>
    <t>03-3462-1713</t>
    <phoneticPr fontId="4"/>
  </si>
  <si>
    <t>info@teamiwakiri.jp</t>
    <phoneticPr fontId="4"/>
  </si>
  <si>
    <t>ケアタウンいの</t>
    <phoneticPr fontId="4"/>
  </si>
  <si>
    <t>大川内 昭宏</t>
    <phoneticPr fontId="4"/>
  </si>
  <si>
    <t>高知県高知市役知町21番3号</t>
    <phoneticPr fontId="4"/>
  </si>
  <si>
    <t>088-831-3459</t>
    <phoneticPr fontId="4"/>
  </si>
  <si>
    <t>k-kikaku@sage.ocn.ne.jp</t>
    <phoneticPr fontId="4"/>
  </si>
  <si>
    <t>bauplan@hera.eonet.ne.jp</t>
    <phoneticPr fontId="4"/>
  </si>
  <si>
    <t>平和堂大河端</t>
    <phoneticPr fontId="4"/>
  </si>
  <si>
    <t>水嶋 将斗</t>
    <phoneticPr fontId="4"/>
  </si>
  <si>
    <t>076-253-3193</t>
    <phoneticPr fontId="4"/>
  </si>
  <si>
    <t>北陸支店</t>
    <phoneticPr fontId="4"/>
  </si>
  <si>
    <t>masato.mizushima@ku.kumagaigumi.co.jp</t>
    <phoneticPr fontId="4"/>
  </si>
  <si>
    <t>ドコモショップ藤代</t>
    <phoneticPr fontId="4"/>
  </si>
  <si>
    <t>有限会社 アーキテクチャ-・ラボ</t>
    <phoneticPr fontId="4"/>
  </si>
  <si>
    <t>三重三菱自動車販売 津岩田</t>
    <phoneticPr fontId="4"/>
  </si>
  <si>
    <t>06-6541-6345</t>
    <phoneticPr fontId="4"/>
  </si>
  <si>
    <t>rxk03363@nifty.com</t>
    <phoneticPr fontId="4"/>
  </si>
  <si>
    <t>河合</t>
    <phoneticPr fontId="4"/>
  </si>
  <si>
    <t>地域密着型特別養護老人ホーム 朝霞苑</t>
    <phoneticPr fontId="4"/>
  </si>
  <si>
    <t>大越マテックス三郷事業所</t>
    <phoneticPr fontId="4"/>
  </si>
  <si>
    <t>ドラッグてらしまつくば研究学園店</t>
    <phoneticPr fontId="4"/>
  </si>
  <si>
    <t>ドラッグてらしま かすみがうら大和田店</t>
    <phoneticPr fontId="4"/>
  </si>
  <si>
    <t>ウエルシア薬局我孫子若松</t>
    <phoneticPr fontId="4"/>
  </si>
  <si>
    <t>ウエルシア薬局甲府富竹</t>
    <phoneticPr fontId="4"/>
  </si>
  <si>
    <t>ウエルシア薬局八千代大和田店</t>
    <phoneticPr fontId="4"/>
  </si>
  <si>
    <t>こだましめじ工場</t>
    <phoneticPr fontId="4"/>
  </si>
  <si>
    <t>久保 好治</t>
    <phoneticPr fontId="4"/>
  </si>
  <si>
    <t>長野県中野市金井1254</t>
    <phoneticPr fontId="4"/>
  </si>
  <si>
    <t>0269-22-3711</t>
    <phoneticPr fontId="4"/>
  </si>
  <si>
    <t>kubo@yumotokoumuten.com</t>
    <phoneticPr fontId="4"/>
  </si>
  <si>
    <t>鳥繁産業本社工場</t>
    <phoneticPr fontId="4"/>
  </si>
  <si>
    <t>高瀬 幸伸</t>
    <phoneticPr fontId="4"/>
  </si>
  <si>
    <t>097-594-1885</t>
    <phoneticPr fontId="4"/>
  </si>
  <si>
    <t>takaseao@gmail.com</t>
    <phoneticPr fontId="4"/>
  </si>
  <si>
    <t>早川 真一</t>
    <phoneticPr fontId="4"/>
  </si>
  <si>
    <t>06-4705-8080</t>
    <phoneticPr fontId="4"/>
  </si>
  <si>
    <t>hayakawa@estructura.co.jp</t>
    <phoneticPr fontId="4"/>
  </si>
  <si>
    <t>日産登美ケ丘</t>
    <phoneticPr fontId="4"/>
  </si>
  <si>
    <t>子安</t>
    <phoneticPr fontId="4"/>
  </si>
  <si>
    <t>東京都中央区日本橋富沢町13－4　三宅ビル3階</t>
    <phoneticPr fontId="4"/>
  </si>
  <si>
    <t>03-3662-4196</t>
    <phoneticPr fontId="4"/>
  </si>
  <si>
    <t>tnowata@pop12.odn.ne.jp</t>
    <phoneticPr fontId="4"/>
  </si>
  <si>
    <t>渡辺 恒雄</t>
    <phoneticPr fontId="4"/>
  </si>
  <si>
    <t>盛土(礫混じり粗砂)</t>
    <rPh sb="0" eb="2">
      <t>モリド</t>
    </rPh>
    <rPh sb="3" eb="4">
      <t>レキ</t>
    </rPh>
    <rPh sb="4" eb="5">
      <t>マ</t>
    </rPh>
    <rPh sb="7" eb="8">
      <t>アラ</t>
    </rPh>
    <rPh sb="8" eb="9">
      <t>スナ</t>
    </rPh>
    <phoneticPr fontId="4"/>
  </si>
  <si>
    <t>盛土(ｼﾙﾄ混じり粗砂)</t>
    <rPh sb="0" eb="2">
      <t>モリド</t>
    </rPh>
    <rPh sb="6" eb="7">
      <t>マ</t>
    </rPh>
    <rPh sb="9" eb="10">
      <t>アラ</t>
    </rPh>
    <rPh sb="10" eb="11">
      <t>スナ</t>
    </rPh>
    <phoneticPr fontId="4"/>
  </si>
  <si>
    <t>ｼﾙﾄ</t>
    <phoneticPr fontId="4"/>
  </si>
  <si>
    <t>1m</t>
    <phoneticPr fontId="4"/>
  </si>
  <si>
    <t>1m</t>
    <phoneticPr fontId="4"/>
  </si>
  <si>
    <t>粗砂</t>
    <rPh sb="0" eb="1">
      <t>アラ</t>
    </rPh>
    <rPh sb="1" eb="2">
      <t>スナ</t>
    </rPh>
    <phoneticPr fontId="4"/>
  </si>
  <si>
    <t>ｼﾙﾄ(腐食物混入)</t>
    <rPh sb="4" eb="6">
      <t>フショク</t>
    </rPh>
    <rPh sb="6" eb="7">
      <t>ブツ</t>
    </rPh>
    <rPh sb="7" eb="9">
      <t>コンニュウ</t>
    </rPh>
    <phoneticPr fontId="4"/>
  </si>
  <si>
    <t>折板(太陽光,緑化)</t>
    <rPh sb="0" eb="2">
      <t>セッパン</t>
    </rPh>
    <rPh sb="3" eb="6">
      <t>タイヨウコウ</t>
    </rPh>
    <rPh sb="7" eb="9">
      <t>リョクカ</t>
    </rPh>
    <phoneticPr fontId="4"/>
  </si>
  <si>
    <t>本間 政人</t>
    <phoneticPr fontId="4"/>
  </si>
  <si>
    <t>0234-22-1323</t>
    <phoneticPr fontId="4"/>
  </si>
  <si>
    <t>山形県酒田市浜田二丁目12-12</t>
    <phoneticPr fontId="4"/>
  </si>
  <si>
    <t>m-honma@ic-net.or.jp</t>
    <phoneticPr fontId="4"/>
  </si>
  <si>
    <t>造成工事あり</t>
    <rPh sb="0" eb="2">
      <t>ゾウセイ</t>
    </rPh>
    <rPh sb="2" eb="4">
      <t>コウジ</t>
    </rPh>
    <phoneticPr fontId="4"/>
  </si>
  <si>
    <t xml:space="preserve"> 締切</t>
    <rPh sb="1" eb="3">
      <t>シメキリ</t>
    </rPh>
    <phoneticPr fontId="4"/>
  </si>
  <si>
    <t>弘前倉庫五所川原４期</t>
    <phoneticPr fontId="4"/>
  </si>
  <si>
    <t>株式会社 テクム</t>
    <phoneticPr fontId="4"/>
  </si>
  <si>
    <t>株式会社 テクム</t>
    <phoneticPr fontId="4"/>
  </si>
  <si>
    <t>カブシキガイシャ テクム</t>
    <phoneticPr fontId="4"/>
  </si>
  <si>
    <t>雪田 真弘</t>
    <phoneticPr fontId="4"/>
  </si>
  <si>
    <t>017-726-9090</t>
    <phoneticPr fontId="4"/>
  </si>
  <si>
    <t>tecm@circus.ocn.ne.jp</t>
    <phoneticPr fontId="4"/>
  </si>
  <si>
    <t>青森県青森市大字滝沢字下川原18-20</t>
    <phoneticPr fontId="4"/>
  </si>
  <si>
    <t>島根県 出雲市役所</t>
    <phoneticPr fontId="4"/>
  </si>
  <si>
    <t>軽石混じり火山灰</t>
    <rPh sb="0" eb="2">
      <t>カルイシ</t>
    </rPh>
    <rPh sb="2" eb="3">
      <t>マ</t>
    </rPh>
    <rPh sb="5" eb="8">
      <t>カザンバイ</t>
    </rPh>
    <phoneticPr fontId="4"/>
  </si>
  <si>
    <t>泥炭</t>
    <rPh sb="0" eb="2">
      <t>デイタン</t>
    </rPh>
    <phoneticPr fontId="4"/>
  </si>
  <si>
    <t>1m</t>
    <phoneticPr fontId="4"/>
  </si>
  <si>
    <t>2m</t>
    <phoneticPr fontId="4"/>
  </si>
  <si>
    <t>砂</t>
    <rPh sb="0" eb="1">
      <t>スナ</t>
    </rPh>
    <phoneticPr fontId="4"/>
  </si>
  <si>
    <t>こども園</t>
    <rPh sb="3" eb="4">
      <t>エン</t>
    </rPh>
    <phoneticPr fontId="4"/>
  </si>
  <si>
    <t>2</t>
    <phoneticPr fontId="4"/>
  </si>
  <si>
    <t>べた</t>
    <phoneticPr fontId="4"/>
  </si>
  <si>
    <t>砂混じり粘土</t>
    <rPh sb="0" eb="1">
      <t>スナ</t>
    </rPh>
    <rPh sb="1" eb="2">
      <t>マ</t>
    </rPh>
    <rPh sb="4" eb="6">
      <t>ネンド</t>
    </rPh>
    <phoneticPr fontId="4"/>
  </si>
  <si>
    <t>砂混り粘土</t>
    <rPh sb="0" eb="1">
      <t>スナ</t>
    </rPh>
    <rPh sb="1" eb="2">
      <t>マ</t>
    </rPh>
    <rPh sb="3" eb="5">
      <t>ネンド</t>
    </rPh>
    <phoneticPr fontId="4"/>
  </si>
  <si>
    <t>7m</t>
    <phoneticPr fontId="4"/>
  </si>
  <si>
    <t>粘土</t>
    <rPh sb="0" eb="2">
      <t>ネンド</t>
    </rPh>
    <phoneticPr fontId="4"/>
  </si>
  <si>
    <t>3m</t>
    <phoneticPr fontId="4"/>
  </si>
  <si>
    <t>粘土(有機物混入)</t>
    <rPh sb="0" eb="2">
      <t>ネンド</t>
    </rPh>
    <rPh sb="3" eb="6">
      <t>ユウキブツ</t>
    </rPh>
    <rPh sb="6" eb="8">
      <t>コンニュウ</t>
    </rPh>
    <phoneticPr fontId="4"/>
  </si>
  <si>
    <t>株式会社 湘南建築センター</t>
    <rPh sb="0" eb="2">
      <t>カブシキ</t>
    </rPh>
    <rPh sb="2" eb="4">
      <t>ガイシャ</t>
    </rPh>
    <rPh sb="5" eb="7">
      <t>ショウナン</t>
    </rPh>
    <rPh sb="7" eb="9">
      <t>ケンチク</t>
    </rPh>
    <phoneticPr fontId="4"/>
  </si>
  <si>
    <t>株式会社 湘南建築センター</t>
    <phoneticPr fontId="4"/>
  </si>
  <si>
    <t>準備工の後、着工</t>
    <rPh sb="0" eb="2">
      <t>ジュンビ</t>
    </rPh>
    <rPh sb="4" eb="5">
      <t>アト</t>
    </rPh>
    <rPh sb="6" eb="8">
      <t>チャッコウ</t>
    </rPh>
    <phoneticPr fontId="4"/>
  </si>
  <si>
    <t>伊藤設計</t>
    <rPh sb="0" eb="2">
      <t>イトウ</t>
    </rPh>
    <rPh sb="2" eb="4">
      <t>セッケイ</t>
    </rPh>
    <phoneticPr fontId="4"/>
  </si>
  <si>
    <t>伊藤 広</t>
    <rPh sb="0" eb="2">
      <t>イトウ</t>
    </rPh>
    <rPh sb="3" eb="4">
      <t>ヒロシ</t>
    </rPh>
    <phoneticPr fontId="4"/>
  </si>
  <si>
    <t>0250-24-3365</t>
    <phoneticPr fontId="4"/>
  </si>
  <si>
    <t>新潟県新潟市秋葉区山谷町3-1-25</t>
    <rPh sb="0" eb="3">
      <t>ニイガタケン</t>
    </rPh>
    <rPh sb="3" eb="6">
      <t>ニイガタシ</t>
    </rPh>
    <rPh sb="6" eb="8">
      <t>アキバ</t>
    </rPh>
    <rPh sb="8" eb="9">
      <t>ク</t>
    </rPh>
    <rPh sb="9" eb="10">
      <t>ヤマ</t>
    </rPh>
    <rPh sb="10" eb="11">
      <t>タニ</t>
    </rPh>
    <rPh sb="11" eb="12">
      <t>マチ</t>
    </rPh>
    <phoneticPr fontId="4"/>
  </si>
  <si>
    <t>h-itoh@muh.biglobe.ne.jp</t>
    <phoneticPr fontId="4"/>
  </si>
  <si>
    <t>伊藤設計</t>
    <phoneticPr fontId="4"/>
  </si>
  <si>
    <t>イトウセッケイ</t>
    <phoneticPr fontId="4"/>
  </si>
  <si>
    <t>1-2</t>
    <phoneticPr fontId="4"/>
  </si>
  <si>
    <t>盛土(礫混じり砂)</t>
    <rPh sb="0" eb="2">
      <t>モリド</t>
    </rPh>
    <rPh sb="3" eb="4">
      <t>レキ</t>
    </rPh>
    <rPh sb="4" eb="5">
      <t>マ</t>
    </rPh>
    <rPh sb="7" eb="8">
      <t>スナ</t>
    </rPh>
    <phoneticPr fontId="4"/>
  </si>
  <si>
    <t>砂混じりｼﾙﾄ</t>
    <rPh sb="0" eb="1">
      <t>スナ</t>
    </rPh>
    <rPh sb="1" eb="2">
      <t>マ</t>
    </rPh>
    <phoneticPr fontId="4"/>
  </si>
  <si>
    <t>1m</t>
    <phoneticPr fontId="4"/>
  </si>
  <si>
    <t>有機質シルト</t>
    <rPh sb="0" eb="3">
      <t>ユウキシツ</t>
    </rPh>
    <phoneticPr fontId="4"/>
  </si>
  <si>
    <t>7m</t>
    <phoneticPr fontId="4"/>
  </si>
  <si>
    <t>ｼﾙﾄ混じり砂</t>
    <rPh sb="3" eb="4">
      <t>マ</t>
    </rPh>
    <rPh sb="6" eb="7">
      <t>スナ</t>
    </rPh>
    <phoneticPr fontId="4"/>
  </si>
  <si>
    <t>8m</t>
    <phoneticPr fontId="4"/>
  </si>
  <si>
    <t>有機質ｼﾙﾄ</t>
    <rPh sb="0" eb="3">
      <t>ユウキシツ</t>
    </rPh>
    <phoneticPr fontId="4"/>
  </si>
  <si>
    <t>海に近い。新設・既存擁壁 近接。</t>
    <rPh sb="0" eb="1">
      <t>ウミ</t>
    </rPh>
    <rPh sb="2" eb="3">
      <t>チカ</t>
    </rPh>
    <rPh sb="5" eb="7">
      <t>シンセツ</t>
    </rPh>
    <rPh sb="8" eb="10">
      <t>キソン</t>
    </rPh>
    <rPh sb="10" eb="12">
      <t>ヨウヘキ</t>
    </rPh>
    <rPh sb="13" eb="15">
      <t>キンセツ</t>
    </rPh>
    <phoneticPr fontId="4"/>
  </si>
  <si>
    <t>山形県 庄内総合支庁</t>
    <phoneticPr fontId="4"/>
  </si>
  <si>
    <t>2020.2.3柱状改良に変更により失注</t>
    <rPh sb="8" eb="10">
      <t>チュウジョウ</t>
    </rPh>
    <rPh sb="10" eb="12">
      <t>カイリョウ</t>
    </rPh>
    <rPh sb="13" eb="15">
      <t>ヘンコウ</t>
    </rPh>
    <rPh sb="18" eb="20">
      <t>シッチュウ</t>
    </rPh>
    <phoneticPr fontId="4"/>
  </si>
  <si>
    <t>東北マツダ名取</t>
    <rPh sb="0" eb="2">
      <t>トウホク</t>
    </rPh>
    <rPh sb="5" eb="7">
      <t>ナトリ</t>
    </rPh>
    <phoneticPr fontId="4"/>
  </si>
  <si>
    <t>宮城県</t>
    <rPh sb="0" eb="3">
      <t>ミヤギケン</t>
    </rPh>
    <phoneticPr fontId="4"/>
  </si>
  <si>
    <t>名取市</t>
    <rPh sb="0" eb="3">
      <t>ナトリシ</t>
    </rPh>
    <phoneticPr fontId="4"/>
  </si>
  <si>
    <t>増田</t>
    <rPh sb="0" eb="2">
      <t>マスダ</t>
    </rPh>
    <phoneticPr fontId="4"/>
  </si>
  <si>
    <t>株式会社 アーキブレン山形</t>
    <rPh sb="0" eb="2">
      <t>カブシキ</t>
    </rPh>
    <rPh sb="2" eb="4">
      <t>カイシャ</t>
    </rPh>
    <phoneticPr fontId="4"/>
  </si>
  <si>
    <t>加茂 秀明</t>
    <phoneticPr fontId="4"/>
  </si>
  <si>
    <t>052-961-2031</t>
    <phoneticPr fontId="4"/>
  </si>
  <si>
    <t>kamo@kishisekkei.co.jp</t>
    <phoneticPr fontId="4"/>
  </si>
  <si>
    <t>青木</t>
    <phoneticPr fontId="4"/>
  </si>
  <si>
    <t>kujaku@9jaku.com</t>
    <phoneticPr fontId="4"/>
  </si>
  <si>
    <t>ラ・ムー和歌山西浜</t>
    <phoneticPr fontId="4"/>
  </si>
  <si>
    <t>山本 武弘</t>
    <phoneticPr fontId="4"/>
  </si>
  <si>
    <t>小林 一之</t>
    <phoneticPr fontId="4"/>
  </si>
  <si>
    <t>048-468-4313</t>
    <phoneticPr fontId="4"/>
  </si>
  <si>
    <t>埼玉県和光市白子3-16-60　東和ロイヤルハイツ302</t>
    <phoneticPr fontId="4"/>
  </si>
  <si>
    <t>byukoba@mwd.biglobe.ne.jp</t>
    <phoneticPr fontId="4"/>
  </si>
  <si>
    <t>04-2928-5100</t>
    <phoneticPr fontId="4"/>
  </si>
  <si>
    <t>j-kawasaki@les-net.jp</t>
    <phoneticPr fontId="4"/>
  </si>
  <si>
    <t>川﨑 淳二</t>
    <phoneticPr fontId="4"/>
  </si>
  <si>
    <t>南牧村基幹集落センター</t>
    <phoneticPr fontId="4"/>
  </si>
  <si>
    <t>inaba-3mht@msc.biglobe.ne.jp</t>
    <phoneticPr fontId="4"/>
  </si>
  <si>
    <t>稲葉</t>
    <phoneticPr fontId="4"/>
  </si>
  <si>
    <t>弓ヶ浜水産株式会社 加工工場</t>
    <phoneticPr fontId="4"/>
  </si>
  <si>
    <t>マナベインテリアハーツ</t>
    <phoneticPr fontId="4"/>
  </si>
  <si>
    <t>佐賀あかつき保育園</t>
    <phoneticPr fontId="4"/>
  </si>
  <si>
    <t>篠原 通高</t>
    <phoneticPr fontId="4"/>
  </si>
  <si>
    <t>092-526-4766</t>
    <phoneticPr fontId="4"/>
  </si>
  <si>
    <t>shinohara.michitaka@aisekkei.co.jp</t>
    <phoneticPr fontId="4"/>
  </si>
  <si>
    <t>石垣 高司</t>
    <phoneticPr fontId="4"/>
  </si>
  <si>
    <t>04-7128-8687</t>
    <phoneticPr fontId="4"/>
  </si>
  <si>
    <t>ishigaki@bell.ocn.ne.jp</t>
    <phoneticPr fontId="4"/>
  </si>
  <si>
    <t>千葉県柏市東1-2-14 グレイスコート東313</t>
    <phoneticPr fontId="4"/>
  </si>
  <si>
    <t>北原</t>
    <phoneticPr fontId="4"/>
  </si>
  <si>
    <t>千葉県佐倉市表町４丁目1-10</t>
    <phoneticPr fontId="4"/>
  </si>
  <si>
    <t>043-483-8711</t>
    <phoneticPr fontId="4"/>
  </si>
  <si>
    <t>kitahara@kitahara-tp.co.jp</t>
    <phoneticPr fontId="4"/>
  </si>
  <si>
    <t>グループホームほのぼの苑光南</t>
    <phoneticPr fontId="4"/>
  </si>
  <si>
    <t>河口設計</t>
    <phoneticPr fontId="4"/>
  </si>
  <si>
    <t>池田 康彦</t>
    <phoneticPr fontId="4"/>
  </si>
  <si>
    <t>082-244-3591</t>
    <phoneticPr fontId="4"/>
  </si>
  <si>
    <t>y.ikeda@morinobu.jp</t>
    <phoneticPr fontId="4"/>
  </si>
  <si>
    <t>082-245-1117</t>
    <phoneticPr fontId="4"/>
  </si>
  <si>
    <t>ユニバース湊高台</t>
    <phoneticPr fontId="4"/>
  </si>
  <si>
    <t>ニラク渋川白井</t>
    <phoneticPr fontId="4"/>
  </si>
  <si>
    <t>大藤 育也</t>
    <phoneticPr fontId="4"/>
  </si>
  <si>
    <t>03-3295-6251</t>
    <phoneticPr fontId="4"/>
  </si>
  <si>
    <t>i.ohtoh@p-soken.co.jp</t>
    <phoneticPr fontId="4"/>
  </si>
  <si>
    <t>金子 慎也</t>
    <phoneticPr fontId="4"/>
  </si>
  <si>
    <t>03-5805-7517</t>
    <phoneticPr fontId="4"/>
  </si>
  <si>
    <t>kaneko@okak.co.jp</t>
    <phoneticPr fontId="4"/>
  </si>
  <si>
    <t>JSSスイミングスクール鶴見中央</t>
    <phoneticPr fontId="4"/>
  </si>
  <si>
    <t>喜多 哲郎</t>
    <phoneticPr fontId="4"/>
  </si>
  <si>
    <t>06-4960-6950</t>
    <phoneticPr fontId="4"/>
  </si>
  <si>
    <t>tkita@pastel.ocn.ne.jp</t>
    <phoneticPr fontId="4"/>
  </si>
  <si>
    <t>安藤</t>
    <phoneticPr fontId="4"/>
  </si>
  <si>
    <t>nk5m-andu@asahi-net.or.jp</t>
    <phoneticPr fontId="4"/>
  </si>
  <si>
    <t>03-3985-3638</t>
    <phoneticPr fontId="4"/>
  </si>
  <si>
    <t>東京都豊島区南池袋2-35-10　Ｒ25-3Ｆ</t>
    <phoneticPr fontId="4"/>
  </si>
  <si>
    <t>着工</t>
    <rPh sb="0" eb="2">
      <t>チャッコウ</t>
    </rPh>
    <phoneticPr fontId="4"/>
  </si>
  <si>
    <t>道路境界部に地中障害あり</t>
    <rPh sb="0" eb="2">
      <t>ドウロ</t>
    </rPh>
    <rPh sb="2" eb="4">
      <t>キョウカイ</t>
    </rPh>
    <rPh sb="4" eb="5">
      <t>ブ</t>
    </rPh>
    <rPh sb="6" eb="8">
      <t>チチュウ</t>
    </rPh>
    <rPh sb="8" eb="10">
      <t>ショウガイ</t>
    </rPh>
    <phoneticPr fontId="4"/>
  </si>
  <si>
    <t>ロピア希望ヶ丘</t>
    <phoneticPr fontId="4"/>
  </si>
  <si>
    <t>杉山</t>
    <phoneticPr fontId="4"/>
  </si>
  <si>
    <t>090-3444-6645</t>
    <phoneticPr fontId="4"/>
  </si>
  <si>
    <t>n.rsekkei@tx.thn.ne.jp</t>
    <phoneticPr fontId="4"/>
  </si>
  <si>
    <t>ワークオフィス滝井Ⅰ</t>
    <phoneticPr fontId="4"/>
  </si>
  <si>
    <t>小松 高志</t>
    <phoneticPr fontId="4"/>
  </si>
  <si>
    <t>0266-53-5887</t>
    <phoneticPr fontId="4"/>
  </si>
  <si>
    <t>長野県諏訪市四賀1651-1</t>
    <phoneticPr fontId="4"/>
  </si>
  <si>
    <t>t.komatsu@arrowz.co.jp</t>
    <phoneticPr fontId="4"/>
  </si>
  <si>
    <t>加藤 貴夫</t>
    <phoneticPr fontId="4"/>
  </si>
  <si>
    <t>t-katoh@katohsekkei.com</t>
    <phoneticPr fontId="4"/>
  </si>
  <si>
    <t>03-5998-9677</t>
    <phoneticPr fontId="4"/>
  </si>
  <si>
    <t>沼田 実</t>
    <phoneticPr fontId="4"/>
  </si>
  <si>
    <t>pin1231kouzo@spice.ocn.ne.jp</t>
    <phoneticPr fontId="4"/>
  </si>
  <si>
    <t>東京都渋谷区恵比寿1-11-5 山下 ビル4Ｆ</t>
    <phoneticPr fontId="4"/>
  </si>
  <si>
    <t>y-furuno@zzap.jp</t>
    <phoneticPr fontId="4"/>
  </si>
  <si>
    <t>03-6277-2469</t>
    <phoneticPr fontId="4"/>
  </si>
  <si>
    <t>ドラッグヤマザワ花沢</t>
    <phoneticPr fontId="4"/>
  </si>
  <si>
    <t>市立寺津公民館</t>
    <phoneticPr fontId="4"/>
  </si>
  <si>
    <t>阿部 琢也</t>
    <phoneticPr fontId="4"/>
  </si>
  <si>
    <t>023-643-4407</t>
    <phoneticPr fontId="4"/>
  </si>
  <si>
    <t>qzw04273@nifty.com</t>
    <phoneticPr fontId="4"/>
  </si>
  <si>
    <t>ジョーシン高岡蓮花寺</t>
    <phoneticPr fontId="4"/>
  </si>
  <si>
    <t>水口邸</t>
    <phoneticPr fontId="4"/>
  </si>
  <si>
    <t>武政</t>
    <phoneticPr fontId="4"/>
  </si>
  <si>
    <t>088-875-1415</t>
    <phoneticPr fontId="4"/>
  </si>
  <si>
    <t>y_o@xc5.so-net.ne.jp</t>
    <phoneticPr fontId="4"/>
  </si>
  <si>
    <t>有限会社 Ｙ・Ｏ設計</t>
    <phoneticPr fontId="4"/>
  </si>
  <si>
    <t>有限会社 Ｙ・Ｏ設計</t>
    <phoneticPr fontId="4"/>
  </si>
  <si>
    <t>ユウゲンガイシャ YOセッケイ</t>
    <phoneticPr fontId="4"/>
  </si>
  <si>
    <t>越谷某葬祭ホール</t>
    <phoneticPr fontId="4"/>
  </si>
  <si>
    <t>高橋 勇人</t>
    <phoneticPr fontId="4"/>
  </si>
  <si>
    <t>03-5968-5801</t>
    <phoneticPr fontId="4"/>
  </si>
  <si>
    <t>東京都板橋区成増1-13-12 第2グリーンヒル5F</t>
    <phoneticPr fontId="4"/>
  </si>
  <si>
    <t>takahashi@issun.jp</t>
    <phoneticPr fontId="4"/>
  </si>
  <si>
    <t>福島公民館</t>
    <phoneticPr fontId="4"/>
  </si>
  <si>
    <t>山田 謙二</t>
    <phoneticPr fontId="4"/>
  </si>
  <si>
    <t>06-6927-6041</t>
    <phoneticPr fontId="4"/>
  </si>
  <si>
    <t>fwii6069@mb.infoweb.ne.jp</t>
    <phoneticPr fontId="4"/>
  </si>
  <si>
    <t>今 知亮</t>
    <phoneticPr fontId="4"/>
  </si>
  <si>
    <t>東京都台東区雷門2-13-3-2F</t>
    <phoneticPr fontId="4"/>
  </si>
  <si>
    <t>03-3845-7320</t>
    <phoneticPr fontId="4"/>
  </si>
  <si>
    <t>kon@architecture-lab.com</t>
    <phoneticPr fontId="4"/>
  </si>
  <si>
    <t>戸田市新曽有料老人ホーム</t>
    <phoneticPr fontId="4"/>
  </si>
  <si>
    <t>049-222-2624</t>
    <phoneticPr fontId="4"/>
  </si>
  <si>
    <t>埼玉県川越市松郷７９８－４</t>
    <phoneticPr fontId="4"/>
  </si>
  <si>
    <t>tobisuzu@f2.dion.ne.jp</t>
    <phoneticPr fontId="4"/>
  </si>
  <si>
    <t>キョーエイ新山城橋</t>
    <phoneticPr fontId="4"/>
  </si>
  <si>
    <t>照井 清道</t>
    <phoneticPr fontId="4"/>
  </si>
  <si>
    <t>terui-a@gray.plala.or.jp</t>
    <phoneticPr fontId="4"/>
  </si>
  <si>
    <t>佛所護念会教団　青森教会</t>
    <phoneticPr fontId="4"/>
  </si>
  <si>
    <t>池谷 謙司</t>
    <phoneticPr fontId="4"/>
  </si>
  <si>
    <t>075-366-9955</t>
    <phoneticPr fontId="4"/>
  </si>
  <si>
    <t>kenji-iketani@fujitaka.com</t>
    <phoneticPr fontId="4"/>
  </si>
  <si>
    <t>株式会社 建築企画</t>
    <phoneticPr fontId="4"/>
  </si>
  <si>
    <t>k_kikaku_eiki@yahoo.co.jp</t>
    <phoneticPr fontId="4"/>
  </si>
  <si>
    <t>birukawa.keiji@k-kikaku.co</t>
    <phoneticPr fontId="4"/>
  </si>
  <si>
    <t>栄木</t>
    <phoneticPr fontId="4"/>
  </si>
  <si>
    <t>尾留川</t>
    <phoneticPr fontId="4"/>
  </si>
  <si>
    <t>中部薬品北区中切</t>
    <phoneticPr fontId="4"/>
  </si>
  <si>
    <t>サンドラッグ鏡島</t>
    <phoneticPr fontId="4"/>
  </si>
  <si>
    <t>ユース安曇川</t>
    <phoneticPr fontId="4"/>
  </si>
  <si>
    <t>バロー鏡島</t>
    <phoneticPr fontId="4"/>
  </si>
  <si>
    <t>バロー上越門前</t>
    <phoneticPr fontId="4"/>
  </si>
  <si>
    <t>山陰一畑クッキング</t>
    <phoneticPr fontId="4"/>
  </si>
  <si>
    <t>バロー伊那境</t>
    <phoneticPr fontId="4"/>
  </si>
  <si>
    <t>中部薬品大垣東店</t>
    <phoneticPr fontId="4"/>
  </si>
  <si>
    <t>バロー坂本</t>
    <phoneticPr fontId="4"/>
  </si>
  <si>
    <t>伊野福祉会ケアハウス</t>
    <phoneticPr fontId="4"/>
  </si>
  <si>
    <t>山上</t>
    <phoneticPr fontId="4"/>
  </si>
  <si>
    <t>042-750-4087</t>
    <phoneticPr fontId="4"/>
  </si>
  <si>
    <t>tspy750ya@mx1.alpha-web.ne.jp</t>
    <phoneticPr fontId="4"/>
  </si>
  <si>
    <t>イエローハット加美</t>
    <phoneticPr fontId="4"/>
  </si>
  <si>
    <t>橘川 俊也</t>
    <phoneticPr fontId="4"/>
  </si>
  <si>
    <t>022-796-1240</t>
    <phoneticPr fontId="4"/>
  </si>
  <si>
    <t>kitsukawa@k-souzousya.co.jp</t>
    <phoneticPr fontId="4"/>
  </si>
  <si>
    <t>新田</t>
    <phoneticPr fontId="4"/>
  </si>
  <si>
    <t>佐藤 豊和</t>
    <phoneticPr fontId="4"/>
  </si>
  <si>
    <t>山形県酒田市大町10-71</t>
    <phoneticPr fontId="4"/>
  </si>
  <si>
    <t>0234-26-3615</t>
    <phoneticPr fontId="4"/>
  </si>
  <si>
    <t>kanauchi@abeam.ocn.ne.jp</t>
    <phoneticPr fontId="4"/>
  </si>
  <si>
    <t>佐藤 力洋</t>
    <phoneticPr fontId="4"/>
  </si>
  <si>
    <t>山形県酒田市東大町3-31-30</t>
    <phoneticPr fontId="4"/>
  </si>
  <si>
    <t>0234-28-8170</t>
    <phoneticPr fontId="4"/>
  </si>
  <si>
    <t>k_stu@cpost.plala.or.jp</t>
    <phoneticPr fontId="4"/>
  </si>
  <si>
    <t>ドラッグコスモス阿南</t>
    <phoneticPr fontId="4"/>
  </si>
  <si>
    <t>宮本 栄司</t>
    <phoneticPr fontId="4"/>
  </si>
  <si>
    <t>088-645-0758</t>
    <phoneticPr fontId="4"/>
  </si>
  <si>
    <t>ekssr@mg.pikara.ne.jp</t>
    <phoneticPr fontId="4"/>
  </si>
  <si>
    <t>柏木 卓美</t>
    <phoneticPr fontId="4"/>
  </si>
  <si>
    <t>sub4946@kci-net.ne.jp</t>
    <phoneticPr fontId="4"/>
  </si>
  <si>
    <t>浴岡</t>
    <phoneticPr fontId="4"/>
  </si>
  <si>
    <t>097-552-8414</t>
    <phoneticPr fontId="4"/>
  </si>
  <si>
    <t>k-ekioka@as-unit.net</t>
    <phoneticPr fontId="4"/>
  </si>
  <si>
    <t>ミヤカン新工場</t>
    <phoneticPr fontId="4"/>
  </si>
  <si>
    <t>ドラッグセイムス川口天神橋</t>
    <phoneticPr fontId="4"/>
  </si>
  <si>
    <t>mla07250@nifty.com</t>
    <phoneticPr fontId="4"/>
  </si>
  <si>
    <t>大塚</t>
    <phoneticPr fontId="4"/>
  </si>
  <si>
    <t>藤久運輸倉庫株式会社・倉庫棟</t>
    <phoneticPr fontId="4"/>
  </si>
  <si>
    <t>近藤</t>
    <phoneticPr fontId="4"/>
  </si>
  <si>
    <t>kondou@furui-kozo.co.jp</t>
    <phoneticPr fontId="4"/>
  </si>
  <si>
    <t>ドラッグセイムス足立保木間</t>
    <phoneticPr fontId="4"/>
  </si>
  <si>
    <t>JUNTA PLANNING OFFICE</t>
    <phoneticPr fontId="4"/>
  </si>
  <si>
    <t>ATELIER J-in</t>
    <phoneticPr fontId="4"/>
  </si>
  <si>
    <t>草加市栄町3丁目ビル</t>
    <phoneticPr fontId="4"/>
  </si>
  <si>
    <t>tnowata@pop12.odn.ne.jp</t>
    <phoneticPr fontId="4"/>
  </si>
  <si>
    <t>東京都中央区日本橋富沢町13－4　三宅ビル3階</t>
    <phoneticPr fontId="4"/>
  </si>
  <si>
    <t>03-3662-4196</t>
    <phoneticPr fontId="4"/>
  </si>
  <si>
    <t>渡辺 恒雄</t>
    <phoneticPr fontId="4"/>
  </si>
  <si>
    <t>富田薬品㈱本社 製品倉庫</t>
    <phoneticPr fontId="4"/>
  </si>
  <si>
    <t>能田 智光</t>
    <phoneticPr fontId="4"/>
  </si>
  <si>
    <t>noudat@himenogumi.co.jp</t>
    <phoneticPr fontId="4"/>
  </si>
  <si>
    <t>さくらの里</t>
    <phoneticPr fontId="4"/>
  </si>
  <si>
    <t>池伝㈱　大阪支店移転計画</t>
    <phoneticPr fontId="4"/>
  </si>
  <si>
    <t>鳥村 司</t>
    <phoneticPr fontId="4"/>
  </si>
  <si>
    <t>綿半鋼機 株式会社</t>
    <phoneticPr fontId="4"/>
  </si>
  <si>
    <t>野末 毅之</t>
    <phoneticPr fontId="4"/>
  </si>
  <si>
    <t>東京都新宿区四谷1-4 綿半野原ビル2F</t>
    <phoneticPr fontId="4"/>
  </si>
  <si>
    <t>03-3341-3633</t>
    <phoneticPr fontId="4"/>
  </si>
  <si>
    <t>t_nozue@watahan.co.jp</t>
    <phoneticPr fontId="4"/>
  </si>
  <si>
    <t>2</t>
    <phoneticPr fontId="4"/>
  </si>
  <si>
    <t>○
6m</t>
    <phoneticPr fontId="4"/>
  </si>
  <si>
    <t>ｼﾙﾄ</t>
    <phoneticPr fontId="4"/>
  </si>
  <si>
    <t>泥炭</t>
    <rPh sb="0" eb="2">
      <t>デイタン</t>
    </rPh>
    <phoneticPr fontId="4"/>
  </si>
  <si>
    <t>5m</t>
    <phoneticPr fontId="4"/>
  </si>
  <si>
    <t>4m</t>
    <phoneticPr fontId="4"/>
  </si>
  <si>
    <t>3m</t>
    <phoneticPr fontId="4"/>
  </si>
  <si>
    <t>腐植土</t>
    <rPh sb="0" eb="3">
      <t>フショクド</t>
    </rPh>
    <phoneticPr fontId="4"/>
  </si>
  <si>
    <t>申請</t>
    <rPh sb="0" eb="2">
      <t>シンセイ</t>
    </rPh>
    <phoneticPr fontId="4"/>
  </si>
  <si>
    <t>株式会社 山形県建築サポートセンター</t>
    <phoneticPr fontId="4"/>
  </si>
  <si>
    <t>カインズ信州中野</t>
    <phoneticPr fontId="4"/>
  </si>
  <si>
    <t>シートス本社工場</t>
    <phoneticPr fontId="4"/>
  </si>
  <si>
    <t>河津</t>
    <phoneticPr fontId="4"/>
  </si>
  <si>
    <t>083-253-3853</t>
    <phoneticPr fontId="4"/>
  </si>
  <si>
    <t>kawazu@ceres.ocn.ne.jp</t>
    <phoneticPr fontId="4"/>
  </si>
  <si>
    <t>花畑団地F 街区商業施設計画</t>
    <phoneticPr fontId="4"/>
  </si>
  <si>
    <t>s-kotake@belx.co.jp</t>
    <phoneticPr fontId="4"/>
  </si>
  <si>
    <t>株式会社 サンベルクス</t>
    <phoneticPr fontId="4"/>
  </si>
  <si>
    <t>株式会社 サンベルクス</t>
    <phoneticPr fontId="4"/>
  </si>
  <si>
    <t>カブシキガイシャ サンベルクス</t>
    <phoneticPr fontId="4"/>
  </si>
  <si>
    <t>小竹 昌一</t>
    <phoneticPr fontId="4"/>
  </si>
  <si>
    <t>03-3858-8711</t>
    <phoneticPr fontId="4"/>
  </si>
  <si>
    <t>東京都足立区花畑4-11-14</t>
    <phoneticPr fontId="4"/>
  </si>
  <si>
    <t>中村 正敏</t>
    <phoneticPr fontId="4"/>
  </si>
  <si>
    <t>075-351-8111</t>
    <phoneticPr fontId="4"/>
  </si>
  <si>
    <t>nakamura@c-and-c.jp</t>
    <phoneticPr fontId="4"/>
  </si>
  <si>
    <t>桑原 秀朗</t>
    <phoneticPr fontId="4"/>
  </si>
  <si>
    <t>03-5363-0799</t>
    <phoneticPr fontId="4"/>
  </si>
  <si>
    <t>ncsaa@pop06.odn.ne.jp</t>
    <phoneticPr fontId="4"/>
  </si>
  <si>
    <t>KOA株式会社水戸営業所</t>
    <phoneticPr fontId="4"/>
  </si>
  <si>
    <t>坂岩 敦志</t>
    <phoneticPr fontId="4"/>
  </si>
  <si>
    <t>長野県伊那市西町5561番地</t>
    <phoneticPr fontId="4"/>
  </si>
  <si>
    <t>0265-72-7271</t>
    <phoneticPr fontId="4"/>
  </si>
  <si>
    <t>sirotori05@tuba.ocn.ne.jp</t>
    <phoneticPr fontId="4"/>
  </si>
  <si>
    <t>株式会社 城取建築設計事務所</t>
    <phoneticPr fontId="4"/>
  </si>
  <si>
    <t>カブシキガイシャ シロトリケンチクセッケイジムショ</t>
    <phoneticPr fontId="4"/>
  </si>
  <si>
    <t>株式会社 城取建築設計事務所</t>
    <phoneticPr fontId="4"/>
  </si>
  <si>
    <t>有限会社 平田建築設計</t>
    <phoneticPr fontId="4"/>
  </si>
  <si>
    <t>3</t>
    <phoneticPr fontId="4"/>
  </si>
  <si>
    <t>有限会社 アイテム設計</t>
    <rPh sb="0" eb="2">
      <t>ユウゲン</t>
    </rPh>
    <rPh sb="2" eb="4">
      <t>カイシャ</t>
    </rPh>
    <phoneticPr fontId="4"/>
  </si>
  <si>
    <t>砂質ｼﾙﾄ</t>
    <rPh sb="0" eb="1">
      <t>スナ</t>
    </rPh>
    <rPh sb="1" eb="2">
      <t>シツ</t>
    </rPh>
    <phoneticPr fontId="4"/>
  </si>
  <si>
    <t>砂礫</t>
    <rPh sb="0" eb="2">
      <t>サレキ</t>
    </rPh>
    <phoneticPr fontId="4"/>
  </si>
  <si>
    <t>1m</t>
    <phoneticPr fontId="4"/>
  </si>
  <si>
    <t>3m</t>
    <phoneticPr fontId="4"/>
  </si>
  <si>
    <t>3m</t>
    <phoneticPr fontId="4"/>
  </si>
  <si>
    <t>細砂</t>
    <rPh sb="0" eb="1">
      <t>サイ</t>
    </rPh>
    <rPh sb="1" eb="2">
      <t>スナ</t>
    </rPh>
    <phoneticPr fontId="4"/>
  </si>
  <si>
    <t>砂質ｼﾙﾄ(有機物混入)</t>
    <rPh sb="0" eb="1">
      <t>スナ</t>
    </rPh>
    <rPh sb="1" eb="2">
      <t>シツ</t>
    </rPh>
    <rPh sb="6" eb="9">
      <t>ユウキブツ</t>
    </rPh>
    <rPh sb="9" eb="11">
      <t>コンニュウ</t>
    </rPh>
    <phoneticPr fontId="4"/>
  </si>
  <si>
    <t>-</t>
    <phoneticPr fontId="4"/>
  </si>
  <si>
    <t>工場</t>
    <rPh sb="0" eb="2">
      <t>コウジョウ</t>
    </rPh>
    <phoneticPr fontId="4"/>
  </si>
  <si>
    <t>日鉄エンジニアリング 株式会社</t>
    <phoneticPr fontId="4"/>
  </si>
  <si>
    <t>日鉄エンジニアリング 株式会社</t>
    <phoneticPr fontId="4"/>
  </si>
  <si>
    <t>ニッテツエンジニアリング カブシキガイシャ</t>
    <phoneticPr fontId="4"/>
  </si>
  <si>
    <t>ツルハドラッグ天童芳賀</t>
    <phoneticPr fontId="4"/>
  </si>
  <si>
    <t>高橋</t>
    <phoneticPr fontId="4"/>
  </si>
  <si>
    <t>山形県天童市老野森1-15-26</t>
    <phoneticPr fontId="4"/>
  </si>
  <si>
    <t>023-654-2263</t>
    <phoneticPr fontId="4"/>
  </si>
  <si>
    <t>tak-hirataks@rapid.ocn.ne.jp</t>
    <phoneticPr fontId="4"/>
  </si>
  <si>
    <t>嘉村 真也</t>
    <phoneticPr fontId="4"/>
  </si>
  <si>
    <t>092-526-4766</t>
    <phoneticPr fontId="4"/>
  </si>
  <si>
    <t>kamura.shinya@aisekkei.co.jp</t>
    <phoneticPr fontId="4"/>
  </si>
  <si>
    <t>佐野製作所</t>
    <phoneticPr fontId="4"/>
  </si>
  <si>
    <t>K-eins</t>
    <phoneticPr fontId="4"/>
  </si>
  <si>
    <t>小泉 駿</t>
    <phoneticPr fontId="4"/>
  </si>
  <si>
    <t>滋賀県東近江市中野町800-1</t>
    <phoneticPr fontId="4"/>
  </si>
  <si>
    <t>0748-22-1205</t>
    <phoneticPr fontId="4"/>
  </si>
  <si>
    <t>a.o.noda-y@nifty.com</t>
    <phoneticPr fontId="4"/>
  </si>
  <si>
    <t>羽鳥市高齢者計画</t>
    <phoneticPr fontId="4"/>
  </si>
  <si>
    <t>西塚 正</t>
    <phoneticPr fontId="4"/>
  </si>
  <si>
    <t>03-5259-8711</t>
    <phoneticPr fontId="4"/>
  </si>
  <si>
    <t>東京都千代田区神田錦町1-17-4 錦町司ビル2階</t>
    <phoneticPr fontId="4"/>
  </si>
  <si>
    <t>nishizuka-t@nishizuka-kozo.co.jp</t>
    <phoneticPr fontId="4"/>
  </si>
  <si>
    <t>新大阪　味の街</t>
    <phoneticPr fontId="4"/>
  </si>
  <si>
    <t>taguchi@taguchi.e-arc.jp</t>
    <phoneticPr fontId="4"/>
  </si>
  <si>
    <t>田口 宏</t>
    <phoneticPr fontId="4"/>
  </si>
  <si>
    <t>072-965-015</t>
    <phoneticPr fontId="4"/>
  </si>
  <si>
    <t>株式会社 交建設計</t>
    <phoneticPr fontId="4"/>
  </si>
  <si>
    <t>くぼたクリニック</t>
    <phoneticPr fontId="4"/>
  </si>
  <si>
    <t>宏和工業㈱本社・倉庫</t>
    <phoneticPr fontId="4"/>
  </si>
  <si>
    <t>入川 英二</t>
    <phoneticPr fontId="4"/>
  </si>
  <si>
    <t>03-3864-5845</t>
    <phoneticPr fontId="4"/>
  </si>
  <si>
    <t>e-irikawa@jfe-civil.com</t>
    <phoneticPr fontId="4"/>
  </si>
  <si>
    <t>軽井沢プリンスショッピングセンター</t>
    <phoneticPr fontId="4"/>
  </si>
  <si>
    <t>日野原 康幸</t>
    <phoneticPr fontId="4"/>
  </si>
  <si>
    <t>埼玉県所沢市くすのき台1丁目11番地の2</t>
    <phoneticPr fontId="4"/>
  </si>
  <si>
    <t>042-926-3400</t>
    <phoneticPr fontId="4"/>
  </si>
  <si>
    <t>y-hinohara@seibu-const.co.jp</t>
    <phoneticPr fontId="4"/>
  </si>
  <si>
    <t>スズキショールーム鹿の子台</t>
    <phoneticPr fontId="4"/>
  </si>
  <si>
    <t>大川</t>
    <phoneticPr fontId="4"/>
  </si>
  <si>
    <t>株式会社 織本構造設計</t>
    <phoneticPr fontId="4"/>
  </si>
  <si>
    <t>道上 和香子</t>
    <phoneticPr fontId="4"/>
  </si>
  <si>
    <t>東京都新宿区新宿5-15-5　新宿三光町ビル9F</t>
    <phoneticPr fontId="4"/>
  </si>
  <si>
    <t>03-5269-0213</t>
    <phoneticPr fontId="4"/>
  </si>
  <si>
    <t>w-michikami@orimoto.co.jp</t>
    <phoneticPr fontId="4"/>
  </si>
  <si>
    <t>西松屋 赤磐高屋</t>
    <phoneticPr fontId="4"/>
  </si>
  <si>
    <t>津軽西北地区葬祭ホール</t>
    <phoneticPr fontId="4"/>
  </si>
  <si>
    <t>株式会社 アスコ建築構造室</t>
    <phoneticPr fontId="4"/>
  </si>
  <si>
    <t>メゾンヴェールいずも</t>
    <phoneticPr fontId="4"/>
  </si>
  <si>
    <t>ひまわり第2保育園</t>
    <phoneticPr fontId="4"/>
  </si>
  <si>
    <t>ご縁横町</t>
    <phoneticPr fontId="4"/>
  </si>
  <si>
    <t>塩野 裕士</t>
    <phoneticPr fontId="4"/>
  </si>
  <si>
    <t>日吉製菓</t>
    <phoneticPr fontId="4"/>
  </si>
  <si>
    <t>榎本 和也</t>
    <phoneticPr fontId="4"/>
  </si>
  <si>
    <t>山形県鶴岡市桜新町8-33</t>
    <phoneticPr fontId="4"/>
  </si>
  <si>
    <t>0235-24-5510</t>
    <phoneticPr fontId="4"/>
  </si>
  <si>
    <t>k-enomoto@brain-staff.jp</t>
    <phoneticPr fontId="4"/>
  </si>
  <si>
    <t>佐藤 豊和</t>
    <phoneticPr fontId="4"/>
  </si>
  <si>
    <t>山形県酒田市大町10-71</t>
    <phoneticPr fontId="4"/>
  </si>
  <si>
    <t>0234-26-3615</t>
    <phoneticPr fontId="4"/>
  </si>
  <si>
    <t>kanauchi@abeam.ocn.ne.jp</t>
    <phoneticPr fontId="4"/>
  </si>
  <si>
    <t>3</t>
    <phoneticPr fontId="4"/>
  </si>
  <si>
    <t>○
8m</t>
    <phoneticPr fontId="4"/>
  </si>
  <si>
    <t>8m</t>
    <phoneticPr fontId="4"/>
  </si>
  <si>
    <t>9m</t>
    <phoneticPr fontId="4"/>
  </si>
  <si>
    <t>1m</t>
    <phoneticPr fontId="4"/>
  </si>
  <si>
    <t>敷地内 増築工事</t>
    <rPh sb="0" eb="2">
      <t>シキチ</t>
    </rPh>
    <rPh sb="2" eb="3">
      <t>ナイ</t>
    </rPh>
    <rPh sb="4" eb="6">
      <t>ゾウチク</t>
    </rPh>
    <rPh sb="6" eb="8">
      <t>コウジ</t>
    </rPh>
    <phoneticPr fontId="4"/>
  </si>
  <si>
    <t>ホームセンターバロー松阪松ヶ崎</t>
    <phoneticPr fontId="4"/>
  </si>
  <si>
    <t>山路 康之</t>
    <phoneticPr fontId="4"/>
  </si>
  <si>
    <t>yamaji-y@e-chubu.co.jp</t>
    <phoneticPr fontId="4"/>
  </si>
  <si>
    <t>三栄商事 営業倉庫</t>
    <phoneticPr fontId="4"/>
  </si>
  <si>
    <t>小島</t>
    <phoneticPr fontId="4"/>
  </si>
  <si>
    <t>029-244-1501</t>
    <phoneticPr fontId="4"/>
  </si>
  <si>
    <t>frex.saito@nifty.com</t>
    <phoneticPr fontId="4"/>
  </si>
  <si>
    <t>佐藤 高史</t>
    <phoneticPr fontId="4"/>
  </si>
  <si>
    <t>山形県鶴岡市桜新町８－３３</t>
    <phoneticPr fontId="4"/>
  </si>
  <si>
    <t>0235-24-5510</t>
    <phoneticPr fontId="4"/>
  </si>
  <si>
    <t>takashi-satoh@brain-staff.jp</t>
    <phoneticPr fontId="4"/>
  </si>
  <si>
    <t>カネキチ阿部源</t>
    <phoneticPr fontId="4"/>
  </si>
  <si>
    <t>熊谷</t>
    <phoneticPr fontId="4"/>
  </si>
  <si>
    <t>okada-architect@jcom.home.ne.jp</t>
    <phoneticPr fontId="4"/>
  </si>
  <si>
    <t>品田 要</t>
    <phoneticPr fontId="4"/>
  </si>
  <si>
    <t>03-5800-2124</t>
    <phoneticPr fontId="4"/>
  </si>
  <si>
    <t>s5@marukawa-arc.co.jp</t>
    <phoneticPr fontId="4"/>
  </si>
  <si>
    <t>ライフコミュニティプラザ</t>
    <phoneticPr fontId="4"/>
  </si>
  <si>
    <t>春日部市・大場・増田神田</t>
    <phoneticPr fontId="4"/>
  </si>
  <si>
    <t>峰﨑 美佳</t>
    <phoneticPr fontId="4"/>
  </si>
  <si>
    <t>萩原 崇</t>
    <phoneticPr fontId="4"/>
  </si>
  <si>
    <t>092-737-8636</t>
    <phoneticPr fontId="4"/>
  </si>
  <si>
    <t>kt2544@suo.bbiq.jp</t>
    <phoneticPr fontId="4"/>
  </si>
  <si>
    <t>森 浩</t>
    <phoneticPr fontId="4"/>
  </si>
  <si>
    <t>yutaka-mori@giga.ocn.ne.jp</t>
    <phoneticPr fontId="4"/>
  </si>
  <si>
    <t>福岡県大野城市大城4-7-21</t>
    <phoneticPr fontId="4"/>
  </si>
  <si>
    <t>092-504-4188</t>
    <phoneticPr fontId="4"/>
  </si>
  <si>
    <t>角谷</t>
    <phoneticPr fontId="4"/>
  </si>
  <si>
    <t>愛知県豊田市駒場町向金371番地</t>
    <phoneticPr fontId="4"/>
  </si>
  <si>
    <t>0565-57-3011</t>
    <phoneticPr fontId="4"/>
  </si>
  <si>
    <t>parking@kogyo.kondo.co.jp</t>
    <phoneticPr fontId="4"/>
  </si>
  <si>
    <t>浴岡</t>
    <phoneticPr fontId="4"/>
  </si>
  <si>
    <t>097-552-8414</t>
    <phoneticPr fontId="4"/>
  </si>
  <si>
    <t>k-ekioka@as-unit.net</t>
    <phoneticPr fontId="4"/>
  </si>
  <si>
    <t>原商鳥取支店</t>
    <phoneticPr fontId="4"/>
  </si>
  <si>
    <t>小椋 章誉</t>
    <phoneticPr fontId="4"/>
  </si>
  <si>
    <t>kuwamoto@sanmedia.or.jp</t>
    <phoneticPr fontId="4"/>
  </si>
  <si>
    <t>0859-32-3745</t>
    <phoneticPr fontId="4"/>
  </si>
  <si>
    <t>P-ARK竹の塚プロジェクト</t>
    <phoneticPr fontId="4"/>
  </si>
  <si>
    <t>賀澤 美夏</t>
    <phoneticPr fontId="4"/>
  </si>
  <si>
    <t>03-5962-4378</t>
    <phoneticPr fontId="4"/>
  </si>
  <si>
    <t>東京都港区台場2-3-4</t>
    <phoneticPr fontId="4"/>
  </si>
  <si>
    <t>mika_kazawa@nomurakougei.co.jp</t>
    <phoneticPr fontId="4"/>
  </si>
  <si>
    <t>ベルクス墨田(パシオス棟)</t>
    <phoneticPr fontId="4"/>
  </si>
  <si>
    <t>y.okamoto@cyber.ocn.ne.jp</t>
    <phoneticPr fontId="4"/>
  </si>
  <si>
    <t>043-308-7518</t>
    <phoneticPr fontId="4"/>
  </si>
  <si>
    <t>岡本</t>
    <phoneticPr fontId="4"/>
  </si>
  <si>
    <t>山新土浦店</t>
    <phoneticPr fontId="4"/>
  </si>
  <si>
    <t>斎藤 章</t>
    <phoneticPr fontId="4"/>
  </si>
  <si>
    <t>029-244-1501</t>
    <phoneticPr fontId="4"/>
  </si>
  <si>
    <t>frex.saito@nifty.com</t>
    <phoneticPr fontId="4"/>
  </si>
  <si>
    <t>なんじゃ村上越インター</t>
    <phoneticPr fontId="4"/>
  </si>
  <si>
    <t>新潟県新潟市中央区神道寺南1-11-7</t>
    <phoneticPr fontId="4"/>
  </si>
  <si>
    <t>025-243-3582</t>
    <phoneticPr fontId="4"/>
  </si>
  <si>
    <t>高桑　渉</t>
    <phoneticPr fontId="4"/>
  </si>
  <si>
    <t>noa-do@wonder.ocn.ne.jp</t>
    <phoneticPr fontId="4"/>
  </si>
  <si>
    <t>鴻野</t>
    <phoneticPr fontId="4"/>
  </si>
  <si>
    <t>city-c@mvf.biglobe.ne.jp</t>
    <phoneticPr fontId="4"/>
  </si>
  <si>
    <t>大塚</t>
    <phoneticPr fontId="4"/>
  </si>
  <si>
    <t>JA山口大島小松支店</t>
    <phoneticPr fontId="4"/>
  </si>
  <si>
    <t>バロー水口</t>
    <phoneticPr fontId="4"/>
  </si>
  <si>
    <t>野田</t>
    <phoneticPr fontId="4"/>
  </si>
  <si>
    <t>a.o.noda-k@nifty.com</t>
    <phoneticPr fontId="4"/>
  </si>
  <si>
    <t>カインズ浦和御園</t>
    <phoneticPr fontId="4"/>
  </si>
  <si>
    <t>齋藤 仁</t>
    <phoneticPr fontId="4"/>
  </si>
  <si>
    <t>03-3581-1251</t>
    <phoneticPr fontId="4"/>
  </si>
  <si>
    <t>東京都千代田区永田町2丁目4-3</t>
    <phoneticPr fontId="4"/>
  </si>
  <si>
    <t>saito.hitoshi@tohata.co.jp</t>
    <phoneticPr fontId="4"/>
  </si>
  <si>
    <t>若草保育園</t>
    <phoneticPr fontId="4"/>
  </si>
  <si>
    <t>角 安希夫</t>
    <phoneticPr fontId="4"/>
  </si>
  <si>
    <t>a.sumi@kinoshitasekkei.com</t>
    <phoneticPr fontId="4"/>
  </si>
  <si>
    <t>姉崎 哲也</t>
    <phoneticPr fontId="4"/>
  </si>
  <si>
    <t>0776-50-0105</t>
    <phoneticPr fontId="4"/>
  </si>
  <si>
    <t>ts-sekkei@star.ocn.ne.jp</t>
    <phoneticPr fontId="4"/>
  </si>
  <si>
    <t>T.S建築設計</t>
    <phoneticPr fontId="4"/>
  </si>
  <si>
    <t>T.S建築設計</t>
    <phoneticPr fontId="4"/>
  </si>
  <si>
    <t>T.Sケンチクセッケイ</t>
    <phoneticPr fontId="4"/>
  </si>
  <si>
    <t>キリン堂 助任橋店</t>
    <phoneticPr fontId="4"/>
  </si>
  <si>
    <t>威徳井 健太郎</t>
    <phoneticPr fontId="4"/>
  </si>
  <si>
    <t>奈良県香芝市瓦口2166 フロンテイアビル</t>
    <phoneticPr fontId="4"/>
  </si>
  <si>
    <t>0745-71-2200</t>
    <phoneticPr fontId="4"/>
  </si>
  <si>
    <t>itokui@nobiso.jp</t>
    <phoneticPr fontId="4"/>
  </si>
  <si>
    <t>中金子公民館</t>
    <phoneticPr fontId="4"/>
  </si>
  <si>
    <t>うるま店舗</t>
    <phoneticPr fontId="4"/>
  </si>
  <si>
    <t>ナイス飯島</t>
    <phoneticPr fontId="4"/>
  </si>
  <si>
    <t>主婦の店新南</t>
    <phoneticPr fontId="4"/>
  </si>
  <si>
    <t>新日鉄 北九州寮駐車場</t>
    <phoneticPr fontId="4"/>
  </si>
  <si>
    <t>江口 義之</t>
    <phoneticPr fontId="4"/>
  </si>
  <si>
    <t>092-282-4189</t>
    <phoneticPr fontId="4"/>
  </si>
  <si>
    <t>y_eguchi@watahan.co.jp</t>
    <phoneticPr fontId="4"/>
  </si>
  <si>
    <t>若松ホール</t>
    <phoneticPr fontId="4"/>
  </si>
  <si>
    <t>北斗工業エンヂニアリング株式会社</t>
    <phoneticPr fontId="4"/>
  </si>
  <si>
    <t>有限会社 スミノ総合設計</t>
    <rPh sb="0" eb="2">
      <t>ユウゲン</t>
    </rPh>
    <rPh sb="2" eb="4">
      <t>カイシャ</t>
    </rPh>
    <phoneticPr fontId="4"/>
  </si>
  <si>
    <t>有限会社 スミノ総合設計</t>
    <phoneticPr fontId="4"/>
  </si>
  <si>
    <t>ユウゲンガイシャ スミノソウゴウセッケイ</t>
    <phoneticPr fontId="4"/>
  </si>
  <si>
    <t>住野</t>
    <phoneticPr fontId="4"/>
  </si>
  <si>
    <t>sgjkb598@ybb.ne.jp</t>
    <phoneticPr fontId="4"/>
  </si>
  <si>
    <t>日立物流大黒センター</t>
    <phoneticPr fontId="4"/>
  </si>
  <si>
    <t>清岡 登</t>
    <phoneticPr fontId="4"/>
  </si>
  <si>
    <t>東京都文京区小石川一丁目15番17号</t>
    <phoneticPr fontId="4"/>
  </si>
  <si>
    <t>03-3818-6083</t>
    <phoneticPr fontId="4"/>
  </si>
  <si>
    <t>kiyooka@nihonkensetsu.co.jp</t>
    <phoneticPr fontId="4"/>
  </si>
  <si>
    <t>ドンキホーテ弘前高田</t>
    <phoneticPr fontId="4"/>
  </si>
  <si>
    <t>北小路 正</t>
    <phoneticPr fontId="4"/>
  </si>
  <si>
    <t>東京都千代田区東神田3-2-8堀川ビル4F</t>
    <phoneticPr fontId="4"/>
  </si>
  <si>
    <t>03-3864-0566</t>
    <phoneticPr fontId="4"/>
  </si>
  <si>
    <t>kitakoji@c-and-c.jp</t>
    <phoneticPr fontId="4"/>
  </si>
  <si>
    <t>アクティブ三郷中間処理場</t>
    <phoneticPr fontId="4"/>
  </si>
  <si>
    <t>一級建築士事務所 アトリエＦ</t>
    <phoneticPr fontId="4"/>
  </si>
  <si>
    <t>株式会社 Scube</t>
    <phoneticPr fontId="4"/>
  </si>
  <si>
    <t>052-222-7311</t>
    <phoneticPr fontId="4"/>
  </si>
  <si>
    <t>若松 彰志</t>
    <phoneticPr fontId="4"/>
  </si>
  <si>
    <t>wakamatsu-kozo@yacht.ocn.ne.jp</t>
    <phoneticPr fontId="4"/>
  </si>
  <si>
    <t>大鹿 武彦</t>
    <phoneticPr fontId="4"/>
  </si>
  <si>
    <t>052-261-7626</t>
    <phoneticPr fontId="4"/>
  </si>
  <si>
    <t>ooshika@tamaoka-sekkei.co.jp</t>
    <phoneticPr fontId="4"/>
  </si>
  <si>
    <t>させぼ五番街</t>
    <phoneticPr fontId="4"/>
  </si>
  <si>
    <t>門田 年生</t>
    <phoneticPr fontId="4"/>
  </si>
  <si>
    <t>東京都中央区日本橋蛎殻町1-2-10-2F</t>
    <phoneticPr fontId="4"/>
  </si>
  <si>
    <t>03-5643-7295</t>
    <phoneticPr fontId="4"/>
  </si>
  <si>
    <t>ren@mbn.nifty.com</t>
    <phoneticPr fontId="4"/>
  </si>
  <si>
    <t>岩佐 達雄</t>
    <phoneticPr fontId="4"/>
  </si>
  <si>
    <t>03-3256-8891</t>
    <phoneticPr fontId="4"/>
  </si>
  <si>
    <t>東京都文京区湯島1-2-12</t>
    <phoneticPr fontId="4"/>
  </si>
  <si>
    <t>iws@kuryu.com</t>
    <phoneticPr fontId="4"/>
  </si>
  <si>
    <t>川嶋 力哉</t>
    <phoneticPr fontId="4"/>
  </si>
  <si>
    <t>022-224-0091</t>
    <phoneticPr fontId="4"/>
  </si>
  <si>
    <t>kawashima@nihonkensetsu.co.jp</t>
    <phoneticPr fontId="4"/>
  </si>
  <si>
    <t>富士香料化工</t>
    <phoneticPr fontId="4"/>
  </si>
  <si>
    <t>渡辺恒雄建築設計事務所</t>
    <phoneticPr fontId="4"/>
  </si>
  <si>
    <t>中村 由里子</t>
    <phoneticPr fontId="4"/>
  </si>
  <si>
    <t>岩本工業㈱倉庫</t>
    <phoneticPr fontId="4"/>
  </si>
  <si>
    <t>鈴木 義彦</t>
    <phoneticPr fontId="4"/>
  </si>
  <si>
    <t>鈴与建設 株式会社</t>
    <phoneticPr fontId="4"/>
  </si>
  <si>
    <t>054-354-3186</t>
    <phoneticPr fontId="4"/>
  </si>
  <si>
    <t>yoshi-suzuki@suzuyo-kensetsu.jp</t>
    <phoneticPr fontId="4"/>
  </si>
  <si>
    <t>JA東西しらかわ矢吹総合支店</t>
    <phoneticPr fontId="4"/>
  </si>
  <si>
    <t>熊田</t>
    <phoneticPr fontId="4"/>
  </si>
  <si>
    <t>024-961-7701</t>
    <phoneticPr fontId="4"/>
  </si>
  <si>
    <t>kumada@miyako-sekkei.com</t>
    <phoneticPr fontId="4"/>
  </si>
  <si>
    <t>有限会社 サンミックス・システム堀井勝典研究所</t>
    <rPh sb="0" eb="2">
      <t>ユウゲン</t>
    </rPh>
    <rPh sb="2" eb="4">
      <t>カイシャ</t>
    </rPh>
    <phoneticPr fontId="4"/>
  </si>
  <si>
    <t>024-939-6020</t>
    <phoneticPr fontId="4"/>
  </si>
  <si>
    <t>sun.mix@titan.ocn.ne.jp</t>
    <phoneticPr fontId="4"/>
  </si>
  <si>
    <t>有限会社 サンミックス・システム堀井勝典研究所</t>
    <phoneticPr fontId="4"/>
  </si>
  <si>
    <t>ユウゲンガイシャ サンミックス・システムホリイカツノリケンキュウショ</t>
    <phoneticPr fontId="4"/>
  </si>
  <si>
    <t>日通トランスポート</t>
    <phoneticPr fontId="4"/>
  </si>
  <si>
    <t>綿半ソリューションズ 株式会社</t>
    <phoneticPr fontId="4"/>
  </si>
  <si>
    <t>米山 行夫</t>
    <phoneticPr fontId="4"/>
  </si>
  <si>
    <t>080-1050-1259</t>
    <phoneticPr fontId="4"/>
  </si>
  <si>
    <t>y_yoneyama@watahan.co.jp</t>
    <phoneticPr fontId="4"/>
  </si>
  <si>
    <t>菅 俊貴</t>
    <phoneticPr fontId="4"/>
  </si>
  <si>
    <t>鈴木邸</t>
    <phoneticPr fontId="4"/>
  </si>
  <si>
    <t>なないろ保育園</t>
    <phoneticPr fontId="4"/>
  </si>
  <si>
    <t>ジュンテンドー深溝</t>
    <phoneticPr fontId="4"/>
  </si>
  <si>
    <t>新竹原信号機器室</t>
    <phoneticPr fontId="4"/>
  </si>
  <si>
    <t>株式会社 ジェイアール西日本ビルト</t>
    <rPh sb="0" eb="4">
      <t>カブシキカイシャ</t>
    </rPh>
    <phoneticPr fontId="4"/>
  </si>
  <si>
    <t>渡部　剛平</t>
    <phoneticPr fontId="4"/>
  </si>
  <si>
    <t>082-261-2090</t>
    <phoneticPr fontId="4"/>
  </si>
  <si>
    <t>k.watanabe@jrw-built.co.jp</t>
    <phoneticPr fontId="4"/>
  </si>
  <si>
    <t>業務スーパー磐田</t>
    <phoneticPr fontId="4"/>
  </si>
  <si>
    <t>山田</t>
    <phoneticPr fontId="4"/>
  </si>
  <si>
    <t>ym@yamada-design.co.jp</t>
    <phoneticPr fontId="4"/>
  </si>
  <si>
    <t>沖縄ブライダル計画</t>
    <phoneticPr fontId="4"/>
  </si>
  <si>
    <t>坂田 正仁</t>
    <phoneticPr fontId="4"/>
  </si>
  <si>
    <t>06-6829-7914</t>
    <phoneticPr fontId="4"/>
  </si>
  <si>
    <t>sakata.jin-smn@cronos.ocn.ne.jp</t>
    <phoneticPr fontId="4"/>
  </si>
  <si>
    <t>ドラッグセイムス安芸矢ノ丸</t>
    <phoneticPr fontId="4"/>
  </si>
  <si>
    <t>川端 俊雄</t>
    <phoneticPr fontId="4"/>
  </si>
  <si>
    <t>愛媛県新居浜市郷３丁目１４－２４</t>
    <phoneticPr fontId="4"/>
  </si>
  <si>
    <t>0897-45-2461</t>
    <phoneticPr fontId="4"/>
  </si>
  <si>
    <t>tosiokawa@ybb.ne.jp</t>
    <phoneticPr fontId="4"/>
  </si>
  <si>
    <t>治田の里小規模特別養護老人ホーム</t>
    <phoneticPr fontId="4"/>
  </si>
  <si>
    <t>株式会社 巴設計</t>
    <rPh sb="0" eb="2">
      <t>カブシキ</t>
    </rPh>
    <rPh sb="2" eb="4">
      <t>カイシャ</t>
    </rPh>
    <phoneticPr fontId="4"/>
  </si>
  <si>
    <t>山﨑 高夫</t>
    <phoneticPr fontId="4"/>
  </si>
  <si>
    <t>026-243-5089</t>
    <phoneticPr fontId="4"/>
  </si>
  <si>
    <t>tomoe_yamazaki@zpost.plala.me</t>
    <phoneticPr fontId="4"/>
  </si>
  <si>
    <t>株式会社 巴設計</t>
    <phoneticPr fontId="4"/>
  </si>
  <si>
    <t>カブシキガイシャ トモエセッケイ</t>
    <phoneticPr fontId="4"/>
  </si>
  <si>
    <t>ジェイアールバス周防・岡山</t>
    <phoneticPr fontId="4"/>
  </si>
  <si>
    <t>髙橋 幸治</t>
    <phoneticPr fontId="4"/>
  </si>
  <si>
    <t>ckss-tgc@celery.ocn.ne.jp</t>
    <phoneticPr fontId="4"/>
  </si>
  <si>
    <t>オービシ東大阪物流センター倉庫</t>
    <phoneticPr fontId="4"/>
  </si>
  <si>
    <t>マルハン橿原北</t>
    <phoneticPr fontId="4"/>
  </si>
  <si>
    <t>押谷</t>
    <phoneticPr fontId="4"/>
  </si>
  <si>
    <t>ヒロ建築工房</t>
    <phoneticPr fontId="4"/>
  </si>
  <si>
    <t>田中 博昭</t>
    <phoneticPr fontId="4"/>
  </si>
  <si>
    <t>06-6944-9202</t>
    <phoneticPr fontId="4"/>
  </si>
  <si>
    <t>hiro-kk@bk9.so-net.ne.jp</t>
    <phoneticPr fontId="4"/>
  </si>
  <si>
    <t>七十七銀行内脇支店</t>
    <phoneticPr fontId="4"/>
  </si>
  <si>
    <t>若栗 誠</t>
    <phoneticPr fontId="4"/>
  </si>
  <si>
    <t>022-264-1724</t>
    <phoneticPr fontId="4"/>
  </si>
  <si>
    <t>wakaguri-makoto@ando-corp.co.jp</t>
    <phoneticPr fontId="4"/>
  </si>
  <si>
    <t>ケーズデンキ喜多方</t>
    <phoneticPr fontId="4"/>
  </si>
  <si>
    <t>鈴木</t>
    <phoneticPr fontId="4"/>
  </si>
  <si>
    <t>福島県会津若松市インター西56-6</t>
    <phoneticPr fontId="4"/>
  </si>
  <si>
    <t>0242-25-4870</t>
    <phoneticPr fontId="4"/>
  </si>
  <si>
    <t>hakubu@cocoa.ocn.ne.jp</t>
    <phoneticPr fontId="4"/>
  </si>
  <si>
    <t>株式会社 K構造設計</t>
    <rPh sb="0" eb="4">
      <t>カブシキカイシャ</t>
    </rPh>
    <phoneticPr fontId="4"/>
  </si>
  <si>
    <t>近藤</t>
    <phoneticPr fontId="4"/>
  </si>
  <si>
    <t>kondo@kkozo.co.jp</t>
    <phoneticPr fontId="4"/>
  </si>
  <si>
    <t>岡山県笠岡市小平井2039-2</t>
    <phoneticPr fontId="4"/>
  </si>
  <si>
    <t>050-6860-3642</t>
    <phoneticPr fontId="4"/>
  </si>
  <si>
    <t>西長柄マンション</t>
    <phoneticPr fontId="4"/>
  </si>
  <si>
    <t>板垣</t>
    <phoneticPr fontId="4"/>
  </si>
  <si>
    <t>0743-65-2340</t>
    <phoneticPr fontId="4"/>
  </si>
  <si>
    <t>let05243@nifty.com</t>
    <phoneticPr fontId="4"/>
  </si>
  <si>
    <t>韓国広場倉庫</t>
    <phoneticPr fontId="4"/>
  </si>
  <si>
    <t>阪井</t>
    <phoneticPr fontId="4"/>
  </si>
  <si>
    <t>ウェルネス出雲ドーム北</t>
    <phoneticPr fontId="4"/>
  </si>
  <si>
    <t>稲葉 秀一</t>
    <phoneticPr fontId="4"/>
  </si>
  <si>
    <t>inaba@inaba-archi.com</t>
    <phoneticPr fontId="4"/>
  </si>
  <si>
    <t>東京都港区南青山5－11－15H&amp;M南青山WEST304</t>
    <phoneticPr fontId="4"/>
  </si>
  <si>
    <t>03-3406-1780</t>
    <phoneticPr fontId="4"/>
  </si>
  <si>
    <t>衣笠</t>
    <phoneticPr fontId="4"/>
  </si>
  <si>
    <t>nfc@jupiter.ocn.ne.jp</t>
    <phoneticPr fontId="4"/>
  </si>
  <si>
    <t>浦和すみれ幼稚園</t>
    <phoneticPr fontId="4"/>
  </si>
  <si>
    <t>本崎</t>
    <phoneticPr fontId="4"/>
  </si>
  <si>
    <t>044-789-9992</t>
    <phoneticPr fontId="4"/>
  </si>
  <si>
    <t>motosaki-99@bk9.so-net.ne.jp</t>
    <phoneticPr fontId="4"/>
  </si>
  <si>
    <t>武長 龍二</t>
    <phoneticPr fontId="4"/>
  </si>
  <si>
    <t>nitca@plum.plala.or.jp</t>
    <phoneticPr fontId="4"/>
  </si>
  <si>
    <t>東京都新宿区市谷左内町27－１</t>
    <phoneticPr fontId="4"/>
  </si>
  <si>
    <t>03‐5206-5517</t>
    <phoneticPr fontId="4"/>
  </si>
  <si>
    <t>スギコ産業</t>
    <phoneticPr fontId="4"/>
  </si>
  <si>
    <t>土田 浩一</t>
    <phoneticPr fontId="4"/>
  </si>
  <si>
    <t>k-tutida@terasan.co.jp</t>
    <phoneticPr fontId="4"/>
  </si>
  <si>
    <t>i-sekkei@snow.plala.or.jp</t>
    <phoneticPr fontId="4"/>
  </si>
  <si>
    <t>佐藤鋼材第二工場</t>
    <phoneticPr fontId="4"/>
  </si>
  <si>
    <t>岩澤</t>
    <phoneticPr fontId="4"/>
  </si>
  <si>
    <t>0256-38-7173</t>
    <phoneticPr fontId="4"/>
  </si>
  <si>
    <t>gocho-iwasawa@cube.ocn.ne.jp</t>
    <phoneticPr fontId="4"/>
  </si>
  <si>
    <t>インドアゴルフサロン</t>
    <phoneticPr fontId="4"/>
  </si>
  <si>
    <t>高橋</t>
    <phoneticPr fontId="4"/>
  </si>
  <si>
    <t>宮城ダイハツ 気仙沼</t>
    <phoneticPr fontId="4"/>
  </si>
  <si>
    <t>辰井 淳</t>
    <rPh sb="1" eb="2">
      <t>イ</t>
    </rPh>
    <phoneticPr fontId="4"/>
  </si>
  <si>
    <t xml:space="preserve">tatsui-jun@ando-corp.co.jp </t>
    <phoneticPr fontId="4"/>
  </si>
  <si>
    <t>上牧医療モール 新築工事</t>
    <phoneticPr fontId="4"/>
  </si>
  <si>
    <t>スーパーベルクス七光台</t>
    <phoneticPr fontId="4"/>
  </si>
  <si>
    <t>金山 哲男</t>
    <phoneticPr fontId="4"/>
  </si>
  <si>
    <t>048-982-8482</t>
    <phoneticPr fontId="4"/>
  </si>
  <si>
    <t>埼玉県吉川市新栄2丁目11-3</t>
    <phoneticPr fontId="4"/>
  </si>
  <si>
    <t>t-kaneyama@tiara.ocn.ne.jp</t>
    <phoneticPr fontId="4"/>
  </si>
  <si>
    <t>ウット</t>
    <phoneticPr fontId="4"/>
  </si>
  <si>
    <t>着工</t>
    <rPh sb="0" eb="2">
      <t>チャッコウ</t>
    </rPh>
    <phoneticPr fontId="4"/>
  </si>
  <si>
    <t>広島県 呉市役所</t>
    <phoneticPr fontId="4"/>
  </si>
  <si>
    <t>株式会社 ジェイ・イー・サポート</t>
    <phoneticPr fontId="4"/>
  </si>
  <si>
    <t>有限会社 JTM</t>
    <phoneticPr fontId="4"/>
  </si>
  <si>
    <t>株式会社 K構造設計</t>
    <phoneticPr fontId="4"/>
  </si>
  <si>
    <t>カブシキガイシャ Kコウゾウセッケイ</t>
    <phoneticPr fontId="4"/>
  </si>
  <si>
    <t>04-7170-1215</t>
    <phoneticPr fontId="4"/>
  </si>
  <si>
    <t>千葉県野田市野田465-5</t>
    <phoneticPr fontId="4"/>
  </si>
  <si>
    <t>資料待ち</t>
    <rPh sb="0" eb="2">
      <t>シリョウ</t>
    </rPh>
    <rPh sb="2" eb="3">
      <t>マ</t>
    </rPh>
    <phoneticPr fontId="4"/>
  </si>
  <si>
    <t>森山</t>
    <phoneticPr fontId="4"/>
  </si>
  <si>
    <t>守山テナントビル</t>
    <rPh sb="0" eb="2">
      <t>モリヤマ</t>
    </rPh>
    <phoneticPr fontId="4"/>
  </si>
  <si>
    <t>株式会社 カワバタマサヒロ建築設計事務所</t>
    <rPh sb="0" eb="2">
      <t>カブシキ</t>
    </rPh>
    <rPh sb="2" eb="4">
      <t>カイシャ</t>
    </rPh>
    <rPh sb="13" eb="15">
      <t>ケンチク</t>
    </rPh>
    <rPh sb="15" eb="17">
      <t>セッケイ</t>
    </rPh>
    <rPh sb="17" eb="19">
      <t>ジム</t>
    </rPh>
    <rPh sb="19" eb="20">
      <t>ショ</t>
    </rPh>
    <phoneticPr fontId="4"/>
  </si>
  <si>
    <t>株式会社 カワバタマサヒロ建築設計事務所</t>
    <phoneticPr fontId="4"/>
  </si>
  <si>
    <t>カブシキガイシャ カワバタマサヒロケンチクセッケイジムショ</t>
    <phoneticPr fontId="4"/>
  </si>
  <si>
    <t>滋賀県</t>
    <rPh sb="0" eb="3">
      <t>シガケン</t>
    </rPh>
    <phoneticPr fontId="4"/>
  </si>
  <si>
    <t>守山市</t>
    <rPh sb="0" eb="3">
      <t>モリヤマシ</t>
    </rPh>
    <phoneticPr fontId="4"/>
  </si>
  <si>
    <t>川畑、中村</t>
    <rPh sb="0" eb="2">
      <t>カワバタ</t>
    </rPh>
    <rPh sb="3" eb="5">
      <t>ナカムラ</t>
    </rPh>
    <phoneticPr fontId="4"/>
  </si>
  <si>
    <t>075-746-2201</t>
    <phoneticPr fontId="4"/>
  </si>
  <si>
    <t>nakamura@expansion.jp</t>
    <phoneticPr fontId="4"/>
  </si>
  <si>
    <t>狭小地</t>
    <rPh sb="0" eb="2">
      <t>キョウショウ</t>
    </rPh>
    <rPh sb="2" eb="3">
      <t>チ</t>
    </rPh>
    <phoneticPr fontId="4"/>
  </si>
  <si>
    <t>株式会社 Gランドユース</t>
    <rPh sb="0" eb="4">
      <t>カブシキカイシャ</t>
    </rPh>
    <phoneticPr fontId="4"/>
  </si>
  <si>
    <t>カブシキガイシャ Gランドユース</t>
    <phoneticPr fontId="4"/>
  </si>
  <si>
    <t>株式会社 Gランドユース</t>
    <phoneticPr fontId="4"/>
  </si>
  <si>
    <t>構造</t>
    <rPh sb="0" eb="2">
      <t>コウゾウ</t>
    </rPh>
    <phoneticPr fontId="17"/>
  </si>
  <si>
    <t>【仮定メンバーのみ】</t>
    <rPh sb="1" eb="3">
      <t>カテイ</t>
    </rPh>
    <phoneticPr fontId="4"/>
  </si>
  <si>
    <t>倉庫と店舗の2棟</t>
    <rPh sb="0" eb="2">
      <t>ソウコ</t>
    </rPh>
    <rPh sb="3" eb="5">
      <t>テンポ</t>
    </rPh>
    <rPh sb="7" eb="8">
      <t>トウ</t>
    </rPh>
    <phoneticPr fontId="4"/>
  </si>
  <si>
    <t>薬王堂 三種森岳</t>
    <phoneticPr fontId="4"/>
  </si>
  <si>
    <t xml:space="preserve"> 申請</t>
    <rPh sb="1" eb="3">
      <t>シンセイ</t>
    </rPh>
    <phoneticPr fontId="4"/>
  </si>
  <si>
    <t>バースデイ洲本</t>
    <rPh sb="5" eb="7">
      <t>スモト</t>
    </rPh>
    <phoneticPr fontId="4"/>
  </si>
  <si>
    <t>兵庫県</t>
    <phoneticPr fontId="4"/>
  </si>
  <si>
    <t>洲本市</t>
    <rPh sb="0" eb="3">
      <t>スモトシ</t>
    </rPh>
    <phoneticPr fontId="4"/>
  </si>
  <si>
    <t>上中膳</t>
    <rPh sb="0" eb="1">
      <t>ウエ</t>
    </rPh>
    <rPh sb="1" eb="2">
      <t>ナカ</t>
    </rPh>
    <rPh sb="2" eb="3">
      <t>ゼン</t>
    </rPh>
    <phoneticPr fontId="4"/>
  </si>
  <si>
    <t>矢内</t>
    <phoneticPr fontId="4"/>
  </si>
  <si>
    <t>yanai@mt-plan.com</t>
    <phoneticPr fontId="4"/>
  </si>
  <si>
    <t>申請</t>
    <rPh sb="0" eb="2">
      <t>シンセイ</t>
    </rPh>
    <phoneticPr fontId="4"/>
  </si>
  <si>
    <t>ユイ</t>
    <phoneticPr fontId="4"/>
  </si>
  <si>
    <t>秋田県</t>
    <rPh sb="0" eb="3">
      <t>アキタケン</t>
    </rPh>
    <phoneticPr fontId="4"/>
  </si>
  <si>
    <t>仙北郡</t>
    <rPh sb="0" eb="2">
      <t>センボク</t>
    </rPh>
    <rPh sb="2" eb="3">
      <t>グン</t>
    </rPh>
    <phoneticPr fontId="4"/>
  </si>
  <si>
    <t>角館町岩瀬字下菅沢</t>
    <rPh sb="0" eb="1">
      <t>カク</t>
    </rPh>
    <rPh sb="1" eb="2">
      <t>ヤカタ</t>
    </rPh>
    <rPh sb="2" eb="3">
      <t>マチ</t>
    </rPh>
    <rPh sb="3" eb="5">
      <t>イワセ</t>
    </rPh>
    <rPh sb="5" eb="6">
      <t>アザ</t>
    </rPh>
    <rPh sb="6" eb="7">
      <t>シタ</t>
    </rPh>
    <rPh sb="7" eb="8">
      <t>カン</t>
    </rPh>
    <rPh sb="8" eb="9">
      <t>サワ</t>
    </rPh>
    <phoneticPr fontId="4"/>
  </si>
  <si>
    <t>新潟県</t>
    <phoneticPr fontId="4"/>
  </si>
  <si>
    <t>新潟市</t>
    <rPh sb="0" eb="3">
      <t>ニイガタシ</t>
    </rPh>
    <phoneticPr fontId="4"/>
  </si>
  <si>
    <t>江南区横越中央</t>
    <rPh sb="0" eb="1">
      <t>エ</t>
    </rPh>
    <rPh sb="1" eb="2">
      <t>ミナミ</t>
    </rPh>
    <rPh sb="2" eb="3">
      <t>ク</t>
    </rPh>
    <rPh sb="3" eb="4">
      <t>ヨコ</t>
    </rPh>
    <rPh sb="4" eb="5">
      <t>コ</t>
    </rPh>
    <rPh sb="5" eb="7">
      <t>チュウオウ</t>
    </rPh>
    <phoneticPr fontId="4"/>
  </si>
  <si>
    <t>山本郡</t>
    <rPh sb="0" eb="2">
      <t>ヤマモト</t>
    </rPh>
    <rPh sb="2" eb="3">
      <t>グン</t>
    </rPh>
    <phoneticPr fontId="4"/>
  </si>
  <si>
    <t>三種町森岳高田</t>
    <rPh sb="0" eb="2">
      <t>サンシュ</t>
    </rPh>
    <rPh sb="2" eb="3">
      <t>マチ</t>
    </rPh>
    <rPh sb="3" eb="4">
      <t>モリ</t>
    </rPh>
    <rPh sb="4" eb="5">
      <t>ガク</t>
    </rPh>
    <rPh sb="5" eb="7">
      <t>タカダ</t>
    </rPh>
    <phoneticPr fontId="4"/>
  </si>
  <si>
    <t>着工</t>
    <rPh sb="0" eb="2">
      <t>チャッコウ</t>
    </rPh>
    <phoneticPr fontId="4"/>
  </si>
  <si>
    <t>倉庫・事務所</t>
    <rPh sb="0" eb="2">
      <t>ソウコ</t>
    </rPh>
    <rPh sb="3" eb="5">
      <t>ジム</t>
    </rPh>
    <rPh sb="5" eb="6">
      <t>ショ</t>
    </rPh>
    <phoneticPr fontId="4"/>
  </si>
  <si>
    <t>3</t>
    <phoneticPr fontId="4"/>
  </si>
  <si>
    <t>全農新潟 一級建築士事務所</t>
    <rPh sb="0" eb="2">
      <t>ゼンノウ</t>
    </rPh>
    <rPh sb="2" eb="4">
      <t>ニイガタ</t>
    </rPh>
    <rPh sb="5" eb="7">
      <t>イッキュウ</t>
    </rPh>
    <rPh sb="7" eb="10">
      <t>ケンチクシ</t>
    </rPh>
    <rPh sb="10" eb="12">
      <t>ジム</t>
    </rPh>
    <rPh sb="12" eb="13">
      <t>ショ</t>
    </rPh>
    <phoneticPr fontId="4"/>
  </si>
  <si>
    <t>全農新潟 一級建築士事務所</t>
    <phoneticPr fontId="4"/>
  </si>
  <si>
    <t>ゼンノウニイガタ イッキュウケンチクシジムショ</t>
    <phoneticPr fontId="4"/>
  </si>
  <si>
    <t>礫混じり砂</t>
    <rPh sb="0" eb="1">
      <t>レキ</t>
    </rPh>
    <rPh sb="1" eb="2">
      <t>マ</t>
    </rPh>
    <rPh sb="4" eb="5">
      <t>スナ</t>
    </rPh>
    <phoneticPr fontId="4"/>
  </si>
  <si>
    <t>ｼﾙﾄ混じり粘土</t>
    <rPh sb="3" eb="4">
      <t>マ</t>
    </rPh>
    <rPh sb="6" eb="8">
      <t>ネンド</t>
    </rPh>
    <phoneticPr fontId="4"/>
  </si>
  <si>
    <t>2m</t>
    <phoneticPr fontId="4"/>
  </si>
  <si>
    <t>ｼﾙﾄ混じり粘土</t>
    <phoneticPr fontId="4"/>
  </si>
  <si>
    <t>5m</t>
    <phoneticPr fontId="4"/>
  </si>
  <si>
    <t>粘土</t>
    <rPh sb="0" eb="2">
      <t>ネンド</t>
    </rPh>
    <phoneticPr fontId="4"/>
  </si>
  <si>
    <t>10m</t>
    <phoneticPr fontId="4"/>
  </si>
  <si>
    <t>住宅・工場</t>
    <rPh sb="0" eb="2">
      <t>ジュウタク</t>
    </rPh>
    <rPh sb="3" eb="5">
      <t>コウジョウ</t>
    </rPh>
    <phoneticPr fontId="4"/>
  </si>
  <si>
    <t>2020/2/7 施主検図</t>
    <rPh sb="9" eb="11">
      <t>セシュ</t>
    </rPh>
    <rPh sb="11" eb="13">
      <t>ケンズ</t>
    </rPh>
    <phoneticPr fontId="4"/>
  </si>
  <si>
    <t>マルイ国府アクトスwill 用途変更</t>
    <rPh sb="3" eb="5">
      <t>コクフ</t>
    </rPh>
    <rPh sb="14" eb="16">
      <t>ヨウト</t>
    </rPh>
    <rPh sb="16" eb="18">
      <t>ヘンコウ</t>
    </rPh>
    <phoneticPr fontId="4"/>
  </si>
  <si>
    <t>本申請</t>
    <rPh sb="0" eb="1">
      <t>ホン</t>
    </rPh>
    <rPh sb="1" eb="3">
      <t>シンセイ</t>
    </rPh>
    <phoneticPr fontId="4"/>
  </si>
  <si>
    <t>着工</t>
    <rPh sb="0" eb="2">
      <t>チャッコウ</t>
    </rPh>
    <phoneticPr fontId="4"/>
  </si>
  <si>
    <t>3</t>
    <phoneticPr fontId="4"/>
  </si>
  <si>
    <t>盛土・砂礫</t>
    <rPh sb="0" eb="2">
      <t>モリド</t>
    </rPh>
    <rPh sb="3" eb="5">
      <t>サレキ</t>
    </rPh>
    <phoneticPr fontId="4"/>
  </si>
  <si>
    <t>○一部</t>
    <rPh sb="1" eb="3">
      <t>イチブ</t>
    </rPh>
    <phoneticPr fontId="4"/>
  </si>
  <si>
    <t>ｼﾙﾄ質粘土</t>
    <rPh sb="3" eb="4">
      <t>シツ</t>
    </rPh>
    <rPh sb="4" eb="6">
      <t>ネンド</t>
    </rPh>
    <phoneticPr fontId="4"/>
  </si>
  <si>
    <t>7m</t>
    <phoneticPr fontId="4"/>
  </si>
  <si>
    <t>5m</t>
    <phoneticPr fontId="4"/>
  </si>
  <si>
    <t>2.67
(M7.5)</t>
    <phoneticPr fontId="4"/>
  </si>
  <si>
    <t>工場棟と事務所棟の2棟。水路・既存擁壁近接。</t>
    <rPh sb="0" eb="2">
      <t>コウジョウ</t>
    </rPh>
    <rPh sb="2" eb="3">
      <t>トウ</t>
    </rPh>
    <rPh sb="4" eb="6">
      <t>ジム</t>
    </rPh>
    <rPh sb="6" eb="7">
      <t>ショ</t>
    </rPh>
    <rPh sb="7" eb="8">
      <t>トウ</t>
    </rPh>
    <rPh sb="10" eb="11">
      <t>トウ</t>
    </rPh>
    <rPh sb="12" eb="14">
      <t>スイロ</t>
    </rPh>
    <rPh sb="15" eb="17">
      <t>キソン</t>
    </rPh>
    <rPh sb="17" eb="19">
      <t>ヨウヘキ</t>
    </rPh>
    <rPh sb="19" eb="21">
      <t>キンセツ</t>
    </rPh>
    <phoneticPr fontId="4"/>
  </si>
  <si>
    <t>あさの冷蔵庫</t>
    <phoneticPr fontId="4"/>
  </si>
  <si>
    <t>朴 哲敏(ぼく てつびん)</t>
    <phoneticPr fontId="4"/>
  </si>
  <si>
    <t>t.boku@yokogawa-yess.co.jp</t>
    <phoneticPr fontId="4"/>
  </si>
  <si>
    <t>リョービ東倉庫</t>
    <phoneticPr fontId="4"/>
  </si>
  <si>
    <t>新藤</t>
    <phoneticPr fontId="4"/>
  </si>
  <si>
    <t>ai.sekkei@opal.plala.or</t>
    <phoneticPr fontId="4"/>
  </si>
  <si>
    <t>0848-46-1896</t>
    <phoneticPr fontId="4"/>
  </si>
  <si>
    <t>キタセキ酒田</t>
    <phoneticPr fontId="4"/>
  </si>
  <si>
    <t>三島フルーツパーク</t>
    <phoneticPr fontId="4"/>
  </si>
  <si>
    <t>山本</t>
    <phoneticPr fontId="4"/>
  </si>
  <si>
    <t>staff@440a.co.jp</t>
    <phoneticPr fontId="4"/>
  </si>
  <si>
    <t>稲垣</t>
    <phoneticPr fontId="4"/>
  </si>
  <si>
    <t>sa_nakagami@yahoo.co.jp</t>
    <phoneticPr fontId="4"/>
  </si>
  <si>
    <t>勝部マンション</t>
    <phoneticPr fontId="4"/>
  </si>
  <si>
    <t>吉木</t>
    <phoneticPr fontId="4"/>
  </si>
  <si>
    <t>0853-73-9103</t>
    <phoneticPr fontId="4"/>
  </si>
  <si>
    <t>yoshigi@icv.ne.jp</t>
    <phoneticPr fontId="4"/>
  </si>
  <si>
    <t>有限会社 前田設計事務所</t>
    <rPh sb="0" eb="2">
      <t>ユウゲン</t>
    </rPh>
    <rPh sb="2" eb="4">
      <t>カイシャ</t>
    </rPh>
    <phoneticPr fontId="4"/>
  </si>
  <si>
    <t>オーロラ・ホール南浦和</t>
    <phoneticPr fontId="4"/>
  </si>
  <si>
    <t>三重三菱自動車販売㈱　桑名江場</t>
    <phoneticPr fontId="4"/>
  </si>
  <si>
    <t>武里総合貸店舗</t>
    <phoneticPr fontId="4"/>
  </si>
  <si>
    <t>一級建築士事務所 創研設計</t>
    <phoneticPr fontId="4"/>
  </si>
  <si>
    <t>一級建築士事務所 創研設計</t>
    <phoneticPr fontId="4"/>
  </si>
  <si>
    <t>イッキュウケンチクシジムショ ソウケンセッケイ</t>
    <phoneticPr fontId="4"/>
  </si>
  <si>
    <t>田中 良治</t>
    <phoneticPr fontId="4"/>
  </si>
  <si>
    <t>03-3465-8735</t>
    <phoneticPr fontId="4"/>
  </si>
  <si>
    <t>souken@friend.ocn.ne.jp</t>
    <phoneticPr fontId="4"/>
  </si>
  <si>
    <t>イエローハット広面店南</t>
    <phoneticPr fontId="4"/>
  </si>
  <si>
    <t>ホーマック広面</t>
    <phoneticPr fontId="4"/>
  </si>
  <si>
    <t>豚舎計画 野菜作業所</t>
    <phoneticPr fontId="4"/>
  </si>
  <si>
    <t>三浦</t>
    <phoneticPr fontId="4"/>
  </si>
  <si>
    <t>k-kikaku@coral.broba.cc</t>
    <phoneticPr fontId="4"/>
  </si>
  <si>
    <t>ケーズデンキ大河原</t>
    <phoneticPr fontId="4"/>
  </si>
  <si>
    <t>SVH岩槻店</t>
    <phoneticPr fontId="4"/>
  </si>
  <si>
    <t>峰﨑 美佳</t>
    <phoneticPr fontId="4"/>
  </si>
  <si>
    <t>大口 浩司</t>
    <phoneticPr fontId="4"/>
  </si>
  <si>
    <t>ohku@matsunaga.gr.jp</t>
    <phoneticPr fontId="4"/>
  </si>
  <si>
    <t>070-5020-1353</t>
    <phoneticPr fontId="4"/>
  </si>
  <si>
    <t>クリエイト寒川倉見</t>
    <phoneticPr fontId="4"/>
  </si>
  <si>
    <t>望月工業　佐賀工場</t>
    <phoneticPr fontId="4"/>
  </si>
  <si>
    <t>會田 和広</t>
    <phoneticPr fontId="4"/>
  </si>
  <si>
    <t>054-354-3186</t>
    <phoneticPr fontId="4"/>
  </si>
  <si>
    <t>k-aida@suzuyo-kensetsu.jp</t>
    <phoneticPr fontId="4"/>
  </si>
  <si>
    <t>宜野湾店舗</t>
    <phoneticPr fontId="4"/>
  </si>
  <si>
    <t>礒部 一英</t>
    <phoneticPr fontId="4"/>
  </si>
  <si>
    <t>isobe@pfkura.co.jp</t>
    <phoneticPr fontId="4"/>
  </si>
  <si>
    <t>北小路 正</t>
    <phoneticPr fontId="4"/>
  </si>
  <si>
    <t>東京都千代田区東神田3-2-8堀川ビル4F</t>
    <phoneticPr fontId="4"/>
  </si>
  <si>
    <t>03-3864-0566</t>
    <phoneticPr fontId="4"/>
  </si>
  <si>
    <t>kitakoji@c-and-c.jp</t>
    <phoneticPr fontId="4"/>
  </si>
  <si>
    <t>流山老人ホーム</t>
    <phoneticPr fontId="4"/>
  </si>
  <si>
    <t>マルハンつくば</t>
    <phoneticPr fontId="4"/>
  </si>
  <si>
    <t>大浦 康</t>
    <phoneticPr fontId="4"/>
  </si>
  <si>
    <t>ohura-y@ichiken.co.jp</t>
    <phoneticPr fontId="4"/>
  </si>
  <si>
    <t>東京都台東区北上野2-23-5</t>
    <phoneticPr fontId="4"/>
  </si>
  <si>
    <t>03-3845-8262</t>
    <phoneticPr fontId="4"/>
  </si>
  <si>
    <t>ドラッグセイムス高知宝永</t>
    <phoneticPr fontId="4"/>
  </si>
  <si>
    <t>川端 俊雄</t>
    <phoneticPr fontId="4"/>
  </si>
  <si>
    <t>愛媛県新居浜市郷３丁目１４－２４</t>
    <phoneticPr fontId="4"/>
  </si>
  <si>
    <t>0897-45-2461</t>
    <phoneticPr fontId="4"/>
  </si>
  <si>
    <t>tosiokawa@ybb.ne.jp</t>
    <phoneticPr fontId="4"/>
  </si>
  <si>
    <t>カインズホーム高坂</t>
    <phoneticPr fontId="4"/>
  </si>
  <si>
    <t>佐々木 謙</t>
    <phoneticPr fontId="4"/>
  </si>
  <si>
    <t>03-5294-6211</t>
    <phoneticPr fontId="4"/>
  </si>
  <si>
    <t>sasaki.ken@ito-aei.co.jp</t>
    <phoneticPr fontId="4"/>
  </si>
  <si>
    <t>ドンキホーテ岐阜</t>
    <phoneticPr fontId="4"/>
  </si>
  <si>
    <t>丸中ゴム</t>
    <phoneticPr fontId="4"/>
  </si>
  <si>
    <t>中嶋</t>
    <phoneticPr fontId="4"/>
  </si>
  <si>
    <t>0568-75-5115</t>
    <phoneticPr fontId="4"/>
  </si>
  <si>
    <t>愛知県小牧市小木東2-180</t>
    <phoneticPr fontId="4"/>
  </si>
  <si>
    <t>nakasima@gol.com</t>
    <phoneticPr fontId="4"/>
  </si>
  <si>
    <t>Audiりんくうショールーム</t>
    <phoneticPr fontId="4"/>
  </si>
  <si>
    <t>森 昌之</t>
    <phoneticPr fontId="4"/>
  </si>
  <si>
    <t>mori-kozo@marble.ocn.ne.jp</t>
    <phoneticPr fontId="4"/>
  </si>
  <si>
    <t>村社(ムラコソ)</t>
    <phoneticPr fontId="4"/>
  </si>
  <si>
    <t>j-in@webjapan.ne.jp</t>
    <phoneticPr fontId="4"/>
  </si>
  <si>
    <t>06-6539-5960</t>
    <phoneticPr fontId="4"/>
  </si>
  <si>
    <t>紀の川ボード艇庫</t>
    <phoneticPr fontId="4"/>
  </si>
  <si>
    <t>吉田 敏基</t>
    <phoneticPr fontId="4"/>
  </si>
  <si>
    <t>yosidato@asakawagumi.co.jp</t>
    <phoneticPr fontId="4"/>
  </si>
  <si>
    <t>073-425-1221</t>
    <phoneticPr fontId="4"/>
  </si>
  <si>
    <t>西条市</t>
    <rPh sb="0" eb="3">
      <t>サイジョウシ</t>
    </rPh>
    <phoneticPr fontId="4"/>
  </si>
  <si>
    <t>大町</t>
    <rPh sb="0" eb="2">
      <t>オオマチ</t>
    </rPh>
    <phoneticPr fontId="4"/>
  </si>
  <si>
    <t>申請</t>
    <rPh sb="0" eb="2">
      <t>シンセイ</t>
    </rPh>
    <phoneticPr fontId="4"/>
  </si>
  <si>
    <t>着工</t>
    <rPh sb="0" eb="2">
      <t>チャッコウ</t>
    </rPh>
    <phoneticPr fontId="4"/>
  </si>
  <si>
    <t>角谷</t>
    <phoneticPr fontId="4"/>
  </si>
  <si>
    <t>愛知県豊田市駒場町向金371番地</t>
    <phoneticPr fontId="4"/>
  </si>
  <si>
    <t>0565-57-3011</t>
    <phoneticPr fontId="4"/>
  </si>
  <si>
    <t>parking@kogyo.kondo.co.jp</t>
    <phoneticPr fontId="4"/>
  </si>
  <si>
    <t>グリーンライフ商品倉庫</t>
    <phoneticPr fontId="4"/>
  </si>
  <si>
    <t>齊藤 聡</t>
    <phoneticPr fontId="4"/>
  </si>
  <si>
    <t>東京都港区芝浦3-12-8</t>
    <phoneticPr fontId="4"/>
  </si>
  <si>
    <t>03-3457-9262</t>
    <phoneticPr fontId="4"/>
  </si>
  <si>
    <t>saitou-sou@ando-corp.co.jp</t>
    <phoneticPr fontId="4"/>
  </si>
  <si>
    <t>マックスバリュ竹の塚</t>
    <phoneticPr fontId="4"/>
  </si>
  <si>
    <t>上野 伸司</t>
    <phoneticPr fontId="4"/>
  </si>
  <si>
    <t>東京都 台東区 北上野 2-23-5 住友不動産 上野ビル ２号館</t>
    <phoneticPr fontId="4"/>
  </si>
  <si>
    <t>03-3845-8262</t>
    <phoneticPr fontId="4"/>
  </si>
  <si>
    <t>kamino-s@ichiken.co.jp</t>
    <phoneticPr fontId="4"/>
  </si>
  <si>
    <t>JAめぐみの可児地域通所介護施設建設工事</t>
    <phoneticPr fontId="4"/>
  </si>
  <si>
    <t>えんとく培養センター廃培地リサイクル施設</t>
    <phoneticPr fontId="4"/>
  </si>
  <si>
    <t>新谷 健次</t>
    <phoneticPr fontId="4"/>
  </si>
  <si>
    <t>新谷設計</t>
    <phoneticPr fontId="4"/>
  </si>
  <si>
    <t>新谷設計</t>
    <phoneticPr fontId="4"/>
  </si>
  <si>
    <t>シンタニセッケイ</t>
    <phoneticPr fontId="4"/>
  </si>
  <si>
    <t>singai@poppy.ocn.ne.jp</t>
    <phoneticPr fontId="4"/>
  </si>
  <si>
    <t>大阪大学（医）自走式立体駐車場</t>
    <phoneticPr fontId="4"/>
  </si>
  <si>
    <t>池内 剛</t>
    <phoneticPr fontId="4"/>
  </si>
  <si>
    <t>06-6260-1189</t>
    <phoneticPr fontId="4"/>
  </si>
  <si>
    <t>scbx59df@tempo.ocn.ne.jp</t>
    <phoneticPr fontId="4"/>
  </si>
  <si>
    <t>マックスバリュ江戸川区松島</t>
    <phoneticPr fontId="4"/>
  </si>
  <si>
    <t>宮田 賢作</t>
    <phoneticPr fontId="4"/>
  </si>
  <si>
    <t>東京都台東区北上野2-23-5 住友不動産上野ビル2号館</t>
    <phoneticPr fontId="4"/>
  </si>
  <si>
    <t>miyata-k@ichiken.co.jp</t>
    <phoneticPr fontId="4"/>
  </si>
  <si>
    <t>木下 定</t>
    <phoneticPr fontId="4"/>
  </si>
  <si>
    <t>有限会社 ライブ設計所</t>
    <rPh sb="0" eb="2">
      <t>ユウゲン</t>
    </rPh>
    <rPh sb="2" eb="4">
      <t>カイシャ</t>
    </rPh>
    <rPh sb="8" eb="10">
      <t>セッケイ</t>
    </rPh>
    <rPh sb="10" eb="11">
      <t>ショ</t>
    </rPh>
    <phoneticPr fontId="4"/>
  </si>
  <si>
    <t>東京都渋谷区代々木4丁目24番5号503</t>
    <phoneticPr fontId="4"/>
  </si>
  <si>
    <t>03-3373-8591</t>
    <phoneticPr fontId="4"/>
  </si>
  <si>
    <t>kinoshita@live11.co.jp</t>
    <phoneticPr fontId="4"/>
  </si>
  <si>
    <t>SHIMA SEIKI</t>
    <phoneticPr fontId="4"/>
  </si>
  <si>
    <t>勝山様ぶなしめじ生産施設</t>
    <phoneticPr fontId="4"/>
  </si>
  <si>
    <t>株式会社 湯本工務店</t>
    <phoneticPr fontId="4"/>
  </si>
  <si>
    <t>株式会社 誠設計事務所</t>
    <rPh sb="0" eb="2">
      <t>カブシキ</t>
    </rPh>
    <rPh sb="2" eb="4">
      <t>カイシャ</t>
    </rPh>
    <rPh sb="5" eb="6">
      <t>マコト</t>
    </rPh>
    <rPh sb="6" eb="8">
      <t>セッケイ</t>
    </rPh>
    <rPh sb="8" eb="10">
      <t>ジム</t>
    </rPh>
    <rPh sb="10" eb="11">
      <t>ショ</t>
    </rPh>
    <phoneticPr fontId="4"/>
  </si>
  <si>
    <t>株式会社 誠設計事務所</t>
    <phoneticPr fontId="4"/>
  </si>
  <si>
    <t>カブシキガイシャ セイセッケイジムショ</t>
    <phoneticPr fontId="4"/>
  </si>
  <si>
    <t>内田 邦宏</t>
    <phoneticPr fontId="4"/>
  </si>
  <si>
    <t>026-295-6060</t>
    <phoneticPr fontId="4"/>
  </si>
  <si>
    <t>knh-u@sei-house.com</t>
    <phoneticPr fontId="4"/>
  </si>
  <si>
    <t>2020.2.18施主、事業収支が合わなかったため失注。</t>
    <rPh sb="9" eb="11">
      <t>セシュ</t>
    </rPh>
    <rPh sb="12" eb="14">
      <t>ジギョウ</t>
    </rPh>
    <rPh sb="14" eb="16">
      <t>シュウシ</t>
    </rPh>
    <rPh sb="17" eb="18">
      <t>ア</t>
    </rPh>
    <rPh sb="25" eb="27">
      <t>シッチュウ</t>
    </rPh>
    <phoneticPr fontId="4"/>
  </si>
  <si>
    <t>1-2</t>
    <phoneticPr fontId="4"/>
  </si>
  <si>
    <t>中砂</t>
    <rPh sb="0" eb="1">
      <t>ナカ</t>
    </rPh>
    <rPh sb="1" eb="2">
      <t>スナ</t>
    </rPh>
    <phoneticPr fontId="4"/>
  </si>
  <si>
    <t>ｼﾙﾄ質粘土</t>
    <rPh sb="3" eb="4">
      <t>シツ</t>
    </rPh>
    <rPh sb="4" eb="6">
      <t>ネンド</t>
    </rPh>
    <phoneticPr fontId="4"/>
  </si>
  <si>
    <t>11m</t>
    <phoneticPr fontId="4"/>
  </si>
  <si>
    <t>1m</t>
    <phoneticPr fontId="4"/>
  </si>
  <si>
    <t>砂礫</t>
    <rPh sb="0" eb="2">
      <t>サレキ</t>
    </rPh>
    <phoneticPr fontId="4"/>
  </si>
  <si>
    <t>ｼﾙﾄ質粘土(有機物点在)</t>
    <rPh sb="3" eb="6">
      <t>シツネンド</t>
    </rPh>
    <rPh sb="7" eb="10">
      <t>ユウキブツ</t>
    </rPh>
    <rPh sb="10" eb="12">
      <t>テンザイ</t>
    </rPh>
    <phoneticPr fontId="4"/>
  </si>
  <si>
    <t>山田章人建築設計事務所</t>
    <phoneticPr fontId="4"/>
  </si>
  <si>
    <t>-</t>
    <phoneticPr fontId="4"/>
  </si>
  <si>
    <t>金藤 郁雄</t>
    <phoneticPr fontId="4"/>
  </si>
  <si>
    <t>0847-25-0171</t>
    <phoneticPr fontId="4"/>
  </si>
  <si>
    <t>広島県世羅郡世羅町大字井折245-4</t>
    <phoneticPr fontId="4"/>
  </si>
  <si>
    <t>gnrjb503@ybb.ne.jp</t>
    <phoneticPr fontId="4"/>
  </si>
  <si>
    <t>株式会社 ネクスコ東日本エリアサポート</t>
    <phoneticPr fontId="4"/>
  </si>
  <si>
    <t>株式会社 アロー設計</t>
    <phoneticPr fontId="4"/>
  </si>
  <si>
    <t>小松 高志</t>
    <phoneticPr fontId="4"/>
  </si>
  <si>
    <t>0266-53-5887</t>
    <phoneticPr fontId="4"/>
  </si>
  <si>
    <t>長野県諏訪市四賀1651-1</t>
    <phoneticPr fontId="4"/>
  </si>
  <si>
    <t>t.komatsu@arrowz.co.jp</t>
    <phoneticPr fontId="4"/>
  </si>
  <si>
    <t>株式会社 五箇設計事務所</t>
    <phoneticPr fontId="4"/>
  </si>
  <si>
    <t>株式会社 ジェイアール西日本ビルト</t>
    <phoneticPr fontId="4"/>
  </si>
  <si>
    <t>亀山 勝広</t>
    <phoneticPr fontId="4"/>
  </si>
  <si>
    <t>06-4801-7721</t>
    <phoneticPr fontId="4"/>
  </si>
  <si>
    <t>k.kameyama@jrw-built.co.jp</t>
    <phoneticPr fontId="4"/>
  </si>
  <si>
    <t>株式会社 國分建築事務所</t>
    <rPh sb="0" eb="2">
      <t>カブシキ</t>
    </rPh>
    <rPh sb="2" eb="4">
      <t>カイシャ</t>
    </rPh>
    <phoneticPr fontId="4"/>
  </si>
  <si>
    <t>清水 昭宏</t>
    <phoneticPr fontId="4"/>
  </si>
  <si>
    <t>06-6541-3768</t>
    <phoneticPr fontId="4"/>
  </si>
  <si>
    <t>a.shimizu@kokubun.ecnet.jp</t>
    <phoneticPr fontId="4"/>
  </si>
  <si>
    <t>株式会社 上野山都市設計</t>
    <phoneticPr fontId="4"/>
  </si>
  <si>
    <t>山下 賢一</t>
    <phoneticPr fontId="4"/>
  </si>
  <si>
    <t>052-241-2201</t>
    <phoneticPr fontId="4"/>
  </si>
  <si>
    <t>yamashita-uenoyama@air.ocn.ne.jp</t>
    <phoneticPr fontId="4"/>
  </si>
  <si>
    <t>松島 章人</t>
    <phoneticPr fontId="4"/>
  </si>
  <si>
    <t>matsushima-uenoyama@tea.ocn.ne.jp</t>
    <phoneticPr fontId="4"/>
  </si>
  <si>
    <t>株式会社 建築企画</t>
    <phoneticPr fontId="4"/>
  </si>
  <si>
    <t>尾留川</t>
    <phoneticPr fontId="4"/>
  </si>
  <si>
    <t>018-866-3387</t>
    <phoneticPr fontId="4"/>
  </si>
  <si>
    <t>birukawa.keiji@k-kikaku.co</t>
    <phoneticPr fontId="4"/>
  </si>
  <si>
    <t>山田章人建築設計事務所</t>
    <phoneticPr fontId="4"/>
  </si>
  <si>
    <t>尾関 修</t>
    <phoneticPr fontId="4"/>
  </si>
  <si>
    <t>03-3352-8759</t>
    <phoneticPr fontId="4"/>
  </si>
  <si>
    <t>ozeki-ya@coral.dti.ne.jp</t>
    <phoneticPr fontId="4"/>
  </si>
  <si>
    <t>綿半鋼機 株式会社</t>
    <phoneticPr fontId="4"/>
  </si>
  <si>
    <t>永廣 健二</t>
    <phoneticPr fontId="4"/>
  </si>
  <si>
    <t>092-282-4189</t>
    <phoneticPr fontId="4"/>
  </si>
  <si>
    <t>k-nagahiro@tecnos-web.co.jp</t>
    <phoneticPr fontId="4"/>
  </si>
  <si>
    <t>川上 澄雄</t>
    <phoneticPr fontId="4"/>
  </si>
  <si>
    <t>03-3971-7774</t>
    <phoneticPr fontId="4"/>
  </si>
  <si>
    <t>東京都豊島区東池袋3-11-8 サンライズ小林802</t>
    <phoneticPr fontId="4"/>
  </si>
  <si>
    <t>k-kouzou@sea.plala.or.jp</t>
    <phoneticPr fontId="4"/>
  </si>
  <si>
    <t>神稲建設 株式会社</t>
    <phoneticPr fontId="4"/>
  </si>
  <si>
    <t>株式会社 RISE構造設計事務所</t>
    <phoneticPr fontId="4"/>
  </si>
  <si>
    <t>中野 洋之</t>
    <phoneticPr fontId="4"/>
  </si>
  <si>
    <t>03-5766-9945</t>
    <phoneticPr fontId="4"/>
  </si>
  <si>
    <t>東京都渋谷区東　サンパーク恵比寿401</t>
    <phoneticPr fontId="4"/>
  </si>
  <si>
    <t>h.nakano@rise-str.com</t>
    <phoneticPr fontId="4"/>
  </si>
  <si>
    <t>川上 澄雄</t>
    <phoneticPr fontId="4"/>
  </si>
  <si>
    <t>株式会社 山陽設計</t>
    <phoneticPr fontId="4"/>
  </si>
  <si>
    <t>吉田 大心</t>
    <phoneticPr fontId="4"/>
  </si>
  <si>
    <t>岡山県岡山市中区清水2丁目5番22号</t>
    <phoneticPr fontId="4"/>
  </si>
  <si>
    <t>t-yoshida@sanyosekkei.co.jp</t>
    <phoneticPr fontId="4"/>
  </si>
  <si>
    <t>鈴木 義彦</t>
    <phoneticPr fontId="4"/>
  </si>
  <si>
    <t>054-354-3186</t>
    <phoneticPr fontId="4"/>
  </si>
  <si>
    <t>yoshi-suzuki@suzuyo-kensetsu.jp</t>
    <phoneticPr fontId="4"/>
  </si>
  <si>
    <t>志村</t>
    <phoneticPr fontId="4"/>
  </si>
  <si>
    <t>shimura@vcs.wbs.ne.jp</t>
    <phoneticPr fontId="4"/>
  </si>
  <si>
    <t>遠藤</t>
    <phoneticPr fontId="4"/>
  </si>
  <si>
    <t>endou-uenoyama@vesta.ocn.ne.jp</t>
    <phoneticPr fontId="4"/>
  </si>
  <si>
    <t>共立建設 株式会社</t>
    <phoneticPr fontId="4"/>
  </si>
  <si>
    <t>西原</t>
    <phoneticPr fontId="4"/>
  </si>
  <si>
    <t>knishihara@kyoritsu-con.co.jp</t>
    <phoneticPr fontId="4"/>
  </si>
  <si>
    <t>藤間 義勝</t>
    <phoneticPr fontId="4"/>
  </si>
  <si>
    <t>03-4416-6583</t>
    <phoneticPr fontId="4"/>
  </si>
  <si>
    <t>東京都中央区晴海1丁目８番11号 トリトンスクエアオフィスタワー　Ｙ10Ｆ</t>
    <phoneticPr fontId="4"/>
  </si>
  <si>
    <t>fujima-ysk@sumikin-sysken.co.jp</t>
    <phoneticPr fontId="4"/>
  </si>
  <si>
    <t>島田 大輔</t>
    <phoneticPr fontId="4"/>
  </si>
  <si>
    <t>03-3357-4694</t>
    <phoneticPr fontId="4"/>
  </si>
  <si>
    <t>東京都新宿区四谷1-4 綿半野原ビル2F</t>
    <phoneticPr fontId="4"/>
  </si>
  <si>
    <t>d-shimada@tecnos-web.co.jp</t>
    <phoneticPr fontId="4"/>
  </si>
  <si>
    <t>山下 賢一</t>
    <phoneticPr fontId="4"/>
  </si>
  <si>
    <t>0297-52-8380</t>
    <phoneticPr fontId="4"/>
  </si>
  <si>
    <t>茨城県つくばみらい市成瀬145-2</t>
    <phoneticPr fontId="4"/>
  </si>
  <si>
    <t>mizu_arch75@chime.ocn.ne.jp</t>
    <phoneticPr fontId="4"/>
  </si>
  <si>
    <t>入川 英二</t>
    <phoneticPr fontId="4"/>
  </si>
  <si>
    <t>03-3864-5845</t>
    <phoneticPr fontId="4"/>
  </si>
  <si>
    <t>e-irikawa@jfe-civil.com</t>
    <phoneticPr fontId="4"/>
  </si>
  <si>
    <t>山田</t>
    <phoneticPr fontId="4"/>
  </si>
  <si>
    <t>ym@yamada-design.co.jp</t>
    <phoneticPr fontId="4"/>
  </si>
  <si>
    <t>株式会社 ADブレイン</t>
    <phoneticPr fontId="4"/>
  </si>
  <si>
    <t>額谷 浩史</t>
    <phoneticPr fontId="4"/>
  </si>
  <si>
    <t>06-6578-0400</t>
    <phoneticPr fontId="4"/>
  </si>
  <si>
    <t>東京都中央区日本橋茅場町2-4-9　5階</t>
    <phoneticPr fontId="4"/>
  </si>
  <si>
    <t>nukatani-h@ad-b.co.jp</t>
    <phoneticPr fontId="4"/>
  </si>
  <si>
    <t>株式会社 建築企画</t>
    <phoneticPr fontId="4"/>
  </si>
  <si>
    <t>三浦</t>
    <phoneticPr fontId="4"/>
  </si>
  <si>
    <t>018-866-3387</t>
    <phoneticPr fontId="4"/>
  </si>
  <si>
    <t>k-kikaku@coral.broba.cc</t>
    <phoneticPr fontId="4"/>
  </si>
  <si>
    <t>井上</t>
    <phoneticPr fontId="4"/>
  </si>
  <si>
    <t>092-414-2265</t>
    <phoneticPr fontId="4"/>
  </si>
  <si>
    <t>k.inoue@o-taka.com</t>
    <phoneticPr fontId="4"/>
  </si>
  <si>
    <t>BUS建築設計事務所</t>
    <phoneticPr fontId="4"/>
  </si>
  <si>
    <t>株式会社 アルファ・ネットコンサルティング＆デザイン</t>
    <phoneticPr fontId="4"/>
  </si>
  <si>
    <t>能勢 和彦</t>
    <phoneticPr fontId="4"/>
  </si>
  <si>
    <t>06-6441-5331</t>
    <phoneticPr fontId="4"/>
  </si>
  <si>
    <t>nose@ang.co.jp</t>
    <phoneticPr fontId="4"/>
  </si>
  <si>
    <t>有限会社 優建築工房</t>
    <phoneticPr fontId="4"/>
  </si>
  <si>
    <t>大崎 晃靖</t>
    <phoneticPr fontId="4"/>
  </si>
  <si>
    <t>0743-65-2340</t>
    <phoneticPr fontId="4"/>
  </si>
  <si>
    <t>奈良県天理市櫟本町2783-41</t>
    <phoneticPr fontId="4"/>
  </si>
  <si>
    <t>maru-so.2500@nifty.com</t>
    <phoneticPr fontId="4"/>
  </si>
  <si>
    <t>藤原 浩幸</t>
    <phoneticPr fontId="4"/>
  </si>
  <si>
    <t>084-932-6282</t>
    <phoneticPr fontId="4"/>
  </si>
  <si>
    <t>広島県福山市東深津町３丁目１９－５</t>
    <phoneticPr fontId="4"/>
  </si>
  <si>
    <t>ki-arc3@lime.ocn.ne.jp</t>
    <phoneticPr fontId="4"/>
  </si>
  <si>
    <t>赤川 博昭</t>
    <phoneticPr fontId="4"/>
  </si>
  <si>
    <t>akagawa@jrw-built.co.jp</t>
    <phoneticPr fontId="4"/>
  </si>
  <si>
    <t>中嶋</t>
    <phoneticPr fontId="4"/>
  </si>
  <si>
    <t>0568-75-5115</t>
    <phoneticPr fontId="4"/>
  </si>
  <si>
    <t>愛知県小牧市小木東2-180</t>
    <phoneticPr fontId="4"/>
  </si>
  <si>
    <t>nakasima@gol.com</t>
    <phoneticPr fontId="4"/>
  </si>
  <si>
    <t>石山</t>
    <phoneticPr fontId="4"/>
  </si>
  <si>
    <t>023-624-1133</t>
    <phoneticPr fontId="4"/>
  </si>
  <si>
    <t>t-ishiyama@nagaisekkei.co.jp</t>
    <phoneticPr fontId="4"/>
  </si>
  <si>
    <t>上野山 有一</t>
    <phoneticPr fontId="4"/>
  </si>
  <si>
    <t>yuichi-uenoyama@tea.ocn.ne.jp</t>
    <phoneticPr fontId="4"/>
  </si>
  <si>
    <t>油上 隆三</t>
    <phoneticPr fontId="4"/>
  </si>
  <si>
    <t>06-6354-6145</t>
    <phoneticPr fontId="4"/>
  </si>
  <si>
    <t>yugamiryuzo@ya2.so-net.ne.jp</t>
    <phoneticPr fontId="4"/>
  </si>
  <si>
    <t>maru-so.2500@nifty.com</t>
    <phoneticPr fontId="4"/>
  </si>
  <si>
    <t>06-6541-3768</t>
    <phoneticPr fontId="4"/>
  </si>
  <si>
    <t>株式会社 國分建築事務所</t>
    <phoneticPr fontId="4"/>
  </si>
  <si>
    <t>カブシキガイシャ コクブンケンチクジムショ</t>
    <phoneticPr fontId="4"/>
  </si>
  <si>
    <t>森ノ宮駅</t>
    <rPh sb="0" eb="1">
      <t>モリ</t>
    </rPh>
    <rPh sb="2" eb="3">
      <t>ミヤ</t>
    </rPh>
    <rPh sb="3" eb="4">
      <t>エキ</t>
    </rPh>
    <phoneticPr fontId="4"/>
  </si>
  <si>
    <t>盛砂 直彦</t>
    <phoneticPr fontId="4"/>
  </si>
  <si>
    <t>06-6304-8651</t>
    <phoneticPr fontId="4"/>
  </si>
  <si>
    <t>morisuna@koken-archi.co.jp</t>
    <phoneticPr fontId="4"/>
  </si>
  <si>
    <t xml:space="preserve">   成果品</t>
    <rPh sb="3" eb="5">
      <t>セイカ</t>
    </rPh>
    <rPh sb="5" eb="6">
      <t>ヒン</t>
    </rPh>
    <phoneticPr fontId="4"/>
  </si>
  <si>
    <t>　 成果品</t>
    <rPh sb="2" eb="4">
      <t>セイカ</t>
    </rPh>
    <rPh sb="4" eb="5">
      <t>ヒン</t>
    </rPh>
    <phoneticPr fontId="4"/>
  </si>
  <si>
    <t>事前申請</t>
    <rPh sb="0" eb="2">
      <t>ジゼン</t>
    </rPh>
    <rPh sb="2" eb="4">
      <t>シンセイ</t>
    </rPh>
    <phoneticPr fontId="4"/>
  </si>
  <si>
    <t>申請</t>
    <rPh sb="0" eb="2">
      <t>シンセイ</t>
    </rPh>
    <phoneticPr fontId="4"/>
  </si>
  <si>
    <t>2</t>
    <phoneticPr fontId="4"/>
  </si>
  <si>
    <t>有限会社 ケイズクリエイツ</t>
    <phoneticPr fontId="4"/>
  </si>
  <si>
    <t>盛土</t>
    <rPh sb="0" eb="2">
      <t>モリド</t>
    </rPh>
    <phoneticPr fontId="4"/>
  </si>
  <si>
    <t>有機質土</t>
    <rPh sb="0" eb="3">
      <t>ユウキシツ</t>
    </rPh>
    <rPh sb="3" eb="4">
      <t>ド</t>
    </rPh>
    <phoneticPr fontId="4"/>
  </si>
  <si>
    <t>有機質土</t>
    <rPh sb="0" eb="4">
      <t>ユウキシツド</t>
    </rPh>
    <phoneticPr fontId="4"/>
  </si>
  <si>
    <t>2m</t>
    <phoneticPr fontId="4"/>
  </si>
  <si>
    <t>13m</t>
    <phoneticPr fontId="4"/>
  </si>
  <si>
    <t>6m</t>
    <phoneticPr fontId="4"/>
  </si>
  <si>
    <t>砂質ｼﾙﾄ</t>
    <rPh sb="0" eb="1">
      <t>スナ</t>
    </rPh>
    <rPh sb="1" eb="2">
      <t>シツ</t>
    </rPh>
    <phoneticPr fontId="4"/>
  </si>
  <si>
    <t>タオ
ホア</t>
    <phoneticPr fontId="4"/>
  </si>
  <si>
    <t>宮下</t>
    <phoneticPr fontId="4"/>
  </si>
  <si>
    <t>a-miyashita@sanyosekkei.co.jp</t>
    <phoneticPr fontId="4"/>
  </si>
  <si>
    <t>16.2
12.6</t>
    <phoneticPr fontId="4"/>
  </si>
  <si>
    <t>18.9
28.1</t>
    <phoneticPr fontId="4"/>
  </si>
  <si>
    <t>8.0
11.3</t>
    <phoneticPr fontId="4"/>
  </si>
  <si>
    <t>43.0
52.1</t>
    <phoneticPr fontId="4"/>
  </si>
  <si>
    <t>大阪府</t>
    <rPh sb="0" eb="3">
      <t>オオサカフ</t>
    </rPh>
    <phoneticPr fontId="4"/>
  </si>
  <si>
    <t>堺市</t>
    <rPh sb="0" eb="2">
      <t>サカイシ</t>
    </rPh>
    <phoneticPr fontId="4"/>
  </si>
  <si>
    <t>美原区黒山</t>
    <rPh sb="0" eb="1">
      <t>ウツク</t>
    </rPh>
    <rPh sb="1" eb="2">
      <t>ハラ</t>
    </rPh>
    <rPh sb="2" eb="3">
      <t>ク</t>
    </rPh>
    <rPh sb="3" eb="5">
      <t>クロヤマ</t>
    </rPh>
    <phoneticPr fontId="4"/>
  </si>
  <si>
    <t>日本建設 株式会社</t>
    <rPh sb="0" eb="2">
      <t>ニホン</t>
    </rPh>
    <rPh sb="2" eb="4">
      <t>ケンセツ</t>
    </rPh>
    <rPh sb="5" eb="7">
      <t>カブシキ</t>
    </rPh>
    <rPh sb="7" eb="9">
      <t>カイシャ</t>
    </rPh>
    <phoneticPr fontId="4"/>
  </si>
  <si>
    <t>柿田 卓也</t>
    <phoneticPr fontId="4"/>
  </si>
  <si>
    <t>06-6366-0241</t>
    <phoneticPr fontId="4"/>
  </si>
  <si>
    <t>kakita.takuya@aisekkei.co.jp</t>
    <phoneticPr fontId="4"/>
  </si>
  <si>
    <t>株式会社 あい設計</t>
    <rPh sb="0" eb="2">
      <t>カブシキ</t>
    </rPh>
    <rPh sb="2" eb="4">
      <t>カイシャ</t>
    </rPh>
    <rPh sb="7" eb="9">
      <t>セッケイ</t>
    </rPh>
    <phoneticPr fontId="4"/>
  </si>
  <si>
    <t xml:space="preserve"> 仮図</t>
    <rPh sb="1" eb="2">
      <t>カリ</t>
    </rPh>
    <rPh sb="2" eb="3">
      <t>ズ</t>
    </rPh>
    <phoneticPr fontId="4"/>
  </si>
  <si>
    <t>片井 幹也</t>
    <rPh sb="0" eb="2">
      <t>カタイ</t>
    </rPh>
    <rPh sb="3" eb="4">
      <t>ミキ</t>
    </rPh>
    <rPh sb="4" eb="5">
      <t>ヤ</t>
    </rPh>
    <phoneticPr fontId="4"/>
  </si>
  <si>
    <t>06-6226-0631</t>
    <phoneticPr fontId="4"/>
  </si>
  <si>
    <t>katai@nihonkensetsu.co.jp</t>
    <phoneticPr fontId="4"/>
  </si>
  <si>
    <t>ハローズ西条大町</t>
    <phoneticPr fontId="4"/>
  </si>
  <si>
    <t>花見川区大日町</t>
    <rPh sb="0" eb="2">
      <t>ハナミ</t>
    </rPh>
    <rPh sb="2" eb="3">
      <t>カワ</t>
    </rPh>
    <rPh sb="3" eb="4">
      <t>ク</t>
    </rPh>
    <rPh sb="4" eb="5">
      <t>オオ</t>
    </rPh>
    <rPh sb="5" eb="6">
      <t>ヒ</t>
    </rPh>
    <rPh sb="6" eb="7">
      <t>マチ</t>
    </rPh>
    <phoneticPr fontId="4"/>
  </si>
  <si>
    <t>-</t>
    <phoneticPr fontId="4"/>
  </si>
  <si>
    <t>-</t>
    <phoneticPr fontId="4"/>
  </si>
  <si>
    <t>1m</t>
    <phoneticPr fontId="4"/>
  </si>
  <si>
    <t>2m</t>
    <phoneticPr fontId="4"/>
  </si>
  <si>
    <t>ｼﾙﾄ質細砂</t>
    <rPh sb="3" eb="4">
      <t>シツ</t>
    </rPh>
    <rPh sb="4" eb="5">
      <t>サイ</t>
    </rPh>
    <rPh sb="5" eb="6">
      <t>スナ</t>
    </rPh>
    <phoneticPr fontId="4"/>
  </si>
  <si>
    <t>7m</t>
    <phoneticPr fontId="4"/>
  </si>
  <si>
    <t>砂混りｼﾙﾄ</t>
    <rPh sb="0" eb="1">
      <t>スナ</t>
    </rPh>
    <rPh sb="1" eb="2">
      <t>マ</t>
    </rPh>
    <phoneticPr fontId="4"/>
  </si>
  <si>
    <t>4m</t>
    <phoneticPr fontId="4"/>
  </si>
  <si>
    <t>有機質ｼﾙﾄ</t>
    <rPh sb="0" eb="3">
      <t>ユウキシツ</t>
    </rPh>
    <phoneticPr fontId="4"/>
  </si>
  <si>
    <t>山形県 庄内総合支庁</t>
    <phoneticPr fontId="4"/>
  </si>
  <si>
    <t>　申請</t>
    <rPh sb="1" eb="3">
      <t>シンセイ</t>
    </rPh>
    <phoneticPr fontId="4"/>
  </si>
  <si>
    <t>埋土(ｼﾙﾄ質砂)</t>
    <rPh sb="0" eb="1">
      <t>ウ</t>
    </rPh>
    <rPh sb="1" eb="2">
      <t>ド</t>
    </rPh>
    <rPh sb="6" eb="7">
      <t>シツ</t>
    </rPh>
    <rPh sb="7" eb="8">
      <t>スナ</t>
    </rPh>
    <phoneticPr fontId="4"/>
  </si>
  <si>
    <t>埋土(礫混じり粘土)</t>
    <rPh sb="0" eb="1">
      <t>ウ</t>
    </rPh>
    <rPh sb="1" eb="2">
      <t>ド</t>
    </rPh>
    <rPh sb="3" eb="4">
      <t>レキ</t>
    </rPh>
    <rPh sb="4" eb="5">
      <t>マ</t>
    </rPh>
    <rPh sb="7" eb="9">
      <t>ネンド</t>
    </rPh>
    <phoneticPr fontId="4"/>
  </si>
  <si>
    <t>藤井産業 株式会社</t>
    <phoneticPr fontId="4"/>
  </si>
  <si>
    <t>藤井産業 株式会社</t>
    <phoneticPr fontId="4"/>
  </si>
  <si>
    <t>フジイサンギョウ カブシキガイシャ</t>
    <phoneticPr fontId="4"/>
  </si>
  <si>
    <t>022-711-6251</t>
    <phoneticPr fontId="4"/>
  </si>
  <si>
    <t>林 雅之</t>
    <phoneticPr fontId="4"/>
  </si>
  <si>
    <t>m.hayashi@hh.fujii.co.jp</t>
    <phoneticPr fontId="4"/>
  </si>
  <si>
    <t>佐野 良宏</t>
    <phoneticPr fontId="4"/>
  </si>
  <si>
    <t>024-554-3320</t>
    <phoneticPr fontId="4"/>
  </si>
  <si>
    <t>福島県福島市飯坂町平野字三枚長1-1</t>
    <phoneticPr fontId="4"/>
  </si>
  <si>
    <t>sano-yoshihiro@zennoh.or.jp</t>
    <phoneticPr fontId="4"/>
  </si>
  <si>
    <t>植松</t>
    <rPh sb="0" eb="2">
      <t>ウエマツ</t>
    </rPh>
    <phoneticPr fontId="4"/>
  </si>
  <si>
    <t>日本福祉設計 株式会社</t>
    <phoneticPr fontId="4"/>
  </si>
  <si>
    <t>ニホンフクシセッケイ カブシキガイシャ</t>
    <phoneticPr fontId="4"/>
  </si>
  <si>
    <t>VM美原南インター</t>
    <phoneticPr fontId="4"/>
  </si>
  <si>
    <t>3</t>
    <phoneticPr fontId="4"/>
  </si>
  <si>
    <t>株式会社 田中構造設計事務所</t>
    <phoneticPr fontId="4"/>
  </si>
  <si>
    <t>1-2</t>
    <phoneticPr fontId="4"/>
  </si>
  <si>
    <t>1.102
(M7.5)</t>
    <phoneticPr fontId="4"/>
  </si>
  <si>
    <t>工場・住宅</t>
    <rPh sb="0" eb="2">
      <t>コウジョウ</t>
    </rPh>
    <rPh sb="3" eb="5">
      <t>ジュウタク</t>
    </rPh>
    <phoneticPr fontId="4"/>
  </si>
  <si>
    <t>砂混じりｼﾙﾄ(有機物少量混入)</t>
    <rPh sb="0" eb="1">
      <t>スナ</t>
    </rPh>
    <rPh sb="1" eb="2">
      <t>マ</t>
    </rPh>
    <rPh sb="8" eb="11">
      <t>ユウキブツ</t>
    </rPh>
    <rPh sb="11" eb="13">
      <t>ショウリョウ</t>
    </rPh>
    <rPh sb="13" eb="15">
      <t>コンニュウ</t>
    </rPh>
    <phoneticPr fontId="4"/>
  </si>
  <si>
    <t>3m</t>
    <phoneticPr fontId="4"/>
  </si>
  <si>
    <t>ｼﾙﾄ</t>
    <phoneticPr fontId="4"/>
  </si>
  <si>
    <t>4m</t>
    <phoneticPr fontId="4"/>
  </si>
  <si>
    <t>ｼﾙﾄ</t>
    <phoneticPr fontId="4"/>
  </si>
  <si>
    <t>3m</t>
    <phoneticPr fontId="4"/>
  </si>
  <si>
    <t>礫混じりｼﾙﾄ質砂</t>
    <rPh sb="0" eb="1">
      <t>レキ</t>
    </rPh>
    <rPh sb="1" eb="2">
      <t>マ</t>
    </rPh>
    <rPh sb="7" eb="8">
      <t>シツ</t>
    </rPh>
    <rPh sb="8" eb="9">
      <t>スナ</t>
    </rPh>
    <phoneticPr fontId="4"/>
  </si>
  <si>
    <t>砂質ｼﾙﾄ</t>
    <rPh sb="0" eb="1">
      <t>スナ</t>
    </rPh>
    <rPh sb="1" eb="2">
      <t>シツ</t>
    </rPh>
    <phoneticPr fontId="4"/>
  </si>
  <si>
    <t>砂混りｼﾙﾄ</t>
    <rPh sb="0" eb="1">
      <t>スナ</t>
    </rPh>
    <rPh sb="1" eb="2">
      <t>コン</t>
    </rPh>
    <phoneticPr fontId="4"/>
  </si>
  <si>
    <t>080-1177-5116</t>
    <phoneticPr fontId="4"/>
  </si>
  <si>
    <t>宮城県</t>
    <rPh sb="0" eb="3">
      <t>ミヤギケン</t>
    </rPh>
    <phoneticPr fontId="4"/>
  </si>
  <si>
    <t>遠田郡</t>
    <phoneticPr fontId="4"/>
  </si>
  <si>
    <t>美里町関根新苗代江</t>
    <phoneticPr fontId="4"/>
  </si>
  <si>
    <t>工場</t>
    <rPh sb="0" eb="2">
      <t>コウジョウ</t>
    </rPh>
    <phoneticPr fontId="4"/>
  </si>
  <si>
    <t>生川建設 一級建築士事務所</t>
    <rPh sb="0" eb="2">
      <t>ナルカワ</t>
    </rPh>
    <rPh sb="2" eb="4">
      <t>ケンセツ</t>
    </rPh>
    <rPh sb="5" eb="7">
      <t>イッキュウ</t>
    </rPh>
    <rPh sb="7" eb="10">
      <t>ケンチクシ</t>
    </rPh>
    <rPh sb="10" eb="12">
      <t>ジム</t>
    </rPh>
    <rPh sb="12" eb="13">
      <t>ショ</t>
    </rPh>
    <phoneticPr fontId="4"/>
  </si>
  <si>
    <t>小林 正人</t>
    <phoneticPr fontId="4"/>
  </si>
  <si>
    <t>06-7670-0760</t>
    <phoneticPr fontId="4"/>
  </si>
  <si>
    <t>kobayash-mst@nst-sumisys.co.jp</t>
    <phoneticPr fontId="4"/>
  </si>
  <si>
    <t>加藤</t>
    <phoneticPr fontId="4"/>
  </si>
  <si>
    <t>kato-tomo@narukawa-kk.com</t>
    <phoneticPr fontId="4"/>
  </si>
  <si>
    <t>k.osa@nihon294.com</t>
    <phoneticPr fontId="4"/>
  </si>
  <si>
    <t>兵庫県</t>
    <rPh sb="0" eb="3">
      <t>ヒョウゴケン</t>
    </rPh>
    <phoneticPr fontId="4"/>
  </si>
  <si>
    <t>神戸市</t>
    <rPh sb="0" eb="3">
      <t>コウベシ</t>
    </rPh>
    <phoneticPr fontId="4"/>
  </si>
  <si>
    <t>着工</t>
    <rPh sb="0" eb="2">
      <t>チャッコウ</t>
    </rPh>
    <phoneticPr fontId="4"/>
  </si>
  <si>
    <t>株式会社 建築構造センター</t>
    <phoneticPr fontId="4"/>
  </si>
  <si>
    <t>株式会社 建築構造センター(本社)</t>
    <rPh sb="14" eb="16">
      <t>ホンシャ</t>
    </rPh>
    <phoneticPr fontId="4"/>
  </si>
  <si>
    <t>申請</t>
    <rPh sb="0" eb="2">
      <t>シンセイ</t>
    </rPh>
    <phoneticPr fontId="4"/>
  </si>
  <si>
    <t>福島県</t>
    <rPh sb="0" eb="3">
      <t>フクシマケン</t>
    </rPh>
    <phoneticPr fontId="4"/>
  </si>
  <si>
    <t>福島市</t>
    <rPh sb="0" eb="3">
      <t>フクシマシ</t>
    </rPh>
    <phoneticPr fontId="4"/>
  </si>
  <si>
    <t>北矢野目字下成田</t>
    <rPh sb="0" eb="1">
      <t>キタ</t>
    </rPh>
    <rPh sb="1" eb="3">
      <t>ヤノ</t>
    </rPh>
    <rPh sb="3" eb="4">
      <t>メ</t>
    </rPh>
    <rPh sb="4" eb="5">
      <t>ジ</t>
    </rPh>
    <rPh sb="5" eb="6">
      <t>シタ</t>
    </rPh>
    <rPh sb="6" eb="8">
      <t>ナリタ</t>
    </rPh>
    <phoneticPr fontId="4"/>
  </si>
  <si>
    <t>-</t>
    <phoneticPr fontId="4"/>
  </si>
  <si>
    <t>西</t>
    <rPh sb="0" eb="1">
      <t>ニシ</t>
    </rPh>
    <phoneticPr fontId="4"/>
  </si>
  <si>
    <t>本体棟・洗車場の2棟。水路、既存店舗近接。</t>
    <rPh sb="0" eb="2">
      <t>ホンタイ</t>
    </rPh>
    <rPh sb="2" eb="3">
      <t>トウ</t>
    </rPh>
    <rPh sb="4" eb="7">
      <t>センシャジョウ</t>
    </rPh>
    <rPh sb="9" eb="10">
      <t>トウ</t>
    </rPh>
    <rPh sb="11" eb="13">
      <t>スイロ</t>
    </rPh>
    <rPh sb="14" eb="16">
      <t>キソン</t>
    </rPh>
    <rPh sb="16" eb="18">
      <t>テンポ</t>
    </rPh>
    <rPh sb="18" eb="20">
      <t>キンセツ</t>
    </rPh>
    <phoneticPr fontId="4"/>
  </si>
  <si>
    <t>盛土</t>
    <rPh sb="0" eb="2">
      <t>モリド</t>
    </rPh>
    <phoneticPr fontId="4"/>
  </si>
  <si>
    <t>有機質ｼﾙﾄ</t>
    <rPh sb="0" eb="3">
      <t>ユウキシツ</t>
    </rPh>
    <phoneticPr fontId="4"/>
  </si>
  <si>
    <t>2m</t>
    <phoneticPr fontId="4"/>
  </si>
  <si>
    <t>3m</t>
    <phoneticPr fontId="4"/>
  </si>
  <si>
    <t>1m</t>
    <phoneticPr fontId="4"/>
  </si>
  <si>
    <t>粘土質ｼﾙﾄ</t>
    <rPh sb="0" eb="2">
      <t>ネンド</t>
    </rPh>
    <rPh sb="2" eb="3">
      <t>シツ</t>
    </rPh>
    <phoneticPr fontId="4"/>
  </si>
  <si>
    <t>堅展実業株式会社厚岸蒸留所製麦棟</t>
    <phoneticPr fontId="4"/>
  </si>
  <si>
    <t>-</t>
    <phoneticPr fontId="4"/>
  </si>
  <si>
    <t>-</t>
    <phoneticPr fontId="4"/>
  </si>
  <si>
    <t>弘前倉庫㈱五所川原倉庫増築３期</t>
    <rPh sb="0" eb="5">
      <t>ヒロサキソウコカブ</t>
    </rPh>
    <rPh sb="5" eb="9">
      <t>ゴショガワラ</t>
    </rPh>
    <rPh sb="9" eb="11">
      <t>ソウコ</t>
    </rPh>
    <rPh sb="11" eb="13">
      <t>ゾウチク</t>
    </rPh>
    <phoneticPr fontId="4"/>
  </si>
  <si>
    <t>株式会社 巴商会</t>
    <phoneticPr fontId="4"/>
  </si>
  <si>
    <t>カブシキガイシャ トモエショウカイ</t>
    <phoneticPr fontId="4"/>
  </si>
  <si>
    <t>ｼﾙﾄ</t>
    <phoneticPr fontId="4"/>
  </si>
  <si>
    <t>5m</t>
    <phoneticPr fontId="4"/>
  </si>
  <si>
    <t>-</t>
    <phoneticPr fontId="4"/>
  </si>
  <si>
    <t>-</t>
    <phoneticPr fontId="4"/>
  </si>
  <si>
    <t>1.098
M=7.5</t>
    <phoneticPr fontId="4"/>
  </si>
  <si>
    <t>2.2
200gal,M=7.5</t>
    <phoneticPr fontId="4"/>
  </si>
  <si>
    <t>JA全農福島 福島パッケージステーション</t>
    <phoneticPr fontId="4"/>
  </si>
  <si>
    <t>キョーユー(株)新工場棟</t>
    <rPh sb="5" eb="8">
      <t>カブ</t>
    </rPh>
    <rPh sb="8" eb="11">
      <t>シンコウジョウ</t>
    </rPh>
    <rPh sb="11" eb="12">
      <t>トウ</t>
    </rPh>
    <phoneticPr fontId="4"/>
  </si>
  <si>
    <t>三重県四日市市中浜田町１－１０</t>
    <phoneticPr fontId="4"/>
  </si>
  <si>
    <t>059-355-2310</t>
    <phoneticPr fontId="4"/>
  </si>
  <si>
    <t>宮田 雄斗</t>
    <phoneticPr fontId="4"/>
  </si>
  <si>
    <t>022-267-2987</t>
    <phoneticPr fontId="4"/>
  </si>
  <si>
    <t>yu.miyata@yokogawa-yess.co.jp</t>
    <phoneticPr fontId="4"/>
  </si>
  <si>
    <t>石川県金沢市浅野本町2丁目17-22</t>
    <phoneticPr fontId="4"/>
  </si>
  <si>
    <t>下風構造設計</t>
    <phoneticPr fontId="4"/>
  </si>
  <si>
    <t>島根県松江市殿町97</t>
    <rPh sb="0" eb="3">
      <t>シマネケン</t>
    </rPh>
    <rPh sb="3" eb="6">
      <t>マツエシ</t>
    </rPh>
    <rPh sb="6" eb="7">
      <t>トノ</t>
    </rPh>
    <rPh sb="7" eb="8">
      <t>マチ</t>
    </rPh>
    <phoneticPr fontId="4"/>
  </si>
  <si>
    <t>株式会社 タイト設計</t>
    <phoneticPr fontId="4"/>
  </si>
  <si>
    <t>011-213-7657</t>
    <phoneticPr fontId="4"/>
  </si>
  <si>
    <t>都市環境建築設計事務所</t>
    <phoneticPr fontId="4"/>
  </si>
  <si>
    <t>株式会社 染谷工務店</t>
    <phoneticPr fontId="4"/>
  </si>
  <si>
    <t>茨城県常総市水海道淵頭町2982</t>
    <phoneticPr fontId="4"/>
  </si>
  <si>
    <t>zoiz構造設計事務所</t>
    <phoneticPr fontId="4"/>
  </si>
  <si>
    <t>052-961-1177</t>
    <phoneticPr fontId="4"/>
  </si>
  <si>
    <t>東京都目黒区下目黒2－23－18</t>
    <phoneticPr fontId="4"/>
  </si>
  <si>
    <t>011-753-1133</t>
    <phoneticPr fontId="4"/>
  </si>
  <si>
    <t>株式会社 T&amp;N北海道設計事務所</t>
    <phoneticPr fontId="4"/>
  </si>
  <si>
    <t>大阪府寝屋川市高宮1-1-4 ﾗﾝﾄﾞﾌﾘｰﾀﾞﾑﾋﾞﾙ4F</t>
    <phoneticPr fontId="4"/>
  </si>
  <si>
    <t>072-800-8330</t>
    <phoneticPr fontId="4"/>
  </si>
  <si>
    <t>style Unit</t>
    <phoneticPr fontId="4"/>
  </si>
  <si>
    <t>沢建工業 株式会社</t>
    <phoneticPr fontId="4"/>
  </si>
  <si>
    <t>　 成果品</t>
    <rPh sb="2" eb="4">
      <t>セイカ</t>
    </rPh>
    <rPh sb="4" eb="5">
      <t>ヒン</t>
    </rPh>
    <phoneticPr fontId="4"/>
  </si>
  <si>
    <t>申請</t>
    <rPh sb="0" eb="2">
      <t>シンセイ</t>
    </rPh>
    <phoneticPr fontId="4"/>
  </si>
  <si>
    <t>Vdrug豊田東山</t>
    <rPh sb="5" eb="7">
      <t>トヨタ</t>
    </rPh>
    <rPh sb="7" eb="9">
      <t>ヒガシヤマ</t>
    </rPh>
    <phoneticPr fontId="4"/>
  </si>
  <si>
    <t>愛知県</t>
    <rPh sb="0" eb="3">
      <t>アイチケン</t>
    </rPh>
    <phoneticPr fontId="4"/>
  </si>
  <si>
    <t>豊田市</t>
    <rPh sb="0" eb="2">
      <t>トヨタ</t>
    </rPh>
    <rPh sb="2" eb="3">
      <t>シ</t>
    </rPh>
    <phoneticPr fontId="4"/>
  </si>
  <si>
    <t>渋谷町</t>
    <rPh sb="0" eb="2">
      <t>シブタニ</t>
    </rPh>
    <rPh sb="2" eb="3">
      <t>マチ</t>
    </rPh>
    <phoneticPr fontId="4"/>
  </si>
  <si>
    <t>10.2
13.0</t>
    <phoneticPr fontId="4"/>
  </si>
  <si>
    <t>15.8
28.9</t>
    <phoneticPr fontId="4"/>
  </si>
  <si>
    <t>15.8
36.3</t>
    <phoneticPr fontId="4"/>
  </si>
  <si>
    <t>41.8
78.2</t>
    <phoneticPr fontId="4"/>
  </si>
  <si>
    <t>宮城県</t>
    <rPh sb="0" eb="3">
      <t>ミヤギケン</t>
    </rPh>
    <phoneticPr fontId="4"/>
  </si>
  <si>
    <t>石巻市</t>
    <rPh sb="0" eb="3">
      <t>イシノマキシ</t>
    </rPh>
    <phoneticPr fontId="4"/>
  </si>
  <si>
    <t>門脇字</t>
    <rPh sb="0" eb="1">
      <t>モン</t>
    </rPh>
    <rPh sb="1" eb="2">
      <t>ワキ</t>
    </rPh>
    <rPh sb="2" eb="3">
      <t>アザ</t>
    </rPh>
    <phoneticPr fontId="4"/>
  </si>
  <si>
    <t>03-6866-1287</t>
    <phoneticPr fontId="4"/>
  </si>
  <si>
    <t>東京都港区芝1-5-9　住友不動産芝ビル２号館　3階</t>
    <phoneticPr fontId="4"/>
  </si>
  <si>
    <t>鈴木 正伸</t>
    <phoneticPr fontId="4"/>
  </si>
  <si>
    <t>suzuki-msn@nst-sumisys.co.jp</t>
    <phoneticPr fontId="4"/>
  </si>
  <si>
    <t>9月竣工</t>
    <rPh sb="1" eb="2">
      <t>ガツ</t>
    </rPh>
    <rPh sb="2" eb="4">
      <t>シュンコウ</t>
    </rPh>
    <phoneticPr fontId="4"/>
  </si>
  <si>
    <t>着工</t>
    <rPh sb="0" eb="2">
      <t>チャッコウ</t>
    </rPh>
    <phoneticPr fontId="4"/>
  </si>
  <si>
    <t>○</t>
    <phoneticPr fontId="4"/>
  </si>
  <si>
    <t>5m</t>
    <phoneticPr fontId="4"/>
  </si>
  <si>
    <t>ｼﾙﾄ質砂</t>
    <rPh sb="3" eb="4">
      <t>シツ</t>
    </rPh>
    <rPh sb="4" eb="5">
      <t>スナ</t>
    </rPh>
    <phoneticPr fontId="4"/>
  </si>
  <si>
    <t>3m</t>
    <phoneticPr fontId="4"/>
  </si>
  <si>
    <t>礫混じり砂</t>
    <rPh sb="0" eb="1">
      <t>レキ</t>
    </rPh>
    <rPh sb="1" eb="2">
      <t>マ</t>
    </rPh>
    <rPh sb="4" eb="5">
      <t>スナ</t>
    </rPh>
    <phoneticPr fontId="4"/>
  </si>
  <si>
    <t>株式会社 蔵建築設計事務所</t>
    <phoneticPr fontId="4"/>
  </si>
  <si>
    <t>高村典男</t>
    <phoneticPr fontId="4"/>
  </si>
  <si>
    <t>022-291-2561</t>
    <phoneticPr fontId="4"/>
  </si>
  <si>
    <t>takamura@kurasekkei.co.jp</t>
    <phoneticPr fontId="4"/>
  </si>
  <si>
    <t>日東工営 株式会社</t>
    <phoneticPr fontId="4"/>
  </si>
  <si>
    <t>日下 貴</t>
    <phoneticPr fontId="4"/>
  </si>
  <si>
    <t>t.kusaka@nittohkoei.co.jp</t>
    <phoneticPr fontId="4"/>
  </si>
  <si>
    <t>022-266-3411</t>
    <phoneticPr fontId="4"/>
  </si>
  <si>
    <t>茨城県</t>
    <phoneticPr fontId="4"/>
  </si>
  <si>
    <t>小美玉市</t>
    <phoneticPr fontId="4"/>
  </si>
  <si>
    <t>花野井字中丸</t>
    <phoneticPr fontId="4"/>
  </si>
  <si>
    <t>A-1</t>
    <phoneticPr fontId="4"/>
  </si>
  <si>
    <t>礫ｼﾙﾄ混り砂</t>
    <rPh sb="0" eb="1">
      <t>レキ</t>
    </rPh>
    <rPh sb="4" eb="5">
      <t>マ</t>
    </rPh>
    <rPh sb="6" eb="7">
      <t>スナ</t>
    </rPh>
    <phoneticPr fontId="4"/>
  </si>
  <si>
    <t>5m</t>
    <phoneticPr fontId="4"/>
  </si>
  <si>
    <t>砂質ｼﾙﾄ</t>
    <rPh sb="0" eb="1">
      <t>スナ</t>
    </rPh>
    <rPh sb="1" eb="2">
      <t>シツ</t>
    </rPh>
    <phoneticPr fontId="4"/>
  </si>
  <si>
    <t>3m</t>
    <phoneticPr fontId="4"/>
  </si>
  <si>
    <t>礫混じり砂</t>
    <rPh sb="0" eb="1">
      <t>レキ</t>
    </rPh>
    <rPh sb="1" eb="2">
      <t>マ</t>
    </rPh>
    <rPh sb="4" eb="5">
      <t>スナ</t>
    </rPh>
    <phoneticPr fontId="4"/>
  </si>
  <si>
    <t>工場</t>
    <rPh sb="0" eb="2">
      <t>コウジョウ</t>
    </rPh>
    <phoneticPr fontId="4"/>
  </si>
  <si>
    <t>ユイ
尾川</t>
    <rPh sb="3" eb="5">
      <t>オガワ</t>
    </rPh>
    <phoneticPr fontId="4"/>
  </si>
  <si>
    <t>カイトアーキテクツ</t>
    <phoneticPr fontId="4"/>
  </si>
  <si>
    <t>株式会社 アークステーション</t>
    <phoneticPr fontId="4"/>
  </si>
  <si>
    <t>静岡県富士市厚原1516-4</t>
    <rPh sb="3" eb="6">
      <t>フジシ</t>
    </rPh>
    <rPh sb="6" eb="7">
      <t>アツ</t>
    </rPh>
    <rPh sb="7" eb="8">
      <t>ハラ</t>
    </rPh>
    <phoneticPr fontId="4"/>
  </si>
  <si>
    <t>青森県青森市花園一丁目6-11</t>
    <rPh sb="0" eb="3">
      <t>アオモリケン</t>
    </rPh>
    <phoneticPr fontId="4"/>
  </si>
  <si>
    <t>017-741-6497</t>
    <phoneticPr fontId="4"/>
  </si>
  <si>
    <t>株式会社 キャドウイング</t>
    <phoneticPr fontId="4"/>
  </si>
  <si>
    <t>株式会社 中央建築設計舎</t>
    <phoneticPr fontId="4"/>
  </si>
  <si>
    <t>田口 勝彦</t>
    <rPh sb="3" eb="4">
      <t>カツ</t>
    </rPh>
    <rPh sb="4" eb="5">
      <t>ヒコ</t>
    </rPh>
    <phoneticPr fontId="4"/>
  </si>
  <si>
    <t>082-942-1255</t>
    <phoneticPr fontId="4"/>
  </si>
  <si>
    <t>コンパス一級建築士事務所</t>
    <phoneticPr fontId="4"/>
  </si>
  <si>
    <t>ATELIER nero</t>
    <phoneticPr fontId="4"/>
  </si>
  <si>
    <t>東京都新宿区高田馬場2-13-8松村ビル2階</t>
    <phoneticPr fontId="4"/>
  </si>
  <si>
    <t>一級建築士事務所 秋山立花</t>
    <phoneticPr fontId="4"/>
  </si>
  <si>
    <t>東京都品川区東五反田5丁目10番8号　大建設計東京ビル</t>
    <phoneticPr fontId="4"/>
  </si>
  <si>
    <t>鈴木徹建築設計室</t>
    <phoneticPr fontId="4"/>
  </si>
  <si>
    <t>LOW FAT strucure</t>
    <phoneticPr fontId="4"/>
  </si>
  <si>
    <t>津田 隆夫</t>
    <rPh sb="0" eb="2">
      <t>ツダ</t>
    </rPh>
    <rPh sb="3" eb="5">
      <t>タカオ</t>
    </rPh>
    <phoneticPr fontId="4"/>
  </si>
  <si>
    <t>084-953-5850</t>
    <phoneticPr fontId="4"/>
  </si>
  <si>
    <t>広島県福山市曙町3-23-14</t>
    <rPh sb="0" eb="3">
      <t>ヒロシマケン</t>
    </rPh>
    <rPh sb="3" eb="6">
      <t>フクヤマシ</t>
    </rPh>
    <rPh sb="6" eb="8">
      <t>アケボノチョウ</t>
    </rPh>
    <phoneticPr fontId="4"/>
  </si>
  <si>
    <t>中村 哲夫</t>
    <rPh sb="0" eb="2">
      <t>ナカムラ</t>
    </rPh>
    <rPh sb="3" eb="4">
      <t>テツ</t>
    </rPh>
    <rPh sb="4" eb="5">
      <t>オット</t>
    </rPh>
    <phoneticPr fontId="4"/>
  </si>
  <si>
    <t>084-925-2711</t>
    <phoneticPr fontId="4"/>
  </si>
  <si>
    <t>広島県福山市南本庄2-5-35</t>
    <rPh sb="0" eb="3">
      <t>ヒロシマケン</t>
    </rPh>
    <rPh sb="3" eb="6">
      <t>フクヤマシ</t>
    </rPh>
    <rPh sb="6" eb="7">
      <t>ミナミ</t>
    </rPh>
    <rPh sb="7" eb="9">
      <t>ホンジョウ</t>
    </rPh>
    <phoneticPr fontId="4"/>
  </si>
  <si>
    <t>ntm@wine.plala.or.jp</t>
    <phoneticPr fontId="4"/>
  </si>
  <si>
    <t>A1プランニング 株式会社</t>
    <phoneticPr fontId="4"/>
  </si>
  <si>
    <t>さくら建築設計 株式会社</t>
    <phoneticPr fontId="4"/>
  </si>
  <si>
    <t>hayano-uenoyama@vesta.ocn.ne.jp</t>
    <phoneticPr fontId="4"/>
  </si>
  <si>
    <t>054-272-7855</t>
    <phoneticPr fontId="4"/>
  </si>
  <si>
    <t>静岡県静岡市駿河区下島132-2</t>
    <rPh sb="6" eb="9">
      <t>スルガク</t>
    </rPh>
    <rPh sb="9" eb="10">
      <t>シタ</t>
    </rPh>
    <rPh sb="10" eb="11">
      <t>シマ</t>
    </rPh>
    <phoneticPr fontId="4"/>
  </si>
  <si>
    <t>長 紀代美</t>
    <phoneticPr fontId="4"/>
  </si>
  <si>
    <t>戸田浩平建築設計事務所</t>
    <phoneticPr fontId="4"/>
  </si>
  <si>
    <t>トダコウヘイケンチクセッケイジムショ</t>
    <phoneticPr fontId="4"/>
  </si>
  <si>
    <t>toda_tkaa@jcom.zaq.ne.jp</t>
    <phoneticPr fontId="4"/>
  </si>
  <si>
    <t>戸田</t>
    <phoneticPr fontId="4"/>
  </si>
  <si>
    <t>九州建設 株式会社</t>
    <rPh sb="5" eb="7">
      <t>カブシキ</t>
    </rPh>
    <rPh sb="7" eb="9">
      <t>カイシャ</t>
    </rPh>
    <phoneticPr fontId="4"/>
  </si>
  <si>
    <t>九州建設 株式会社</t>
    <phoneticPr fontId="4"/>
  </si>
  <si>
    <t>キュウシュウケンセツ カブシキガイシャ</t>
    <phoneticPr fontId="4"/>
  </si>
  <si>
    <t>熊本県</t>
    <phoneticPr fontId="4"/>
  </si>
  <si>
    <t>熊本市</t>
    <phoneticPr fontId="4"/>
  </si>
  <si>
    <t>南区南高江1丁目2番30号</t>
    <phoneticPr fontId="4"/>
  </si>
  <si>
    <t>近藤
フィ</t>
    <rPh sb="0" eb="2">
      <t>コンドウ</t>
    </rPh>
    <phoneticPr fontId="4"/>
  </si>
  <si>
    <t>宮城県</t>
    <rPh sb="0" eb="3">
      <t>ミヤギケン</t>
    </rPh>
    <phoneticPr fontId="4"/>
  </si>
  <si>
    <t xml:space="preserve">    見積図</t>
    <rPh sb="4" eb="6">
      <t>ミツ</t>
    </rPh>
    <rPh sb="6" eb="7">
      <t>ズ</t>
    </rPh>
    <phoneticPr fontId="4"/>
  </si>
  <si>
    <t>岩手県</t>
    <rPh sb="0" eb="3">
      <t>イワテケン</t>
    </rPh>
    <phoneticPr fontId="4"/>
  </si>
  <si>
    <t>上閉伊郡</t>
    <rPh sb="0" eb="1">
      <t>ウエ</t>
    </rPh>
    <rPh sb="1" eb="2">
      <t>シ</t>
    </rPh>
    <rPh sb="2" eb="3">
      <t>イ</t>
    </rPh>
    <rPh sb="3" eb="4">
      <t>グン</t>
    </rPh>
    <phoneticPr fontId="4"/>
  </si>
  <si>
    <t>大槌町</t>
    <rPh sb="0" eb="2">
      <t>オオツチ</t>
    </rPh>
    <rPh sb="2" eb="3">
      <t>マチ</t>
    </rPh>
    <phoneticPr fontId="4"/>
  </si>
  <si>
    <t xml:space="preserve"> 申請</t>
    <rPh sb="1" eb="3">
      <t>シンセイ</t>
    </rPh>
    <phoneticPr fontId="4"/>
  </si>
  <si>
    <t>設計済</t>
    <rPh sb="0" eb="2">
      <t>セッケイ</t>
    </rPh>
    <rPh sb="2" eb="3">
      <t>スミ</t>
    </rPh>
    <phoneticPr fontId="4"/>
  </si>
  <si>
    <t>福岡県</t>
    <rPh sb="0" eb="3">
      <t>フクオカケン</t>
    </rPh>
    <phoneticPr fontId="4"/>
  </si>
  <si>
    <t>北九州市</t>
    <rPh sb="0" eb="1">
      <t>キタ</t>
    </rPh>
    <rPh sb="1" eb="3">
      <t>キュウシュウ</t>
    </rPh>
    <rPh sb="3" eb="4">
      <t>シ</t>
    </rPh>
    <phoneticPr fontId="4"/>
  </si>
  <si>
    <t>若松区藤ノ木</t>
    <rPh sb="0" eb="2">
      <t>ワカマツ</t>
    </rPh>
    <rPh sb="2" eb="3">
      <t>ク</t>
    </rPh>
    <rPh sb="3" eb="4">
      <t>フジ</t>
    </rPh>
    <rPh sb="5" eb="6">
      <t>キ</t>
    </rPh>
    <phoneticPr fontId="4"/>
  </si>
  <si>
    <t>TNF</t>
    <phoneticPr fontId="4"/>
  </si>
  <si>
    <t>事務所</t>
    <phoneticPr fontId="4"/>
  </si>
  <si>
    <t>3棟</t>
    <rPh sb="1" eb="2">
      <t>トウ</t>
    </rPh>
    <phoneticPr fontId="4"/>
  </si>
  <si>
    <t>平屋建,2F建</t>
    <rPh sb="0" eb="2">
      <t>ヒラヤ</t>
    </rPh>
    <rPh sb="2" eb="3">
      <t>タ</t>
    </rPh>
    <rPh sb="6" eb="7">
      <t>タ</t>
    </rPh>
    <phoneticPr fontId="4"/>
  </si>
  <si>
    <t>ウット
ﾏｲｱｲﾝ</t>
    <phoneticPr fontId="4"/>
  </si>
  <si>
    <t>村上
ﾏｲｱｲﾝ</t>
    <rPh sb="0" eb="2">
      <t>ムラカミ</t>
    </rPh>
    <phoneticPr fontId="4"/>
  </si>
  <si>
    <t>タオ
フィ</t>
    <phoneticPr fontId="4"/>
  </si>
  <si>
    <t>村上
(外注)</t>
    <rPh sb="0" eb="2">
      <t>ムラカミ</t>
    </rPh>
    <rPh sb="4" eb="6">
      <t>ガイチュウ</t>
    </rPh>
    <phoneticPr fontId="4"/>
  </si>
  <si>
    <t>株式会社 増岡組</t>
    <rPh sb="0" eb="2">
      <t>カブシキ</t>
    </rPh>
    <rPh sb="2" eb="4">
      <t>カイシャ</t>
    </rPh>
    <rPh sb="5" eb="7">
      <t>マスオカ</t>
    </rPh>
    <rPh sb="7" eb="8">
      <t>クミ</t>
    </rPh>
    <phoneticPr fontId="4"/>
  </si>
  <si>
    <t>ツルハドラッグ大槌</t>
    <phoneticPr fontId="4"/>
  </si>
  <si>
    <t>熊本スバル自動車 本社</t>
    <phoneticPr fontId="4"/>
  </si>
  <si>
    <t>川口町</t>
    <rPh sb="0" eb="2">
      <t>カワグチ</t>
    </rPh>
    <rPh sb="2" eb="3">
      <t>マチ</t>
    </rPh>
    <phoneticPr fontId="4"/>
  </si>
  <si>
    <t>着工</t>
    <rPh sb="0" eb="2">
      <t>チャッコウ</t>
    </rPh>
    <phoneticPr fontId="4"/>
  </si>
  <si>
    <t>鴻池運輸</t>
    <phoneticPr fontId="4"/>
  </si>
  <si>
    <t>株式会社 シー・エフ・コンサルタント</t>
    <phoneticPr fontId="4"/>
  </si>
  <si>
    <t>株式会社 シー・エフ・コンサルタント</t>
    <phoneticPr fontId="4"/>
  </si>
  <si>
    <t>カブシキガイシャ シー・エフ・コンサルタント</t>
    <phoneticPr fontId="4"/>
  </si>
  <si>
    <t>011-211-0045</t>
    <phoneticPr fontId="4"/>
  </si>
  <si>
    <t>平塚 雅昭</t>
    <phoneticPr fontId="4"/>
  </si>
  <si>
    <t xml:space="preserve">hiratsuka@aipg.jp </t>
    <phoneticPr fontId="4"/>
  </si>
  <si>
    <t>株式会社 ア・ド建築工房</t>
    <rPh sb="0" eb="4">
      <t>カブシキカイシャ</t>
    </rPh>
    <phoneticPr fontId="4"/>
  </si>
  <si>
    <t>松元</t>
    <phoneticPr fontId="4"/>
  </si>
  <si>
    <t xml:space="preserve">ado@ado-kenchiku.com  </t>
    <phoneticPr fontId="4"/>
  </si>
  <si>
    <t>北海道</t>
    <rPh sb="0" eb="3">
      <t>ホッカイドウ</t>
    </rPh>
    <phoneticPr fontId="4"/>
  </si>
  <si>
    <t>岩見沢市</t>
    <rPh sb="0" eb="3">
      <t>イワミザワ</t>
    </rPh>
    <rPh sb="3" eb="4">
      <t>シ</t>
    </rPh>
    <phoneticPr fontId="4"/>
  </si>
  <si>
    <t>大和</t>
    <rPh sb="0" eb="2">
      <t>ダイワ</t>
    </rPh>
    <phoneticPr fontId="4"/>
  </si>
  <si>
    <t>山名</t>
    <rPh sb="0" eb="2">
      <t>ヤマナ</t>
    </rPh>
    <phoneticPr fontId="4"/>
  </si>
  <si>
    <t>着工</t>
    <rPh sb="0" eb="2">
      <t>チャッコウ</t>
    </rPh>
    <phoneticPr fontId="4"/>
  </si>
  <si>
    <t>3</t>
    <phoneticPr fontId="4"/>
  </si>
  <si>
    <t>ｼﾙﾄ</t>
    <phoneticPr fontId="4"/>
  </si>
  <si>
    <t>有機質ｼﾙﾄ</t>
    <rPh sb="0" eb="3">
      <t>ユウキシツ</t>
    </rPh>
    <phoneticPr fontId="4"/>
  </si>
  <si>
    <t>ｼﾙﾄ</t>
    <phoneticPr fontId="4"/>
  </si>
  <si>
    <t>2m</t>
    <phoneticPr fontId="4"/>
  </si>
  <si>
    <t>5m</t>
    <phoneticPr fontId="4"/>
  </si>
  <si>
    <t>ｼﾙﾄ</t>
    <phoneticPr fontId="4"/>
  </si>
  <si>
    <t>6m</t>
    <phoneticPr fontId="4"/>
  </si>
  <si>
    <t>住宅・畑</t>
    <rPh sb="0" eb="2">
      <t>ジュウタク</t>
    </rPh>
    <rPh sb="3" eb="4">
      <t>ハタケ</t>
    </rPh>
    <phoneticPr fontId="4"/>
  </si>
  <si>
    <t>将来増築予定あり。</t>
    <rPh sb="0" eb="2">
      <t>ショウライ</t>
    </rPh>
    <rPh sb="2" eb="4">
      <t>ゾウチク</t>
    </rPh>
    <rPh sb="4" eb="6">
      <t>ヨテイ</t>
    </rPh>
    <phoneticPr fontId="4"/>
  </si>
  <si>
    <t>○300,500(意匠事務所指示)</t>
    <rPh sb="9" eb="11">
      <t>イショウ</t>
    </rPh>
    <rPh sb="11" eb="13">
      <t>ジム</t>
    </rPh>
    <rPh sb="13" eb="14">
      <t>ショ</t>
    </rPh>
    <rPh sb="14" eb="16">
      <t>シジ</t>
    </rPh>
    <phoneticPr fontId="4"/>
  </si>
  <si>
    <t>株式会社 ア・ド建築工房</t>
    <phoneticPr fontId="4"/>
  </si>
  <si>
    <t>カブシキガイシャ ア・ドケンチクコウボウ</t>
    <phoneticPr fontId="4"/>
  </si>
  <si>
    <t>株式会社 サンプラス建築設計</t>
    <phoneticPr fontId="4"/>
  </si>
  <si>
    <t>株式会社 サンプラス建築設計</t>
    <phoneticPr fontId="4"/>
  </si>
  <si>
    <t>礫混じり粘土質ｼﾙﾄ</t>
    <rPh sb="0" eb="1">
      <t>レキ</t>
    </rPh>
    <rPh sb="1" eb="2">
      <t>マ</t>
    </rPh>
    <rPh sb="4" eb="6">
      <t>ネンド</t>
    </rPh>
    <rPh sb="6" eb="7">
      <t>シツ</t>
    </rPh>
    <phoneticPr fontId="4"/>
  </si>
  <si>
    <t>砂礫</t>
    <rPh sb="0" eb="2">
      <t>サレキ</t>
    </rPh>
    <phoneticPr fontId="4"/>
  </si>
  <si>
    <t>1m</t>
    <phoneticPr fontId="4"/>
  </si>
  <si>
    <t>住宅</t>
    <rPh sb="0" eb="2">
      <t>ジュウタク</t>
    </rPh>
    <phoneticPr fontId="4"/>
  </si>
  <si>
    <t>圧密層無し</t>
    <rPh sb="0" eb="2">
      <t>アツミツ</t>
    </rPh>
    <rPh sb="2" eb="3">
      <t>ソウ</t>
    </rPh>
    <rPh sb="3" eb="4">
      <t>ナ</t>
    </rPh>
    <phoneticPr fontId="4"/>
  </si>
  <si>
    <t>-</t>
    <phoneticPr fontId="4"/>
  </si>
  <si>
    <t>○250</t>
    <phoneticPr fontId="4"/>
  </si>
  <si>
    <t>東灘区深江浜町</t>
    <phoneticPr fontId="4"/>
  </si>
  <si>
    <t>埋立地。海に近い。敷地内事務所棟は別工法。既存建物近接。</t>
    <rPh sb="0" eb="2">
      <t>ウメタテ</t>
    </rPh>
    <rPh sb="2" eb="3">
      <t>チ</t>
    </rPh>
    <rPh sb="4" eb="5">
      <t>ウミ</t>
    </rPh>
    <rPh sb="6" eb="7">
      <t>チカ</t>
    </rPh>
    <rPh sb="9" eb="11">
      <t>シキチ</t>
    </rPh>
    <rPh sb="11" eb="12">
      <t>ナイ</t>
    </rPh>
    <rPh sb="12" eb="14">
      <t>ジム</t>
    </rPh>
    <rPh sb="14" eb="15">
      <t>ショ</t>
    </rPh>
    <rPh sb="15" eb="16">
      <t>トウ</t>
    </rPh>
    <rPh sb="17" eb="18">
      <t>ベツ</t>
    </rPh>
    <rPh sb="18" eb="20">
      <t>コウホウ</t>
    </rPh>
    <rPh sb="21" eb="23">
      <t>キソン</t>
    </rPh>
    <rPh sb="23" eb="25">
      <t>タテモノ</t>
    </rPh>
    <rPh sb="25" eb="27">
      <t>キンセツ</t>
    </rPh>
    <phoneticPr fontId="4"/>
  </si>
  <si>
    <t>ダイハツ北海道販売㈱岩見沢</t>
    <phoneticPr fontId="4"/>
  </si>
  <si>
    <t>ビューローベリタスジャパン株式会社</t>
    <phoneticPr fontId="4"/>
  </si>
  <si>
    <t>ＩＨＩ運搬機械 株式会社</t>
    <phoneticPr fontId="4"/>
  </si>
  <si>
    <t>ＩＨＩ運搬機械 株式会社</t>
    <phoneticPr fontId="4"/>
  </si>
  <si>
    <t>ＩＨIウンパンキカイ カブシキガイシャ</t>
    <phoneticPr fontId="4"/>
  </si>
  <si>
    <t>東京都中央区明石町8-1　聖路加タワー</t>
    <phoneticPr fontId="4"/>
  </si>
  <si>
    <t>aoshima8931@ihi-g.com</t>
    <phoneticPr fontId="4"/>
  </si>
  <si>
    <t>03-5550-5159</t>
    <phoneticPr fontId="4"/>
  </si>
  <si>
    <t>青島 裕也</t>
    <phoneticPr fontId="4"/>
  </si>
  <si>
    <t>群馬県</t>
    <phoneticPr fontId="4"/>
  </si>
  <si>
    <t>高崎市</t>
    <phoneticPr fontId="4"/>
  </si>
  <si>
    <t>柳川町</t>
    <phoneticPr fontId="4"/>
  </si>
  <si>
    <t>駐車場</t>
    <rPh sb="0" eb="3">
      <t>チュウシャジョウ</t>
    </rPh>
    <phoneticPr fontId="4"/>
  </si>
  <si>
    <t>着工</t>
    <rPh sb="0" eb="2">
      <t>チャッコウ</t>
    </rPh>
    <phoneticPr fontId="4"/>
  </si>
  <si>
    <t>　 積算図</t>
    <rPh sb="2" eb="4">
      <t>セキサン</t>
    </rPh>
    <rPh sb="4" eb="5">
      <t>ズ</t>
    </rPh>
    <phoneticPr fontId="4"/>
  </si>
  <si>
    <t>友納</t>
    <rPh sb="0" eb="2">
      <t>トモノウ</t>
    </rPh>
    <phoneticPr fontId="4"/>
  </si>
  <si>
    <t>食堂</t>
    <rPh sb="0" eb="2">
      <t>ショクドウ</t>
    </rPh>
    <phoneticPr fontId="4"/>
  </si>
  <si>
    <t>0438-98-1723</t>
    <phoneticPr fontId="4"/>
  </si>
  <si>
    <t>千葉県木更津市東太田４丁目１０－９</t>
    <phoneticPr fontId="4"/>
  </si>
  <si>
    <t>申請</t>
    <rPh sb="0" eb="2">
      <t>シンセイ</t>
    </rPh>
    <phoneticPr fontId="4"/>
  </si>
  <si>
    <t>2</t>
    <phoneticPr fontId="4"/>
  </si>
  <si>
    <t>横河システム建築 茂原工場 厚生棟</t>
    <phoneticPr fontId="4"/>
  </si>
  <si>
    <t>ｱｽﾗﾝ</t>
    <phoneticPr fontId="4"/>
  </si>
  <si>
    <t>ホテルグランビュー高崎 駐車場計画</t>
    <phoneticPr fontId="4"/>
  </si>
  <si>
    <t>実務案件TNF設計</t>
    <phoneticPr fontId="4"/>
  </si>
  <si>
    <t>3</t>
    <phoneticPr fontId="4"/>
  </si>
  <si>
    <t>バース棟、事務所棟、事務所棟の3棟</t>
    <rPh sb="3" eb="4">
      <t>トウ</t>
    </rPh>
    <rPh sb="5" eb="7">
      <t>ジム</t>
    </rPh>
    <rPh sb="7" eb="8">
      <t>ショ</t>
    </rPh>
    <rPh sb="8" eb="9">
      <t>トウ</t>
    </rPh>
    <rPh sb="10" eb="12">
      <t>ジム</t>
    </rPh>
    <rPh sb="12" eb="13">
      <t>ショ</t>
    </rPh>
    <rPh sb="13" eb="14">
      <t>トウ</t>
    </rPh>
    <rPh sb="16" eb="17">
      <t>トウ</t>
    </rPh>
    <phoneticPr fontId="4"/>
  </si>
  <si>
    <t>盛土</t>
    <rPh sb="0" eb="2">
      <t>モリド</t>
    </rPh>
    <phoneticPr fontId="4"/>
  </si>
  <si>
    <t>7m</t>
    <phoneticPr fontId="4"/>
  </si>
  <si>
    <t>11m</t>
    <phoneticPr fontId="4"/>
  </si>
  <si>
    <t>砂混じりｼﾙﾄ</t>
    <rPh sb="0" eb="1">
      <t>スナ</t>
    </rPh>
    <rPh sb="1" eb="2">
      <t>マ</t>
    </rPh>
    <phoneticPr fontId="4"/>
  </si>
  <si>
    <t>1m</t>
    <phoneticPr fontId="4"/>
  </si>
  <si>
    <t>中砂</t>
    <rPh sb="0" eb="1">
      <t>ナカ</t>
    </rPh>
    <rPh sb="1" eb="2">
      <t>スナ</t>
    </rPh>
    <phoneticPr fontId="4"/>
  </si>
  <si>
    <t>丸善運輸関西 株式会社 深江浜倉庫</t>
    <phoneticPr fontId="4"/>
  </si>
  <si>
    <t>石巻物流センター</t>
    <phoneticPr fontId="4"/>
  </si>
  <si>
    <t>農事組合法人和久楽MRC</t>
    <phoneticPr fontId="4"/>
  </si>
  <si>
    <t>9月中旬着工</t>
    <phoneticPr fontId="4"/>
  </si>
  <si>
    <t>設計変更</t>
    <rPh sb="0" eb="2">
      <t>セッケイ</t>
    </rPh>
    <rPh sb="2" eb="4">
      <t>ヘンコウ</t>
    </rPh>
    <phoneticPr fontId="4"/>
  </si>
  <si>
    <t>変更内容調整</t>
    <phoneticPr fontId="4"/>
  </si>
  <si>
    <t>○今週の新規案件  (    )内は受注日を示す。</t>
    <rPh sb="1" eb="3">
      <t>コンシュウ</t>
    </rPh>
    <rPh sb="4" eb="6">
      <t>シンキ</t>
    </rPh>
    <rPh sb="6" eb="8">
      <t>アンケン</t>
    </rPh>
    <rPh sb="16" eb="17">
      <t>ナイ</t>
    </rPh>
    <rPh sb="18" eb="20">
      <t>ジュチュウ</t>
    </rPh>
    <rPh sb="20" eb="21">
      <t>ヒ</t>
    </rPh>
    <rPh sb="22" eb="23">
      <t>シメ</t>
    </rPh>
    <phoneticPr fontId="4"/>
  </si>
  <si>
    <t>盛土</t>
    <rPh sb="0" eb="2">
      <t>モリド</t>
    </rPh>
    <phoneticPr fontId="4"/>
  </si>
  <si>
    <t>ｼﾙﾄ</t>
    <phoneticPr fontId="4"/>
  </si>
  <si>
    <t>1m</t>
    <phoneticPr fontId="4"/>
  </si>
  <si>
    <t>ｼﾙﾄ</t>
    <phoneticPr fontId="4"/>
  </si>
  <si>
    <t>14m</t>
    <phoneticPr fontId="4"/>
  </si>
  <si>
    <t>事務所、倉庫</t>
    <rPh sb="0" eb="2">
      <t>ジム</t>
    </rPh>
    <rPh sb="2" eb="3">
      <t>ショ</t>
    </rPh>
    <rPh sb="4" eb="6">
      <t>ソウコ</t>
    </rPh>
    <phoneticPr fontId="4"/>
  </si>
  <si>
    <t>株式会社 橋本店</t>
    <phoneticPr fontId="4"/>
  </si>
  <si>
    <t>株式会社 橋本店</t>
    <phoneticPr fontId="4"/>
  </si>
  <si>
    <t>カブシキガイシャ ハシモトテン</t>
    <phoneticPr fontId="4"/>
  </si>
  <si>
    <t>佐々木 美穂</t>
    <phoneticPr fontId="4"/>
  </si>
  <si>
    <t>022-352-0022</t>
    <phoneticPr fontId="4"/>
  </si>
  <si>
    <t>sasakimiho@kk-hashimoto.co.jp</t>
    <phoneticPr fontId="4"/>
  </si>
  <si>
    <t>盛土(ｼﾙﾄ混じり砂)</t>
    <rPh sb="0" eb="2">
      <t>モリド</t>
    </rPh>
    <rPh sb="6" eb="7">
      <t>マ</t>
    </rPh>
    <rPh sb="9" eb="10">
      <t>スナ</t>
    </rPh>
    <phoneticPr fontId="4"/>
  </si>
  <si>
    <t>細砂</t>
    <rPh sb="0" eb="1">
      <t>サイ</t>
    </rPh>
    <rPh sb="1" eb="2">
      <t>スナ</t>
    </rPh>
    <phoneticPr fontId="4"/>
  </si>
  <si>
    <t>6m</t>
    <phoneticPr fontId="4"/>
  </si>
  <si>
    <t>1m</t>
    <phoneticPr fontId="4"/>
  </si>
  <si>
    <t>細砂(有機物混入)</t>
    <rPh sb="0" eb="1">
      <t>サイ</t>
    </rPh>
    <rPh sb="1" eb="2">
      <t>スナ</t>
    </rPh>
    <rPh sb="3" eb="6">
      <t>ユウキブツ</t>
    </rPh>
    <rPh sb="6" eb="8">
      <t>コンニュウ</t>
    </rPh>
    <phoneticPr fontId="4"/>
  </si>
  <si>
    <t>3棟。海に近い</t>
    <rPh sb="1" eb="2">
      <t>トウ</t>
    </rPh>
    <rPh sb="3" eb="4">
      <t>ウミ</t>
    </rPh>
    <rPh sb="5" eb="6">
      <t>チカ</t>
    </rPh>
    <phoneticPr fontId="4"/>
  </si>
  <si>
    <t>財団法人 さいたま住宅検査センター</t>
    <phoneticPr fontId="4"/>
  </si>
  <si>
    <t>株式会社 慧設計事務所</t>
    <rPh sb="0" eb="4">
      <t>カブシキカイシャ</t>
    </rPh>
    <phoneticPr fontId="4"/>
  </si>
  <si>
    <t>株式会社 慧設計事務所</t>
    <phoneticPr fontId="4"/>
  </si>
  <si>
    <t>カブシキガイシャ ケイセッケイジムショ</t>
    <phoneticPr fontId="4"/>
  </si>
  <si>
    <t>山形県</t>
    <rPh sb="0" eb="3">
      <t>ヤマガタケン</t>
    </rPh>
    <phoneticPr fontId="4"/>
  </si>
  <si>
    <t>北村山郡</t>
    <rPh sb="0" eb="1">
      <t>キタ</t>
    </rPh>
    <rPh sb="1" eb="3">
      <t>ムラヤマ</t>
    </rPh>
    <rPh sb="3" eb="4">
      <t>グン</t>
    </rPh>
    <phoneticPr fontId="4"/>
  </si>
  <si>
    <t>大石田町木町</t>
    <rPh sb="0" eb="1">
      <t>オオ</t>
    </rPh>
    <rPh sb="1" eb="3">
      <t>イシダ</t>
    </rPh>
    <rPh sb="3" eb="4">
      <t>マチ</t>
    </rPh>
    <rPh sb="4" eb="6">
      <t>キマチ</t>
    </rPh>
    <phoneticPr fontId="4"/>
  </si>
  <si>
    <t>インターフェイス＆ 一級建築士事務所</t>
    <phoneticPr fontId="4"/>
  </si>
  <si>
    <t>インターフェイス＆ 一級建築士事務所</t>
    <phoneticPr fontId="4"/>
  </si>
  <si>
    <t>インターフェイス＆ イッキュウケンチクシジムショ</t>
    <phoneticPr fontId="4"/>
  </si>
  <si>
    <t>鈴木 忠</t>
    <phoneticPr fontId="4"/>
  </si>
  <si>
    <t>0545-73-1234</t>
    <phoneticPr fontId="4"/>
  </si>
  <si>
    <t>静岡県富士市厚原1968-3</t>
    <phoneticPr fontId="4"/>
  </si>
  <si>
    <t>tadashi@interface-jp.com</t>
    <phoneticPr fontId="4"/>
  </si>
  <si>
    <t>1.0,1.5</t>
    <phoneticPr fontId="4"/>
  </si>
  <si>
    <t>1.2,1.5</t>
    <phoneticPr fontId="4"/>
  </si>
  <si>
    <t>ダイユーエイト寺内</t>
    <phoneticPr fontId="4"/>
  </si>
  <si>
    <t>本道の街サービスセンター</t>
    <phoneticPr fontId="4"/>
  </si>
  <si>
    <t>2</t>
    <phoneticPr fontId="4"/>
  </si>
  <si>
    <t>沼津市</t>
    <phoneticPr fontId="4"/>
  </si>
  <si>
    <t>WRC造</t>
    <rPh sb="3" eb="4">
      <t>ゾウ</t>
    </rPh>
    <phoneticPr fontId="4"/>
  </si>
  <si>
    <t>3F建</t>
    <rPh sb="2" eb="3">
      <t>タ</t>
    </rPh>
    <phoneticPr fontId="4"/>
  </si>
  <si>
    <t xml:space="preserve"> 申請</t>
    <rPh sb="1" eb="3">
      <t>シンセイ</t>
    </rPh>
    <phoneticPr fontId="4"/>
  </si>
  <si>
    <t xml:space="preserve"> 見積図</t>
    <rPh sb="1" eb="3">
      <t>ミツ</t>
    </rPh>
    <rPh sb="3" eb="4">
      <t>ズ</t>
    </rPh>
    <phoneticPr fontId="4"/>
  </si>
  <si>
    <t>着工</t>
    <rPh sb="0" eb="2">
      <t>チャッコウ</t>
    </rPh>
    <phoneticPr fontId="4"/>
  </si>
  <si>
    <t>ＪＡみちのく村山 大石田低温倉庫</t>
    <phoneticPr fontId="4"/>
  </si>
  <si>
    <t>オート化学工業株式会社 北茨城工場 倉庫</t>
    <phoneticPr fontId="4"/>
  </si>
  <si>
    <t>芹澤様共同住宅</t>
    <phoneticPr fontId="4"/>
  </si>
  <si>
    <t>2</t>
    <phoneticPr fontId="4"/>
  </si>
  <si>
    <t>盛土</t>
    <rPh sb="0" eb="2">
      <t>モリド</t>
    </rPh>
    <phoneticPr fontId="4"/>
  </si>
  <si>
    <t>埋土・中砂</t>
    <rPh sb="0" eb="1">
      <t>ウ</t>
    </rPh>
    <rPh sb="1" eb="2">
      <t>ド</t>
    </rPh>
    <rPh sb="3" eb="4">
      <t>ナカ</t>
    </rPh>
    <rPh sb="4" eb="5">
      <t>スナ</t>
    </rPh>
    <phoneticPr fontId="4"/>
  </si>
  <si>
    <t>○
1.5m</t>
    <phoneticPr fontId="4"/>
  </si>
  <si>
    <t>ｱｽﾌｧﾙﾄ</t>
    <phoneticPr fontId="4"/>
  </si>
  <si>
    <t>海に近い。既存擁壁近接。</t>
    <rPh sb="0" eb="1">
      <t>ウミ</t>
    </rPh>
    <rPh sb="2" eb="3">
      <t>チカ</t>
    </rPh>
    <rPh sb="5" eb="7">
      <t>キソン</t>
    </rPh>
    <rPh sb="7" eb="9">
      <t>ヨウヘキ</t>
    </rPh>
    <rPh sb="9" eb="11">
      <t>キンセツ</t>
    </rPh>
    <phoneticPr fontId="4"/>
  </si>
  <si>
    <t>以前設計したﾏｾﾗﾃｨ神戸の横に建設。</t>
    <phoneticPr fontId="4"/>
  </si>
  <si>
    <t>A-2</t>
    <phoneticPr fontId="4"/>
  </si>
  <si>
    <t>12月</t>
    <rPh sb="2" eb="3">
      <t>ガツ</t>
    </rPh>
    <phoneticPr fontId="4"/>
  </si>
  <si>
    <t>12月着工</t>
    <rPh sb="2" eb="3">
      <t>ガツ</t>
    </rPh>
    <rPh sb="3" eb="5">
      <t>チャッコウ</t>
    </rPh>
    <phoneticPr fontId="4"/>
  </si>
  <si>
    <t>圧密層N＞8</t>
    <rPh sb="0" eb="2">
      <t>アツミツ</t>
    </rPh>
    <rPh sb="2" eb="3">
      <t>ソウ</t>
    </rPh>
    <phoneticPr fontId="4"/>
  </si>
  <si>
    <t>ツルハドラック大河原小島</t>
    <phoneticPr fontId="4"/>
  </si>
  <si>
    <t>ツルハドラッグ百合が原</t>
    <phoneticPr fontId="4"/>
  </si>
  <si>
    <t>ユイ
ﾏｲｱｲﾝ</t>
    <phoneticPr fontId="4"/>
  </si>
  <si>
    <t>盛土</t>
    <rPh sb="0" eb="2">
      <t>モリド</t>
    </rPh>
    <phoneticPr fontId="4"/>
  </si>
  <si>
    <t>ｼﾙﾄ</t>
    <phoneticPr fontId="4"/>
  </si>
  <si>
    <t>2m</t>
    <phoneticPr fontId="4"/>
  </si>
  <si>
    <t>3m</t>
    <phoneticPr fontId="4"/>
  </si>
  <si>
    <t>有機質ｼﾙﾄ</t>
    <rPh sb="0" eb="3">
      <t>ユウキシツ</t>
    </rPh>
    <phoneticPr fontId="4"/>
  </si>
  <si>
    <t>水路近接。2期工事は鋼管杭。</t>
    <rPh sb="0" eb="2">
      <t>スイロ</t>
    </rPh>
    <rPh sb="2" eb="4">
      <t>キンセツ</t>
    </rPh>
    <rPh sb="6" eb="7">
      <t>キ</t>
    </rPh>
    <rPh sb="7" eb="9">
      <t>コウジ</t>
    </rPh>
    <rPh sb="10" eb="12">
      <t>コウカン</t>
    </rPh>
    <rPh sb="12" eb="13">
      <t>クイ</t>
    </rPh>
    <phoneticPr fontId="4"/>
  </si>
  <si>
    <t>37条申請。擁壁と一体基礎。</t>
    <rPh sb="2" eb="3">
      <t>ジョウ</t>
    </rPh>
    <rPh sb="3" eb="5">
      <t>シンセイ</t>
    </rPh>
    <rPh sb="6" eb="8">
      <t>ヨウヘキ</t>
    </rPh>
    <rPh sb="9" eb="11">
      <t>イッタイ</t>
    </rPh>
    <rPh sb="11" eb="13">
      <t>キソ</t>
    </rPh>
    <phoneticPr fontId="4"/>
  </si>
  <si>
    <t>盛土</t>
    <rPh sb="0" eb="2">
      <t>モリド</t>
    </rPh>
    <phoneticPr fontId="4"/>
  </si>
  <si>
    <t>礫混じり粘土</t>
    <rPh sb="0" eb="1">
      <t>レキ</t>
    </rPh>
    <rPh sb="1" eb="2">
      <t>マ</t>
    </rPh>
    <rPh sb="4" eb="6">
      <t>ネンド</t>
    </rPh>
    <phoneticPr fontId="4"/>
  </si>
  <si>
    <t>1m</t>
    <phoneticPr fontId="4"/>
  </si>
  <si>
    <t>砂質ｼﾙﾄ</t>
    <rPh sb="0" eb="1">
      <t>スナ</t>
    </rPh>
    <rPh sb="1" eb="2">
      <t>シツ</t>
    </rPh>
    <phoneticPr fontId="4"/>
  </si>
  <si>
    <t>礫混じり砂</t>
    <rPh sb="0" eb="1">
      <t>レキ</t>
    </rPh>
    <rPh sb="1" eb="2">
      <t>マ</t>
    </rPh>
    <rPh sb="4" eb="5">
      <t>スナ</t>
    </rPh>
    <phoneticPr fontId="4"/>
  </si>
  <si>
    <t>-</t>
    <phoneticPr fontId="4"/>
  </si>
  <si>
    <t>-</t>
    <phoneticPr fontId="4"/>
  </si>
  <si>
    <t>ﾃﾞｯｷ</t>
    <phoneticPr fontId="4"/>
  </si>
  <si>
    <t>2m</t>
    <phoneticPr fontId="4"/>
  </si>
  <si>
    <t>1m</t>
    <phoneticPr fontId="4"/>
  </si>
  <si>
    <t>砂</t>
    <rPh sb="0" eb="1">
      <t>スナ</t>
    </rPh>
    <phoneticPr fontId="4"/>
  </si>
  <si>
    <t>-</t>
    <phoneticPr fontId="4"/>
  </si>
  <si>
    <t>大阪府</t>
    <phoneticPr fontId="4"/>
  </si>
  <si>
    <t>大阪市</t>
    <phoneticPr fontId="4"/>
  </si>
  <si>
    <t>住之江区南港南</t>
    <phoneticPr fontId="4"/>
  </si>
  <si>
    <t>新田 賢治</t>
    <phoneticPr fontId="4"/>
  </si>
  <si>
    <t>東京都港区芝大門2-1-16　芝大門ＭＦビル４Ｆ</t>
    <phoneticPr fontId="4"/>
  </si>
  <si>
    <t>nitta@yuken-ind.com</t>
    <phoneticPr fontId="4"/>
  </si>
  <si>
    <t>23.0
20.9</t>
    <phoneticPr fontId="4"/>
  </si>
  <si>
    <t>20.8
28.7</t>
    <phoneticPr fontId="4"/>
  </si>
  <si>
    <t>13.4
18.0</t>
    <phoneticPr fontId="4"/>
  </si>
  <si>
    <t>57.2
67.6</t>
    <phoneticPr fontId="4"/>
  </si>
  <si>
    <t>砂混じり粘土</t>
    <rPh sb="0" eb="1">
      <t>スナ</t>
    </rPh>
    <rPh sb="1" eb="2">
      <t>マ</t>
    </rPh>
    <rPh sb="4" eb="6">
      <t>ネンド</t>
    </rPh>
    <phoneticPr fontId="4"/>
  </si>
  <si>
    <t>ｼﾙﾄ質砂</t>
    <rPh sb="3" eb="4">
      <t>シツ</t>
    </rPh>
    <rPh sb="4" eb="5">
      <t>スナ</t>
    </rPh>
    <phoneticPr fontId="4"/>
  </si>
  <si>
    <t>特養ひまわり園</t>
    <phoneticPr fontId="4"/>
  </si>
  <si>
    <t>V・drug岡崎医療センター前薬局</t>
    <rPh sb="6" eb="8">
      <t>オカザキ</t>
    </rPh>
    <rPh sb="8" eb="10">
      <t>イリョウ</t>
    </rPh>
    <rPh sb="14" eb="15">
      <t>マエ</t>
    </rPh>
    <rPh sb="15" eb="17">
      <t>ヤッキョク</t>
    </rPh>
    <phoneticPr fontId="4"/>
  </si>
  <si>
    <t>申請</t>
    <rPh sb="0" eb="2">
      <t>シンセイ</t>
    </rPh>
    <phoneticPr fontId="4"/>
  </si>
  <si>
    <t>共同住宅</t>
    <rPh sb="0" eb="2">
      <t>キョウドウ</t>
    </rPh>
    <phoneticPr fontId="4"/>
  </si>
  <si>
    <t>1</t>
    <phoneticPr fontId="4"/>
  </si>
  <si>
    <t>株式会社 イワックス一級建築士事務所</t>
    <rPh sb="0" eb="4">
      <t>カブシキガイシャ</t>
    </rPh>
    <rPh sb="10" eb="12">
      <t>イッキュウ</t>
    </rPh>
    <rPh sb="12" eb="15">
      <t>ケンチクシ</t>
    </rPh>
    <rPh sb="15" eb="17">
      <t>ジム</t>
    </rPh>
    <rPh sb="17" eb="18">
      <t>ショ</t>
    </rPh>
    <phoneticPr fontId="4"/>
  </si>
  <si>
    <t>株式会社 イワックス一級建築士事務所</t>
    <phoneticPr fontId="4"/>
  </si>
  <si>
    <t>カブシキガイシャ イワックスイッキュウケンチクシジムショ</t>
    <phoneticPr fontId="4"/>
  </si>
  <si>
    <t>090-4869-0129</t>
    <phoneticPr fontId="4"/>
  </si>
  <si>
    <t>静岡県駿東郡清水町長沢304-1</t>
    <rPh sb="0" eb="3">
      <t>シズオカケン</t>
    </rPh>
    <rPh sb="3" eb="4">
      <t>シュン</t>
    </rPh>
    <rPh sb="4" eb="5">
      <t>ヒガシ</t>
    </rPh>
    <rPh sb="5" eb="6">
      <t>グン</t>
    </rPh>
    <rPh sb="6" eb="8">
      <t>シミズ</t>
    </rPh>
    <rPh sb="8" eb="9">
      <t>マチ</t>
    </rPh>
    <rPh sb="9" eb="11">
      <t>ナガサワ</t>
    </rPh>
    <phoneticPr fontId="4"/>
  </si>
  <si>
    <t>岡宮</t>
    <rPh sb="1" eb="2">
      <t>ミヤ</t>
    </rPh>
    <phoneticPr fontId="4"/>
  </si>
  <si>
    <t>べた</t>
    <phoneticPr fontId="4"/>
  </si>
  <si>
    <t>ｽｺﾘｱ質ﾛｰﾑ</t>
    <rPh sb="4" eb="5">
      <t>シツ</t>
    </rPh>
    <phoneticPr fontId="4"/>
  </si>
  <si>
    <t>11m</t>
    <phoneticPr fontId="4"/>
  </si>
  <si>
    <t>ﾛｰﾑ</t>
    <phoneticPr fontId="4"/>
  </si>
  <si>
    <t>3m</t>
    <phoneticPr fontId="4"/>
  </si>
  <si>
    <t>粘土質ﾛｰﾑ</t>
    <rPh sb="0" eb="2">
      <t>ネンド</t>
    </rPh>
    <rPh sb="2" eb="3">
      <t>シツ</t>
    </rPh>
    <phoneticPr fontId="4"/>
  </si>
  <si>
    <t>ｽｺﾘｱ質ﾛｰﾑ(有機質)</t>
    <rPh sb="4" eb="5">
      <t>シツ</t>
    </rPh>
    <rPh sb="9" eb="12">
      <t>ユウキシツ</t>
    </rPh>
    <phoneticPr fontId="4"/>
  </si>
  <si>
    <t>大塚 智己</t>
    <phoneticPr fontId="4"/>
  </si>
  <si>
    <t>otk@mud.biglobe.ne.jp</t>
    <phoneticPr fontId="4"/>
  </si>
  <si>
    <t>JAごしょつがる米穀低温倉庫</t>
    <phoneticPr fontId="4"/>
  </si>
  <si>
    <t>-</t>
    <phoneticPr fontId="4"/>
  </si>
  <si>
    <t>ﾃﾞｯｷ</t>
    <phoneticPr fontId="4"/>
  </si>
  <si>
    <t>3</t>
    <phoneticPr fontId="4"/>
  </si>
  <si>
    <t>盛土(礫混じり砂)</t>
    <rPh sb="0" eb="2">
      <t>モリド</t>
    </rPh>
    <rPh sb="3" eb="4">
      <t>レキ</t>
    </rPh>
    <rPh sb="4" eb="5">
      <t>マ</t>
    </rPh>
    <rPh sb="7" eb="8">
      <t>スナ</t>
    </rPh>
    <phoneticPr fontId="4"/>
  </si>
  <si>
    <t>ﾛｰﾑ</t>
    <phoneticPr fontId="4"/>
  </si>
  <si>
    <t>ｱｽﾌｧﾙﾄ</t>
    <phoneticPr fontId="4"/>
  </si>
  <si>
    <t>1m</t>
    <phoneticPr fontId="4"/>
  </si>
  <si>
    <t>礫混じり砂</t>
    <rPh sb="0" eb="1">
      <t>レキ</t>
    </rPh>
    <rPh sb="1" eb="2">
      <t>マ</t>
    </rPh>
    <rPh sb="4" eb="5">
      <t>スナ</t>
    </rPh>
    <phoneticPr fontId="4"/>
  </si>
  <si>
    <t>6m</t>
    <phoneticPr fontId="4"/>
  </si>
  <si>
    <t>ﾛｰﾑ</t>
    <phoneticPr fontId="4"/>
  </si>
  <si>
    <t>3m</t>
    <phoneticPr fontId="4"/>
  </si>
  <si>
    <t>礫混じりｼﾙﾄ質砂</t>
    <rPh sb="0" eb="1">
      <t>レキ</t>
    </rPh>
    <rPh sb="1" eb="2">
      <t>マ</t>
    </rPh>
    <rPh sb="7" eb="8">
      <t>シツ</t>
    </rPh>
    <rPh sb="8" eb="9">
      <t>スナ</t>
    </rPh>
    <phoneticPr fontId="4"/>
  </si>
  <si>
    <t>カジレーネ新工場</t>
    <phoneticPr fontId="4"/>
  </si>
  <si>
    <t>ホームプラザナフコ直方</t>
    <phoneticPr fontId="4"/>
  </si>
  <si>
    <t>地方独立行政法人北海道立総合研究機構</t>
    <phoneticPr fontId="4"/>
  </si>
  <si>
    <t>地方独立行政法人北海道立総合研究機構</t>
    <phoneticPr fontId="4"/>
  </si>
  <si>
    <t>ユイ
ホア</t>
    <phoneticPr fontId="4"/>
  </si>
  <si>
    <t>申請</t>
    <rPh sb="0" eb="2">
      <t>シンセイ</t>
    </rPh>
    <phoneticPr fontId="4"/>
  </si>
  <si>
    <t>ｼﾙﾄ質粘土</t>
    <rPh sb="3" eb="4">
      <t>シツ</t>
    </rPh>
    <rPh sb="4" eb="6">
      <t>ネンド</t>
    </rPh>
    <phoneticPr fontId="4"/>
  </si>
  <si>
    <t>ｼﾙﾄ質砂</t>
    <rPh sb="3" eb="4">
      <t>シツ</t>
    </rPh>
    <rPh sb="4" eb="5">
      <t>スナ</t>
    </rPh>
    <phoneticPr fontId="4"/>
  </si>
  <si>
    <t>3m</t>
    <phoneticPr fontId="4"/>
  </si>
  <si>
    <t>1m</t>
    <phoneticPr fontId="4"/>
  </si>
  <si>
    <t>ｼﾙﾄ混り砂</t>
    <rPh sb="3" eb="4">
      <t>マ</t>
    </rPh>
    <rPh sb="5" eb="6">
      <t>スナ</t>
    </rPh>
    <phoneticPr fontId="4"/>
  </si>
  <si>
    <t>-</t>
    <phoneticPr fontId="4"/>
  </si>
  <si>
    <t>-</t>
    <phoneticPr fontId="4"/>
  </si>
  <si>
    <t>ｼﾙﾄ質粘土(有機物少量)</t>
    <rPh sb="3" eb="4">
      <t>シツ</t>
    </rPh>
    <rPh sb="4" eb="6">
      <t>ネンド</t>
    </rPh>
    <rPh sb="7" eb="10">
      <t>ユウキブツ</t>
    </rPh>
    <rPh sb="10" eb="12">
      <t>ショウリョウ</t>
    </rPh>
    <phoneticPr fontId="4"/>
  </si>
  <si>
    <t>上松 美幸</t>
    <phoneticPr fontId="4"/>
  </si>
  <si>
    <t>06-6233-8308</t>
    <phoneticPr fontId="4"/>
  </si>
  <si>
    <t>m.uematsu@yokogawa-yess.co.jp</t>
    <phoneticPr fontId="4"/>
  </si>
  <si>
    <t>011-642-8880</t>
    <phoneticPr fontId="4"/>
  </si>
  <si>
    <t>日本福祉設計 株式会社</t>
    <phoneticPr fontId="4"/>
  </si>
  <si>
    <t>092-433-8133</t>
    <phoneticPr fontId="4"/>
  </si>
  <si>
    <t>茨城県</t>
    <phoneticPr fontId="4"/>
  </si>
  <si>
    <t>北茨城市</t>
    <phoneticPr fontId="4"/>
  </si>
  <si>
    <t>中郷町日棚</t>
    <phoneticPr fontId="4"/>
  </si>
  <si>
    <t>回答済</t>
    <rPh sb="0" eb="2">
      <t>カイトウ</t>
    </rPh>
    <rPh sb="2" eb="3">
      <t>スミ</t>
    </rPh>
    <phoneticPr fontId="4"/>
  </si>
  <si>
    <t>-</t>
    <phoneticPr fontId="4"/>
  </si>
  <si>
    <t>3</t>
    <phoneticPr fontId="4"/>
  </si>
  <si>
    <t>埋土</t>
    <rPh sb="0" eb="1">
      <t>ウ</t>
    </rPh>
    <rPh sb="1" eb="2">
      <t>ド</t>
    </rPh>
    <phoneticPr fontId="4"/>
  </si>
  <si>
    <t>砂質ｼﾙﾄ</t>
    <rPh sb="0" eb="1">
      <t>スナ</t>
    </rPh>
    <rPh sb="1" eb="2">
      <t>シツ</t>
    </rPh>
    <phoneticPr fontId="4"/>
  </si>
  <si>
    <t>7m</t>
    <phoneticPr fontId="4"/>
  </si>
  <si>
    <t>3m</t>
    <phoneticPr fontId="4"/>
  </si>
  <si>
    <t>ｼﾙﾄ質砂</t>
    <rPh sb="3" eb="4">
      <t>シツ</t>
    </rPh>
    <rPh sb="4" eb="5">
      <t>スナ</t>
    </rPh>
    <phoneticPr fontId="4"/>
  </si>
  <si>
    <t>3m</t>
    <phoneticPr fontId="4"/>
  </si>
  <si>
    <t>砂</t>
    <rPh sb="0" eb="1">
      <t>スナ</t>
    </rPh>
    <phoneticPr fontId="4"/>
  </si>
  <si>
    <t>ｼﾙﾄ(府植物混入)</t>
    <rPh sb="4" eb="5">
      <t>フ</t>
    </rPh>
    <rPh sb="5" eb="7">
      <t>ショクブツ</t>
    </rPh>
    <rPh sb="7" eb="9">
      <t>コンニュウ</t>
    </rPh>
    <phoneticPr fontId="4"/>
  </si>
  <si>
    <t>本体棟と洗車場棟の2棟。水路近接。看板下地盤改良あり。平板載荷実施。</t>
    <rPh sb="0" eb="2">
      <t>ホンタイ</t>
    </rPh>
    <rPh sb="2" eb="3">
      <t>トウ</t>
    </rPh>
    <rPh sb="4" eb="7">
      <t>センシャジョウ</t>
    </rPh>
    <rPh sb="7" eb="8">
      <t>トウ</t>
    </rPh>
    <rPh sb="10" eb="11">
      <t>トウ</t>
    </rPh>
    <rPh sb="12" eb="14">
      <t>スイロ</t>
    </rPh>
    <rPh sb="14" eb="16">
      <t>キンセツ</t>
    </rPh>
    <rPh sb="17" eb="19">
      <t>カンバン</t>
    </rPh>
    <rPh sb="19" eb="20">
      <t>シタ</t>
    </rPh>
    <rPh sb="20" eb="22">
      <t>ジバン</t>
    </rPh>
    <rPh sb="22" eb="24">
      <t>カイリョウ</t>
    </rPh>
    <rPh sb="27" eb="29">
      <t>ヘイバン</t>
    </rPh>
    <rPh sb="29" eb="31">
      <t>サイカ</t>
    </rPh>
    <rPh sb="31" eb="33">
      <t>ジッシ</t>
    </rPh>
    <phoneticPr fontId="4"/>
  </si>
  <si>
    <t>福島 佳浩</t>
    <phoneticPr fontId="4"/>
  </si>
  <si>
    <t>f@graph-studio.net</t>
    <phoneticPr fontId="4"/>
  </si>
  <si>
    <t>Graph Studio</t>
    <phoneticPr fontId="4"/>
  </si>
  <si>
    <t>Graph Studio</t>
    <phoneticPr fontId="4"/>
  </si>
  <si>
    <t>株式会社 カムイ建築設計事務所</t>
    <rPh sb="12" eb="14">
      <t>ジム</t>
    </rPh>
    <rPh sb="14" eb="15">
      <t>ショ</t>
    </rPh>
    <phoneticPr fontId="4"/>
  </si>
  <si>
    <t>株式会社 カムイ建築設計事務所</t>
    <phoneticPr fontId="4"/>
  </si>
  <si>
    <t>カブシキガイシャ カムイケンチクセッケイジムショ</t>
    <phoneticPr fontId="4"/>
  </si>
  <si>
    <t>kamui@peace.ocn.ne.jp</t>
    <phoneticPr fontId="4"/>
  </si>
  <si>
    <t>北村、大森</t>
    <rPh sb="3" eb="5">
      <t>オオモリ</t>
    </rPh>
    <phoneticPr fontId="4"/>
  </si>
  <si>
    <t>見積図</t>
    <rPh sb="0" eb="2">
      <t>ミツモリ</t>
    </rPh>
    <rPh sb="2" eb="3">
      <t>ズ</t>
    </rPh>
    <phoneticPr fontId="4"/>
  </si>
  <si>
    <t>申請</t>
    <rPh sb="0" eb="2">
      <t>シンセイ</t>
    </rPh>
    <phoneticPr fontId="4"/>
  </si>
  <si>
    <t>近藤
ハイ</t>
    <rPh sb="0" eb="2">
      <t>コンドウ</t>
    </rPh>
    <phoneticPr fontId="4"/>
  </si>
  <si>
    <t>全農山形一級建築士事務所</t>
    <phoneticPr fontId="4"/>
  </si>
  <si>
    <t>大麻元町 D工区(特養・看護小多機・老健)(旧:江別)</t>
    <rPh sb="22" eb="23">
      <t>キュウ</t>
    </rPh>
    <rPh sb="24" eb="26">
      <t>エベツ</t>
    </rPh>
    <phoneticPr fontId="4"/>
  </si>
  <si>
    <t>旧190078</t>
    <phoneticPr fontId="4"/>
  </si>
  <si>
    <t>盛土</t>
    <rPh sb="0" eb="2">
      <t>モリド</t>
    </rPh>
    <phoneticPr fontId="4"/>
  </si>
  <si>
    <t>ｼﾙﾄ混じり細砂</t>
    <rPh sb="3" eb="4">
      <t>マ</t>
    </rPh>
    <rPh sb="6" eb="7">
      <t>サイ</t>
    </rPh>
    <rPh sb="7" eb="8">
      <t>スナ</t>
    </rPh>
    <phoneticPr fontId="4"/>
  </si>
  <si>
    <t>-</t>
    <phoneticPr fontId="4"/>
  </si>
  <si>
    <t>-</t>
    <phoneticPr fontId="4"/>
  </si>
  <si>
    <t>1m</t>
    <phoneticPr fontId="4"/>
  </si>
  <si>
    <t>ｼﾙﾄ質砂</t>
    <rPh sb="3" eb="4">
      <t>シツ</t>
    </rPh>
    <rPh sb="4" eb="5">
      <t>スナ</t>
    </rPh>
    <phoneticPr fontId="4"/>
  </si>
  <si>
    <t>4m</t>
    <phoneticPr fontId="4"/>
  </si>
  <si>
    <t>ｼﾙﾄ質細砂</t>
    <rPh sb="3" eb="4">
      <t>シツ</t>
    </rPh>
    <rPh sb="4" eb="5">
      <t>サイ</t>
    </rPh>
    <rPh sb="5" eb="6">
      <t>スナ</t>
    </rPh>
    <phoneticPr fontId="4"/>
  </si>
  <si>
    <t>5m</t>
    <phoneticPr fontId="4"/>
  </si>
  <si>
    <t>粘土質ｼﾙﾄ</t>
    <rPh sb="0" eb="2">
      <t>ネンド</t>
    </rPh>
    <rPh sb="2" eb="3">
      <t>シツ</t>
    </rPh>
    <phoneticPr fontId="4"/>
  </si>
  <si>
    <t>圧密層N＞3</t>
    <rPh sb="0" eb="2">
      <t>アツミツ</t>
    </rPh>
    <rPh sb="2" eb="3">
      <t>ソウ</t>
    </rPh>
    <phoneticPr fontId="4"/>
  </si>
  <si>
    <t>粘土質ｼﾙﾄ(府植物混入)</t>
    <rPh sb="0" eb="2">
      <t>ネンド</t>
    </rPh>
    <rPh sb="2" eb="3">
      <t>シツ</t>
    </rPh>
    <rPh sb="7" eb="8">
      <t>フ</t>
    </rPh>
    <rPh sb="8" eb="10">
      <t>ショクブツ</t>
    </rPh>
    <rPh sb="10" eb="12">
      <t>コンニュウ</t>
    </rPh>
    <phoneticPr fontId="4"/>
  </si>
  <si>
    <t>以前設計した茂原工場への増築工事。既存建物・浄化槽近接。</t>
    <rPh sb="0" eb="2">
      <t>イゼン</t>
    </rPh>
    <rPh sb="2" eb="4">
      <t>セッケイ</t>
    </rPh>
    <rPh sb="6" eb="8">
      <t>モハラ</t>
    </rPh>
    <rPh sb="8" eb="10">
      <t>コウジョウ</t>
    </rPh>
    <rPh sb="12" eb="14">
      <t>ゾウチク</t>
    </rPh>
    <rPh sb="14" eb="16">
      <t>コウジ</t>
    </rPh>
    <rPh sb="17" eb="19">
      <t>キソン</t>
    </rPh>
    <rPh sb="19" eb="21">
      <t>タテモノ</t>
    </rPh>
    <rPh sb="22" eb="25">
      <t>ジョウカソウ</t>
    </rPh>
    <rPh sb="25" eb="27">
      <t>キンセツ</t>
    </rPh>
    <phoneticPr fontId="4"/>
  </si>
  <si>
    <t>工場</t>
    <rPh sb="0" eb="2">
      <t>コウジョウ</t>
    </rPh>
    <phoneticPr fontId="4"/>
  </si>
  <si>
    <t>協伸建材興業</t>
    <phoneticPr fontId="4"/>
  </si>
  <si>
    <t>財団法人 にいがた住宅センター</t>
  </si>
  <si>
    <t>新井</t>
    <rPh sb="0" eb="2">
      <t>ニイ</t>
    </rPh>
    <phoneticPr fontId="4"/>
  </si>
  <si>
    <t>申請</t>
    <rPh sb="0" eb="2">
      <t>シンセイ</t>
    </rPh>
    <phoneticPr fontId="4"/>
  </si>
  <si>
    <t>泥炭</t>
    <rPh sb="0" eb="2">
      <t>デイタン</t>
    </rPh>
    <phoneticPr fontId="4"/>
  </si>
  <si>
    <t>1m</t>
    <phoneticPr fontId="4"/>
  </si>
  <si>
    <t>6m</t>
    <phoneticPr fontId="4"/>
  </si>
  <si>
    <t>ｼﾙﾄ</t>
    <phoneticPr fontId="4"/>
  </si>
  <si>
    <t>9m</t>
    <phoneticPr fontId="4"/>
  </si>
  <si>
    <t>10m</t>
    <phoneticPr fontId="4"/>
  </si>
  <si>
    <t>ｼﾙﾄ(府植物混入)</t>
    <rPh sb="4" eb="5">
      <t>フ</t>
    </rPh>
    <rPh sb="5" eb="7">
      <t>ショクブツ</t>
    </rPh>
    <rPh sb="7" eb="9">
      <t>コンニュウ</t>
    </rPh>
    <phoneticPr fontId="4"/>
  </si>
  <si>
    <t>建物内に700mmの高低差あり。杭からの計画変更。平板載荷試験実施。</t>
    <rPh sb="0" eb="2">
      <t>タテモノ</t>
    </rPh>
    <rPh sb="2" eb="3">
      <t>ナイ</t>
    </rPh>
    <rPh sb="10" eb="13">
      <t>コウテイサ</t>
    </rPh>
    <rPh sb="16" eb="17">
      <t>クイ</t>
    </rPh>
    <rPh sb="20" eb="22">
      <t>ケイカク</t>
    </rPh>
    <rPh sb="22" eb="24">
      <t>ヘンコウ</t>
    </rPh>
    <rPh sb="25" eb="27">
      <t>ヘイバン</t>
    </rPh>
    <rPh sb="27" eb="29">
      <t>サイカ</t>
    </rPh>
    <rPh sb="29" eb="31">
      <t>シケン</t>
    </rPh>
    <rPh sb="31" eb="33">
      <t>ジッシ</t>
    </rPh>
    <phoneticPr fontId="4"/>
  </si>
  <si>
    <t>申請</t>
    <rPh sb="0" eb="2">
      <t>シンセイ</t>
    </rPh>
    <phoneticPr fontId="4"/>
  </si>
  <si>
    <t>北方建築総合研究所</t>
    <phoneticPr fontId="4"/>
  </si>
  <si>
    <t>株式会社 サッコウケン</t>
    <rPh sb="0" eb="2">
      <t>カブシキ</t>
    </rPh>
    <rPh sb="2" eb="4">
      <t>カイシャ</t>
    </rPh>
    <phoneticPr fontId="4"/>
  </si>
  <si>
    <t>株式会社 サッコウケン</t>
    <phoneticPr fontId="4"/>
  </si>
  <si>
    <t>盛土(ｼﾙﾄ質砂)</t>
    <rPh sb="0" eb="2">
      <t>モリド</t>
    </rPh>
    <rPh sb="6" eb="7">
      <t>シツ</t>
    </rPh>
    <rPh sb="7" eb="8">
      <t>スナ</t>
    </rPh>
    <phoneticPr fontId="4"/>
  </si>
  <si>
    <t>砂質ｼﾙﾄ</t>
    <rPh sb="0" eb="1">
      <t>スナ</t>
    </rPh>
    <rPh sb="1" eb="2">
      <t>シツ</t>
    </rPh>
    <phoneticPr fontId="4"/>
  </si>
  <si>
    <t>3m</t>
    <phoneticPr fontId="4"/>
  </si>
  <si>
    <t>砂礫</t>
    <rPh sb="0" eb="2">
      <t>サレキ</t>
    </rPh>
    <phoneticPr fontId="4"/>
  </si>
  <si>
    <t>-</t>
    <phoneticPr fontId="4"/>
  </si>
  <si>
    <t>-</t>
    <phoneticPr fontId="4"/>
  </si>
  <si>
    <t>函館市</t>
    <rPh sb="0" eb="3">
      <t>ハコダテシ</t>
    </rPh>
    <phoneticPr fontId="4"/>
  </si>
  <si>
    <t>薬王堂 角館下菅沢</t>
    <phoneticPr fontId="4"/>
  </si>
  <si>
    <t>倉庫</t>
    <phoneticPr fontId="4"/>
  </si>
  <si>
    <t>盛土</t>
    <rPh sb="0" eb="2">
      <t>モリド</t>
    </rPh>
    <phoneticPr fontId="4"/>
  </si>
  <si>
    <t>-</t>
    <phoneticPr fontId="4"/>
  </si>
  <si>
    <t>-</t>
    <phoneticPr fontId="4"/>
  </si>
  <si>
    <t>工場</t>
    <rPh sb="0" eb="2">
      <t>コウジョウ</t>
    </rPh>
    <phoneticPr fontId="4"/>
  </si>
  <si>
    <t>斜面の上に建設。敷地内の増築工事。</t>
    <rPh sb="0" eb="2">
      <t>シャメン</t>
    </rPh>
    <rPh sb="3" eb="4">
      <t>ウエ</t>
    </rPh>
    <rPh sb="5" eb="7">
      <t>ケンセツ</t>
    </rPh>
    <rPh sb="8" eb="10">
      <t>シキチ</t>
    </rPh>
    <rPh sb="10" eb="11">
      <t>ナイ</t>
    </rPh>
    <rPh sb="12" eb="14">
      <t>ゾウチク</t>
    </rPh>
    <rPh sb="14" eb="16">
      <t>コウジ</t>
    </rPh>
    <phoneticPr fontId="4"/>
  </si>
  <si>
    <t>申請</t>
    <rPh sb="0" eb="2">
      <t>シンセイ</t>
    </rPh>
    <phoneticPr fontId="4"/>
  </si>
  <si>
    <t>着工</t>
    <rPh sb="0" eb="2">
      <t>チャッコウ</t>
    </rPh>
    <phoneticPr fontId="4"/>
  </si>
  <si>
    <t>株式会社 仙台都市整備センター</t>
    <phoneticPr fontId="4"/>
  </si>
  <si>
    <t>福山市</t>
    <rPh sb="0" eb="3">
      <t>フクヤマシ</t>
    </rPh>
    <phoneticPr fontId="4"/>
  </si>
  <si>
    <t>平松 孝英</t>
    <phoneticPr fontId="4"/>
  </si>
  <si>
    <t>hiramatsu.takahide@aisekkei.co.jp</t>
    <phoneticPr fontId="4"/>
  </si>
  <si>
    <t>着工</t>
    <rPh sb="0" eb="2">
      <t>チャッコウ</t>
    </rPh>
    <phoneticPr fontId="4"/>
  </si>
  <si>
    <t>有機質土</t>
    <rPh sb="0" eb="4">
      <t>ユウキシツド</t>
    </rPh>
    <phoneticPr fontId="4"/>
  </si>
  <si>
    <t>8m</t>
    <phoneticPr fontId="4"/>
  </si>
  <si>
    <t>1m</t>
    <phoneticPr fontId="4"/>
  </si>
  <si>
    <t>-</t>
    <phoneticPr fontId="4"/>
  </si>
  <si>
    <t>-</t>
    <phoneticPr fontId="4"/>
  </si>
  <si>
    <t>1m</t>
    <phoneticPr fontId="4"/>
  </si>
  <si>
    <t>礫混じり粘土</t>
    <rPh sb="0" eb="1">
      <t>レキ</t>
    </rPh>
    <rPh sb="1" eb="2">
      <t>マ</t>
    </rPh>
    <rPh sb="4" eb="6">
      <t>ネンド</t>
    </rPh>
    <phoneticPr fontId="4"/>
  </si>
  <si>
    <t>埋土</t>
    <rPh sb="0" eb="1">
      <t>ウ</t>
    </rPh>
    <rPh sb="1" eb="2">
      <t>ド</t>
    </rPh>
    <phoneticPr fontId="4"/>
  </si>
  <si>
    <t>埋土(粘性土)</t>
    <rPh sb="0" eb="1">
      <t>ウ</t>
    </rPh>
    <rPh sb="1" eb="2">
      <t>ド</t>
    </rPh>
    <rPh sb="3" eb="5">
      <t>ネンセイ</t>
    </rPh>
    <rPh sb="5" eb="6">
      <t>ド</t>
    </rPh>
    <phoneticPr fontId="4"/>
  </si>
  <si>
    <t>6m</t>
    <phoneticPr fontId="4"/>
  </si>
  <si>
    <t>粘土</t>
    <rPh sb="0" eb="2">
      <t>ネンド</t>
    </rPh>
    <phoneticPr fontId="4"/>
  </si>
  <si>
    <t>10m</t>
    <phoneticPr fontId="4"/>
  </si>
  <si>
    <t>7m</t>
    <phoneticPr fontId="4"/>
  </si>
  <si>
    <t>2m</t>
    <phoneticPr fontId="4"/>
  </si>
  <si>
    <t>砂質粘土</t>
    <rPh sb="0" eb="1">
      <t>スナ</t>
    </rPh>
    <rPh sb="1" eb="2">
      <t>シツ</t>
    </rPh>
    <rPh sb="2" eb="4">
      <t>ネンド</t>
    </rPh>
    <phoneticPr fontId="4"/>
  </si>
  <si>
    <t>埋土(府植物点在)</t>
    <rPh sb="0" eb="1">
      <t>ウ</t>
    </rPh>
    <rPh sb="1" eb="2">
      <t>ド</t>
    </rPh>
    <rPh sb="3" eb="4">
      <t>フ</t>
    </rPh>
    <rPh sb="4" eb="6">
      <t>ショクブツ</t>
    </rPh>
    <rPh sb="6" eb="8">
      <t>テンザイ</t>
    </rPh>
    <phoneticPr fontId="4"/>
  </si>
  <si>
    <t>工場</t>
    <rPh sb="0" eb="2">
      <t>コウジョウ</t>
    </rPh>
    <phoneticPr fontId="4"/>
  </si>
  <si>
    <t>平板載荷試験実施。埋立地</t>
    <rPh sb="0" eb="2">
      <t>ヘイバン</t>
    </rPh>
    <rPh sb="2" eb="4">
      <t>サイカ</t>
    </rPh>
    <rPh sb="4" eb="6">
      <t>シケン</t>
    </rPh>
    <rPh sb="6" eb="8">
      <t>ジッシ</t>
    </rPh>
    <rPh sb="9" eb="11">
      <t>ウメタテ</t>
    </rPh>
    <rPh sb="11" eb="12">
      <t>チ</t>
    </rPh>
    <phoneticPr fontId="4"/>
  </si>
  <si>
    <t>扶桑商会倉庫</t>
    <phoneticPr fontId="4"/>
  </si>
  <si>
    <t>関西マツダ寝屋川</t>
    <rPh sb="0" eb="2">
      <t>カンサイ</t>
    </rPh>
    <rPh sb="5" eb="8">
      <t>ネヤガワ</t>
    </rPh>
    <phoneticPr fontId="4"/>
  </si>
  <si>
    <t>沖本</t>
    <rPh sb="0" eb="2">
      <t>オキモト</t>
    </rPh>
    <phoneticPr fontId="4"/>
  </si>
  <si>
    <t>寝屋川市</t>
    <rPh sb="0" eb="3">
      <t>ネヤガワ</t>
    </rPh>
    <rPh sb="3" eb="4">
      <t>シ</t>
    </rPh>
    <phoneticPr fontId="4"/>
  </si>
  <si>
    <t>株式会社 コホーネス</t>
    <phoneticPr fontId="4"/>
  </si>
  <si>
    <t>渡邉 格</t>
    <phoneticPr fontId="4"/>
  </si>
  <si>
    <t>06-4792-1800</t>
    <phoneticPr fontId="4"/>
  </si>
  <si>
    <t>i_watanabe@cojones.jp</t>
    <phoneticPr fontId="4"/>
  </si>
  <si>
    <t>構造+TNF</t>
    <phoneticPr fontId="4"/>
  </si>
  <si>
    <t>宮城ダイハツ販売㈱石巻店</t>
    <rPh sb="0" eb="2">
      <t>ミヤギ</t>
    </rPh>
    <rPh sb="6" eb="8">
      <t>ハンバイ</t>
    </rPh>
    <rPh sb="9" eb="11">
      <t>イシノマキ</t>
    </rPh>
    <rPh sb="11" eb="12">
      <t>テン</t>
    </rPh>
    <phoneticPr fontId="4"/>
  </si>
  <si>
    <t>宮城県</t>
    <rPh sb="0" eb="3">
      <t>ミヤギケン</t>
    </rPh>
    <phoneticPr fontId="4"/>
  </si>
  <si>
    <t>石巻市</t>
    <rPh sb="0" eb="3">
      <t>イシノマキシ</t>
    </rPh>
    <phoneticPr fontId="4"/>
  </si>
  <si>
    <t>設計中</t>
    <rPh sb="0" eb="2">
      <t>セッケイ</t>
    </rPh>
    <rPh sb="2" eb="3">
      <t>ナカ</t>
    </rPh>
    <phoneticPr fontId="4"/>
  </si>
  <si>
    <t>5月後半～6月着工</t>
    <rPh sb="7" eb="9">
      <t>チャッコウ</t>
    </rPh>
    <phoneticPr fontId="4"/>
  </si>
  <si>
    <t>近藤
尾川</t>
    <rPh sb="0" eb="2">
      <t>コンドウ</t>
    </rPh>
    <rPh sb="3" eb="5">
      <t>オガワ</t>
    </rPh>
    <phoneticPr fontId="4"/>
  </si>
  <si>
    <t>ウット
フィ</t>
    <phoneticPr fontId="4"/>
  </si>
  <si>
    <t>タオ
ホア</t>
    <phoneticPr fontId="4"/>
  </si>
  <si>
    <t>着工</t>
    <rPh sb="0" eb="2">
      <t>チャッコウ</t>
    </rPh>
    <phoneticPr fontId="4"/>
  </si>
  <si>
    <t>～2021.1</t>
    <phoneticPr fontId="4"/>
  </si>
  <si>
    <t>安城市</t>
    <phoneticPr fontId="4"/>
  </si>
  <si>
    <t>日の出町</t>
    <phoneticPr fontId="4"/>
  </si>
  <si>
    <t>千葉県</t>
    <rPh sb="0" eb="3">
      <t>チバケン</t>
    </rPh>
    <phoneticPr fontId="4"/>
  </si>
  <si>
    <t>習志野市</t>
    <rPh sb="0" eb="4">
      <t>ナラシノシ</t>
    </rPh>
    <phoneticPr fontId="4"/>
  </si>
  <si>
    <t>千葉県</t>
    <phoneticPr fontId="4"/>
  </si>
  <si>
    <t>家之子</t>
    <phoneticPr fontId="4"/>
  </si>
  <si>
    <t>岡野 祐輝</t>
    <phoneticPr fontId="4"/>
  </si>
  <si>
    <t>03-5844-1381</t>
    <phoneticPr fontId="4"/>
  </si>
  <si>
    <t>東京都文京区小石川1丁目15番17号TN小石川ビル4階</t>
    <phoneticPr fontId="4"/>
  </si>
  <si>
    <t>佐藤 浩久</t>
    <phoneticPr fontId="4"/>
  </si>
  <si>
    <t>松岡 大阪南港第二物流センター</t>
    <phoneticPr fontId="4"/>
  </si>
  <si>
    <t>092-518-5239</t>
    <phoneticPr fontId="4"/>
  </si>
  <si>
    <t>ヤマウ鳥谷部倉庫</t>
    <phoneticPr fontId="4"/>
  </si>
  <si>
    <t>渡邉 匡弥</t>
    <phoneticPr fontId="4"/>
  </si>
  <si>
    <t>022-302-7831</t>
    <phoneticPr fontId="4"/>
  </si>
  <si>
    <t>watanabe@itemsekkei.co.jp</t>
    <phoneticPr fontId="4"/>
  </si>
  <si>
    <t>若柳地区こども園</t>
    <phoneticPr fontId="4"/>
  </si>
  <si>
    <t>渡邊 康志</t>
    <phoneticPr fontId="4"/>
  </si>
  <si>
    <t>東京都千代田区内神田3-11-7</t>
    <phoneticPr fontId="4"/>
  </si>
  <si>
    <t>クリエイトエス・ディ－厚木旭町</t>
    <phoneticPr fontId="4"/>
  </si>
  <si>
    <t>h.tsuchiko@gmail.com</t>
    <phoneticPr fontId="4"/>
  </si>
  <si>
    <t>大野ピッチング練習場</t>
    <phoneticPr fontId="4"/>
  </si>
  <si>
    <t>照井 清道</t>
    <phoneticPr fontId="4"/>
  </si>
  <si>
    <t>高武 士斎</t>
    <phoneticPr fontId="4"/>
  </si>
  <si>
    <t>SNP工場</t>
    <phoneticPr fontId="4"/>
  </si>
  <si>
    <t>布・べた</t>
    <rPh sb="0" eb="1">
      <t>ヌノ</t>
    </rPh>
    <phoneticPr fontId="4"/>
  </si>
  <si>
    <t>火山灰質砂</t>
    <rPh sb="0" eb="2">
      <t>カザン</t>
    </rPh>
    <rPh sb="2" eb="3">
      <t>ハイ</t>
    </rPh>
    <rPh sb="3" eb="4">
      <t>シツ</t>
    </rPh>
    <rPh sb="4" eb="5">
      <t>スナ</t>
    </rPh>
    <phoneticPr fontId="4"/>
  </si>
  <si>
    <t>辻 将英</t>
    <phoneticPr fontId="4"/>
  </si>
  <si>
    <t>058-276-5365</t>
    <phoneticPr fontId="4"/>
  </si>
  <si>
    <t>岐阜県岐阜市宇佐南4-13-1　JA会館</t>
    <rPh sb="0" eb="3">
      <t>ギフケン</t>
    </rPh>
    <phoneticPr fontId="4"/>
  </si>
  <si>
    <t>tsuji-masahide@zennoh.or.jp</t>
    <phoneticPr fontId="4"/>
  </si>
  <si>
    <t>株式会社 兵庫確認検査機構</t>
    <phoneticPr fontId="4"/>
  </si>
  <si>
    <t>052-776-0611</t>
    <phoneticPr fontId="4"/>
  </si>
  <si>
    <t>鈴木 和行</t>
    <phoneticPr fontId="4"/>
  </si>
  <si>
    <t>カインズ宇都宮テクノポリス</t>
    <phoneticPr fontId="4"/>
  </si>
  <si>
    <t>宇都宮市</t>
    <phoneticPr fontId="4"/>
  </si>
  <si>
    <t>野高谷町</t>
    <phoneticPr fontId="4"/>
  </si>
  <si>
    <t>平屋建</t>
    <phoneticPr fontId="4"/>
  </si>
  <si>
    <t>-</t>
    <phoneticPr fontId="4"/>
  </si>
  <si>
    <t>1-2</t>
    <phoneticPr fontId="4"/>
  </si>
  <si>
    <t>株式会社 タイト設計</t>
    <phoneticPr fontId="4"/>
  </si>
  <si>
    <t>金井</t>
    <phoneticPr fontId="4"/>
  </si>
  <si>
    <t>080-1177-5116</t>
    <phoneticPr fontId="4"/>
  </si>
  <si>
    <t>taito-skanai@rhythm.ocn.ne.jp</t>
    <phoneticPr fontId="4"/>
  </si>
  <si>
    <t>佐藤構造設計</t>
    <phoneticPr fontId="4"/>
  </si>
  <si>
    <t>佐藤 浩久</t>
    <phoneticPr fontId="4"/>
  </si>
  <si>
    <t>s-kozo@amail.plala.or.jp</t>
    <phoneticPr fontId="4"/>
  </si>
  <si>
    <t>-</t>
    <phoneticPr fontId="4"/>
  </si>
  <si>
    <t>-</t>
    <phoneticPr fontId="4"/>
  </si>
  <si>
    <t>-</t>
    <phoneticPr fontId="4"/>
  </si>
  <si>
    <t>○</t>
    <phoneticPr fontId="4"/>
  </si>
  <si>
    <t>盛土</t>
    <rPh sb="0" eb="2">
      <t>モリド</t>
    </rPh>
    <phoneticPr fontId="4"/>
  </si>
  <si>
    <t>ﾛｰﾑ</t>
    <phoneticPr fontId="4"/>
  </si>
  <si>
    <t>-</t>
    <phoneticPr fontId="4"/>
  </si>
  <si>
    <t>3m</t>
    <phoneticPr fontId="4"/>
  </si>
  <si>
    <t>ﾛｰﾑ</t>
    <phoneticPr fontId="4"/>
  </si>
  <si>
    <t>ﾛｰﾑ</t>
    <phoneticPr fontId="4"/>
  </si>
  <si>
    <t>-</t>
    <phoneticPr fontId="4"/>
  </si>
  <si>
    <t>-</t>
    <phoneticPr fontId="4"/>
  </si>
  <si>
    <t>○</t>
    <phoneticPr fontId="4"/>
  </si>
  <si>
    <t>既存建物への増築。2棟。</t>
    <rPh sb="0" eb="2">
      <t>キソン</t>
    </rPh>
    <rPh sb="2" eb="4">
      <t>タテモノ</t>
    </rPh>
    <rPh sb="6" eb="8">
      <t>ゾウチク</t>
    </rPh>
    <rPh sb="10" eb="11">
      <t>トウ</t>
    </rPh>
    <phoneticPr fontId="4"/>
  </si>
  <si>
    <t>有限会社 石山建築研究所</t>
    <phoneticPr fontId="4"/>
  </si>
  <si>
    <t>阿部 豊</t>
    <phoneticPr fontId="4"/>
  </si>
  <si>
    <t>株式会社 ナカノフドー建設</t>
    <phoneticPr fontId="4"/>
  </si>
  <si>
    <t>5月末～6月初旬</t>
    <phoneticPr fontId="4"/>
  </si>
  <si>
    <t>新浜町</t>
    <rPh sb="0" eb="1">
      <t>シン</t>
    </rPh>
    <rPh sb="1" eb="2">
      <t>ハマ</t>
    </rPh>
    <rPh sb="2" eb="3">
      <t>マチ</t>
    </rPh>
    <phoneticPr fontId="4"/>
  </si>
  <si>
    <t>3</t>
    <phoneticPr fontId="4"/>
  </si>
  <si>
    <t>1m</t>
    <phoneticPr fontId="4"/>
  </si>
  <si>
    <t>ｼﾙﾄ質粘土</t>
    <rPh sb="3" eb="4">
      <t>シツ</t>
    </rPh>
    <rPh sb="4" eb="6">
      <t>ネンド</t>
    </rPh>
    <phoneticPr fontId="4"/>
  </si>
  <si>
    <t>7m</t>
    <phoneticPr fontId="4"/>
  </si>
  <si>
    <t>2m</t>
    <phoneticPr fontId="4"/>
  </si>
  <si>
    <t>ｼﾙﾄ混じり砂</t>
    <rPh sb="3" eb="4">
      <t>マ</t>
    </rPh>
    <rPh sb="6" eb="7">
      <t>スナ</t>
    </rPh>
    <phoneticPr fontId="4"/>
  </si>
  <si>
    <t>1m</t>
    <phoneticPr fontId="4"/>
  </si>
  <si>
    <t>水路近接。</t>
    <rPh sb="0" eb="2">
      <t>スイロ</t>
    </rPh>
    <rPh sb="2" eb="4">
      <t>キンセツ</t>
    </rPh>
    <phoneticPr fontId="4"/>
  </si>
  <si>
    <t>ｼﾙﾄ質粘土(府植物混入)</t>
    <rPh sb="3" eb="6">
      <t>シツネンド</t>
    </rPh>
    <rPh sb="7" eb="8">
      <t>フ</t>
    </rPh>
    <rPh sb="8" eb="10">
      <t>ショクブツ</t>
    </rPh>
    <rPh sb="10" eb="12">
      <t>コンニュウ</t>
    </rPh>
    <phoneticPr fontId="4"/>
  </si>
  <si>
    <t>KT-2</t>
    <phoneticPr fontId="4"/>
  </si>
  <si>
    <t>西村山郡</t>
    <rPh sb="0" eb="2">
      <t>ニシムラ</t>
    </rPh>
    <rPh sb="2" eb="3">
      <t>ヤマ</t>
    </rPh>
    <rPh sb="3" eb="4">
      <t>グン</t>
    </rPh>
    <phoneticPr fontId="4"/>
  </si>
  <si>
    <t>河北町谷地</t>
    <rPh sb="0" eb="2">
      <t>カワキタ</t>
    </rPh>
    <rPh sb="2" eb="3">
      <t>マチ</t>
    </rPh>
    <rPh sb="3" eb="4">
      <t>タニ</t>
    </rPh>
    <rPh sb="4" eb="5">
      <t>チ</t>
    </rPh>
    <phoneticPr fontId="4"/>
  </si>
  <si>
    <t>申請</t>
    <rPh sb="0" eb="2">
      <t>シンセイ</t>
    </rPh>
    <phoneticPr fontId="4"/>
  </si>
  <si>
    <t>店舗・工場</t>
    <rPh sb="0" eb="2">
      <t>テンポ</t>
    </rPh>
    <rPh sb="3" eb="5">
      <t>コウジョウ</t>
    </rPh>
    <phoneticPr fontId="4"/>
  </si>
  <si>
    <t>JA全農岐阜青果物貯蔵施設</t>
    <phoneticPr fontId="4"/>
  </si>
  <si>
    <t>武田 雄太</t>
    <phoneticPr fontId="4"/>
  </si>
  <si>
    <t>023-634-8161</t>
    <phoneticPr fontId="4"/>
  </si>
  <si>
    <t xml:space="preserve">takeda-yuuta@zennoh.or.jp </t>
    <phoneticPr fontId="4"/>
  </si>
  <si>
    <t>スーパーマルハチ新大阪</t>
    <rPh sb="8" eb="9">
      <t>シン</t>
    </rPh>
    <rPh sb="9" eb="11">
      <t>オオサカ</t>
    </rPh>
    <phoneticPr fontId="4"/>
  </si>
  <si>
    <t>大阪市</t>
    <rPh sb="0" eb="3">
      <t>オオサカシ</t>
    </rPh>
    <phoneticPr fontId="4"/>
  </si>
  <si>
    <t>淀川区西三国</t>
    <rPh sb="0" eb="3">
      <t>ヨドガワク</t>
    </rPh>
    <rPh sb="3" eb="4">
      <t>ニシ</t>
    </rPh>
    <rPh sb="4" eb="5">
      <t>サン</t>
    </rPh>
    <rPh sb="5" eb="6">
      <t>クニ</t>
    </rPh>
    <phoneticPr fontId="4"/>
  </si>
  <si>
    <t>2F建(一部3F建)</t>
    <rPh sb="2" eb="3">
      <t>タ</t>
    </rPh>
    <rPh sb="4" eb="6">
      <t>イチブ</t>
    </rPh>
    <rPh sb="8" eb="9">
      <t>タ</t>
    </rPh>
    <phoneticPr fontId="4"/>
  </si>
  <si>
    <t>屋駐</t>
    <rPh sb="0" eb="1">
      <t>ヤ</t>
    </rPh>
    <rPh sb="1" eb="2">
      <t>チュウ</t>
    </rPh>
    <phoneticPr fontId="4"/>
  </si>
  <si>
    <t>株式会社 山田建築構造事務所</t>
    <phoneticPr fontId="4"/>
  </si>
  <si>
    <t>株式会社 山田建築構造事務所</t>
    <phoneticPr fontId="4"/>
  </si>
  <si>
    <t>カブシキガイシャ ヤマダケンチクコウゾウジムショ</t>
    <phoneticPr fontId="4"/>
  </si>
  <si>
    <t>宮崎 英也</t>
    <phoneticPr fontId="4"/>
  </si>
  <si>
    <t>06-6765-9001</t>
    <phoneticPr fontId="4"/>
  </si>
  <si>
    <t>miyazaki.h@yamakou-aso.co.jp</t>
    <phoneticPr fontId="4"/>
  </si>
  <si>
    <t xml:space="preserve">  申請</t>
    <phoneticPr fontId="4"/>
  </si>
  <si>
    <t>着工</t>
    <rPh sb="0" eb="2">
      <t>チャッコウ</t>
    </rPh>
    <phoneticPr fontId="4"/>
  </si>
  <si>
    <t>現説</t>
    <rPh sb="0" eb="2">
      <t>ゲンセツ</t>
    </rPh>
    <phoneticPr fontId="4"/>
  </si>
  <si>
    <t>岐阜県</t>
    <phoneticPr fontId="4"/>
  </si>
  <si>
    <t>海津市</t>
    <rPh sb="0" eb="1">
      <t>ウミ</t>
    </rPh>
    <rPh sb="1" eb="2">
      <t>ツ</t>
    </rPh>
    <rPh sb="2" eb="3">
      <t>シ</t>
    </rPh>
    <phoneticPr fontId="4"/>
  </si>
  <si>
    <t>平田町仏師川字竹橋</t>
    <rPh sb="0" eb="2">
      <t>ヒラタ</t>
    </rPh>
    <rPh sb="2" eb="3">
      <t>マチ</t>
    </rPh>
    <rPh sb="3" eb="4">
      <t>ブツ</t>
    </rPh>
    <rPh sb="4" eb="5">
      <t>シ</t>
    </rPh>
    <rPh sb="5" eb="6">
      <t>カワ</t>
    </rPh>
    <rPh sb="6" eb="7">
      <t>ジ</t>
    </rPh>
    <rPh sb="7" eb="9">
      <t>タケハシ</t>
    </rPh>
    <phoneticPr fontId="4"/>
  </si>
  <si>
    <t>3</t>
    <phoneticPr fontId="4"/>
  </si>
  <si>
    <t>2m</t>
    <phoneticPr fontId="4"/>
  </si>
  <si>
    <t>ｼﾙﾄ</t>
    <phoneticPr fontId="4"/>
  </si>
  <si>
    <t>1m</t>
    <phoneticPr fontId="4"/>
  </si>
  <si>
    <t>砂質ｼﾙﾄ</t>
    <rPh sb="0" eb="1">
      <t>スナ</t>
    </rPh>
    <rPh sb="1" eb="2">
      <t>シツ</t>
    </rPh>
    <phoneticPr fontId="4"/>
  </si>
  <si>
    <t>1m</t>
    <phoneticPr fontId="4"/>
  </si>
  <si>
    <t>細砂</t>
    <rPh sb="0" eb="1">
      <t>サイ</t>
    </rPh>
    <rPh sb="1" eb="2">
      <t>スナ</t>
    </rPh>
    <phoneticPr fontId="4"/>
  </si>
  <si>
    <t>倉庫・畑</t>
    <rPh sb="0" eb="2">
      <t>ソウコ</t>
    </rPh>
    <rPh sb="3" eb="4">
      <t>ハタケ</t>
    </rPh>
    <phoneticPr fontId="4"/>
  </si>
  <si>
    <t>敷地内への増築工事。敷地内全面改良。</t>
    <rPh sb="0" eb="2">
      <t>シキチ</t>
    </rPh>
    <rPh sb="2" eb="3">
      <t>ナイ</t>
    </rPh>
    <rPh sb="5" eb="7">
      <t>ゾウチク</t>
    </rPh>
    <rPh sb="7" eb="9">
      <t>コウジ</t>
    </rPh>
    <rPh sb="10" eb="12">
      <t>シキチ</t>
    </rPh>
    <rPh sb="12" eb="13">
      <t>ナイ</t>
    </rPh>
    <rPh sb="13" eb="15">
      <t>ゼンメン</t>
    </rPh>
    <rPh sb="15" eb="17">
      <t>カイリョウ</t>
    </rPh>
    <phoneticPr fontId="4"/>
  </si>
  <si>
    <t>カブシキガイシャ UCM</t>
    <phoneticPr fontId="4"/>
  </si>
  <si>
    <t>財団法人 日本建築総合試験所</t>
    <phoneticPr fontId="4"/>
  </si>
  <si>
    <t>株式会社 盛本構造設計事務所</t>
    <phoneticPr fontId="4"/>
  </si>
  <si>
    <t>畠中 誠之</t>
    <phoneticPr fontId="4"/>
  </si>
  <si>
    <t>m_hatanaka@morimo-kozo.jp</t>
    <phoneticPr fontId="4"/>
  </si>
  <si>
    <t>愛知県岡崎市井田町字1丁目8番地1</t>
    <phoneticPr fontId="4"/>
  </si>
  <si>
    <t>0564-23-0550</t>
    <phoneticPr fontId="4"/>
  </si>
  <si>
    <t>　申請</t>
    <rPh sb="1" eb="3">
      <t>シンセイ</t>
    </rPh>
    <phoneticPr fontId="4"/>
  </si>
  <si>
    <t>ケーズデンキ北上</t>
    <rPh sb="6" eb="7">
      <t>キタ</t>
    </rPh>
    <rPh sb="7" eb="8">
      <t>ウエ</t>
    </rPh>
    <phoneticPr fontId="4"/>
  </si>
  <si>
    <t xml:space="preserve"> 現説</t>
    <rPh sb="1" eb="3">
      <t>ゲンセツ</t>
    </rPh>
    <phoneticPr fontId="4"/>
  </si>
  <si>
    <t>岩手県</t>
    <rPh sb="0" eb="3">
      <t>イワテケン</t>
    </rPh>
    <phoneticPr fontId="4"/>
  </si>
  <si>
    <t>北上市</t>
    <rPh sb="0" eb="1">
      <t>キタ</t>
    </rPh>
    <rPh sb="1" eb="2">
      <t>ウエ</t>
    </rPh>
    <rPh sb="2" eb="3">
      <t>シ</t>
    </rPh>
    <phoneticPr fontId="4"/>
  </si>
  <si>
    <t>着工</t>
    <rPh sb="0" eb="2">
      <t>チャッコウ</t>
    </rPh>
    <phoneticPr fontId="4"/>
  </si>
  <si>
    <t>造成工事と建築工事を同時に行う。</t>
    <rPh sb="0" eb="2">
      <t>ゾウセイ</t>
    </rPh>
    <rPh sb="2" eb="4">
      <t>コウジ</t>
    </rPh>
    <rPh sb="5" eb="7">
      <t>ケンチク</t>
    </rPh>
    <rPh sb="7" eb="9">
      <t>コウジ</t>
    </rPh>
    <rPh sb="10" eb="12">
      <t>ドウジ</t>
    </rPh>
    <rPh sb="13" eb="14">
      <t>オコナ</t>
    </rPh>
    <phoneticPr fontId="4"/>
  </si>
  <si>
    <t>タオ
ホア</t>
    <phoneticPr fontId="4"/>
  </si>
  <si>
    <t>北鬼柳</t>
    <phoneticPr fontId="4"/>
  </si>
  <si>
    <t>門脇字元浦屋敷</t>
    <rPh sb="0" eb="1">
      <t>モン</t>
    </rPh>
    <rPh sb="1" eb="2">
      <t>ワキ</t>
    </rPh>
    <rPh sb="2" eb="3">
      <t>アザ</t>
    </rPh>
    <rPh sb="3" eb="4">
      <t>モト</t>
    </rPh>
    <rPh sb="4" eb="5">
      <t>ウラ</t>
    </rPh>
    <rPh sb="5" eb="7">
      <t>ヤシキ</t>
    </rPh>
    <phoneticPr fontId="4"/>
  </si>
  <si>
    <t>港町</t>
    <rPh sb="0" eb="1">
      <t>ミナト</t>
    </rPh>
    <rPh sb="1" eb="2">
      <t>マチ</t>
    </rPh>
    <phoneticPr fontId="4"/>
  </si>
  <si>
    <t>ｼﾙﾄ(府植物含む)</t>
    <rPh sb="4" eb="5">
      <t>フ</t>
    </rPh>
    <rPh sb="5" eb="7">
      <t>ショクブツ</t>
    </rPh>
    <rPh sb="7" eb="8">
      <t>フク</t>
    </rPh>
    <phoneticPr fontId="4"/>
  </si>
  <si>
    <t>株式会社 平吹設計事務所</t>
    <phoneticPr fontId="4"/>
  </si>
  <si>
    <t>横山 政雄</t>
    <phoneticPr fontId="4"/>
  </si>
  <si>
    <t>0293-43-3517</t>
    <phoneticPr fontId="4"/>
  </si>
  <si>
    <t>茨城県北茨城市中郷町石岡1,532-1</t>
    <phoneticPr fontId="4"/>
  </si>
  <si>
    <t>yoko-arc@amail.plala.or.jp</t>
    <phoneticPr fontId="4"/>
  </si>
  <si>
    <t>茨城県 北茨城市役所</t>
    <phoneticPr fontId="4"/>
  </si>
  <si>
    <t>戸田浩平建築設計事務所</t>
    <phoneticPr fontId="4"/>
  </si>
  <si>
    <t>春日部市</t>
    <phoneticPr fontId="4"/>
  </si>
  <si>
    <t>切土・盛土あり</t>
    <rPh sb="0" eb="1">
      <t>キ</t>
    </rPh>
    <rPh sb="1" eb="2">
      <t>ド</t>
    </rPh>
    <rPh sb="3" eb="5">
      <t>モリド</t>
    </rPh>
    <phoneticPr fontId="4"/>
  </si>
  <si>
    <t>福井県</t>
    <rPh sb="0" eb="3">
      <t>フクイケン</t>
    </rPh>
    <phoneticPr fontId="4"/>
  </si>
  <si>
    <t>小浜市</t>
    <rPh sb="0" eb="2">
      <t>コハマ</t>
    </rPh>
    <rPh sb="2" eb="3">
      <t>シ</t>
    </rPh>
    <phoneticPr fontId="4"/>
  </si>
  <si>
    <t>多田</t>
    <rPh sb="0" eb="2">
      <t>タダ</t>
    </rPh>
    <phoneticPr fontId="4"/>
  </si>
  <si>
    <t>前畑 和生</t>
    <phoneticPr fontId="4"/>
  </si>
  <si>
    <t>maehatak@nifty.com</t>
    <phoneticPr fontId="4"/>
  </si>
  <si>
    <t>滋賀県大津市二本松4-15</t>
    <phoneticPr fontId="4"/>
  </si>
  <si>
    <t>077-525-6844</t>
    <phoneticPr fontId="4"/>
  </si>
  <si>
    <t>石川県小松市長崎町甲118</t>
    <phoneticPr fontId="4"/>
  </si>
  <si>
    <t>株式会社 吉光組</t>
    <rPh sb="0" eb="2">
      <t>カブシキ</t>
    </rPh>
    <rPh sb="2" eb="4">
      <t>カイシャ</t>
    </rPh>
    <phoneticPr fontId="4"/>
  </si>
  <si>
    <t>道 勇治</t>
    <phoneticPr fontId="4"/>
  </si>
  <si>
    <t>090-2843-4832</t>
    <phoneticPr fontId="4"/>
  </si>
  <si>
    <t>michi@yoshimitsugumi.co.jp</t>
    <phoneticPr fontId="4"/>
  </si>
  <si>
    <t>株式会社 大城組</t>
    <rPh sb="0" eb="2">
      <t>カブシキ</t>
    </rPh>
    <rPh sb="2" eb="4">
      <t>カイシャ</t>
    </rPh>
    <phoneticPr fontId="4"/>
  </si>
  <si>
    <t>株式会社 大城組</t>
    <phoneticPr fontId="4"/>
  </si>
  <si>
    <t>カブシキガイシャ オオシログミ</t>
    <phoneticPr fontId="4"/>
  </si>
  <si>
    <t>ホンダ開発 株式会社</t>
    <rPh sb="3" eb="5">
      <t>カイハツ</t>
    </rPh>
    <rPh sb="6" eb="8">
      <t>カブシキ</t>
    </rPh>
    <rPh sb="8" eb="10">
      <t>カイシャ</t>
    </rPh>
    <phoneticPr fontId="4"/>
  </si>
  <si>
    <t>ホンダカイハツ カブシキガイシャ</t>
    <phoneticPr fontId="4"/>
  </si>
  <si>
    <t>ホンダ開発 株式会社</t>
    <phoneticPr fontId="4"/>
  </si>
  <si>
    <t>合同会社 前畑建築事務所</t>
    <phoneticPr fontId="4"/>
  </si>
  <si>
    <t>合同会社 前畑建築事務所</t>
    <phoneticPr fontId="4"/>
  </si>
  <si>
    <t>ゴウドウガイシャ マエハタケンチクジムショ</t>
    <phoneticPr fontId="4"/>
  </si>
  <si>
    <t>株式会社 盛本構造設計事務所</t>
    <phoneticPr fontId="4"/>
  </si>
  <si>
    <t>カブシキガイシャ モリモトコウゾウセッケイジムショ</t>
    <phoneticPr fontId="4"/>
  </si>
  <si>
    <t>一式、スパン31.5m。支持地盤に傾斜あり。</t>
    <rPh sb="0" eb="2">
      <t>イッシキ</t>
    </rPh>
    <rPh sb="12" eb="14">
      <t>シジ</t>
    </rPh>
    <rPh sb="14" eb="16">
      <t>ジバン</t>
    </rPh>
    <rPh sb="17" eb="19">
      <t>ケイシャ</t>
    </rPh>
    <phoneticPr fontId="4"/>
  </si>
  <si>
    <t>150(施主指示)</t>
    <rPh sb="4" eb="6">
      <t>セシュ</t>
    </rPh>
    <rPh sb="6" eb="8">
      <t>シジ</t>
    </rPh>
    <phoneticPr fontId="4"/>
  </si>
  <si>
    <t>砂質ｼﾙﾄ</t>
    <rPh sb="0" eb="1">
      <t>スナ</t>
    </rPh>
    <rPh sb="1" eb="2">
      <t>シツ</t>
    </rPh>
    <phoneticPr fontId="4"/>
  </si>
  <si>
    <t>ｼﾙﾄ</t>
    <phoneticPr fontId="4"/>
  </si>
  <si>
    <t>冷蔵倉庫</t>
    <rPh sb="0" eb="2">
      <t>レイゾウ</t>
    </rPh>
    <phoneticPr fontId="4"/>
  </si>
  <si>
    <t>3</t>
    <phoneticPr fontId="4"/>
  </si>
  <si>
    <t>ショールーム、洗車場の2棟。ラップルコンクリートからの計画変更。</t>
    <rPh sb="7" eb="10">
      <t>センシャジョウ</t>
    </rPh>
    <rPh sb="12" eb="13">
      <t>トウ</t>
    </rPh>
    <rPh sb="27" eb="29">
      <t>ケイカク</t>
    </rPh>
    <rPh sb="29" eb="31">
      <t>ヘンコウ</t>
    </rPh>
    <phoneticPr fontId="4"/>
  </si>
  <si>
    <t>細砂</t>
    <rPh sb="0" eb="1">
      <t>サイ</t>
    </rPh>
    <rPh sb="1" eb="2">
      <t>スナ</t>
    </rPh>
    <phoneticPr fontId="4"/>
  </si>
  <si>
    <t>1m</t>
    <phoneticPr fontId="4"/>
  </si>
  <si>
    <t>1m</t>
    <phoneticPr fontId="4"/>
  </si>
  <si>
    <t>-</t>
    <phoneticPr fontId="4"/>
  </si>
  <si>
    <t>有機質ｼﾙﾄ</t>
    <rPh sb="0" eb="3">
      <t>ユウキシツ</t>
    </rPh>
    <phoneticPr fontId="4"/>
  </si>
  <si>
    <t>店舗</t>
    <rPh sb="0" eb="2">
      <t>テンポ</t>
    </rPh>
    <phoneticPr fontId="4"/>
  </si>
  <si>
    <t>東金市</t>
    <phoneticPr fontId="4"/>
  </si>
  <si>
    <t>着工時期不明</t>
    <rPh sb="0" eb="2">
      <t>チャッコウ</t>
    </rPh>
    <rPh sb="2" eb="4">
      <t>ジキ</t>
    </rPh>
    <rPh sb="4" eb="6">
      <t>フメイ</t>
    </rPh>
    <phoneticPr fontId="4"/>
  </si>
  <si>
    <t>6月着工予定であるが、開発工事が遅れており延びる可能性。コロナの関係は不明。</t>
    <rPh sb="1" eb="2">
      <t>ガツ</t>
    </rPh>
    <rPh sb="2" eb="4">
      <t>チャッコウ</t>
    </rPh>
    <rPh sb="4" eb="6">
      <t>ヨテイ</t>
    </rPh>
    <rPh sb="11" eb="13">
      <t>カイハツ</t>
    </rPh>
    <rPh sb="13" eb="15">
      <t>コウジ</t>
    </rPh>
    <rPh sb="16" eb="17">
      <t>オク</t>
    </rPh>
    <rPh sb="21" eb="22">
      <t>ノ</t>
    </rPh>
    <rPh sb="24" eb="27">
      <t>カノウセイ</t>
    </rPh>
    <rPh sb="32" eb="34">
      <t>カンケイ</t>
    </rPh>
    <rPh sb="35" eb="37">
      <t>フメイ</t>
    </rPh>
    <phoneticPr fontId="4"/>
  </si>
  <si>
    <t>確認
適判
対応中</t>
    <rPh sb="0" eb="2">
      <t>カクニン</t>
    </rPh>
    <rPh sb="3" eb="5">
      <t>テキハン</t>
    </rPh>
    <rPh sb="6" eb="8">
      <t>タイオウ</t>
    </rPh>
    <rPh sb="8" eb="9">
      <t>ナカ</t>
    </rPh>
    <phoneticPr fontId="4"/>
  </si>
  <si>
    <t>意匠の変更あり。スケジュール不明。</t>
    <rPh sb="0" eb="2">
      <t>イショウ</t>
    </rPh>
    <rPh sb="3" eb="5">
      <t>ヘンコウ</t>
    </rPh>
    <rPh sb="14" eb="16">
      <t>フメイ</t>
    </rPh>
    <phoneticPr fontId="4"/>
  </si>
  <si>
    <t>5月末～6月初旬着工</t>
    <rPh sb="8" eb="10">
      <t>チャッコウ</t>
    </rPh>
    <phoneticPr fontId="4"/>
  </si>
  <si>
    <t>植松</t>
    <rPh sb="0" eb="2">
      <t>ウエマツ</t>
    </rPh>
    <phoneticPr fontId="4"/>
  </si>
  <si>
    <t>鹿児島県</t>
    <phoneticPr fontId="4"/>
  </si>
  <si>
    <t>霧島市</t>
    <phoneticPr fontId="4"/>
  </si>
  <si>
    <t>国分中央</t>
    <phoneticPr fontId="4"/>
  </si>
  <si>
    <t>092-433-1128</t>
    <phoneticPr fontId="4"/>
  </si>
  <si>
    <t>株式会社 慧建築事務所</t>
    <rPh sb="0" eb="4">
      <t>カブシキカイシャ</t>
    </rPh>
    <phoneticPr fontId="4"/>
  </si>
  <si>
    <t>二宮</t>
    <phoneticPr fontId="4"/>
  </si>
  <si>
    <t>kkentiku@ruby.ocn.ne.jp</t>
    <phoneticPr fontId="4"/>
  </si>
  <si>
    <t>092-415-5151</t>
    <phoneticPr fontId="4"/>
  </si>
  <si>
    <t>着工</t>
    <rPh sb="0" eb="2">
      <t>チャッコウ</t>
    </rPh>
    <phoneticPr fontId="4"/>
  </si>
  <si>
    <t>松山建築設計室</t>
    <phoneticPr fontId="4"/>
  </si>
  <si>
    <t>松山建築設計室</t>
    <phoneticPr fontId="4"/>
  </si>
  <si>
    <t>マツヤマケンチクセッケイシツ</t>
    <phoneticPr fontId="4"/>
  </si>
  <si>
    <t>着工</t>
    <rPh sb="0" eb="2">
      <t>チャッコウ</t>
    </rPh>
    <phoneticPr fontId="4"/>
  </si>
  <si>
    <t>コロナの影響で工事時期見合わせ。着工時期未確定</t>
    <rPh sb="4" eb="6">
      <t>エイキョウ</t>
    </rPh>
    <rPh sb="7" eb="9">
      <t>コウジ</t>
    </rPh>
    <rPh sb="9" eb="11">
      <t>ジキ</t>
    </rPh>
    <rPh sb="11" eb="13">
      <t>ミア</t>
    </rPh>
    <rPh sb="16" eb="18">
      <t>チャッコウ</t>
    </rPh>
    <rPh sb="18" eb="20">
      <t>ジキ</t>
    </rPh>
    <rPh sb="20" eb="23">
      <t>ミカクテイ</t>
    </rPh>
    <phoneticPr fontId="4"/>
  </si>
  <si>
    <t>着工(コロナの影響は不明)</t>
    <rPh sb="0" eb="2">
      <t>チャッコウ</t>
    </rPh>
    <rPh sb="7" eb="9">
      <t>エイキョウ</t>
    </rPh>
    <rPh sb="10" eb="12">
      <t>フメイ</t>
    </rPh>
    <phoneticPr fontId="4"/>
  </si>
  <si>
    <t>着工(秋田はコロナの影響恐らく無し)</t>
    <rPh sb="0" eb="2">
      <t>チャッコウ</t>
    </rPh>
    <rPh sb="3" eb="5">
      <t>アキタ</t>
    </rPh>
    <rPh sb="10" eb="12">
      <t>エイキョウ</t>
    </rPh>
    <rPh sb="12" eb="13">
      <t>オソ</t>
    </rPh>
    <rPh sb="15" eb="16">
      <t>ナ</t>
    </rPh>
    <phoneticPr fontId="4"/>
  </si>
  <si>
    <t>着工時期不明</t>
    <rPh sb="0" eb="2">
      <t>チャッコウ</t>
    </rPh>
    <rPh sb="2" eb="4">
      <t>ジキ</t>
    </rPh>
    <rPh sb="4" eb="6">
      <t>フメイ</t>
    </rPh>
    <phoneticPr fontId="4"/>
  </si>
  <si>
    <t>着工(コロナで変更する可能性は低い)</t>
    <rPh sb="0" eb="2">
      <t>チャッコウ</t>
    </rPh>
    <rPh sb="7" eb="9">
      <t>ヘンコウ</t>
    </rPh>
    <rPh sb="11" eb="14">
      <t>カノウセイ</t>
    </rPh>
    <rPh sb="15" eb="16">
      <t>ヒク</t>
    </rPh>
    <phoneticPr fontId="4"/>
  </si>
  <si>
    <t>着工(コロナの影響は不明、スケジュールも厳しく延びるかもしれない)</t>
    <rPh sb="0" eb="2">
      <t>チャッコウ</t>
    </rPh>
    <rPh sb="7" eb="9">
      <t>エイキョウ</t>
    </rPh>
    <rPh sb="10" eb="12">
      <t>フメイ</t>
    </rPh>
    <rPh sb="20" eb="21">
      <t>キビ</t>
    </rPh>
    <rPh sb="23" eb="24">
      <t>ノ</t>
    </rPh>
    <phoneticPr fontId="4"/>
  </si>
  <si>
    <t>：コロナの影響なし</t>
    <rPh sb="5" eb="7">
      <t>エイキョウ</t>
    </rPh>
    <phoneticPr fontId="4"/>
  </si>
  <si>
    <t>：コロナの影響不明であるが、延びる可能性あり</t>
    <rPh sb="5" eb="7">
      <t>エイキョウ</t>
    </rPh>
    <rPh sb="7" eb="9">
      <t>フメイ</t>
    </rPh>
    <rPh sb="14" eb="15">
      <t>ノ</t>
    </rPh>
    <rPh sb="17" eb="20">
      <t>カノウセイ</t>
    </rPh>
    <phoneticPr fontId="4"/>
  </si>
  <si>
    <t>：コロナの影響で延長</t>
    <rPh sb="5" eb="7">
      <t>エイキョウ</t>
    </rPh>
    <rPh sb="8" eb="10">
      <t>エンチョウ</t>
    </rPh>
    <phoneticPr fontId="4"/>
  </si>
  <si>
    <t>：コロナの影響不明</t>
    <rPh sb="5" eb="7">
      <t>エイキョウ</t>
    </rPh>
    <rPh sb="7" eb="9">
      <t>フメイ</t>
    </rPh>
    <phoneticPr fontId="4"/>
  </si>
  <si>
    <t>着工(コロナの影響不明であるが、延びる可能性あり)</t>
    <rPh sb="0" eb="2">
      <t>チャッコウ</t>
    </rPh>
    <phoneticPr fontId="4"/>
  </si>
  <si>
    <t>着工(コロナの影響は無し)</t>
    <rPh sb="0" eb="2">
      <t>チャッコウ</t>
    </rPh>
    <rPh sb="10" eb="11">
      <t>ナ</t>
    </rPh>
    <phoneticPr fontId="4"/>
  </si>
  <si>
    <t>着工(コロナの影響は無し)</t>
    <rPh sb="0" eb="2">
      <t>チャッコウ</t>
    </rPh>
    <phoneticPr fontId="4"/>
  </si>
  <si>
    <t>着工(コロナの影響は無いが、補助金の関係で若干ズレる可能性あり)</t>
    <rPh sb="0" eb="2">
      <t>チャッコウ</t>
    </rPh>
    <rPh sb="14" eb="17">
      <t>ホジョキン</t>
    </rPh>
    <rPh sb="18" eb="20">
      <t>カンケイ</t>
    </rPh>
    <rPh sb="21" eb="23">
      <t>ジャッカン</t>
    </rPh>
    <rPh sb="26" eb="29">
      <t>カノウセイ</t>
    </rPh>
    <phoneticPr fontId="4"/>
  </si>
  <si>
    <t>着工(コロナの影響は無いが、補助金の関係で若干ズレる可能性あり)</t>
    <rPh sb="0" eb="2">
      <t>チャッコウ</t>
    </rPh>
    <phoneticPr fontId="4"/>
  </si>
  <si>
    <t>着工(現状コロナの影響は無いが、意匠構造共自宅待機の為、施主承認などで遅れが生じる可能性あり)</t>
    <rPh sb="0" eb="2">
      <t>チャッコウ</t>
    </rPh>
    <rPh sb="3" eb="5">
      <t>ゲンジョウ</t>
    </rPh>
    <rPh sb="16" eb="18">
      <t>イショウ</t>
    </rPh>
    <rPh sb="18" eb="20">
      <t>コウゾウ</t>
    </rPh>
    <rPh sb="20" eb="21">
      <t>トモ</t>
    </rPh>
    <rPh sb="21" eb="23">
      <t>ジタク</t>
    </rPh>
    <rPh sb="23" eb="25">
      <t>タイキ</t>
    </rPh>
    <rPh sb="26" eb="27">
      <t>タメ</t>
    </rPh>
    <rPh sb="28" eb="30">
      <t>セシュ</t>
    </rPh>
    <rPh sb="30" eb="32">
      <t>ショウニン</t>
    </rPh>
    <rPh sb="35" eb="36">
      <t>オク</t>
    </rPh>
    <rPh sb="38" eb="39">
      <t>ショウ</t>
    </rPh>
    <rPh sb="41" eb="44">
      <t>カノウセイ</t>
    </rPh>
    <phoneticPr fontId="4"/>
  </si>
  <si>
    <t>平屋建</t>
    <phoneticPr fontId="4"/>
  </si>
  <si>
    <t>-</t>
    <phoneticPr fontId="4"/>
  </si>
  <si>
    <t>株式会社 平吹設計事務所</t>
    <phoneticPr fontId="4"/>
  </si>
  <si>
    <t>023-643-4407</t>
    <phoneticPr fontId="4"/>
  </si>
  <si>
    <t>-</t>
    <phoneticPr fontId="4"/>
  </si>
  <si>
    <t>-</t>
    <phoneticPr fontId="4"/>
  </si>
  <si>
    <t>-</t>
    <phoneticPr fontId="4"/>
  </si>
  <si>
    <t>-</t>
    <phoneticPr fontId="4"/>
  </si>
  <si>
    <t>盛土</t>
    <rPh sb="0" eb="2">
      <t>モリド</t>
    </rPh>
    <phoneticPr fontId="4"/>
  </si>
  <si>
    <t>有機質ｼﾙﾄ</t>
    <rPh sb="0" eb="3">
      <t>ユウキシツ</t>
    </rPh>
    <phoneticPr fontId="4"/>
  </si>
  <si>
    <t>○</t>
    <phoneticPr fontId="4"/>
  </si>
  <si>
    <t>-</t>
    <phoneticPr fontId="4"/>
  </si>
  <si>
    <t>2m</t>
    <phoneticPr fontId="4"/>
  </si>
  <si>
    <t>-</t>
    <phoneticPr fontId="4"/>
  </si>
  <si>
    <t>-</t>
    <phoneticPr fontId="4"/>
  </si>
  <si>
    <t>2m</t>
    <phoneticPr fontId="4"/>
  </si>
  <si>
    <t>ｼﾙﾄ</t>
    <phoneticPr fontId="4"/>
  </si>
  <si>
    <t>:不明、連絡取れず</t>
    <rPh sb="1" eb="3">
      <t>フメイ</t>
    </rPh>
    <rPh sb="4" eb="6">
      <t>レンラク</t>
    </rPh>
    <rPh sb="6" eb="7">
      <t>ト</t>
    </rPh>
    <phoneticPr fontId="4"/>
  </si>
  <si>
    <t>青字</t>
    <rPh sb="0" eb="1">
      <t>アオ</t>
    </rPh>
    <rPh sb="1" eb="2">
      <t>ジ</t>
    </rPh>
    <phoneticPr fontId="4"/>
  </si>
  <si>
    <t>平屋建、2F建</t>
    <rPh sb="0" eb="2">
      <t>ヒラヤ</t>
    </rPh>
    <rPh sb="2" eb="3">
      <t>タ</t>
    </rPh>
    <rPh sb="6" eb="7">
      <t>タ</t>
    </rPh>
    <phoneticPr fontId="4"/>
  </si>
  <si>
    <t>タオ</t>
    <phoneticPr fontId="4"/>
  </si>
  <si>
    <t>村上
ホア</t>
    <rPh sb="0" eb="2">
      <t>ムラカミ</t>
    </rPh>
    <phoneticPr fontId="4"/>
  </si>
  <si>
    <t>ユイ
ﾏｲｱｲﾝ</t>
    <phoneticPr fontId="4"/>
  </si>
  <si>
    <t>着工</t>
    <rPh sb="0" eb="2">
      <t>チャッコウ</t>
    </rPh>
    <phoneticPr fontId="4"/>
  </si>
  <si>
    <t>申請</t>
    <rPh sb="0" eb="2">
      <t>シンセイ</t>
    </rPh>
    <phoneticPr fontId="4"/>
  </si>
  <si>
    <t>日本建築検査協会 株式会社</t>
    <phoneticPr fontId="4"/>
  </si>
  <si>
    <t>財団法人 日本建築センター</t>
    <phoneticPr fontId="4"/>
  </si>
  <si>
    <t>岡山県建築住宅センター 株式会社</t>
    <phoneticPr fontId="4"/>
  </si>
  <si>
    <t>カナモト小浜営業所</t>
    <phoneticPr fontId="4"/>
  </si>
  <si>
    <t>○
4m</t>
    <phoneticPr fontId="4"/>
  </si>
  <si>
    <t>粘土</t>
    <rPh sb="0" eb="2">
      <t>ネンド</t>
    </rPh>
    <phoneticPr fontId="4"/>
  </si>
  <si>
    <t>ｼﾙﾄ</t>
    <phoneticPr fontId="4"/>
  </si>
  <si>
    <t>1m</t>
    <phoneticPr fontId="4"/>
  </si>
  <si>
    <t>3m</t>
    <phoneticPr fontId="4"/>
  </si>
  <si>
    <t>4m</t>
    <phoneticPr fontId="4"/>
  </si>
  <si>
    <t>ｼﾙﾄ質細砂</t>
    <rPh sb="3" eb="4">
      <t>シツ</t>
    </rPh>
    <rPh sb="4" eb="5">
      <t>サイ</t>
    </rPh>
    <rPh sb="5" eb="6">
      <t>スナ</t>
    </rPh>
    <phoneticPr fontId="4"/>
  </si>
  <si>
    <t>3m</t>
    <phoneticPr fontId="4"/>
  </si>
  <si>
    <t>砂混じりｼﾙﾄ</t>
    <rPh sb="0" eb="1">
      <t>スナ</t>
    </rPh>
    <rPh sb="1" eb="2">
      <t>マ</t>
    </rPh>
    <phoneticPr fontId="4"/>
  </si>
  <si>
    <t>増富木ノ下耕地</t>
    <rPh sb="0" eb="1">
      <t>マ</t>
    </rPh>
    <rPh sb="1" eb="2">
      <t>トミ</t>
    </rPh>
    <rPh sb="2" eb="3">
      <t>キ</t>
    </rPh>
    <rPh sb="4" eb="5">
      <t>シタ</t>
    </rPh>
    <rPh sb="5" eb="7">
      <t>コウチ</t>
    </rPh>
    <phoneticPr fontId="4"/>
  </si>
  <si>
    <t>一條 政範</t>
    <phoneticPr fontId="4"/>
  </si>
  <si>
    <t>023-666-7111</t>
    <phoneticPr fontId="4"/>
  </si>
  <si>
    <t>ichijo@hirabukisekkei.co.jp</t>
    <phoneticPr fontId="4"/>
  </si>
  <si>
    <t>6月以降より意匠設計。スケジュール未確定</t>
    <rPh sb="1" eb="2">
      <t>ガツ</t>
    </rPh>
    <rPh sb="2" eb="4">
      <t>イコウ</t>
    </rPh>
    <rPh sb="6" eb="8">
      <t>イショウ</t>
    </rPh>
    <rPh sb="8" eb="10">
      <t>セッケイ</t>
    </rPh>
    <rPh sb="17" eb="20">
      <t>ミカクテイ</t>
    </rPh>
    <phoneticPr fontId="4"/>
  </si>
  <si>
    <t>コスモ石油株式会社 堺製油所 常駐協力会社建屋</t>
    <rPh sb="3" eb="5">
      <t>セキユ</t>
    </rPh>
    <rPh sb="5" eb="7">
      <t>カブシキ</t>
    </rPh>
    <rPh sb="7" eb="9">
      <t>カイシャ</t>
    </rPh>
    <rPh sb="10" eb="11">
      <t>サカイ</t>
    </rPh>
    <rPh sb="11" eb="13">
      <t>セイユ</t>
    </rPh>
    <rPh sb="13" eb="14">
      <t>ショ</t>
    </rPh>
    <rPh sb="15" eb="17">
      <t>ジョウチュウ</t>
    </rPh>
    <rPh sb="17" eb="19">
      <t>キョウリョク</t>
    </rPh>
    <rPh sb="19" eb="21">
      <t>カイシャ</t>
    </rPh>
    <rPh sb="21" eb="23">
      <t>タテヤ</t>
    </rPh>
    <phoneticPr fontId="4"/>
  </si>
  <si>
    <t>大阪府</t>
    <phoneticPr fontId="4"/>
  </si>
  <si>
    <t>堺市</t>
    <phoneticPr fontId="4"/>
  </si>
  <si>
    <t>西区築港新町</t>
    <phoneticPr fontId="4"/>
  </si>
  <si>
    <t>大和リース 株式会社</t>
    <phoneticPr fontId="4"/>
  </si>
  <si>
    <t>大和リース 株式会社</t>
    <phoneticPr fontId="4"/>
  </si>
  <si>
    <t>株式会社 淺川組</t>
    <phoneticPr fontId="4"/>
  </si>
  <si>
    <t>濱名 和幸</t>
    <phoneticPr fontId="4"/>
  </si>
  <si>
    <t>06-6251-1761</t>
    <phoneticPr fontId="4"/>
  </si>
  <si>
    <t>hamanak@asakawagumi.co.jp</t>
    <phoneticPr fontId="4"/>
  </si>
  <si>
    <t>3</t>
    <phoneticPr fontId="4"/>
  </si>
  <si>
    <t>盛土</t>
    <rPh sb="0" eb="2">
      <t>モリド</t>
    </rPh>
    <phoneticPr fontId="4"/>
  </si>
  <si>
    <t>砂</t>
    <rPh sb="0" eb="1">
      <t>スナ</t>
    </rPh>
    <phoneticPr fontId="4"/>
  </si>
  <si>
    <t>-</t>
    <phoneticPr fontId="4"/>
  </si>
  <si>
    <t>1m</t>
    <phoneticPr fontId="4"/>
  </si>
  <si>
    <t>9m</t>
    <phoneticPr fontId="4"/>
  </si>
  <si>
    <t>砂質ｼﾙﾄ</t>
    <rPh sb="0" eb="1">
      <t>スナ</t>
    </rPh>
    <rPh sb="1" eb="2">
      <t>シツ</t>
    </rPh>
    <phoneticPr fontId="4"/>
  </si>
  <si>
    <t>2棟。電柱近接。</t>
    <rPh sb="1" eb="2">
      <t>トウ</t>
    </rPh>
    <rPh sb="3" eb="5">
      <t>デンチュウ</t>
    </rPh>
    <rPh sb="5" eb="7">
      <t>キンセツ</t>
    </rPh>
    <phoneticPr fontId="4"/>
  </si>
  <si>
    <t>ポルシェ鹿児島</t>
    <phoneticPr fontId="4"/>
  </si>
  <si>
    <t>意匠+構造</t>
    <rPh sb="0" eb="2">
      <t>イショウ</t>
    </rPh>
    <rPh sb="3" eb="5">
      <t>コウゾウ</t>
    </rPh>
    <phoneticPr fontId="4"/>
  </si>
  <si>
    <t>BMW米子</t>
    <phoneticPr fontId="4"/>
  </si>
  <si>
    <t>4/24出張報告</t>
    <rPh sb="4" eb="6">
      <t>シュッチョウ</t>
    </rPh>
    <rPh sb="6" eb="8">
      <t>ホウコク</t>
    </rPh>
    <phoneticPr fontId="4"/>
  </si>
  <si>
    <t>事務所棟と工場棟の2棟。擁壁と一体基礎。工事は失注</t>
    <rPh sb="0" eb="2">
      <t>ジム</t>
    </rPh>
    <rPh sb="2" eb="3">
      <t>ショ</t>
    </rPh>
    <rPh sb="3" eb="4">
      <t>トウ</t>
    </rPh>
    <rPh sb="5" eb="7">
      <t>コウジョウ</t>
    </rPh>
    <rPh sb="7" eb="8">
      <t>トウ</t>
    </rPh>
    <rPh sb="10" eb="11">
      <t>トウ</t>
    </rPh>
    <rPh sb="12" eb="14">
      <t>ヨウヘキ</t>
    </rPh>
    <rPh sb="15" eb="17">
      <t>イッタイ</t>
    </rPh>
    <rPh sb="17" eb="19">
      <t>キソ</t>
    </rPh>
    <rPh sb="20" eb="22">
      <t>コウジ</t>
    </rPh>
    <rPh sb="23" eb="25">
      <t>シッチュウ</t>
    </rPh>
    <phoneticPr fontId="4"/>
  </si>
  <si>
    <t>事務所棟と工場棟の2棟。工事は失注</t>
    <rPh sb="0" eb="2">
      <t>ジム</t>
    </rPh>
    <rPh sb="2" eb="3">
      <t>ショ</t>
    </rPh>
    <rPh sb="3" eb="4">
      <t>トウ</t>
    </rPh>
    <rPh sb="5" eb="7">
      <t>コウジョウ</t>
    </rPh>
    <rPh sb="7" eb="8">
      <t>トウ</t>
    </rPh>
    <rPh sb="10" eb="11">
      <t>トウ</t>
    </rPh>
    <phoneticPr fontId="4"/>
  </si>
  <si>
    <t>株式会社 NAG設計同人</t>
    <rPh sb="0" eb="4">
      <t>カブシキガイシャ</t>
    </rPh>
    <rPh sb="8" eb="10">
      <t>セッケイ</t>
    </rPh>
    <rPh sb="10" eb="11">
      <t>オナ</t>
    </rPh>
    <rPh sb="11" eb="12">
      <t>ヒト</t>
    </rPh>
    <phoneticPr fontId="4"/>
  </si>
  <si>
    <t>株式会社 NAG設計同人</t>
    <phoneticPr fontId="4"/>
  </si>
  <si>
    <t>カブシキガイシャ NAGセッケイドウジン</t>
    <phoneticPr fontId="4"/>
  </si>
  <si>
    <t>3</t>
    <phoneticPr fontId="4"/>
  </si>
  <si>
    <t xml:space="preserve"> 申請</t>
    <rPh sb="1" eb="3">
      <t>シンセイ</t>
    </rPh>
    <phoneticPr fontId="4"/>
  </si>
  <si>
    <t>着工</t>
    <rPh sb="0" eb="2">
      <t>チャッコウ</t>
    </rPh>
    <phoneticPr fontId="4"/>
  </si>
  <si>
    <t>財団法人 静岡県建築住宅まちづくりセンター</t>
    <phoneticPr fontId="4"/>
  </si>
  <si>
    <t>丸栄水産 株式会社</t>
    <rPh sb="0" eb="2">
      <t>マルエイ</t>
    </rPh>
    <rPh sb="2" eb="4">
      <t>スイサン</t>
    </rPh>
    <rPh sb="5" eb="7">
      <t>カブシキ</t>
    </rPh>
    <rPh sb="7" eb="9">
      <t>カイシャ</t>
    </rPh>
    <phoneticPr fontId="4"/>
  </si>
  <si>
    <t>株式会社 ナカノフドー建設</t>
    <phoneticPr fontId="4"/>
  </si>
  <si>
    <t>申請</t>
    <rPh sb="0" eb="2">
      <t>シンセイ</t>
    </rPh>
    <phoneticPr fontId="4"/>
  </si>
  <si>
    <t>盛土(ｼﾙﾄ混じり砂礫)</t>
    <rPh sb="0" eb="2">
      <t>モリド</t>
    </rPh>
    <rPh sb="6" eb="7">
      <t>マ</t>
    </rPh>
    <rPh sb="9" eb="11">
      <t>サレキ</t>
    </rPh>
    <phoneticPr fontId="4"/>
  </si>
  <si>
    <t>盛土(礫混り砂)</t>
    <rPh sb="0" eb="2">
      <t>モリド</t>
    </rPh>
    <rPh sb="3" eb="4">
      <t>レキ</t>
    </rPh>
    <rPh sb="4" eb="5">
      <t>マ</t>
    </rPh>
    <rPh sb="6" eb="7">
      <t>スナ</t>
    </rPh>
    <phoneticPr fontId="4"/>
  </si>
  <si>
    <t>3</t>
    <phoneticPr fontId="4"/>
  </si>
  <si>
    <t>礫混り砂</t>
    <rPh sb="0" eb="1">
      <t>レキ</t>
    </rPh>
    <rPh sb="1" eb="2">
      <t>マ</t>
    </rPh>
    <rPh sb="3" eb="4">
      <t>スナ</t>
    </rPh>
    <phoneticPr fontId="4"/>
  </si>
  <si>
    <t>2m</t>
    <phoneticPr fontId="4"/>
  </si>
  <si>
    <t>粘土</t>
    <rPh sb="0" eb="2">
      <t>ネンド</t>
    </rPh>
    <phoneticPr fontId="4"/>
  </si>
  <si>
    <t>7m</t>
    <phoneticPr fontId="4"/>
  </si>
  <si>
    <t>2m</t>
    <phoneticPr fontId="4"/>
  </si>
  <si>
    <t>1m</t>
    <phoneticPr fontId="4"/>
  </si>
  <si>
    <t>礫粘土混り砂</t>
    <rPh sb="0" eb="1">
      <t>レキ</t>
    </rPh>
    <rPh sb="1" eb="3">
      <t>ネンド</t>
    </rPh>
    <rPh sb="3" eb="4">
      <t>マ</t>
    </rPh>
    <rPh sb="5" eb="6">
      <t>スナ</t>
    </rPh>
    <phoneticPr fontId="4"/>
  </si>
  <si>
    <t>砂質ｼﾙﾄ(府植物少量混入)</t>
    <rPh sb="0" eb="1">
      <t>スナ</t>
    </rPh>
    <rPh sb="1" eb="2">
      <t>シツ</t>
    </rPh>
    <rPh sb="6" eb="7">
      <t>フ</t>
    </rPh>
    <rPh sb="7" eb="9">
      <t>ショクブツ</t>
    </rPh>
    <rPh sb="9" eb="11">
      <t>ショウリョウ</t>
    </rPh>
    <rPh sb="11" eb="13">
      <t>コンニュウ</t>
    </rPh>
    <phoneticPr fontId="4"/>
  </si>
  <si>
    <t>盛土(砂礫)</t>
    <rPh sb="0" eb="2">
      <t>モリド</t>
    </rPh>
    <rPh sb="3" eb="5">
      <t>サレキ</t>
    </rPh>
    <phoneticPr fontId="4"/>
  </si>
  <si>
    <t>盛土(礫混じり砂質粘土)</t>
    <rPh sb="0" eb="2">
      <t>モリド</t>
    </rPh>
    <rPh sb="3" eb="4">
      <t>レキ</t>
    </rPh>
    <rPh sb="4" eb="5">
      <t>マ</t>
    </rPh>
    <rPh sb="7" eb="8">
      <t>スナ</t>
    </rPh>
    <rPh sb="8" eb="9">
      <t>シツ</t>
    </rPh>
    <rPh sb="9" eb="11">
      <t>ネンド</t>
    </rPh>
    <phoneticPr fontId="4"/>
  </si>
  <si>
    <t>5m</t>
    <phoneticPr fontId="4"/>
  </si>
  <si>
    <t>ｼﾙﾄ質粘土</t>
    <rPh sb="3" eb="4">
      <t>シツ</t>
    </rPh>
    <rPh sb="4" eb="6">
      <t>ネンド</t>
    </rPh>
    <phoneticPr fontId="4"/>
  </si>
  <si>
    <t>4m</t>
    <phoneticPr fontId="4"/>
  </si>
  <si>
    <t>ｼﾙﾄ混じり砂礫</t>
    <rPh sb="3" eb="4">
      <t>マ</t>
    </rPh>
    <rPh sb="6" eb="8">
      <t>サレキ</t>
    </rPh>
    <phoneticPr fontId="4"/>
  </si>
  <si>
    <t>ｼﾙﾄ質粘土(府植物混入)</t>
    <rPh sb="3" eb="4">
      <t>シツ</t>
    </rPh>
    <rPh sb="4" eb="6">
      <t>ネンド</t>
    </rPh>
    <rPh sb="7" eb="8">
      <t>フ</t>
    </rPh>
    <rPh sb="8" eb="10">
      <t>ショクブツ</t>
    </rPh>
    <rPh sb="10" eb="12">
      <t>コンニュウ</t>
    </rPh>
    <phoneticPr fontId="4"/>
  </si>
  <si>
    <t>株式会社 淺川組</t>
  </si>
  <si>
    <t>株式会社 淺川組</t>
    <phoneticPr fontId="4"/>
  </si>
  <si>
    <t>株式会社 淺川組</t>
    <phoneticPr fontId="4"/>
  </si>
  <si>
    <t>淺川 誠</t>
  </si>
  <si>
    <t>3</t>
    <phoneticPr fontId="4"/>
  </si>
  <si>
    <t>着工</t>
    <rPh sb="0" eb="2">
      <t>チャッコウ</t>
    </rPh>
    <phoneticPr fontId="4"/>
  </si>
  <si>
    <t>斐川サンホーム</t>
    <phoneticPr fontId="4"/>
  </si>
  <si>
    <t>細砂(有機物混入)</t>
    <rPh sb="0" eb="1">
      <t>サイ</t>
    </rPh>
    <rPh sb="1" eb="2">
      <t>スナ</t>
    </rPh>
    <rPh sb="3" eb="6">
      <t>ユウキブツ</t>
    </rPh>
    <rPh sb="6" eb="8">
      <t>コンニュウ</t>
    </rPh>
    <phoneticPr fontId="4"/>
  </si>
  <si>
    <t>ネクステージ春日部</t>
    <phoneticPr fontId="4"/>
  </si>
  <si>
    <t>北海道</t>
    <rPh sb="0" eb="3">
      <t>ホッカイドウ</t>
    </rPh>
    <phoneticPr fontId="4"/>
  </si>
  <si>
    <t>紋別市</t>
    <phoneticPr fontId="4"/>
  </si>
  <si>
    <t>新港町</t>
    <rPh sb="0" eb="1">
      <t>シン</t>
    </rPh>
    <rPh sb="1" eb="2">
      <t>ミナト</t>
    </rPh>
    <rPh sb="2" eb="3">
      <t>マチ</t>
    </rPh>
    <phoneticPr fontId="4"/>
  </si>
  <si>
    <t>礫混じり砂</t>
    <rPh sb="0" eb="1">
      <t>レキ</t>
    </rPh>
    <rPh sb="1" eb="2">
      <t>マ</t>
    </rPh>
    <rPh sb="4" eb="5">
      <t>スナ</t>
    </rPh>
    <phoneticPr fontId="4"/>
  </si>
  <si>
    <t>ｼﾙﾄ質細砂</t>
    <rPh sb="3" eb="4">
      <t>シツ</t>
    </rPh>
    <rPh sb="4" eb="5">
      <t>サイ</t>
    </rPh>
    <rPh sb="5" eb="6">
      <t>スナ</t>
    </rPh>
    <phoneticPr fontId="4"/>
  </si>
  <si>
    <t>3m</t>
    <phoneticPr fontId="4"/>
  </si>
  <si>
    <t>10m</t>
    <phoneticPr fontId="4"/>
  </si>
  <si>
    <t>工場</t>
    <rPh sb="0" eb="2">
      <t>コウジョウ</t>
    </rPh>
    <phoneticPr fontId="4"/>
  </si>
  <si>
    <t>エンドレステック 港町倉庫</t>
    <rPh sb="9" eb="11">
      <t>ミナトマチ</t>
    </rPh>
    <rPh sb="11" eb="13">
      <t>ソウコ</t>
    </rPh>
    <phoneticPr fontId="4"/>
  </si>
  <si>
    <t>財団法人 福島県建築安全機構</t>
    <phoneticPr fontId="4"/>
  </si>
  <si>
    <t>新井</t>
    <rPh sb="0" eb="2">
      <t>ニイ</t>
    </rPh>
    <phoneticPr fontId="4"/>
  </si>
  <si>
    <t>徳島県</t>
    <rPh sb="0" eb="3">
      <t>トクシマケン</t>
    </rPh>
    <phoneticPr fontId="4"/>
  </si>
  <si>
    <t>徳島市</t>
    <rPh sb="0" eb="3">
      <t>トクシマシ</t>
    </rPh>
    <phoneticPr fontId="4"/>
  </si>
  <si>
    <t>申請</t>
    <rPh sb="0" eb="2">
      <t>シンセイ</t>
    </rPh>
    <phoneticPr fontId="4"/>
  </si>
  <si>
    <t>xnfhy308@ybb.ne.jp</t>
    <phoneticPr fontId="4"/>
  </si>
  <si>
    <t>金秀建設 株式会社</t>
    <phoneticPr fontId="4"/>
  </si>
  <si>
    <t>現説</t>
    <rPh sb="0" eb="2">
      <t>ゲンセツ</t>
    </rPh>
    <phoneticPr fontId="4"/>
  </si>
  <si>
    <t>○
8m</t>
    <phoneticPr fontId="4"/>
  </si>
  <si>
    <t>浄化槽、油水分離槽下改良あり。</t>
    <rPh sb="0" eb="3">
      <t>ジョウカソウ</t>
    </rPh>
    <rPh sb="4" eb="6">
      <t>ユスイ</t>
    </rPh>
    <rPh sb="6" eb="8">
      <t>ブンリ</t>
    </rPh>
    <rPh sb="8" eb="9">
      <t>ソウ</t>
    </rPh>
    <rPh sb="9" eb="10">
      <t>シタ</t>
    </rPh>
    <rPh sb="10" eb="12">
      <t>カイリョウ</t>
    </rPh>
    <phoneticPr fontId="4"/>
  </si>
  <si>
    <t>ユイ
ﾏｲｱｲﾝ</t>
    <phoneticPr fontId="4"/>
  </si>
  <si>
    <t>ユイ</t>
    <phoneticPr fontId="4"/>
  </si>
  <si>
    <t>ウット</t>
    <phoneticPr fontId="4"/>
  </si>
  <si>
    <t>池原 準</t>
    <phoneticPr fontId="4"/>
  </si>
  <si>
    <t>GEN建築設計事務所</t>
    <phoneticPr fontId="4"/>
  </si>
  <si>
    <t>GEN建築設計事務所</t>
    <phoneticPr fontId="4"/>
  </si>
  <si>
    <t>GENケンチクセッケイジムショ</t>
    <phoneticPr fontId="4"/>
  </si>
  <si>
    <t>眼科</t>
    <rPh sb="0" eb="2">
      <t>ガンカ</t>
    </rPh>
    <phoneticPr fontId="4"/>
  </si>
  <si>
    <t>既存建物解体後、平板載荷試験実施予定</t>
    <rPh sb="0" eb="2">
      <t>キソン</t>
    </rPh>
    <rPh sb="2" eb="4">
      <t>タテモノ</t>
    </rPh>
    <rPh sb="4" eb="6">
      <t>カイタイ</t>
    </rPh>
    <rPh sb="6" eb="7">
      <t>ゴ</t>
    </rPh>
    <rPh sb="8" eb="10">
      <t>ヘイバン</t>
    </rPh>
    <rPh sb="10" eb="12">
      <t>サイカ</t>
    </rPh>
    <rPh sb="12" eb="14">
      <t>シケン</t>
    </rPh>
    <rPh sb="14" eb="16">
      <t>ジッシ</t>
    </rPh>
    <rPh sb="16" eb="18">
      <t>ヨテイ</t>
    </rPh>
    <phoneticPr fontId="4"/>
  </si>
  <si>
    <t>株式会社 ジェイ・イー・サポート</t>
    <phoneticPr fontId="4"/>
  </si>
  <si>
    <t>株式会社 アトリエ豊岡</t>
    <phoneticPr fontId="4"/>
  </si>
  <si>
    <t>株式会社 アトリエ豊岡</t>
    <phoneticPr fontId="4"/>
  </si>
  <si>
    <t>カブシキガイシャ アトリエトヨオカ</t>
    <phoneticPr fontId="4"/>
  </si>
  <si>
    <t>豊岡 隆司</t>
    <phoneticPr fontId="4"/>
  </si>
  <si>
    <t>088-662-4347</t>
    <phoneticPr fontId="4"/>
  </si>
  <si>
    <t>徳島県徳島市大原町中須31-5</t>
    <phoneticPr fontId="4"/>
  </si>
  <si>
    <t>at-toyooka@ma.pikara.ne.jp</t>
    <phoneticPr fontId="4"/>
  </si>
  <si>
    <t>mix</t>
    <phoneticPr fontId="4"/>
  </si>
  <si>
    <t>mix</t>
    <phoneticPr fontId="4"/>
  </si>
  <si>
    <t>mix</t>
    <phoneticPr fontId="4"/>
  </si>
  <si>
    <t>090-6285-0881</t>
    <phoneticPr fontId="4"/>
  </si>
  <si>
    <t>mixbin1@wit.ocn.ne.jp</t>
    <phoneticPr fontId="4"/>
  </si>
  <si>
    <t>たにがわ建築設計 合同会社</t>
    <phoneticPr fontId="4"/>
  </si>
  <si>
    <t>たにがわ建築設計 合同会社</t>
    <phoneticPr fontId="4"/>
  </si>
  <si>
    <t>タニガワケンチクセッケイ ゴウドウガイシャ</t>
    <phoneticPr fontId="4"/>
  </si>
  <si>
    <t>鈴木 敏生</t>
    <phoneticPr fontId="4"/>
  </si>
  <si>
    <t xml:space="preserve">愛媛県松山市味酒町1-2-3 朝日ステーションコア松山 606 </t>
    <phoneticPr fontId="4"/>
  </si>
  <si>
    <t>ホンダカーズ徳島三軒屋</t>
    <rPh sb="6" eb="8">
      <t>トクシマ</t>
    </rPh>
    <rPh sb="8" eb="10">
      <t>サンケン</t>
    </rPh>
    <rPh sb="10" eb="11">
      <t>ヤ</t>
    </rPh>
    <phoneticPr fontId="4"/>
  </si>
  <si>
    <t xml:space="preserve">  申請</t>
    <rPh sb="2" eb="4">
      <t>シンセイ</t>
    </rPh>
    <phoneticPr fontId="4"/>
  </si>
  <si>
    <t>着工</t>
    <rPh sb="0" eb="2">
      <t>チャッコウ</t>
    </rPh>
    <phoneticPr fontId="4"/>
  </si>
  <si>
    <t>株式会社 秋田建築確認検査機関</t>
    <phoneticPr fontId="4"/>
  </si>
  <si>
    <t>株式会社 秋田建築確認検査機関</t>
    <phoneticPr fontId="4"/>
  </si>
  <si>
    <t>盛土(礫混じり砂)</t>
    <rPh sb="0" eb="2">
      <t>モリド</t>
    </rPh>
    <rPh sb="3" eb="4">
      <t>レキ</t>
    </rPh>
    <rPh sb="4" eb="5">
      <t>マ</t>
    </rPh>
    <rPh sb="7" eb="8">
      <t>スナ</t>
    </rPh>
    <phoneticPr fontId="4"/>
  </si>
  <si>
    <t>埋土(砂)</t>
    <rPh sb="0" eb="1">
      <t>ウ</t>
    </rPh>
    <rPh sb="1" eb="2">
      <t>ド</t>
    </rPh>
    <rPh sb="3" eb="4">
      <t>スナ</t>
    </rPh>
    <phoneticPr fontId="4"/>
  </si>
  <si>
    <t>1m</t>
    <phoneticPr fontId="4"/>
  </si>
  <si>
    <t>埋土(礫混じり砂)</t>
    <rPh sb="0" eb="1">
      <t>ウ</t>
    </rPh>
    <rPh sb="1" eb="2">
      <t>ド</t>
    </rPh>
    <rPh sb="3" eb="4">
      <t>レキ</t>
    </rPh>
    <rPh sb="4" eb="5">
      <t>マ</t>
    </rPh>
    <rPh sb="7" eb="8">
      <t>スナ</t>
    </rPh>
    <phoneticPr fontId="4"/>
  </si>
  <si>
    <t>9m</t>
    <phoneticPr fontId="4"/>
  </si>
  <si>
    <t>2m</t>
    <phoneticPr fontId="4"/>
  </si>
  <si>
    <t>埋土(ｼﾙﾄ混じり砂)</t>
    <rPh sb="0" eb="1">
      <t>ウ</t>
    </rPh>
    <rPh sb="1" eb="2">
      <t>ド</t>
    </rPh>
    <rPh sb="6" eb="7">
      <t>マ</t>
    </rPh>
    <rPh sb="9" eb="10">
      <t>スナ</t>
    </rPh>
    <phoneticPr fontId="4"/>
  </si>
  <si>
    <t>-</t>
    <phoneticPr fontId="4"/>
  </si>
  <si>
    <t>-</t>
    <phoneticPr fontId="4"/>
  </si>
  <si>
    <t>工場</t>
    <rPh sb="0" eb="2">
      <t>コウジョウ</t>
    </rPh>
    <phoneticPr fontId="4"/>
  </si>
  <si>
    <t>3棟。埋立地。海に近い。</t>
    <rPh sb="1" eb="2">
      <t>トウ</t>
    </rPh>
    <rPh sb="3" eb="5">
      <t>ウメタテ</t>
    </rPh>
    <rPh sb="5" eb="6">
      <t>チ</t>
    </rPh>
    <rPh sb="7" eb="8">
      <t>ウミ</t>
    </rPh>
    <rPh sb="9" eb="10">
      <t>チカ</t>
    </rPh>
    <phoneticPr fontId="4"/>
  </si>
  <si>
    <t>2</t>
    <phoneticPr fontId="4"/>
  </si>
  <si>
    <t>2棟。開発工事あり。</t>
    <rPh sb="1" eb="2">
      <t>トウ</t>
    </rPh>
    <rPh sb="3" eb="5">
      <t>カイハツ</t>
    </rPh>
    <rPh sb="5" eb="7">
      <t>コウジ</t>
    </rPh>
    <phoneticPr fontId="4"/>
  </si>
  <si>
    <t>埋土</t>
    <rPh sb="0" eb="1">
      <t>ウ</t>
    </rPh>
    <rPh sb="1" eb="2">
      <t>ド</t>
    </rPh>
    <phoneticPr fontId="4"/>
  </si>
  <si>
    <t>ｼﾙﾄ混り細砂</t>
    <rPh sb="3" eb="4">
      <t>マ</t>
    </rPh>
    <rPh sb="5" eb="6">
      <t>サイ</t>
    </rPh>
    <rPh sb="6" eb="7">
      <t>スナ</t>
    </rPh>
    <phoneticPr fontId="4"/>
  </si>
  <si>
    <t>15m</t>
    <phoneticPr fontId="4"/>
  </si>
  <si>
    <t>ｼﾙﾄ</t>
    <phoneticPr fontId="4"/>
  </si>
  <si>
    <t>1m</t>
    <phoneticPr fontId="4"/>
  </si>
  <si>
    <t>砂混りｼﾙﾄ</t>
    <rPh sb="0" eb="1">
      <t>スナ</t>
    </rPh>
    <rPh sb="1" eb="2">
      <t>マ</t>
    </rPh>
    <phoneticPr fontId="4"/>
  </si>
  <si>
    <t>3m</t>
    <phoneticPr fontId="4"/>
  </si>
  <si>
    <t>砂質ｼﾙﾄ</t>
    <rPh sb="0" eb="1">
      <t>スナ</t>
    </rPh>
    <rPh sb="1" eb="2">
      <t>シツ</t>
    </rPh>
    <phoneticPr fontId="4"/>
  </si>
  <si>
    <t>有機質ﾛｰﾑ</t>
    <rPh sb="0" eb="3">
      <t>ユウキシツ</t>
    </rPh>
    <phoneticPr fontId="4"/>
  </si>
  <si>
    <t>　　見積図</t>
    <rPh sb="2" eb="4">
      <t>ミツ</t>
    </rPh>
    <rPh sb="4" eb="5">
      <t>ズ</t>
    </rPh>
    <phoneticPr fontId="4"/>
  </si>
  <si>
    <t>BMW神戸</t>
    <rPh sb="3" eb="5">
      <t>コウベ</t>
    </rPh>
    <phoneticPr fontId="4"/>
  </si>
  <si>
    <t>財団法人 愛知県建築住宅センター</t>
    <phoneticPr fontId="4"/>
  </si>
  <si>
    <t>東京都港区芝浦２丁目１５番６号オアーゼ芝浦ＭＪビル ６Ｆ</t>
    <phoneticPr fontId="4"/>
  </si>
  <si>
    <t>03-5232-5860</t>
    <phoneticPr fontId="4"/>
  </si>
  <si>
    <t>中出 慧</t>
    <rPh sb="0" eb="1">
      <t>ナカ</t>
    </rPh>
    <rPh sb="1" eb="2">
      <t>デ</t>
    </rPh>
    <rPh sb="3" eb="4">
      <t>ケイ</t>
    </rPh>
    <phoneticPr fontId="4"/>
  </si>
  <si>
    <t>nakade-satoshi@asanuma.co.jp</t>
    <phoneticPr fontId="4"/>
  </si>
  <si>
    <t>ウット</t>
    <phoneticPr fontId="4"/>
  </si>
  <si>
    <t>締切</t>
    <rPh sb="0" eb="2">
      <t>シメキリ</t>
    </rPh>
    <phoneticPr fontId="4"/>
  </si>
  <si>
    <t>テックランドNew羽生</t>
    <phoneticPr fontId="4"/>
  </si>
  <si>
    <t>埼玉県</t>
    <phoneticPr fontId="4"/>
  </si>
  <si>
    <t>羽生市</t>
    <phoneticPr fontId="4"/>
  </si>
  <si>
    <t>有限会社 髙田建築設計</t>
    <rPh sb="0" eb="2">
      <t>ユウゲン</t>
    </rPh>
    <rPh sb="2" eb="4">
      <t>カイシャ</t>
    </rPh>
    <phoneticPr fontId="4"/>
  </si>
  <si>
    <t>株式会社 河野設計福岡</t>
    <phoneticPr fontId="4"/>
  </si>
  <si>
    <t>有限会社 髙田建築設計</t>
    <phoneticPr fontId="4"/>
  </si>
  <si>
    <t>株式会社 淺沼組</t>
    <phoneticPr fontId="4"/>
  </si>
  <si>
    <t>株式会社 淺沼組</t>
    <phoneticPr fontId="4"/>
  </si>
  <si>
    <t>ユウゲンガイシャ タカダケンチクセッケイ</t>
    <phoneticPr fontId="4"/>
  </si>
  <si>
    <t>カブシキガイシャ アサヌマグミ</t>
    <phoneticPr fontId="4"/>
  </si>
  <si>
    <t>太田 宏幸</t>
    <phoneticPr fontId="4"/>
  </si>
  <si>
    <t>群馬県太田市藤阿久町445-5</t>
    <phoneticPr fontId="4"/>
  </si>
  <si>
    <t>0276-31-1874</t>
    <phoneticPr fontId="4"/>
  </si>
  <si>
    <t>a-takada@miracle.ocn.ne.jp</t>
    <phoneticPr fontId="4"/>
  </si>
  <si>
    <t>関東建創</t>
    <phoneticPr fontId="4"/>
  </si>
  <si>
    <t>カントウソウケン</t>
    <phoneticPr fontId="4"/>
  </si>
  <si>
    <t>現説</t>
    <rPh sb="0" eb="2">
      <t>ゲンセツ</t>
    </rPh>
    <phoneticPr fontId="4"/>
  </si>
  <si>
    <t>ツルハドラッグ新川3条</t>
    <phoneticPr fontId="4"/>
  </si>
  <si>
    <t>北海道</t>
    <rPh sb="0" eb="3">
      <t>ホッカイドウ</t>
    </rPh>
    <phoneticPr fontId="4"/>
  </si>
  <si>
    <t>新川</t>
    <rPh sb="0" eb="1">
      <t>アタラ</t>
    </rPh>
    <rPh sb="1" eb="2">
      <t>カワ</t>
    </rPh>
    <phoneticPr fontId="4"/>
  </si>
  <si>
    <t>VM湘南平塚</t>
    <rPh sb="2" eb="4">
      <t>ショウナン</t>
    </rPh>
    <rPh sb="4" eb="6">
      <t>ヒラツカ</t>
    </rPh>
    <phoneticPr fontId="4"/>
  </si>
  <si>
    <t>大田</t>
    <rPh sb="0" eb="2">
      <t>オオタ</t>
    </rPh>
    <phoneticPr fontId="4"/>
  </si>
  <si>
    <t>神奈川県</t>
    <rPh sb="0" eb="3">
      <t>カナガワ</t>
    </rPh>
    <rPh sb="3" eb="4">
      <t>ケン</t>
    </rPh>
    <phoneticPr fontId="4"/>
  </si>
  <si>
    <t>平塚市</t>
    <rPh sb="0" eb="2">
      <t>ヒラツカ</t>
    </rPh>
    <rPh sb="2" eb="3">
      <t>シ</t>
    </rPh>
    <phoneticPr fontId="4"/>
  </si>
  <si>
    <t>黒部丘</t>
    <rPh sb="0" eb="2">
      <t>クロベ</t>
    </rPh>
    <rPh sb="2" eb="3">
      <t>オカ</t>
    </rPh>
    <phoneticPr fontId="4"/>
  </si>
  <si>
    <t>新日本建設 株式会社</t>
    <phoneticPr fontId="4"/>
  </si>
  <si>
    <t>マツダエース 株式会社</t>
    <phoneticPr fontId="4"/>
  </si>
  <si>
    <t>北海道江別市</t>
    <rPh sb="0" eb="3">
      <t>ホッカイドウ</t>
    </rPh>
    <rPh sb="3" eb="6">
      <t>エベツシ</t>
    </rPh>
    <phoneticPr fontId="4"/>
  </si>
  <si>
    <t>北海道江別市</t>
    <phoneticPr fontId="4"/>
  </si>
  <si>
    <t>(仮定メンバー)</t>
    <rPh sb="1" eb="3">
      <t>カテイ</t>
    </rPh>
    <phoneticPr fontId="4"/>
  </si>
  <si>
    <t>全農岐阜 一級建築士事務所</t>
    <phoneticPr fontId="4"/>
  </si>
  <si>
    <t>全農岐阜 一級建築士事務所</t>
    <phoneticPr fontId="4"/>
  </si>
  <si>
    <t>入札</t>
    <rPh sb="0" eb="2">
      <t>ニュウサツ</t>
    </rPh>
    <phoneticPr fontId="4"/>
  </si>
  <si>
    <t>東北マツダ南吉成</t>
    <phoneticPr fontId="4"/>
  </si>
  <si>
    <t>株式会社 近畿建築確認検査機構</t>
    <phoneticPr fontId="4"/>
  </si>
  <si>
    <t>特別養護老人ホーム 美野里陽だまり館</t>
    <phoneticPr fontId="4"/>
  </si>
  <si>
    <t>ｼﾙﾄ</t>
    <phoneticPr fontId="4"/>
  </si>
  <si>
    <t>1m</t>
    <phoneticPr fontId="4"/>
  </si>
  <si>
    <t>ｼﾙﾄ</t>
    <phoneticPr fontId="4"/>
  </si>
  <si>
    <t>1m</t>
    <phoneticPr fontId="4"/>
  </si>
  <si>
    <t>砂混じりｼﾙﾄ</t>
    <rPh sb="0" eb="1">
      <t>スナ</t>
    </rPh>
    <rPh sb="1" eb="2">
      <t>マ</t>
    </rPh>
    <phoneticPr fontId="4"/>
  </si>
  <si>
    <t>ｼﾙﾄ(有機物混入)</t>
    <rPh sb="4" eb="7">
      <t>ユウキブツ</t>
    </rPh>
    <rPh sb="7" eb="9">
      <t>コンニュウ</t>
    </rPh>
    <phoneticPr fontId="4"/>
  </si>
  <si>
    <t>3.474
(M=7.5)</t>
    <phoneticPr fontId="4"/>
  </si>
  <si>
    <t>店舗</t>
    <rPh sb="0" eb="2">
      <t>テンポ</t>
    </rPh>
    <phoneticPr fontId="4"/>
  </si>
  <si>
    <t>川に近い。既存側溝近接。</t>
    <rPh sb="0" eb="1">
      <t>カワ</t>
    </rPh>
    <rPh sb="2" eb="3">
      <t>チカ</t>
    </rPh>
    <rPh sb="5" eb="7">
      <t>キソン</t>
    </rPh>
    <rPh sb="7" eb="9">
      <t>ソッコウ</t>
    </rPh>
    <rPh sb="9" eb="11">
      <t>キンセツ</t>
    </rPh>
    <phoneticPr fontId="4"/>
  </si>
  <si>
    <t>株式会社 エムティプラン</t>
    <phoneticPr fontId="4"/>
  </si>
  <si>
    <t>info@style-unit.jp</t>
    <phoneticPr fontId="4"/>
  </si>
  <si>
    <t>林崎</t>
    <phoneticPr fontId="4"/>
  </si>
  <si>
    <t>倉庫</t>
    <phoneticPr fontId="4"/>
  </si>
  <si>
    <t>2</t>
    <phoneticPr fontId="4"/>
  </si>
  <si>
    <t>礫混じり砂質ｼﾙﾄ</t>
    <rPh sb="0" eb="1">
      <t>レキ</t>
    </rPh>
    <rPh sb="1" eb="2">
      <t>マ</t>
    </rPh>
    <rPh sb="4" eb="5">
      <t>スナ</t>
    </rPh>
    <rPh sb="5" eb="6">
      <t>シツ</t>
    </rPh>
    <phoneticPr fontId="4"/>
  </si>
  <si>
    <t>4m</t>
    <phoneticPr fontId="4"/>
  </si>
  <si>
    <t>-</t>
    <phoneticPr fontId="4"/>
  </si>
  <si>
    <t>-</t>
    <phoneticPr fontId="4"/>
  </si>
  <si>
    <t>N=4以上</t>
    <rPh sb="3" eb="5">
      <t>イジョウ</t>
    </rPh>
    <phoneticPr fontId="4"/>
  </si>
  <si>
    <t>-30,-35</t>
    <phoneticPr fontId="4"/>
  </si>
  <si>
    <t>住宅・工場</t>
    <rPh sb="0" eb="2">
      <t>ジュウタク</t>
    </rPh>
    <rPh sb="3" eb="5">
      <t>コウジョウ</t>
    </rPh>
    <phoneticPr fontId="4"/>
  </si>
  <si>
    <t>移動ラックあり。既存建物(杭基礎)近接。</t>
    <rPh sb="0" eb="2">
      <t>イドウ</t>
    </rPh>
    <rPh sb="8" eb="10">
      <t>キソン</t>
    </rPh>
    <rPh sb="10" eb="12">
      <t>タテモノ</t>
    </rPh>
    <rPh sb="13" eb="14">
      <t>クイ</t>
    </rPh>
    <rPh sb="14" eb="16">
      <t>キソ</t>
    </rPh>
    <rPh sb="17" eb="19">
      <t>キンセツ</t>
    </rPh>
    <phoneticPr fontId="4"/>
  </si>
  <si>
    <t>3</t>
    <phoneticPr fontId="4"/>
  </si>
  <si>
    <t>15m</t>
    <phoneticPr fontId="4"/>
  </si>
  <si>
    <t>ｼﾙﾄ質砂</t>
    <rPh sb="3" eb="4">
      <t>シツ</t>
    </rPh>
    <rPh sb="4" eb="5">
      <t>スナ</t>
    </rPh>
    <phoneticPr fontId="4"/>
  </si>
  <si>
    <t>6m</t>
    <phoneticPr fontId="4"/>
  </si>
  <si>
    <t>-</t>
    <phoneticPr fontId="4"/>
  </si>
  <si>
    <t>ｼﾙﾄ質微細砂</t>
    <rPh sb="3" eb="4">
      <t>シツ</t>
    </rPh>
    <rPh sb="4" eb="5">
      <t>ビ</t>
    </rPh>
    <rPh sb="5" eb="6">
      <t>サイ</t>
    </rPh>
    <rPh sb="6" eb="7">
      <t>スナ</t>
    </rPh>
    <phoneticPr fontId="4"/>
  </si>
  <si>
    <t>ｼﾙﾄ質中細砂</t>
    <rPh sb="3" eb="4">
      <t>シツ</t>
    </rPh>
    <rPh sb="4" eb="5">
      <t>ナカ</t>
    </rPh>
    <rPh sb="5" eb="6">
      <t>サイ</t>
    </rPh>
    <rPh sb="6" eb="7">
      <t>スナ</t>
    </rPh>
    <phoneticPr fontId="4"/>
  </si>
  <si>
    <t>○
0.6m</t>
    <phoneticPr fontId="4"/>
  </si>
  <si>
    <t>石原</t>
    <phoneticPr fontId="4"/>
  </si>
  <si>
    <t>ishihara-kouzou-06@indigo.plala.or.jp</t>
    <phoneticPr fontId="4"/>
  </si>
  <si>
    <t>石原構造設計</t>
    <phoneticPr fontId="4"/>
  </si>
  <si>
    <t>石原構造設計</t>
    <phoneticPr fontId="4"/>
  </si>
  <si>
    <t>イシハラコウゾウセッケイ</t>
    <phoneticPr fontId="4"/>
  </si>
  <si>
    <t>新日本建設 株式会社</t>
    <phoneticPr fontId="4"/>
  </si>
  <si>
    <t>シンニホンケンセツ カブシキガイシャ</t>
    <phoneticPr fontId="4"/>
  </si>
  <si>
    <t>　 申請</t>
    <rPh sb="2" eb="4">
      <t>シンセイ</t>
    </rPh>
    <phoneticPr fontId="4"/>
  </si>
  <si>
    <t>　見積図</t>
    <rPh sb="1" eb="3">
      <t>ミツモリ</t>
    </rPh>
    <rPh sb="3" eb="4">
      <t>ズ</t>
    </rPh>
    <phoneticPr fontId="4"/>
  </si>
  <si>
    <t>千葉県</t>
    <rPh sb="0" eb="3">
      <t>チバケン</t>
    </rPh>
    <phoneticPr fontId="4"/>
  </si>
  <si>
    <t>長生郡</t>
    <phoneticPr fontId="4"/>
  </si>
  <si>
    <t>長柄町六地蔵字下久保</t>
    <phoneticPr fontId="4"/>
  </si>
  <si>
    <t>日鉄物産システム建築 株式会社</t>
    <phoneticPr fontId="4"/>
  </si>
  <si>
    <t>日鉄物産システム建築 株式会社</t>
    <phoneticPr fontId="4"/>
  </si>
  <si>
    <t>Y・M・R建築構造事務所</t>
    <phoneticPr fontId="4"/>
  </si>
  <si>
    <t>村上
ﾏｲｱｲﾝ</t>
    <rPh sb="0" eb="2">
      <t>ムラカミ</t>
    </rPh>
    <phoneticPr fontId="4"/>
  </si>
  <si>
    <t>住宅</t>
    <rPh sb="0" eb="2">
      <t>ジュウタク</t>
    </rPh>
    <phoneticPr fontId="4"/>
  </si>
  <si>
    <t>兵庫県</t>
    <rPh sb="0" eb="3">
      <t>ヒョウゴケン</t>
    </rPh>
    <phoneticPr fontId="4"/>
  </si>
  <si>
    <t>神戸市</t>
    <rPh sb="0" eb="3">
      <t>コウベシ</t>
    </rPh>
    <phoneticPr fontId="4"/>
  </si>
  <si>
    <t>本申請</t>
    <rPh sb="0" eb="1">
      <t>ホン</t>
    </rPh>
    <rPh sb="1" eb="3">
      <t>シンセイ</t>
    </rPh>
    <phoneticPr fontId="4"/>
  </si>
  <si>
    <t>着工</t>
    <rPh sb="0" eb="2">
      <t>チャッコウ</t>
    </rPh>
    <phoneticPr fontId="4"/>
  </si>
  <si>
    <t>愛知県</t>
    <rPh sb="0" eb="3">
      <t>アイチケン</t>
    </rPh>
    <phoneticPr fontId="4"/>
  </si>
  <si>
    <t>名古屋市</t>
    <rPh sb="0" eb="4">
      <t>ナゴヤシ</t>
    </rPh>
    <phoneticPr fontId="4"/>
  </si>
  <si>
    <t>天白区野並</t>
    <rPh sb="0" eb="1">
      <t>テン</t>
    </rPh>
    <rPh sb="1" eb="2">
      <t>シロ</t>
    </rPh>
    <rPh sb="2" eb="3">
      <t>ク</t>
    </rPh>
    <rPh sb="3" eb="4">
      <t>ノ</t>
    </rPh>
    <rPh sb="4" eb="5">
      <t>ナ</t>
    </rPh>
    <phoneticPr fontId="4"/>
  </si>
  <si>
    <t>chuubu_k@car.ocn.ne.jp</t>
    <phoneticPr fontId="4"/>
  </si>
  <si>
    <t>3</t>
    <phoneticPr fontId="4"/>
  </si>
  <si>
    <t>受注予定</t>
    <rPh sb="0" eb="2">
      <t>ジュチュウ</t>
    </rPh>
    <rPh sb="2" eb="4">
      <t>ヨテイ</t>
    </rPh>
    <phoneticPr fontId="4"/>
  </si>
  <si>
    <t>TNF</t>
    <phoneticPr fontId="4"/>
  </si>
  <si>
    <t>TNF</t>
    <phoneticPr fontId="4"/>
  </si>
  <si>
    <t>上部+TNF</t>
    <phoneticPr fontId="4"/>
  </si>
  <si>
    <t>ヤマザワ新・谷地</t>
    <phoneticPr fontId="4"/>
  </si>
  <si>
    <t>サンデー新・谷地</t>
    <phoneticPr fontId="4"/>
  </si>
  <si>
    <t>ヤマザワ新谷地と同敷地内</t>
    <rPh sb="4" eb="5">
      <t>シン</t>
    </rPh>
    <rPh sb="5" eb="7">
      <t>ヤチ</t>
    </rPh>
    <rPh sb="8" eb="9">
      <t>ドウ</t>
    </rPh>
    <rPh sb="9" eb="11">
      <t>シキチ</t>
    </rPh>
    <rPh sb="11" eb="12">
      <t>ナイ</t>
    </rPh>
    <phoneticPr fontId="4"/>
  </si>
  <si>
    <t>日成ビルド工業 株式会社</t>
    <phoneticPr fontId="4"/>
  </si>
  <si>
    <t>　 申請</t>
    <rPh sb="2" eb="4">
      <t>シンセイ</t>
    </rPh>
    <phoneticPr fontId="4"/>
  </si>
  <si>
    <t>着工</t>
    <rPh sb="0" eb="2">
      <t>チャッコウ</t>
    </rPh>
    <phoneticPr fontId="4"/>
  </si>
  <si>
    <t>12月
中旬</t>
    <rPh sb="2" eb="3">
      <t>ガツ</t>
    </rPh>
    <rPh sb="4" eb="6">
      <t>チュウジュン</t>
    </rPh>
    <phoneticPr fontId="4"/>
  </si>
  <si>
    <t>ウット
フィ</t>
    <phoneticPr fontId="4"/>
  </si>
  <si>
    <t>タオ
ホア</t>
    <phoneticPr fontId="4"/>
  </si>
  <si>
    <t>海津市</t>
    <phoneticPr fontId="4"/>
  </si>
  <si>
    <t>平田町今尾</t>
    <phoneticPr fontId="4"/>
  </si>
  <si>
    <t>事務所・倉庫</t>
    <rPh sb="0" eb="2">
      <t>ジム</t>
    </rPh>
    <rPh sb="2" eb="3">
      <t>ショ</t>
    </rPh>
    <rPh sb="4" eb="6">
      <t>ソウコ</t>
    </rPh>
    <phoneticPr fontId="4"/>
  </si>
  <si>
    <t>岐阜県</t>
    <rPh sb="0" eb="3">
      <t>ギフケン</t>
    </rPh>
    <phoneticPr fontId="4"/>
  </si>
  <si>
    <t>森田 好隆</t>
    <rPh sb="0" eb="2">
      <t>モリタ</t>
    </rPh>
    <phoneticPr fontId="4"/>
  </si>
  <si>
    <t>058-276-5365</t>
    <phoneticPr fontId="4"/>
  </si>
  <si>
    <t>morita-yoshitaka@zennoh.or.jp</t>
    <phoneticPr fontId="4"/>
  </si>
  <si>
    <t>財団法人 ふくしま建築住宅センター</t>
    <phoneticPr fontId="4"/>
  </si>
  <si>
    <t>ＪＡにしみの海津北支店</t>
    <phoneticPr fontId="4"/>
  </si>
  <si>
    <t>鹿児島市</t>
    <rPh sb="0" eb="4">
      <t>カゴシマシ</t>
    </rPh>
    <phoneticPr fontId="4"/>
  </si>
  <si>
    <t>1月
中旬</t>
    <rPh sb="1" eb="2">
      <t>ガツ</t>
    </rPh>
    <rPh sb="3" eb="5">
      <t>チュウジュン</t>
    </rPh>
    <phoneticPr fontId="4"/>
  </si>
  <si>
    <t>九州住宅保証 株式会社</t>
    <phoneticPr fontId="4"/>
  </si>
  <si>
    <t>3F建</t>
    <rPh sb="2" eb="3">
      <t>タ</t>
    </rPh>
    <phoneticPr fontId="4"/>
  </si>
  <si>
    <t>-</t>
    <phoneticPr fontId="4"/>
  </si>
  <si>
    <t>3</t>
    <phoneticPr fontId="4"/>
  </si>
  <si>
    <t>28.9
31.7</t>
    <phoneticPr fontId="4"/>
  </si>
  <si>
    <t>43.6
44.4</t>
    <phoneticPr fontId="4"/>
  </si>
  <si>
    <t>25.8
32.8</t>
    <phoneticPr fontId="4"/>
  </si>
  <si>
    <t>98.3
108.9</t>
    <phoneticPr fontId="4"/>
  </si>
  <si>
    <t>玉石混り砂礫</t>
    <rPh sb="0" eb="2">
      <t>タマイシ</t>
    </rPh>
    <rPh sb="2" eb="3">
      <t>マ</t>
    </rPh>
    <rPh sb="4" eb="6">
      <t>サレキ</t>
    </rPh>
    <phoneticPr fontId="4"/>
  </si>
  <si>
    <t>-</t>
    <phoneticPr fontId="4"/>
  </si>
  <si>
    <t>株式会社 東北建築センター</t>
    <phoneticPr fontId="4"/>
  </si>
  <si>
    <t>有限会社 ケイズクリエイツ</t>
    <phoneticPr fontId="4"/>
  </si>
  <si>
    <t>秋田県</t>
    <rPh sb="0" eb="3">
      <t>アキタケン</t>
    </rPh>
    <phoneticPr fontId="4"/>
  </si>
  <si>
    <t>仙北市</t>
    <rPh sb="0" eb="2">
      <t>センホク</t>
    </rPh>
    <rPh sb="2" eb="3">
      <t>シ</t>
    </rPh>
    <phoneticPr fontId="4"/>
  </si>
  <si>
    <t>角館町上菅沢</t>
    <rPh sb="0" eb="2">
      <t>カクノダテ</t>
    </rPh>
    <rPh sb="2" eb="3">
      <t>マチ</t>
    </rPh>
    <rPh sb="3" eb="4">
      <t>ウエ</t>
    </rPh>
    <rPh sb="4" eb="5">
      <t>カン</t>
    </rPh>
    <rPh sb="5" eb="6">
      <t>サワ</t>
    </rPh>
    <phoneticPr fontId="4"/>
  </si>
  <si>
    <t>ツルハドラッグ角館</t>
    <phoneticPr fontId="4"/>
  </si>
  <si>
    <t>12m</t>
    <phoneticPr fontId="4"/>
  </si>
  <si>
    <t>ｼﾙﾄ</t>
    <phoneticPr fontId="4"/>
  </si>
  <si>
    <t>1m</t>
    <phoneticPr fontId="4"/>
  </si>
  <si>
    <t>盛土</t>
    <rPh sb="0" eb="2">
      <t>モリド</t>
    </rPh>
    <phoneticPr fontId="4"/>
  </si>
  <si>
    <t>3m</t>
    <phoneticPr fontId="4"/>
  </si>
  <si>
    <t>砂質粘土</t>
    <rPh sb="0" eb="1">
      <t>スナ</t>
    </rPh>
    <rPh sb="1" eb="2">
      <t>シツ</t>
    </rPh>
    <rPh sb="2" eb="4">
      <t>ネンド</t>
    </rPh>
    <phoneticPr fontId="4"/>
  </si>
  <si>
    <t>2m</t>
    <phoneticPr fontId="4"/>
  </si>
  <si>
    <t>風化凝灰岩</t>
    <rPh sb="0" eb="2">
      <t>フウカ</t>
    </rPh>
    <rPh sb="2" eb="4">
      <t>ギョウカイ</t>
    </rPh>
    <rPh sb="4" eb="5">
      <t>イワ</t>
    </rPh>
    <phoneticPr fontId="4"/>
  </si>
  <si>
    <t>ｼﾙﾄ(有機物混入)</t>
    <rPh sb="4" eb="7">
      <t>ユウキブツ</t>
    </rPh>
    <rPh sb="7" eb="9">
      <t>コンニュウ</t>
    </rPh>
    <phoneticPr fontId="4"/>
  </si>
  <si>
    <t>3</t>
    <phoneticPr fontId="4"/>
  </si>
  <si>
    <t>株式会社 山形県建築サポートセンター</t>
    <phoneticPr fontId="4"/>
  </si>
  <si>
    <t>財団法人 大阪建築防災センター</t>
    <phoneticPr fontId="4"/>
  </si>
  <si>
    <t>着工</t>
    <rPh sb="0" eb="2">
      <t>チャッコウ</t>
    </rPh>
    <phoneticPr fontId="4"/>
  </si>
  <si>
    <t>見積図</t>
    <rPh sb="0" eb="2">
      <t>ミツモリ</t>
    </rPh>
    <rPh sb="2" eb="3">
      <t>ズ</t>
    </rPh>
    <phoneticPr fontId="4"/>
  </si>
  <si>
    <t>新井</t>
    <rPh sb="0" eb="2">
      <t>ニイ</t>
    </rPh>
    <phoneticPr fontId="4"/>
  </si>
  <si>
    <t>大阪市</t>
    <phoneticPr fontId="4"/>
  </si>
  <si>
    <t>住吉区今川</t>
    <phoneticPr fontId="4"/>
  </si>
  <si>
    <t>A-3</t>
  </si>
  <si>
    <t>三軒屋町</t>
    <rPh sb="0" eb="2">
      <t>サンケン</t>
    </rPh>
    <rPh sb="2" eb="3">
      <t>ヤ</t>
    </rPh>
    <rPh sb="3" eb="4">
      <t>マチ</t>
    </rPh>
    <phoneticPr fontId="4"/>
  </si>
  <si>
    <t>店舗・工場</t>
    <rPh sb="0" eb="2">
      <t>テンポ</t>
    </rPh>
    <rPh sb="3" eb="5">
      <t>コウジョウ</t>
    </rPh>
    <phoneticPr fontId="4"/>
  </si>
  <si>
    <t>1-2,3</t>
    <phoneticPr fontId="4"/>
  </si>
  <si>
    <t>○
10m</t>
    <phoneticPr fontId="4"/>
  </si>
  <si>
    <t>1.5,2.0</t>
    <phoneticPr fontId="4"/>
  </si>
  <si>
    <t>盛土</t>
    <rPh sb="0" eb="2">
      <t>モリド</t>
    </rPh>
    <phoneticPr fontId="4"/>
  </si>
  <si>
    <t>ｼﾙﾄ</t>
    <phoneticPr fontId="4"/>
  </si>
  <si>
    <t>5m</t>
    <phoneticPr fontId="4"/>
  </si>
  <si>
    <t>砂質ｼﾙﾄ</t>
    <rPh sb="0" eb="1">
      <t>スナ</t>
    </rPh>
    <rPh sb="1" eb="2">
      <t>シツ</t>
    </rPh>
    <phoneticPr fontId="4"/>
  </si>
  <si>
    <t>3m</t>
    <phoneticPr fontId="4"/>
  </si>
  <si>
    <t>4m</t>
    <phoneticPr fontId="4"/>
  </si>
  <si>
    <t>粘土</t>
    <rPh sb="0" eb="2">
      <t>ネンド</t>
    </rPh>
    <phoneticPr fontId="4"/>
  </si>
  <si>
    <t>粘土質ｼﾙﾄ(府植物混入)</t>
    <rPh sb="0" eb="2">
      <t>ネンド</t>
    </rPh>
    <rPh sb="2" eb="3">
      <t>シツ</t>
    </rPh>
    <rPh sb="7" eb="8">
      <t>フ</t>
    </rPh>
    <rPh sb="8" eb="10">
      <t>ショクブツ</t>
    </rPh>
    <rPh sb="10" eb="12">
      <t>コンニュウ</t>
    </rPh>
    <phoneticPr fontId="4"/>
  </si>
  <si>
    <t>株式会社 UCM</t>
    <phoneticPr fontId="4"/>
  </si>
  <si>
    <t>株式会社 UCM</t>
    <phoneticPr fontId="4"/>
  </si>
  <si>
    <t>吉岡</t>
    <phoneticPr fontId="4"/>
  </si>
  <si>
    <t>072-730-2255</t>
    <phoneticPr fontId="4"/>
  </si>
  <si>
    <t>大阪府箕面市船場西2丁目2-1ニューエリモビル3F</t>
    <phoneticPr fontId="4"/>
  </si>
  <si>
    <t>yoshioka@g-pl.co.jp</t>
    <phoneticPr fontId="4"/>
  </si>
  <si>
    <t>ホンダカーズ市川東金東</t>
    <phoneticPr fontId="4"/>
  </si>
  <si>
    <t>東京都千代田区神田三崎町3-10-21 宝栄三崎町ビル2F</t>
    <phoneticPr fontId="4"/>
  </si>
  <si>
    <t>03-3265-1949</t>
    <phoneticPr fontId="4"/>
  </si>
  <si>
    <t>JA新潟みらい亀田･横越地区店舗 倉庫棟＋横越支店棟</t>
    <phoneticPr fontId="4"/>
  </si>
  <si>
    <t>本田 洋</t>
    <phoneticPr fontId="4"/>
  </si>
  <si>
    <t>025-232-1612</t>
    <phoneticPr fontId="4"/>
  </si>
  <si>
    <t>honda-hiroshi@zennoh.or.jp</t>
    <phoneticPr fontId="4"/>
  </si>
  <si>
    <t>宮城県</t>
    <rPh sb="0" eb="3">
      <t>ミヤギケン</t>
    </rPh>
    <phoneticPr fontId="4"/>
  </si>
  <si>
    <t>仙台市</t>
    <rPh sb="0" eb="3">
      <t>センダイシ</t>
    </rPh>
    <phoneticPr fontId="4"/>
  </si>
  <si>
    <t>青葉区南吉成</t>
    <rPh sb="0" eb="3">
      <t>アオバク</t>
    </rPh>
    <rPh sb="3" eb="4">
      <t>ミナミ</t>
    </rPh>
    <rPh sb="4" eb="6">
      <t>ヨシナリ</t>
    </rPh>
    <phoneticPr fontId="4"/>
  </si>
  <si>
    <t>2棟</t>
    <rPh sb="1" eb="2">
      <t>トウ</t>
    </rPh>
    <phoneticPr fontId="4"/>
  </si>
  <si>
    <t>泉区市名坂御釜田</t>
    <phoneticPr fontId="4"/>
  </si>
  <si>
    <t>倉庫</t>
    <rPh sb="0" eb="2">
      <t>ソウコ</t>
    </rPh>
    <phoneticPr fontId="4"/>
  </si>
  <si>
    <t>中央区港島南</t>
    <phoneticPr fontId="4"/>
  </si>
  <si>
    <t>岩瀬</t>
    <rPh sb="0" eb="2">
      <t>イワセ</t>
    </rPh>
    <phoneticPr fontId="4"/>
  </si>
  <si>
    <t>埋土・粘性土</t>
    <rPh sb="0" eb="1">
      <t>ウマ</t>
    </rPh>
    <rPh sb="1" eb="2">
      <t>ド</t>
    </rPh>
    <rPh sb="3" eb="5">
      <t>ネンセイ</t>
    </rPh>
    <rPh sb="5" eb="6">
      <t>ド</t>
    </rPh>
    <phoneticPr fontId="4"/>
  </si>
  <si>
    <t>5m</t>
    <phoneticPr fontId="4"/>
  </si>
  <si>
    <t>有機質ｼﾙﾄ</t>
    <rPh sb="0" eb="3">
      <t>ユウキシツ</t>
    </rPh>
    <phoneticPr fontId="4"/>
  </si>
  <si>
    <t>1m</t>
    <phoneticPr fontId="4"/>
  </si>
  <si>
    <t>砂混り粘土</t>
    <rPh sb="0" eb="1">
      <t>スナ</t>
    </rPh>
    <rPh sb="1" eb="2">
      <t>マ</t>
    </rPh>
    <rPh sb="3" eb="5">
      <t>ネンド</t>
    </rPh>
    <phoneticPr fontId="4"/>
  </si>
  <si>
    <t>着工</t>
    <rPh sb="0" eb="2">
      <t>チャッコウ</t>
    </rPh>
    <phoneticPr fontId="4"/>
  </si>
  <si>
    <t>カインズ羽生の隣地</t>
    <rPh sb="4" eb="6">
      <t>ハニュウ</t>
    </rPh>
    <rPh sb="7" eb="9">
      <t>リンチ</t>
    </rPh>
    <phoneticPr fontId="4"/>
  </si>
  <si>
    <t>4棟。既存水路・電柱・擁壁 近接。看板下地盤改良あり。</t>
    <rPh sb="1" eb="2">
      <t>トウ</t>
    </rPh>
    <rPh sb="3" eb="5">
      <t>キソン</t>
    </rPh>
    <rPh sb="5" eb="7">
      <t>スイロ</t>
    </rPh>
    <rPh sb="8" eb="10">
      <t>デンチュウ</t>
    </rPh>
    <rPh sb="11" eb="13">
      <t>ヨウヘキ</t>
    </rPh>
    <rPh sb="14" eb="16">
      <t>キンセツ</t>
    </rPh>
    <rPh sb="17" eb="19">
      <t>カンバン</t>
    </rPh>
    <rPh sb="19" eb="20">
      <t>シタ</t>
    </rPh>
    <rPh sb="20" eb="22">
      <t>ジバン</t>
    </rPh>
    <rPh sb="22" eb="24">
      <t>カイリョウ</t>
    </rPh>
    <phoneticPr fontId="4"/>
  </si>
  <si>
    <t>島根県 松江市役所</t>
    <phoneticPr fontId="4"/>
  </si>
  <si>
    <t>布基礎からTPで設計。1棟→2棟に変更</t>
    <rPh sb="0" eb="1">
      <t>ヌノ</t>
    </rPh>
    <rPh sb="1" eb="3">
      <t>キソ</t>
    </rPh>
    <rPh sb="8" eb="10">
      <t>セッケイ</t>
    </rPh>
    <rPh sb="12" eb="13">
      <t>トウ</t>
    </rPh>
    <rPh sb="15" eb="16">
      <t>トウ</t>
    </rPh>
    <rPh sb="17" eb="19">
      <t>ヘンコウ</t>
    </rPh>
    <phoneticPr fontId="4"/>
  </si>
  <si>
    <t>5月中旬</t>
    <rPh sb="1" eb="2">
      <t>ガツ</t>
    </rPh>
    <rPh sb="2" eb="4">
      <t>チュウジュン</t>
    </rPh>
    <phoneticPr fontId="4"/>
  </si>
  <si>
    <t>申請</t>
    <rPh sb="0" eb="2">
      <t>シンセイ</t>
    </rPh>
    <phoneticPr fontId="4"/>
  </si>
  <si>
    <t>五十嵐 永紀</t>
    <phoneticPr fontId="4"/>
  </si>
  <si>
    <t>東京都港区芝一丁目５番９号 住友不動産芝ビル２号館 ３階</t>
    <phoneticPr fontId="4"/>
  </si>
  <si>
    <t>03-6866-1287</t>
    <phoneticPr fontId="4"/>
  </si>
  <si>
    <t>株式会社 鳳設計</t>
    <rPh sb="5" eb="6">
      <t>オオトリ</t>
    </rPh>
    <rPh sb="6" eb="8">
      <t>セッケイ</t>
    </rPh>
    <phoneticPr fontId="4"/>
  </si>
  <si>
    <t>株式会社 鳳設計</t>
    <phoneticPr fontId="4"/>
  </si>
  <si>
    <t>カブシキガイシャ オオトリセッケイ</t>
    <phoneticPr fontId="4"/>
  </si>
  <si>
    <t>布(Tio)</t>
    <phoneticPr fontId="4"/>
  </si>
  <si>
    <t>ｼﾙﾄ</t>
    <phoneticPr fontId="4"/>
  </si>
  <si>
    <t>ユイ
フィ</t>
    <phoneticPr fontId="4"/>
  </si>
  <si>
    <t>タオ</t>
    <phoneticPr fontId="4"/>
  </si>
  <si>
    <t>株式会社 トーテック</t>
    <rPh sb="0" eb="4">
      <t>カブシキカイシャ</t>
    </rPh>
    <phoneticPr fontId="4"/>
  </si>
  <si>
    <t>株式会社 ティーアンドティー</t>
    <rPh sb="0" eb="4">
      <t>カブシキカイシャ</t>
    </rPh>
    <phoneticPr fontId="4"/>
  </si>
  <si>
    <t>株式会社 ティーアンドティー</t>
    <phoneticPr fontId="4"/>
  </si>
  <si>
    <t>株式会社 ノルド設計</t>
    <phoneticPr fontId="4"/>
  </si>
  <si>
    <t>株式会社 ノルド設計</t>
    <phoneticPr fontId="4"/>
  </si>
  <si>
    <t>nord@kitana.jp</t>
    <phoneticPr fontId="4"/>
  </si>
  <si>
    <t>株式会社 サンユウシビルエンジニアリング</t>
    <rPh sb="0" eb="4">
      <t>カブシキカイシャ</t>
    </rPh>
    <phoneticPr fontId="4"/>
  </si>
  <si>
    <t>東京都台東区柳橋2-19-6柳橋ファーストビル5F</t>
    <phoneticPr fontId="4"/>
  </si>
  <si>
    <t>03-3861-2573</t>
    <phoneticPr fontId="4"/>
  </si>
  <si>
    <t>山﨑 佑太朗</t>
    <phoneticPr fontId="4"/>
  </si>
  <si>
    <t>yamazaki-y@sanyu-c.com</t>
    <phoneticPr fontId="4"/>
  </si>
  <si>
    <t>株式会社 サンユウシビルエンジニアリング</t>
    <phoneticPr fontId="4"/>
  </si>
  <si>
    <t>カブシキガイシャ ティーアンドティー</t>
    <phoneticPr fontId="4"/>
  </si>
  <si>
    <t>カブシキガイシャ サンユウシビルエンジニアリング</t>
    <phoneticPr fontId="4"/>
  </si>
  <si>
    <t>株式会社 トーテック</t>
    <phoneticPr fontId="4"/>
  </si>
  <si>
    <t>カブシキガイシャ トーテック</t>
    <phoneticPr fontId="4"/>
  </si>
  <si>
    <t>関東建創</t>
    <phoneticPr fontId="4"/>
  </si>
  <si>
    <t>群馬県 高崎市役所</t>
    <rPh sb="0" eb="3">
      <t>グンマケン</t>
    </rPh>
    <rPh sb="4" eb="6">
      <t>タカサキ</t>
    </rPh>
    <rPh sb="6" eb="9">
      <t>シヤクショ</t>
    </rPh>
    <phoneticPr fontId="4"/>
  </si>
  <si>
    <t>群馬県 高崎市役所</t>
    <phoneticPr fontId="4"/>
  </si>
  <si>
    <t>医療法人 光愛会 渡辺眼科クリニック</t>
    <phoneticPr fontId="4"/>
  </si>
  <si>
    <t>村上</t>
    <rPh sb="0" eb="2">
      <t>ムラカミ</t>
    </rPh>
    <phoneticPr fontId="4"/>
  </si>
  <si>
    <t>小島 挙</t>
    <phoneticPr fontId="4"/>
  </si>
  <si>
    <t>岐阜県岐阜市薮田南１-２-３　ラピスタワー４Ｆ</t>
    <rPh sb="0" eb="3">
      <t>ギフケン</t>
    </rPh>
    <phoneticPr fontId="4"/>
  </si>
  <si>
    <t>058-273-8121</t>
    <phoneticPr fontId="4"/>
  </si>
  <si>
    <t>k.kojima@nissebuild.co.jp</t>
    <phoneticPr fontId="4"/>
  </si>
  <si>
    <t>村山 哲哉</t>
    <phoneticPr fontId="4"/>
  </si>
  <si>
    <t>murayama@matsuyama-a.co.jp</t>
    <phoneticPr fontId="4"/>
  </si>
  <si>
    <t>整備工場</t>
    <rPh sb="0" eb="2">
      <t>セイビ</t>
    </rPh>
    <rPh sb="2" eb="4">
      <t>コウジョウ</t>
    </rPh>
    <phoneticPr fontId="4"/>
  </si>
  <si>
    <t>平屋建(一部4F建)</t>
    <rPh sb="0" eb="2">
      <t>ヒラヤ</t>
    </rPh>
    <rPh sb="2" eb="3">
      <t>タ</t>
    </rPh>
    <rPh sb="4" eb="6">
      <t>イチブ</t>
    </rPh>
    <rPh sb="8" eb="9">
      <t>タ</t>
    </rPh>
    <phoneticPr fontId="4"/>
  </si>
  <si>
    <t>株式会社 二神建築事務所</t>
    <rPh sb="0" eb="2">
      <t>カブシキ</t>
    </rPh>
    <rPh sb="2" eb="4">
      <t>カイシャ</t>
    </rPh>
    <rPh sb="5" eb="6">
      <t>ニ</t>
    </rPh>
    <rPh sb="6" eb="7">
      <t>カミ</t>
    </rPh>
    <rPh sb="7" eb="9">
      <t>ケンチク</t>
    </rPh>
    <rPh sb="9" eb="11">
      <t>ジム</t>
    </rPh>
    <rPh sb="11" eb="12">
      <t>ショ</t>
    </rPh>
    <phoneticPr fontId="4"/>
  </si>
  <si>
    <t>株式会社 二神建築事務所</t>
    <phoneticPr fontId="4"/>
  </si>
  <si>
    <t>カブシキガイシャ フタカミケンチクジムショ</t>
    <phoneticPr fontId="4"/>
  </si>
  <si>
    <t>株式会社 兵庫確認検査機構</t>
    <phoneticPr fontId="4"/>
  </si>
  <si>
    <t>財団法人 兵庫県住宅建築総合センター</t>
    <phoneticPr fontId="4"/>
  </si>
  <si>
    <t>1m</t>
    <phoneticPr fontId="4"/>
  </si>
  <si>
    <t>砂</t>
    <rPh sb="0" eb="1">
      <t>スナ</t>
    </rPh>
    <phoneticPr fontId="4"/>
  </si>
  <si>
    <t>1m</t>
    <phoneticPr fontId="4"/>
  </si>
  <si>
    <t>2m</t>
    <phoneticPr fontId="4"/>
  </si>
  <si>
    <t>礫混じり砂</t>
    <rPh sb="0" eb="1">
      <t>レキ</t>
    </rPh>
    <rPh sb="1" eb="2">
      <t>マ</t>
    </rPh>
    <phoneticPr fontId="4"/>
  </si>
  <si>
    <t>1m</t>
    <phoneticPr fontId="4"/>
  </si>
  <si>
    <t>財団法人 さいたま住宅検査センター</t>
    <phoneticPr fontId="4"/>
  </si>
  <si>
    <t>平板載荷試験にて支持力算出。既存建物(恐らく杭)は現在解体中。</t>
    <rPh sb="14" eb="16">
      <t>キソン</t>
    </rPh>
    <rPh sb="16" eb="18">
      <t>タテモノ</t>
    </rPh>
    <rPh sb="19" eb="20">
      <t>オソ</t>
    </rPh>
    <rPh sb="22" eb="23">
      <t>クイ</t>
    </rPh>
    <rPh sb="25" eb="27">
      <t>ゲンザイ</t>
    </rPh>
    <rPh sb="27" eb="29">
      <t>カイタイ</t>
    </rPh>
    <rPh sb="29" eb="30">
      <t>ナカ</t>
    </rPh>
    <phoneticPr fontId="4"/>
  </si>
  <si>
    <t>2020.6.3ゼネコンのVEで杭</t>
    <rPh sb="16" eb="17">
      <t>クイ</t>
    </rPh>
    <phoneticPr fontId="4"/>
  </si>
  <si>
    <t>圧密層N＞10</t>
    <rPh sb="0" eb="2">
      <t>アツミツ</t>
    </rPh>
    <rPh sb="2" eb="3">
      <t>ソウ</t>
    </rPh>
    <phoneticPr fontId="4"/>
  </si>
  <si>
    <t>谷内</t>
    <phoneticPr fontId="4"/>
  </si>
  <si>
    <t>tandtarch.sapporo@gmail.com</t>
    <phoneticPr fontId="4"/>
  </si>
  <si>
    <t>株式会社 安心確認検査機構</t>
    <phoneticPr fontId="4"/>
  </si>
  <si>
    <t>神姫バス</t>
    <phoneticPr fontId="4"/>
  </si>
  <si>
    <t>BMW宝塚</t>
    <phoneticPr fontId="4"/>
  </si>
  <si>
    <t>3</t>
    <phoneticPr fontId="4"/>
  </si>
  <si>
    <t>盛土</t>
    <rPh sb="0" eb="2">
      <t>モリド</t>
    </rPh>
    <phoneticPr fontId="4"/>
  </si>
  <si>
    <t>ｼﾙﾄ</t>
    <phoneticPr fontId="4"/>
  </si>
  <si>
    <t>1m</t>
    <phoneticPr fontId="4"/>
  </si>
  <si>
    <t>砂混りｼﾙﾄ</t>
    <rPh sb="0" eb="1">
      <t>スナ</t>
    </rPh>
    <rPh sb="1" eb="2">
      <t>マ</t>
    </rPh>
    <phoneticPr fontId="4"/>
  </si>
  <si>
    <t>3m</t>
    <phoneticPr fontId="4"/>
  </si>
  <si>
    <t>ｼﾙﾄ質細砂</t>
    <rPh sb="3" eb="4">
      <t>シツ</t>
    </rPh>
    <rPh sb="4" eb="5">
      <t>サイ</t>
    </rPh>
    <rPh sb="5" eb="6">
      <t>スナ</t>
    </rPh>
    <phoneticPr fontId="4"/>
  </si>
  <si>
    <t>10m</t>
    <phoneticPr fontId="4"/>
  </si>
  <si>
    <t>ｼﾙﾄ(府植物混入)</t>
    <rPh sb="4" eb="5">
      <t>フ</t>
    </rPh>
    <rPh sb="5" eb="7">
      <t>ショクブツ</t>
    </rPh>
    <rPh sb="7" eb="9">
      <t>コンニュウ</t>
    </rPh>
    <phoneticPr fontId="4"/>
  </si>
  <si>
    <t>事務所棟と倉庫棟の2棟。水路(GL-2.5m)・既存擁壁近接。</t>
    <rPh sb="0" eb="2">
      <t>ジム</t>
    </rPh>
    <rPh sb="2" eb="3">
      <t>ショ</t>
    </rPh>
    <rPh sb="3" eb="4">
      <t>トウ</t>
    </rPh>
    <rPh sb="5" eb="7">
      <t>ソウコ</t>
    </rPh>
    <rPh sb="7" eb="8">
      <t>トウ</t>
    </rPh>
    <rPh sb="10" eb="11">
      <t>トウ</t>
    </rPh>
    <rPh sb="12" eb="14">
      <t>スイロ</t>
    </rPh>
    <rPh sb="24" eb="26">
      <t>キソン</t>
    </rPh>
    <rPh sb="26" eb="28">
      <t>ヨウヘキ</t>
    </rPh>
    <rPh sb="28" eb="30">
      <t>キンセツ</t>
    </rPh>
    <phoneticPr fontId="4"/>
  </si>
  <si>
    <t>株式会社 早野設計</t>
    <rPh sb="0" eb="2">
      <t>カブシキ</t>
    </rPh>
    <rPh sb="2" eb="4">
      <t>カイシャ</t>
    </rPh>
    <rPh sb="5" eb="7">
      <t>ハヤノ</t>
    </rPh>
    <rPh sb="7" eb="9">
      <t>セッケイ</t>
    </rPh>
    <phoneticPr fontId="4"/>
  </si>
  <si>
    <t>株式会社 早野設計</t>
    <phoneticPr fontId="4"/>
  </si>
  <si>
    <t>カブシキガイシャ ハヤノセッケイ</t>
    <phoneticPr fontId="4"/>
  </si>
  <si>
    <t>株式会社 カーダクレッセ</t>
  </si>
  <si>
    <t>株式会社 カーダクレッセ</t>
    <rPh sb="0" eb="2">
      <t>カブシキ</t>
    </rPh>
    <rPh sb="2" eb="4">
      <t>カイシャ</t>
    </rPh>
    <phoneticPr fontId="4"/>
  </si>
  <si>
    <t>狭小地。既存建物と近接。水路近い。近くの敷地のﾙｰﾊﾞｰ(工作物)もあり。</t>
    <rPh sb="0" eb="2">
      <t>キョウショウ</t>
    </rPh>
    <rPh sb="2" eb="3">
      <t>チ</t>
    </rPh>
    <rPh sb="4" eb="6">
      <t>キソン</t>
    </rPh>
    <rPh sb="6" eb="8">
      <t>タテモノ</t>
    </rPh>
    <rPh sb="9" eb="11">
      <t>キンセツ</t>
    </rPh>
    <rPh sb="12" eb="14">
      <t>スイロ</t>
    </rPh>
    <rPh sb="14" eb="15">
      <t>チカ</t>
    </rPh>
    <rPh sb="17" eb="18">
      <t>チカ</t>
    </rPh>
    <rPh sb="20" eb="22">
      <t>シキチ</t>
    </rPh>
    <rPh sb="29" eb="32">
      <t>コウサクブツ</t>
    </rPh>
    <phoneticPr fontId="4"/>
  </si>
  <si>
    <t>14.2
23.4</t>
    <phoneticPr fontId="4"/>
  </si>
  <si>
    <t>14.0
41.2</t>
    <phoneticPr fontId="4"/>
  </si>
  <si>
    <t>10.0
22.6</t>
    <phoneticPr fontId="4"/>
  </si>
  <si>
    <t>38.2
87.2</t>
    <phoneticPr fontId="4"/>
  </si>
  <si>
    <t>10.3
23.9</t>
    <phoneticPr fontId="4"/>
  </si>
  <si>
    <t>15.1
22.2</t>
    <phoneticPr fontId="4"/>
  </si>
  <si>
    <t>9.3
22.2</t>
    <phoneticPr fontId="4"/>
  </si>
  <si>
    <t>34.6
87.2</t>
    <phoneticPr fontId="4"/>
  </si>
  <si>
    <t>小梁 裏サイズ使用</t>
    <rPh sb="0" eb="1">
      <t>コ</t>
    </rPh>
    <rPh sb="1" eb="2">
      <t>ハリ</t>
    </rPh>
    <rPh sb="3" eb="4">
      <t>ウラ</t>
    </rPh>
    <rPh sb="7" eb="9">
      <t>シヨウ</t>
    </rPh>
    <phoneticPr fontId="4"/>
  </si>
  <si>
    <t>14.0
38.2</t>
    <phoneticPr fontId="4"/>
  </si>
  <si>
    <t>18.1
28.4</t>
    <phoneticPr fontId="4"/>
  </si>
  <si>
    <t>14.2
16.3</t>
    <phoneticPr fontId="4"/>
  </si>
  <si>
    <t>46.3
82.9</t>
    <phoneticPr fontId="4"/>
  </si>
  <si>
    <t>12.8
13.7
15.4</t>
    <phoneticPr fontId="4"/>
  </si>
  <si>
    <t>20.1
28.8
21.5</t>
    <phoneticPr fontId="4"/>
  </si>
  <si>
    <t>8.9
22.3
14.9</t>
    <phoneticPr fontId="4"/>
  </si>
  <si>
    <t>41.8
64.8
51.8</t>
    <phoneticPr fontId="4"/>
  </si>
  <si>
    <t>15.0
19.9</t>
    <phoneticPr fontId="4"/>
  </si>
  <si>
    <t>25.1
39.4</t>
    <phoneticPr fontId="4"/>
  </si>
  <si>
    <t>17.4
19.8</t>
    <phoneticPr fontId="4"/>
  </si>
  <si>
    <t>57.5
79.1</t>
    <phoneticPr fontId="4"/>
  </si>
  <si>
    <t>株式会社 仙台都市整備センター</t>
    <phoneticPr fontId="4"/>
  </si>
  <si>
    <t>MINI大阪南</t>
    <phoneticPr fontId="4"/>
  </si>
  <si>
    <t>ウット、マイアイン</t>
    <phoneticPr fontId="4"/>
  </si>
  <si>
    <t>財団法人 熊本建築審査センター</t>
    <rPh sb="0" eb="2">
      <t>ザイダン</t>
    </rPh>
    <rPh sb="2" eb="4">
      <t>ホウジン</t>
    </rPh>
    <rPh sb="5" eb="7">
      <t>クマモト</t>
    </rPh>
    <rPh sb="7" eb="9">
      <t>ケンチク</t>
    </rPh>
    <rPh sb="9" eb="11">
      <t>シンサ</t>
    </rPh>
    <phoneticPr fontId="4"/>
  </si>
  <si>
    <t>財団法人 熊本建築審査センター</t>
    <phoneticPr fontId="4"/>
  </si>
  <si>
    <t>マルハン八王子</t>
    <rPh sb="4" eb="7">
      <t>ハチオウジ</t>
    </rPh>
    <phoneticPr fontId="4"/>
  </si>
  <si>
    <t>髙倉 慈広</t>
    <phoneticPr fontId="4"/>
  </si>
  <si>
    <t>東京都港区東麻布1-10-13東麻布アネックス3階</t>
    <phoneticPr fontId="4"/>
  </si>
  <si>
    <t>03-6807-4220</t>
    <phoneticPr fontId="4"/>
  </si>
  <si>
    <t>tokyo@kohnosekkei.com</t>
    <phoneticPr fontId="4"/>
  </si>
  <si>
    <t>株式会社 朝日建装</t>
    <phoneticPr fontId="4"/>
  </si>
  <si>
    <t>株式会社 朝日建装</t>
    <phoneticPr fontId="4"/>
  </si>
  <si>
    <t>株式会社 河野設計東京</t>
    <phoneticPr fontId="4"/>
  </si>
  <si>
    <t>東京都</t>
    <rPh sb="0" eb="3">
      <t>トウキョウト</t>
    </rPh>
    <phoneticPr fontId="4"/>
  </si>
  <si>
    <t>八王子市</t>
    <rPh sb="0" eb="4">
      <t>ハチオウジシ</t>
    </rPh>
    <phoneticPr fontId="4"/>
  </si>
  <si>
    <t>楢原町</t>
    <rPh sb="0" eb="1">
      <t>ナラ</t>
    </rPh>
    <rPh sb="1" eb="2">
      <t>ハラ</t>
    </rPh>
    <rPh sb="2" eb="3">
      <t>マチ</t>
    </rPh>
    <phoneticPr fontId="4"/>
  </si>
  <si>
    <t>解体ガラをガラパゴスで粉砕し埋戻しに使用</t>
    <phoneticPr fontId="4"/>
  </si>
  <si>
    <t>岩田地崎建設 株式会社</t>
    <phoneticPr fontId="4"/>
  </si>
  <si>
    <t>北川</t>
    <phoneticPr fontId="4"/>
  </si>
  <si>
    <t>t-kitagawa@iwata-gr.co.jp</t>
    <phoneticPr fontId="4"/>
  </si>
  <si>
    <t>011-221-2207</t>
    <phoneticPr fontId="4"/>
  </si>
  <si>
    <t>滋賀県</t>
    <phoneticPr fontId="4"/>
  </si>
  <si>
    <t>近江八幡市</t>
    <phoneticPr fontId="4"/>
  </si>
  <si>
    <t>西庄町</t>
    <phoneticPr fontId="4"/>
  </si>
  <si>
    <t>北海道</t>
    <phoneticPr fontId="4"/>
  </si>
  <si>
    <t>勇払郡</t>
    <phoneticPr fontId="4"/>
  </si>
  <si>
    <t>安平町遠浅</t>
    <phoneticPr fontId="4"/>
  </si>
  <si>
    <t>富山県</t>
    <rPh sb="0" eb="3">
      <t>トヤマケン</t>
    </rPh>
    <phoneticPr fontId="4"/>
  </si>
  <si>
    <t>富山市</t>
    <rPh sb="0" eb="3">
      <t>トヤマシ</t>
    </rPh>
    <phoneticPr fontId="4"/>
  </si>
  <si>
    <t>砂質ｼﾙﾄ</t>
    <rPh sb="0" eb="1">
      <t>スナ</t>
    </rPh>
    <rPh sb="1" eb="2">
      <t>シツ</t>
    </rPh>
    <phoneticPr fontId="4"/>
  </si>
  <si>
    <t>細砂</t>
    <rPh sb="0" eb="1">
      <t>サイ</t>
    </rPh>
    <rPh sb="1" eb="2">
      <t>スナ</t>
    </rPh>
    <phoneticPr fontId="4"/>
  </si>
  <si>
    <t>3m</t>
    <phoneticPr fontId="4"/>
  </si>
  <si>
    <t>13m</t>
    <phoneticPr fontId="4"/>
  </si>
  <si>
    <t>ｼﾙﾄ</t>
    <phoneticPr fontId="4"/>
  </si>
  <si>
    <t>2m</t>
    <phoneticPr fontId="4"/>
  </si>
  <si>
    <t>住宅・学校</t>
    <rPh sb="0" eb="2">
      <t>ジュウタク</t>
    </rPh>
    <rPh sb="3" eb="5">
      <t>ガッコウ</t>
    </rPh>
    <phoneticPr fontId="4"/>
  </si>
  <si>
    <t>関西マツダ千里</t>
    <phoneticPr fontId="4"/>
  </si>
  <si>
    <t>吹田市</t>
    <rPh sb="0" eb="3">
      <t>スイタシ</t>
    </rPh>
    <phoneticPr fontId="4"/>
  </si>
  <si>
    <t>古江台</t>
    <rPh sb="0" eb="1">
      <t>フル</t>
    </rPh>
    <rPh sb="1" eb="2">
      <t>エ</t>
    </rPh>
    <rPh sb="2" eb="3">
      <t>ダイ</t>
    </rPh>
    <phoneticPr fontId="4"/>
  </si>
  <si>
    <t>蓄電池基礎。確認申請不要。</t>
    <rPh sb="0" eb="3">
      <t>チクデンチ</t>
    </rPh>
    <rPh sb="3" eb="5">
      <t>キソ</t>
    </rPh>
    <rPh sb="6" eb="8">
      <t>カクニン</t>
    </rPh>
    <rPh sb="8" eb="10">
      <t>シンセイ</t>
    </rPh>
    <rPh sb="10" eb="12">
      <t>フヨウ</t>
    </rPh>
    <phoneticPr fontId="4"/>
  </si>
  <si>
    <t>べた</t>
    <phoneticPr fontId="4"/>
  </si>
  <si>
    <t>着工</t>
    <rPh sb="0" eb="2">
      <t>チャッコウ</t>
    </rPh>
    <phoneticPr fontId="4"/>
  </si>
  <si>
    <t>-</t>
    <phoneticPr fontId="4"/>
  </si>
  <si>
    <t>蓄電池基礎</t>
    <rPh sb="0" eb="3">
      <t>チクデンチ</t>
    </rPh>
    <rPh sb="3" eb="5">
      <t>キソ</t>
    </rPh>
    <phoneticPr fontId="4"/>
  </si>
  <si>
    <t>-</t>
    <phoneticPr fontId="4"/>
  </si>
  <si>
    <t>-</t>
    <phoneticPr fontId="4"/>
  </si>
  <si>
    <t>火山灰質ｼﾙﾄ</t>
    <rPh sb="0" eb="2">
      <t>カザン</t>
    </rPh>
    <rPh sb="2" eb="3">
      <t>ハイ</t>
    </rPh>
    <rPh sb="3" eb="4">
      <t>シツ</t>
    </rPh>
    <phoneticPr fontId="4"/>
  </si>
  <si>
    <t>7m</t>
    <phoneticPr fontId="4"/>
  </si>
  <si>
    <t>軽石</t>
    <rPh sb="0" eb="2">
      <t>カルイシ</t>
    </rPh>
    <phoneticPr fontId="4"/>
  </si>
  <si>
    <t>4m</t>
    <phoneticPr fontId="4"/>
  </si>
  <si>
    <t>腐植土</t>
    <rPh sb="0" eb="3">
      <t>フショクド</t>
    </rPh>
    <phoneticPr fontId="4"/>
  </si>
  <si>
    <t>北電系統用レドックスフロー蓄電池計画</t>
    <phoneticPr fontId="4"/>
  </si>
  <si>
    <t>岸</t>
    <rPh sb="0" eb="1">
      <t>キシ</t>
    </rPh>
    <phoneticPr fontId="4"/>
  </si>
  <si>
    <t>1m</t>
    <phoneticPr fontId="4"/>
  </si>
  <si>
    <t>砂質ｼﾙﾄ</t>
    <rPh sb="0" eb="1">
      <t>スナ</t>
    </rPh>
    <rPh sb="1" eb="2">
      <t>シツ</t>
    </rPh>
    <phoneticPr fontId="4"/>
  </si>
  <si>
    <t>狭小地。</t>
    <rPh sb="0" eb="2">
      <t>キョウショウ</t>
    </rPh>
    <rPh sb="2" eb="3">
      <t>チ</t>
    </rPh>
    <phoneticPr fontId="4"/>
  </si>
  <si>
    <t>-25</t>
    <phoneticPr fontId="4"/>
  </si>
  <si>
    <t>平板載荷試験実施。</t>
    <rPh sb="0" eb="2">
      <t>ヘイバン</t>
    </rPh>
    <rPh sb="2" eb="4">
      <t>サイカ</t>
    </rPh>
    <rPh sb="4" eb="6">
      <t>シケン</t>
    </rPh>
    <rPh sb="6" eb="8">
      <t>ジッシ</t>
    </rPh>
    <phoneticPr fontId="4"/>
  </si>
  <si>
    <t>株式会社 木村設計</t>
    <rPh sb="0" eb="2">
      <t>カブシキ</t>
    </rPh>
    <rPh sb="2" eb="4">
      <t>カイシャ</t>
    </rPh>
    <rPh sb="5" eb="7">
      <t>キムラ</t>
    </rPh>
    <rPh sb="7" eb="9">
      <t>セッケイ</t>
    </rPh>
    <phoneticPr fontId="4"/>
  </si>
  <si>
    <t>株式会社 木村設計</t>
    <phoneticPr fontId="4"/>
  </si>
  <si>
    <t>カブシキガイシャ キムラセッケイ</t>
    <phoneticPr fontId="4"/>
  </si>
  <si>
    <t>株式会社 確認検査機構トラスト</t>
    <phoneticPr fontId="4"/>
  </si>
  <si>
    <t>ユイ
ウット</t>
    <phoneticPr fontId="4"/>
  </si>
  <si>
    <t>沖縄県</t>
    <phoneticPr fontId="4"/>
  </si>
  <si>
    <t>豊見城市</t>
    <phoneticPr fontId="4"/>
  </si>
  <si>
    <t>与根</t>
    <phoneticPr fontId="4"/>
  </si>
  <si>
    <t>MPデベロップメント 株式会社</t>
    <phoneticPr fontId="4"/>
  </si>
  <si>
    <t>MPデベロップメント 株式会社</t>
    <phoneticPr fontId="4"/>
  </si>
  <si>
    <t>MPデベロップメント 株式会社</t>
    <phoneticPr fontId="4"/>
  </si>
  <si>
    <t>近藤</t>
    <rPh sb="0" eb="2">
      <t>コンドウ</t>
    </rPh>
    <phoneticPr fontId="4"/>
  </si>
  <si>
    <t>岩田 和哉</t>
    <phoneticPr fontId="4"/>
  </si>
  <si>
    <t>03-3798-4305</t>
    <phoneticPr fontId="4"/>
  </si>
  <si>
    <t>東京都港区芝5-5-1ラウンドクロス三田3F</t>
    <phoneticPr fontId="4"/>
  </si>
  <si>
    <t>iwata@mpd-llc.jp</t>
    <phoneticPr fontId="4"/>
  </si>
  <si>
    <t>岩田地崎建設 株式会社</t>
    <phoneticPr fontId="4"/>
  </si>
  <si>
    <t>岩田地崎建設 株式会社</t>
    <rPh sb="0" eb="2">
      <t>イワタ</t>
    </rPh>
    <rPh sb="2" eb="3">
      <t>チ</t>
    </rPh>
    <rPh sb="3" eb="4">
      <t>サキ</t>
    </rPh>
    <rPh sb="4" eb="6">
      <t>ケンセツ</t>
    </rPh>
    <rPh sb="7" eb="9">
      <t>カブシキ</t>
    </rPh>
    <rPh sb="9" eb="11">
      <t>カイシャ</t>
    </rPh>
    <phoneticPr fontId="4"/>
  </si>
  <si>
    <t>イワタチサキケンセツ カブシキガイシャ</t>
    <phoneticPr fontId="4"/>
  </si>
  <si>
    <t>入札</t>
    <rPh sb="0" eb="2">
      <t>ニュウサツ</t>
    </rPh>
    <phoneticPr fontId="4"/>
  </si>
  <si>
    <t>着工</t>
    <rPh sb="0" eb="2">
      <t>チャッコウ</t>
    </rPh>
    <phoneticPr fontId="4"/>
  </si>
  <si>
    <t xml:space="preserve"> 事前申請</t>
    <rPh sb="1" eb="3">
      <t>ジゼン</t>
    </rPh>
    <rPh sb="3" eb="5">
      <t>シンセイ</t>
    </rPh>
    <phoneticPr fontId="4"/>
  </si>
  <si>
    <t>財団法人 日本建築センター</t>
    <phoneticPr fontId="4"/>
  </si>
  <si>
    <t>α建築structure</t>
  </si>
  <si>
    <t>打浪</t>
    <phoneticPr fontId="4"/>
  </si>
  <si>
    <t>aks@gaia.eonet.ne.jp</t>
    <phoneticPr fontId="4"/>
  </si>
  <si>
    <t>α建築structure</t>
    <phoneticPr fontId="4"/>
  </si>
  <si>
    <t>αケンチクstructure</t>
    <phoneticPr fontId="4"/>
  </si>
  <si>
    <t>大阪府大阪市中央区天満橋京町1-24 ストーク児島ビル301</t>
  </si>
  <si>
    <t>埼玉県さいたま市浦和区北浦和4-1-11</t>
  </si>
  <si>
    <t>埼玉県さいたま市大宮区宮町4-138 金周ビル6F</t>
  </si>
  <si>
    <t>埼玉県さいたま市大宮区桜木町2-335-1-801</t>
  </si>
  <si>
    <t>埼玉県さいたま市南区南浦和2-39-2 大雄ビル3階</t>
  </si>
  <si>
    <t>大阪府大阪市北区錦町１番４１号</t>
  </si>
  <si>
    <t>大阪府大阪市西区京町堀1-14-32セイケンビル2F</t>
  </si>
  <si>
    <t>大阪府大阪市北区東天満2-8-1若杉センタービル別館304</t>
  </si>
  <si>
    <t>大阪府大阪市中央区本町4丁目６－７ 本町スクウエアビル７F</t>
  </si>
  <si>
    <t>大阪府大阪市平野区平野馬場1丁目7番6号</t>
  </si>
  <si>
    <t>大阪府大阪市住吉区南住吉2-4-13</t>
  </si>
  <si>
    <t>大阪府大阪市淀川区新北野3-2-3 C-908</t>
  </si>
  <si>
    <t>大阪府大阪市西区西本町１－１３－１３ 幸福相互西本町ビル　３－Ａ</t>
  </si>
  <si>
    <t>大阪府大阪市西区阿波座1-2-4オクダビル301</t>
  </si>
  <si>
    <t>大阪府大阪市東住吉区南田辺5-25-13</t>
  </si>
  <si>
    <t>大阪府大阪市西成区千本中１丁目３番１号辻ビル２階</t>
  </si>
  <si>
    <t>大阪府大阪市西淀川区佃2-10-5</t>
  </si>
  <si>
    <t>大阪府大阪市天神橋2-2-23　アークスビル</t>
  </si>
  <si>
    <t>大阪府大阪市北区堂島1-6-20 堂島アバンザ10階</t>
  </si>
  <si>
    <t>大阪府大阪市中央区農人橋1-4-31　AXIS谷町ビル 8階</t>
  </si>
  <si>
    <t>大阪府大阪市淀川区宮原4-1-9</t>
  </si>
  <si>
    <t>大阪府大阪市中央区農人橋1丁目4番22号</t>
  </si>
  <si>
    <t>大阪府大阪市中央区道修町4-5-17</t>
  </si>
  <si>
    <t>大阪府大阪市都島区毛馬町2-11-34-308</t>
  </si>
  <si>
    <t>大阪府大阪市中央区淡路町1-7-3 日土地堺筋ビル5F</t>
    <rPh sb="6" eb="9">
      <t>チュウオウク</t>
    </rPh>
    <rPh sb="9" eb="11">
      <t>アワジ</t>
    </rPh>
    <rPh sb="11" eb="12">
      <t>マチ</t>
    </rPh>
    <rPh sb="18" eb="19">
      <t>ニチ</t>
    </rPh>
    <rPh sb="19" eb="21">
      <t>トチ</t>
    </rPh>
    <rPh sb="21" eb="22">
      <t>サカイ</t>
    </rPh>
    <rPh sb="22" eb="23">
      <t>スジ</t>
    </rPh>
    <phoneticPr fontId="4"/>
  </si>
  <si>
    <t>大阪府大阪市大阪市中央区釣鐘町２－４－７</t>
  </si>
  <si>
    <t>大阪府大阪市大阪市中央区東心斎橋1丁目2－17 第一住建東心斎橋ビル4階</t>
    <phoneticPr fontId="4"/>
  </si>
  <si>
    <t>大阪府大阪市大阪市中央区天満橋京町1-24 ストーク児島ビル301</t>
  </si>
  <si>
    <t>大阪府大阪市大阪市中央区農人橋1丁目4番31号 AXIS谷町ビル8階</t>
    <phoneticPr fontId="4"/>
  </si>
  <si>
    <t>北海道旭川市神楽４条４丁目１番１号 ロジェ神楽リバーフロント１０１号</t>
    <rPh sb="0" eb="3">
      <t>ホッカイドウ</t>
    </rPh>
    <phoneticPr fontId="4"/>
  </si>
  <si>
    <t>北海道旭川市８条通８丁目41-10</t>
    <phoneticPr fontId="4"/>
  </si>
  <si>
    <t>北海道旭川市神楽4条4丁目1番1号101号</t>
    <phoneticPr fontId="4"/>
  </si>
  <si>
    <t>北海道旭川市神楽４条４丁目１番１号 ロジェ神楽リバーフロント１０１号</t>
    <phoneticPr fontId="4"/>
  </si>
  <si>
    <t>沖縄県浦添市屋富祖3-2-2</t>
    <phoneticPr fontId="4"/>
  </si>
  <si>
    <t>沖縄県浦添市大平2-19-11</t>
    <phoneticPr fontId="4"/>
  </si>
  <si>
    <t>沖縄県浦添市西原五丁目４番２４号</t>
    <rPh sb="0" eb="3">
      <t>オキナワケン</t>
    </rPh>
    <phoneticPr fontId="4"/>
  </si>
  <si>
    <t>神奈川県横浜市西区浜松町5-5</t>
    <phoneticPr fontId="4"/>
  </si>
  <si>
    <t>神奈川県横浜市中区日本大通7日本大通7ビル　4F</t>
    <phoneticPr fontId="4"/>
  </si>
  <si>
    <t>神奈川県横浜市中区日本大通7日本大通7ビル　4F</t>
    <phoneticPr fontId="4"/>
  </si>
  <si>
    <t>神奈川県横浜市神奈川区台町 9-13 ルックハイツ横浜台町802</t>
    <phoneticPr fontId="4"/>
  </si>
  <si>
    <t>神奈川県横浜市港南区港南1-1-27-302号</t>
    <phoneticPr fontId="4"/>
  </si>
  <si>
    <t>愛知県岡崎市上六名1丁目3-1</t>
    <rPh sb="0" eb="3">
      <t>アイチケン</t>
    </rPh>
    <phoneticPr fontId="4"/>
  </si>
  <si>
    <t>福島県会津若松市東千石二丁目4-17</t>
    <phoneticPr fontId="4"/>
  </si>
  <si>
    <t>岐阜県岐阜市鹿島町６－２７</t>
    <phoneticPr fontId="4"/>
  </si>
  <si>
    <t>岐阜県岐阜市市橋４－６－７ 鈴木ビル３Ｆ</t>
    <phoneticPr fontId="4"/>
  </si>
  <si>
    <t>岐阜県岐阜市市橋４－６－７ 鈴木ビル３Ｆ</t>
    <phoneticPr fontId="4"/>
  </si>
  <si>
    <t>京都府京都市下京区東塩小路町606番地 三旺京都駅前ビル7階</t>
    <rPh sb="0" eb="3">
      <t>キョウトフ</t>
    </rPh>
    <phoneticPr fontId="4"/>
  </si>
  <si>
    <t>京都府京都市右京区梅津高畝町52-1</t>
    <phoneticPr fontId="4"/>
  </si>
  <si>
    <t>京都府京都市中京区丸太町通室町東入ル常真横町190-2</t>
    <phoneticPr fontId="4"/>
  </si>
  <si>
    <t>京都府京都市下京区四条通り室町東入函谷鉾町79 ヤサカ四条烏丸ビル6F</t>
    <phoneticPr fontId="4"/>
  </si>
  <si>
    <t>京都府京都市中京区丸太町通室町東入ル常真横町190-2</t>
    <phoneticPr fontId="4"/>
  </si>
  <si>
    <t>京都府京都市中京区雁金町373みよいビル301</t>
    <phoneticPr fontId="4"/>
  </si>
  <si>
    <t>京都府京都市下京区五条通烏丸西入醍醐町290　烏丸五条ビル７階</t>
    <phoneticPr fontId="4"/>
  </si>
  <si>
    <t>北海道釧路市新栄町17番1号</t>
    <phoneticPr fontId="4"/>
  </si>
  <si>
    <t>北海道釧路市星が浦大通１丁目１番４号</t>
    <phoneticPr fontId="4"/>
  </si>
  <si>
    <t>北海道釧路市新栄町17番1号</t>
    <phoneticPr fontId="4"/>
  </si>
  <si>
    <t>北海道釧路郡釧路町豊美2-14-11</t>
    <phoneticPr fontId="4"/>
  </si>
  <si>
    <t>北海道札幌市西区西町南１６丁目3-23 サンコート西町103</t>
  </si>
  <si>
    <t>神奈川県厚木市岡田3134マイビル5階</t>
    <rPh sb="0" eb="4">
      <t>カナガワケン</t>
    </rPh>
    <phoneticPr fontId="4"/>
  </si>
  <si>
    <t>熊本県熊本市中央区大江4丁目13番20号</t>
    <rPh sb="0" eb="3">
      <t>クマモトケン</t>
    </rPh>
    <phoneticPr fontId="4"/>
  </si>
  <si>
    <t>熊本県熊本市中央区大江4丁目13番20号</t>
    <phoneticPr fontId="4"/>
  </si>
  <si>
    <t>広島県広島市東区二葉の里1-1-12</t>
  </si>
  <si>
    <t>広島県広島市中区富士見町15番1号</t>
  </si>
  <si>
    <t>広島県広島市東区牛田早稲田１丁目22-13</t>
  </si>
  <si>
    <t>広島県広島市西区竜王町４番４号</t>
  </si>
  <si>
    <t>広島県広島市中区鶴見町4番25号</t>
  </si>
  <si>
    <t>広島県広島市西区草津新町２丁目21番69-11号</t>
  </si>
  <si>
    <t>広島県広島市東区牛田早稲田1丁目22-13</t>
  </si>
  <si>
    <t>広島県広島市中区国泰寺町 1-8-30 SHビル</t>
  </si>
  <si>
    <t>広島県広島市西区横川新町9-12</t>
  </si>
  <si>
    <t>広島県広島市南区宇品神田3丁目1-3</t>
  </si>
  <si>
    <t>広島県広島市中区大手町４丁目２番２７号中央レジデンス３階</t>
  </si>
  <si>
    <t>広島県広島市佐伯区美鈴が丘緑3丁目8番28号</t>
    <rPh sb="6" eb="9">
      <t>サエキク</t>
    </rPh>
    <rPh sb="9" eb="11">
      <t>ミスズ</t>
    </rPh>
    <rPh sb="12" eb="13">
      <t>オカ</t>
    </rPh>
    <rPh sb="13" eb="14">
      <t>ミドリ</t>
    </rPh>
    <rPh sb="15" eb="17">
      <t>チョウメ</t>
    </rPh>
    <rPh sb="18" eb="19">
      <t>バン</t>
    </rPh>
    <rPh sb="21" eb="22">
      <t>ゴウ</t>
    </rPh>
    <phoneticPr fontId="4"/>
  </si>
  <si>
    <t>広島県広島市東区上大須賀町1-16 交通会館ビル３Ｆ</t>
  </si>
  <si>
    <t>広島県広島市中区光南２－３－４２</t>
  </si>
  <si>
    <t>広島県広島市中区大手町4-2-27 中央レジデンス3F</t>
  </si>
  <si>
    <t>広島県広島市南区金屋町２番１５号</t>
  </si>
  <si>
    <t>広島県広島市佐伯区旭園3-33 清水ビル4Ｆ</t>
  </si>
  <si>
    <t>広島県広島市中区光南2丁目3番42号</t>
  </si>
  <si>
    <t>広島県広島市中区西白島町4番8号</t>
  </si>
  <si>
    <t>青森県弘前市南城西2-1-9</t>
    <rPh sb="0" eb="3">
      <t>アオモリケン</t>
    </rPh>
    <phoneticPr fontId="4"/>
  </si>
  <si>
    <t>高知県高知市升形５番２号</t>
    <phoneticPr fontId="4"/>
  </si>
  <si>
    <t>高知県高知市桟橋通4-15-23</t>
    <phoneticPr fontId="4"/>
  </si>
  <si>
    <t>北海道札幌市東区北１５条東１丁目１番２８号</t>
  </si>
  <si>
    <t>北海道札幌市中央区北１条西２４丁目４番</t>
  </si>
  <si>
    <t>北海道札幌市西区発寒９条１０丁目２番１０号</t>
  </si>
  <si>
    <t>北海道札幌市中央区南１条西７丁目１番地３ アルファ南１条ビル６階</t>
  </si>
  <si>
    <t>北海道札幌市豊平区平岸3条5丁目4-22 平岸グランドビル302</t>
  </si>
  <si>
    <t>北海道札幌市中央区大通西１９丁目２－１ フロンティア大通西4F</t>
  </si>
  <si>
    <t>北海道札幌市白石区本郷通１丁目南1番8号</t>
  </si>
  <si>
    <t>北海道札幌市東区北３２条東１８丁目6-15</t>
  </si>
  <si>
    <t>北海道札幌市厚別区厚別南7丁目26-2</t>
  </si>
  <si>
    <t>北海道札幌市白石区本郷通１丁目南１番８号</t>
  </si>
  <si>
    <t>北海道札幌市中央区南1条西7丁目1番地3 アルファ南1条ビル6F</t>
  </si>
  <si>
    <t>北海道札幌市西区琴似1条6丁目1-26 ｳｴｽﾄﾎﾟｰﾄ101</t>
  </si>
  <si>
    <t>北海道札幌市中央区旭ヶ丘1丁目1-1-103</t>
  </si>
  <si>
    <t>北海道札幌市中央区南12条西18丁目3-1</t>
  </si>
  <si>
    <t>北海道札幌市東区北23条東5丁目4-5　北海道設計ビル2階</t>
  </si>
  <si>
    <t>北海道札幌市中央区宮の森2条15丁目 1-2</t>
  </si>
  <si>
    <t>北海道札幌市中央区北2条東17丁目</t>
  </si>
  <si>
    <t>北海道札幌市中央区北2条東17丁目</t>
    <phoneticPr fontId="4"/>
  </si>
  <si>
    <t>山形県山形市あこや町3-2-23-1</t>
  </si>
  <si>
    <t>山形県山形市松波三丁目4-11</t>
  </si>
  <si>
    <t>山形県山形市大手町９－２５</t>
  </si>
  <si>
    <t>山形県山形市下条町二丁目19-16　MKビル3F</t>
  </si>
  <si>
    <t>山形県山形市緑町4丁目２５-１３</t>
  </si>
  <si>
    <t>山形県山形市篭田一丁目6番7号</t>
  </si>
  <si>
    <t>山形県山形市あさひ町２６番３１号</t>
  </si>
  <si>
    <t>山形県山形市七日町三丁目1番16号</t>
  </si>
  <si>
    <t>山形県山形市七日町三丁目1番16号</t>
    <phoneticPr fontId="4"/>
  </si>
  <si>
    <t>山形県山形市上町三丁目8-40</t>
  </si>
  <si>
    <t>山形県山形市西田4－8－32</t>
  </si>
  <si>
    <t>山形県山形市新開２丁目１１番地３６号</t>
  </si>
  <si>
    <t>山形県山形市上町三丁目8-40</t>
    <phoneticPr fontId="4"/>
  </si>
  <si>
    <t>北海道札幌市中央区北1条西24丁目2番22号 マリアール・札幌ウエストビル7階</t>
  </si>
  <si>
    <t>北海道札幌市</t>
    <phoneticPr fontId="4"/>
  </si>
  <si>
    <t>北海道札幌市中央区北二条西4-1 4F</t>
  </si>
  <si>
    <t>北海道札幌市中央区大通西１８丁目 大通クイーンハイツ1F</t>
  </si>
  <si>
    <t>北海道札幌市中央区北3条西28丁目三栄ビル</t>
  </si>
  <si>
    <t>北海道札幌市中央区南２条西７丁目４－１ 第７松井ビル６D</t>
  </si>
  <si>
    <t>北海道札幌市北区北３３条西２丁目１－７　ＳＡＫＵＲＡ－Ｎ３３　３Ｆ</t>
  </si>
  <si>
    <t>北海道札幌市</t>
    <phoneticPr fontId="4"/>
  </si>
  <si>
    <t>北海道札幌市中央区南14条西11丁目2-12 ブリック佐藤2階</t>
  </si>
  <si>
    <t>北海道札幌市中央区南23条西12丁目1-3-602</t>
  </si>
  <si>
    <t>北海道札幌市中央区北1条東4-8-1</t>
  </si>
  <si>
    <t>北海道札幌市南区藤野1条7丁目30-8</t>
  </si>
  <si>
    <t>北海道札幌市中央区大通西12丁目-4-78　ウエスト12ビル 5F</t>
  </si>
  <si>
    <t>秋田県秋田市保戸野すわ町10-31</t>
  </si>
  <si>
    <t>秋田県秋田市山王六丁目3-3　共和ビル4F</t>
  </si>
  <si>
    <t>秋田県秋田市山王三丁目8-34山王ツインビル4F</t>
  </si>
  <si>
    <t>秋田県秋田市八橋田五郎1丁目5の22</t>
  </si>
  <si>
    <t>秋田県秋田市牛島東5丁目6-38-101</t>
  </si>
  <si>
    <t>東京都渋谷区笹塚1-22-2KMビル3F</t>
    <phoneticPr fontId="4"/>
  </si>
  <si>
    <t>埼玉県所沢市北有楽町24-10-204</t>
    <phoneticPr fontId="4"/>
  </si>
  <si>
    <t>北海道小樽市入船3丁目21-13</t>
    <rPh sb="0" eb="3">
      <t>ホッカイドウ</t>
    </rPh>
    <phoneticPr fontId="4"/>
  </si>
  <si>
    <t>島根県松江市八雲町日吉236-3</t>
    <phoneticPr fontId="4"/>
  </si>
  <si>
    <t>和歌山県和歌山市谷町４</t>
  </si>
  <si>
    <t>和歌山県和歌山市塩屋５丁目４－２６</t>
  </si>
  <si>
    <t>和歌山県和歌山市杭ノ瀬7-3</t>
  </si>
  <si>
    <t>和歌山県和歌山市小松原６丁目５－１５</t>
  </si>
  <si>
    <t>和歌山県和歌山市島83-2</t>
    <rPh sb="0" eb="3">
      <t>ワカヤマ</t>
    </rPh>
    <rPh sb="3" eb="4">
      <t>ケン</t>
    </rPh>
    <rPh sb="4" eb="7">
      <t>ワカヤマ</t>
    </rPh>
    <phoneticPr fontId="4"/>
  </si>
  <si>
    <t>和歌山県和歌山市小松原通三丁目69</t>
    <phoneticPr fontId="4"/>
  </si>
  <si>
    <t>愛知県名古屋市中区丸の内三丁目17番6号 ナカトウ丸の内ビル3階</t>
  </si>
  <si>
    <t>愛知県名古屋市東区葵1丁目2番5号</t>
  </si>
  <si>
    <t>愛知県名古屋市中区丸の内３丁目６番２７号EBSビル2F</t>
  </si>
  <si>
    <t>愛知県名古屋市中村区太閤二丁目5番7号</t>
  </si>
  <si>
    <t>愛知県名古屋市中区新栄2-1-9</t>
  </si>
  <si>
    <t>愛知県名古屋市中区新栄1-39-21</t>
  </si>
  <si>
    <t>愛知県名古屋市中村区名駅五丁目７番３０号 名駅東ビル６F</t>
  </si>
  <si>
    <t>愛知県名古屋市東区白壁1-45</t>
  </si>
  <si>
    <t>愛知県名古屋市中区栄一丁目31-41</t>
  </si>
  <si>
    <t>愛知県名古屋市西区浄心2-1-6ソブエビル202</t>
  </si>
  <si>
    <t>愛知県名古屋市中区錦2丁目18番5号　白川第6ビル8階</t>
  </si>
  <si>
    <t>愛知県名古屋市中区錦二丁目18番5号 白川第６ビル８階</t>
  </si>
  <si>
    <t>愛知県名古屋市中区丸の内一丁目15番15号</t>
  </si>
  <si>
    <t>愛知県名古屋市中区錦二丁目18番5号 白川第6ビル8階</t>
  </si>
  <si>
    <t>愛知県名古屋市守山区森孝1-902</t>
    <phoneticPr fontId="4"/>
  </si>
  <si>
    <t>愛知県名古屋市守山区森孝1-902</t>
    <phoneticPr fontId="4"/>
  </si>
  <si>
    <t>福岡県北九州市八幡東区春の町１丁目 6-23</t>
    <rPh sb="0" eb="3">
      <t>フクオカケン</t>
    </rPh>
    <phoneticPr fontId="4"/>
  </si>
  <si>
    <t>福岡県北九州市八幡東区春の町１丁目 6-23</t>
    <phoneticPr fontId="4"/>
  </si>
  <si>
    <t>福岡県北九州市八幡東区春の町１丁目 6-23</t>
    <phoneticPr fontId="4"/>
  </si>
  <si>
    <t>鳥取県米子市東町177番地　東町ビル</t>
    <phoneticPr fontId="4"/>
  </si>
  <si>
    <t>鳥取県米子市道笑町二丁目126番地</t>
    <phoneticPr fontId="4"/>
  </si>
  <si>
    <t>福岡県福岡市博多区下川端町2-1博多座・西銀再開発ビル１１F</t>
  </si>
  <si>
    <t>福岡県福岡市博多区下川端町2-1 博多座・西銀再開発ビル11F</t>
  </si>
  <si>
    <t>福岡県福岡市博多区下川端町1-1明治通りビジネスセンター本館</t>
  </si>
  <si>
    <t>福岡県福岡市中央区薬院1-6-16 百田ビル203号</t>
  </si>
  <si>
    <t>福岡県福岡市城南区鳥飼5丁目20-11</t>
  </si>
  <si>
    <t>福岡県福岡市博多区博多駅前4-25-14　HIROビル5F</t>
  </si>
  <si>
    <t>福岡県福岡市南区長住1-7-27</t>
  </si>
  <si>
    <t>福岡県福岡市南区大楠1-35-21-1F</t>
  </si>
  <si>
    <t>福岡県福岡市中央区平尾3-22-3　平丘ビル</t>
  </si>
  <si>
    <t>福岡県福岡市中央区高砂1-11-1 福岡ゼネラルビル5F</t>
  </si>
  <si>
    <t>福岡県福岡市中央区赤坂1丁目13-10</t>
  </si>
  <si>
    <t>福岡県福岡市中央区天神4-1-32 損保ジャパン福岡天神ビル6F</t>
  </si>
  <si>
    <t>福岡県福岡市中央区今泉2-4-58 藤和今泉コープ403</t>
  </si>
  <si>
    <t>福岡県福岡市中央区草香江2丁目1番23号</t>
  </si>
  <si>
    <t xml:space="preserve">福岡県福岡市中央区平尾4-6-4　アビタシオン302号 </t>
  </si>
  <si>
    <t>福岡県福岡市博多区博多駅前4-25-14 8F</t>
    <phoneticPr fontId="4"/>
  </si>
  <si>
    <t>福岡県福岡市中央区高砂1-11-1　福岡ゼネラルビル5F</t>
  </si>
  <si>
    <t>福岡県福岡市中央区大名１－６－８ キキプレースファーストバース３Ｆ</t>
  </si>
  <si>
    <t>福岡県福岡市中央区大名2丁目9-35 トウセン天神ビル7F</t>
  </si>
  <si>
    <t>福岡県福岡市西区拾六町3-14-12</t>
  </si>
  <si>
    <t>福岡県福岡市中央区六本松2-3-3-3Ｆ</t>
  </si>
  <si>
    <t>福岡県福岡市博多区美野島２丁目３番９号</t>
  </si>
  <si>
    <t>福岡県福岡市城南区金山団地40-305</t>
  </si>
  <si>
    <t>福岡県福岡市博多区博多駅前1-18-6 大成博多駅前ビル4階</t>
  </si>
  <si>
    <t>福岡県福岡市博多区博多駅前4丁目8番10号 シンコービル3階</t>
  </si>
  <si>
    <t>福岡県福岡市博多区住吉4丁目5番18</t>
  </si>
  <si>
    <t>福岡県福岡市南区西長住1丁目12-35</t>
  </si>
  <si>
    <t>福岡県福岡市南区西長住1丁目12-35 篠隈ビル1F</t>
  </si>
  <si>
    <t>福岡県福岡市博多区博多駅前4丁目8-10　シンコービル3F</t>
  </si>
  <si>
    <t>福岡県福岡市博多区博多駅前4-25-14　HIROビル5F</t>
    <phoneticPr fontId="4"/>
  </si>
  <si>
    <t>青森県八戸市諏訪二丁目19-9</t>
    <phoneticPr fontId="4"/>
  </si>
  <si>
    <t>青森県八戸市小中野2丁目9-1　2F</t>
    <phoneticPr fontId="4"/>
  </si>
  <si>
    <t>新潟県新潟市中央区神道寺南1-11-7</t>
    <phoneticPr fontId="4"/>
  </si>
  <si>
    <t>新潟県新潟市中央区米山3-1-5</t>
    <phoneticPr fontId="4"/>
  </si>
  <si>
    <t>新潟県新潟市中央区東出来島10-1　越路ビル2F</t>
    <phoneticPr fontId="4"/>
  </si>
  <si>
    <t>新潟県新潟市中央区笹口1丁目26-9大和地所新潟笹口ビル5B-1</t>
    <phoneticPr fontId="4"/>
  </si>
  <si>
    <t>新潟県新潟市中央区笹口1丁目26-9大和地所新潟笹口ビル5B-1</t>
    <phoneticPr fontId="4"/>
  </si>
  <si>
    <t>新潟県新潟市西区山田2310番地15</t>
    <rPh sb="0" eb="3">
      <t>ニイガタケン</t>
    </rPh>
    <phoneticPr fontId="4"/>
  </si>
  <si>
    <t>新潟県新潟市中央区笹口1丁目26-9大和地所新潟笹口ビル5B-1</t>
    <rPh sb="0" eb="3">
      <t>ニイガタケン</t>
    </rPh>
    <phoneticPr fontId="4"/>
  </si>
  <si>
    <t>兵庫県神戸市中央区八幡通4丁目1-16 ラムール神戸三宮ビル　202号</t>
  </si>
  <si>
    <t>岩手県盛岡市永井22-48-3</t>
  </si>
  <si>
    <t>岩手県盛岡市菜園一丁目11番4号</t>
  </si>
  <si>
    <t>岩手県盛岡市加賀野4-9-7</t>
  </si>
  <si>
    <t>岩手県盛岡市本宮五丁目5番5号</t>
  </si>
  <si>
    <t>岩手県盛岡市紺屋町3-11</t>
  </si>
  <si>
    <t>静岡県浜松市中区砂山町344-4　ハイブリッヂビル2Ｆ</t>
    <rPh sb="0" eb="3">
      <t>シズオカケン</t>
    </rPh>
    <phoneticPr fontId="4"/>
  </si>
  <si>
    <t>静岡県浜松市東区北島町916-1</t>
    <phoneticPr fontId="4"/>
  </si>
  <si>
    <t>富山県富山市本町１０番２号　</t>
  </si>
  <si>
    <t>北海道函館市豊川町21番7号</t>
    <phoneticPr fontId="4"/>
  </si>
  <si>
    <t>大阪府大阪市宝持2丁目3-6</t>
    <phoneticPr fontId="4"/>
  </si>
  <si>
    <t>新潟県三条市塚野目６丁目12番19号</t>
    <phoneticPr fontId="4"/>
  </si>
  <si>
    <t>青森県十和田市稲生町 13-43</t>
    <phoneticPr fontId="4"/>
  </si>
  <si>
    <t>青森県十和田市稲生町 13-43</t>
    <phoneticPr fontId="4"/>
  </si>
  <si>
    <t>兵庫県姫路市安田四丁目100</t>
    <phoneticPr fontId="4"/>
  </si>
  <si>
    <t>兵庫県姫路市中地58番地５</t>
    <phoneticPr fontId="4"/>
  </si>
  <si>
    <t>兵庫県姫路市中地58番地５</t>
    <rPh sb="0" eb="2">
      <t>ヒョウゴ</t>
    </rPh>
    <rPh sb="2" eb="3">
      <t>ケン</t>
    </rPh>
    <rPh sb="3" eb="5">
      <t>ヒメジ</t>
    </rPh>
    <phoneticPr fontId="4"/>
  </si>
  <si>
    <t>福井県福井市宝永2-1-50</t>
    <rPh sb="0" eb="3">
      <t>フクイケン</t>
    </rPh>
    <phoneticPr fontId="4"/>
  </si>
  <si>
    <t>福井県福井市学園2丁目2-6</t>
    <phoneticPr fontId="4"/>
  </si>
  <si>
    <t>青森県青森市筒井２丁目1-13</t>
    <phoneticPr fontId="4"/>
  </si>
  <si>
    <t>青森県青森市栄町1-15-12</t>
    <phoneticPr fontId="4"/>
  </si>
  <si>
    <t>青森県青森市栄町1-15-12</t>
    <phoneticPr fontId="4"/>
  </si>
  <si>
    <t>青森県青森市松原三丁目14-13</t>
    <phoneticPr fontId="4"/>
  </si>
  <si>
    <t>青森県青森市栄町1-15-12</t>
    <phoneticPr fontId="4"/>
  </si>
  <si>
    <t>青森県青森市安田字近野100番地5</t>
    <phoneticPr fontId="4"/>
  </si>
  <si>
    <t>青森県青森市松森一丁目７－３６</t>
    <phoneticPr fontId="4"/>
  </si>
  <si>
    <t>青森県青森市大字油川字千刈115-9</t>
    <phoneticPr fontId="4"/>
  </si>
  <si>
    <t>青森県青森市安田字近野100番地5</t>
    <phoneticPr fontId="4"/>
  </si>
  <si>
    <t>青森県青森市大字油川字千刈115-9</t>
    <phoneticPr fontId="4"/>
  </si>
  <si>
    <t>青森県青森市大字油川字千刈115-9</t>
    <phoneticPr fontId="4"/>
  </si>
  <si>
    <t>青森県青森市筒井4丁目11-53</t>
    <phoneticPr fontId="4"/>
  </si>
  <si>
    <t>静岡県静岡市葵区上足洗4丁目6-23</t>
    <phoneticPr fontId="4"/>
  </si>
  <si>
    <t>静岡県静岡市駿河区みずほ4-7-10 ファミールみずほ205号室</t>
    <phoneticPr fontId="4"/>
  </si>
  <si>
    <t>静岡県静岡市清水区松原町5-17</t>
    <phoneticPr fontId="4"/>
  </si>
  <si>
    <t>静岡県静岡市清水区松原町5-17</t>
    <phoneticPr fontId="4"/>
  </si>
  <si>
    <t>新潟県長岡市大島新町4丁目乙17番地</t>
    <rPh sb="0" eb="3">
      <t>ニイガタケン</t>
    </rPh>
    <phoneticPr fontId="4"/>
  </si>
  <si>
    <t>福井県福井市乾徳2丁目10-16</t>
    <rPh sb="0" eb="3">
      <t>フクイケン</t>
    </rPh>
    <phoneticPr fontId="4"/>
  </si>
  <si>
    <t>長野県長野市西三才2228-1</t>
    <phoneticPr fontId="4"/>
  </si>
  <si>
    <t xml:space="preserve">長野県長野市東和田705-10　江本ビル 2F </t>
    <phoneticPr fontId="4"/>
  </si>
  <si>
    <t>宮城県仙台市青葉区一番町４丁目7-17</t>
  </si>
  <si>
    <t>宮城県仙台市青葉区本町一丁目９－２</t>
  </si>
  <si>
    <t>宮城県仙台市青葉区本町一丁目9-2 浜屋ビル２号館３Ｆ</t>
  </si>
  <si>
    <t>宮城県仙台市青葉区一番町三丁目3番16号(オー・エックス芭蕉の辻ビル)</t>
  </si>
  <si>
    <t>宮城県仙台市青葉区一番町4-7-17</t>
  </si>
  <si>
    <t>宮城県仙台市若林区新寺1-2-26　小田急仙台東口ビル10F</t>
  </si>
  <si>
    <t>宮城県仙台市若林区新寺1-2-26 小田急仙台東口ビル10F</t>
  </si>
  <si>
    <t>宮城県仙台市泉区実沢字中山南３１－５ 双葉ビル６Ｆ</t>
  </si>
  <si>
    <t>宮城県仙台市青葉区二日町17番17号 BRAVI北四番丁7階</t>
  </si>
  <si>
    <t>宮城県仙台市泉区天神沢1-31-13</t>
  </si>
  <si>
    <t>宮城県仙台市青葉区五橋1丁目4番24号 ライオンズビル五橋402号室</t>
  </si>
  <si>
    <t>宮城県仙台市青葉区木町通り1-6-34</t>
  </si>
  <si>
    <t>宮城県仙台市青葉区一番町三丁目３番１６号オー・エックス芭蕉の辻ビル</t>
  </si>
  <si>
    <t>宮城県仙台市青葉区一番町2丁目8番15号 太陽生命仙台ビル</t>
  </si>
  <si>
    <t>宮城県仙台市宮城野区福室字県道前16-1</t>
    <phoneticPr fontId="4"/>
  </si>
  <si>
    <t>神奈川県川崎市中原区井田1-15-11-2F</t>
    <phoneticPr fontId="4"/>
  </si>
  <si>
    <t>大分県大分市大手町１－３－15　ＫＯＮＯビル２Ｆ～３Ｆ</t>
    <rPh sb="0" eb="3">
      <t>オオイタケン</t>
    </rPh>
    <phoneticPr fontId="4"/>
  </si>
  <si>
    <t>大分県大分市花津留2丁目172番</t>
    <rPh sb="0" eb="3">
      <t>オオイタケン</t>
    </rPh>
    <phoneticPr fontId="4"/>
  </si>
  <si>
    <t>大分県大分市日吉町１１－２３　峯野ビル２０１</t>
    <phoneticPr fontId="4"/>
  </si>
  <si>
    <t>大分県大分市日吉町１１－２３　峯野ビル２０１</t>
    <phoneticPr fontId="4"/>
  </si>
  <si>
    <t>宮城県仙台市青葉区二日町13-18 ステーションプラザビル803</t>
  </si>
  <si>
    <t>宮城県仙台市太白区鹿野二丁目4-25-516</t>
  </si>
  <si>
    <t>宮城県仙台市</t>
    <phoneticPr fontId="4"/>
  </si>
  <si>
    <t>宮城県仙台市青葉区一番町3-6-1</t>
  </si>
  <si>
    <t>宮城県仙台市宮城野区榴岡４丁目13-1サン・アドバンスビル4F</t>
  </si>
  <si>
    <t>宮城県仙台市青葉区二日町16-20 二日町ホームプラザ3F</t>
  </si>
  <si>
    <t>宮城県仙台市宮城野区榴岡３丁目１０－７ サンライン第６６ビル２Ｆ　Ｃ号</t>
  </si>
  <si>
    <t>宮城県仙台市宮城野区榴岡4-13-1-4F</t>
  </si>
  <si>
    <t>宮城県仙台市太白区鹿野一丁目1-3</t>
  </si>
  <si>
    <t>宮城県仙台市青葉区木町通1丁目6-28-306</t>
  </si>
  <si>
    <t>宮城県仙台市太白区長町3-9-6-202</t>
    <rPh sb="6" eb="8">
      <t>タイハク</t>
    </rPh>
    <rPh sb="8" eb="9">
      <t>ク</t>
    </rPh>
    <rPh sb="9" eb="11">
      <t>ナガマチ</t>
    </rPh>
    <phoneticPr fontId="4"/>
  </si>
  <si>
    <t>宮城県仙台市若林区新寺一丁目6-8-201</t>
  </si>
  <si>
    <t>宮城県仙台市青葉区片平1丁目2－22 ロイヤーパークビル４階</t>
  </si>
  <si>
    <t>宮城県仙台市青葉区中央3-2-1 青葉通プラザ 11F</t>
  </si>
  <si>
    <t>宮城県仙台市宮城野区榴岡3丁目10-7 サンライン第66ビル2FC号</t>
  </si>
  <si>
    <t>千葉県千葉市中央区松波3-9-1</t>
    <rPh sb="0" eb="3">
      <t>チバケン</t>
    </rPh>
    <phoneticPr fontId="4"/>
  </si>
  <si>
    <t>千葉県千葉市中央区松波3-9-1</t>
    <phoneticPr fontId="4"/>
  </si>
  <si>
    <t>埼玉県さいたま市大宮区高鼻町１－１３０</t>
    <phoneticPr fontId="4"/>
  </si>
  <si>
    <t>埼玉県さいたま市南区大谷口725-12</t>
    <phoneticPr fontId="4"/>
  </si>
  <si>
    <t>埼玉県さいたま市大宮区宮町4-138 金周ビル6F</t>
    <phoneticPr fontId="4"/>
  </si>
  <si>
    <t>岡山県岡山市北区西古松西町5番6号</t>
    <rPh sb="0" eb="3">
      <t>オカヤマケン</t>
    </rPh>
    <phoneticPr fontId="4"/>
  </si>
  <si>
    <t>山口県下関市大字綾羅木732-1</t>
    <rPh sb="0" eb="3">
      <t>ヤマグチケン</t>
    </rPh>
    <phoneticPr fontId="4"/>
  </si>
  <si>
    <t>石川県金沢市金石北３丁目１６－１０</t>
    <phoneticPr fontId="4"/>
  </si>
  <si>
    <t>石川県金沢市白菊町 7番9号</t>
    <phoneticPr fontId="4"/>
  </si>
  <si>
    <t>石川県金沢市白菊町 7番9号</t>
    <phoneticPr fontId="4"/>
  </si>
  <si>
    <t>石川県金沢市白菊町 7番9号</t>
    <phoneticPr fontId="4"/>
  </si>
  <si>
    <t>石川県金沢市白菊町 7番9号</t>
    <phoneticPr fontId="4"/>
  </si>
  <si>
    <t>神奈川県川崎市宮前区神木本町5-1-11-303</t>
    <rPh sb="0" eb="4">
      <t>カナガワケン</t>
    </rPh>
    <phoneticPr fontId="4"/>
  </si>
  <si>
    <t>茨城県水戸市平須町1822-597</t>
    <rPh sb="0" eb="2">
      <t>イバラギ</t>
    </rPh>
    <rPh sb="2" eb="3">
      <t>ケン</t>
    </rPh>
    <phoneticPr fontId="4"/>
  </si>
  <si>
    <t>茨城県水戸市平須町1822-597大平ビル2F</t>
    <phoneticPr fontId="4"/>
  </si>
  <si>
    <t>静岡県沼津市大岡９５５－８</t>
    <rPh sb="0" eb="3">
      <t>シズオカケン</t>
    </rPh>
    <phoneticPr fontId="4"/>
  </si>
  <si>
    <t>兵庫県神戸市磯上通8-1-8 アジアビルディング501</t>
    <rPh sb="0" eb="3">
      <t>ヒョウゴケン</t>
    </rPh>
    <phoneticPr fontId="4"/>
  </si>
  <si>
    <t>埼玉県上尾市緑丘2-2-12</t>
    <rPh sb="0" eb="3">
      <t>サイタマケン</t>
    </rPh>
    <phoneticPr fontId="4"/>
  </si>
  <si>
    <t>神奈川県川崎市中原区井田1-15-11-2F</t>
    <phoneticPr fontId="4"/>
  </si>
  <si>
    <t>神奈川県川崎市中原区井田1-15-11-2F</t>
    <phoneticPr fontId="4"/>
  </si>
  <si>
    <t>静岡県袋井市山名町4-17</t>
    <rPh sb="0" eb="3">
      <t>シズオカケン</t>
    </rPh>
    <phoneticPr fontId="4"/>
  </si>
  <si>
    <t>大阪府大阪市西区北堀江1-11-17 東洋ハットビル3F</t>
  </si>
  <si>
    <t>大阪府大阪市北区天満1-5-2 トリシマオフィスワンビル９階</t>
  </si>
  <si>
    <t>大阪府大阪市中央区博労町1-17-16　CST大阪ビル4F</t>
  </si>
  <si>
    <t>大阪府大阪市北区梅田1-12-12（東京建物梅田ビル14F）</t>
  </si>
  <si>
    <t>大阪府大阪市西区江戸堀一丁目12-18</t>
  </si>
  <si>
    <t>大阪府大阪市中央区北久宝寺町1-4-15　SC堺筋本町ビル</t>
  </si>
  <si>
    <t>大阪府大阪市中央区内淡路町2-3-1　EHH大手前8F</t>
  </si>
  <si>
    <t>大阪府大阪市中央区谷町9丁目5-28-806</t>
  </si>
  <si>
    <t>大阪府大阪市浪速区恵美須西2-14-28</t>
  </si>
  <si>
    <t>大阪府大阪市西区立売堀1-9-23　4階</t>
  </si>
  <si>
    <t>大阪府大阪市中央区南船場3-7-32 榎本ビル302号</t>
  </si>
  <si>
    <t>大阪府大阪市中央区北浜2-6-11 北浜エクセルビル3F</t>
  </si>
  <si>
    <t>大阪府大阪市中央区博労町1丁目7番16号 CST大阪ビル4階</t>
  </si>
  <si>
    <t>大阪府大阪市北区天満2丁目12-3 ヴィレッジリバー南森町6Ｆ</t>
  </si>
  <si>
    <t>大阪府大阪市中央区瓦町4-3-7　MID御堂筋瓦町ビル3F</t>
  </si>
  <si>
    <t>大阪府大阪市北区梅田1-12-12 東京建物梅田ビル 14階</t>
  </si>
  <si>
    <t>大阪府大阪市中央区石町1-2-9 シルバービル 4F</t>
  </si>
  <si>
    <t>大阪府大阪市中央区松屋町 6-14</t>
  </si>
  <si>
    <t>大阪府大阪市中央区安堂寺町1-3-12　大阪谷町ビル1001</t>
  </si>
  <si>
    <t>大阪府大阪市大阪府大阪市中央区釣鐘町２－４－７</t>
  </si>
  <si>
    <t>大阪府大阪市中央区瓦町４丁目３−７ VORT御堂筋本町ビル2F</t>
  </si>
  <si>
    <t>大阪府大阪市中央区瓦町4丁目3-7 VORT御堂筋本町ビル2F</t>
  </si>
  <si>
    <t>大阪府大阪市中央区内本町二丁目4番7号 大阪U2ビル8階</t>
  </si>
  <si>
    <t>大阪府大阪市大阪府大阪市北区西天満5-1-9</t>
  </si>
  <si>
    <t>大阪府大阪市北区梅田１－１２－１２ 東京建物梅田ビル１０F</t>
  </si>
  <si>
    <t>大阪府大阪市中央区瓦町4-3-7 VORT御堂筋本町ビル 2F</t>
  </si>
  <si>
    <t>鳥取県米子市道笑町二丁目126番地</t>
    <rPh sb="0" eb="3">
      <t>トットリケン</t>
    </rPh>
    <phoneticPr fontId="4"/>
  </si>
  <si>
    <t>大阪府大阪市玉串元町2丁目10番3号</t>
    <phoneticPr fontId="4"/>
  </si>
  <si>
    <t>徳島県徳島市丈六町西内33-1</t>
    <rPh sb="0" eb="3">
      <t>トクシマケン</t>
    </rPh>
    <phoneticPr fontId="4"/>
  </si>
  <si>
    <t>東京都板橋区成増3-21-5-301</t>
    <rPh sb="0" eb="3">
      <t>トウキョウト</t>
    </rPh>
    <phoneticPr fontId="4"/>
  </si>
  <si>
    <t>長野県長野市平林2-3-23</t>
    <rPh sb="0" eb="3">
      <t>ナガノケン</t>
    </rPh>
    <phoneticPr fontId="4"/>
  </si>
  <si>
    <t>福岡県北九州市小倉北区青葉 2-5-19</t>
    <rPh sb="0" eb="3">
      <t>フクオカケン</t>
    </rPh>
    <phoneticPr fontId="4"/>
  </si>
  <si>
    <t>0173-35-8331</t>
    <phoneticPr fontId="4"/>
  </si>
  <si>
    <t>011-669-8100</t>
    <phoneticPr fontId="4"/>
  </si>
  <si>
    <t>sakamoto.masatoshi@aisekkei.co.jp</t>
    <phoneticPr fontId="4"/>
  </si>
  <si>
    <t>sakamoto.masatoshi@aisekkei.co.jp</t>
    <phoneticPr fontId="4"/>
  </si>
  <si>
    <t>okano@nihonkensetsu.co.jp</t>
    <phoneticPr fontId="4"/>
  </si>
  <si>
    <t>財団法人 愛知県建築住宅センター</t>
    <phoneticPr fontId="4"/>
  </si>
  <si>
    <t xml:space="preserve">宮北
</t>
    <rPh sb="0" eb="2">
      <t>ミヤキタ</t>
    </rPh>
    <phoneticPr fontId="4"/>
  </si>
  <si>
    <t>中設エンジ 株式会社</t>
    <phoneticPr fontId="4"/>
  </si>
  <si>
    <t>中設エンジ 株式会社</t>
    <phoneticPr fontId="4"/>
  </si>
  <si>
    <t>チュウセツエンジ カブシキガイシャ</t>
    <phoneticPr fontId="4"/>
  </si>
  <si>
    <t>12月初旬 本申請</t>
    <rPh sb="2" eb="3">
      <t>ガツ</t>
    </rPh>
    <rPh sb="3" eb="5">
      <t>ショジュン</t>
    </rPh>
    <rPh sb="6" eb="7">
      <t>ホン</t>
    </rPh>
    <rPh sb="7" eb="9">
      <t>シンセイ</t>
    </rPh>
    <phoneticPr fontId="4"/>
  </si>
  <si>
    <t>MCCポーアイ工場</t>
    <rPh sb="7" eb="9">
      <t>コウジョウ</t>
    </rPh>
    <phoneticPr fontId="4"/>
  </si>
  <si>
    <t>兵庫県</t>
    <phoneticPr fontId="4"/>
  </si>
  <si>
    <t>神戸市</t>
    <rPh sb="0" eb="3">
      <t>コウベシ</t>
    </rPh>
    <phoneticPr fontId="4"/>
  </si>
  <si>
    <t>中央区港島南町</t>
    <rPh sb="0" eb="3">
      <t>チュウオウク</t>
    </rPh>
    <rPh sb="3" eb="4">
      <t>ミナト</t>
    </rPh>
    <rPh sb="4" eb="5">
      <t>シマ</t>
    </rPh>
    <rPh sb="5" eb="6">
      <t>ミナミ</t>
    </rPh>
    <rPh sb="6" eb="7">
      <t>マチ</t>
    </rPh>
    <phoneticPr fontId="4"/>
  </si>
  <si>
    <t>11月
初旬</t>
    <rPh sb="2" eb="3">
      <t>ガツ</t>
    </rPh>
    <rPh sb="4" eb="6">
      <t>ショジュン</t>
    </rPh>
    <phoneticPr fontId="4"/>
  </si>
  <si>
    <t>3</t>
    <phoneticPr fontId="4"/>
  </si>
  <si>
    <t>玉石混じり砂礫</t>
    <rPh sb="0" eb="3">
      <t>タマイシマ</t>
    </rPh>
    <rPh sb="5" eb="7">
      <t>サレキ</t>
    </rPh>
    <phoneticPr fontId="4"/>
  </si>
  <si>
    <t>-</t>
    <phoneticPr fontId="4"/>
  </si>
  <si>
    <t>-</t>
    <phoneticPr fontId="4"/>
  </si>
  <si>
    <t>14m</t>
    <phoneticPr fontId="4"/>
  </si>
  <si>
    <t>ｼﾙﾄ質粘土</t>
    <rPh sb="3" eb="4">
      <t>シツ</t>
    </rPh>
    <rPh sb="4" eb="6">
      <t>ネンド</t>
    </rPh>
    <phoneticPr fontId="4"/>
  </si>
  <si>
    <t>工場</t>
    <rPh sb="0" eb="2">
      <t>コウジョウ</t>
    </rPh>
    <phoneticPr fontId="4"/>
  </si>
  <si>
    <t>埋立地。</t>
    <rPh sb="0" eb="3">
      <t>ウメタテチ</t>
    </rPh>
    <phoneticPr fontId="4"/>
  </si>
  <si>
    <t>広島西ＳＣ</t>
    <phoneticPr fontId="4"/>
  </si>
  <si>
    <t>新井</t>
    <rPh sb="0" eb="2">
      <t>ニイ</t>
    </rPh>
    <phoneticPr fontId="4"/>
  </si>
  <si>
    <t>倉庫</t>
    <phoneticPr fontId="4"/>
  </si>
  <si>
    <t>株式会社 アステック</t>
  </si>
  <si>
    <t>株式会社 アステック</t>
    <phoneticPr fontId="4"/>
  </si>
  <si>
    <t>榎本</t>
    <phoneticPr fontId="4"/>
  </si>
  <si>
    <t>大下</t>
    <phoneticPr fontId="4"/>
  </si>
  <si>
    <t>株式会社 増岡組</t>
    <phoneticPr fontId="4"/>
  </si>
  <si>
    <t>株式会社 増岡組</t>
    <phoneticPr fontId="4"/>
  </si>
  <si>
    <t xml:space="preserve"> 締切</t>
    <rPh sb="1" eb="3">
      <t>シメキリ</t>
    </rPh>
    <phoneticPr fontId="4"/>
  </si>
  <si>
    <t>着工</t>
    <rPh sb="0" eb="2">
      <t>チャッコウ</t>
    </rPh>
    <phoneticPr fontId="4"/>
  </si>
  <si>
    <t>株式会社 地工建設</t>
    <rPh sb="0" eb="4">
      <t>カブシキカイシャ</t>
    </rPh>
    <phoneticPr fontId="4"/>
  </si>
  <si>
    <t>株式会社 地工建設</t>
    <phoneticPr fontId="4"/>
  </si>
  <si>
    <t>カブシキガイシャ チコウケンセツ</t>
    <phoneticPr fontId="4"/>
  </si>
  <si>
    <t>積水ハウス 株式会社</t>
    <phoneticPr fontId="4"/>
  </si>
  <si>
    <t>マルイウエストランド</t>
    <phoneticPr fontId="4"/>
  </si>
  <si>
    <t>A-4</t>
  </si>
  <si>
    <t>筑波 幸一郎</t>
    <phoneticPr fontId="4"/>
  </si>
  <si>
    <t>06-6251-8541</t>
    <phoneticPr fontId="4"/>
  </si>
  <si>
    <t>大阪府大阪市中央区南久宝寺町3-1-8　MPR本町ビル13階</t>
    <phoneticPr fontId="4"/>
  </si>
  <si>
    <t>chikuba.koichiro@ce-kk.co.jp</t>
    <phoneticPr fontId="4"/>
  </si>
  <si>
    <t>デンカ株式会社 QC保存倉庫</t>
    <phoneticPr fontId="4"/>
  </si>
  <si>
    <t>有限会社 ユウエスプラン</t>
    <phoneticPr fontId="4"/>
  </si>
  <si>
    <t>カブシキガイシャ イシイアソシエイツ</t>
    <phoneticPr fontId="4"/>
  </si>
  <si>
    <t>株式会社 イシイアソシエイツ</t>
    <phoneticPr fontId="4"/>
  </si>
  <si>
    <t>申請</t>
    <rPh sb="0" eb="2">
      <t>シンセイ</t>
    </rPh>
    <phoneticPr fontId="4"/>
  </si>
  <si>
    <t>駿河区聖一色</t>
    <rPh sb="0" eb="3">
      <t>スルガク</t>
    </rPh>
    <rPh sb="3" eb="4">
      <t>セイ</t>
    </rPh>
    <rPh sb="4" eb="5">
      <t>イチ</t>
    </rPh>
    <rPh sb="5" eb="6">
      <t>イロ</t>
    </rPh>
    <phoneticPr fontId="4"/>
  </si>
  <si>
    <t>ユイ
ﾏｲｱｲﾝ</t>
    <phoneticPr fontId="4"/>
  </si>
  <si>
    <t>株式会社 千代田設計</t>
    <rPh sb="5" eb="8">
      <t>チヨダ</t>
    </rPh>
    <rPh sb="8" eb="10">
      <t>セッケイ</t>
    </rPh>
    <phoneticPr fontId="4"/>
  </si>
  <si>
    <t>飯田</t>
    <rPh sb="0" eb="2">
      <t>イイダ</t>
    </rPh>
    <phoneticPr fontId="4"/>
  </si>
  <si>
    <t>052-249-3461</t>
    <phoneticPr fontId="4"/>
  </si>
  <si>
    <t>chiyoda.t@ml01.rd-net.jp</t>
    <phoneticPr fontId="4"/>
  </si>
  <si>
    <t>株式会社 千代田設計</t>
    <phoneticPr fontId="4"/>
  </si>
  <si>
    <t>カブシキガイシャ チヨダセッケイ</t>
    <phoneticPr fontId="4"/>
  </si>
  <si>
    <t xml:space="preserve"> 見積図</t>
    <rPh sb="1" eb="3">
      <t>ミツ</t>
    </rPh>
    <rPh sb="3" eb="4">
      <t>ズ</t>
    </rPh>
    <phoneticPr fontId="4"/>
  </si>
  <si>
    <t>津山市</t>
    <rPh sb="0" eb="2">
      <t>ツヤマ</t>
    </rPh>
    <rPh sb="2" eb="3">
      <t>シ</t>
    </rPh>
    <phoneticPr fontId="4"/>
  </si>
  <si>
    <t>店舗</t>
    <rPh sb="0" eb="2">
      <t>テンポ</t>
    </rPh>
    <phoneticPr fontId="4"/>
  </si>
  <si>
    <t>株式会社 国際確認検査センター</t>
    <phoneticPr fontId="4"/>
  </si>
  <si>
    <t>横井 利明</t>
    <phoneticPr fontId="4"/>
  </si>
  <si>
    <t>愛知県名古屋市中区新栄2-1-9　雲竜ビル1105号</t>
    <phoneticPr fontId="4"/>
  </si>
  <si>
    <t>052-241-2201</t>
    <phoneticPr fontId="4"/>
  </si>
  <si>
    <t>yokoi-uenoyama@vesta.ocn.ne.jp</t>
    <phoneticPr fontId="4"/>
  </si>
  <si>
    <t>株式会社 田中構造設計事務所</t>
    <phoneticPr fontId="4"/>
  </si>
  <si>
    <t>株式会社 上野山都市設計</t>
    <phoneticPr fontId="4"/>
  </si>
  <si>
    <t>着工</t>
    <rPh sb="0" eb="2">
      <t>チャッコウ</t>
    </rPh>
    <phoneticPr fontId="4"/>
  </si>
  <si>
    <t>第2ひかりこども園</t>
    <rPh sb="0" eb="1">
      <t>ダイ</t>
    </rPh>
    <rPh sb="8" eb="9">
      <t>エン</t>
    </rPh>
    <phoneticPr fontId="4"/>
  </si>
  <si>
    <t>鹿児島</t>
    <phoneticPr fontId="4"/>
  </si>
  <si>
    <t>霧島市</t>
    <phoneticPr fontId="4"/>
  </si>
  <si>
    <t>国分中央</t>
    <phoneticPr fontId="4"/>
  </si>
  <si>
    <t>RC造</t>
    <rPh sb="2" eb="3">
      <t>ゾウ</t>
    </rPh>
    <phoneticPr fontId="4"/>
  </si>
  <si>
    <t>静岡県</t>
    <phoneticPr fontId="4"/>
  </si>
  <si>
    <t>袋井市</t>
    <rPh sb="0" eb="2">
      <t>フクロイ</t>
    </rPh>
    <rPh sb="2" eb="3">
      <t>シ</t>
    </rPh>
    <phoneticPr fontId="4"/>
  </si>
  <si>
    <t>近藤
ホア</t>
    <rPh sb="0" eb="2">
      <t>コンドウ</t>
    </rPh>
    <phoneticPr fontId="4"/>
  </si>
  <si>
    <t>広島市</t>
    <phoneticPr fontId="4"/>
  </si>
  <si>
    <t>西区商工センター</t>
    <rPh sb="0" eb="2">
      <t>ニシク</t>
    </rPh>
    <rPh sb="2" eb="4">
      <t>ショウコウ</t>
    </rPh>
    <phoneticPr fontId="4"/>
  </si>
  <si>
    <t>3</t>
    <phoneticPr fontId="4"/>
  </si>
  <si>
    <t>礫混りｼﾙﾄ</t>
    <rPh sb="0" eb="1">
      <t>レキ</t>
    </rPh>
    <rPh sb="1" eb="2">
      <t>マ</t>
    </rPh>
    <phoneticPr fontId="4"/>
  </si>
  <si>
    <t>ｼﾙﾄ混り砂</t>
    <rPh sb="3" eb="4">
      <t>マ</t>
    </rPh>
    <rPh sb="5" eb="6">
      <t>スナ</t>
    </rPh>
    <phoneticPr fontId="4"/>
  </si>
  <si>
    <t>24m</t>
    <phoneticPr fontId="4"/>
  </si>
  <si>
    <t>ｼﾙﾄ</t>
    <phoneticPr fontId="4"/>
  </si>
  <si>
    <t>3m</t>
    <phoneticPr fontId="4"/>
  </si>
  <si>
    <t>ｼﾙﾄ混り細中砂</t>
    <rPh sb="3" eb="4">
      <t>マ</t>
    </rPh>
    <rPh sb="5" eb="6">
      <t>サイ</t>
    </rPh>
    <rPh sb="6" eb="7">
      <t>ナカ</t>
    </rPh>
    <rPh sb="7" eb="8">
      <t>スナ</t>
    </rPh>
    <phoneticPr fontId="4"/>
  </si>
  <si>
    <t>結果待ち</t>
    <rPh sb="0" eb="2">
      <t>ケッカ</t>
    </rPh>
    <rPh sb="2" eb="3">
      <t>マ</t>
    </rPh>
    <phoneticPr fontId="4"/>
  </si>
  <si>
    <t>近藤
(外注)</t>
    <rPh sb="0" eb="2">
      <t>コンドウ</t>
    </rPh>
    <rPh sb="4" eb="6">
      <t>ガイチュウ</t>
    </rPh>
    <phoneticPr fontId="4"/>
  </si>
  <si>
    <t>火山灰質砂</t>
    <rPh sb="0" eb="2">
      <t>カザン</t>
    </rPh>
    <rPh sb="2" eb="3">
      <t>ハイ</t>
    </rPh>
    <rPh sb="3" eb="4">
      <t>シツ</t>
    </rPh>
    <rPh sb="4" eb="5">
      <t>スナ</t>
    </rPh>
    <phoneticPr fontId="4"/>
  </si>
  <si>
    <t>火山灰質ｼﾙﾄ</t>
    <rPh sb="0" eb="2">
      <t>カザン</t>
    </rPh>
    <rPh sb="2" eb="3">
      <t>ハイ</t>
    </rPh>
    <rPh sb="3" eb="4">
      <t>シツ</t>
    </rPh>
    <phoneticPr fontId="4"/>
  </si>
  <si>
    <t>株式会社 エース構造設計室</t>
    <phoneticPr fontId="4"/>
  </si>
  <si>
    <t>カブシキガイシャ エースコウゾウセッケイシツ</t>
    <phoneticPr fontId="4"/>
  </si>
  <si>
    <t>acekouzou@tune.ocn.ne.jp</t>
    <phoneticPr fontId="4"/>
  </si>
  <si>
    <t>松尾</t>
    <phoneticPr fontId="4"/>
  </si>
  <si>
    <t>2</t>
    <phoneticPr fontId="4"/>
  </si>
  <si>
    <t>スーパーマーケット 袋井駅南</t>
    <phoneticPr fontId="4"/>
  </si>
  <si>
    <t>0952-20-1455</t>
    <phoneticPr fontId="4"/>
  </si>
  <si>
    <t>佐賀県佐賀市神野東3丁目1-37　宝ビル31号</t>
    <phoneticPr fontId="4"/>
  </si>
  <si>
    <t>財団法人 熊本建築構造評価センター</t>
    <phoneticPr fontId="4"/>
  </si>
  <si>
    <t>隣のBMW(PHC杭10m)は改修。狭小地・隣地建物近接。建物高さの関係で衝突防止壁無し。</t>
    <rPh sb="0" eb="1">
      <t>トナリ</t>
    </rPh>
    <rPh sb="9" eb="10">
      <t>クイ</t>
    </rPh>
    <rPh sb="15" eb="17">
      <t>カイシュウ</t>
    </rPh>
    <rPh sb="18" eb="20">
      <t>キョウショウ</t>
    </rPh>
    <rPh sb="20" eb="21">
      <t>チ</t>
    </rPh>
    <rPh sb="22" eb="24">
      <t>リンチ</t>
    </rPh>
    <rPh sb="24" eb="26">
      <t>タテモノ</t>
    </rPh>
    <rPh sb="26" eb="28">
      <t>キンセツ</t>
    </rPh>
    <rPh sb="29" eb="31">
      <t>タテモノ</t>
    </rPh>
    <rPh sb="31" eb="32">
      <t>タカ</t>
    </rPh>
    <rPh sb="34" eb="36">
      <t>カンケイ</t>
    </rPh>
    <rPh sb="37" eb="39">
      <t>ショウトツ</t>
    </rPh>
    <rPh sb="39" eb="41">
      <t>ボウシ</t>
    </rPh>
    <rPh sb="41" eb="42">
      <t>カベ</t>
    </rPh>
    <rPh sb="42" eb="43">
      <t>ナ</t>
    </rPh>
    <phoneticPr fontId="4"/>
  </si>
  <si>
    <t>23.2
24.0</t>
    <phoneticPr fontId="4"/>
  </si>
  <si>
    <t>31.3
35.6</t>
    <phoneticPr fontId="4"/>
  </si>
  <si>
    <t>21.0
20.7</t>
    <phoneticPr fontId="4"/>
  </si>
  <si>
    <t>75.6
80.3</t>
    <phoneticPr fontId="4"/>
  </si>
  <si>
    <t>府植物混じり粘土</t>
    <rPh sb="0" eb="3">
      <t>フショクブツ</t>
    </rPh>
    <rPh sb="3" eb="4">
      <t>マ</t>
    </rPh>
    <rPh sb="6" eb="8">
      <t>ネンド</t>
    </rPh>
    <phoneticPr fontId="4"/>
  </si>
  <si>
    <t>山﨑</t>
    <phoneticPr fontId="4"/>
  </si>
  <si>
    <t>080-4312-5323</t>
    <phoneticPr fontId="4"/>
  </si>
  <si>
    <t>福岡県大牟田市三川町3丁目60番地</t>
    <rPh sb="0" eb="3">
      <t>フクオカケン</t>
    </rPh>
    <phoneticPr fontId="4"/>
  </si>
  <si>
    <t>daichiplanning@gmail.com</t>
    <phoneticPr fontId="4"/>
  </si>
  <si>
    <t>大智企画 株式会社</t>
    <phoneticPr fontId="4"/>
  </si>
  <si>
    <t>大智企画 株式会社</t>
    <phoneticPr fontId="4"/>
  </si>
  <si>
    <t>福岡県大牟田市三川町3丁目60番地</t>
    <phoneticPr fontId="4"/>
  </si>
  <si>
    <t>株式会社 内池建設</t>
    <phoneticPr fontId="4"/>
  </si>
  <si>
    <t>株式会社 内池建設</t>
    <phoneticPr fontId="4"/>
  </si>
  <si>
    <t>カブシキガイシャ ウチイケケンセツ</t>
    <phoneticPr fontId="4"/>
  </si>
  <si>
    <t>申請</t>
    <rPh sb="0" eb="2">
      <t>シンセイ</t>
    </rPh>
    <phoneticPr fontId="4"/>
  </si>
  <si>
    <t>着工</t>
    <rPh sb="0" eb="2">
      <t>チャッコウ</t>
    </rPh>
    <phoneticPr fontId="4"/>
  </si>
  <si>
    <t>ユイ
ハン</t>
    <phoneticPr fontId="4"/>
  </si>
  <si>
    <t>見積図</t>
    <rPh sb="0" eb="2">
      <t>ミツモリ</t>
    </rPh>
    <rPh sb="2" eb="3">
      <t>ズ</t>
    </rPh>
    <phoneticPr fontId="4"/>
  </si>
  <si>
    <t>株式会社 サッコウケン</t>
    <phoneticPr fontId="4"/>
  </si>
  <si>
    <t>静岡市聖一色</t>
    <rPh sb="0" eb="3">
      <t>シズオカシ</t>
    </rPh>
    <phoneticPr fontId="4"/>
  </si>
  <si>
    <t>Design Club EMW</t>
    <phoneticPr fontId="4"/>
  </si>
  <si>
    <t>有限会社 タック構造設計</t>
    <phoneticPr fontId="4"/>
  </si>
  <si>
    <t>ユウゲンガイシャ タックコウゾウセッケイ</t>
    <phoneticPr fontId="4"/>
  </si>
  <si>
    <t>盛土</t>
    <rPh sb="0" eb="2">
      <t>モリド</t>
    </rPh>
    <phoneticPr fontId="4"/>
  </si>
  <si>
    <t>ｼﾙﾄ</t>
    <phoneticPr fontId="4"/>
  </si>
  <si>
    <t>3m</t>
    <phoneticPr fontId="4"/>
  </si>
  <si>
    <t>2m</t>
    <phoneticPr fontId="4"/>
  </si>
  <si>
    <t>砂質ｼﾙﾄ</t>
    <rPh sb="0" eb="1">
      <t>スナ</t>
    </rPh>
    <rPh sb="1" eb="2">
      <t>シツ</t>
    </rPh>
    <phoneticPr fontId="4"/>
  </si>
  <si>
    <t>ｼﾙﾄ(府植物含む)</t>
    <rPh sb="4" eb="5">
      <t>フ</t>
    </rPh>
    <rPh sb="5" eb="7">
      <t>ショクブツ</t>
    </rPh>
    <rPh sb="7" eb="8">
      <t>フク</t>
    </rPh>
    <phoneticPr fontId="4"/>
  </si>
  <si>
    <t>-</t>
    <phoneticPr fontId="4"/>
  </si>
  <si>
    <t>-</t>
    <phoneticPr fontId="4"/>
  </si>
  <si>
    <t>住宅</t>
    <rPh sb="0" eb="2">
      <t>ジュウタク</t>
    </rPh>
    <phoneticPr fontId="4"/>
  </si>
  <si>
    <t>2020.06.26失注 杭と比較され、土間下で500万円差</t>
    <rPh sb="10" eb="12">
      <t>シッチュウ</t>
    </rPh>
    <phoneticPr fontId="4"/>
  </si>
  <si>
    <t>財団法人 熊本建築構造評価センター</t>
    <phoneticPr fontId="4"/>
  </si>
  <si>
    <t>福岡県</t>
    <rPh sb="0" eb="3">
      <t>フクオカケン</t>
    </rPh>
    <phoneticPr fontId="4"/>
  </si>
  <si>
    <t>大牟田市</t>
    <rPh sb="0" eb="4">
      <t>オオムタシ</t>
    </rPh>
    <phoneticPr fontId="4"/>
  </si>
  <si>
    <t>新開町</t>
    <rPh sb="0" eb="1">
      <t>シン</t>
    </rPh>
    <rPh sb="1" eb="2">
      <t>ヒラ</t>
    </rPh>
    <rPh sb="2" eb="3">
      <t>マチ</t>
    </rPh>
    <phoneticPr fontId="4"/>
  </si>
  <si>
    <t>埋土(礫混じり砂)</t>
    <rPh sb="0" eb="1">
      <t>ウ</t>
    </rPh>
    <rPh sb="1" eb="2">
      <t>ド</t>
    </rPh>
    <rPh sb="3" eb="4">
      <t>レキ</t>
    </rPh>
    <rPh sb="4" eb="5">
      <t>マ</t>
    </rPh>
    <rPh sb="7" eb="8">
      <t>スナ</t>
    </rPh>
    <phoneticPr fontId="4"/>
  </si>
  <si>
    <t>埋土(ｼﾙﾄ)</t>
    <rPh sb="0" eb="1">
      <t>ウ</t>
    </rPh>
    <rPh sb="1" eb="2">
      <t>ド</t>
    </rPh>
    <phoneticPr fontId="4"/>
  </si>
  <si>
    <t>7m</t>
    <phoneticPr fontId="4"/>
  </si>
  <si>
    <t>2m</t>
    <phoneticPr fontId="4"/>
  </si>
  <si>
    <t>埋土(礫混り砂)</t>
    <rPh sb="0" eb="1">
      <t>ウ</t>
    </rPh>
    <rPh sb="1" eb="2">
      <t>ド</t>
    </rPh>
    <rPh sb="3" eb="4">
      <t>レキ</t>
    </rPh>
    <rPh sb="4" eb="5">
      <t>マ</t>
    </rPh>
    <rPh sb="6" eb="7">
      <t>スナ</t>
    </rPh>
    <phoneticPr fontId="4"/>
  </si>
  <si>
    <t>3m</t>
    <phoneticPr fontId="4"/>
  </si>
  <si>
    <t>砂混じり粘土</t>
    <rPh sb="0" eb="1">
      <t>スナ</t>
    </rPh>
    <rPh sb="1" eb="2">
      <t>マ</t>
    </rPh>
    <rPh sb="4" eb="6">
      <t>ネンド</t>
    </rPh>
    <phoneticPr fontId="4"/>
  </si>
  <si>
    <t>ｼﾙﾄ質砂(腐植木片含む)</t>
    <rPh sb="3" eb="4">
      <t>シツ</t>
    </rPh>
    <rPh sb="4" eb="5">
      <t>スナ</t>
    </rPh>
    <rPh sb="6" eb="8">
      <t>フショク</t>
    </rPh>
    <rPh sb="8" eb="10">
      <t>モクヘン</t>
    </rPh>
    <rPh sb="10" eb="11">
      <t>フク</t>
    </rPh>
    <phoneticPr fontId="4"/>
  </si>
  <si>
    <t>マルト平尼子 SM棟</t>
    <rPh sb="9" eb="10">
      <t>トウ</t>
    </rPh>
    <phoneticPr fontId="4"/>
  </si>
  <si>
    <t>マルト平尼子 ドラッグ棟</t>
    <rPh sb="11" eb="12">
      <t>トウ</t>
    </rPh>
    <phoneticPr fontId="4"/>
  </si>
  <si>
    <t>平屋建(一部2F建)</t>
    <rPh sb="0" eb="2">
      <t>ヒラヤ</t>
    </rPh>
    <rPh sb="2" eb="3">
      <t>タ</t>
    </rPh>
    <rPh sb="4" eb="6">
      <t>イチブ</t>
    </rPh>
    <rPh sb="8" eb="9">
      <t>タ</t>
    </rPh>
    <phoneticPr fontId="4"/>
  </si>
  <si>
    <t>クレハ錦建設 株式会社</t>
    <phoneticPr fontId="4"/>
  </si>
  <si>
    <t>村上 直人</t>
    <phoneticPr fontId="4"/>
  </si>
  <si>
    <t>0246-64-8228</t>
    <phoneticPr fontId="4"/>
  </si>
  <si>
    <t>福島県いわき市錦町綾ノ町１６番地</t>
    <phoneticPr fontId="4"/>
  </si>
  <si>
    <t>murakami@kurehanishiki.co.jp</t>
    <phoneticPr fontId="4"/>
  </si>
  <si>
    <t>tac-kozo@h9.dion.ne.jp</t>
    <phoneticPr fontId="4"/>
  </si>
  <si>
    <t>福島県西白河郡矢吹町八幡町588-1</t>
    <phoneticPr fontId="4"/>
  </si>
  <si>
    <t>0248-44-3546</t>
    <phoneticPr fontId="4"/>
  </si>
  <si>
    <t>高桑</t>
    <phoneticPr fontId="4"/>
  </si>
  <si>
    <t>有限会社 タック構造設計</t>
    <rPh sb="0" eb="2">
      <t>ユウゲン</t>
    </rPh>
    <rPh sb="2" eb="4">
      <t>カイシャ</t>
    </rPh>
    <rPh sb="8" eb="10">
      <t>コウゾウ</t>
    </rPh>
    <rPh sb="10" eb="12">
      <t>セッケイ</t>
    </rPh>
    <phoneticPr fontId="4"/>
  </si>
  <si>
    <t>SM棟とドラッグ棟の2棟</t>
    <rPh sb="2" eb="3">
      <t>トウ</t>
    </rPh>
    <rPh sb="8" eb="9">
      <t>トウ</t>
    </rPh>
    <rPh sb="11" eb="12">
      <t>トウ</t>
    </rPh>
    <phoneticPr fontId="4"/>
  </si>
  <si>
    <t>申請</t>
    <rPh sb="0" eb="2">
      <t>シンセイ</t>
    </rPh>
    <phoneticPr fontId="4"/>
  </si>
  <si>
    <t>着工</t>
    <rPh sb="0" eb="2">
      <t>チャッコウ</t>
    </rPh>
    <phoneticPr fontId="4"/>
  </si>
  <si>
    <t>島根県</t>
    <phoneticPr fontId="4"/>
  </si>
  <si>
    <t>松江市</t>
    <phoneticPr fontId="4"/>
  </si>
  <si>
    <t>宍道町佐々布</t>
    <phoneticPr fontId="4"/>
  </si>
  <si>
    <t>選穀センター</t>
    <phoneticPr fontId="4"/>
  </si>
  <si>
    <t>全農西日本 一級建築士事務所</t>
    <phoneticPr fontId="4"/>
  </si>
  <si>
    <t>全農西日本 一級建築士事務所</t>
    <phoneticPr fontId="4"/>
  </si>
  <si>
    <t>岡山市北区磨屋町9-18-201号</t>
    <phoneticPr fontId="4"/>
  </si>
  <si>
    <t>086-234-6894</t>
    <phoneticPr fontId="4"/>
  </si>
  <si>
    <t>中力 賢亮</t>
    <phoneticPr fontId="4"/>
  </si>
  <si>
    <t>chuuriki-kensuke@zennoh.or.jp　</t>
    <phoneticPr fontId="4"/>
  </si>
  <si>
    <t>190138-1</t>
    <phoneticPr fontId="4"/>
  </si>
  <si>
    <t>鳥取県米子市角盤町1-173 松屋ビル3F</t>
    <phoneticPr fontId="4"/>
  </si>
  <si>
    <t>0859-32-9900</t>
    <phoneticPr fontId="4"/>
  </si>
  <si>
    <t>中川 彰吾</t>
    <phoneticPr fontId="4"/>
  </si>
  <si>
    <t>sy.nakagawa@nisseibuild.co.jp</t>
    <phoneticPr fontId="4"/>
  </si>
  <si>
    <t>村上</t>
    <rPh sb="0" eb="2">
      <t>ムラカミ</t>
    </rPh>
    <phoneticPr fontId="4"/>
  </si>
  <si>
    <t>宮北
村上</t>
    <rPh sb="0" eb="2">
      <t>ミヤキタ</t>
    </rPh>
    <rPh sb="3" eb="5">
      <t>ムラカミ</t>
    </rPh>
    <phoneticPr fontId="4"/>
  </si>
  <si>
    <t>ユイ
ﾏｲｱｲﾝ</t>
    <phoneticPr fontId="4"/>
  </si>
  <si>
    <t>ユイ
ラン</t>
    <phoneticPr fontId="4"/>
  </si>
  <si>
    <t>タオ</t>
    <phoneticPr fontId="4"/>
  </si>
  <si>
    <t>気仙沼営業所低温配送センター(旧:東北陸運)</t>
    <rPh sb="15" eb="16">
      <t>キュウ</t>
    </rPh>
    <phoneticPr fontId="4"/>
  </si>
  <si>
    <t>株式会社 フケタ設計</t>
    <phoneticPr fontId="4"/>
  </si>
  <si>
    <t>カブシキガイシャ フケタセッケイ</t>
    <phoneticPr fontId="4"/>
  </si>
  <si>
    <t>未確定(ｵﾘﾝﾋﾟｯｸによる)</t>
    <rPh sb="0" eb="3">
      <t>ミカクテイ</t>
    </rPh>
    <phoneticPr fontId="4"/>
  </si>
  <si>
    <t>カネダ様城南島工場</t>
    <phoneticPr fontId="4"/>
  </si>
  <si>
    <t>○
4m</t>
    <phoneticPr fontId="4"/>
  </si>
  <si>
    <t>3棟+擁壁</t>
    <rPh sb="1" eb="2">
      <t>トウ</t>
    </rPh>
    <rPh sb="3" eb="5">
      <t>ヨウヘキ</t>
    </rPh>
    <phoneticPr fontId="4"/>
  </si>
  <si>
    <t>日本建設 株式会社</t>
    <phoneticPr fontId="4"/>
  </si>
  <si>
    <t>株式会社 構造プランニング</t>
    <phoneticPr fontId="4"/>
  </si>
  <si>
    <t>キタセキひたちなか</t>
    <phoneticPr fontId="4"/>
  </si>
  <si>
    <t>ひたちなか市</t>
    <rPh sb="5" eb="6">
      <t>シ</t>
    </rPh>
    <phoneticPr fontId="4"/>
  </si>
  <si>
    <t>佐和</t>
    <rPh sb="0" eb="2">
      <t>サワ</t>
    </rPh>
    <phoneticPr fontId="4"/>
  </si>
  <si>
    <t>着工</t>
    <rPh sb="0" eb="2">
      <t>チャッコウ</t>
    </rPh>
    <phoneticPr fontId="4"/>
  </si>
  <si>
    <t>申請</t>
    <rPh sb="0" eb="2">
      <t>シンセイ</t>
    </rPh>
    <phoneticPr fontId="4"/>
  </si>
  <si>
    <t>32条申請</t>
    <rPh sb="2" eb="3">
      <t>ジョウ</t>
    </rPh>
    <rPh sb="3" eb="5">
      <t>シンセイ</t>
    </rPh>
    <phoneticPr fontId="4"/>
  </si>
  <si>
    <t>第二配送センター</t>
    <phoneticPr fontId="4"/>
  </si>
  <si>
    <t>株式会社 朝日建装</t>
    <phoneticPr fontId="4"/>
  </si>
  <si>
    <t>三野</t>
    <phoneticPr fontId="4"/>
  </si>
  <si>
    <t>06-6793-1688</t>
    <phoneticPr fontId="4"/>
  </si>
  <si>
    <t>sekkei@asahikensou.co.jp</t>
    <phoneticPr fontId="4"/>
  </si>
  <si>
    <t>大阪府大阪市平野区平野馬場1丁目7番6号</t>
    <rPh sb="0" eb="2">
      <t>オオサカ</t>
    </rPh>
    <rPh sb="2" eb="3">
      <t>フ</t>
    </rPh>
    <phoneticPr fontId="4"/>
  </si>
  <si>
    <t>2</t>
    <phoneticPr fontId="4"/>
  </si>
  <si>
    <t>奈良県</t>
    <rPh sb="0" eb="3">
      <t>ナラケン</t>
    </rPh>
    <phoneticPr fontId="4"/>
  </si>
  <si>
    <t>北葛城郡</t>
    <rPh sb="0" eb="1">
      <t>キタ</t>
    </rPh>
    <rPh sb="3" eb="4">
      <t>グン</t>
    </rPh>
    <phoneticPr fontId="4"/>
  </si>
  <si>
    <t>上牧町</t>
    <rPh sb="0" eb="1">
      <t>ウエ</t>
    </rPh>
    <rPh sb="1" eb="2">
      <t>マキ</t>
    </rPh>
    <rPh sb="2" eb="3">
      <t>マチ</t>
    </rPh>
    <phoneticPr fontId="4"/>
  </si>
  <si>
    <t>与那原商業施設 ﾄﾞﾗｲﾌﾞｽﾙｰ上屋</t>
    <rPh sb="3" eb="5">
      <t>ショウギョウ</t>
    </rPh>
    <rPh sb="5" eb="7">
      <t>シセツ</t>
    </rPh>
    <rPh sb="17" eb="19">
      <t>ウワヤ</t>
    </rPh>
    <phoneticPr fontId="4"/>
  </si>
  <si>
    <t>通路</t>
    <rPh sb="0" eb="2">
      <t>ツウロ</t>
    </rPh>
    <phoneticPr fontId="4"/>
  </si>
  <si>
    <t>1-2</t>
    <phoneticPr fontId="4"/>
  </si>
  <si>
    <t>株式会社 大有設計</t>
    <phoneticPr fontId="4"/>
  </si>
  <si>
    <t>株式会社 大有設計</t>
    <phoneticPr fontId="4"/>
  </si>
  <si>
    <t>埋土</t>
    <rPh sb="0" eb="1">
      <t>ウ</t>
    </rPh>
    <rPh sb="1" eb="2">
      <t>ド</t>
    </rPh>
    <phoneticPr fontId="4"/>
  </si>
  <si>
    <t>ｼﾙﾄ質粘土</t>
    <rPh sb="3" eb="4">
      <t>シツ</t>
    </rPh>
    <rPh sb="4" eb="6">
      <t>ネンド</t>
    </rPh>
    <phoneticPr fontId="4"/>
  </si>
  <si>
    <t>-</t>
    <phoneticPr fontId="4"/>
  </si>
  <si>
    <t>-</t>
    <phoneticPr fontId="4"/>
  </si>
  <si>
    <t>-</t>
    <phoneticPr fontId="4"/>
  </si>
  <si>
    <t>-</t>
    <phoneticPr fontId="4"/>
  </si>
  <si>
    <t>コウダヤ建築設計事務所</t>
    <phoneticPr fontId="4"/>
  </si>
  <si>
    <t>大阪府大阪市天王寺区生玉町11-29-605</t>
    <rPh sb="0" eb="2">
      <t>オオサカ</t>
    </rPh>
    <rPh sb="2" eb="3">
      <t>フ</t>
    </rPh>
    <phoneticPr fontId="4"/>
  </si>
  <si>
    <t>06-6773-2417</t>
    <phoneticPr fontId="4"/>
  </si>
  <si>
    <t>shigekazu@alto.ocn.ne.jp</t>
    <phoneticPr fontId="4"/>
  </si>
  <si>
    <t>高田谷 重和</t>
    <phoneticPr fontId="4"/>
  </si>
  <si>
    <t>現説</t>
    <rPh sb="0" eb="2">
      <t>ゲンセツ</t>
    </rPh>
    <phoneticPr fontId="4"/>
  </si>
  <si>
    <t>着工</t>
    <rPh sb="0" eb="2">
      <t>チャッコウ</t>
    </rPh>
    <phoneticPr fontId="4"/>
  </si>
  <si>
    <t>見積図</t>
    <rPh sb="0" eb="2">
      <t>ミツモリ</t>
    </rPh>
    <rPh sb="2" eb="3">
      <t>ズ</t>
    </rPh>
    <phoneticPr fontId="4"/>
  </si>
  <si>
    <t>1m</t>
    <phoneticPr fontId="4"/>
  </si>
  <si>
    <t>ｼﾙﾄ質砂</t>
    <rPh sb="3" eb="4">
      <t>シツ</t>
    </rPh>
    <rPh sb="4" eb="5">
      <t>スナ</t>
    </rPh>
    <phoneticPr fontId="4"/>
  </si>
  <si>
    <t>4m</t>
    <phoneticPr fontId="4"/>
  </si>
  <si>
    <t>砂質ｼﾙﾄ</t>
    <rPh sb="0" eb="1">
      <t>スナ</t>
    </rPh>
    <rPh sb="1" eb="2">
      <t>シツ</t>
    </rPh>
    <phoneticPr fontId="4"/>
  </si>
  <si>
    <t>-</t>
    <phoneticPr fontId="4"/>
  </si>
  <si>
    <t>-</t>
    <phoneticPr fontId="4"/>
  </si>
  <si>
    <t>三田市</t>
    <rPh sb="0" eb="2">
      <t>サンダ</t>
    </rPh>
    <rPh sb="2" eb="3">
      <t>シ</t>
    </rPh>
    <phoneticPr fontId="4"/>
  </si>
  <si>
    <t>弥生が丘</t>
    <rPh sb="0" eb="2">
      <t>ヤヨイ</t>
    </rPh>
    <rPh sb="3" eb="4">
      <t>オカ</t>
    </rPh>
    <phoneticPr fontId="4"/>
  </si>
  <si>
    <t>株式会社 ユーアイ設計</t>
    <phoneticPr fontId="4"/>
  </si>
  <si>
    <t>岩崎</t>
    <phoneticPr fontId="4"/>
  </si>
  <si>
    <t>iwasaki@ui-act.com</t>
    <phoneticPr fontId="4"/>
  </si>
  <si>
    <t>有田</t>
    <phoneticPr fontId="4"/>
  </si>
  <si>
    <t>082-211-2907</t>
    <phoneticPr fontId="4"/>
  </si>
  <si>
    <t>ktu@mocha.ocn.ne.jp</t>
    <phoneticPr fontId="4"/>
  </si>
  <si>
    <t>株式会社 祥構造建築事務所</t>
    <phoneticPr fontId="4"/>
  </si>
  <si>
    <t>株式会社 祥構造建築事務所</t>
    <phoneticPr fontId="4"/>
  </si>
  <si>
    <t>カブシキガイシャ ショウコウゾウセッケイジムショ</t>
    <phoneticPr fontId="4"/>
  </si>
  <si>
    <t>株式会社 大京穴吹建設</t>
    <rPh sb="0" eb="2">
      <t>カブシキ</t>
    </rPh>
    <rPh sb="2" eb="4">
      <t>カイシャ</t>
    </rPh>
    <phoneticPr fontId="4"/>
  </si>
  <si>
    <t>カブシキガイシャ ダイキョウアナブキケンセツ</t>
    <phoneticPr fontId="4"/>
  </si>
  <si>
    <t>株式会社 大京穴吹建設</t>
    <phoneticPr fontId="4"/>
  </si>
  <si>
    <t>株式会社 蔵建築設計事務所</t>
    <rPh sb="10" eb="12">
      <t>ジム</t>
    </rPh>
    <rPh sb="12" eb="13">
      <t>ショ</t>
    </rPh>
    <phoneticPr fontId="4"/>
  </si>
  <si>
    <t>有限会社 和 構造設計事務所</t>
    <phoneticPr fontId="4"/>
  </si>
  <si>
    <t>菊地 和彦</t>
    <phoneticPr fontId="4"/>
  </si>
  <si>
    <t>福島県会津若松市鶴賀町2-10</t>
    <phoneticPr fontId="4"/>
  </si>
  <si>
    <t>0242-32-3939</t>
    <phoneticPr fontId="4"/>
  </si>
  <si>
    <t>kazukozo@sky.plala.or.jp</t>
    <phoneticPr fontId="4"/>
  </si>
  <si>
    <t>山名
近藤</t>
    <rPh sb="0" eb="2">
      <t>ヤマナ</t>
    </rPh>
    <rPh sb="3" eb="5">
      <t>コンドウ</t>
    </rPh>
    <phoneticPr fontId="4"/>
  </si>
  <si>
    <t>株式会社 金原建築設計事務所</t>
    <rPh sb="0" eb="4">
      <t>カブシキカイシャ</t>
    </rPh>
    <phoneticPr fontId="4"/>
  </si>
  <si>
    <t>金原 和武</t>
    <phoneticPr fontId="4"/>
  </si>
  <si>
    <t>076-429-3880</t>
    <phoneticPr fontId="4"/>
  </si>
  <si>
    <t>kazutake@kanahara.jp</t>
    <phoneticPr fontId="4"/>
  </si>
  <si>
    <t>水橋</t>
    <rPh sb="0" eb="2">
      <t>ミズハシ</t>
    </rPh>
    <phoneticPr fontId="4"/>
  </si>
  <si>
    <t>株式会社 金原建築設計事務所</t>
    <phoneticPr fontId="4"/>
  </si>
  <si>
    <t>カブシキガイシャ カナヒラケンチクセッケイジムショ</t>
    <phoneticPr fontId="4"/>
  </si>
  <si>
    <t>JA全農中四国広域物流センター農薬危険物貯蔵施設</t>
    <phoneticPr fontId="4"/>
  </si>
  <si>
    <t>グローバルロジスティクス PC棟</t>
    <phoneticPr fontId="4"/>
  </si>
  <si>
    <t>リュウテック事務所棟</t>
    <phoneticPr fontId="4"/>
  </si>
  <si>
    <t>190130-1</t>
    <phoneticPr fontId="4"/>
  </si>
  <si>
    <t>190130-2</t>
    <phoneticPr fontId="4"/>
  </si>
  <si>
    <t>190130-3</t>
    <phoneticPr fontId="4"/>
  </si>
  <si>
    <t>トヨタレンタカー豊見城 店舗棟</t>
    <rPh sb="12" eb="14">
      <t>テンポ</t>
    </rPh>
    <rPh sb="14" eb="15">
      <t>トウ</t>
    </rPh>
    <phoneticPr fontId="4"/>
  </si>
  <si>
    <t>トヨタレンタカー豊見城 洗車機棟</t>
    <rPh sb="12" eb="15">
      <t>センシャキ</t>
    </rPh>
    <rPh sb="15" eb="16">
      <t>トウ</t>
    </rPh>
    <phoneticPr fontId="4"/>
  </si>
  <si>
    <t>トヨタレンタカー豊見城 給油所</t>
    <rPh sb="12" eb="14">
      <t>キュウユ</t>
    </rPh>
    <rPh sb="14" eb="15">
      <t>ショ</t>
    </rPh>
    <phoneticPr fontId="4"/>
  </si>
  <si>
    <t>トヨタレンタカー豊見城 立駐棟</t>
    <rPh sb="12" eb="14">
      <t>リッチュウ</t>
    </rPh>
    <rPh sb="14" eb="15">
      <t>トウ</t>
    </rPh>
    <phoneticPr fontId="4"/>
  </si>
  <si>
    <t>1層2段</t>
    <rPh sb="1" eb="2">
      <t>ソウ</t>
    </rPh>
    <rPh sb="3" eb="4">
      <t>ダン</t>
    </rPh>
    <phoneticPr fontId="4"/>
  </si>
  <si>
    <t>洗車機</t>
    <phoneticPr fontId="4"/>
  </si>
  <si>
    <t>給油所</t>
    <phoneticPr fontId="4"/>
  </si>
  <si>
    <t>埋土(礫混り粘土)</t>
    <rPh sb="0" eb="1">
      <t>ウ</t>
    </rPh>
    <rPh sb="1" eb="2">
      <t>ド</t>
    </rPh>
    <rPh sb="3" eb="4">
      <t>レキ</t>
    </rPh>
    <rPh sb="4" eb="5">
      <t>マ</t>
    </rPh>
    <rPh sb="6" eb="8">
      <t>ネンド</t>
    </rPh>
    <phoneticPr fontId="4"/>
  </si>
  <si>
    <t>3m</t>
    <phoneticPr fontId="4"/>
  </si>
  <si>
    <t>粘土</t>
    <rPh sb="0" eb="2">
      <t>ネンド</t>
    </rPh>
    <phoneticPr fontId="4"/>
  </si>
  <si>
    <t>7m</t>
    <phoneticPr fontId="4"/>
  </si>
  <si>
    <t>ｼﾙﾄ質砂礫</t>
    <rPh sb="3" eb="4">
      <t>シツ</t>
    </rPh>
    <rPh sb="4" eb="6">
      <t>サレキ</t>
    </rPh>
    <phoneticPr fontId="4"/>
  </si>
  <si>
    <t>2m</t>
    <phoneticPr fontId="4"/>
  </si>
  <si>
    <t>1.37
(M7.5)</t>
    <phoneticPr fontId="4"/>
  </si>
  <si>
    <t>4棟。沖縄トヨペットの隣の敷地。海に近い。平板載荷実施。</t>
    <rPh sb="1" eb="2">
      <t>トウ</t>
    </rPh>
    <rPh sb="3" eb="5">
      <t>オキナワ</t>
    </rPh>
    <rPh sb="11" eb="12">
      <t>トナリ</t>
    </rPh>
    <rPh sb="13" eb="15">
      <t>シキチ</t>
    </rPh>
    <rPh sb="16" eb="17">
      <t>ウミ</t>
    </rPh>
    <rPh sb="18" eb="19">
      <t>チカ</t>
    </rPh>
    <rPh sb="21" eb="23">
      <t>ヘイバン</t>
    </rPh>
    <rPh sb="23" eb="25">
      <t>サイカ</t>
    </rPh>
    <rPh sb="25" eb="27">
      <t>ジッシ</t>
    </rPh>
    <phoneticPr fontId="4"/>
  </si>
  <si>
    <t>2021.4～5月頃より構造設計</t>
    <rPh sb="8" eb="9">
      <t>ガツ</t>
    </rPh>
    <rPh sb="9" eb="10">
      <t>コロ</t>
    </rPh>
    <rPh sb="12" eb="14">
      <t>コウゾウ</t>
    </rPh>
    <rPh sb="14" eb="16">
      <t>セッケイ</t>
    </rPh>
    <phoneticPr fontId="4"/>
  </si>
  <si>
    <t>2021.4～5頃 構造設計スタート</t>
    <rPh sb="8" eb="9">
      <t>コロ</t>
    </rPh>
    <rPh sb="10" eb="12">
      <t>コウゾウ</t>
    </rPh>
    <rPh sb="12" eb="14">
      <t>セッケイ</t>
    </rPh>
    <phoneticPr fontId="4"/>
  </si>
  <si>
    <t>着工</t>
    <rPh sb="0" eb="2">
      <t>チャッコウ</t>
    </rPh>
    <phoneticPr fontId="4"/>
  </si>
  <si>
    <t>安田</t>
    <phoneticPr fontId="4"/>
  </si>
  <si>
    <t>大阪府箕面市船場西2-2-1　ニューエリモビル3F</t>
    <rPh sb="0" eb="2">
      <t>オオサカ</t>
    </rPh>
    <rPh sb="2" eb="3">
      <t>フ</t>
    </rPh>
    <phoneticPr fontId="4"/>
  </si>
  <si>
    <t>072-730-2255</t>
    <phoneticPr fontId="4"/>
  </si>
  <si>
    <t>yasuda@g-pl.co.jp</t>
    <phoneticPr fontId="4"/>
  </si>
  <si>
    <t>株式会社 ジー・プラン</t>
    <phoneticPr fontId="4"/>
  </si>
  <si>
    <t>株式会社 ジー・プラン</t>
    <phoneticPr fontId="4"/>
  </si>
  <si>
    <t>株式会社 ジー・プラン</t>
    <rPh sb="0" eb="2">
      <t>カブシキ</t>
    </rPh>
    <rPh sb="2" eb="4">
      <t>カイシャ</t>
    </rPh>
    <phoneticPr fontId="4"/>
  </si>
  <si>
    <t>株式会社 横河システム建築</t>
    <phoneticPr fontId="4"/>
  </si>
  <si>
    <t>二宮</t>
    <rPh sb="0" eb="2">
      <t>ニノミヤ</t>
    </rPh>
    <phoneticPr fontId="4"/>
  </si>
  <si>
    <t>着工</t>
    <rPh sb="0" eb="2">
      <t>チャッコウ</t>
    </rPh>
    <phoneticPr fontId="4"/>
  </si>
  <si>
    <t>長尾製缶所 本社第二工場(有田川)</t>
    <rPh sb="6" eb="8">
      <t>ホンシャ</t>
    </rPh>
    <rPh sb="8" eb="10">
      <t>ダイニ</t>
    </rPh>
    <rPh sb="10" eb="12">
      <t>コウジョウ</t>
    </rPh>
    <phoneticPr fontId="4"/>
  </si>
  <si>
    <t>バルチラジャパン株式会社富山工場(WPJ)</t>
    <phoneticPr fontId="4"/>
  </si>
  <si>
    <t>既存建物(杭)は撤去済。</t>
    <rPh sb="0" eb="2">
      <t>キソン</t>
    </rPh>
    <rPh sb="2" eb="4">
      <t>タテモノ</t>
    </rPh>
    <rPh sb="5" eb="6">
      <t>クイ</t>
    </rPh>
    <rPh sb="8" eb="10">
      <t>テッキョ</t>
    </rPh>
    <rPh sb="10" eb="11">
      <t>スミ</t>
    </rPh>
    <phoneticPr fontId="4"/>
  </si>
  <si>
    <t>-</t>
    <phoneticPr fontId="4"/>
  </si>
  <si>
    <t>1m</t>
    <phoneticPr fontId="4"/>
  </si>
  <si>
    <t>ﾛｰﾑ</t>
    <phoneticPr fontId="4"/>
  </si>
  <si>
    <t>-</t>
    <phoneticPr fontId="4"/>
  </si>
  <si>
    <t>粘土混じり細砂(有機物混入)</t>
    <rPh sb="0" eb="2">
      <t>ネンド</t>
    </rPh>
    <rPh sb="2" eb="3">
      <t>マ</t>
    </rPh>
    <rPh sb="5" eb="6">
      <t>サイ</t>
    </rPh>
    <rPh sb="6" eb="7">
      <t>スナ</t>
    </rPh>
    <rPh sb="8" eb="11">
      <t>ユウキブツ</t>
    </rPh>
    <rPh sb="11" eb="13">
      <t>コンニュウ</t>
    </rPh>
    <phoneticPr fontId="4"/>
  </si>
  <si>
    <t>-</t>
    <phoneticPr fontId="4"/>
  </si>
  <si>
    <t>ﾛｰﾑ</t>
    <phoneticPr fontId="4"/>
  </si>
  <si>
    <t>埋土</t>
    <rPh sb="0" eb="1">
      <t>ウ</t>
    </rPh>
    <rPh sb="1" eb="2">
      <t>ド</t>
    </rPh>
    <phoneticPr fontId="4"/>
  </si>
  <si>
    <t>現説</t>
    <rPh sb="0" eb="2">
      <t>ゲンセツ</t>
    </rPh>
    <phoneticPr fontId="4"/>
  </si>
  <si>
    <t>事前申請</t>
    <rPh sb="0" eb="2">
      <t>ジゼン</t>
    </rPh>
    <rPh sb="2" eb="4">
      <t>シンセイ</t>
    </rPh>
    <phoneticPr fontId="4"/>
  </si>
  <si>
    <t>高尾</t>
    <rPh sb="0" eb="2">
      <t>タカオ</t>
    </rPh>
    <phoneticPr fontId="4"/>
  </si>
  <si>
    <t>盛土</t>
    <rPh sb="0" eb="2">
      <t>モリド</t>
    </rPh>
    <phoneticPr fontId="4"/>
  </si>
  <si>
    <t>粘土混じりｼﾙﾄ</t>
    <rPh sb="0" eb="2">
      <t>ネンド</t>
    </rPh>
    <rPh sb="2" eb="3">
      <t>マ</t>
    </rPh>
    <phoneticPr fontId="4"/>
  </si>
  <si>
    <t>3m</t>
    <phoneticPr fontId="4"/>
  </si>
  <si>
    <t>腐植土</t>
    <rPh sb="0" eb="3">
      <t>フショクド</t>
    </rPh>
    <phoneticPr fontId="4"/>
  </si>
  <si>
    <t>2m</t>
    <phoneticPr fontId="4"/>
  </si>
  <si>
    <t>砂質ｼﾙﾄ</t>
    <rPh sb="0" eb="1">
      <t>スナ</t>
    </rPh>
    <rPh sb="1" eb="2">
      <t>シツ</t>
    </rPh>
    <phoneticPr fontId="4"/>
  </si>
  <si>
    <t>○
6m</t>
    <phoneticPr fontId="4"/>
  </si>
  <si>
    <t>造成(盛土)工事あり。造成後、ボーリング。</t>
    <rPh sb="0" eb="2">
      <t>ゾウセイ</t>
    </rPh>
    <rPh sb="3" eb="5">
      <t>モリド</t>
    </rPh>
    <rPh sb="6" eb="8">
      <t>コウジ</t>
    </rPh>
    <rPh sb="11" eb="13">
      <t>ゾウセイ</t>
    </rPh>
    <rPh sb="13" eb="14">
      <t>ゴ</t>
    </rPh>
    <phoneticPr fontId="4"/>
  </si>
  <si>
    <t>空地</t>
    <rPh sb="0" eb="2">
      <t>クウチ</t>
    </rPh>
    <phoneticPr fontId="4"/>
  </si>
  <si>
    <t>ユイ
ハン</t>
    <phoneticPr fontId="4"/>
  </si>
  <si>
    <t>福島県</t>
    <rPh sb="0" eb="3">
      <t>フクシマケン</t>
    </rPh>
    <phoneticPr fontId="4"/>
  </si>
  <si>
    <t>いわき市</t>
    <rPh sb="3" eb="4">
      <t>シ</t>
    </rPh>
    <phoneticPr fontId="4"/>
  </si>
  <si>
    <t>平字尼子</t>
    <rPh sb="0" eb="1">
      <t>ヒラ</t>
    </rPh>
    <rPh sb="1" eb="2">
      <t>アザ</t>
    </rPh>
    <rPh sb="2" eb="4">
      <t>アマコ</t>
    </rPh>
    <phoneticPr fontId="4"/>
  </si>
  <si>
    <t>1m</t>
    <phoneticPr fontId="4"/>
  </si>
  <si>
    <t>凝灰質粘土</t>
    <rPh sb="0" eb="5">
      <t>ギョウカイシツネンド</t>
    </rPh>
    <phoneticPr fontId="4"/>
  </si>
  <si>
    <t>4m</t>
    <phoneticPr fontId="4"/>
  </si>
  <si>
    <t>ﾛｰﾑ</t>
    <phoneticPr fontId="4"/>
  </si>
  <si>
    <t>1m</t>
    <phoneticPr fontId="4"/>
  </si>
  <si>
    <t>ｼﾙﾄ</t>
    <phoneticPr fontId="4"/>
  </si>
  <si>
    <t>凝灰質粘土(府植物混入)</t>
    <rPh sb="0" eb="5">
      <t>ギョウカイシツネンド</t>
    </rPh>
    <rPh sb="6" eb="7">
      <t>フ</t>
    </rPh>
    <rPh sb="7" eb="9">
      <t>ショクブツ</t>
    </rPh>
    <rPh sb="9" eb="11">
      <t>コンニュウ</t>
    </rPh>
    <phoneticPr fontId="4"/>
  </si>
  <si>
    <t>日成ビルド工業 株式会社</t>
    <phoneticPr fontId="4"/>
  </si>
  <si>
    <t>小島 挙</t>
    <phoneticPr fontId="4"/>
  </si>
  <si>
    <t>058-273-8121</t>
    <phoneticPr fontId="4"/>
  </si>
  <si>
    <t>k.kojima@nissebuild.co.jp</t>
    <phoneticPr fontId="4"/>
  </si>
  <si>
    <t>岐阜県岐阜市薮田南１-２-３ ラピスタワー４Ｆ</t>
    <rPh sb="0" eb="3">
      <t>ギフケン</t>
    </rPh>
    <phoneticPr fontId="4"/>
  </si>
  <si>
    <t xml:space="preserve">  申請</t>
    <rPh sb="2" eb="4">
      <t>シンセイ</t>
    </rPh>
    <phoneticPr fontId="4"/>
  </si>
  <si>
    <t>：設計(TP)</t>
    <rPh sb="1" eb="3">
      <t>セッケイ</t>
    </rPh>
    <phoneticPr fontId="4"/>
  </si>
  <si>
    <t>：設計(VINA)</t>
    <rPh sb="1" eb="3">
      <t>セッケイ</t>
    </rPh>
    <phoneticPr fontId="4"/>
  </si>
  <si>
    <t>着工</t>
    <rPh sb="0" eb="2">
      <t>チャッコウ</t>
    </rPh>
    <phoneticPr fontId="4"/>
  </si>
  <si>
    <t>株式会社 山田建築構造事務所</t>
    <phoneticPr fontId="4"/>
  </si>
  <si>
    <t>康井精機本社隣敷地新工場</t>
    <phoneticPr fontId="4"/>
  </si>
  <si>
    <t>東大阪市</t>
    <rPh sb="0" eb="4">
      <t>ヒガシオオサカシ</t>
    </rPh>
    <phoneticPr fontId="4"/>
  </si>
  <si>
    <t>愛知県尾張旭市東山町２丁目２番地の1</t>
    <rPh sb="0" eb="3">
      <t>アイチケン</t>
    </rPh>
    <phoneticPr fontId="4"/>
  </si>
  <si>
    <t>090-3254-4772</t>
    <phoneticPr fontId="4"/>
  </si>
  <si>
    <t>鈴木 秀則</t>
    <phoneticPr fontId="4"/>
  </si>
  <si>
    <t>shuwa_1@d1.dion.ne.jp</t>
    <phoneticPr fontId="4"/>
  </si>
  <si>
    <t>zoiz構造設計事務所</t>
    <phoneticPr fontId="4"/>
  </si>
  <si>
    <t>依田</t>
    <phoneticPr fontId="4"/>
  </si>
  <si>
    <t>zoiz_kozo@wave.plala.or.jp</t>
    <phoneticPr fontId="4"/>
  </si>
  <si>
    <t>申請</t>
    <rPh sb="0" eb="2">
      <t>シンセイ</t>
    </rPh>
    <phoneticPr fontId="4"/>
  </si>
  <si>
    <t>砂質粘土</t>
    <rPh sb="0" eb="1">
      <t>スナ</t>
    </rPh>
    <rPh sb="1" eb="2">
      <t>シツ</t>
    </rPh>
    <rPh sb="2" eb="4">
      <t>ネンド</t>
    </rPh>
    <phoneticPr fontId="4"/>
  </si>
  <si>
    <t>砂混り粘土</t>
    <rPh sb="0" eb="1">
      <t>スナ</t>
    </rPh>
    <rPh sb="1" eb="2">
      <t>マ</t>
    </rPh>
    <rPh sb="3" eb="5">
      <t>ネンド</t>
    </rPh>
    <phoneticPr fontId="4"/>
  </si>
  <si>
    <t>有田郡</t>
    <rPh sb="0" eb="2">
      <t>アリタ</t>
    </rPh>
    <rPh sb="2" eb="3">
      <t>グン</t>
    </rPh>
    <phoneticPr fontId="4"/>
  </si>
  <si>
    <t>有田川町大字野田</t>
    <rPh sb="0" eb="3">
      <t>アリタガワ</t>
    </rPh>
    <rPh sb="3" eb="4">
      <t>マチ</t>
    </rPh>
    <rPh sb="4" eb="6">
      <t>オオアザ</t>
    </rPh>
    <rPh sb="6" eb="8">
      <t>ノダ</t>
    </rPh>
    <phoneticPr fontId="4"/>
  </si>
  <si>
    <t>製缶所</t>
    <rPh sb="0" eb="2">
      <t>セイカン</t>
    </rPh>
    <rPh sb="2" eb="3">
      <t>ショ</t>
    </rPh>
    <phoneticPr fontId="4"/>
  </si>
  <si>
    <t>3</t>
    <phoneticPr fontId="4"/>
  </si>
  <si>
    <t>1m</t>
    <phoneticPr fontId="4"/>
  </si>
  <si>
    <t>埋土(砂質ｼﾙﾄ)</t>
    <rPh sb="0" eb="1">
      <t>ウ</t>
    </rPh>
    <rPh sb="1" eb="2">
      <t>ド</t>
    </rPh>
    <rPh sb="3" eb="4">
      <t>スナ</t>
    </rPh>
    <rPh sb="4" eb="5">
      <t>シツ</t>
    </rPh>
    <phoneticPr fontId="4"/>
  </si>
  <si>
    <t>粘土(府植物混入)</t>
    <rPh sb="0" eb="2">
      <t>ネンド</t>
    </rPh>
    <rPh sb="3" eb="4">
      <t>フ</t>
    </rPh>
    <rPh sb="4" eb="6">
      <t>ショクブツ</t>
    </rPh>
    <rPh sb="6" eb="8">
      <t>コンニュウ</t>
    </rPh>
    <phoneticPr fontId="4"/>
  </si>
  <si>
    <t>工場</t>
    <rPh sb="0" eb="2">
      <t>コウジョウ</t>
    </rPh>
    <phoneticPr fontId="4"/>
  </si>
  <si>
    <t>砂混じりｼﾙﾄ</t>
    <rPh sb="0" eb="1">
      <t>スナ</t>
    </rPh>
    <rPh sb="1" eb="2">
      <t>マ</t>
    </rPh>
    <phoneticPr fontId="4"/>
  </si>
  <si>
    <t>03-5209-3951</t>
    <phoneticPr fontId="4"/>
  </si>
  <si>
    <t>東京都千代田区外神田2-2-19</t>
    <phoneticPr fontId="4"/>
  </si>
  <si>
    <t>山本 昇</t>
    <phoneticPr fontId="4"/>
  </si>
  <si>
    <t>n-yamamoto@kura-sekkei.co.jp</t>
    <phoneticPr fontId="4"/>
  </si>
  <si>
    <t>高知県</t>
    <rPh sb="0" eb="3">
      <t>コウチケン</t>
    </rPh>
    <phoneticPr fontId="4"/>
  </si>
  <si>
    <t>高知市</t>
    <rPh sb="0" eb="3">
      <t>コウチシ</t>
    </rPh>
    <phoneticPr fontId="4"/>
  </si>
  <si>
    <t>丸池町</t>
    <rPh sb="0" eb="1">
      <t>マル</t>
    </rPh>
    <rPh sb="1" eb="2">
      <t>イケ</t>
    </rPh>
    <rPh sb="2" eb="3">
      <t>マチ</t>
    </rPh>
    <phoneticPr fontId="4"/>
  </si>
  <si>
    <t xml:space="preserve"> 締切</t>
    <rPh sb="1" eb="3">
      <t>シメキリ</t>
    </rPh>
    <phoneticPr fontId="4"/>
  </si>
  <si>
    <t>ネクステージ丸池</t>
    <phoneticPr fontId="4"/>
  </si>
  <si>
    <t>現説</t>
    <rPh sb="0" eb="2">
      <t>ゲンセツ</t>
    </rPh>
    <phoneticPr fontId="4"/>
  </si>
  <si>
    <t>ツルハドラッグ本町4丁目</t>
    <phoneticPr fontId="4"/>
  </si>
  <si>
    <t>本町</t>
    <rPh sb="0" eb="2">
      <t>ホンマチ</t>
    </rPh>
    <phoneticPr fontId="4"/>
  </si>
  <si>
    <t>　 現説</t>
    <rPh sb="2" eb="4">
      <t>ゲンセツ</t>
    </rPh>
    <phoneticPr fontId="4"/>
  </si>
  <si>
    <t>資料待ち</t>
    <rPh sb="0" eb="2">
      <t>シリョウ</t>
    </rPh>
    <rPh sb="2" eb="3">
      <t>マ</t>
    </rPh>
    <phoneticPr fontId="4"/>
  </si>
  <si>
    <t>オームラ新会館</t>
    <phoneticPr fontId="4"/>
  </si>
  <si>
    <t>福井県</t>
    <rPh sb="0" eb="3">
      <t>フクイケン</t>
    </rPh>
    <phoneticPr fontId="4"/>
  </si>
  <si>
    <t>福井市</t>
    <rPh sb="0" eb="3">
      <t>フクイシ</t>
    </rPh>
    <phoneticPr fontId="4"/>
  </si>
  <si>
    <t>西木田</t>
    <rPh sb="0" eb="1">
      <t>ニシ</t>
    </rPh>
    <rPh sb="1" eb="3">
      <t>キダ</t>
    </rPh>
    <phoneticPr fontId="4"/>
  </si>
  <si>
    <t>葬儀場</t>
    <rPh sb="0" eb="2">
      <t>ソウギ</t>
    </rPh>
    <rPh sb="2" eb="3">
      <t>ジョウ</t>
    </rPh>
    <phoneticPr fontId="4"/>
  </si>
  <si>
    <t>清水</t>
    <rPh sb="0" eb="2">
      <t>シミズ</t>
    </rPh>
    <phoneticPr fontId="4"/>
  </si>
  <si>
    <t>090-7599-8869</t>
    <phoneticPr fontId="4"/>
  </si>
  <si>
    <t>kazuma3008@yahoo.co.jp</t>
    <phoneticPr fontId="4"/>
  </si>
  <si>
    <t>株式会社 秀和建築設計事務所</t>
    <phoneticPr fontId="4"/>
  </si>
  <si>
    <t>株式会社 秀和建築設計事務所</t>
    <phoneticPr fontId="4"/>
  </si>
  <si>
    <t>カブシキガイシャ シュウワケンチクセッケイジムショ</t>
    <phoneticPr fontId="4"/>
  </si>
  <si>
    <t>ユイ
ラン</t>
    <phoneticPr fontId="4"/>
  </si>
  <si>
    <t>ユイ
ﾏｲｱｲﾝ</t>
    <phoneticPr fontId="4"/>
  </si>
  <si>
    <t>富塚</t>
    <phoneticPr fontId="4"/>
  </si>
  <si>
    <t>tomizuka@ishii-assoc.com</t>
    <phoneticPr fontId="4"/>
  </si>
  <si>
    <t>砂礫</t>
    <rPh sb="0" eb="2">
      <t>サレキ</t>
    </rPh>
    <phoneticPr fontId="4"/>
  </si>
  <si>
    <t>○
1.0m</t>
    <phoneticPr fontId="4"/>
  </si>
  <si>
    <t>○
0.5m</t>
    <phoneticPr fontId="4"/>
  </si>
  <si>
    <t>○
0.5m</t>
    <phoneticPr fontId="4"/>
  </si>
  <si>
    <t>海に近い。</t>
    <rPh sb="0" eb="1">
      <t>ウミ</t>
    </rPh>
    <rPh sb="2" eb="3">
      <t>チカ</t>
    </rPh>
    <phoneticPr fontId="4"/>
  </si>
  <si>
    <t>清水一磨建築設計室</t>
    <phoneticPr fontId="4"/>
  </si>
  <si>
    <t>清水一磨建築設計室</t>
    <phoneticPr fontId="4"/>
  </si>
  <si>
    <t>シミズカズマケンチクセッケイシツ</t>
    <phoneticPr fontId="4"/>
  </si>
  <si>
    <t>盛土</t>
    <rPh sb="0" eb="2">
      <t>モリド</t>
    </rPh>
    <phoneticPr fontId="4"/>
  </si>
  <si>
    <t>ｼﾙﾄ</t>
    <phoneticPr fontId="4"/>
  </si>
  <si>
    <t>○
0.5m</t>
    <phoneticPr fontId="4"/>
  </si>
  <si>
    <t>6m</t>
    <phoneticPr fontId="4"/>
  </si>
  <si>
    <t>ｼﾙﾄ</t>
    <phoneticPr fontId="4"/>
  </si>
  <si>
    <t>6m</t>
    <phoneticPr fontId="4"/>
  </si>
  <si>
    <t>3m</t>
    <phoneticPr fontId="4"/>
  </si>
  <si>
    <t>腐植土</t>
    <rPh sb="0" eb="3">
      <t>フショクド</t>
    </rPh>
    <phoneticPr fontId="4"/>
  </si>
  <si>
    <t>2m</t>
    <phoneticPr fontId="4"/>
  </si>
  <si>
    <t>細砂</t>
    <rPh sb="0" eb="1">
      <t>サイ</t>
    </rPh>
    <rPh sb="1" eb="2">
      <t>スナ</t>
    </rPh>
    <phoneticPr fontId="4"/>
  </si>
  <si>
    <t>盛土</t>
    <rPh sb="0" eb="2">
      <t>モリド</t>
    </rPh>
    <phoneticPr fontId="4"/>
  </si>
  <si>
    <t>砂質粘性土</t>
    <rPh sb="0" eb="1">
      <t>スナ</t>
    </rPh>
    <rPh sb="1" eb="2">
      <t>シツ</t>
    </rPh>
    <rPh sb="2" eb="5">
      <t>ネンセイド</t>
    </rPh>
    <phoneticPr fontId="4"/>
  </si>
  <si>
    <t>5m</t>
    <phoneticPr fontId="4"/>
  </si>
  <si>
    <t>4m</t>
    <phoneticPr fontId="4"/>
  </si>
  <si>
    <t>2m</t>
    <phoneticPr fontId="4"/>
  </si>
  <si>
    <t>ｼﾙﾄ混り砂</t>
    <rPh sb="3" eb="4">
      <t>マ</t>
    </rPh>
    <rPh sb="5" eb="6">
      <t>スナ</t>
    </rPh>
    <phoneticPr fontId="4"/>
  </si>
  <si>
    <t>-</t>
    <phoneticPr fontId="4"/>
  </si>
  <si>
    <t>-</t>
    <phoneticPr fontId="4"/>
  </si>
  <si>
    <t>有機質粘性土</t>
    <rPh sb="0" eb="3">
      <t>ユウキシツ</t>
    </rPh>
    <rPh sb="3" eb="6">
      <t>ネンセイド</t>
    </rPh>
    <phoneticPr fontId="4"/>
  </si>
  <si>
    <t>隣の棟も後日設計。施工は同時期。建物内に架台あり(申請不要)</t>
    <rPh sb="0" eb="1">
      <t>トナリ</t>
    </rPh>
    <rPh sb="2" eb="3">
      <t>トウ</t>
    </rPh>
    <rPh sb="4" eb="6">
      <t>ゴジツ</t>
    </rPh>
    <rPh sb="6" eb="8">
      <t>セッケイ</t>
    </rPh>
    <rPh sb="9" eb="11">
      <t>セコウ</t>
    </rPh>
    <rPh sb="12" eb="15">
      <t>ドウジキ</t>
    </rPh>
    <rPh sb="16" eb="18">
      <t>タテモノ</t>
    </rPh>
    <rPh sb="18" eb="19">
      <t>ナイ</t>
    </rPh>
    <rPh sb="20" eb="22">
      <t>カダイ</t>
    </rPh>
    <rPh sb="25" eb="27">
      <t>シンセイ</t>
    </rPh>
    <rPh sb="27" eb="29">
      <t>フヨウ</t>
    </rPh>
    <phoneticPr fontId="4"/>
  </si>
  <si>
    <t>着工</t>
    <rPh sb="0" eb="2">
      <t>チャッコウ</t>
    </rPh>
    <phoneticPr fontId="4"/>
  </si>
  <si>
    <t>埋土</t>
    <rPh sb="0" eb="1">
      <t>ウ</t>
    </rPh>
    <rPh sb="1" eb="2">
      <t>ド</t>
    </rPh>
    <phoneticPr fontId="4"/>
  </si>
  <si>
    <t>砂質ｼﾙﾄ</t>
    <rPh sb="0" eb="1">
      <t>スナ</t>
    </rPh>
    <rPh sb="1" eb="2">
      <t>シツ</t>
    </rPh>
    <phoneticPr fontId="4"/>
  </si>
  <si>
    <t>1.198
(M7.5)</t>
    <phoneticPr fontId="4"/>
  </si>
  <si>
    <t>ｱｽﾗﾝ</t>
    <phoneticPr fontId="4"/>
  </si>
  <si>
    <t>全農新潟 一級建築士事務所</t>
    <phoneticPr fontId="4"/>
  </si>
  <si>
    <t>○
0.5m</t>
    <phoneticPr fontId="4"/>
  </si>
  <si>
    <t>東京都新宿区西新宿4-32-4-708</t>
    <phoneticPr fontId="4"/>
  </si>
  <si>
    <t>03-3375-9660</t>
    <phoneticPr fontId="4"/>
  </si>
  <si>
    <t>JAしまね種子選穀センター(種子生産高度化施設棟)</t>
    <phoneticPr fontId="4"/>
  </si>
  <si>
    <t>JAしまね種子選穀センター(選穀センター棟・下屋棟)</t>
    <phoneticPr fontId="4"/>
  </si>
  <si>
    <t>財団法人 宮城県建築住宅センター</t>
    <phoneticPr fontId="4"/>
  </si>
  <si>
    <t>財団法人 宮城県建築住宅センター</t>
    <phoneticPr fontId="4"/>
  </si>
  <si>
    <t>3</t>
    <phoneticPr fontId="4"/>
  </si>
  <si>
    <t>盛土</t>
    <rPh sb="0" eb="2">
      <t>モリド</t>
    </rPh>
    <phoneticPr fontId="4"/>
  </si>
  <si>
    <t>○一部</t>
    <rPh sb="1" eb="3">
      <t>イチブ</t>
    </rPh>
    <phoneticPr fontId="4"/>
  </si>
  <si>
    <t>○
1.1m</t>
    <phoneticPr fontId="4"/>
  </si>
  <si>
    <t>2m</t>
    <phoneticPr fontId="4"/>
  </si>
  <si>
    <t>6m</t>
    <phoneticPr fontId="4"/>
  </si>
  <si>
    <t>無</t>
    <rPh sb="0" eb="1">
      <t>ナ</t>
    </rPh>
    <phoneticPr fontId="4"/>
  </si>
  <si>
    <t>-</t>
    <phoneticPr fontId="4"/>
  </si>
  <si>
    <t>店舗</t>
    <rPh sb="0" eb="2">
      <t>テンポ</t>
    </rPh>
    <phoneticPr fontId="4"/>
  </si>
  <si>
    <t>3棟。5mの法面近接(法面下は高速道路)</t>
    <rPh sb="1" eb="2">
      <t>トウ</t>
    </rPh>
    <rPh sb="6" eb="7">
      <t>ノリ</t>
    </rPh>
    <rPh sb="7" eb="8">
      <t>メン</t>
    </rPh>
    <rPh sb="8" eb="10">
      <t>キンセツ</t>
    </rPh>
    <rPh sb="11" eb="13">
      <t>ノリメン</t>
    </rPh>
    <rPh sb="13" eb="14">
      <t>シタ</t>
    </rPh>
    <rPh sb="15" eb="17">
      <t>コウソク</t>
    </rPh>
    <rPh sb="17" eb="19">
      <t>ドウロ</t>
    </rPh>
    <phoneticPr fontId="4"/>
  </si>
  <si>
    <t>村上
ラン</t>
    <rPh sb="0" eb="2">
      <t>ムラカミ</t>
    </rPh>
    <phoneticPr fontId="4"/>
  </si>
  <si>
    <t>建築検査機構 株式会社</t>
    <phoneticPr fontId="4"/>
  </si>
  <si>
    <t>監理中</t>
    <rPh sb="0" eb="2">
      <t>カンリ</t>
    </rPh>
    <rPh sb="2" eb="3">
      <t>ナカ</t>
    </rPh>
    <phoneticPr fontId="4"/>
  </si>
  <si>
    <t>A-1</t>
    <phoneticPr fontId="4"/>
  </si>
  <si>
    <t>A-2</t>
    <phoneticPr fontId="4"/>
  </si>
  <si>
    <t xml:space="preserve"> 現説</t>
    <rPh sb="1" eb="3">
      <t>ゲンセツ</t>
    </rPh>
    <phoneticPr fontId="4"/>
  </si>
  <si>
    <t>徳島県 徳島市役所</t>
    <rPh sb="0" eb="3">
      <t>トクシマケン</t>
    </rPh>
    <rPh sb="4" eb="6">
      <t>トクシマ</t>
    </rPh>
    <rPh sb="6" eb="9">
      <t>シヤクショ</t>
    </rPh>
    <phoneticPr fontId="4"/>
  </si>
  <si>
    <t>徳島県 徳島市役所</t>
    <phoneticPr fontId="4"/>
  </si>
  <si>
    <t>埋土</t>
    <rPh sb="0" eb="1">
      <t>ウ</t>
    </rPh>
    <rPh sb="1" eb="2">
      <t>ド</t>
    </rPh>
    <phoneticPr fontId="4"/>
  </si>
  <si>
    <t>ｼﾙﾄ</t>
    <phoneticPr fontId="4"/>
  </si>
  <si>
    <t>3m</t>
    <phoneticPr fontId="4"/>
  </si>
  <si>
    <t>粘土</t>
    <rPh sb="0" eb="2">
      <t>ネンド</t>
    </rPh>
    <phoneticPr fontId="4"/>
  </si>
  <si>
    <t>12m</t>
    <phoneticPr fontId="4"/>
  </si>
  <si>
    <t>敷地内 作業棟は布基礎。</t>
    <rPh sb="0" eb="2">
      <t>シキチ</t>
    </rPh>
    <rPh sb="2" eb="3">
      <t>ナイ</t>
    </rPh>
    <rPh sb="4" eb="6">
      <t>サギョウ</t>
    </rPh>
    <rPh sb="6" eb="7">
      <t>トウ</t>
    </rPh>
    <rPh sb="8" eb="9">
      <t>ヌノ</t>
    </rPh>
    <rPh sb="9" eb="11">
      <t>キソ</t>
    </rPh>
    <phoneticPr fontId="4"/>
  </si>
  <si>
    <t>近藤
フィ</t>
    <rPh sb="0" eb="2">
      <t>コンドウ</t>
    </rPh>
    <phoneticPr fontId="4"/>
  </si>
  <si>
    <t>190124-1</t>
    <phoneticPr fontId="4"/>
  </si>
  <si>
    <t>190124-2</t>
    <phoneticPr fontId="4"/>
  </si>
  <si>
    <t>東北マツダ泉 工場棟</t>
    <rPh sb="7" eb="9">
      <t>コウジョウ</t>
    </rPh>
    <rPh sb="9" eb="10">
      <t>トウ</t>
    </rPh>
    <phoneticPr fontId="4"/>
  </si>
  <si>
    <t>東北マツダ泉 店舗棟</t>
    <rPh sb="7" eb="9">
      <t>テンポ</t>
    </rPh>
    <rPh sb="9" eb="10">
      <t>トウ</t>
    </rPh>
    <phoneticPr fontId="4"/>
  </si>
  <si>
    <t>東北マツダ泉 車両棟</t>
    <rPh sb="7" eb="9">
      <t>シャリョウ</t>
    </rPh>
    <rPh sb="9" eb="10">
      <t>トウ</t>
    </rPh>
    <phoneticPr fontId="4"/>
  </si>
  <si>
    <t>駐車場</t>
    <rPh sb="0" eb="3">
      <t>チュウシャジョウ</t>
    </rPh>
    <phoneticPr fontId="4"/>
  </si>
  <si>
    <t>鈴木 光子</t>
    <phoneticPr fontId="4"/>
  </si>
  <si>
    <t>070-3780-7392</t>
    <phoneticPr fontId="4"/>
  </si>
  <si>
    <t>東京都港区浜松町1丁目9番10号 DaiwaA浜松町ビル9階</t>
    <phoneticPr fontId="4"/>
  </si>
  <si>
    <t>suzuki.m@mazdaACE.co.jp</t>
    <phoneticPr fontId="4"/>
  </si>
  <si>
    <t>高柳 和也</t>
    <phoneticPr fontId="4"/>
  </si>
  <si>
    <t>080-1643-7866</t>
    <phoneticPr fontId="4"/>
  </si>
  <si>
    <t>takayanagi.k@mazdaACE.co.jp</t>
    <phoneticPr fontId="4"/>
  </si>
  <si>
    <t>株式会社 沖縄建築確認検査センター</t>
    <phoneticPr fontId="4"/>
  </si>
  <si>
    <t>パーク・アベニュー神戸三田 自走式駐車場</t>
    <rPh sb="14" eb="17">
      <t>ジソウシキ</t>
    </rPh>
    <rPh sb="17" eb="20">
      <t>チュウシャジョウ</t>
    </rPh>
    <phoneticPr fontId="4"/>
  </si>
  <si>
    <t>タオ
ホア</t>
    <phoneticPr fontId="4"/>
  </si>
  <si>
    <t>マルハチ若江岩田</t>
    <phoneticPr fontId="4"/>
  </si>
  <si>
    <t>瓜生堂</t>
    <phoneticPr fontId="4"/>
  </si>
  <si>
    <t>砂混じりｼﾙﾄ(府植物混入)</t>
    <rPh sb="0" eb="1">
      <t>スナ</t>
    </rPh>
    <rPh sb="1" eb="2">
      <t>マ</t>
    </rPh>
    <rPh sb="8" eb="9">
      <t>フ</t>
    </rPh>
    <rPh sb="9" eb="11">
      <t>ショクブツ</t>
    </rPh>
    <rPh sb="11" eb="13">
      <t>コンニュウ</t>
    </rPh>
    <phoneticPr fontId="4"/>
  </si>
  <si>
    <t>4m</t>
    <phoneticPr fontId="4"/>
  </si>
  <si>
    <t>11m</t>
    <phoneticPr fontId="4"/>
  </si>
  <si>
    <t>2m</t>
    <phoneticPr fontId="4"/>
  </si>
  <si>
    <t>maxview一級建築士事務所</t>
    <phoneticPr fontId="4"/>
  </si>
  <si>
    <t>maxview一級建築士事務所</t>
    <phoneticPr fontId="4"/>
  </si>
  <si>
    <t>maxviewイッキュウケンチクシジムショ</t>
    <phoneticPr fontId="4"/>
  </si>
  <si>
    <t>石渡</t>
    <phoneticPr fontId="4"/>
  </si>
  <si>
    <t>大阪府</t>
    <phoneticPr fontId="4"/>
  </si>
  <si>
    <t>大阪市</t>
    <phoneticPr fontId="4"/>
  </si>
  <si>
    <t>都島区都島中通</t>
    <phoneticPr fontId="4"/>
  </si>
  <si>
    <t>株式会社 宇野設計</t>
    <phoneticPr fontId="4"/>
  </si>
  <si>
    <t>株式会社 宇野設計</t>
    <phoneticPr fontId="4"/>
  </si>
  <si>
    <t>カブシキガイシャ ウノセッケイ</t>
    <phoneticPr fontId="4"/>
  </si>
  <si>
    <t>小林 貴宏</t>
    <phoneticPr fontId="4"/>
  </si>
  <si>
    <t>0563-56-0786</t>
    <phoneticPr fontId="4"/>
  </si>
  <si>
    <t>kobayashi@uno-arc.co.jp</t>
    <phoneticPr fontId="4"/>
  </si>
  <si>
    <t>佐々木</t>
    <phoneticPr fontId="4"/>
  </si>
  <si>
    <t>sasaki@estructura.co.jp</t>
    <phoneticPr fontId="4"/>
  </si>
  <si>
    <t>03-5366-2461</t>
    <phoneticPr fontId="4"/>
  </si>
  <si>
    <t>スギ薬局 都島中通</t>
    <phoneticPr fontId="4"/>
  </si>
  <si>
    <t>小西咲佃工場</t>
    <phoneticPr fontId="4"/>
  </si>
  <si>
    <t>大阪市</t>
    <rPh sb="0" eb="3">
      <t>オオサカシ</t>
    </rPh>
    <phoneticPr fontId="4"/>
  </si>
  <si>
    <t>淀川区佃</t>
    <phoneticPr fontId="4"/>
  </si>
  <si>
    <t>岐阜県</t>
    <phoneticPr fontId="4"/>
  </si>
  <si>
    <t>岐阜県</t>
    <phoneticPr fontId="4"/>
  </si>
  <si>
    <t>株式会社 ぎふ建築住宅センター</t>
    <phoneticPr fontId="4"/>
  </si>
  <si>
    <t>株式会社 ぎふ建築住宅センター</t>
    <phoneticPr fontId="4"/>
  </si>
  <si>
    <t>中地南</t>
    <rPh sb="0" eb="1">
      <t>ナカ</t>
    </rPh>
    <rPh sb="1" eb="2">
      <t>チ</t>
    </rPh>
    <rPh sb="2" eb="3">
      <t>ミナミ</t>
    </rPh>
    <phoneticPr fontId="4"/>
  </si>
  <si>
    <t>店舗</t>
    <rPh sb="0" eb="2">
      <t>テンポ</t>
    </rPh>
    <phoneticPr fontId="4"/>
  </si>
  <si>
    <t>柏田淳建築設計事務所</t>
    <phoneticPr fontId="4"/>
  </si>
  <si>
    <t>粗砂</t>
    <rPh sb="0" eb="1">
      <t>アラ</t>
    </rPh>
    <rPh sb="1" eb="2">
      <t>スナ</t>
    </rPh>
    <phoneticPr fontId="4"/>
  </si>
  <si>
    <t>4m</t>
    <phoneticPr fontId="4"/>
  </si>
  <si>
    <t>6m</t>
    <phoneticPr fontId="4"/>
  </si>
  <si>
    <t>7m</t>
    <phoneticPr fontId="4"/>
  </si>
  <si>
    <t>細砂(有機質土含む)</t>
    <rPh sb="0" eb="1">
      <t>サイ</t>
    </rPh>
    <rPh sb="1" eb="2">
      <t>スナ</t>
    </rPh>
    <rPh sb="3" eb="6">
      <t>ユウキシツ</t>
    </rPh>
    <rPh sb="6" eb="7">
      <t>ド</t>
    </rPh>
    <rPh sb="7" eb="8">
      <t>フク</t>
    </rPh>
    <phoneticPr fontId="4"/>
  </si>
  <si>
    <t>○液</t>
    <rPh sb="1" eb="2">
      <t>エキ</t>
    </rPh>
    <phoneticPr fontId="4"/>
  </si>
  <si>
    <t>海に近い。</t>
    <rPh sb="0" eb="1">
      <t>ウミ</t>
    </rPh>
    <rPh sb="2" eb="3">
      <t>チカ</t>
    </rPh>
    <phoneticPr fontId="4"/>
  </si>
  <si>
    <t>【TNF】</t>
    <phoneticPr fontId="4"/>
  </si>
  <si>
    <t>　 申請</t>
    <rPh sb="2" eb="4">
      <t>シンセイ</t>
    </rPh>
    <phoneticPr fontId="4"/>
  </si>
  <si>
    <t>事前申請</t>
    <phoneticPr fontId="4"/>
  </si>
  <si>
    <t>着工</t>
    <rPh sb="0" eb="2">
      <t>チャッコウ</t>
    </rPh>
    <phoneticPr fontId="4"/>
  </si>
  <si>
    <t>伊勢原市</t>
    <rPh sb="0" eb="4">
      <t>イセハラシ</t>
    </rPh>
    <phoneticPr fontId="4"/>
  </si>
  <si>
    <t>鈴川</t>
    <rPh sb="0" eb="2">
      <t>スズカワ</t>
    </rPh>
    <phoneticPr fontId="4"/>
  </si>
  <si>
    <t>苫小牧市</t>
    <rPh sb="0" eb="4">
      <t>トマコマイシ</t>
    </rPh>
    <phoneticPr fontId="4"/>
  </si>
  <si>
    <t>宇柏原</t>
    <rPh sb="0" eb="1">
      <t>ウ</t>
    </rPh>
    <rPh sb="1" eb="3">
      <t>カシワバラ</t>
    </rPh>
    <phoneticPr fontId="4"/>
  </si>
  <si>
    <t>平屋建(一部3F建)</t>
    <rPh sb="0" eb="2">
      <t>ヒラヤ</t>
    </rPh>
    <rPh sb="2" eb="3">
      <t>タ</t>
    </rPh>
    <rPh sb="4" eb="6">
      <t>イチブ</t>
    </rPh>
    <rPh sb="8" eb="9">
      <t>タ</t>
    </rPh>
    <phoneticPr fontId="4"/>
  </si>
  <si>
    <t>盛土</t>
    <rPh sb="0" eb="2">
      <t>モリド</t>
    </rPh>
    <phoneticPr fontId="4"/>
  </si>
  <si>
    <t>ｼﾙﾄ</t>
    <phoneticPr fontId="4"/>
  </si>
  <si>
    <t>富永商事(株)北海道支店物流センター</t>
    <phoneticPr fontId="4"/>
  </si>
  <si>
    <t>伊勢原新工場</t>
    <phoneticPr fontId="4"/>
  </si>
  <si>
    <t>㈱ハーディック事務所・倉庫</t>
    <rPh sb="11" eb="13">
      <t>ソウコ</t>
    </rPh>
    <phoneticPr fontId="4"/>
  </si>
  <si>
    <t>竹内(宗)</t>
    <rPh sb="0" eb="2">
      <t>タケウチ</t>
    </rPh>
    <rPh sb="3" eb="4">
      <t>ソウ</t>
    </rPh>
    <phoneticPr fontId="4"/>
  </si>
  <si>
    <t>011-769-5508</t>
    <phoneticPr fontId="4"/>
  </si>
  <si>
    <t>堀切 政義</t>
    <phoneticPr fontId="4"/>
  </si>
  <si>
    <t>horikirikz@yahoo.co.jp</t>
    <phoneticPr fontId="4"/>
  </si>
  <si>
    <t>有限会社 堀切構造設計事務所</t>
    <phoneticPr fontId="4"/>
  </si>
  <si>
    <t>有限会社 堀切構造設計事務所</t>
    <phoneticPr fontId="4"/>
  </si>
  <si>
    <t>ユウゲンガイシャ ホリキリコウゾウセッケイジムショ</t>
    <phoneticPr fontId="4"/>
  </si>
  <si>
    <t>大川 純五</t>
    <phoneticPr fontId="4"/>
  </si>
  <si>
    <t>011-879-5646</t>
    <phoneticPr fontId="4"/>
  </si>
  <si>
    <t>jungo@ymail.plala.or.jp</t>
    <phoneticPr fontId="4"/>
  </si>
  <si>
    <t>大川設計工房</t>
    <phoneticPr fontId="4"/>
  </si>
  <si>
    <t>大川設計工房</t>
    <phoneticPr fontId="4"/>
  </si>
  <si>
    <t>オオカワセッケイコウボウ</t>
    <phoneticPr fontId="4"/>
  </si>
  <si>
    <t>北海道</t>
    <rPh sb="0" eb="3">
      <t>ホッカイドウ</t>
    </rPh>
    <phoneticPr fontId="4"/>
  </si>
  <si>
    <t>石狩郡</t>
    <phoneticPr fontId="4"/>
  </si>
  <si>
    <t>当別町対雁</t>
    <phoneticPr fontId="4"/>
  </si>
  <si>
    <t>申請</t>
    <rPh sb="0" eb="2">
      <t>シンセイ</t>
    </rPh>
    <phoneticPr fontId="4"/>
  </si>
  <si>
    <t>着工</t>
    <rPh sb="0" eb="2">
      <t>チャッコウ</t>
    </rPh>
    <phoneticPr fontId="4"/>
  </si>
  <si>
    <t>ユイ
ホア</t>
    <phoneticPr fontId="4"/>
  </si>
  <si>
    <t>村上
フィ</t>
    <rPh sb="0" eb="2">
      <t>ムラカミ</t>
    </rPh>
    <phoneticPr fontId="4"/>
  </si>
  <si>
    <t>ユイ
ﾏｲｱｲﾝ</t>
    <phoneticPr fontId="4"/>
  </si>
  <si>
    <t>工場棟と事務所棟の2棟</t>
    <rPh sb="0" eb="2">
      <t>コウジョウ</t>
    </rPh>
    <rPh sb="2" eb="3">
      <t>トウ</t>
    </rPh>
    <rPh sb="4" eb="6">
      <t>ジム</t>
    </rPh>
    <rPh sb="6" eb="7">
      <t>ショ</t>
    </rPh>
    <rPh sb="7" eb="8">
      <t>トウ</t>
    </rPh>
    <rPh sb="10" eb="11">
      <t>トウ</t>
    </rPh>
    <phoneticPr fontId="4"/>
  </si>
  <si>
    <t>東京都</t>
    <rPh sb="0" eb="3">
      <t>トウキョウト</t>
    </rPh>
    <phoneticPr fontId="4"/>
  </si>
  <si>
    <t>大田区</t>
    <rPh sb="0" eb="3">
      <t>オオタク</t>
    </rPh>
    <phoneticPr fontId="4"/>
  </si>
  <si>
    <t>城南南島</t>
    <rPh sb="0" eb="2">
      <t>ジョウナン</t>
    </rPh>
    <rPh sb="2" eb="3">
      <t>ミナミ</t>
    </rPh>
    <rPh sb="3" eb="4">
      <t>シマ</t>
    </rPh>
    <phoneticPr fontId="4"/>
  </si>
  <si>
    <t>平屋建,3F建</t>
    <rPh sb="0" eb="2">
      <t>ヒラヤ</t>
    </rPh>
    <rPh sb="2" eb="3">
      <t>タ</t>
    </rPh>
    <rPh sb="6" eb="7">
      <t>タ</t>
    </rPh>
    <phoneticPr fontId="4"/>
  </si>
  <si>
    <t>工場,事務所</t>
    <rPh sb="0" eb="2">
      <t>コウジョウ</t>
    </rPh>
    <rPh sb="3" eb="5">
      <t>ジム</t>
    </rPh>
    <rPh sb="5" eb="6">
      <t>ショ</t>
    </rPh>
    <phoneticPr fontId="4"/>
  </si>
  <si>
    <t>河本工業 株式会社 一級建築士事務所</t>
    <phoneticPr fontId="4"/>
  </si>
  <si>
    <t>コウモトコウギョウ カブシキガイシャ イッキュウケンチクシジムショ</t>
    <phoneticPr fontId="4"/>
  </si>
  <si>
    <t>株式会社 エスパス建築事務所</t>
    <phoneticPr fontId="4"/>
  </si>
  <si>
    <t>有村 公太</t>
    <phoneticPr fontId="4"/>
  </si>
  <si>
    <t>092-441-6263</t>
    <phoneticPr fontId="4"/>
  </si>
  <si>
    <t>福岡県福岡市博多区博多駅東3-6-3福岡アーセオンビル</t>
    <rPh sb="0" eb="3">
      <t>フクオカケン</t>
    </rPh>
    <phoneticPr fontId="4"/>
  </si>
  <si>
    <t>姶良市</t>
    <rPh sb="0" eb="3">
      <t>アイラシ</t>
    </rPh>
    <phoneticPr fontId="4"/>
  </si>
  <si>
    <t>加治木町木田字須崎</t>
    <rPh sb="0" eb="3">
      <t>カジキ</t>
    </rPh>
    <rPh sb="3" eb="4">
      <t>マチ</t>
    </rPh>
    <rPh sb="4" eb="6">
      <t>キダ</t>
    </rPh>
    <rPh sb="6" eb="7">
      <t>アザ</t>
    </rPh>
    <rPh sb="7" eb="9">
      <t>スザキ</t>
    </rPh>
    <phoneticPr fontId="4"/>
  </si>
  <si>
    <t>鎌田建設 株式会社</t>
    <rPh sb="5" eb="7">
      <t>カブシキ</t>
    </rPh>
    <rPh sb="7" eb="9">
      <t>カイシャ</t>
    </rPh>
    <phoneticPr fontId="4"/>
  </si>
  <si>
    <t>カマタケンセツ カブシキガイシャ</t>
    <phoneticPr fontId="4"/>
  </si>
  <si>
    <t>鎌田建設 株式会社</t>
    <phoneticPr fontId="4"/>
  </si>
  <si>
    <t>石渡</t>
    <rPh sb="0" eb="1">
      <t>イシ</t>
    </rPh>
    <rPh sb="1" eb="2">
      <t>ワタ</t>
    </rPh>
    <phoneticPr fontId="4"/>
  </si>
  <si>
    <t>和歌山県</t>
    <rPh sb="0" eb="4">
      <t>ワカヤマケン</t>
    </rPh>
    <phoneticPr fontId="4"/>
  </si>
  <si>
    <t>和歌山市</t>
    <rPh sb="0" eb="4">
      <t>ワカヤマシ</t>
    </rPh>
    <phoneticPr fontId="4"/>
  </si>
  <si>
    <t>吐前</t>
    <phoneticPr fontId="4"/>
  </si>
  <si>
    <t>三原設計 株式会社</t>
    <phoneticPr fontId="4"/>
  </si>
  <si>
    <t>三原</t>
    <rPh sb="0" eb="2">
      <t>ミハラ</t>
    </rPh>
    <phoneticPr fontId="4"/>
  </si>
  <si>
    <t>吉岡設計</t>
    <phoneticPr fontId="4"/>
  </si>
  <si>
    <t>吉岡設計</t>
    <phoneticPr fontId="4"/>
  </si>
  <si>
    <t>ヨシオカセッケイ</t>
    <phoneticPr fontId="4"/>
  </si>
  <si>
    <t>南九州酒販(株)加治木支店</t>
    <phoneticPr fontId="4"/>
  </si>
  <si>
    <t>吐前(ハンザキ)計画</t>
    <phoneticPr fontId="4"/>
  </si>
  <si>
    <t>カブシキガイシャ Tojエンジニアリング</t>
    <phoneticPr fontId="4"/>
  </si>
  <si>
    <t>大阪府大阪市北区西天満２丁目８番１号　大江ビル2階</t>
    <rPh sb="0" eb="2">
      <t>オオサカ</t>
    </rPh>
    <rPh sb="2" eb="3">
      <t>フ</t>
    </rPh>
    <phoneticPr fontId="4"/>
  </si>
  <si>
    <t>06-6755-4525</t>
    <phoneticPr fontId="4"/>
  </si>
  <si>
    <t>林 伸彦</t>
    <phoneticPr fontId="4"/>
  </si>
  <si>
    <t>株式会社 田中構造設計事務所</t>
    <phoneticPr fontId="4"/>
  </si>
  <si>
    <t>布</t>
    <rPh sb="0" eb="1">
      <t>ヌノ</t>
    </rPh>
    <phoneticPr fontId="4"/>
  </si>
  <si>
    <t>東野 幸史良</t>
    <phoneticPr fontId="4"/>
  </si>
  <si>
    <t>鹿児島県鹿児島市下荒田4-21-26-101</t>
    <rPh sb="0" eb="4">
      <t>カゴシマケン</t>
    </rPh>
    <phoneticPr fontId="4"/>
  </si>
  <si>
    <t>099-258-5888</t>
    <phoneticPr fontId="4"/>
  </si>
  <si>
    <t>genplan@po2.synapse.ne.jp</t>
    <phoneticPr fontId="4"/>
  </si>
  <si>
    <t>ゲンプラン設計 株式会社</t>
    <phoneticPr fontId="4"/>
  </si>
  <si>
    <t>ゲンプラン設計 株式会社</t>
    <phoneticPr fontId="4"/>
  </si>
  <si>
    <t>ゲンプランセッケイ カブシキガイシャ</t>
    <phoneticPr fontId="4"/>
  </si>
  <si>
    <t>3</t>
    <phoneticPr fontId="4"/>
  </si>
  <si>
    <t>三由建設 株式会社</t>
    <rPh sb="0" eb="1">
      <t>サン</t>
    </rPh>
    <rPh sb="1" eb="2">
      <t>ユ</t>
    </rPh>
    <rPh sb="2" eb="4">
      <t>ケンセツ</t>
    </rPh>
    <rPh sb="5" eb="7">
      <t>カブシキ</t>
    </rPh>
    <rPh sb="7" eb="9">
      <t>カイシャ</t>
    </rPh>
    <phoneticPr fontId="4"/>
  </si>
  <si>
    <t>三由建設 株式会社</t>
    <phoneticPr fontId="4"/>
  </si>
  <si>
    <t>サンユケンセツ カブシキガイシャ</t>
    <phoneticPr fontId="4"/>
  </si>
  <si>
    <t>礫混じり砂</t>
    <rPh sb="0" eb="1">
      <t>レキ</t>
    </rPh>
    <rPh sb="1" eb="2">
      <t>マ</t>
    </rPh>
    <rPh sb="4" eb="5">
      <t>スナ</t>
    </rPh>
    <phoneticPr fontId="4"/>
  </si>
  <si>
    <t>ｼﾙﾄ混じり砂</t>
    <rPh sb="3" eb="4">
      <t>マ</t>
    </rPh>
    <rPh sb="6" eb="7">
      <t>スナ</t>
    </rPh>
    <phoneticPr fontId="4"/>
  </si>
  <si>
    <t>5m</t>
    <phoneticPr fontId="4"/>
  </si>
  <si>
    <t>ｼﾙﾄ質粘土</t>
    <rPh sb="3" eb="4">
      <t>シツ</t>
    </rPh>
    <rPh sb="4" eb="6">
      <t>ネンド</t>
    </rPh>
    <phoneticPr fontId="4"/>
  </si>
  <si>
    <t>4m</t>
    <phoneticPr fontId="4"/>
  </si>
  <si>
    <t>着工</t>
    <rPh sb="0" eb="2">
      <t>チャッコウ</t>
    </rPh>
    <phoneticPr fontId="4"/>
  </si>
  <si>
    <t>ユイ</t>
    <phoneticPr fontId="4"/>
  </si>
  <si>
    <t>村上
ラン</t>
    <rPh sb="0" eb="2">
      <t>ムラカミ</t>
    </rPh>
    <phoneticPr fontId="4"/>
  </si>
  <si>
    <t>村上
ウット</t>
    <phoneticPr fontId="4"/>
  </si>
  <si>
    <t>ユイ
ウット</t>
    <phoneticPr fontId="4"/>
  </si>
  <si>
    <t>さいたま市緑区美園 整備工場</t>
    <phoneticPr fontId="4"/>
  </si>
  <si>
    <t>○300</t>
    <phoneticPr fontId="4"/>
  </si>
  <si>
    <t>締切</t>
    <rPh sb="0" eb="2">
      <t>シメキリ</t>
    </rPh>
    <phoneticPr fontId="4"/>
  </si>
  <si>
    <t>T-4</t>
  </si>
  <si>
    <t>バロー近江八幡</t>
    <phoneticPr fontId="4"/>
  </si>
  <si>
    <t>野村</t>
    <phoneticPr fontId="4"/>
  </si>
  <si>
    <t>nomura.k@yamakou-aso.co.jp</t>
    <phoneticPr fontId="4"/>
  </si>
  <si>
    <t>盛土</t>
    <rPh sb="0" eb="2">
      <t>モリド</t>
    </rPh>
    <phoneticPr fontId="4"/>
  </si>
  <si>
    <t>砂混じり粘土</t>
    <rPh sb="0" eb="1">
      <t>スナ</t>
    </rPh>
    <rPh sb="1" eb="2">
      <t>マ</t>
    </rPh>
    <rPh sb="4" eb="6">
      <t>ネンド</t>
    </rPh>
    <phoneticPr fontId="4"/>
  </si>
  <si>
    <t>2m</t>
    <phoneticPr fontId="4"/>
  </si>
  <si>
    <t>粘土</t>
    <rPh sb="0" eb="2">
      <t>ネンド</t>
    </rPh>
    <phoneticPr fontId="4"/>
  </si>
  <si>
    <t>3m</t>
    <phoneticPr fontId="4"/>
  </si>
  <si>
    <t>3m</t>
    <phoneticPr fontId="4"/>
  </si>
  <si>
    <t>ｼﾙﾄ質砂</t>
    <rPh sb="3" eb="4">
      <t>シツ</t>
    </rPh>
    <rPh sb="4" eb="5">
      <t>スナ</t>
    </rPh>
    <phoneticPr fontId="4"/>
  </si>
  <si>
    <t>4m</t>
    <phoneticPr fontId="4"/>
  </si>
  <si>
    <t>砂混じりｼﾙﾄ(府植物混入)</t>
    <rPh sb="0" eb="1">
      <t>スナ</t>
    </rPh>
    <rPh sb="1" eb="2">
      <t>マ</t>
    </rPh>
    <rPh sb="8" eb="9">
      <t>フ</t>
    </rPh>
    <rPh sb="9" eb="11">
      <t>ショクブツ</t>
    </rPh>
    <rPh sb="11" eb="13">
      <t>コンニュウ</t>
    </rPh>
    <phoneticPr fontId="4"/>
  </si>
  <si>
    <t>着工</t>
    <rPh sb="0" eb="2">
      <t>チャッコウ</t>
    </rPh>
    <phoneticPr fontId="4"/>
  </si>
  <si>
    <t>yoshiokasekkei@gmail.com</t>
    <phoneticPr fontId="4"/>
  </si>
  <si>
    <t>関口 啓介</t>
    <phoneticPr fontId="4"/>
  </si>
  <si>
    <t>栃木県足利市福富町1101</t>
    <phoneticPr fontId="4"/>
  </si>
  <si>
    <t>0284-71-8828</t>
    <phoneticPr fontId="4"/>
  </si>
  <si>
    <t>ke-sekiguti@fuketa.com</t>
    <phoneticPr fontId="4"/>
  </si>
  <si>
    <t>増田 大弘</t>
    <phoneticPr fontId="4"/>
  </si>
  <si>
    <t>大阪府大阪市中央区北浜2-6-11 北浜エクセルビル3F</t>
    <rPh sb="0" eb="2">
      <t>オオサカ</t>
    </rPh>
    <rPh sb="2" eb="3">
      <t>フ</t>
    </rPh>
    <phoneticPr fontId="4"/>
  </si>
  <si>
    <t>masuda@yuken-ind.com</t>
    <phoneticPr fontId="4"/>
  </si>
  <si>
    <t>06-6205-6087</t>
    <phoneticPr fontId="4"/>
  </si>
  <si>
    <t>谷村</t>
    <phoneticPr fontId="4"/>
  </si>
  <si>
    <t>株式会社 Tojエンジニアリング</t>
    <phoneticPr fontId="4"/>
  </si>
  <si>
    <t>株式会社 Tojエンジニアリング</t>
    <phoneticPr fontId="4"/>
  </si>
  <si>
    <t>株式会社 建築構造センター</t>
    <phoneticPr fontId="4"/>
  </si>
  <si>
    <t>株式会社 タイヨウ産業</t>
    <phoneticPr fontId="4"/>
  </si>
  <si>
    <t>株式会社 タイヨウ産業</t>
    <phoneticPr fontId="4"/>
  </si>
  <si>
    <t>カブシキガイシャ タイヨウサンギョウ</t>
    <phoneticPr fontId="4"/>
  </si>
  <si>
    <t>幸栄建設 株式会社</t>
    <phoneticPr fontId="4"/>
  </si>
  <si>
    <t>井上 信一</t>
    <phoneticPr fontId="4"/>
  </si>
  <si>
    <t>株式会社 山本建築設計事務所</t>
    <phoneticPr fontId="4"/>
  </si>
  <si>
    <t>山形県山形市諏訪町２丁目2-6</t>
    <phoneticPr fontId="4"/>
  </si>
  <si>
    <t>023-624-2133</t>
    <phoneticPr fontId="4"/>
  </si>
  <si>
    <t>ysekkei@macbase.or.jp</t>
    <phoneticPr fontId="4"/>
  </si>
  <si>
    <t>株式会社 エストルクトゥーラ</t>
    <phoneticPr fontId="4"/>
  </si>
  <si>
    <t>3</t>
    <phoneticPr fontId="4"/>
  </si>
  <si>
    <t>礫混り砂質粘土</t>
    <rPh sb="0" eb="1">
      <t>レキ</t>
    </rPh>
    <rPh sb="1" eb="2">
      <t>マ</t>
    </rPh>
    <rPh sb="3" eb="4">
      <t>スナ</t>
    </rPh>
    <rPh sb="4" eb="5">
      <t>シツ</t>
    </rPh>
    <rPh sb="5" eb="7">
      <t>ネンド</t>
    </rPh>
    <phoneticPr fontId="4"/>
  </si>
  <si>
    <t>ｱｽﾌｧﾙﾄ</t>
    <phoneticPr fontId="4"/>
  </si>
  <si>
    <t>12m</t>
    <phoneticPr fontId="4"/>
  </si>
  <si>
    <t>村上</t>
    <phoneticPr fontId="4"/>
  </si>
  <si>
    <t>盛土</t>
    <rPh sb="0" eb="2">
      <t>モリド</t>
    </rPh>
    <phoneticPr fontId="4"/>
  </si>
  <si>
    <t>ｼﾙﾄ混じり砂</t>
    <rPh sb="3" eb="4">
      <t>マ</t>
    </rPh>
    <rPh sb="6" eb="7">
      <t>スナ</t>
    </rPh>
    <phoneticPr fontId="4"/>
  </si>
  <si>
    <t>○
0.45m</t>
    <phoneticPr fontId="4"/>
  </si>
  <si>
    <t>砂質ｼﾙﾄ(府植物混入)</t>
    <rPh sb="0" eb="1">
      <t>スナ</t>
    </rPh>
    <rPh sb="1" eb="2">
      <t>シツ</t>
    </rPh>
    <rPh sb="6" eb="7">
      <t>フ</t>
    </rPh>
    <rPh sb="7" eb="9">
      <t>ショクブツ</t>
    </rPh>
    <rPh sb="9" eb="11">
      <t>コンニュウ</t>
    </rPh>
    <phoneticPr fontId="4"/>
  </si>
  <si>
    <t>Vdrug鳴子北</t>
    <phoneticPr fontId="4"/>
  </si>
  <si>
    <t>藤川 幸一</t>
    <phoneticPr fontId="4"/>
  </si>
  <si>
    <t xml:space="preserve">06-6227-5552 </t>
    <phoneticPr fontId="4"/>
  </si>
  <si>
    <t>大阪府大阪市中央区瓦町４丁目３−７ VORT御堂筋本町ビル2F</t>
    <phoneticPr fontId="4"/>
  </si>
  <si>
    <t>k.fujikawa@yokogawa-yess.co.jp</t>
    <phoneticPr fontId="4"/>
  </si>
  <si>
    <t>鎌田建設 株式会社</t>
    <phoneticPr fontId="4"/>
  </si>
  <si>
    <t>h-minami@k-kamada.com</t>
    <phoneticPr fontId="4"/>
  </si>
  <si>
    <t>南</t>
    <phoneticPr fontId="4"/>
  </si>
  <si>
    <t>盛土</t>
    <rPh sb="0" eb="2">
      <t>モリド</t>
    </rPh>
    <phoneticPr fontId="4"/>
  </si>
  <si>
    <t>粘土質砂</t>
    <rPh sb="0" eb="2">
      <t>ネンド</t>
    </rPh>
    <rPh sb="2" eb="3">
      <t>シツ</t>
    </rPh>
    <rPh sb="3" eb="4">
      <t>スナ</t>
    </rPh>
    <phoneticPr fontId="4"/>
  </si>
  <si>
    <t>岸田構造設計</t>
    <rPh sb="0" eb="2">
      <t>キシダ</t>
    </rPh>
    <rPh sb="2" eb="4">
      <t>コウゾウ</t>
    </rPh>
    <rPh sb="4" eb="6">
      <t>セッケイ</t>
    </rPh>
    <phoneticPr fontId="4"/>
  </si>
  <si>
    <t>岸田</t>
    <phoneticPr fontId="4"/>
  </si>
  <si>
    <t>岸田構造設計</t>
    <phoneticPr fontId="4"/>
  </si>
  <si>
    <t>キシダコウゾウセッケイ</t>
    <phoneticPr fontId="4"/>
  </si>
  <si>
    <t>6m</t>
    <phoneticPr fontId="4"/>
  </si>
  <si>
    <t>粘土</t>
    <rPh sb="0" eb="2">
      <t>ネンド</t>
    </rPh>
    <phoneticPr fontId="4"/>
  </si>
  <si>
    <t>8m</t>
    <phoneticPr fontId="4"/>
  </si>
  <si>
    <t>3m</t>
    <phoneticPr fontId="4"/>
  </si>
  <si>
    <t>2m</t>
    <phoneticPr fontId="4"/>
  </si>
  <si>
    <t>着工</t>
    <rPh sb="0" eb="2">
      <t>チャッコウ</t>
    </rPh>
    <phoneticPr fontId="4"/>
  </si>
  <si>
    <t>1m</t>
    <phoneticPr fontId="4"/>
  </si>
  <si>
    <t>砂混じりｼﾙﾄ</t>
    <rPh sb="0" eb="1">
      <t>スナ</t>
    </rPh>
    <rPh sb="1" eb="2">
      <t>マ</t>
    </rPh>
    <phoneticPr fontId="4"/>
  </si>
  <si>
    <t>2m</t>
    <phoneticPr fontId="4"/>
  </si>
  <si>
    <t>-</t>
    <phoneticPr fontId="4"/>
  </si>
  <si>
    <t>-</t>
    <phoneticPr fontId="4"/>
  </si>
  <si>
    <t>砂混じりｼﾙﾄ(府植物混入)</t>
    <rPh sb="0" eb="1">
      <t>スナ</t>
    </rPh>
    <rPh sb="1" eb="2">
      <t>マ</t>
    </rPh>
    <rPh sb="8" eb="9">
      <t>フ</t>
    </rPh>
    <rPh sb="9" eb="11">
      <t>ショクブツ</t>
    </rPh>
    <rPh sb="11" eb="13">
      <t>コンニュウ</t>
    </rPh>
    <phoneticPr fontId="4"/>
  </si>
  <si>
    <t>宮城県</t>
    <rPh sb="0" eb="3">
      <t>ミヤギケン</t>
    </rPh>
    <phoneticPr fontId="4"/>
  </si>
  <si>
    <t>仙台市</t>
    <phoneticPr fontId="4"/>
  </si>
  <si>
    <t>若林区上飯田字天神</t>
    <phoneticPr fontId="4"/>
  </si>
  <si>
    <t>アールデザインワークス イッキュウケンチクシジムショ</t>
    <phoneticPr fontId="4"/>
  </si>
  <si>
    <t>アールデザインワークス 一級建築士事務所</t>
    <phoneticPr fontId="4"/>
  </si>
  <si>
    <t>アールデザインワークス 一級建築士事務所</t>
    <phoneticPr fontId="4"/>
  </si>
  <si>
    <t>高木</t>
    <phoneticPr fontId="4"/>
  </si>
  <si>
    <t>ryota-t@rdw.co.jp</t>
    <phoneticPr fontId="4"/>
  </si>
  <si>
    <t>幸栄建設 株式会社</t>
    <phoneticPr fontId="4"/>
  </si>
  <si>
    <t>ユイ
ラン</t>
    <phoneticPr fontId="4"/>
  </si>
  <si>
    <t>村上
ウット</t>
    <rPh sb="0" eb="2">
      <t>ムラカミ</t>
    </rPh>
    <phoneticPr fontId="4"/>
  </si>
  <si>
    <t>3棟。既存擁壁近接。</t>
    <rPh sb="1" eb="2">
      <t>トウ</t>
    </rPh>
    <rPh sb="3" eb="5">
      <t>キソン</t>
    </rPh>
    <rPh sb="5" eb="7">
      <t>ヨウヘキ</t>
    </rPh>
    <rPh sb="7" eb="9">
      <t>キンセツ</t>
    </rPh>
    <phoneticPr fontId="4"/>
  </si>
  <si>
    <t>14m</t>
    <phoneticPr fontId="4"/>
  </si>
  <si>
    <t>砂質ｼﾙﾄ</t>
    <rPh sb="0" eb="1">
      <t>スナ</t>
    </rPh>
    <rPh sb="1" eb="2">
      <t>シツ</t>
    </rPh>
    <phoneticPr fontId="4"/>
  </si>
  <si>
    <t>4m</t>
    <phoneticPr fontId="4"/>
  </si>
  <si>
    <t>4m</t>
    <phoneticPr fontId="4"/>
  </si>
  <si>
    <t>埋土</t>
    <rPh sb="0" eb="1">
      <t>ウマ</t>
    </rPh>
    <rPh sb="1" eb="2">
      <t>ド</t>
    </rPh>
    <phoneticPr fontId="4"/>
  </si>
  <si>
    <t>○勾配対応</t>
    <rPh sb="1" eb="3">
      <t>コウバイ</t>
    </rPh>
    <rPh sb="3" eb="5">
      <t>タイオウ</t>
    </rPh>
    <phoneticPr fontId="4"/>
  </si>
  <si>
    <t>埋土</t>
    <rPh sb="0" eb="1">
      <t>ウ</t>
    </rPh>
    <rPh sb="1" eb="2">
      <t>ド</t>
    </rPh>
    <phoneticPr fontId="4"/>
  </si>
  <si>
    <t>有限会社 スパン設計</t>
    <rPh sb="0" eb="2">
      <t>ユウゲン</t>
    </rPh>
    <rPh sb="2" eb="4">
      <t>カイシャ</t>
    </rPh>
    <rPh sb="8" eb="10">
      <t>セッケイ</t>
    </rPh>
    <phoneticPr fontId="4"/>
  </si>
  <si>
    <t>財団法人 ふくしま建築住宅センター</t>
    <phoneticPr fontId="4"/>
  </si>
  <si>
    <t>arimura@espace-ao.com</t>
    <phoneticPr fontId="4"/>
  </si>
  <si>
    <t>倉庫</t>
    <phoneticPr fontId="4"/>
  </si>
  <si>
    <t>火山灰</t>
    <rPh sb="0" eb="2">
      <t>カザン</t>
    </rPh>
    <rPh sb="2" eb="3">
      <t>ハイ</t>
    </rPh>
    <phoneticPr fontId="4"/>
  </si>
  <si>
    <t>1m</t>
    <phoneticPr fontId="4"/>
  </si>
  <si>
    <t>9m</t>
    <phoneticPr fontId="4"/>
  </si>
  <si>
    <t>1m</t>
    <phoneticPr fontId="4"/>
  </si>
  <si>
    <t>-</t>
    <phoneticPr fontId="4"/>
  </si>
  <si>
    <t>-</t>
    <phoneticPr fontId="4"/>
  </si>
  <si>
    <t>RC</t>
    <phoneticPr fontId="4"/>
  </si>
  <si>
    <t>1</t>
    <phoneticPr fontId="4"/>
  </si>
  <si>
    <t>-</t>
    <phoneticPr fontId="4"/>
  </si>
  <si>
    <t>財団法人 日本建築センター</t>
    <phoneticPr fontId="4"/>
  </si>
  <si>
    <t>財団法人 日本建築センター</t>
    <phoneticPr fontId="4"/>
  </si>
  <si>
    <t>仙台発酵の里</t>
    <phoneticPr fontId="4"/>
  </si>
  <si>
    <t>東習志野テナントビル</t>
    <phoneticPr fontId="4"/>
  </si>
  <si>
    <t>盛土</t>
    <rPh sb="0" eb="2">
      <t>モリド</t>
    </rPh>
    <phoneticPr fontId="4"/>
  </si>
  <si>
    <t>砂混りｼﾙﾄ</t>
    <rPh sb="0" eb="1">
      <t>スナ</t>
    </rPh>
    <rPh sb="1" eb="2">
      <t>マ</t>
    </rPh>
    <phoneticPr fontId="4"/>
  </si>
  <si>
    <t>2m</t>
    <phoneticPr fontId="4"/>
  </si>
  <si>
    <t>砂混じりｼﾙﾄ</t>
    <rPh sb="0" eb="1">
      <t>スナ</t>
    </rPh>
    <rPh sb="1" eb="2">
      <t>マ</t>
    </rPh>
    <phoneticPr fontId="4"/>
  </si>
  <si>
    <t>12m</t>
    <phoneticPr fontId="4"/>
  </si>
  <si>
    <t>細砂</t>
    <rPh sb="0" eb="1">
      <t>サイ</t>
    </rPh>
    <rPh sb="1" eb="2">
      <t>スナ</t>
    </rPh>
    <phoneticPr fontId="4"/>
  </si>
  <si>
    <t>砂混じりｼﾙﾄ(府植物混入)</t>
    <rPh sb="0" eb="1">
      <t>スナ</t>
    </rPh>
    <rPh sb="1" eb="2">
      <t>マ</t>
    </rPh>
    <rPh sb="8" eb="9">
      <t>フ</t>
    </rPh>
    <rPh sb="9" eb="11">
      <t>ショクブツ</t>
    </rPh>
    <rPh sb="11" eb="13">
      <t>コンニュウ</t>
    </rPh>
    <phoneticPr fontId="4"/>
  </si>
  <si>
    <t>倉庫</t>
    <phoneticPr fontId="4"/>
  </si>
  <si>
    <t>3</t>
    <phoneticPr fontId="4"/>
  </si>
  <si>
    <t>ｼﾙﾄ質砂</t>
    <rPh sb="3" eb="4">
      <t>シツ</t>
    </rPh>
    <rPh sb="4" eb="5">
      <t>スナ</t>
    </rPh>
    <phoneticPr fontId="4"/>
  </si>
  <si>
    <t>ｼﾙﾄ混り砂</t>
    <rPh sb="3" eb="4">
      <t>コン</t>
    </rPh>
    <rPh sb="5" eb="6">
      <t>スナ</t>
    </rPh>
    <phoneticPr fontId="4"/>
  </si>
  <si>
    <t>9m</t>
    <phoneticPr fontId="4"/>
  </si>
  <si>
    <t>ｼﾙﾄ質細砂</t>
    <rPh sb="3" eb="4">
      <t>シツ</t>
    </rPh>
    <rPh sb="4" eb="5">
      <t>サイ</t>
    </rPh>
    <rPh sb="5" eb="6">
      <t>スナ</t>
    </rPh>
    <phoneticPr fontId="4"/>
  </si>
  <si>
    <t>9m</t>
    <phoneticPr fontId="4"/>
  </si>
  <si>
    <t>-</t>
    <phoneticPr fontId="4"/>
  </si>
  <si>
    <t>自動車学校</t>
    <rPh sb="0" eb="3">
      <t>ジドウシャ</t>
    </rPh>
    <rPh sb="3" eb="5">
      <t>ガッコウ</t>
    </rPh>
    <phoneticPr fontId="4"/>
  </si>
  <si>
    <t>谷本 彩香</t>
    <phoneticPr fontId="4"/>
  </si>
  <si>
    <t>3月</t>
    <rPh sb="1" eb="2">
      <t>ガツ</t>
    </rPh>
    <phoneticPr fontId="4"/>
  </si>
  <si>
    <t>増築棟もTNFの可能性が高い。</t>
    <rPh sb="0" eb="2">
      <t>ゾウチク</t>
    </rPh>
    <rPh sb="2" eb="3">
      <t>トウ</t>
    </rPh>
    <rPh sb="8" eb="11">
      <t>カノウセイ</t>
    </rPh>
    <rPh sb="12" eb="13">
      <t>タカ</t>
    </rPh>
    <phoneticPr fontId="4"/>
  </si>
  <si>
    <t>事務所等</t>
    <rPh sb="0" eb="2">
      <t>ジム</t>
    </rPh>
    <rPh sb="2" eb="3">
      <t>ショ</t>
    </rPh>
    <rPh sb="3" eb="4">
      <t>トウ</t>
    </rPh>
    <phoneticPr fontId="4"/>
  </si>
  <si>
    <t>粘性土</t>
    <rPh sb="0" eb="3">
      <t>ネンセイド</t>
    </rPh>
    <phoneticPr fontId="4"/>
  </si>
  <si>
    <t>ﾛｰﾑ</t>
    <phoneticPr fontId="4"/>
  </si>
  <si>
    <t>着工</t>
    <rPh sb="0" eb="2">
      <t>チャッコウ</t>
    </rPh>
    <phoneticPr fontId="4"/>
  </si>
  <si>
    <t>三条市</t>
    <rPh sb="0" eb="2">
      <t>サンジョウ</t>
    </rPh>
    <rPh sb="2" eb="3">
      <t>シ</t>
    </rPh>
    <phoneticPr fontId="4"/>
  </si>
  <si>
    <t>株式会社 サンエイ一級建築士事務所</t>
    <rPh sb="0" eb="4">
      <t>カブシキガイシャ</t>
    </rPh>
    <phoneticPr fontId="4"/>
  </si>
  <si>
    <t>森田 英靖</t>
    <phoneticPr fontId="4"/>
  </si>
  <si>
    <t>埼玉県さいたま市南区白幡5-16-8</t>
    <phoneticPr fontId="4"/>
  </si>
  <si>
    <t>048-865-4512</t>
    <phoneticPr fontId="4"/>
  </si>
  <si>
    <t>h-morita@sanei-prefab.co.jp</t>
    <phoneticPr fontId="4"/>
  </si>
  <si>
    <t>株式会社 サンエイ一級建築士事務所</t>
    <phoneticPr fontId="4"/>
  </si>
  <si>
    <t>コウエイケンセツ カブシキガイシャ</t>
    <phoneticPr fontId="4"/>
  </si>
  <si>
    <t>カブシキガイシャ サンエイイッキュウケンチクシジムショ</t>
    <phoneticPr fontId="4"/>
  </si>
  <si>
    <t>村上
ホア</t>
    <rPh sb="0" eb="2">
      <t>ムラカミ</t>
    </rPh>
    <phoneticPr fontId="4"/>
  </si>
  <si>
    <t>村上
ﾏｲｱｲﾝ</t>
    <rPh sb="0" eb="2">
      <t>ムラカミ</t>
    </rPh>
    <phoneticPr fontId="4"/>
  </si>
  <si>
    <t>村上
ﾗﾝ</t>
    <rPh sb="0" eb="2">
      <t>ムラカミ</t>
    </rPh>
    <phoneticPr fontId="4"/>
  </si>
  <si>
    <t>海老名市</t>
    <rPh sb="0" eb="4">
      <t>エビナシ</t>
    </rPh>
    <phoneticPr fontId="4"/>
  </si>
  <si>
    <t>門沢橋</t>
    <rPh sb="0" eb="2">
      <t>カドサワ</t>
    </rPh>
    <rPh sb="2" eb="3">
      <t>ハシ</t>
    </rPh>
    <phoneticPr fontId="4"/>
  </si>
  <si>
    <t>雪印メグミルク㈱阿見工場第Ⅱ倉庫</t>
    <phoneticPr fontId="4"/>
  </si>
  <si>
    <t>株式会社 オー・エヌ・オー大野設計</t>
    <phoneticPr fontId="4"/>
  </si>
  <si>
    <t>株式会社 オー・エヌ・オー大野設計</t>
    <phoneticPr fontId="4"/>
  </si>
  <si>
    <t>カブシキガイシャ オー・エヌ・オーオオノセッケイ</t>
    <phoneticPr fontId="4"/>
  </si>
  <si>
    <t>山﨑</t>
    <phoneticPr fontId="4"/>
  </si>
  <si>
    <t>茨城県</t>
    <phoneticPr fontId="4"/>
  </si>
  <si>
    <t>稲敷郡</t>
    <phoneticPr fontId="4"/>
  </si>
  <si>
    <t>阿見町大字星の里</t>
    <phoneticPr fontId="4"/>
  </si>
  <si>
    <t>03-3351-6060</t>
    <phoneticPr fontId="4"/>
  </si>
  <si>
    <t>東京都新宿区四谷三栄町6-17 パークサイド四谷401</t>
    <phoneticPr fontId="4"/>
  </si>
  <si>
    <t>n-yamazaki@ono-sekkei.com</t>
    <phoneticPr fontId="4"/>
  </si>
  <si>
    <t>住宅・畑</t>
    <rPh sb="0" eb="2">
      <t>ジュウタク</t>
    </rPh>
    <rPh sb="3" eb="4">
      <t>ハタケ</t>
    </rPh>
    <phoneticPr fontId="4"/>
  </si>
  <si>
    <t>株式会社 創設計</t>
    <phoneticPr fontId="4"/>
  </si>
  <si>
    <t>古川 修治</t>
    <phoneticPr fontId="4"/>
  </si>
  <si>
    <t>017-738-0482</t>
    <phoneticPr fontId="4"/>
  </si>
  <si>
    <t>青森県青森市筒井２丁目1-13</t>
    <phoneticPr fontId="4"/>
  </si>
  <si>
    <t>sosekkei@star.ocn.ne.jp</t>
    <phoneticPr fontId="4"/>
  </si>
  <si>
    <t>青森市</t>
    <rPh sb="0" eb="3">
      <t>アオモリシ</t>
    </rPh>
    <phoneticPr fontId="4"/>
  </si>
  <si>
    <t>大釈迦</t>
    <phoneticPr fontId="4"/>
  </si>
  <si>
    <t>倉庫</t>
    <rPh sb="0" eb="2">
      <t>ソウコ</t>
    </rPh>
    <phoneticPr fontId="4"/>
  </si>
  <si>
    <t>10月末</t>
    <rPh sb="2" eb="3">
      <t>ガツ</t>
    </rPh>
    <rPh sb="3" eb="4">
      <t>マツ</t>
    </rPh>
    <phoneticPr fontId="4"/>
  </si>
  <si>
    <t>2月</t>
    <rPh sb="1" eb="2">
      <t>ガツ</t>
    </rPh>
    <phoneticPr fontId="4"/>
  </si>
  <si>
    <t>礫混じり粘土質砂</t>
    <rPh sb="0" eb="1">
      <t>レキ</t>
    </rPh>
    <rPh sb="1" eb="2">
      <t>マ</t>
    </rPh>
    <rPh sb="4" eb="6">
      <t>ネンド</t>
    </rPh>
    <rPh sb="6" eb="7">
      <t>シツ</t>
    </rPh>
    <rPh sb="7" eb="8">
      <t>スナ</t>
    </rPh>
    <phoneticPr fontId="4"/>
  </si>
  <si>
    <t>粘土</t>
    <rPh sb="0" eb="2">
      <t>ネンド</t>
    </rPh>
    <phoneticPr fontId="4"/>
  </si>
  <si>
    <t>1m</t>
    <phoneticPr fontId="4"/>
  </si>
  <si>
    <t>埼玉県</t>
    <phoneticPr fontId="4"/>
  </si>
  <si>
    <t>羽生市</t>
    <phoneticPr fontId="4"/>
  </si>
  <si>
    <t>岩瀬土地区画整理地内</t>
    <phoneticPr fontId="4"/>
  </si>
  <si>
    <t>山鹿 博孝</t>
    <phoneticPr fontId="4"/>
  </si>
  <si>
    <t>山鹿建築構造設計事務所</t>
    <phoneticPr fontId="4"/>
  </si>
  <si>
    <t>山鹿建築構造設計事務所</t>
    <phoneticPr fontId="4"/>
  </si>
  <si>
    <t>ヤマガケンチクコウゾウセッケイジムショ</t>
    <phoneticPr fontId="4"/>
  </si>
  <si>
    <t>0276-56-0870</t>
    <phoneticPr fontId="4"/>
  </si>
  <si>
    <t>h-yamaga@sannet.ne.jp</t>
    <phoneticPr fontId="4"/>
  </si>
  <si>
    <t>砂質粘土</t>
    <rPh sb="0" eb="1">
      <t>スナ</t>
    </rPh>
    <rPh sb="1" eb="2">
      <t>シツ</t>
    </rPh>
    <rPh sb="2" eb="4">
      <t>ネンド</t>
    </rPh>
    <phoneticPr fontId="4"/>
  </si>
  <si>
    <t>有機質ｼﾙﾄ</t>
    <rPh sb="0" eb="3">
      <t>ユウキシツ</t>
    </rPh>
    <phoneticPr fontId="4"/>
  </si>
  <si>
    <t>5m</t>
    <phoneticPr fontId="4"/>
  </si>
  <si>
    <t>ｼﾙﾄ</t>
    <phoneticPr fontId="4"/>
  </si>
  <si>
    <t>○
0.3m</t>
    <phoneticPr fontId="4"/>
  </si>
  <si>
    <t>図面</t>
    <rPh sb="0" eb="2">
      <t>ズメン</t>
    </rPh>
    <phoneticPr fontId="4"/>
  </si>
  <si>
    <t>羽生市複合商業施設Ａ棟</t>
    <phoneticPr fontId="4"/>
  </si>
  <si>
    <t xml:space="preserve">   現説・申請</t>
    <rPh sb="3" eb="5">
      <t>ゲンセツ</t>
    </rPh>
    <rPh sb="6" eb="8">
      <t>シンセイ</t>
    </rPh>
    <phoneticPr fontId="4"/>
  </si>
  <si>
    <t>ユイ
ﾏｲｱｲﾝ</t>
    <phoneticPr fontId="4"/>
  </si>
  <si>
    <t>ユイ</t>
    <phoneticPr fontId="4"/>
  </si>
  <si>
    <t>ユイ</t>
    <phoneticPr fontId="4"/>
  </si>
  <si>
    <t>さいたま市</t>
    <rPh sb="4" eb="5">
      <t>シ</t>
    </rPh>
    <phoneticPr fontId="4"/>
  </si>
  <si>
    <t>美園</t>
    <rPh sb="0" eb="2">
      <t>ミソノ</t>
    </rPh>
    <phoneticPr fontId="4"/>
  </si>
  <si>
    <t>3</t>
    <phoneticPr fontId="4"/>
  </si>
  <si>
    <t>埋土</t>
    <rPh sb="0" eb="1">
      <t>ウ</t>
    </rPh>
    <rPh sb="1" eb="2">
      <t>ド</t>
    </rPh>
    <phoneticPr fontId="4"/>
  </si>
  <si>
    <t>粘土質ｼﾙﾄ</t>
    <rPh sb="0" eb="2">
      <t>ネンド</t>
    </rPh>
    <rPh sb="2" eb="3">
      <t>シツ</t>
    </rPh>
    <phoneticPr fontId="4"/>
  </si>
  <si>
    <t>8m</t>
    <phoneticPr fontId="4"/>
  </si>
  <si>
    <t>砂混じりｼﾙﾄ</t>
    <rPh sb="0" eb="1">
      <t>スナ</t>
    </rPh>
    <rPh sb="1" eb="2">
      <t>マ</t>
    </rPh>
    <phoneticPr fontId="4"/>
  </si>
  <si>
    <t>2m</t>
    <phoneticPr fontId="4"/>
  </si>
  <si>
    <t>砂質ｼﾙﾄ</t>
    <rPh sb="0" eb="1">
      <t>スナ</t>
    </rPh>
    <rPh sb="1" eb="2">
      <t>シツ</t>
    </rPh>
    <phoneticPr fontId="4"/>
  </si>
  <si>
    <t>1m</t>
    <phoneticPr fontId="4"/>
  </si>
  <si>
    <t>4m</t>
    <phoneticPr fontId="4"/>
  </si>
  <si>
    <t>ｼﾙﾄ</t>
    <phoneticPr fontId="4"/>
  </si>
  <si>
    <t>工場・河川</t>
    <rPh sb="0" eb="2">
      <t>コウジョウ</t>
    </rPh>
    <rPh sb="3" eb="5">
      <t>カセン</t>
    </rPh>
    <phoneticPr fontId="4"/>
  </si>
  <si>
    <t>8/14現説図提出済
9月中旬より開発工事</t>
    <rPh sb="4" eb="6">
      <t>ゲンセツ</t>
    </rPh>
    <rPh sb="6" eb="7">
      <t>ズ</t>
    </rPh>
    <rPh sb="7" eb="9">
      <t>テイシュツ</t>
    </rPh>
    <rPh sb="9" eb="10">
      <t>スミ</t>
    </rPh>
    <rPh sb="12" eb="13">
      <t>ガツ</t>
    </rPh>
    <rPh sb="13" eb="15">
      <t>チュウジュン</t>
    </rPh>
    <rPh sb="17" eb="19">
      <t>カイハツ</t>
    </rPh>
    <rPh sb="19" eb="21">
      <t>コウジ</t>
    </rPh>
    <phoneticPr fontId="4"/>
  </si>
  <si>
    <t>新潟県</t>
    <rPh sb="0" eb="3">
      <t>ニイガタケン</t>
    </rPh>
    <phoneticPr fontId="4"/>
  </si>
  <si>
    <t>大阪府</t>
    <rPh sb="0" eb="2">
      <t>オオサカ</t>
    </rPh>
    <rPh sb="2" eb="3">
      <t>フ</t>
    </rPh>
    <phoneticPr fontId="4"/>
  </si>
  <si>
    <t>宮城県</t>
    <rPh sb="0" eb="3">
      <t>ミヤギケン</t>
    </rPh>
    <phoneticPr fontId="4"/>
  </si>
  <si>
    <t>兵庫県</t>
    <rPh sb="0" eb="3">
      <t>ヒョウゴケン</t>
    </rPh>
    <phoneticPr fontId="4"/>
  </si>
  <si>
    <t>青森県</t>
    <rPh sb="0" eb="3">
      <t>アオモリケン</t>
    </rPh>
    <phoneticPr fontId="4"/>
  </si>
  <si>
    <t>鳥取県</t>
    <rPh sb="0" eb="3">
      <t>トットリケン</t>
    </rPh>
    <phoneticPr fontId="4"/>
  </si>
  <si>
    <t>低温倉庫</t>
    <rPh sb="0" eb="2">
      <t>テイオン</t>
    </rPh>
    <rPh sb="2" eb="4">
      <t>ソウコ</t>
    </rPh>
    <phoneticPr fontId="4"/>
  </si>
  <si>
    <t>上保内</t>
    <rPh sb="0" eb="1">
      <t>ウエ</t>
    </rPh>
    <rPh sb="1" eb="2">
      <t>ホ</t>
    </rPh>
    <rPh sb="2" eb="3">
      <t>ナイ</t>
    </rPh>
    <phoneticPr fontId="4"/>
  </si>
  <si>
    <t>BMW姫路支店/MINI姫路</t>
    <phoneticPr fontId="4"/>
  </si>
  <si>
    <t>2m</t>
    <phoneticPr fontId="4"/>
  </si>
  <si>
    <t>砂質ｼﾙﾄ</t>
    <rPh sb="0" eb="1">
      <t>スナ</t>
    </rPh>
    <rPh sb="1" eb="2">
      <t>シツ</t>
    </rPh>
    <phoneticPr fontId="4"/>
  </si>
  <si>
    <t>3m</t>
    <phoneticPr fontId="4"/>
  </si>
  <si>
    <t>砂礫</t>
    <rPh sb="0" eb="2">
      <t>サレキ</t>
    </rPh>
    <phoneticPr fontId="4"/>
  </si>
  <si>
    <t>砂質ｼﾙﾄ(府植物含む)</t>
    <rPh sb="0" eb="1">
      <t>スナ</t>
    </rPh>
    <rPh sb="1" eb="2">
      <t>シツ</t>
    </rPh>
    <rPh sb="6" eb="7">
      <t>フ</t>
    </rPh>
    <rPh sb="7" eb="9">
      <t>ショクブツ</t>
    </rPh>
    <rPh sb="9" eb="10">
      <t>フク</t>
    </rPh>
    <phoneticPr fontId="4"/>
  </si>
  <si>
    <t>既存擁壁近接。擁壁仕様不明。</t>
    <rPh sb="0" eb="2">
      <t>キソン</t>
    </rPh>
    <rPh sb="2" eb="4">
      <t>ヨウヘキ</t>
    </rPh>
    <rPh sb="4" eb="6">
      <t>キンセツ</t>
    </rPh>
    <rPh sb="7" eb="9">
      <t>ヨウヘキ</t>
    </rPh>
    <rPh sb="9" eb="11">
      <t>シヨウ</t>
    </rPh>
    <rPh sb="11" eb="13">
      <t>フメイ</t>
    </rPh>
    <phoneticPr fontId="4"/>
  </si>
  <si>
    <t>○
8m</t>
    <phoneticPr fontId="4"/>
  </si>
  <si>
    <t>工場</t>
    <rPh sb="0" eb="2">
      <t>コウジョウ</t>
    </rPh>
    <phoneticPr fontId="4"/>
  </si>
  <si>
    <t>事務所・倉庫</t>
    <rPh sb="0" eb="2">
      <t>ジム</t>
    </rPh>
    <rPh sb="2" eb="3">
      <t>ショ</t>
    </rPh>
    <rPh sb="4" eb="6">
      <t>ソウコ</t>
    </rPh>
    <phoneticPr fontId="4"/>
  </si>
  <si>
    <t>店舗・工場</t>
    <rPh sb="0" eb="2">
      <t>テンポ</t>
    </rPh>
    <rPh sb="3" eb="5">
      <t>コウジョウ</t>
    </rPh>
    <phoneticPr fontId="4"/>
  </si>
  <si>
    <t>9.0
24.2</t>
    <phoneticPr fontId="4"/>
  </si>
  <si>
    <t>19.6
36.0</t>
    <phoneticPr fontId="4"/>
  </si>
  <si>
    <t>15.2
25.7</t>
    <phoneticPr fontId="4"/>
  </si>
  <si>
    <t>43.8
85.9</t>
    <phoneticPr fontId="4"/>
  </si>
  <si>
    <t>受注先</t>
    <rPh sb="0" eb="2">
      <t>ジュチュウ</t>
    </rPh>
    <rPh sb="2" eb="3">
      <t>サキ</t>
    </rPh>
    <phoneticPr fontId="4"/>
  </si>
  <si>
    <t>確認
申請</t>
    <rPh sb="0" eb="2">
      <t>カクニン</t>
    </rPh>
    <rPh sb="3" eb="5">
      <t>シンセイ</t>
    </rPh>
    <phoneticPr fontId="4"/>
  </si>
  <si>
    <t>株式会社 国際確認検査センター</t>
    <phoneticPr fontId="4"/>
  </si>
  <si>
    <t>株式会社 国際確認検査センター</t>
    <phoneticPr fontId="4"/>
  </si>
  <si>
    <t>3</t>
    <phoneticPr fontId="4"/>
  </si>
  <si>
    <t>盛土</t>
    <rPh sb="0" eb="2">
      <t>モリド</t>
    </rPh>
    <phoneticPr fontId="4"/>
  </si>
  <si>
    <t>2m</t>
    <phoneticPr fontId="4"/>
  </si>
  <si>
    <t>1m</t>
    <phoneticPr fontId="4"/>
  </si>
  <si>
    <t>1m</t>
    <phoneticPr fontId="4"/>
  </si>
  <si>
    <t>○
0.8m</t>
    <phoneticPr fontId="4"/>
  </si>
  <si>
    <t>住宅・池</t>
    <rPh sb="0" eb="2">
      <t>ジュウタク</t>
    </rPh>
    <rPh sb="3" eb="4">
      <t>イケ</t>
    </rPh>
    <phoneticPr fontId="4"/>
  </si>
  <si>
    <t>建築検査機構 株式会社</t>
    <phoneticPr fontId="4"/>
  </si>
  <si>
    <t>：今週受注案件</t>
    <rPh sb="1" eb="3">
      <t>コンシュウ</t>
    </rPh>
    <rPh sb="3" eb="5">
      <t>ジュチュウ</t>
    </rPh>
    <rPh sb="5" eb="7">
      <t>アンケン</t>
    </rPh>
    <phoneticPr fontId="4"/>
  </si>
  <si>
    <t>：今週設計UP案件</t>
    <rPh sb="1" eb="3">
      <t>コンシュウ</t>
    </rPh>
    <rPh sb="3" eb="5">
      <t>セッケイ</t>
    </rPh>
    <rPh sb="7" eb="9">
      <t>アンケン</t>
    </rPh>
    <phoneticPr fontId="4"/>
  </si>
  <si>
    <t>完工</t>
    <rPh sb="0" eb="2">
      <t>カンコウ</t>
    </rPh>
    <phoneticPr fontId="4"/>
  </si>
  <si>
    <t>ﾊｲﾌﾞﾘｯﾄﾞ</t>
    <phoneticPr fontId="4"/>
  </si>
  <si>
    <t>T-BAGS</t>
    <phoneticPr fontId="4"/>
  </si>
  <si>
    <t>物件
番号</t>
    <rPh sb="0" eb="2">
      <t>ブッケン</t>
    </rPh>
    <rPh sb="3" eb="5">
      <t>バンゴウ</t>
    </rPh>
    <phoneticPr fontId="4"/>
  </si>
  <si>
    <t>構造デザイン工房</t>
    <phoneticPr fontId="4"/>
  </si>
  <si>
    <t>構造デザイン工房</t>
    <phoneticPr fontId="4"/>
  </si>
  <si>
    <t>コウゾウデザインコウボウ</t>
    <phoneticPr fontId="4"/>
  </si>
  <si>
    <t>飯塚設計事務所</t>
    <phoneticPr fontId="4"/>
  </si>
  <si>
    <t>飯塚</t>
    <phoneticPr fontId="4"/>
  </si>
  <si>
    <t>飯塚設計事務所</t>
    <phoneticPr fontId="4"/>
  </si>
  <si>
    <t>イイヅカセッケイジムショ</t>
    <phoneticPr fontId="4"/>
  </si>
  <si>
    <t>10月</t>
    <rPh sb="2" eb="3">
      <t>ガツ</t>
    </rPh>
    <phoneticPr fontId="4"/>
  </si>
  <si>
    <t>11月初旬</t>
    <rPh sb="2" eb="3">
      <t>ガツ</t>
    </rPh>
    <rPh sb="3" eb="5">
      <t>ショジュン</t>
    </rPh>
    <phoneticPr fontId="4"/>
  </si>
  <si>
    <t>9月末</t>
    <rPh sb="1" eb="2">
      <t>ガツ</t>
    </rPh>
    <rPh sb="2" eb="3">
      <t>マツ</t>
    </rPh>
    <phoneticPr fontId="4"/>
  </si>
  <si>
    <t>申請中</t>
    <rPh sb="0" eb="2">
      <t>シンセイ</t>
    </rPh>
    <rPh sb="2" eb="3">
      <t>ナカ</t>
    </rPh>
    <phoneticPr fontId="4"/>
  </si>
  <si>
    <t>12月</t>
    <rPh sb="2" eb="3">
      <t>ガツ</t>
    </rPh>
    <phoneticPr fontId="4"/>
  </si>
  <si>
    <t>着工</t>
    <rPh sb="0" eb="2">
      <t>チャッコウ</t>
    </rPh>
    <phoneticPr fontId="4"/>
  </si>
  <si>
    <t>9月中旬</t>
    <rPh sb="1" eb="2">
      <t>ガツ</t>
    </rPh>
    <rPh sb="2" eb="4">
      <t>チュウジュン</t>
    </rPh>
    <phoneticPr fontId="4"/>
  </si>
  <si>
    <t>9月下旬</t>
    <rPh sb="1" eb="2">
      <t>ガツ</t>
    </rPh>
    <rPh sb="2" eb="4">
      <t>ゲジュン</t>
    </rPh>
    <phoneticPr fontId="4"/>
  </si>
  <si>
    <t>申請</t>
    <rPh sb="0" eb="2">
      <t>シンセイ</t>
    </rPh>
    <phoneticPr fontId="4"/>
  </si>
  <si>
    <t>申請</t>
    <rPh sb="0" eb="2">
      <t>シンセイ</t>
    </rPh>
    <phoneticPr fontId="4"/>
  </si>
  <si>
    <t>○300(一部)</t>
    <rPh sb="5" eb="7">
      <t>イチブ</t>
    </rPh>
    <phoneticPr fontId="4"/>
  </si>
  <si>
    <t>11月初旬 現説</t>
    <rPh sb="2" eb="3">
      <t>ガツ</t>
    </rPh>
    <rPh sb="3" eb="5">
      <t>ショジュン</t>
    </rPh>
    <rPh sb="6" eb="8">
      <t>ゲンセツ</t>
    </rPh>
    <phoneticPr fontId="4"/>
  </si>
  <si>
    <t>現説</t>
    <rPh sb="0" eb="2">
      <t>ゲンセツ</t>
    </rPh>
    <phoneticPr fontId="4"/>
  </si>
  <si>
    <t>着工</t>
    <rPh sb="0" eb="2">
      <t>チャッコウ</t>
    </rPh>
    <phoneticPr fontId="4"/>
  </si>
  <si>
    <t>岩見沢市</t>
    <phoneticPr fontId="4"/>
  </si>
  <si>
    <t>中幌向町</t>
    <phoneticPr fontId="4"/>
  </si>
  <si>
    <t>農機具修理工場</t>
    <phoneticPr fontId="4"/>
  </si>
  <si>
    <t>株式会社 中田建築設計</t>
    <phoneticPr fontId="4"/>
  </si>
  <si>
    <t>中田 信広</t>
    <phoneticPr fontId="4"/>
  </si>
  <si>
    <t>0126-45-2146</t>
    <phoneticPr fontId="4"/>
  </si>
  <si>
    <t>nkt2146@gmail.com</t>
    <phoneticPr fontId="4"/>
  </si>
  <si>
    <t>株式会社 中田建築設計</t>
    <phoneticPr fontId="4"/>
  </si>
  <si>
    <t>株式会社 中田建築設計</t>
    <phoneticPr fontId="4"/>
  </si>
  <si>
    <t>カブシキガイシャ ナカタケンチクセッケイ</t>
    <phoneticPr fontId="4"/>
  </si>
  <si>
    <t xml:space="preserve">  着工</t>
    <rPh sb="2" eb="4">
      <t>チャッコウ</t>
    </rPh>
    <phoneticPr fontId="4"/>
  </si>
  <si>
    <t>確認</t>
    <rPh sb="0" eb="2">
      <t>カクニン</t>
    </rPh>
    <phoneticPr fontId="4"/>
  </si>
  <si>
    <t>受領</t>
    <rPh sb="0" eb="2">
      <t>ジュリョウ</t>
    </rPh>
    <phoneticPr fontId="4"/>
  </si>
  <si>
    <t>回答</t>
    <rPh sb="0" eb="2">
      <t>カイトウ</t>
    </rPh>
    <phoneticPr fontId="4"/>
  </si>
  <si>
    <t>適判</t>
    <rPh sb="0" eb="2">
      <t>テキハン</t>
    </rPh>
    <phoneticPr fontId="4"/>
  </si>
  <si>
    <t>-</t>
    <phoneticPr fontId="4"/>
  </si>
  <si>
    <t>-</t>
    <phoneticPr fontId="4"/>
  </si>
  <si>
    <t>着工</t>
    <rPh sb="0" eb="2">
      <t>チャッコウ</t>
    </rPh>
    <phoneticPr fontId="4"/>
  </si>
  <si>
    <t>9月</t>
    <rPh sb="1" eb="2">
      <t>ガツ</t>
    </rPh>
    <phoneticPr fontId="4"/>
  </si>
  <si>
    <t>10月</t>
    <rPh sb="2" eb="3">
      <t>ガツ</t>
    </rPh>
    <phoneticPr fontId="4"/>
  </si>
  <si>
    <t>8月初旬</t>
    <rPh sb="1" eb="2">
      <t>ガツ</t>
    </rPh>
    <rPh sb="2" eb="4">
      <t>ショジュン</t>
    </rPh>
    <phoneticPr fontId="4"/>
  </si>
  <si>
    <t>8月中旬</t>
    <rPh sb="1" eb="2">
      <t>ガツ</t>
    </rPh>
    <rPh sb="2" eb="4">
      <t>チュウジュン</t>
    </rPh>
    <phoneticPr fontId="4"/>
  </si>
  <si>
    <t>11月初旬</t>
    <rPh sb="2" eb="3">
      <t>ガツ</t>
    </rPh>
    <rPh sb="3" eb="5">
      <t>ショジュン</t>
    </rPh>
    <phoneticPr fontId="4"/>
  </si>
  <si>
    <t>９月中旬～後半</t>
    <phoneticPr fontId="4"/>
  </si>
  <si>
    <t>3月</t>
    <rPh sb="1" eb="2">
      <t>ガツ</t>
    </rPh>
    <phoneticPr fontId="4"/>
  </si>
  <si>
    <t>3月着工</t>
    <rPh sb="1" eb="2">
      <t>ガツ</t>
    </rPh>
    <rPh sb="2" eb="4">
      <t>チャッコウ</t>
    </rPh>
    <phoneticPr fontId="4"/>
  </si>
  <si>
    <t>申請</t>
    <rPh sb="0" eb="2">
      <t>シンセイ</t>
    </rPh>
    <phoneticPr fontId="4"/>
  </si>
  <si>
    <t>12月頃</t>
    <rPh sb="2" eb="3">
      <t>ガツ</t>
    </rPh>
    <rPh sb="3" eb="4">
      <t>コロ</t>
    </rPh>
    <phoneticPr fontId="4"/>
  </si>
  <si>
    <t>9月初旬</t>
    <rPh sb="1" eb="2">
      <t>ガツ</t>
    </rPh>
    <rPh sb="2" eb="4">
      <t>ショジュン</t>
    </rPh>
    <phoneticPr fontId="4"/>
  </si>
  <si>
    <t>12月</t>
    <rPh sb="2" eb="3">
      <t>ガツ</t>
    </rPh>
    <phoneticPr fontId="4"/>
  </si>
  <si>
    <t>10月頭</t>
    <rPh sb="2" eb="3">
      <t>ガツ</t>
    </rPh>
    <rPh sb="3" eb="4">
      <t>アタマ</t>
    </rPh>
    <phoneticPr fontId="4"/>
  </si>
  <si>
    <t>1月中旬</t>
    <rPh sb="1" eb="2">
      <t>ガツ</t>
    </rPh>
    <rPh sb="2" eb="4">
      <t>チュウジュン</t>
    </rPh>
    <phoneticPr fontId="4"/>
  </si>
  <si>
    <t>9月以降</t>
    <rPh sb="1" eb="2">
      <t>ガツ</t>
    </rPh>
    <rPh sb="2" eb="4">
      <t>イコウ</t>
    </rPh>
    <phoneticPr fontId="4"/>
  </si>
  <si>
    <t>10月中旬</t>
    <rPh sb="2" eb="3">
      <t>ガツ</t>
    </rPh>
    <rPh sb="3" eb="5">
      <t>チュウジュン</t>
    </rPh>
    <phoneticPr fontId="4"/>
  </si>
  <si>
    <t>12月中旬</t>
    <rPh sb="2" eb="3">
      <t>ガツ</t>
    </rPh>
    <rPh sb="3" eb="5">
      <t>チュウジュン</t>
    </rPh>
    <phoneticPr fontId="4"/>
  </si>
  <si>
    <t>来春</t>
    <rPh sb="0" eb="2">
      <t>ライハル</t>
    </rPh>
    <phoneticPr fontId="4"/>
  </si>
  <si>
    <t>-</t>
    <phoneticPr fontId="4"/>
  </si>
  <si>
    <t>-</t>
    <phoneticPr fontId="4"/>
  </si>
  <si>
    <t>営業</t>
    <rPh sb="0" eb="2">
      <t>エイギョウ</t>
    </rPh>
    <phoneticPr fontId="4"/>
  </si>
  <si>
    <t>設計</t>
    <rPh sb="0" eb="2">
      <t>セッケイ</t>
    </rPh>
    <phoneticPr fontId="4"/>
  </si>
  <si>
    <t>建築
面積
[㎡]</t>
    <rPh sb="0" eb="2">
      <t>ケンチク</t>
    </rPh>
    <rPh sb="3" eb="5">
      <t>メンセキ</t>
    </rPh>
    <phoneticPr fontId="4"/>
  </si>
  <si>
    <t>ティーアンドピィー設計事務所 スケジュール 1/2</t>
    <rPh sb="9" eb="11">
      <t>セッケイ</t>
    </rPh>
    <rPh sb="11" eb="13">
      <t>ジム</t>
    </rPh>
    <rPh sb="13" eb="14">
      <t>ショ</t>
    </rPh>
    <phoneticPr fontId="17"/>
  </si>
  <si>
    <t>ティーアンドピィー設計事務所 スケジュール 2/2</t>
    <rPh sb="9" eb="11">
      <t>セッケイ</t>
    </rPh>
    <rPh sb="11" eb="13">
      <t>ジム</t>
    </rPh>
    <rPh sb="13" eb="14">
      <t>ショ</t>
    </rPh>
    <phoneticPr fontId="17"/>
  </si>
  <si>
    <t>・</t>
    <phoneticPr fontId="4"/>
  </si>
  <si>
    <t>確認・適判
対応中</t>
    <phoneticPr fontId="4"/>
  </si>
  <si>
    <t>監理中</t>
    <rPh sb="0" eb="2">
      <t>カンリ</t>
    </rPh>
    <rPh sb="2" eb="3">
      <t>ナカ</t>
    </rPh>
    <phoneticPr fontId="4"/>
  </si>
  <si>
    <t>TNF</t>
    <phoneticPr fontId="4"/>
  </si>
  <si>
    <t>TNF</t>
    <phoneticPr fontId="4"/>
  </si>
  <si>
    <t>9月中旬</t>
    <rPh sb="1" eb="2">
      <t>ガツ</t>
    </rPh>
    <rPh sb="2" eb="4">
      <t>チュウジュン</t>
    </rPh>
    <phoneticPr fontId="4"/>
  </si>
  <si>
    <t>愛知県</t>
    <phoneticPr fontId="4"/>
  </si>
  <si>
    <t>安城市</t>
    <phoneticPr fontId="4"/>
  </si>
  <si>
    <t>榎前町井杭山</t>
    <phoneticPr fontId="4"/>
  </si>
  <si>
    <t>東海インプル建設 株式会社</t>
    <rPh sb="9" eb="11">
      <t>カブシキ</t>
    </rPh>
    <rPh sb="11" eb="13">
      <t>カイシャ</t>
    </rPh>
    <phoneticPr fontId="4"/>
  </si>
  <si>
    <t>京條 隆雄</t>
    <phoneticPr fontId="4"/>
  </si>
  <si>
    <t>愛知県安城市緑町1-25-1</t>
    <phoneticPr fontId="4"/>
  </si>
  <si>
    <t>0566-74-6651</t>
    <phoneticPr fontId="4"/>
  </si>
  <si>
    <t>t-kyojyo@tokai-ic.co.jp</t>
    <phoneticPr fontId="4"/>
  </si>
  <si>
    <t>受注
予定</t>
    <rPh sb="0" eb="2">
      <t>ジュチュウ</t>
    </rPh>
    <rPh sb="3" eb="5">
      <t>ヨテイ</t>
    </rPh>
    <phoneticPr fontId="4"/>
  </si>
  <si>
    <t>10月中旬以降</t>
    <rPh sb="2" eb="3">
      <t>ガツ</t>
    </rPh>
    <rPh sb="3" eb="5">
      <t>チュウジュン</t>
    </rPh>
    <rPh sb="5" eb="7">
      <t>イコウ</t>
    </rPh>
    <phoneticPr fontId="4"/>
  </si>
  <si>
    <t>東習志野</t>
    <rPh sb="0" eb="1">
      <t>ヒガシ</t>
    </rPh>
    <rPh sb="1" eb="4">
      <t>ナラシノ</t>
    </rPh>
    <phoneticPr fontId="4"/>
  </si>
  <si>
    <t>高森</t>
    <phoneticPr fontId="4"/>
  </si>
  <si>
    <t>福岡県福岡市南区大楠1-35-21-1F</t>
    <rPh sb="0" eb="3">
      <t>フクオカケン</t>
    </rPh>
    <phoneticPr fontId="4"/>
  </si>
  <si>
    <t>盛土</t>
    <rPh sb="0" eb="2">
      <t>モリド</t>
    </rPh>
    <phoneticPr fontId="4"/>
  </si>
  <si>
    <t>4m</t>
    <phoneticPr fontId="4"/>
  </si>
  <si>
    <t>有機質ｼﾙﾄ</t>
    <rPh sb="0" eb="3">
      <t>ユウキシツ</t>
    </rPh>
    <phoneticPr fontId="4"/>
  </si>
  <si>
    <t>-</t>
    <phoneticPr fontId="4"/>
  </si>
  <si>
    <t>-</t>
    <phoneticPr fontId="4"/>
  </si>
  <si>
    <t>細砂</t>
    <rPh sb="0" eb="1">
      <t>サイ</t>
    </rPh>
    <rPh sb="1" eb="2">
      <t>スナ</t>
    </rPh>
    <phoneticPr fontId="4"/>
  </si>
  <si>
    <t>-</t>
    <phoneticPr fontId="4"/>
  </si>
  <si>
    <t>財団法人 日本建築総合試験所</t>
    <phoneticPr fontId="4"/>
  </si>
  <si>
    <t>意匠+構造</t>
    <rPh sb="0" eb="2">
      <t>イショウ</t>
    </rPh>
    <rPh sb="3" eb="5">
      <t>コウゾウ</t>
    </rPh>
    <phoneticPr fontId="4"/>
  </si>
  <si>
    <t>12月中旬</t>
    <rPh sb="2" eb="3">
      <t>ガツ</t>
    </rPh>
    <rPh sb="3" eb="5">
      <t>チュウジュン</t>
    </rPh>
    <phoneticPr fontId="4"/>
  </si>
  <si>
    <t>3月中旬</t>
    <rPh sb="1" eb="2">
      <t>ガツ</t>
    </rPh>
    <rPh sb="2" eb="4">
      <t>チュウジュン</t>
    </rPh>
    <phoneticPr fontId="4"/>
  </si>
  <si>
    <t>申請</t>
    <rPh sb="0" eb="2">
      <t>シンセイ</t>
    </rPh>
    <phoneticPr fontId="4"/>
  </si>
  <si>
    <t>3</t>
    <phoneticPr fontId="4"/>
  </si>
  <si>
    <t>凝灰質粘土</t>
    <rPh sb="0" eb="3">
      <t>ギョウカイシツ</t>
    </rPh>
    <rPh sb="3" eb="5">
      <t>ネンド</t>
    </rPh>
    <phoneticPr fontId="4"/>
  </si>
  <si>
    <t>1m</t>
    <phoneticPr fontId="4"/>
  </si>
  <si>
    <t>砂質粘土</t>
    <rPh sb="0" eb="1">
      <t>スナ</t>
    </rPh>
    <rPh sb="1" eb="2">
      <t>シツ</t>
    </rPh>
    <rPh sb="2" eb="4">
      <t>ネンド</t>
    </rPh>
    <phoneticPr fontId="4"/>
  </si>
  <si>
    <t>4m</t>
    <phoneticPr fontId="4"/>
  </si>
  <si>
    <t>砂質ｼﾙﾄ</t>
    <rPh sb="0" eb="1">
      <t>スナ</t>
    </rPh>
    <rPh sb="1" eb="2">
      <t>シツ</t>
    </rPh>
    <phoneticPr fontId="4"/>
  </si>
  <si>
    <t>11月末</t>
    <rPh sb="2" eb="3">
      <t>ガツ</t>
    </rPh>
    <rPh sb="3" eb="4">
      <t>マツ</t>
    </rPh>
    <phoneticPr fontId="4"/>
  </si>
  <si>
    <t>着工</t>
    <rPh sb="0" eb="2">
      <t>チャッコウ</t>
    </rPh>
    <phoneticPr fontId="4"/>
  </si>
  <si>
    <t>着工</t>
    <rPh sb="0" eb="2">
      <t>チャッコウ</t>
    </rPh>
    <phoneticPr fontId="4"/>
  </si>
  <si>
    <t>松浦設計</t>
    <phoneticPr fontId="4"/>
  </si>
  <si>
    <t>松浦設計</t>
    <phoneticPr fontId="4"/>
  </si>
  <si>
    <t>マツウラセッケイ</t>
    <phoneticPr fontId="4"/>
  </si>
  <si>
    <t>TNF</t>
    <phoneticPr fontId="4"/>
  </si>
  <si>
    <t>有限会社 みかさ設計</t>
    <rPh sb="0" eb="2">
      <t>ユウゲン</t>
    </rPh>
    <rPh sb="2" eb="4">
      <t>カイシャ</t>
    </rPh>
    <rPh sb="8" eb="10">
      <t>セッケイ</t>
    </rPh>
    <phoneticPr fontId="4"/>
  </si>
  <si>
    <t>織笠</t>
    <phoneticPr fontId="4"/>
  </si>
  <si>
    <t>有限会社 みかさ設計</t>
    <phoneticPr fontId="4"/>
  </si>
  <si>
    <t>ユウゲンガイシャ ミカサセッケイ</t>
    <phoneticPr fontId="4"/>
  </si>
  <si>
    <t>タオ
ウット</t>
    <phoneticPr fontId="4"/>
  </si>
  <si>
    <t>村上
ﾏｲｱｲﾝ</t>
    <rPh sb="0" eb="2">
      <t>ムラカミ</t>
    </rPh>
    <phoneticPr fontId="4"/>
  </si>
  <si>
    <t>来春</t>
    <rPh sb="0" eb="2">
      <t>ライハル</t>
    </rPh>
    <phoneticPr fontId="4"/>
  </si>
  <si>
    <t>申請</t>
    <rPh sb="0" eb="2">
      <t>シンセイ</t>
    </rPh>
    <phoneticPr fontId="4"/>
  </si>
  <si>
    <t>清水物産(株)北海道生鮮工場</t>
    <rPh sb="0" eb="2">
      <t>シミズ</t>
    </rPh>
    <rPh sb="2" eb="4">
      <t>ブッサン</t>
    </rPh>
    <rPh sb="4" eb="7">
      <t>カブ</t>
    </rPh>
    <rPh sb="7" eb="10">
      <t>ホッカイドウ</t>
    </rPh>
    <rPh sb="10" eb="12">
      <t>セイセン</t>
    </rPh>
    <rPh sb="12" eb="14">
      <t>コウジョウ</t>
    </rPh>
    <phoneticPr fontId="4"/>
  </si>
  <si>
    <t>北海道クボタ岩見沢営業所</t>
    <phoneticPr fontId="4"/>
  </si>
  <si>
    <t>杉松産業株式会社様工場</t>
    <phoneticPr fontId="4"/>
  </si>
  <si>
    <t>ニシカタヤ低温倉庫</t>
    <phoneticPr fontId="4"/>
  </si>
  <si>
    <t>池澤加工六地蔵 危険物倉庫 荷捌場</t>
    <rPh sb="0" eb="2">
      <t>イケザワ</t>
    </rPh>
    <rPh sb="2" eb="4">
      <t>カコウ</t>
    </rPh>
    <rPh sb="4" eb="7">
      <t>ロクジゾウ</t>
    </rPh>
    <rPh sb="8" eb="11">
      <t>キケンブツ</t>
    </rPh>
    <rPh sb="11" eb="13">
      <t>ソウコ</t>
    </rPh>
    <rPh sb="14" eb="16">
      <t>ニサバ</t>
    </rPh>
    <rPh sb="16" eb="17">
      <t>バ</t>
    </rPh>
    <phoneticPr fontId="4"/>
  </si>
  <si>
    <t>荷捌場</t>
    <rPh sb="0" eb="1">
      <t>ニ</t>
    </rPh>
    <rPh sb="1" eb="2">
      <t>サバ</t>
    </rPh>
    <rPh sb="2" eb="3">
      <t>バ</t>
    </rPh>
    <phoneticPr fontId="4"/>
  </si>
  <si>
    <t>大関 信彦</t>
    <phoneticPr fontId="4"/>
  </si>
  <si>
    <t>n.oozeki@yokogawa-yess.co.jp</t>
    <phoneticPr fontId="4"/>
  </si>
  <si>
    <t>千葉県船橋市山野町47番地1 横河ウエストビル 2F</t>
    <phoneticPr fontId="4"/>
  </si>
  <si>
    <t>047-410-3221</t>
    <phoneticPr fontId="4"/>
  </si>
  <si>
    <t>長生郡</t>
    <phoneticPr fontId="4"/>
  </si>
  <si>
    <t>金山工務店</t>
    <rPh sb="0" eb="5">
      <t>カナヤマコウムテン</t>
    </rPh>
    <phoneticPr fontId="4"/>
  </si>
  <si>
    <t>金山工務店</t>
    <phoneticPr fontId="4"/>
  </si>
  <si>
    <t>カナヤマコウムテン</t>
    <phoneticPr fontId="4"/>
  </si>
  <si>
    <t>ｼﾙﾄ混じり砂</t>
    <rPh sb="3" eb="4">
      <t>マ</t>
    </rPh>
    <rPh sb="6" eb="7">
      <t>スナ</t>
    </rPh>
    <phoneticPr fontId="4"/>
  </si>
  <si>
    <t>6m</t>
    <phoneticPr fontId="4"/>
  </si>
  <si>
    <t>2m</t>
    <phoneticPr fontId="4"/>
  </si>
  <si>
    <t>粘土</t>
    <rPh sb="0" eb="2">
      <t>ネンド</t>
    </rPh>
    <phoneticPr fontId="4"/>
  </si>
  <si>
    <t>1m</t>
    <phoneticPr fontId="4"/>
  </si>
  <si>
    <t>池田 周司</t>
    <phoneticPr fontId="4"/>
  </si>
  <si>
    <t>06-6942-5463</t>
    <phoneticPr fontId="4"/>
  </si>
  <si>
    <t>s-ikeda@k-kanayama.co.jp</t>
    <phoneticPr fontId="4"/>
  </si>
  <si>
    <t>社団法人 鹿児島県住宅・建築総合センター</t>
    <rPh sb="0" eb="2">
      <t>シャダン</t>
    </rPh>
    <rPh sb="2" eb="4">
      <t>ホウジン</t>
    </rPh>
    <rPh sb="5" eb="9">
      <t>カゴシマケン</t>
    </rPh>
    <rPh sb="9" eb="11">
      <t>ジュウタク</t>
    </rPh>
    <rPh sb="12" eb="14">
      <t>ケンチク</t>
    </rPh>
    <rPh sb="14" eb="16">
      <t>ソウゴウ</t>
    </rPh>
    <phoneticPr fontId="4"/>
  </si>
  <si>
    <t>社団法人 鹿児島県住宅・建築総合センター</t>
    <phoneticPr fontId="4"/>
  </si>
  <si>
    <t>-</t>
    <phoneticPr fontId="4"/>
  </si>
  <si>
    <t>2</t>
    <phoneticPr fontId="4"/>
  </si>
  <si>
    <t>埋土・粘性土</t>
    <rPh sb="0" eb="1">
      <t>ウ</t>
    </rPh>
    <rPh sb="1" eb="2">
      <t>ド</t>
    </rPh>
    <rPh sb="3" eb="6">
      <t>ネンセイド</t>
    </rPh>
    <phoneticPr fontId="4"/>
  </si>
  <si>
    <t>4m</t>
    <phoneticPr fontId="4"/>
  </si>
  <si>
    <t>有機質ｼﾙﾄ</t>
    <rPh sb="0" eb="3">
      <t>ユウキシツ</t>
    </rPh>
    <phoneticPr fontId="4"/>
  </si>
  <si>
    <t>2m</t>
    <phoneticPr fontId="4"/>
  </si>
  <si>
    <t>砂混じりｼﾙﾄ</t>
    <rPh sb="0" eb="1">
      <t>スナ</t>
    </rPh>
    <rPh sb="1" eb="2">
      <t>マ</t>
    </rPh>
    <phoneticPr fontId="4"/>
  </si>
  <si>
    <t>住宅</t>
    <rPh sb="0" eb="2">
      <t>ジュウタク</t>
    </rPh>
    <phoneticPr fontId="4"/>
  </si>
  <si>
    <t>○
0.6m</t>
    <phoneticPr fontId="4"/>
  </si>
  <si>
    <t>設計中</t>
    <rPh sb="0" eb="2">
      <t>セッケイ</t>
    </rPh>
    <rPh sb="2" eb="3">
      <t>ナカ</t>
    </rPh>
    <phoneticPr fontId="4"/>
  </si>
  <si>
    <t>D
基礎</t>
    <rPh sb="2" eb="4">
      <t>キソ</t>
    </rPh>
    <phoneticPr fontId="4"/>
  </si>
  <si>
    <t>申請</t>
    <rPh sb="0" eb="2">
      <t>シンセイ</t>
    </rPh>
    <phoneticPr fontId="4"/>
  </si>
  <si>
    <t>砂質ｼﾙﾄ</t>
    <rPh sb="0" eb="1">
      <t>スナ</t>
    </rPh>
    <rPh sb="1" eb="2">
      <t>シツ</t>
    </rPh>
    <phoneticPr fontId="4"/>
  </si>
  <si>
    <t>砂質粘土</t>
    <rPh sb="0" eb="1">
      <t>スナ</t>
    </rPh>
    <rPh sb="1" eb="2">
      <t>シツ</t>
    </rPh>
    <rPh sb="2" eb="4">
      <t>ネンド</t>
    </rPh>
    <phoneticPr fontId="4"/>
  </si>
  <si>
    <t>株式会社 総合確認検査機構</t>
    <phoneticPr fontId="4"/>
  </si>
  <si>
    <t>株式会社 総合確認検査機構</t>
    <phoneticPr fontId="4"/>
  </si>
  <si>
    <t>2</t>
    <phoneticPr fontId="4"/>
  </si>
  <si>
    <t>盛土</t>
    <rPh sb="0" eb="2">
      <t>モリド</t>
    </rPh>
    <phoneticPr fontId="4"/>
  </si>
  <si>
    <t>盛土</t>
    <phoneticPr fontId="4"/>
  </si>
  <si>
    <t>4m</t>
    <phoneticPr fontId="4"/>
  </si>
  <si>
    <t>府植物混じりｼﾙﾄ</t>
    <rPh sb="0" eb="1">
      <t>フ</t>
    </rPh>
    <rPh sb="1" eb="3">
      <t>ショクブツ</t>
    </rPh>
    <rPh sb="3" eb="4">
      <t>マ</t>
    </rPh>
    <phoneticPr fontId="4"/>
  </si>
  <si>
    <t>3m</t>
    <phoneticPr fontId="4"/>
  </si>
  <si>
    <t>3m</t>
    <phoneticPr fontId="4"/>
  </si>
  <si>
    <t>腐植土</t>
    <rPh sb="0" eb="3">
      <t>フショクド</t>
    </rPh>
    <phoneticPr fontId="4"/>
  </si>
  <si>
    <t>○
1.0m</t>
    <phoneticPr fontId="4"/>
  </si>
  <si>
    <t>○</t>
    <phoneticPr fontId="4"/>
  </si>
  <si>
    <t>アラヤ久留米工場</t>
    <phoneticPr fontId="4"/>
  </si>
  <si>
    <t>3棟</t>
    <rPh sb="1" eb="2">
      <t>トウ</t>
    </rPh>
    <phoneticPr fontId="4"/>
  </si>
  <si>
    <t>マスヤ工業新工場</t>
    <rPh sb="3" eb="5">
      <t>コウギョウ</t>
    </rPh>
    <rPh sb="5" eb="6">
      <t>シン</t>
    </rPh>
    <rPh sb="6" eb="8">
      <t>コウジョウ</t>
    </rPh>
    <phoneticPr fontId="4"/>
  </si>
  <si>
    <t>広島県</t>
    <rPh sb="0" eb="3">
      <t>ヒロシマケン</t>
    </rPh>
    <phoneticPr fontId="4"/>
  </si>
  <si>
    <t>呉市</t>
    <rPh sb="0" eb="2">
      <t>クレシ</t>
    </rPh>
    <phoneticPr fontId="4"/>
  </si>
  <si>
    <t>2月</t>
    <rPh sb="1" eb="2">
      <t>ガツ</t>
    </rPh>
    <phoneticPr fontId="4"/>
  </si>
  <si>
    <t>着工</t>
    <rPh sb="0" eb="2">
      <t>チャッコウ</t>
    </rPh>
    <phoneticPr fontId="4"/>
  </si>
  <si>
    <t>2020.8.24大和ハウス案件のため沖本部長から断る</t>
    <rPh sb="9" eb="11">
      <t>ダイワ</t>
    </rPh>
    <rPh sb="14" eb="16">
      <t>アンケン</t>
    </rPh>
    <rPh sb="19" eb="21">
      <t>オキモト</t>
    </rPh>
    <rPh sb="21" eb="23">
      <t>ブチョウ</t>
    </rPh>
    <rPh sb="25" eb="26">
      <t>コトワ</t>
    </rPh>
    <phoneticPr fontId="4"/>
  </si>
  <si>
    <t>申請</t>
    <rPh sb="0" eb="2">
      <t>シンセイ</t>
    </rPh>
    <phoneticPr fontId="4"/>
  </si>
  <si>
    <t>既存建物(杭)への増築</t>
    <rPh sb="0" eb="2">
      <t>キソン</t>
    </rPh>
    <rPh sb="2" eb="4">
      <t>タテモノ</t>
    </rPh>
    <rPh sb="5" eb="6">
      <t>クイ</t>
    </rPh>
    <rPh sb="9" eb="11">
      <t>ゾウチク</t>
    </rPh>
    <phoneticPr fontId="4"/>
  </si>
  <si>
    <t>2棟(Exp.Jで接合)</t>
    <rPh sb="1" eb="2">
      <t>トウ</t>
    </rPh>
    <rPh sb="9" eb="11">
      <t>セツゴウ</t>
    </rPh>
    <phoneticPr fontId="4"/>
  </si>
  <si>
    <t>青森県三沢市さつきヶ丘一丁目２３－１１７</t>
    <phoneticPr fontId="4"/>
  </si>
  <si>
    <t>mikasa33@rose.ocn.ne.jp</t>
    <phoneticPr fontId="4"/>
  </si>
  <si>
    <t>0176-53-9355</t>
    <phoneticPr fontId="4"/>
  </si>
  <si>
    <t>タオ
フィ</t>
    <phoneticPr fontId="4"/>
  </si>
  <si>
    <t>3</t>
    <phoneticPr fontId="4"/>
  </si>
  <si>
    <t>池澤加工六地蔵JV倉庫</t>
    <phoneticPr fontId="4"/>
  </si>
  <si>
    <t>2棟</t>
    <rPh sb="1" eb="2">
      <t>トウ</t>
    </rPh>
    <phoneticPr fontId="4"/>
  </si>
  <si>
    <t>盛土</t>
    <rPh sb="0" eb="2">
      <t>モリド</t>
    </rPh>
    <phoneticPr fontId="4"/>
  </si>
  <si>
    <t>2m</t>
    <phoneticPr fontId="4"/>
  </si>
  <si>
    <t>5m</t>
    <phoneticPr fontId="4"/>
  </si>
  <si>
    <t>有機質ｼﾙﾄ</t>
    <rPh sb="0" eb="3">
      <t>ユウキシツ</t>
    </rPh>
    <phoneticPr fontId="4"/>
  </si>
  <si>
    <t>1m</t>
    <phoneticPr fontId="4"/>
  </si>
  <si>
    <t>ｼﾙﾄ質砂</t>
    <rPh sb="3" eb="4">
      <t>シツ</t>
    </rPh>
    <rPh sb="4" eb="5">
      <t>スナ</t>
    </rPh>
    <phoneticPr fontId="4"/>
  </si>
  <si>
    <t>新潟県</t>
    <phoneticPr fontId="4"/>
  </si>
  <si>
    <t>柏崎市</t>
    <phoneticPr fontId="4"/>
  </si>
  <si>
    <t>申請</t>
    <rPh sb="0" eb="2">
      <t>シンセイ</t>
    </rPh>
    <phoneticPr fontId="4"/>
  </si>
  <si>
    <t>　 申請</t>
    <rPh sb="2" eb="4">
      <t>シンセイ</t>
    </rPh>
    <phoneticPr fontId="4"/>
  </si>
  <si>
    <t>着工</t>
    <rPh sb="0" eb="2">
      <t>チャッコウ</t>
    </rPh>
    <phoneticPr fontId="4"/>
  </si>
  <si>
    <t>北海道札幌市白石区北郷2条12丁目9-5</t>
    <rPh sb="0" eb="3">
      <t>ホッカイドウ</t>
    </rPh>
    <phoneticPr fontId="4"/>
  </si>
  <si>
    <t>三共化学工業(株)倉庫</t>
    <phoneticPr fontId="4"/>
  </si>
  <si>
    <t>社団法人 鹿児島県住宅・建築総合センター</t>
    <phoneticPr fontId="4"/>
  </si>
  <si>
    <t>○
0.4m</t>
    <phoneticPr fontId="4"/>
  </si>
  <si>
    <t>三郷市</t>
    <phoneticPr fontId="4"/>
  </si>
  <si>
    <t>彦成</t>
    <rPh sb="0" eb="1">
      <t>ヒコ</t>
    </rPh>
    <rPh sb="1" eb="2">
      <t>ナリ</t>
    </rPh>
    <phoneticPr fontId="4"/>
  </si>
  <si>
    <t>株式会社 甲(きのえ)設計事務所</t>
    <phoneticPr fontId="4"/>
  </si>
  <si>
    <t>ヤマザワ高砂</t>
    <phoneticPr fontId="4"/>
  </si>
  <si>
    <t>株式会社 植木組</t>
    <phoneticPr fontId="4"/>
  </si>
  <si>
    <t>長澤 秀樹</t>
    <phoneticPr fontId="4"/>
  </si>
  <si>
    <t>新潟県柏崎市駅前１丁目5番45号</t>
    <phoneticPr fontId="4"/>
  </si>
  <si>
    <t>0257-22-6242</t>
    <phoneticPr fontId="4"/>
  </si>
  <si>
    <t>h-nagasawa@uekigumi.co.jp</t>
    <phoneticPr fontId="4"/>
  </si>
  <si>
    <t>佐々木</t>
    <phoneticPr fontId="4"/>
  </si>
  <si>
    <t>sasaki@ootori339.jp</t>
    <phoneticPr fontId="4"/>
  </si>
  <si>
    <t>03-5217-7343</t>
    <phoneticPr fontId="4"/>
  </si>
  <si>
    <t>東京都千代田区神田駿河台2-2 御茶ノ水杏雲ビル</t>
    <phoneticPr fontId="4"/>
  </si>
  <si>
    <t>　  締切</t>
    <rPh sb="3" eb="5">
      <t>シメキリ</t>
    </rPh>
    <phoneticPr fontId="4"/>
  </si>
  <si>
    <t>株式会社 建築設計アン</t>
    <phoneticPr fontId="4"/>
  </si>
  <si>
    <t>安井 定雄</t>
    <phoneticPr fontId="4"/>
  </si>
  <si>
    <t>愛知県名古屋市中川区四女子町四女子町１-１２-２</t>
    <phoneticPr fontId="4"/>
  </si>
  <si>
    <t>052-354-5111</t>
    <phoneticPr fontId="4"/>
  </si>
  <si>
    <t>ks-un@msh.biglobe.ne.jp</t>
    <phoneticPr fontId="4"/>
  </si>
  <si>
    <t>株式会社 建築設計アン</t>
    <phoneticPr fontId="4"/>
  </si>
  <si>
    <t>カブシキガイシャ ケンチクセッケイアン</t>
    <phoneticPr fontId="4"/>
  </si>
  <si>
    <t>㈱サエキ新三郷整備工場</t>
    <phoneticPr fontId="4"/>
  </si>
  <si>
    <t>1月？</t>
    <rPh sb="1" eb="2">
      <t>ガツ</t>
    </rPh>
    <phoneticPr fontId="4"/>
  </si>
  <si>
    <t>日本建物評価機構 株式会社</t>
    <phoneticPr fontId="4"/>
  </si>
  <si>
    <t>ユイ
フィ</t>
    <phoneticPr fontId="4"/>
  </si>
  <si>
    <t>甲府南インター倉庫</t>
    <phoneticPr fontId="4"/>
  </si>
  <si>
    <t>株式会社 早野組</t>
    <rPh sb="0" eb="2">
      <t>カブシキ</t>
    </rPh>
    <rPh sb="2" eb="4">
      <t>カイシャ</t>
    </rPh>
    <rPh sb="5" eb="7">
      <t>ハヤノ</t>
    </rPh>
    <rPh sb="7" eb="8">
      <t>クミ</t>
    </rPh>
    <phoneticPr fontId="4"/>
  </si>
  <si>
    <t>カブシキガイシャ ハヤノグミ</t>
    <phoneticPr fontId="4"/>
  </si>
  <si>
    <t>株式会社 早野組</t>
    <phoneticPr fontId="4"/>
  </si>
  <si>
    <t>12月設計着手</t>
    <rPh sb="2" eb="3">
      <t>ガツ</t>
    </rPh>
    <rPh sb="3" eb="5">
      <t>セッケイ</t>
    </rPh>
    <rPh sb="5" eb="7">
      <t>チャクシュ</t>
    </rPh>
    <phoneticPr fontId="4"/>
  </si>
  <si>
    <t>設計着手</t>
    <rPh sb="0" eb="2">
      <t>セッケイ</t>
    </rPh>
    <rPh sb="2" eb="4">
      <t>チャクシュ</t>
    </rPh>
    <phoneticPr fontId="4"/>
  </si>
  <si>
    <t>深川市</t>
    <rPh sb="0" eb="1">
      <t>フカ</t>
    </rPh>
    <rPh sb="1" eb="2">
      <t>カワ</t>
    </rPh>
    <rPh sb="2" eb="3">
      <t>シ</t>
    </rPh>
    <phoneticPr fontId="4"/>
  </si>
  <si>
    <t>張 晗</t>
    <phoneticPr fontId="4"/>
  </si>
  <si>
    <t>建築検査機構 株式会社</t>
    <phoneticPr fontId="4"/>
  </si>
  <si>
    <t>財団法人 日本建築総合試験所</t>
    <phoneticPr fontId="4"/>
  </si>
  <si>
    <t>音江町字広里</t>
    <rPh sb="0" eb="1">
      <t>オト</t>
    </rPh>
    <rPh sb="1" eb="2">
      <t>エ</t>
    </rPh>
    <rPh sb="2" eb="3">
      <t>マチ</t>
    </rPh>
    <rPh sb="3" eb="4">
      <t>ジ</t>
    </rPh>
    <rPh sb="4" eb="5">
      <t>ヒロ</t>
    </rPh>
    <rPh sb="5" eb="6">
      <t>リ</t>
    </rPh>
    <phoneticPr fontId="4"/>
  </si>
  <si>
    <t>冷蔵倉庫</t>
    <rPh sb="0" eb="2">
      <t>レイゾウ</t>
    </rPh>
    <rPh sb="2" eb="4">
      <t>ソウコ</t>
    </rPh>
    <phoneticPr fontId="4"/>
  </si>
  <si>
    <t>2020.08.28 実施設計応力で金額増のため失注</t>
    <rPh sb="11" eb="13">
      <t>ジッシ</t>
    </rPh>
    <rPh sb="13" eb="15">
      <t>セッケイ</t>
    </rPh>
    <rPh sb="15" eb="17">
      <t>オウリョク</t>
    </rPh>
    <rPh sb="18" eb="20">
      <t>キンガク</t>
    </rPh>
    <rPh sb="20" eb="21">
      <t>ゾウ</t>
    </rPh>
    <rPh sb="24" eb="26">
      <t>シッチュウ</t>
    </rPh>
    <phoneticPr fontId="4"/>
  </si>
  <si>
    <t>砂質ｼﾙﾄ</t>
    <rPh sb="0" eb="1">
      <t>スナ</t>
    </rPh>
    <rPh sb="1" eb="2">
      <t>シツ</t>
    </rPh>
    <phoneticPr fontId="4"/>
  </si>
  <si>
    <t>ｼﾙﾄ質砂</t>
    <rPh sb="3" eb="4">
      <t>シツ</t>
    </rPh>
    <rPh sb="4" eb="5">
      <t>スナ</t>
    </rPh>
    <phoneticPr fontId="4"/>
  </si>
  <si>
    <t>東京都台東区東上野 2-3-7  山本ビル 2F</t>
    <phoneticPr fontId="4"/>
  </si>
  <si>
    <t>03-5817-8903</t>
    <phoneticPr fontId="4"/>
  </si>
  <si>
    <t>cho@sakura-kozo.jp</t>
    <phoneticPr fontId="4"/>
  </si>
  <si>
    <t>富士建築センター 株式会社</t>
    <phoneticPr fontId="4"/>
  </si>
  <si>
    <t>富士建築センター 株式会社</t>
    <phoneticPr fontId="4"/>
  </si>
  <si>
    <t>着工</t>
    <rPh sb="0" eb="2">
      <t>チャッコウ</t>
    </rPh>
    <phoneticPr fontId="4"/>
  </si>
  <si>
    <t>3</t>
    <phoneticPr fontId="4"/>
  </si>
  <si>
    <t>埋土</t>
    <rPh sb="0" eb="1">
      <t>ウ</t>
    </rPh>
    <rPh sb="1" eb="2">
      <t>ド</t>
    </rPh>
    <phoneticPr fontId="4"/>
  </si>
  <si>
    <t>有機質粘土</t>
    <rPh sb="0" eb="3">
      <t>ユウキシツ</t>
    </rPh>
    <rPh sb="3" eb="5">
      <t>ネンド</t>
    </rPh>
    <phoneticPr fontId="4"/>
  </si>
  <si>
    <t>9m</t>
    <phoneticPr fontId="4"/>
  </si>
  <si>
    <t>砂質ｼﾙﾄ</t>
    <rPh sb="0" eb="1">
      <t>スナ</t>
    </rPh>
    <rPh sb="1" eb="2">
      <t>シツ</t>
    </rPh>
    <phoneticPr fontId="4"/>
  </si>
  <si>
    <t>8m</t>
    <phoneticPr fontId="4"/>
  </si>
  <si>
    <t>2m</t>
    <phoneticPr fontId="4"/>
  </si>
  <si>
    <t>ｼﾙﾄ質細砂</t>
    <rPh sb="3" eb="4">
      <t>シツ</t>
    </rPh>
    <rPh sb="4" eb="5">
      <t>サイ</t>
    </rPh>
    <rPh sb="5" eb="6">
      <t>スナ</t>
    </rPh>
    <phoneticPr fontId="4"/>
  </si>
  <si>
    <t>1m</t>
    <phoneticPr fontId="4"/>
  </si>
  <si>
    <t>有機質粘土</t>
    <rPh sb="0" eb="5">
      <t>ユウキシツネンド</t>
    </rPh>
    <phoneticPr fontId="4"/>
  </si>
  <si>
    <t>オネストアーク 株式会社</t>
    <rPh sb="8" eb="10">
      <t>カブシキ</t>
    </rPh>
    <rPh sb="10" eb="12">
      <t>カイシャ</t>
    </rPh>
    <phoneticPr fontId="4"/>
  </si>
  <si>
    <t>オネストアーク 株式会社</t>
    <phoneticPr fontId="4"/>
  </si>
  <si>
    <t>オネストアーク カブシキガイシャ</t>
    <phoneticPr fontId="4"/>
  </si>
  <si>
    <t>札幌市</t>
    <phoneticPr fontId="4"/>
  </si>
  <si>
    <t>株式会社 T&amp;N北海道設計事務所</t>
    <phoneticPr fontId="4"/>
  </si>
  <si>
    <t>新日鉄住金ｴﾝｼﾞﾆｱﾘﾝｸﾞ</t>
    <phoneticPr fontId="4"/>
  </si>
  <si>
    <t>締切</t>
    <rPh sb="0" eb="2">
      <t>シメキリ</t>
    </rPh>
    <phoneticPr fontId="4"/>
  </si>
  <si>
    <t>村上</t>
    <rPh sb="0" eb="2">
      <t>ムラカミ</t>
    </rPh>
    <phoneticPr fontId="4"/>
  </si>
  <si>
    <t>八鍬 昌利</t>
    <phoneticPr fontId="4"/>
  </si>
  <si>
    <t>011-753-1133</t>
    <phoneticPr fontId="4"/>
  </si>
  <si>
    <t>yakuwa@hkd-sekkei.jp</t>
    <phoneticPr fontId="4"/>
  </si>
  <si>
    <t>011-251-1668</t>
    <phoneticPr fontId="4"/>
  </si>
  <si>
    <t>koube-hdy@nst-sumisys.co.jp</t>
    <phoneticPr fontId="4"/>
  </si>
  <si>
    <t xml:space="preserve">  申請</t>
    <rPh sb="2" eb="4">
      <t>シンセイ</t>
    </rPh>
    <phoneticPr fontId="4"/>
  </si>
  <si>
    <t>締切</t>
    <rPh sb="0" eb="2">
      <t>シメキリ</t>
    </rPh>
    <phoneticPr fontId="4"/>
  </si>
  <si>
    <t>4m</t>
    <phoneticPr fontId="4"/>
  </si>
  <si>
    <t>腐植物混じりｼﾙﾄ</t>
    <rPh sb="0" eb="2">
      <t>フショク</t>
    </rPh>
    <rPh sb="2" eb="3">
      <t>ブツ</t>
    </rPh>
    <rPh sb="3" eb="4">
      <t>マ</t>
    </rPh>
    <phoneticPr fontId="4"/>
  </si>
  <si>
    <t>4m</t>
    <phoneticPr fontId="4"/>
  </si>
  <si>
    <t>6m</t>
    <phoneticPr fontId="4"/>
  </si>
  <si>
    <t>ｼﾙﾄ</t>
    <phoneticPr fontId="4"/>
  </si>
  <si>
    <t>2m</t>
    <phoneticPr fontId="4"/>
  </si>
  <si>
    <t>ｼﾙﾄ</t>
    <phoneticPr fontId="4"/>
  </si>
  <si>
    <t>泥炭</t>
    <rPh sb="0" eb="2">
      <t>デイタン</t>
    </rPh>
    <phoneticPr fontId="4"/>
  </si>
  <si>
    <t>髙邉 英行</t>
    <phoneticPr fontId="4"/>
  </si>
  <si>
    <t>申請</t>
    <rPh sb="0" eb="2">
      <t>シンセイ</t>
    </rPh>
    <phoneticPr fontId="4"/>
  </si>
  <si>
    <t>株式会社 奥野設計</t>
    <phoneticPr fontId="4"/>
  </si>
  <si>
    <t>根岸 大希</t>
    <phoneticPr fontId="4"/>
  </si>
  <si>
    <t>03-5348-5771</t>
    <phoneticPr fontId="4"/>
  </si>
  <si>
    <t>negishi@okuno-associates.com</t>
    <phoneticPr fontId="4"/>
  </si>
  <si>
    <t>協和輸送本社社屋</t>
    <phoneticPr fontId="4"/>
  </si>
  <si>
    <t>べた</t>
    <phoneticPr fontId="4"/>
  </si>
  <si>
    <t>アレーズ秋桜計画</t>
    <phoneticPr fontId="4"/>
  </si>
  <si>
    <t>3月頃着工</t>
    <phoneticPr fontId="4"/>
  </si>
  <si>
    <t>現説・申請</t>
    <rPh sb="0" eb="2">
      <t>ゲンセツ</t>
    </rPh>
    <rPh sb="3" eb="5">
      <t>シンセイ</t>
    </rPh>
    <phoneticPr fontId="4"/>
  </si>
  <si>
    <t>財団法人 岡山県住宅建築総合センター</t>
    <phoneticPr fontId="4"/>
  </si>
  <si>
    <t>財団法人 岡山県住宅建築総合センター</t>
    <phoneticPr fontId="4"/>
  </si>
  <si>
    <t>現説</t>
    <rPh sb="0" eb="2">
      <t>ゲンセツ</t>
    </rPh>
    <phoneticPr fontId="4"/>
  </si>
  <si>
    <t>着工</t>
    <rPh sb="0" eb="2">
      <t>チャッコウ</t>
    </rPh>
    <phoneticPr fontId="4"/>
  </si>
  <si>
    <t>12/1 現説</t>
    <rPh sb="5" eb="7">
      <t>ゲンセツ</t>
    </rPh>
    <phoneticPr fontId="4"/>
  </si>
  <si>
    <t>図面</t>
    <rPh sb="0" eb="2">
      <t>ズメン</t>
    </rPh>
    <phoneticPr fontId="4"/>
  </si>
  <si>
    <t>葛飾区</t>
    <rPh sb="0" eb="3">
      <t>カツシカク</t>
    </rPh>
    <phoneticPr fontId="4"/>
  </si>
  <si>
    <t>水元</t>
    <rPh sb="0" eb="2">
      <t>ミズモト</t>
    </rPh>
    <phoneticPr fontId="4"/>
  </si>
  <si>
    <t>木造</t>
    <rPh sb="0" eb="2">
      <t>モクゾウ</t>
    </rPh>
    <phoneticPr fontId="4"/>
  </si>
  <si>
    <t>2F建</t>
    <rPh sb="2" eb="3">
      <t>タ</t>
    </rPh>
    <phoneticPr fontId="4"/>
  </si>
  <si>
    <t>障害入所施設</t>
    <rPh sb="0" eb="2">
      <t>ショウガイ</t>
    </rPh>
    <rPh sb="2" eb="4">
      <t>ニュウショ</t>
    </rPh>
    <rPh sb="4" eb="6">
      <t>シセツ</t>
    </rPh>
    <phoneticPr fontId="4"/>
  </si>
  <si>
    <t>1</t>
    <phoneticPr fontId="4"/>
  </si>
  <si>
    <t>ｼﾙﾄ</t>
    <phoneticPr fontId="4"/>
  </si>
  <si>
    <t>細砂</t>
    <rPh sb="0" eb="1">
      <t>サイ</t>
    </rPh>
    <rPh sb="1" eb="2">
      <t>スナ</t>
    </rPh>
    <phoneticPr fontId="4"/>
  </si>
  <si>
    <t>砂混じりｼﾙﾄ</t>
    <rPh sb="0" eb="1">
      <t>スナ</t>
    </rPh>
    <rPh sb="1" eb="2">
      <t>マ</t>
    </rPh>
    <phoneticPr fontId="4"/>
  </si>
  <si>
    <t>2m</t>
    <phoneticPr fontId="4"/>
  </si>
  <si>
    <t>2m</t>
    <phoneticPr fontId="4"/>
  </si>
  <si>
    <t>2m</t>
    <phoneticPr fontId="4"/>
  </si>
  <si>
    <t>細砂(府植物混入)</t>
    <rPh sb="0" eb="1">
      <t>サイ</t>
    </rPh>
    <rPh sb="1" eb="2">
      <t>スナ</t>
    </rPh>
    <rPh sb="3" eb="4">
      <t>フ</t>
    </rPh>
    <rPh sb="4" eb="6">
      <t>ショクブツ</t>
    </rPh>
    <rPh sb="6" eb="8">
      <t>コンニュウ</t>
    </rPh>
    <phoneticPr fontId="4"/>
  </si>
  <si>
    <t>-</t>
    <phoneticPr fontId="4"/>
  </si>
  <si>
    <t>住宅</t>
    <rPh sb="0" eb="2">
      <t>ジュウタク</t>
    </rPh>
    <phoneticPr fontId="4"/>
  </si>
  <si>
    <t>青森県</t>
    <rPh sb="0" eb="3">
      <t>アオモリケン</t>
    </rPh>
    <phoneticPr fontId="4"/>
  </si>
  <si>
    <t>八戸市</t>
    <phoneticPr fontId="4"/>
  </si>
  <si>
    <t>大字市川町字下揚</t>
    <rPh sb="0" eb="2">
      <t>オオアザ</t>
    </rPh>
    <rPh sb="2" eb="3">
      <t>シ</t>
    </rPh>
    <rPh sb="3" eb="4">
      <t>カワ</t>
    </rPh>
    <rPh sb="4" eb="5">
      <t>マチ</t>
    </rPh>
    <rPh sb="5" eb="6">
      <t>アザ</t>
    </rPh>
    <rPh sb="6" eb="7">
      <t>シタ</t>
    </rPh>
    <rPh sb="7" eb="8">
      <t>ア</t>
    </rPh>
    <phoneticPr fontId="4"/>
  </si>
  <si>
    <t>財団法人 ベターリビング</t>
    <phoneticPr fontId="4"/>
  </si>
  <si>
    <t>財団法人 ベターリビング</t>
    <phoneticPr fontId="4"/>
  </si>
  <si>
    <t>ユイ
ラン</t>
    <phoneticPr fontId="4"/>
  </si>
  <si>
    <t>粗中砂</t>
    <rPh sb="0" eb="1">
      <t>アラ</t>
    </rPh>
    <rPh sb="1" eb="2">
      <t>ナカ</t>
    </rPh>
    <rPh sb="2" eb="3">
      <t>スナ</t>
    </rPh>
    <phoneticPr fontId="4"/>
  </si>
  <si>
    <t>砂混じり粘土</t>
    <rPh sb="0" eb="1">
      <t>スナ</t>
    </rPh>
    <rPh sb="1" eb="2">
      <t>マ</t>
    </rPh>
    <rPh sb="4" eb="6">
      <t>ネンド</t>
    </rPh>
    <phoneticPr fontId="4"/>
  </si>
  <si>
    <t>1m</t>
    <phoneticPr fontId="4"/>
  </si>
  <si>
    <t>ｼﾙﾄ質砂</t>
    <rPh sb="3" eb="4">
      <t>シツ</t>
    </rPh>
    <rPh sb="4" eb="5">
      <t>スナ</t>
    </rPh>
    <phoneticPr fontId="4"/>
  </si>
  <si>
    <t>3m</t>
    <phoneticPr fontId="4"/>
  </si>
  <si>
    <t>○
0.5m</t>
    <phoneticPr fontId="4"/>
  </si>
  <si>
    <t>3</t>
    <phoneticPr fontId="4"/>
  </si>
  <si>
    <t>-</t>
    <phoneticPr fontId="4"/>
  </si>
  <si>
    <t>ﾛｰﾑ</t>
    <phoneticPr fontId="4"/>
  </si>
  <si>
    <t>2m</t>
    <phoneticPr fontId="4"/>
  </si>
  <si>
    <t>砂混じりﾛｰﾑ</t>
    <rPh sb="0" eb="1">
      <t>スナ</t>
    </rPh>
    <rPh sb="1" eb="2">
      <t>マ</t>
    </rPh>
    <phoneticPr fontId="4"/>
  </si>
  <si>
    <t>6m</t>
    <phoneticPr fontId="4"/>
  </si>
  <si>
    <t>砂混じりｼﾙﾄ</t>
    <rPh sb="0" eb="1">
      <t>スナ</t>
    </rPh>
    <rPh sb="1" eb="2">
      <t>マ</t>
    </rPh>
    <phoneticPr fontId="4"/>
  </si>
  <si>
    <t>2020.9.9 杭の方が安価のため失注</t>
    <rPh sb="9" eb="10">
      <t>クイ</t>
    </rPh>
    <rPh sb="11" eb="12">
      <t>ホウ</t>
    </rPh>
    <rPh sb="13" eb="15">
      <t>アンカ</t>
    </rPh>
    <rPh sb="18" eb="20">
      <t>シッチュウ</t>
    </rPh>
    <phoneticPr fontId="4"/>
  </si>
  <si>
    <t>失注</t>
    <rPh sb="0" eb="2">
      <t>シッチュウ</t>
    </rPh>
    <phoneticPr fontId="4"/>
  </si>
  <si>
    <t>村上
フィ</t>
    <rPh sb="0" eb="2">
      <t>ムラカミ</t>
    </rPh>
    <phoneticPr fontId="4"/>
  </si>
  <si>
    <t>ishitobi@n-s-e.co.jp</t>
    <phoneticPr fontId="4"/>
  </si>
  <si>
    <t>089-968-1804</t>
    <phoneticPr fontId="4"/>
  </si>
  <si>
    <t>株式会社 NSE</t>
    <phoneticPr fontId="4"/>
  </si>
  <si>
    <t>申請</t>
    <rPh sb="0" eb="2">
      <t>シンセイ</t>
    </rPh>
    <phoneticPr fontId="4"/>
  </si>
  <si>
    <t>ハローズ西条大町(サービス2)</t>
    <phoneticPr fontId="4"/>
  </si>
  <si>
    <t>財団法人 さいたま住宅検査センター</t>
    <phoneticPr fontId="4"/>
  </si>
  <si>
    <t>財団法人 さいたま住宅検査センター</t>
    <phoneticPr fontId="4"/>
  </si>
  <si>
    <t>　締切</t>
    <rPh sb="1" eb="3">
      <t>シメキリ</t>
    </rPh>
    <phoneticPr fontId="4"/>
  </si>
  <si>
    <t>4号建築物</t>
    <rPh sb="1" eb="2">
      <t>ゴウ</t>
    </rPh>
    <rPh sb="2" eb="5">
      <t>ケンチクブツ</t>
    </rPh>
    <phoneticPr fontId="4"/>
  </si>
  <si>
    <t>西区商工センター</t>
    <rPh sb="0" eb="2">
      <t>ニシク</t>
    </rPh>
    <rPh sb="2" eb="4">
      <t>ショウコウ</t>
    </rPh>
    <phoneticPr fontId="4"/>
  </si>
  <si>
    <t>4月</t>
    <rPh sb="1" eb="2">
      <t>ガツ</t>
    </rPh>
    <phoneticPr fontId="4"/>
  </si>
  <si>
    <t>益子 光徳</t>
    <phoneticPr fontId="4"/>
  </si>
  <si>
    <t>025-232-1612</t>
    <phoneticPr fontId="4"/>
  </si>
  <si>
    <t>mashiko-mitsunori@zennoh.or.jp</t>
    <phoneticPr fontId="4"/>
  </si>
  <si>
    <t>図面</t>
    <rPh sb="0" eb="2">
      <t>ズメン</t>
    </rPh>
    <phoneticPr fontId="4"/>
  </si>
  <si>
    <t>申請</t>
    <rPh sb="0" eb="2">
      <t>シンセイ</t>
    </rPh>
    <phoneticPr fontId="4"/>
  </si>
  <si>
    <t>日建リ－ス工業㈱ 新潟工場(ｳｯﾄﾞﾌﾟﾗｽﾁｯｸﾃｸﾉﾛｼﾞｰ)</t>
    <phoneticPr fontId="4"/>
  </si>
  <si>
    <t>タオ
ﾏｲｱｲﾝ</t>
    <phoneticPr fontId="4"/>
  </si>
  <si>
    <t>工場</t>
    <rPh sb="0" eb="2">
      <t>コウジョウ</t>
    </rPh>
    <phoneticPr fontId="4"/>
  </si>
  <si>
    <t>着工</t>
    <rPh sb="0" eb="2">
      <t>チャッコウ</t>
    </rPh>
    <phoneticPr fontId="4"/>
  </si>
  <si>
    <t>　 申請、現説</t>
    <rPh sb="2" eb="4">
      <t>シンセイ</t>
    </rPh>
    <rPh sb="5" eb="7">
      <t>ゲンセツ</t>
    </rPh>
    <phoneticPr fontId="4"/>
  </si>
  <si>
    <t>　 着工</t>
    <rPh sb="2" eb="4">
      <t>チャッコウ</t>
    </rPh>
    <phoneticPr fontId="4"/>
  </si>
  <si>
    <t>黒ボク</t>
    <rPh sb="0" eb="1">
      <t>クロ</t>
    </rPh>
    <phoneticPr fontId="4"/>
  </si>
  <si>
    <t>細砂</t>
    <rPh sb="0" eb="1">
      <t>サイ</t>
    </rPh>
    <rPh sb="1" eb="2">
      <t>スナ</t>
    </rPh>
    <phoneticPr fontId="4"/>
  </si>
  <si>
    <t>1m</t>
    <phoneticPr fontId="4"/>
  </si>
  <si>
    <t>砂質ｼﾙﾄ</t>
    <rPh sb="0" eb="1">
      <t>スナ</t>
    </rPh>
    <rPh sb="1" eb="2">
      <t>シツ</t>
    </rPh>
    <phoneticPr fontId="4"/>
  </si>
  <si>
    <t>7m</t>
    <phoneticPr fontId="4"/>
  </si>
  <si>
    <t>1m</t>
    <phoneticPr fontId="4"/>
  </si>
  <si>
    <t>砂</t>
    <rPh sb="0" eb="1">
      <t>スナ</t>
    </rPh>
    <phoneticPr fontId="4"/>
  </si>
  <si>
    <t>砂(有機質土薄層)</t>
    <rPh sb="0" eb="1">
      <t>スナ</t>
    </rPh>
    <rPh sb="2" eb="5">
      <t>ユウキシツ</t>
    </rPh>
    <rPh sb="5" eb="6">
      <t>ド</t>
    </rPh>
    <rPh sb="6" eb="7">
      <t>ウス</t>
    </rPh>
    <rPh sb="7" eb="8">
      <t>ソウ</t>
    </rPh>
    <phoneticPr fontId="4"/>
  </si>
  <si>
    <t>海に近い。</t>
    <rPh sb="0" eb="1">
      <t>ウミ</t>
    </rPh>
    <rPh sb="2" eb="3">
      <t>チカ</t>
    </rPh>
    <phoneticPr fontId="4"/>
  </si>
  <si>
    <t>礫質土</t>
    <rPh sb="0" eb="1">
      <t>レキ</t>
    </rPh>
    <rPh sb="1" eb="2">
      <t>シツ</t>
    </rPh>
    <rPh sb="2" eb="3">
      <t>ド</t>
    </rPh>
    <phoneticPr fontId="4"/>
  </si>
  <si>
    <t>3m</t>
    <phoneticPr fontId="4"/>
  </si>
  <si>
    <t>粘土混じり砂</t>
    <rPh sb="0" eb="2">
      <t>ネンド</t>
    </rPh>
    <rPh sb="2" eb="3">
      <t>マ</t>
    </rPh>
    <rPh sb="5" eb="6">
      <t>スナ</t>
    </rPh>
    <phoneticPr fontId="4"/>
  </si>
  <si>
    <t>-</t>
    <phoneticPr fontId="4"/>
  </si>
  <si>
    <t>-</t>
    <phoneticPr fontId="4"/>
  </si>
  <si>
    <t>-</t>
    <phoneticPr fontId="4"/>
  </si>
  <si>
    <t>ダイレックス商工センター</t>
    <phoneticPr fontId="4"/>
  </si>
  <si>
    <t>布</t>
    <phoneticPr fontId="4"/>
  </si>
  <si>
    <t>1月</t>
    <rPh sb="1" eb="2">
      <t>ガツ</t>
    </rPh>
    <phoneticPr fontId="4"/>
  </si>
  <si>
    <t>3</t>
    <phoneticPr fontId="4"/>
  </si>
  <si>
    <t>ｼﾙﾄ混じり細砂</t>
    <rPh sb="3" eb="4">
      <t>マ</t>
    </rPh>
    <rPh sb="6" eb="7">
      <t>サイ</t>
    </rPh>
    <rPh sb="7" eb="8">
      <t>スナ</t>
    </rPh>
    <phoneticPr fontId="4"/>
  </si>
  <si>
    <t>粘土</t>
    <rPh sb="0" eb="2">
      <t>ネンド</t>
    </rPh>
    <phoneticPr fontId="4"/>
  </si>
  <si>
    <t>1m</t>
    <phoneticPr fontId="4"/>
  </si>
  <si>
    <t>5m</t>
    <phoneticPr fontId="4"/>
  </si>
  <si>
    <t>3m</t>
    <phoneticPr fontId="4"/>
  </si>
  <si>
    <t>3m</t>
    <phoneticPr fontId="4"/>
  </si>
  <si>
    <t>砂質ｼﾙﾄ</t>
    <rPh sb="0" eb="1">
      <t>スナ</t>
    </rPh>
    <rPh sb="1" eb="2">
      <t>シツ</t>
    </rPh>
    <phoneticPr fontId="4"/>
  </si>
  <si>
    <t>粘土(府植物混入)</t>
    <rPh sb="0" eb="2">
      <t>ネンド</t>
    </rPh>
    <rPh sb="3" eb="4">
      <t>フ</t>
    </rPh>
    <rPh sb="4" eb="6">
      <t>ショクブツ</t>
    </rPh>
    <rPh sb="6" eb="8">
      <t>コンニュウ</t>
    </rPh>
    <phoneticPr fontId="4"/>
  </si>
  <si>
    <t>○
0.4m</t>
    <phoneticPr fontId="4"/>
  </si>
  <si>
    <t>既存擁壁近接</t>
    <rPh sb="0" eb="2">
      <t>キソン</t>
    </rPh>
    <rPh sb="2" eb="4">
      <t>ヨウヘキ</t>
    </rPh>
    <rPh sb="4" eb="6">
      <t>キンセツ</t>
    </rPh>
    <phoneticPr fontId="4"/>
  </si>
  <si>
    <t>財団法人 大阪建築防災センター</t>
    <phoneticPr fontId="4"/>
  </si>
  <si>
    <t>タルイシ機工株式会社様社屋</t>
    <phoneticPr fontId="4"/>
  </si>
  <si>
    <t>3</t>
    <phoneticPr fontId="4"/>
  </si>
  <si>
    <t>有機物混じり粘土</t>
    <rPh sb="0" eb="3">
      <t>ユウキブツ</t>
    </rPh>
    <rPh sb="3" eb="4">
      <t>マ</t>
    </rPh>
    <rPh sb="6" eb="8">
      <t>ネンド</t>
    </rPh>
    <phoneticPr fontId="4"/>
  </si>
  <si>
    <t>盛土</t>
    <rPh sb="0" eb="2">
      <t>モリド</t>
    </rPh>
    <phoneticPr fontId="4"/>
  </si>
  <si>
    <t>2m</t>
    <phoneticPr fontId="4"/>
  </si>
  <si>
    <t>○
1.2m</t>
    <phoneticPr fontId="4"/>
  </si>
  <si>
    <t>畑・住宅</t>
    <rPh sb="0" eb="1">
      <t>ハタケ</t>
    </rPh>
    <rPh sb="2" eb="4">
      <t>ジュウタク</t>
    </rPh>
    <phoneticPr fontId="4"/>
  </si>
  <si>
    <t>s.okuyama@niwasekkei.co.jp</t>
    <phoneticPr fontId="4"/>
  </si>
  <si>
    <t>事前申請</t>
    <rPh sb="0" eb="2">
      <t>ジゼン</t>
    </rPh>
    <rPh sb="2" eb="4">
      <t>シンセイ</t>
    </rPh>
    <phoneticPr fontId="4"/>
  </si>
  <si>
    <t>申請</t>
    <rPh sb="0" eb="2">
      <t>シンセイ</t>
    </rPh>
    <phoneticPr fontId="4"/>
  </si>
  <si>
    <t>着工</t>
    <rPh sb="0" eb="2">
      <t>チャッコウ</t>
    </rPh>
    <phoneticPr fontId="4"/>
  </si>
  <si>
    <t>11月
中旬</t>
    <rPh sb="2" eb="3">
      <t>ガツ</t>
    </rPh>
    <rPh sb="4" eb="6">
      <t>チュウジュン</t>
    </rPh>
    <phoneticPr fontId="4"/>
  </si>
  <si>
    <t>2月頭</t>
    <rPh sb="1" eb="2">
      <t>ガツ</t>
    </rPh>
    <rPh sb="2" eb="3">
      <t>アタマ</t>
    </rPh>
    <phoneticPr fontId="4"/>
  </si>
  <si>
    <t>地下トンネル</t>
    <rPh sb="0" eb="2">
      <t>チカ</t>
    </rPh>
    <phoneticPr fontId="4"/>
  </si>
  <si>
    <t>ユイ
ラン</t>
    <phoneticPr fontId="4"/>
  </si>
  <si>
    <t>倉庫</t>
    <phoneticPr fontId="4"/>
  </si>
  <si>
    <t>SVH神戸玉津インター</t>
    <phoneticPr fontId="4"/>
  </si>
  <si>
    <t>12月末</t>
    <rPh sb="2" eb="3">
      <t>ガツ</t>
    </rPh>
    <rPh sb="3" eb="4">
      <t>マツ</t>
    </rPh>
    <phoneticPr fontId="4"/>
  </si>
  <si>
    <t>ｼﾙﾄ混じり粘土</t>
    <rPh sb="3" eb="4">
      <t>マ</t>
    </rPh>
    <rPh sb="6" eb="8">
      <t>ネンド</t>
    </rPh>
    <phoneticPr fontId="4"/>
  </si>
  <si>
    <t>粘土</t>
    <rPh sb="0" eb="2">
      <t>ネンド</t>
    </rPh>
    <phoneticPr fontId="4"/>
  </si>
  <si>
    <t>11m</t>
    <phoneticPr fontId="4"/>
  </si>
  <si>
    <t>粘土(府植物少量混入)</t>
    <rPh sb="0" eb="2">
      <t>ネンド</t>
    </rPh>
    <rPh sb="3" eb="4">
      <t>フ</t>
    </rPh>
    <rPh sb="4" eb="6">
      <t>ショクブツ</t>
    </rPh>
    <rPh sb="6" eb="8">
      <t>ショウリョウ</t>
    </rPh>
    <rPh sb="8" eb="10">
      <t>コンニュウ</t>
    </rPh>
    <phoneticPr fontId="4"/>
  </si>
  <si>
    <t>大字軽井川</t>
    <rPh sb="0" eb="2">
      <t>オオアザ</t>
    </rPh>
    <rPh sb="2" eb="3">
      <t>ケイ</t>
    </rPh>
    <rPh sb="3" eb="5">
      <t>イカワ</t>
    </rPh>
    <phoneticPr fontId="4"/>
  </si>
  <si>
    <t>大草 雄二</t>
    <phoneticPr fontId="4"/>
  </si>
  <si>
    <t>0283-62-3165</t>
    <phoneticPr fontId="4"/>
  </si>
  <si>
    <t>栃木県佐野市田沼町1805-9</t>
    <phoneticPr fontId="4"/>
  </si>
  <si>
    <t>cxm02457@nifty.com</t>
    <phoneticPr fontId="4"/>
  </si>
  <si>
    <t>民間検査機構 オーネックス</t>
    <phoneticPr fontId="4"/>
  </si>
  <si>
    <t>財団法人 日本建築総合試験所</t>
    <phoneticPr fontId="4"/>
  </si>
  <si>
    <t>財団法人 日本建築総合試験所</t>
    <phoneticPr fontId="4"/>
  </si>
  <si>
    <t>宮城県</t>
    <rPh sb="0" eb="3">
      <t>ミヤギケン</t>
    </rPh>
    <phoneticPr fontId="4"/>
  </si>
  <si>
    <t>仙台市</t>
    <rPh sb="0" eb="3">
      <t>センダイシ</t>
    </rPh>
    <phoneticPr fontId="4"/>
  </si>
  <si>
    <t>館脇倉庫</t>
    <phoneticPr fontId="4"/>
  </si>
  <si>
    <t>申請</t>
    <rPh sb="0" eb="2">
      <t>シンセイ</t>
    </rPh>
    <phoneticPr fontId="4"/>
  </si>
  <si>
    <t>静岡県</t>
    <phoneticPr fontId="4"/>
  </si>
  <si>
    <t>バローマックス イッキュウケンチクシジムショ</t>
    <phoneticPr fontId="4"/>
  </si>
  <si>
    <t>バローマックス 一級建築士事務所</t>
    <phoneticPr fontId="4"/>
  </si>
  <si>
    <t>バローマックス 一級建築士事務所</t>
    <rPh sb="8" eb="16">
      <t>イッキュウケンチクシジムショ</t>
    </rPh>
    <phoneticPr fontId="4"/>
  </si>
  <si>
    <t>山口 忠幸</t>
    <phoneticPr fontId="4"/>
  </si>
  <si>
    <t>090-4856-9753</t>
    <phoneticPr fontId="4"/>
  </si>
  <si>
    <t>ta_yamaguchi@valor.co.jp</t>
    <phoneticPr fontId="4"/>
  </si>
  <si>
    <t>開発着工(WT)</t>
    <rPh sb="0" eb="2">
      <t>カイハツ</t>
    </rPh>
    <rPh sb="2" eb="4">
      <t>チャッコウ</t>
    </rPh>
    <phoneticPr fontId="4"/>
  </si>
  <si>
    <t>2021.10～12 実施設計、2022.9着工</t>
    <rPh sb="11" eb="13">
      <t>ジッシ</t>
    </rPh>
    <rPh sb="13" eb="15">
      <t>セッケイ</t>
    </rPh>
    <rPh sb="22" eb="24">
      <t>チャッコウ</t>
    </rPh>
    <phoneticPr fontId="4"/>
  </si>
  <si>
    <t>上越市</t>
    <rPh sb="0" eb="3">
      <t>ジョウエツシ</t>
    </rPh>
    <phoneticPr fontId="4"/>
  </si>
  <si>
    <t>新潟県</t>
    <rPh sb="0" eb="3">
      <t>ニイガタケン</t>
    </rPh>
    <phoneticPr fontId="4"/>
  </si>
  <si>
    <t>大字東中島</t>
    <rPh sb="0" eb="2">
      <t>オオアザ</t>
    </rPh>
    <rPh sb="2" eb="3">
      <t>ヒガシ</t>
    </rPh>
    <rPh sb="3" eb="5">
      <t>ナカジマ</t>
    </rPh>
    <phoneticPr fontId="4"/>
  </si>
  <si>
    <t>2022.9</t>
    <phoneticPr fontId="4"/>
  </si>
  <si>
    <t>2021.12</t>
    <phoneticPr fontId="4"/>
  </si>
  <si>
    <t>その他スケジュール</t>
    <rPh sb="2" eb="3">
      <t>タ</t>
    </rPh>
    <phoneticPr fontId="4"/>
  </si>
  <si>
    <t>二次
一次</t>
    <rPh sb="0" eb="2">
      <t>ニジ</t>
    </rPh>
    <rPh sb="3" eb="5">
      <t>イチジ</t>
    </rPh>
    <phoneticPr fontId="4"/>
  </si>
  <si>
    <t>改良厚[m]</t>
    <rPh sb="0" eb="2">
      <t>カイリョウ</t>
    </rPh>
    <rPh sb="2" eb="3">
      <t>アツ</t>
    </rPh>
    <phoneticPr fontId="4"/>
  </si>
  <si>
    <t>門脇 光夢</t>
    <phoneticPr fontId="4"/>
  </si>
  <si>
    <t>上越市ストックヤード</t>
    <phoneticPr fontId="4"/>
  </si>
  <si>
    <t>広島県広島市安佐南区西原６丁目6-25-1 ＡＸＩＳ－１ ３階</t>
    <phoneticPr fontId="4"/>
  </si>
  <si>
    <t>082-850-0605</t>
    <phoneticPr fontId="4"/>
  </si>
  <si>
    <t>埋土・礫混じり細砂</t>
    <rPh sb="0" eb="1">
      <t>ウ</t>
    </rPh>
    <rPh sb="1" eb="2">
      <t>ド</t>
    </rPh>
    <rPh sb="3" eb="4">
      <t>レキ</t>
    </rPh>
    <rPh sb="4" eb="5">
      <t>マ</t>
    </rPh>
    <rPh sb="7" eb="8">
      <t>サイ</t>
    </rPh>
    <rPh sb="8" eb="9">
      <t>スナ</t>
    </rPh>
    <phoneticPr fontId="4"/>
  </si>
  <si>
    <t>○</t>
    <phoneticPr fontId="4"/>
  </si>
  <si>
    <t>2m</t>
    <phoneticPr fontId="4"/>
  </si>
  <si>
    <t>埋土・礫混じり中砂</t>
    <rPh sb="0" eb="1">
      <t>ウ</t>
    </rPh>
    <rPh sb="1" eb="2">
      <t>ド</t>
    </rPh>
    <rPh sb="3" eb="4">
      <t>レキ</t>
    </rPh>
    <rPh sb="4" eb="5">
      <t>マ</t>
    </rPh>
    <rPh sb="7" eb="8">
      <t>ナカ</t>
    </rPh>
    <rPh sb="8" eb="9">
      <t>スナ</t>
    </rPh>
    <phoneticPr fontId="4"/>
  </si>
  <si>
    <t>1m</t>
    <phoneticPr fontId="4"/>
  </si>
  <si>
    <t>ｼﾙﾄ質細砂</t>
    <rPh sb="3" eb="4">
      <t>シツ</t>
    </rPh>
    <rPh sb="4" eb="5">
      <t>サイ</t>
    </rPh>
    <rPh sb="5" eb="6">
      <t>スナ</t>
    </rPh>
    <phoneticPr fontId="4"/>
  </si>
  <si>
    <t>6m</t>
    <phoneticPr fontId="4"/>
  </si>
  <si>
    <t>中砂</t>
    <rPh sb="0" eb="1">
      <t>ナカ</t>
    </rPh>
    <rPh sb="1" eb="2">
      <t>スナ</t>
    </rPh>
    <phoneticPr fontId="4"/>
  </si>
  <si>
    <t>工場・店舗</t>
    <rPh sb="0" eb="2">
      <t>コウジョウ</t>
    </rPh>
    <rPh sb="3" eb="5">
      <t>テンポ</t>
    </rPh>
    <phoneticPr fontId="4"/>
  </si>
  <si>
    <t>店舗棟とスロープ棟(4号)の2棟。海に近い。埋立地。既存建物(杭)</t>
    <rPh sb="0" eb="2">
      <t>テンポ</t>
    </rPh>
    <rPh sb="2" eb="3">
      <t>トウ</t>
    </rPh>
    <rPh sb="8" eb="9">
      <t>トウ</t>
    </rPh>
    <rPh sb="11" eb="12">
      <t>ゴウ</t>
    </rPh>
    <rPh sb="15" eb="16">
      <t>トウ</t>
    </rPh>
    <rPh sb="17" eb="18">
      <t>ウミ</t>
    </rPh>
    <rPh sb="19" eb="20">
      <t>チカ</t>
    </rPh>
    <rPh sb="22" eb="24">
      <t>ウメタテ</t>
    </rPh>
    <rPh sb="24" eb="25">
      <t>チ</t>
    </rPh>
    <rPh sb="26" eb="28">
      <t>キソン</t>
    </rPh>
    <rPh sb="28" eb="30">
      <t>タテモノ</t>
    </rPh>
    <rPh sb="31" eb="32">
      <t>クイ</t>
    </rPh>
    <phoneticPr fontId="4"/>
  </si>
  <si>
    <t>北海道</t>
    <rPh sb="0" eb="3">
      <t>ホッカイドウ</t>
    </rPh>
    <phoneticPr fontId="4"/>
  </si>
  <si>
    <t>字柏原</t>
    <rPh sb="0" eb="1">
      <t>アザ</t>
    </rPh>
    <rPh sb="1" eb="3">
      <t>カシハラ</t>
    </rPh>
    <phoneticPr fontId="4"/>
  </si>
  <si>
    <t>火山灰質粘土</t>
    <rPh sb="0" eb="2">
      <t>カザン</t>
    </rPh>
    <rPh sb="2" eb="3">
      <t>ハイ</t>
    </rPh>
    <rPh sb="3" eb="4">
      <t>シツ</t>
    </rPh>
    <rPh sb="4" eb="6">
      <t>ネンド</t>
    </rPh>
    <phoneticPr fontId="4"/>
  </si>
  <si>
    <t>火山灰</t>
    <rPh sb="0" eb="2">
      <t>カザン</t>
    </rPh>
    <rPh sb="2" eb="3">
      <t>ハイ</t>
    </rPh>
    <phoneticPr fontId="4"/>
  </si>
  <si>
    <t>3m</t>
    <phoneticPr fontId="4"/>
  </si>
  <si>
    <t>1m</t>
    <phoneticPr fontId="4"/>
  </si>
  <si>
    <t>4m</t>
    <phoneticPr fontId="4"/>
  </si>
  <si>
    <t>腐植土</t>
    <rPh sb="0" eb="3">
      <t>フショクド</t>
    </rPh>
    <phoneticPr fontId="4"/>
  </si>
  <si>
    <t>年明け</t>
    <rPh sb="0" eb="2">
      <t>トシア</t>
    </rPh>
    <phoneticPr fontId="4"/>
  </si>
  <si>
    <t>財団法人 兵庫県住宅建築総合センター</t>
    <phoneticPr fontId="4"/>
  </si>
  <si>
    <t>事11月
倉2021/7/1</t>
    <rPh sb="0" eb="1">
      <t>コト</t>
    </rPh>
    <rPh sb="3" eb="4">
      <t>ガツ</t>
    </rPh>
    <rPh sb="5" eb="6">
      <t>クラ</t>
    </rPh>
    <phoneticPr fontId="4"/>
  </si>
  <si>
    <t>2021/6</t>
    <phoneticPr fontId="4"/>
  </si>
  <si>
    <t>砂混じりｼﾙﾄ(府植物混入)</t>
    <rPh sb="0" eb="1">
      <t>スナ</t>
    </rPh>
    <rPh sb="1" eb="2">
      <t>マ</t>
    </rPh>
    <rPh sb="8" eb="9">
      <t>フ</t>
    </rPh>
    <rPh sb="9" eb="11">
      <t>ショクブツ</t>
    </rPh>
    <rPh sb="11" eb="13">
      <t>コンニュウ</t>
    </rPh>
    <phoneticPr fontId="4"/>
  </si>
  <si>
    <t>DAIGOリサイクルセンター</t>
    <phoneticPr fontId="4"/>
  </si>
  <si>
    <t>大宝柊木 株式会社</t>
    <phoneticPr fontId="4"/>
  </si>
  <si>
    <t>ダイホウヒイラジ カブシキカイシャ</t>
    <phoneticPr fontId="4"/>
  </si>
  <si>
    <t>2021.6～7頃</t>
    <rPh sb="8" eb="9">
      <t>コロ</t>
    </rPh>
    <phoneticPr fontId="4"/>
  </si>
  <si>
    <t>ﾎｸｴﾂ自動車販売㈱修理工</t>
    <rPh sb="4" eb="7">
      <t>ジドウシャ</t>
    </rPh>
    <rPh sb="7" eb="9">
      <t>ハンバイ</t>
    </rPh>
    <rPh sb="10" eb="13">
      <t>シュウリコウ</t>
    </rPh>
    <phoneticPr fontId="4"/>
  </si>
  <si>
    <t>阿部 雅広</t>
    <phoneticPr fontId="4"/>
  </si>
  <si>
    <t>埼玉県さいたま市南区南浦和2-39-2 大雄ビル3階</t>
    <phoneticPr fontId="4"/>
  </si>
  <si>
    <t>m-abe@ast-atelier.biz</t>
    <phoneticPr fontId="4"/>
  </si>
  <si>
    <t>048-813-3800</t>
    <phoneticPr fontId="4"/>
  </si>
  <si>
    <t>財団法人 にいがた住宅センター</t>
    <phoneticPr fontId="4"/>
  </si>
  <si>
    <t>財団法人 にいがた住宅センター</t>
    <phoneticPr fontId="4"/>
  </si>
  <si>
    <t>Ｖdrug清水岡</t>
    <phoneticPr fontId="4"/>
  </si>
  <si>
    <t>宮城野区田子西</t>
    <rPh sb="0" eb="3">
      <t>ミヤギノ</t>
    </rPh>
    <rPh sb="3" eb="4">
      <t>ク</t>
    </rPh>
    <rPh sb="4" eb="6">
      <t>タゴ</t>
    </rPh>
    <rPh sb="6" eb="7">
      <t>ニシ</t>
    </rPh>
    <phoneticPr fontId="4"/>
  </si>
  <si>
    <t>さくら構造 株式会社</t>
    <phoneticPr fontId="4"/>
  </si>
  <si>
    <t>水木 翔平</t>
    <phoneticPr fontId="4"/>
  </si>
  <si>
    <t>050-3390-1085</t>
    <phoneticPr fontId="4"/>
  </si>
  <si>
    <t>mizuki@sakura-kozo.jp</t>
    <phoneticPr fontId="4"/>
  </si>
  <si>
    <t>積水ハウス 株式会社</t>
    <phoneticPr fontId="4"/>
  </si>
  <si>
    <t>上山 博史</t>
    <phoneticPr fontId="4"/>
  </si>
  <si>
    <t>022-222-0025</t>
    <phoneticPr fontId="4"/>
  </si>
  <si>
    <t>宮城県仙台市青葉区本町二丁目16-10</t>
    <rPh sb="0" eb="3">
      <t>ミヤギケン</t>
    </rPh>
    <phoneticPr fontId="4"/>
  </si>
  <si>
    <t>hi-ueyam@wbr.sekisuihouse.co.jp</t>
    <phoneticPr fontId="4"/>
  </si>
  <si>
    <t>着工</t>
    <rPh sb="0" eb="2">
      <t>チャッコウ</t>
    </rPh>
    <phoneticPr fontId="4"/>
  </si>
  <si>
    <t>2022</t>
    <phoneticPr fontId="4"/>
  </si>
  <si>
    <t>秋田市</t>
    <rPh sb="0" eb="3">
      <t>アキタシ</t>
    </rPh>
    <phoneticPr fontId="4"/>
  </si>
  <si>
    <t>八橋新川向</t>
    <rPh sb="0" eb="1">
      <t>ハチ</t>
    </rPh>
    <rPh sb="1" eb="2">
      <t>ハシ</t>
    </rPh>
    <rPh sb="2" eb="4">
      <t>シンカワ</t>
    </rPh>
    <rPh sb="4" eb="5">
      <t>コウ</t>
    </rPh>
    <phoneticPr fontId="4"/>
  </si>
  <si>
    <t>工場・店舗</t>
    <rPh sb="0" eb="2">
      <t>コウジョウ</t>
    </rPh>
    <rPh sb="3" eb="5">
      <t>テンポ</t>
    </rPh>
    <phoneticPr fontId="4"/>
  </si>
  <si>
    <t>3</t>
    <phoneticPr fontId="4"/>
  </si>
  <si>
    <t>アルビス中村</t>
    <rPh sb="4" eb="6">
      <t>ナカムラ</t>
    </rPh>
    <phoneticPr fontId="4"/>
  </si>
  <si>
    <t>chuubu_m@car.ocn.ne.jp</t>
    <phoneticPr fontId="4"/>
  </si>
  <si>
    <t>村上
ﾏｲｱｲﾝ</t>
    <rPh sb="0" eb="2">
      <t>ムラカミ</t>
    </rPh>
    <phoneticPr fontId="4"/>
  </si>
  <si>
    <t>ユイ
ラン</t>
    <phoneticPr fontId="4"/>
  </si>
  <si>
    <t>ユイ
ダット</t>
    <phoneticPr fontId="4"/>
  </si>
  <si>
    <t>財団法人 兵庫県住宅建築総合センター</t>
    <phoneticPr fontId="4"/>
  </si>
  <si>
    <t>オートバックス秋田</t>
    <phoneticPr fontId="4"/>
  </si>
  <si>
    <t>医療法人美之会人工透析診療所</t>
    <phoneticPr fontId="4"/>
  </si>
  <si>
    <t>本申請</t>
    <phoneticPr fontId="4"/>
  </si>
  <si>
    <t>4月</t>
    <rPh sb="1" eb="2">
      <t>ガツ</t>
    </rPh>
    <phoneticPr fontId="4"/>
  </si>
  <si>
    <t>民間検査機構 オーネックス</t>
    <phoneticPr fontId="4"/>
  </si>
  <si>
    <t>株式会社 兵庫確認検査機構</t>
    <phoneticPr fontId="4"/>
  </si>
  <si>
    <t>株式会社 兵庫確認検査機構</t>
    <phoneticPr fontId="4"/>
  </si>
  <si>
    <t>財団法人 にいがた住宅センター</t>
    <phoneticPr fontId="4"/>
  </si>
  <si>
    <t>財団法人 にいがた住宅センター</t>
    <phoneticPr fontId="4"/>
  </si>
  <si>
    <t>UDI確認検査 株式会社</t>
    <phoneticPr fontId="4"/>
  </si>
  <si>
    <t>大阪市</t>
    <phoneticPr fontId="4"/>
  </si>
  <si>
    <t>住吉区長居東</t>
    <rPh sb="0" eb="3">
      <t>スミヨシク</t>
    </rPh>
    <phoneticPr fontId="4"/>
  </si>
  <si>
    <t>Vdrug豊田寿</t>
    <phoneticPr fontId="4"/>
  </si>
  <si>
    <t>Vdrug中川下之一色</t>
    <phoneticPr fontId="4"/>
  </si>
  <si>
    <t>豊田市</t>
    <phoneticPr fontId="4"/>
  </si>
  <si>
    <t>名古屋市</t>
    <phoneticPr fontId="4"/>
  </si>
  <si>
    <t>2021.4</t>
    <phoneticPr fontId="4"/>
  </si>
  <si>
    <t>2021.6</t>
    <phoneticPr fontId="4"/>
  </si>
  <si>
    <t>着工</t>
    <rPh sb="0" eb="2">
      <t>チャッコウ</t>
    </rPh>
    <phoneticPr fontId="4"/>
  </si>
  <si>
    <t>6月下旬着工</t>
    <phoneticPr fontId="4"/>
  </si>
  <si>
    <t>6月下旬着工</t>
    <phoneticPr fontId="4"/>
  </si>
  <si>
    <t>○
高架下振動低減</t>
    <phoneticPr fontId="4"/>
  </si>
  <si>
    <t>○
道路、線路の振動低減</t>
    <phoneticPr fontId="4"/>
  </si>
  <si>
    <t>○
機械下の振動低減</t>
    <phoneticPr fontId="4"/>
  </si>
  <si>
    <t>○
2段(-20℃)
4段(-50℃)</t>
    <rPh sb="3" eb="4">
      <t>ダン</t>
    </rPh>
    <rPh sb="12" eb="13">
      <t>ダン</t>
    </rPh>
    <phoneticPr fontId="4"/>
  </si>
  <si>
    <t>改良無し</t>
    <rPh sb="0" eb="2">
      <t>カイリョウ</t>
    </rPh>
    <rPh sb="2" eb="3">
      <t>ナ</t>
    </rPh>
    <phoneticPr fontId="4"/>
  </si>
  <si>
    <t>ビューローベリタスジャパン 株式会社</t>
    <phoneticPr fontId="4"/>
  </si>
  <si>
    <t>ビューローベリタスジャパン 株式会社</t>
    <phoneticPr fontId="4"/>
  </si>
  <si>
    <t>有限会社 タイム一級建築士事務所</t>
    <phoneticPr fontId="4"/>
  </si>
  <si>
    <t>有限会社 タイム一級建築士事務所</t>
    <phoneticPr fontId="4"/>
  </si>
  <si>
    <t>ユウゲンガイシャ タイムイッキュウケンチクシジムショ</t>
    <phoneticPr fontId="4"/>
  </si>
  <si>
    <t>075-591-8877</t>
    <phoneticPr fontId="4"/>
  </si>
  <si>
    <t>水谷</t>
    <phoneticPr fontId="4"/>
  </si>
  <si>
    <t>time@apua.plala.or.jp , info@time8.jp</t>
    <phoneticPr fontId="4"/>
  </si>
  <si>
    <t>11月
初旬</t>
    <rPh sb="2" eb="3">
      <t>ガツ</t>
    </rPh>
    <rPh sb="4" eb="6">
      <t>ショジュン</t>
    </rPh>
    <phoneticPr fontId="4"/>
  </si>
  <si>
    <t>京都府</t>
    <phoneticPr fontId="4"/>
  </si>
  <si>
    <t>宇治田原町 倉庫</t>
    <phoneticPr fontId="4"/>
  </si>
  <si>
    <t>綴喜郡</t>
    <phoneticPr fontId="4"/>
  </si>
  <si>
    <t>宇治田原町大字立川小字立川</t>
    <phoneticPr fontId="4"/>
  </si>
  <si>
    <t>埼玉県</t>
    <phoneticPr fontId="4"/>
  </si>
  <si>
    <t>川口市</t>
    <phoneticPr fontId="4"/>
  </si>
  <si>
    <t>芝</t>
    <phoneticPr fontId="4"/>
  </si>
  <si>
    <t>宮城野区</t>
    <phoneticPr fontId="4"/>
  </si>
  <si>
    <t>名古屋市</t>
    <rPh sb="0" eb="4">
      <t>ナゴヤシ</t>
    </rPh>
    <phoneticPr fontId="4"/>
  </si>
  <si>
    <t>中村区二瀬町</t>
    <rPh sb="0" eb="3">
      <t>ナカムラク</t>
    </rPh>
    <rPh sb="3" eb="5">
      <t>フタセ</t>
    </rPh>
    <rPh sb="5" eb="6">
      <t>マチ</t>
    </rPh>
    <phoneticPr fontId="4"/>
  </si>
  <si>
    <t>新潟県 柏崎市役所</t>
    <rPh sb="0" eb="3">
      <t>ニイガタケン</t>
    </rPh>
    <rPh sb="4" eb="6">
      <t>カシワザキ</t>
    </rPh>
    <rPh sb="6" eb="9">
      <t>シヤクショ</t>
    </rPh>
    <phoneticPr fontId="4"/>
  </si>
  <si>
    <t>新潟県 柏崎市役所</t>
    <phoneticPr fontId="4"/>
  </si>
  <si>
    <t>株式会社 建築住宅センター</t>
    <phoneticPr fontId="4"/>
  </si>
  <si>
    <t>3</t>
    <phoneticPr fontId="4"/>
  </si>
  <si>
    <t>盛土</t>
    <rPh sb="0" eb="2">
      <t>モリド</t>
    </rPh>
    <phoneticPr fontId="4"/>
  </si>
  <si>
    <t>有機質ｼﾙﾄ</t>
    <rPh sb="0" eb="3">
      <t>ユウキシツ</t>
    </rPh>
    <phoneticPr fontId="4"/>
  </si>
  <si>
    <t>3m</t>
    <phoneticPr fontId="4"/>
  </si>
  <si>
    <t>1m</t>
    <phoneticPr fontId="4"/>
  </si>
  <si>
    <t>-</t>
    <phoneticPr fontId="4"/>
  </si>
  <si>
    <t>埋土</t>
    <rPh sb="0" eb="1">
      <t>ウ</t>
    </rPh>
    <rPh sb="1" eb="2">
      <t>ド</t>
    </rPh>
    <phoneticPr fontId="4"/>
  </si>
  <si>
    <t>1m</t>
    <phoneticPr fontId="4"/>
  </si>
  <si>
    <t>ｼﾙﾄ</t>
    <phoneticPr fontId="4"/>
  </si>
  <si>
    <t>18m</t>
    <phoneticPr fontId="4"/>
  </si>
  <si>
    <t>ｼﾙﾄ</t>
    <phoneticPr fontId="4"/>
  </si>
  <si>
    <t>3m</t>
    <phoneticPr fontId="4"/>
  </si>
  <si>
    <t>粘土質ｼﾙﾄ</t>
    <rPh sb="0" eb="2">
      <t>ネンド</t>
    </rPh>
    <rPh sb="2" eb="3">
      <t>シツ</t>
    </rPh>
    <phoneticPr fontId="4"/>
  </si>
  <si>
    <t>1m</t>
    <phoneticPr fontId="4"/>
  </si>
  <si>
    <t>医療施設</t>
    <rPh sb="0" eb="2">
      <t>イリョウ</t>
    </rPh>
    <rPh sb="2" eb="4">
      <t>シセツ</t>
    </rPh>
    <phoneticPr fontId="4"/>
  </si>
  <si>
    <t>1</t>
    <phoneticPr fontId="4"/>
  </si>
  <si>
    <t>布,独立</t>
    <rPh sb="0" eb="1">
      <t>ヌノ</t>
    </rPh>
    <rPh sb="2" eb="4">
      <t>ドクリツ</t>
    </rPh>
    <phoneticPr fontId="4"/>
  </si>
  <si>
    <t>2m</t>
    <phoneticPr fontId="4"/>
  </si>
  <si>
    <t>14m</t>
    <phoneticPr fontId="4"/>
  </si>
  <si>
    <t>〇0.3m</t>
    <phoneticPr fontId="4"/>
  </si>
  <si>
    <t>12月上旬～中旬</t>
    <rPh sb="2" eb="3">
      <t>ガツ</t>
    </rPh>
    <rPh sb="3" eb="5">
      <t>ジョウジュン</t>
    </rPh>
    <rPh sb="6" eb="8">
      <t>チュウジュン</t>
    </rPh>
    <phoneticPr fontId="4"/>
  </si>
  <si>
    <t>11月上旬 現説</t>
    <rPh sb="2" eb="3">
      <t>ガツ</t>
    </rPh>
    <rPh sb="3" eb="5">
      <t>ジョウジュン</t>
    </rPh>
    <rPh sb="6" eb="8">
      <t>ゲンセツ</t>
    </rPh>
    <phoneticPr fontId="4"/>
  </si>
  <si>
    <t>申請・現説</t>
    <rPh sb="0" eb="2">
      <t>シンセイ</t>
    </rPh>
    <rPh sb="3" eb="5">
      <t>ゲンセツ</t>
    </rPh>
    <phoneticPr fontId="4"/>
  </si>
  <si>
    <t>着工</t>
    <rPh sb="0" eb="2">
      <t>チャッコウ</t>
    </rPh>
    <phoneticPr fontId="4"/>
  </si>
  <si>
    <t>キャニオンスパイス</t>
    <phoneticPr fontId="4"/>
  </si>
  <si>
    <t>石渡</t>
    <rPh sb="0" eb="2">
      <t>イシワタ</t>
    </rPh>
    <phoneticPr fontId="4"/>
  </si>
  <si>
    <t>申請下り次第</t>
    <rPh sb="0" eb="2">
      <t>シンセイ</t>
    </rPh>
    <rPh sb="2" eb="3">
      <t>オ</t>
    </rPh>
    <rPh sb="4" eb="6">
      <t>シダイ</t>
    </rPh>
    <phoneticPr fontId="4"/>
  </si>
  <si>
    <t>T-1</t>
    <phoneticPr fontId="4"/>
  </si>
  <si>
    <t>KT-2</t>
    <phoneticPr fontId="4"/>
  </si>
  <si>
    <t>11月末</t>
    <rPh sb="2" eb="3">
      <t>ガツ</t>
    </rPh>
    <rPh sb="3" eb="4">
      <t>マツ</t>
    </rPh>
    <phoneticPr fontId="4"/>
  </si>
  <si>
    <t>申請</t>
    <phoneticPr fontId="4"/>
  </si>
  <si>
    <t>着工</t>
    <rPh sb="0" eb="2">
      <t>チャッコウ</t>
    </rPh>
    <phoneticPr fontId="4"/>
  </si>
  <si>
    <t>追加資料
待ち</t>
    <rPh sb="0" eb="2">
      <t>ツイカ</t>
    </rPh>
    <rPh sb="2" eb="4">
      <t>シリョウ</t>
    </rPh>
    <rPh sb="5" eb="6">
      <t>マ</t>
    </rPh>
    <phoneticPr fontId="4"/>
  </si>
  <si>
    <t>有限会社 CAS建築事務所</t>
    <rPh sb="0" eb="2">
      <t>ユウゲン</t>
    </rPh>
    <rPh sb="2" eb="4">
      <t>カイシャ</t>
    </rPh>
    <phoneticPr fontId="4"/>
  </si>
  <si>
    <t>有限会社 CAS建築事務所</t>
    <phoneticPr fontId="4"/>
  </si>
  <si>
    <t>ユウゲンガイシャ CASケンチクジムショ</t>
    <phoneticPr fontId="4"/>
  </si>
  <si>
    <t>ビバモール一宮</t>
    <phoneticPr fontId="4"/>
  </si>
  <si>
    <t>日本建設 株式会社</t>
    <phoneticPr fontId="4"/>
  </si>
  <si>
    <t>2月</t>
    <rPh sb="1" eb="2">
      <t>ガツ</t>
    </rPh>
    <phoneticPr fontId="4"/>
  </si>
  <si>
    <t>着工</t>
    <rPh sb="0" eb="2">
      <t>チャッコウ</t>
    </rPh>
    <phoneticPr fontId="4"/>
  </si>
  <si>
    <t>清水区岡町</t>
    <phoneticPr fontId="4"/>
  </si>
  <si>
    <t>清水市</t>
    <rPh sb="0" eb="2">
      <t>シミズ</t>
    </rPh>
    <rPh sb="2" eb="3">
      <t>シ</t>
    </rPh>
    <phoneticPr fontId="4"/>
  </si>
  <si>
    <t>イオンスタイル南栗橋</t>
    <rPh sb="7" eb="8">
      <t>ミナミ</t>
    </rPh>
    <rPh sb="8" eb="10">
      <t>クリハシ</t>
    </rPh>
    <phoneticPr fontId="4"/>
  </si>
  <si>
    <t>株式会社 シーク設計</t>
    <phoneticPr fontId="4"/>
  </si>
  <si>
    <t>佐藤 栄祐</t>
    <phoneticPr fontId="4"/>
  </si>
  <si>
    <t>03-6426-2315</t>
    <phoneticPr fontId="4"/>
  </si>
  <si>
    <t>東京都豊島区南大塚3-39-14　 大塚南ビル４階</t>
    <phoneticPr fontId="4"/>
  </si>
  <si>
    <t>sato@chc-inc.co.jp</t>
    <phoneticPr fontId="4"/>
  </si>
  <si>
    <t xml:space="preserve">   現説</t>
    <rPh sb="3" eb="5">
      <t>ゲンセツ</t>
    </rPh>
    <phoneticPr fontId="4"/>
  </si>
  <si>
    <t>11月中旬 図面完成
11月下旬 申請・現説</t>
    <rPh sb="2" eb="3">
      <t>ガツ</t>
    </rPh>
    <rPh sb="3" eb="5">
      <t>チュウジュン</t>
    </rPh>
    <rPh sb="6" eb="8">
      <t>ズメン</t>
    </rPh>
    <rPh sb="8" eb="10">
      <t>カンセイ</t>
    </rPh>
    <rPh sb="13" eb="14">
      <t>ガツ</t>
    </rPh>
    <rPh sb="14" eb="16">
      <t>ゲジュン</t>
    </rPh>
    <rPh sb="17" eb="19">
      <t>シンセイ</t>
    </rPh>
    <rPh sb="20" eb="22">
      <t>ゲンセツ</t>
    </rPh>
    <phoneticPr fontId="4"/>
  </si>
  <si>
    <t>秋田県</t>
    <rPh sb="0" eb="3">
      <t>アキタケン</t>
    </rPh>
    <phoneticPr fontId="4"/>
  </si>
  <si>
    <t>秋田市</t>
    <rPh sb="0" eb="3">
      <t>アキタシ</t>
    </rPh>
    <phoneticPr fontId="4"/>
  </si>
  <si>
    <t>山王臨海町</t>
    <phoneticPr fontId="4"/>
  </si>
  <si>
    <t>2棟</t>
    <rPh sb="1" eb="2">
      <t>トウ</t>
    </rPh>
    <phoneticPr fontId="4"/>
  </si>
  <si>
    <t>有限会社 原田構造設計室</t>
    <rPh sb="0" eb="2">
      <t>ユウゲン</t>
    </rPh>
    <rPh sb="2" eb="4">
      <t>カイシャ</t>
    </rPh>
    <phoneticPr fontId="4"/>
  </si>
  <si>
    <t>【TNF】</t>
    <phoneticPr fontId="4"/>
  </si>
  <si>
    <t>熊本トヨペット</t>
    <phoneticPr fontId="4"/>
  </si>
  <si>
    <t>株式会社 太宏設計事務所</t>
    <phoneticPr fontId="4"/>
  </si>
  <si>
    <t>株式会社 太宏設計事務所</t>
    <phoneticPr fontId="4"/>
  </si>
  <si>
    <t>カブシキガイシャ タイコウセッケイジムショ</t>
    <phoneticPr fontId="4"/>
  </si>
  <si>
    <t>既存擁壁の上に改良</t>
    <rPh sb="0" eb="2">
      <t>キソン</t>
    </rPh>
    <rPh sb="2" eb="4">
      <t>ヨウヘキ</t>
    </rPh>
    <rPh sb="5" eb="6">
      <t>ウエ</t>
    </rPh>
    <rPh sb="7" eb="9">
      <t>カイリョウ</t>
    </rPh>
    <phoneticPr fontId="4"/>
  </si>
  <si>
    <t>10/26：追加土質試験開始
11末～12初：SSデータ受領</t>
    <phoneticPr fontId="4"/>
  </si>
  <si>
    <t>1月末</t>
    <rPh sb="1" eb="2">
      <t>ガツ</t>
    </rPh>
    <rPh sb="2" eb="3">
      <t>マツ</t>
    </rPh>
    <phoneticPr fontId="4"/>
  </si>
  <si>
    <t>申請</t>
    <rPh sb="0" eb="2">
      <t>シンセイ</t>
    </rPh>
    <phoneticPr fontId="4"/>
  </si>
  <si>
    <t>日本建築検査協会 株式会社</t>
    <phoneticPr fontId="4"/>
  </si>
  <si>
    <t>日本建築検査協会 株式会社</t>
    <phoneticPr fontId="4"/>
  </si>
  <si>
    <t>泉南市</t>
    <rPh sb="0" eb="1">
      <t>イズミ</t>
    </rPh>
    <rPh sb="1" eb="2">
      <t>ミナミ</t>
    </rPh>
    <rPh sb="2" eb="3">
      <t>シ</t>
    </rPh>
    <phoneticPr fontId="4"/>
  </si>
  <si>
    <t>りんくう南浜</t>
    <rPh sb="4" eb="5">
      <t>ミナミ</t>
    </rPh>
    <rPh sb="5" eb="6">
      <t>ハマ</t>
    </rPh>
    <phoneticPr fontId="4"/>
  </si>
  <si>
    <t>〇1m</t>
    <phoneticPr fontId="4"/>
  </si>
  <si>
    <t>ｼﾙﾄ(盛土)</t>
    <rPh sb="4" eb="6">
      <t>モリド</t>
    </rPh>
    <phoneticPr fontId="4"/>
  </si>
  <si>
    <t>1m</t>
    <phoneticPr fontId="4"/>
  </si>
  <si>
    <t>粘土</t>
    <rPh sb="0" eb="2">
      <t>ネンド</t>
    </rPh>
    <phoneticPr fontId="4"/>
  </si>
  <si>
    <t>1m</t>
    <phoneticPr fontId="4"/>
  </si>
  <si>
    <t>-</t>
    <phoneticPr fontId="4"/>
  </si>
  <si>
    <t>よい、とのこと。</t>
    <phoneticPr fontId="18"/>
  </si>
  <si>
    <t>ユイ
ﾏｲｱｲﾝ</t>
    <phoneticPr fontId="4"/>
  </si>
  <si>
    <t>着工</t>
    <rPh sb="0" eb="2">
      <t>チャッコウ</t>
    </rPh>
    <phoneticPr fontId="4"/>
  </si>
  <si>
    <t>盛土</t>
    <rPh sb="0" eb="2">
      <t>モリド</t>
    </rPh>
    <phoneticPr fontId="4"/>
  </si>
  <si>
    <t>ｼﾙﾄ混じり細砂</t>
    <rPh sb="3" eb="4">
      <t>マ</t>
    </rPh>
    <rPh sb="6" eb="7">
      <t>サイ</t>
    </rPh>
    <rPh sb="7" eb="8">
      <t>スナ</t>
    </rPh>
    <phoneticPr fontId="4"/>
  </si>
  <si>
    <t>敷地内高低差あり。腰壁に土圧作用。</t>
    <rPh sb="0" eb="2">
      <t>シキチ</t>
    </rPh>
    <rPh sb="2" eb="3">
      <t>ナイ</t>
    </rPh>
    <rPh sb="3" eb="6">
      <t>コウテイサ</t>
    </rPh>
    <rPh sb="9" eb="11">
      <t>コシカベ</t>
    </rPh>
    <rPh sb="12" eb="14">
      <t>ドアツ</t>
    </rPh>
    <rPh sb="14" eb="16">
      <t>サヨウ</t>
    </rPh>
    <phoneticPr fontId="4"/>
  </si>
  <si>
    <t>コメリPW函館西桔梗</t>
    <phoneticPr fontId="4"/>
  </si>
  <si>
    <t>北海道</t>
    <rPh sb="0" eb="3">
      <t>ホッカイドウ</t>
    </rPh>
    <phoneticPr fontId="4"/>
  </si>
  <si>
    <t>函館市</t>
    <rPh sb="0" eb="3">
      <t>ハコダテシ</t>
    </rPh>
    <phoneticPr fontId="4"/>
  </si>
  <si>
    <t>西桔梗町</t>
    <rPh sb="3" eb="4">
      <t>マチ</t>
    </rPh>
    <phoneticPr fontId="4"/>
  </si>
  <si>
    <t>九州マツダ</t>
    <phoneticPr fontId="4"/>
  </si>
  <si>
    <t>10/16出張報告</t>
    <rPh sb="5" eb="7">
      <t>シュッチョウ</t>
    </rPh>
    <rPh sb="7" eb="9">
      <t>ホウコク</t>
    </rPh>
    <phoneticPr fontId="4"/>
  </si>
  <si>
    <t>福永設計事務所</t>
    <rPh sb="0" eb="2">
      <t>フクナガ</t>
    </rPh>
    <rPh sb="2" eb="4">
      <t>セッケイ</t>
    </rPh>
    <rPh sb="4" eb="6">
      <t>ジム</t>
    </rPh>
    <rPh sb="6" eb="7">
      <t>ショ</t>
    </rPh>
    <phoneticPr fontId="4"/>
  </si>
  <si>
    <t>福永設計事務所</t>
    <phoneticPr fontId="4"/>
  </si>
  <si>
    <t>フクナガセッケイジムショ</t>
    <phoneticPr fontId="4"/>
  </si>
  <si>
    <t>ショールーム・整備棟の2棟</t>
    <phoneticPr fontId="4"/>
  </si>
  <si>
    <t>2021.9</t>
    <phoneticPr fontId="4"/>
  </si>
  <si>
    <t>2022.5</t>
    <phoneticPr fontId="4"/>
  </si>
  <si>
    <t>2021.2～7 実施設計</t>
    <rPh sb="9" eb="11">
      <t>ジッシ</t>
    </rPh>
    <rPh sb="11" eb="13">
      <t>セッケイ</t>
    </rPh>
    <phoneticPr fontId="4"/>
  </si>
  <si>
    <t>2021.2～7 実施設計、2022.5着工</t>
    <rPh sb="9" eb="11">
      <t>ジッシ</t>
    </rPh>
    <rPh sb="11" eb="13">
      <t>セッケイ</t>
    </rPh>
    <rPh sb="20" eb="22">
      <t>チャッコウ</t>
    </rPh>
    <phoneticPr fontId="4"/>
  </si>
  <si>
    <t>締切</t>
    <rPh sb="0" eb="2">
      <t>シメキリ</t>
    </rPh>
    <phoneticPr fontId="4"/>
  </si>
  <si>
    <t>盛土</t>
    <rPh sb="0" eb="2">
      <t>モリド</t>
    </rPh>
    <phoneticPr fontId="4"/>
  </si>
  <si>
    <t>細砂</t>
    <rPh sb="0" eb="1">
      <t>サイ</t>
    </rPh>
    <rPh sb="1" eb="2">
      <t>スナ</t>
    </rPh>
    <phoneticPr fontId="4"/>
  </si>
  <si>
    <t>2m</t>
    <phoneticPr fontId="4"/>
  </si>
  <si>
    <t>砂質ｼﾙﾄ</t>
    <rPh sb="0" eb="1">
      <t>スナ</t>
    </rPh>
    <rPh sb="1" eb="2">
      <t>シツ</t>
    </rPh>
    <phoneticPr fontId="4"/>
  </si>
  <si>
    <t>1m</t>
    <phoneticPr fontId="4"/>
  </si>
  <si>
    <t>-</t>
    <phoneticPr fontId="4"/>
  </si>
  <si>
    <t>-</t>
    <phoneticPr fontId="4"/>
  </si>
  <si>
    <t>以前設計した中部薬品二瀬の隣</t>
    <rPh sb="0" eb="2">
      <t>イゼン</t>
    </rPh>
    <rPh sb="2" eb="4">
      <t>セッケイ</t>
    </rPh>
    <rPh sb="6" eb="8">
      <t>チュウブ</t>
    </rPh>
    <rPh sb="8" eb="10">
      <t>ヤクヒン</t>
    </rPh>
    <rPh sb="10" eb="12">
      <t>フタセ</t>
    </rPh>
    <rPh sb="13" eb="14">
      <t>トナリ</t>
    </rPh>
    <phoneticPr fontId="4"/>
  </si>
  <si>
    <t>11月
中旬</t>
    <rPh sb="2" eb="3">
      <t>ガツ</t>
    </rPh>
    <rPh sb="4" eb="6">
      <t>チュウジュン</t>
    </rPh>
    <phoneticPr fontId="4"/>
  </si>
  <si>
    <t>-</t>
    <phoneticPr fontId="4"/>
  </si>
  <si>
    <t>株式会社 ジェイ・イー・サポート</t>
    <phoneticPr fontId="4"/>
  </si>
  <si>
    <t>株式会社 ジェイ・イー・サポート</t>
    <phoneticPr fontId="4"/>
  </si>
  <si>
    <t>1棟→2棟に変更</t>
    <rPh sb="1" eb="2">
      <t>トウ</t>
    </rPh>
    <rPh sb="4" eb="5">
      <t>トウ</t>
    </rPh>
    <rPh sb="6" eb="8">
      <t>ヘンコウ</t>
    </rPh>
    <phoneticPr fontId="4"/>
  </si>
  <si>
    <t>-</t>
    <phoneticPr fontId="4"/>
  </si>
  <si>
    <t>1m</t>
    <phoneticPr fontId="4"/>
  </si>
  <si>
    <t>火山灰質粘性土</t>
    <rPh sb="0" eb="2">
      <t>カザン</t>
    </rPh>
    <rPh sb="2" eb="3">
      <t>ハイ</t>
    </rPh>
    <rPh sb="3" eb="4">
      <t>シツ</t>
    </rPh>
    <rPh sb="4" eb="7">
      <t>ネンセイド</t>
    </rPh>
    <phoneticPr fontId="4"/>
  </si>
  <si>
    <t>工場</t>
    <rPh sb="0" eb="2">
      <t>コウジョウ</t>
    </rPh>
    <phoneticPr fontId="4"/>
  </si>
  <si>
    <t>3</t>
    <phoneticPr fontId="4"/>
  </si>
  <si>
    <t>桂巻 誠</t>
    <phoneticPr fontId="4"/>
  </si>
  <si>
    <t>06-6354-9938</t>
    <phoneticPr fontId="4"/>
  </si>
  <si>
    <t>cas@poem.ocn.ne.jp</t>
    <phoneticPr fontId="4"/>
  </si>
  <si>
    <t>盛土</t>
    <rPh sb="0" eb="2">
      <t>モリド</t>
    </rPh>
    <phoneticPr fontId="4"/>
  </si>
  <si>
    <t>4m</t>
    <phoneticPr fontId="4"/>
  </si>
  <si>
    <t>ｼﾙﾄ混じり細砂</t>
    <rPh sb="3" eb="4">
      <t>マ</t>
    </rPh>
    <rPh sb="6" eb="7">
      <t>サイ</t>
    </rPh>
    <rPh sb="7" eb="8">
      <t>スナ</t>
    </rPh>
    <phoneticPr fontId="4"/>
  </si>
  <si>
    <t>海に近い</t>
    <rPh sb="0" eb="1">
      <t>ウミ</t>
    </rPh>
    <rPh sb="2" eb="3">
      <t>チカ</t>
    </rPh>
    <phoneticPr fontId="4"/>
  </si>
  <si>
    <t>上旬 資料受領、中旬 設計UP、下旬 見積UP</t>
    <rPh sb="0" eb="2">
      <t>ジョウジュン</t>
    </rPh>
    <rPh sb="3" eb="5">
      <t>シリョウ</t>
    </rPh>
    <rPh sb="5" eb="7">
      <t>ジュリョウ</t>
    </rPh>
    <rPh sb="16" eb="18">
      <t>ゲジュン</t>
    </rPh>
    <rPh sb="19" eb="21">
      <t>ミツモリ</t>
    </rPh>
    <phoneticPr fontId="4"/>
  </si>
  <si>
    <t>株式会社 あい設計</t>
  </si>
  <si>
    <t>T-3</t>
  </si>
  <si>
    <t>T-5</t>
  </si>
  <si>
    <t>T-6</t>
  </si>
  <si>
    <t>T-7</t>
  </si>
  <si>
    <t>T-8</t>
  </si>
  <si>
    <t>　現説</t>
    <rPh sb="1" eb="3">
      <t>ゲンセツ</t>
    </rPh>
    <phoneticPr fontId="4"/>
  </si>
  <si>
    <t>着工</t>
    <rPh sb="0" eb="2">
      <t>チャッコウ</t>
    </rPh>
    <phoneticPr fontId="4"/>
  </si>
  <si>
    <t>申請</t>
    <rPh sb="0" eb="2">
      <t>シンセイ</t>
    </rPh>
    <phoneticPr fontId="4"/>
  </si>
  <si>
    <t>タウンプラザかねひで名護</t>
    <phoneticPr fontId="4"/>
  </si>
  <si>
    <t>沖縄県</t>
    <rPh sb="0" eb="3">
      <t>オキナワケン</t>
    </rPh>
    <phoneticPr fontId="4"/>
  </si>
  <si>
    <t>前田商事 有限会社</t>
    <rPh sb="0" eb="2">
      <t>マエダ</t>
    </rPh>
    <rPh sb="2" eb="4">
      <t>ショウジ</t>
    </rPh>
    <rPh sb="5" eb="7">
      <t>ユウゲン</t>
    </rPh>
    <rPh sb="7" eb="9">
      <t>カイシャ</t>
    </rPh>
    <phoneticPr fontId="4"/>
  </si>
  <si>
    <t>12月構造設計着手</t>
    <phoneticPr fontId="4"/>
  </si>
  <si>
    <t>1月初旬</t>
    <phoneticPr fontId="4"/>
  </si>
  <si>
    <t>8月</t>
    <phoneticPr fontId="4"/>
  </si>
  <si>
    <t>8月着工</t>
    <phoneticPr fontId="4"/>
  </si>
  <si>
    <t>申請</t>
    <rPh sb="0" eb="2">
      <t>シンセイ</t>
    </rPh>
    <phoneticPr fontId="4"/>
  </si>
  <si>
    <t>-</t>
    <phoneticPr fontId="4"/>
  </si>
  <si>
    <t>-</t>
    <phoneticPr fontId="4"/>
  </si>
  <si>
    <t>株式会社 新潟建築確認検査機構</t>
    <phoneticPr fontId="4"/>
  </si>
  <si>
    <t>株式会社 新潟建築確認検査機構</t>
    <phoneticPr fontId="4"/>
  </si>
  <si>
    <t>沖田建築設計事務所</t>
    <phoneticPr fontId="4"/>
  </si>
  <si>
    <t>沖田建築設計事務所</t>
    <phoneticPr fontId="4"/>
  </si>
  <si>
    <t>オキタケンチクセッケイジムショ</t>
    <phoneticPr fontId="4"/>
  </si>
  <si>
    <t>0475-71-2803</t>
    <phoneticPr fontId="4"/>
  </si>
  <si>
    <t>沖田 康治</t>
    <phoneticPr fontId="4"/>
  </si>
  <si>
    <t>千葉県東金市東上宿18-3　アインズコートサンテラス東金106</t>
    <phoneticPr fontId="4"/>
  </si>
  <si>
    <t>y.y.y.okita@e.gmobb.jp</t>
    <phoneticPr fontId="4"/>
  </si>
  <si>
    <t>1月</t>
    <rPh sb="1" eb="2">
      <t>ガツ</t>
    </rPh>
    <phoneticPr fontId="4"/>
  </si>
  <si>
    <t>着工</t>
    <rPh sb="0" eb="2">
      <t>チャッコウ</t>
    </rPh>
    <phoneticPr fontId="4"/>
  </si>
  <si>
    <t>吉野 麻子</t>
    <phoneticPr fontId="4"/>
  </si>
  <si>
    <t>広島県安芸高田市向原町坂154-1</t>
    <phoneticPr fontId="4"/>
  </si>
  <si>
    <t>0826-46-3560</t>
    <phoneticPr fontId="4"/>
  </si>
  <si>
    <t>a-yoshino@yoshino-sekkei.co.jp</t>
    <phoneticPr fontId="4"/>
  </si>
  <si>
    <t>株式会社 吉野設計</t>
    <phoneticPr fontId="4"/>
  </si>
  <si>
    <t>株式会社 吉野設計</t>
    <phoneticPr fontId="4"/>
  </si>
  <si>
    <t>株式会社 トーセン</t>
    <phoneticPr fontId="4"/>
  </si>
  <si>
    <t>株式会社 トーセン</t>
    <phoneticPr fontId="4"/>
  </si>
  <si>
    <t>カブシキガイシャ トーセン</t>
    <phoneticPr fontId="4"/>
  </si>
  <si>
    <t>カブシキガイシャ ヨシノセッケイ</t>
    <phoneticPr fontId="4"/>
  </si>
  <si>
    <t>前田商事 有限会社</t>
    <phoneticPr fontId="4"/>
  </si>
  <si>
    <t>大田</t>
    <rPh sb="0" eb="2">
      <t>オオタ</t>
    </rPh>
    <phoneticPr fontId="4"/>
  </si>
  <si>
    <t>T-9</t>
  </si>
  <si>
    <t>伊勢化学工業</t>
    <phoneticPr fontId="4"/>
  </si>
  <si>
    <t>千葉県</t>
    <phoneticPr fontId="4"/>
  </si>
  <si>
    <t>長生郡</t>
    <rPh sb="0" eb="2">
      <t>ナガオ</t>
    </rPh>
    <rPh sb="2" eb="3">
      <t>グン</t>
    </rPh>
    <phoneticPr fontId="4"/>
  </si>
  <si>
    <t>○
8,10m</t>
    <phoneticPr fontId="4"/>
  </si>
  <si>
    <t>徳島県</t>
    <phoneticPr fontId="4"/>
  </si>
  <si>
    <t>板野郡</t>
    <phoneticPr fontId="4"/>
  </si>
  <si>
    <t>上板町下六條</t>
    <phoneticPr fontId="4"/>
  </si>
  <si>
    <t>株式会社 エストルクトゥーラ</t>
    <rPh sb="0" eb="2">
      <t>カブシキ</t>
    </rPh>
    <rPh sb="2" eb="4">
      <t>カイシャ</t>
    </rPh>
    <phoneticPr fontId="4"/>
  </si>
  <si>
    <t>11/5 現説</t>
    <rPh sb="5" eb="7">
      <t>ゲンセツ</t>
    </rPh>
    <phoneticPr fontId="4"/>
  </si>
  <si>
    <t>イチケンが受注</t>
    <rPh sb="5" eb="7">
      <t>ジュチュウ</t>
    </rPh>
    <phoneticPr fontId="4"/>
  </si>
  <si>
    <t>着工</t>
    <rPh sb="0" eb="2">
      <t>チャッコウ</t>
    </rPh>
    <phoneticPr fontId="4"/>
  </si>
  <si>
    <t>2021.10末</t>
    <rPh sb="7" eb="8">
      <t>マツ</t>
    </rPh>
    <phoneticPr fontId="4"/>
  </si>
  <si>
    <t>ハウスプラス確認検査 株式会社</t>
    <phoneticPr fontId="4"/>
  </si>
  <si>
    <t>ユイ
フィ</t>
    <phoneticPr fontId="4"/>
  </si>
  <si>
    <t>3</t>
    <phoneticPr fontId="4"/>
  </si>
  <si>
    <t>盛土</t>
    <rPh sb="0" eb="2">
      <t>モリド</t>
    </rPh>
    <phoneticPr fontId="4"/>
  </si>
  <si>
    <t>粘土</t>
    <rPh sb="0" eb="2">
      <t>ネンド</t>
    </rPh>
    <phoneticPr fontId="4"/>
  </si>
  <si>
    <t>ラックあり。既存擁壁近接。</t>
    <rPh sb="6" eb="8">
      <t>キソン</t>
    </rPh>
    <rPh sb="8" eb="10">
      <t>ヨウヘキ</t>
    </rPh>
    <rPh sb="10" eb="12">
      <t>キンセツ</t>
    </rPh>
    <phoneticPr fontId="4"/>
  </si>
  <si>
    <t>2棟</t>
    <rPh sb="1" eb="2">
      <t>トウ</t>
    </rPh>
    <phoneticPr fontId="4"/>
  </si>
  <si>
    <t>10月末</t>
    <rPh sb="2" eb="3">
      <t>ガツ</t>
    </rPh>
    <rPh sb="3" eb="4">
      <t>マツ</t>
    </rPh>
    <phoneticPr fontId="4"/>
  </si>
  <si>
    <t>ユーイック UHEC 株式会社 都市居住評価センター</t>
    <phoneticPr fontId="4"/>
  </si>
  <si>
    <t>T-10</t>
  </si>
  <si>
    <t>締切</t>
    <rPh sb="0" eb="2">
      <t>シメキリ</t>
    </rPh>
    <phoneticPr fontId="4"/>
  </si>
  <si>
    <t>11/13
現説</t>
    <rPh sb="6" eb="8">
      <t>ゲンセツ</t>
    </rPh>
    <phoneticPr fontId="4"/>
  </si>
  <si>
    <t>ユイ
ダット</t>
    <phoneticPr fontId="4"/>
  </si>
  <si>
    <t>ユイ
フィ</t>
    <phoneticPr fontId="4"/>
  </si>
  <si>
    <t>株式会社 アーバン建築確認検査機関</t>
    <phoneticPr fontId="4"/>
  </si>
  <si>
    <t>株式会社 仙台都市整備センター</t>
    <phoneticPr fontId="4"/>
  </si>
  <si>
    <t>　着工</t>
    <rPh sb="1" eb="3">
      <t>チャッコウ</t>
    </rPh>
    <phoneticPr fontId="4"/>
  </si>
  <si>
    <t>日本酪農協同(株)徳島工場</t>
    <phoneticPr fontId="4"/>
  </si>
  <si>
    <t>-</t>
    <phoneticPr fontId="4"/>
  </si>
  <si>
    <t>-</t>
    <phoneticPr fontId="4"/>
  </si>
  <si>
    <t>○
4m</t>
    <phoneticPr fontId="4"/>
  </si>
  <si>
    <t>盛土</t>
    <rPh sb="0" eb="2">
      <t>モリド</t>
    </rPh>
    <phoneticPr fontId="4"/>
  </si>
  <si>
    <t>有機質ｼﾙﾄ</t>
    <rPh sb="0" eb="3">
      <t>ユウキシツ</t>
    </rPh>
    <phoneticPr fontId="4"/>
  </si>
  <si>
    <t>3m</t>
    <phoneticPr fontId="4"/>
  </si>
  <si>
    <t>2m</t>
    <phoneticPr fontId="4"/>
  </si>
  <si>
    <t>ｼﾙﾄ</t>
    <phoneticPr fontId="4"/>
  </si>
  <si>
    <t>ｼﾙﾄ質砂</t>
    <rPh sb="3" eb="4">
      <t>シツ</t>
    </rPh>
    <rPh sb="4" eb="5">
      <t>スナ</t>
    </rPh>
    <phoneticPr fontId="4"/>
  </si>
  <si>
    <t>11月
下旬</t>
    <phoneticPr fontId="4"/>
  </si>
  <si>
    <t>申請</t>
    <rPh sb="0" eb="2">
      <t>シンセイ</t>
    </rPh>
    <phoneticPr fontId="4"/>
  </si>
  <si>
    <t>見積図</t>
    <rPh sb="0" eb="2">
      <t>ミツモリ</t>
    </rPh>
    <rPh sb="2" eb="3">
      <t>ズ</t>
    </rPh>
    <phoneticPr fontId="4"/>
  </si>
  <si>
    <t>KT-1</t>
    <phoneticPr fontId="4"/>
  </si>
  <si>
    <t>KT-3</t>
    <phoneticPr fontId="4"/>
  </si>
  <si>
    <t xml:space="preserve"> 申請</t>
    <rPh sb="1" eb="3">
      <t>シンセイ</t>
    </rPh>
    <phoneticPr fontId="4"/>
  </si>
  <si>
    <t>T-2</t>
  </si>
  <si>
    <t xml:space="preserve">   図面</t>
    <rPh sb="3" eb="5">
      <t>ズメン</t>
    </rPh>
    <phoneticPr fontId="4"/>
  </si>
  <si>
    <t>11月
初旬</t>
    <rPh sb="4" eb="6">
      <t>ショジュン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</si>
</sst>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164" formatCode="#,##0_ "/>
    <numFmt numFmtId="165" formatCode="0.0_ "/>
    <numFmt numFmtId="166" formatCode="#,##0_);[Red]\(#,##0\)"/>
    <numFmt numFmtId="167" formatCode="0_ "/>
    <numFmt numFmtId="168" formatCode="0_);[Red]\(0\)"/>
    <numFmt numFmtId="169" formatCode="0.00_ "/>
    <numFmt numFmtId="170" formatCode="m/d;@"/>
    <numFmt numFmtId="171" formatCode="0.0_);[Red]\(0.0\)"/>
    <numFmt numFmtId="172" formatCode="&quot;GL-&quot;0.0&quot;m&quot;"/>
    <numFmt numFmtId="173" formatCode="0.0&quot;m&quot;"/>
    <numFmt numFmtId="174" formatCode="0.00_);[Red]\(0.00\)"/>
    <numFmt numFmtId="175" formatCode="yyyy/m"/>
    <numFmt numFmtId="176" formatCode="m/d"/>
    <numFmt numFmtId="177" formatCode="0.0"/>
    <numFmt numFmtId="178" formatCode="mm/dd"/>
  </numFmts>
  <fonts count="56">
    <font>
      <sz val="11"/>
      <name val="ＭＳ Ｐゴシック"/>
      <family val="3"/>
      <charset val="128"/>
    </font>
    <font>
      <sz val="11"/>
      <color theme="1"/>
      <name val="Calibri"/>
      <family val="2"/>
      <charset val="128"/>
      <scheme val="minor"/>
    </font>
    <font>
      <sz val="11"/>
      <color theme="1"/>
      <name val="ＭＳ 明朝"/>
      <family val="2"/>
      <charset val="128"/>
    </font>
    <font>
      <sz val="14"/>
      <name val="ＭＳ Ｐゴシック"/>
      <family val="3"/>
      <charset val="128"/>
    </font>
    <font>
      <sz val="6"/>
      <name val="ＭＳ Ｐゴシック"/>
      <family val="3"/>
      <charset val="128"/>
    </font>
    <font>
      <sz val="11"/>
      <name val="ＭＳ 明朝"/>
      <family val="1"/>
      <charset val="128"/>
    </font>
    <font>
      <sz val="12"/>
      <name val="ＭＳ 明朝"/>
      <family val="1"/>
      <charset val="128"/>
    </font>
    <font>
      <b/>
      <sz val="16"/>
      <color indexed="81"/>
      <name val="ＭＳ Ｐゴシック"/>
      <family val="3"/>
      <charset val="128"/>
    </font>
    <font>
      <sz val="24"/>
      <name val="ＭＳ ゴシック"/>
      <family val="3"/>
      <charset val="128"/>
    </font>
    <font>
      <sz val="20"/>
      <name val="ＭＳ ゴシック"/>
      <family val="3"/>
      <charset val="128"/>
    </font>
    <font>
      <sz val="18"/>
      <name val="ＭＳ ゴシック"/>
      <family val="3"/>
      <charset val="128"/>
    </font>
    <font>
      <b/>
      <sz val="16"/>
      <name val="ＭＳ ゴシック"/>
      <family val="3"/>
      <charset val="128"/>
    </font>
    <font>
      <b/>
      <sz val="18"/>
      <name val="ＭＳ ゴシック"/>
      <family val="3"/>
      <charset val="128"/>
    </font>
    <font>
      <b/>
      <sz val="14"/>
      <name val="ＭＳ ゴシック"/>
      <family val="3"/>
      <charset val="128"/>
    </font>
    <font>
      <b/>
      <sz val="20"/>
      <name val="ＭＳ ゴシック"/>
      <family val="3"/>
      <charset val="128"/>
    </font>
    <font>
      <sz val="6"/>
      <name val="ＭＳ 明朝"/>
      <family val="1"/>
      <charset val="128"/>
    </font>
    <font>
      <sz val="6"/>
      <name val="ＭＳ Ｐゴシック"/>
      <family val="3"/>
      <charset val="128"/>
    </font>
    <font>
      <sz val="6"/>
      <name val="ＭＳ Ｐゴシック"/>
      <family val="3"/>
      <charset val="128"/>
    </font>
    <font>
      <sz val="14"/>
      <name val="ＭＳ 明朝"/>
      <family val="1"/>
      <charset val="128"/>
    </font>
    <font>
      <b/>
      <sz val="26"/>
      <color indexed="81"/>
      <name val="MS P ゴシック"/>
      <family val="3"/>
      <charset val="128"/>
    </font>
    <font>
      <b/>
      <sz val="11"/>
      <color indexed="81"/>
      <name val="MS P ゴシック"/>
      <family val="3"/>
      <charset val="128"/>
    </font>
    <font>
      <sz val="11"/>
      <color indexed="8"/>
      <name val="ＭＳ 明朝"/>
      <family val="1"/>
      <charset val="128"/>
    </font>
    <font>
      <sz val="11"/>
      <color theme="1"/>
      <name val="ＭＳ Ｐゴシック"/>
      <family val="3"/>
      <charset val="128"/>
    </font>
    <font>
      <u/>
      <sz val="11"/>
      <color theme="10"/>
      <name val="ＭＳ Ｐゴシック"/>
      <family val="3"/>
      <charset val="128"/>
    </font>
    <font>
      <sz val="11"/>
      <color rgb="FFFF0000"/>
      <name val="ＭＳ Ｐゴシック"/>
      <family val="3"/>
      <charset val="128"/>
    </font>
    <font>
      <sz val="6"/>
      <name val="ＭＳ 明朝"/>
      <family val="2"/>
      <charset val="128"/>
    </font>
    <font>
      <b/>
      <sz val="11"/>
      <name val="ＭＳ 明朝"/>
      <family val="1"/>
      <charset val="128"/>
    </font>
    <font>
      <sz val="11"/>
      <name val="ＭＳ Ｐ明朝"/>
      <family val="1"/>
      <charset val="128"/>
    </font>
    <font>
      <b/>
      <sz val="20"/>
      <color indexed="81"/>
      <name val="MS P ゴシック"/>
      <family val="3"/>
      <charset val="128"/>
    </font>
    <font>
      <b/>
      <sz val="20"/>
      <color indexed="49"/>
      <name val="MS P ゴシック"/>
      <family val="3"/>
      <charset val="128"/>
    </font>
    <font>
      <b/>
      <sz val="20"/>
      <color indexed="13"/>
      <name val="MS P ゴシック"/>
      <family val="3"/>
      <charset val="128"/>
    </font>
    <font>
      <b/>
      <sz val="16"/>
      <color indexed="81"/>
      <name val="MS P ゴシック"/>
      <family val="3"/>
      <charset val="128"/>
    </font>
    <font>
      <sz val="16"/>
      <color indexed="81"/>
      <name val="MS P ゴシック"/>
      <family val="3"/>
      <charset val="128"/>
    </font>
    <font>
      <b/>
      <sz val="12"/>
      <color indexed="81"/>
      <name val="MS P ゴシック"/>
      <family val="3"/>
      <charset val="128"/>
    </font>
    <font>
      <sz val="12"/>
      <name val="ＭＳ Ｐ明朝"/>
      <family val="1"/>
      <charset val="128"/>
    </font>
    <font>
      <sz val="11"/>
      <color indexed="8"/>
      <name val="ＭＳ Ｐ明朝"/>
      <family val="1"/>
      <charset val="128"/>
    </font>
    <font>
      <sz val="12"/>
      <color indexed="8"/>
      <name val="ＭＳ Ｐ明朝"/>
      <family val="1"/>
      <charset val="128"/>
    </font>
    <font>
      <sz val="14"/>
      <name val="ＭＳ Ｐ明朝"/>
      <family val="1"/>
      <charset val="128"/>
    </font>
    <font>
      <sz val="11"/>
      <color rgb="FFFF0000"/>
      <name val="ＭＳ 明朝"/>
      <family val="1"/>
      <charset val="128"/>
    </font>
    <font>
      <sz val="10.5"/>
      <name val="ＭＳ Ｐ明朝"/>
      <family val="1"/>
      <charset val="128"/>
    </font>
    <font>
      <sz val="11"/>
      <color indexed="10"/>
      <name val="ＭＳ Ｐ明朝"/>
      <family val="1"/>
      <charset val="128"/>
    </font>
    <font>
      <u/>
      <sz val="11"/>
      <color theme="10"/>
      <name val="ＭＳ Ｐ明朝"/>
      <family val="1"/>
      <charset val="128"/>
    </font>
    <font>
      <sz val="6"/>
      <name val="ＭＳ Ｐ明朝"/>
      <family val="1"/>
      <charset val="128"/>
    </font>
    <font>
      <sz val="9"/>
      <name val="ＭＳ Ｐ明朝"/>
      <family val="1"/>
      <charset val="128"/>
    </font>
    <font>
      <b/>
      <sz val="18"/>
      <color theme="0"/>
      <name val="ＭＳ Ｐ明朝"/>
      <family val="1"/>
      <charset val="128"/>
    </font>
    <font>
      <sz val="11"/>
      <color rgb="FF00B0F0"/>
      <name val="ＭＳ 明朝"/>
      <family val="1"/>
      <charset val="128"/>
    </font>
    <font>
      <sz val="9"/>
      <color indexed="81"/>
      <name val="MS P ゴシック"/>
      <family val="3"/>
      <charset val="128"/>
    </font>
    <font>
      <b/>
      <sz val="9"/>
      <color indexed="81"/>
      <name val="MS P ゴシック"/>
      <family val="3"/>
      <charset val="128"/>
    </font>
    <font>
      <b/>
      <sz val="14"/>
      <name val="ＭＳ 明朝"/>
      <family val="1"/>
      <charset val="128"/>
    </font>
    <font>
      <b/>
      <sz val="12"/>
      <name val="ＭＳ 明朝"/>
      <family val="1"/>
      <charset val="128"/>
    </font>
    <font>
      <b/>
      <sz val="11"/>
      <color rgb="FFFF0000"/>
      <name val="ＭＳ 明朝"/>
      <family val="1"/>
      <charset val="128"/>
    </font>
    <font>
      <b/>
      <sz val="20"/>
      <name val="ＭＳ 明朝"/>
      <family val="1"/>
      <charset val="128"/>
    </font>
    <font>
      <b/>
      <sz val="14"/>
      <color rgb="FFFF0000"/>
      <name val="ＭＳ ゴシック"/>
      <family val="3"/>
      <charset val="128"/>
    </font>
    <font>
      <b/>
      <sz val="16"/>
      <color rgb="FFFF0000"/>
      <name val="ＭＳ ゴシック"/>
      <family val="3"/>
      <charset val="128"/>
    </font>
    <font>
      <b/>
      <sz val="20"/>
      <color rgb="FFFF0000"/>
      <name val="ＭＳ ゴシック"/>
      <family val="3"/>
      <charset val="128"/>
    </font>
    <font>
      <b/>
      <sz val="18"/>
      <color rgb="FFFF0000"/>
      <name val="ＭＳ ゴシック"/>
      <family val="3"/>
      <charset val="128"/>
    </font>
  </fonts>
  <fills count="33">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3"/>
        <bgColor indexed="64"/>
      </patternFill>
    </fill>
    <fill>
      <patternFill patternType="solid">
        <fgColor indexed="44"/>
        <bgColor indexed="64"/>
      </patternFill>
    </fill>
    <fill>
      <patternFill patternType="solid">
        <fgColor indexed="23"/>
        <bgColor indexed="64"/>
      </patternFill>
    </fill>
    <fill>
      <patternFill patternType="solid">
        <fgColor indexed="9"/>
        <bgColor indexed="64"/>
      </patternFill>
    </fill>
    <fill>
      <patternFill patternType="solid">
        <fgColor indexed="8"/>
        <bgColor indexed="64"/>
      </patternFill>
    </fill>
    <fill>
      <patternFill patternType="solid">
        <fgColor indexed="26"/>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F99"/>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99CCFF"/>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rgb="FFCCECFF"/>
        <bgColor indexed="64"/>
      </patternFill>
    </fill>
    <fill>
      <patternFill patternType="solid">
        <fgColor rgb="FF66CCFF"/>
        <bgColor indexed="64"/>
      </patternFill>
    </fill>
    <fill>
      <patternFill patternType="solid">
        <fgColor rgb="FF00B050"/>
        <bgColor indexed="64"/>
      </patternFill>
    </fill>
    <fill>
      <patternFill patternType="solid">
        <fgColor rgb="FFFFC0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FF99"/>
        <bgColor indexed="64"/>
      </patternFill>
    </fill>
    <fill>
      <patternFill patternType="solid">
        <fgColor theme="8"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39997558519241921"/>
        <bgColor indexed="64"/>
      </patternFill>
    </fill>
  </fills>
  <borders count="35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8"/>
      </left>
      <right style="thin">
        <color indexed="8"/>
      </right>
      <top style="thin">
        <color indexed="8"/>
      </top>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style="hair">
        <color indexed="64"/>
      </bottom>
      <diagonal/>
    </border>
    <border>
      <left style="thin">
        <color indexed="64"/>
      </left>
      <right/>
      <top/>
      <bottom style="thin">
        <color indexed="64"/>
      </bottom>
      <diagonal/>
    </border>
    <border>
      <left style="thick">
        <color indexed="64"/>
      </left>
      <right style="thick">
        <color indexed="64"/>
      </right>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diagonal/>
    </border>
    <border>
      <left style="thick">
        <color indexed="64"/>
      </left>
      <right style="thick">
        <color indexed="64"/>
      </right>
      <top style="thin">
        <color indexed="64"/>
      </top>
      <bottom style="hair">
        <color indexed="64"/>
      </bottom>
      <diagonal/>
    </border>
    <border>
      <left style="thick">
        <color indexed="64"/>
      </left>
      <right style="thick">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ck">
        <color indexed="64"/>
      </left>
      <right/>
      <top style="thin">
        <color indexed="64"/>
      </top>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thin">
        <color indexed="64"/>
      </right>
      <top/>
      <bottom/>
      <diagonal/>
    </border>
    <border>
      <left style="hair">
        <color indexed="64"/>
      </left>
      <right style="hair">
        <color indexed="64"/>
      </right>
      <top style="hair">
        <color indexed="64"/>
      </top>
      <bottom style="thick">
        <color indexed="64"/>
      </bottom>
      <diagonal/>
    </border>
    <border>
      <left style="hair">
        <color indexed="64"/>
      </left>
      <right style="thick">
        <color indexed="64"/>
      </right>
      <top style="hair">
        <color indexed="64"/>
      </top>
      <bottom style="thick">
        <color indexed="64"/>
      </bottom>
      <diagonal/>
    </border>
    <border>
      <left style="thick">
        <color indexed="64"/>
      </left>
      <right style="hair">
        <color indexed="64"/>
      </right>
      <top style="hair">
        <color indexed="64"/>
      </top>
      <bottom style="thick">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thin">
        <color indexed="64"/>
      </right>
      <top style="thin">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diagonal/>
    </border>
    <border>
      <left style="thin">
        <color indexed="64"/>
      </left>
      <right style="thin">
        <color indexed="64"/>
      </right>
      <top style="thick">
        <color indexed="64"/>
      </top>
      <bottom style="hair">
        <color indexed="64"/>
      </bottom>
      <diagonal/>
    </border>
    <border>
      <left style="thin">
        <color indexed="64"/>
      </left>
      <right/>
      <top style="thick">
        <color indexed="64"/>
      </top>
      <bottom style="hair">
        <color indexed="64"/>
      </bottom>
      <diagonal/>
    </border>
    <border>
      <left/>
      <right/>
      <top style="hair">
        <color indexed="64"/>
      </top>
      <bottom style="thick">
        <color indexed="64"/>
      </bottom>
      <diagonal/>
    </border>
    <border>
      <left style="thin">
        <color indexed="64"/>
      </left>
      <right/>
      <top style="hair">
        <color indexed="64"/>
      </top>
      <bottom style="thin">
        <color indexed="64"/>
      </bottom>
      <diagonal/>
    </border>
    <border>
      <left style="thin">
        <color indexed="64"/>
      </left>
      <right style="thin">
        <color indexed="64"/>
      </right>
      <top style="thick">
        <color indexed="64"/>
      </top>
      <bottom/>
      <diagonal/>
    </border>
    <border>
      <left/>
      <right/>
      <top/>
      <bottom style="hair">
        <color indexed="64"/>
      </bottom>
      <diagonal/>
    </border>
    <border>
      <left/>
      <right/>
      <top style="hair">
        <color indexed="64"/>
      </top>
      <bottom/>
      <diagonal/>
    </border>
    <border>
      <left/>
      <right/>
      <top/>
      <bottom style="thick">
        <color indexed="64"/>
      </bottom>
      <diagonal/>
    </border>
    <border>
      <left/>
      <right/>
      <top style="thick">
        <color indexed="64"/>
      </top>
      <bottom style="thin">
        <color indexed="64"/>
      </bottom>
      <diagonal/>
    </border>
    <border>
      <left/>
      <right/>
      <top style="thin">
        <color indexed="64"/>
      </top>
      <bottom style="thick">
        <color indexed="64"/>
      </bottom>
      <diagonal/>
    </border>
    <border>
      <left/>
      <right style="thick">
        <color indexed="64"/>
      </right>
      <top style="thick">
        <color indexed="64"/>
      </top>
      <bottom style="thick">
        <color indexed="64"/>
      </bottom>
      <diagonal/>
    </border>
    <border>
      <left/>
      <right style="hair">
        <color indexed="64"/>
      </right>
      <top style="thick">
        <color indexed="64"/>
      </top>
      <bottom style="thick">
        <color indexed="64"/>
      </bottom>
      <diagonal/>
    </border>
    <border>
      <left style="hair">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hair">
        <color indexed="64"/>
      </left>
      <right/>
      <top style="hair">
        <color indexed="64"/>
      </top>
      <bottom style="medium">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thin">
        <color indexed="64"/>
      </bottom>
      <diagonal/>
    </border>
    <border>
      <left/>
      <right style="thin">
        <color indexed="64"/>
      </right>
      <top/>
      <bottom style="thin">
        <color indexed="64"/>
      </bottom>
      <diagonal/>
    </border>
    <border>
      <left/>
      <right style="thin">
        <color indexed="64"/>
      </right>
      <top style="hair">
        <color indexed="64"/>
      </top>
      <bottom style="hair">
        <color indexed="64"/>
      </bottom>
      <diagonal/>
    </border>
    <border>
      <left/>
      <right style="thin">
        <color indexed="64"/>
      </right>
      <top style="thin">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right style="thin">
        <color indexed="64"/>
      </right>
      <top style="thick">
        <color indexed="64"/>
      </top>
      <bottom style="thin">
        <color indexed="64"/>
      </bottom>
      <diagonal/>
    </border>
    <border>
      <left style="hair">
        <color indexed="64"/>
      </left>
      <right style="thick">
        <color indexed="64"/>
      </right>
      <top style="hair">
        <color indexed="64"/>
      </top>
      <bottom/>
      <diagonal/>
    </border>
    <border>
      <left style="thick">
        <color indexed="64"/>
      </left>
      <right style="hair">
        <color indexed="64"/>
      </right>
      <top style="hair">
        <color indexed="64"/>
      </top>
      <bottom/>
      <diagonal/>
    </border>
    <border>
      <left/>
      <right style="thin">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dashed">
        <color indexed="10"/>
      </right>
      <top style="thin">
        <color indexed="64"/>
      </top>
      <bottom style="medium">
        <color indexed="64"/>
      </bottom>
      <diagonal/>
    </border>
    <border>
      <left/>
      <right/>
      <top style="thin">
        <color indexed="64"/>
      </top>
      <bottom style="medium">
        <color indexed="64"/>
      </bottom>
      <diagonal/>
    </border>
    <border>
      <left style="dashed">
        <color indexed="10"/>
      </left>
      <right/>
      <top style="thin">
        <color indexed="64"/>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style="hair">
        <color indexed="64"/>
      </left>
      <right/>
      <top style="medium">
        <color indexed="64"/>
      </top>
      <bottom style="hair">
        <color indexed="64"/>
      </bottom>
      <diagonal/>
    </border>
    <border>
      <left/>
      <right style="dashed">
        <color indexed="10"/>
      </right>
      <top style="medium">
        <color indexed="64"/>
      </top>
      <bottom style="hair">
        <color indexed="64"/>
      </bottom>
      <diagonal/>
    </border>
    <border>
      <left style="dashed">
        <color indexed="10"/>
      </left>
      <right/>
      <top style="medium">
        <color indexed="64"/>
      </top>
      <bottom style="hair">
        <color indexed="64"/>
      </bottom>
      <diagonal/>
    </border>
    <border>
      <left/>
      <right style="dashed">
        <color indexed="10"/>
      </right>
      <top style="hair">
        <color indexed="64"/>
      </top>
      <bottom style="hair">
        <color indexed="64"/>
      </bottom>
      <diagonal/>
    </border>
    <border>
      <left style="dashed">
        <color indexed="10"/>
      </left>
      <right/>
      <top style="hair">
        <color indexed="64"/>
      </top>
      <bottom style="hair">
        <color indexed="64"/>
      </bottom>
      <diagonal/>
    </border>
    <border>
      <left style="thin">
        <color indexed="64"/>
      </left>
      <right/>
      <top style="hair">
        <color indexed="64"/>
      </top>
      <bottom style="medium">
        <color indexed="64"/>
      </bottom>
      <diagonal/>
    </border>
    <border>
      <left/>
      <right/>
      <top style="hair">
        <color indexed="64"/>
      </top>
      <bottom style="medium">
        <color indexed="64"/>
      </bottom>
      <diagonal/>
    </border>
    <border>
      <left/>
      <right style="dashed">
        <color indexed="10"/>
      </right>
      <top style="hair">
        <color indexed="64"/>
      </top>
      <bottom style="medium">
        <color indexed="64"/>
      </bottom>
      <diagonal/>
    </border>
    <border>
      <left style="dashed">
        <color indexed="10"/>
      </left>
      <right/>
      <top style="hair">
        <color indexed="64"/>
      </top>
      <bottom style="medium">
        <color indexed="64"/>
      </bottom>
      <diagonal/>
    </border>
    <border>
      <left/>
      <right style="dashed">
        <color indexed="10"/>
      </right>
      <top style="hair">
        <color indexed="64"/>
      </top>
      <bottom/>
      <diagonal/>
    </border>
    <border>
      <left style="dashed">
        <color indexed="10"/>
      </left>
      <right/>
      <top style="hair">
        <color indexed="64"/>
      </top>
      <bottom/>
      <diagonal/>
    </border>
    <border>
      <left style="medium">
        <color indexed="64"/>
      </left>
      <right style="thin">
        <color indexed="64"/>
      </right>
      <top style="hair">
        <color indexed="64"/>
      </top>
      <bottom style="medium">
        <color indexed="64"/>
      </bottom>
      <diagonal/>
    </border>
    <border>
      <left/>
      <right style="hair">
        <color indexed="64"/>
      </right>
      <top style="hair">
        <color indexed="64"/>
      </top>
      <bottom style="hair">
        <color indexed="64"/>
      </bottom>
      <diagonal/>
    </border>
    <border>
      <left/>
      <right style="hair">
        <color indexed="64"/>
      </right>
      <top/>
      <bottom/>
      <diagonal/>
    </border>
    <border>
      <left style="thick">
        <color indexed="64"/>
      </left>
      <right/>
      <top/>
      <bottom/>
      <diagonal/>
    </border>
    <border>
      <left/>
      <right style="hair">
        <color indexed="64"/>
      </right>
      <top/>
      <bottom style="hair">
        <color indexed="64"/>
      </bottom>
      <diagonal/>
    </border>
    <border>
      <left style="thick">
        <color indexed="64"/>
      </left>
      <right/>
      <top/>
      <bottom style="hair">
        <color indexed="64"/>
      </bottom>
      <diagonal/>
    </border>
    <border>
      <left/>
      <right style="thick">
        <color indexed="64"/>
      </right>
      <top style="thin">
        <color indexed="64"/>
      </top>
      <bottom style="thin">
        <color indexed="64"/>
      </bottom>
      <diagonal/>
    </border>
    <border>
      <left/>
      <right/>
      <top style="medium">
        <color indexed="64"/>
      </top>
      <bottom/>
      <diagonal/>
    </border>
    <border>
      <left/>
      <right style="thin">
        <color indexed="64"/>
      </right>
      <top style="hair">
        <color indexed="64"/>
      </top>
      <bottom/>
      <diagonal/>
    </border>
    <border>
      <left/>
      <right style="thin">
        <color indexed="64"/>
      </right>
      <top/>
      <bottom style="hair">
        <color indexed="64"/>
      </bottom>
      <diagonal/>
    </border>
    <border>
      <left style="thin">
        <color indexed="64"/>
      </left>
      <right/>
      <top/>
      <bottom style="hair">
        <color indexed="64"/>
      </bottom>
      <diagonal/>
    </border>
    <border>
      <left style="dotted">
        <color indexed="10"/>
      </left>
      <right/>
      <top style="hair">
        <color indexed="64"/>
      </top>
      <bottom style="hair">
        <color indexed="64"/>
      </bottom>
      <diagonal/>
    </border>
    <border>
      <left/>
      <right style="hair">
        <color indexed="64"/>
      </right>
      <top style="hair">
        <color indexed="64"/>
      </top>
      <bottom/>
      <diagonal/>
    </border>
    <border>
      <left style="medium">
        <color indexed="64"/>
      </left>
      <right style="thin">
        <color indexed="64"/>
      </right>
      <top style="hair">
        <color indexed="64"/>
      </top>
      <bottom/>
      <diagonal/>
    </border>
    <border>
      <left style="hair">
        <color indexed="64"/>
      </left>
      <right/>
      <top/>
      <bottom/>
      <diagonal/>
    </border>
    <border>
      <left style="medium">
        <color indexed="64"/>
      </left>
      <right style="thin">
        <color indexed="64"/>
      </right>
      <top style="thin">
        <color indexed="64"/>
      </top>
      <bottom style="hair">
        <color indexed="64"/>
      </bottom>
      <diagonal/>
    </border>
    <border>
      <left style="hair">
        <color indexed="64"/>
      </left>
      <right/>
      <top style="thin">
        <color indexed="64"/>
      </top>
      <bottom style="hair">
        <color indexed="64"/>
      </bottom>
      <diagonal/>
    </border>
    <border>
      <left/>
      <right style="dashed">
        <color indexed="10"/>
      </right>
      <top style="thin">
        <color indexed="64"/>
      </top>
      <bottom style="hair">
        <color indexed="64"/>
      </bottom>
      <diagonal/>
    </border>
    <border>
      <left style="dashed">
        <color indexed="10"/>
      </left>
      <right/>
      <top style="thin">
        <color indexed="64"/>
      </top>
      <bottom style="hair">
        <color indexed="64"/>
      </bottom>
      <diagonal/>
    </border>
    <border>
      <left/>
      <right/>
      <top style="thick">
        <color indexed="64"/>
      </top>
      <bottom/>
      <diagonal/>
    </border>
    <border>
      <left style="thin">
        <color indexed="64"/>
      </left>
      <right/>
      <top/>
      <bottom/>
      <diagonal/>
    </border>
    <border>
      <left/>
      <right/>
      <top style="hair">
        <color indexed="64"/>
      </top>
      <bottom style="thin">
        <color indexed="64"/>
      </bottom>
      <diagonal/>
    </border>
    <border>
      <left/>
      <right style="dashed">
        <color indexed="10"/>
      </right>
      <top style="hair">
        <color indexed="64"/>
      </top>
      <bottom style="thin">
        <color indexed="64"/>
      </bottom>
      <diagonal/>
    </border>
    <border>
      <left style="dashed">
        <color indexed="10"/>
      </left>
      <right/>
      <top style="hair">
        <color indexed="64"/>
      </top>
      <bottom style="thin">
        <color indexed="64"/>
      </bottom>
      <diagonal/>
    </border>
    <border>
      <left/>
      <right style="thick">
        <color indexed="64"/>
      </right>
      <top/>
      <bottom/>
      <diagonal/>
    </border>
    <border>
      <left/>
      <right style="dashed">
        <color indexed="10"/>
      </right>
      <top/>
      <bottom style="hair">
        <color indexed="64"/>
      </bottom>
      <diagonal/>
    </border>
    <border>
      <left style="dashed">
        <color indexed="10"/>
      </left>
      <right/>
      <top/>
      <bottom style="hair">
        <color indexed="64"/>
      </bottom>
      <diagonal/>
    </border>
    <border>
      <left style="medium">
        <color indexed="64"/>
      </left>
      <right style="thin">
        <color indexed="64"/>
      </right>
      <top/>
      <bottom style="hair">
        <color indexed="64"/>
      </bottom>
      <diagonal/>
    </border>
    <border>
      <left/>
      <right style="thin">
        <color indexed="64"/>
      </right>
      <top style="thin">
        <color indexed="64"/>
      </top>
      <bottom style="hair">
        <color indexed="64"/>
      </bottom>
      <diagonal/>
    </border>
    <border>
      <left style="medium">
        <color indexed="64"/>
      </left>
      <right style="thin">
        <color indexed="64"/>
      </right>
      <top style="medium">
        <color indexed="64"/>
      </top>
      <bottom style="hair">
        <color indexed="64"/>
      </bottom>
      <diagonal/>
    </border>
    <border>
      <left style="medium">
        <color indexed="64"/>
      </left>
      <right/>
      <top/>
      <bottom/>
      <diagonal/>
    </border>
    <border>
      <left style="dotted">
        <color indexed="10"/>
      </left>
      <right/>
      <top style="medium">
        <color indexed="64"/>
      </top>
      <bottom style="hair">
        <color indexed="64"/>
      </bottom>
      <diagonal/>
    </border>
    <border>
      <left/>
      <right style="hair">
        <color indexed="64"/>
      </right>
      <top style="thin">
        <color indexed="64"/>
      </top>
      <bottom style="hair">
        <color indexed="64"/>
      </bottom>
      <diagonal/>
    </border>
    <border>
      <left style="thick">
        <color indexed="64"/>
      </left>
      <right style="thick">
        <color indexed="64"/>
      </right>
      <top style="thick">
        <color indexed="64"/>
      </top>
      <bottom/>
      <diagonal/>
    </border>
    <border>
      <left style="thin">
        <color indexed="64"/>
      </left>
      <right/>
      <top style="thin">
        <color indexed="64"/>
      </top>
      <bottom style="medium">
        <color indexed="64"/>
      </bottom>
      <diagonal/>
    </border>
    <border>
      <left style="thick">
        <color indexed="64"/>
      </left>
      <right style="thick">
        <color indexed="64"/>
      </right>
      <top/>
      <bottom/>
      <diagonal/>
    </border>
    <border>
      <left/>
      <right/>
      <top/>
      <bottom style="medium">
        <color indexed="64"/>
      </bottom>
      <diagonal/>
    </border>
    <border>
      <left style="thin">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ck">
        <color indexed="64"/>
      </left>
      <right style="thin">
        <color indexed="64"/>
      </right>
      <top style="thick">
        <color indexed="64"/>
      </top>
      <bottom/>
      <diagonal/>
    </border>
    <border>
      <left style="thin">
        <color indexed="64"/>
      </left>
      <right style="thick">
        <color indexed="64"/>
      </right>
      <top style="thick">
        <color indexed="64"/>
      </top>
      <bottom/>
      <diagonal/>
    </border>
    <border>
      <left style="thin">
        <color indexed="64"/>
      </left>
      <right style="thick">
        <color indexed="64"/>
      </right>
      <top/>
      <bottom/>
      <diagonal/>
    </border>
    <border>
      <left style="thin">
        <color indexed="64"/>
      </left>
      <right/>
      <top style="thick">
        <color indexed="64"/>
      </top>
      <bottom/>
      <diagonal/>
    </border>
    <border>
      <left/>
      <right style="thin">
        <color indexed="64"/>
      </right>
      <top style="thick">
        <color indexed="64"/>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hair">
        <color indexed="64"/>
      </left>
      <right style="thick">
        <color indexed="64"/>
      </right>
      <top/>
      <bottom style="hair">
        <color indexed="64"/>
      </bottom>
      <diagonal/>
    </border>
    <border>
      <left style="thick">
        <color indexed="64"/>
      </left>
      <right/>
      <top style="hair">
        <color indexed="64"/>
      </top>
      <bottom/>
      <diagonal/>
    </border>
    <border>
      <left/>
      <right style="thick">
        <color indexed="64"/>
      </right>
      <top style="hair">
        <color indexed="64"/>
      </top>
      <bottom/>
      <diagonal/>
    </border>
    <border>
      <left/>
      <right style="thick">
        <color indexed="64"/>
      </right>
      <top/>
      <bottom style="hair">
        <color indexed="64"/>
      </bottom>
      <diagonal/>
    </border>
    <border>
      <left/>
      <right style="thick">
        <color indexed="64"/>
      </right>
      <top style="hair">
        <color indexed="64"/>
      </top>
      <bottom style="hair">
        <color indexed="64"/>
      </bottom>
      <diagonal/>
    </border>
    <border>
      <left style="thick">
        <color indexed="64"/>
      </left>
      <right style="hair">
        <color indexed="64"/>
      </right>
      <top/>
      <bottom style="hair">
        <color indexed="64"/>
      </bottom>
      <diagonal/>
    </border>
    <border diagonalUp="1">
      <left/>
      <right/>
      <top style="hair">
        <color indexed="64"/>
      </top>
      <bottom style="hair">
        <color indexed="64"/>
      </bottom>
      <diagonal style="thin">
        <color indexed="64"/>
      </diagonal>
    </border>
    <border diagonalUp="1">
      <left/>
      <right style="thick">
        <color indexed="64"/>
      </right>
      <top style="hair">
        <color indexed="64"/>
      </top>
      <bottom style="hair">
        <color indexed="64"/>
      </bottom>
      <diagonal style="thin">
        <color indexed="64"/>
      </diagonal>
    </border>
    <border>
      <left/>
      <right style="thick">
        <color indexed="64"/>
      </right>
      <top style="thin">
        <color indexed="64"/>
      </top>
      <bottom/>
      <diagonal/>
    </border>
    <border>
      <left style="thick">
        <color indexed="64"/>
      </left>
      <right style="hair">
        <color indexed="64"/>
      </right>
      <top style="thick">
        <color indexed="64"/>
      </top>
      <bottom style="hair">
        <color indexed="64"/>
      </bottom>
      <diagonal/>
    </border>
    <border>
      <left style="hair">
        <color indexed="64"/>
      </left>
      <right/>
      <top style="thick">
        <color indexed="64"/>
      </top>
      <bottom style="hair">
        <color indexed="64"/>
      </bottom>
      <diagonal/>
    </border>
    <border>
      <left style="hair">
        <color indexed="64"/>
      </left>
      <right/>
      <top style="hair">
        <color indexed="64"/>
      </top>
      <bottom style="thick">
        <color indexed="64"/>
      </bottom>
      <diagonal/>
    </border>
    <border>
      <left style="hair">
        <color indexed="64"/>
      </left>
      <right style="hair">
        <color indexed="64"/>
      </right>
      <top style="thick">
        <color indexed="64"/>
      </top>
      <bottom style="hair">
        <color indexed="64"/>
      </bottom>
      <diagonal/>
    </border>
    <border>
      <left style="hair">
        <color indexed="64"/>
      </left>
      <right style="thick">
        <color indexed="64"/>
      </right>
      <top style="thick">
        <color indexed="64"/>
      </top>
      <bottom style="hair">
        <color indexed="64"/>
      </bottom>
      <diagonal/>
    </border>
    <border>
      <left style="hair">
        <color indexed="64"/>
      </left>
      <right style="thin">
        <color indexed="64"/>
      </right>
      <top style="thick">
        <color indexed="64"/>
      </top>
      <bottom style="thin">
        <color indexed="64"/>
      </bottom>
      <diagonal/>
    </border>
    <border>
      <left style="hair">
        <color indexed="64"/>
      </left>
      <right style="thin">
        <color indexed="64"/>
      </right>
      <top style="thin">
        <color indexed="64"/>
      </top>
      <bottom style="thick">
        <color indexed="64"/>
      </bottom>
      <diagonal/>
    </border>
    <border>
      <left/>
      <right style="hair">
        <color indexed="64"/>
      </right>
      <top style="thick">
        <color indexed="64"/>
      </top>
      <bottom style="hair">
        <color indexed="64"/>
      </bottom>
      <diagonal/>
    </border>
    <border>
      <left/>
      <right style="hair">
        <color indexed="64"/>
      </right>
      <top style="hair">
        <color indexed="64"/>
      </top>
      <bottom style="thick">
        <color indexed="64"/>
      </bottom>
      <diagonal/>
    </border>
    <border>
      <left style="hair">
        <color indexed="64"/>
      </left>
      <right/>
      <top style="thick">
        <color indexed="64"/>
      </top>
      <bottom/>
      <diagonal/>
    </border>
    <border>
      <left style="hair">
        <color indexed="64"/>
      </left>
      <right/>
      <top/>
      <bottom style="thick">
        <color indexed="64"/>
      </bottom>
      <diagonal/>
    </border>
    <border>
      <left style="hair">
        <color indexed="64"/>
      </left>
      <right style="thick">
        <color indexed="64"/>
      </right>
      <top style="thick">
        <color indexed="64"/>
      </top>
      <bottom/>
      <diagonal/>
    </border>
    <border>
      <left style="hair">
        <color indexed="64"/>
      </left>
      <right style="thick">
        <color indexed="64"/>
      </right>
      <top/>
      <bottom style="thick">
        <color indexed="64"/>
      </bottom>
      <diagonal/>
    </border>
    <border>
      <left style="thick">
        <color indexed="64"/>
      </left>
      <right style="hair">
        <color indexed="64"/>
      </right>
      <top/>
      <bottom/>
      <diagonal/>
    </border>
    <border>
      <left style="hair">
        <color indexed="64"/>
      </left>
      <right style="hair">
        <color indexed="64"/>
      </right>
      <top/>
      <bottom/>
      <diagonal/>
    </border>
    <border>
      <left style="hair">
        <color indexed="64"/>
      </left>
      <right style="thick">
        <color indexed="64"/>
      </right>
      <top/>
      <bottom/>
      <diagonal/>
    </border>
    <border diagonalUp="1">
      <left/>
      <right/>
      <top style="hair">
        <color indexed="64"/>
      </top>
      <bottom/>
      <diagonal style="thin">
        <color indexed="64"/>
      </diagonal>
    </border>
    <border diagonalUp="1">
      <left/>
      <right style="thick">
        <color indexed="64"/>
      </right>
      <top style="hair">
        <color indexed="64"/>
      </top>
      <bottom/>
      <diagonal style="thin">
        <color indexed="64"/>
      </diagonal>
    </border>
    <border>
      <left/>
      <right style="hair">
        <color indexed="64"/>
      </right>
      <top/>
      <bottom style="thick">
        <color indexed="64"/>
      </bottom>
      <diagonal/>
    </border>
    <border>
      <left style="thick">
        <color indexed="64"/>
      </left>
      <right style="hair">
        <color indexed="64"/>
      </right>
      <top/>
      <bottom style="thick">
        <color indexed="64"/>
      </bottom>
      <diagonal/>
    </border>
    <border>
      <left style="hair">
        <color indexed="64"/>
      </left>
      <right style="hair">
        <color indexed="64"/>
      </right>
      <top/>
      <bottom style="thick">
        <color indexed="64"/>
      </bottom>
      <diagonal/>
    </border>
    <border>
      <left/>
      <right style="thick">
        <color indexed="64"/>
      </right>
      <top style="hair">
        <color indexed="64"/>
      </top>
      <bottom style="thick">
        <color indexed="64"/>
      </bottom>
      <diagonal/>
    </border>
    <border>
      <left/>
      <right style="thin">
        <color indexed="64"/>
      </right>
      <top style="hair">
        <color indexed="64"/>
      </top>
      <bottom style="thin">
        <color indexed="64"/>
      </bottom>
      <diagonal/>
    </border>
    <border>
      <left style="medium">
        <color indexed="64"/>
      </left>
      <right style="medium">
        <color indexed="64"/>
      </right>
      <top style="medium">
        <color indexed="64"/>
      </top>
      <bottom/>
      <diagonal/>
    </border>
    <border>
      <left style="dashed">
        <color indexed="10"/>
      </left>
      <right/>
      <top style="medium">
        <color indexed="64"/>
      </top>
      <bottom style="thin">
        <color indexed="64"/>
      </bottom>
      <diagonal/>
    </border>
    <border>
      <left/>
      <right/>
      <top style="medium">
        <color indexed="64"/>
      </top>
      <bottom style="thin">
        <color indexed="64"/>
      </bottom>
      <diagonal/>
    </border>
    <border>
      <left/>
      <right style="dashed">
        <color indexed="10"/>
      </right>
      <top style="medium">
        <color indexed="64"/>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indexed="64"/>
      </left>
      <right/>
      <top style="medium">
        <color indexed="64"/>
      </top>
      <bottom style="thin">
        <color indexed="64"/>
      </bottom>
      <diagonal/>
    </border>
    <border>
      <left style="thin">
        <color indexed="8"/>
      </left>
      <right style="thin">
        <color indexed="8"/>
      </right>
      <top style="hair">
        <color indexed="64"/>
      </top>
      <bottom style="hair">
        <color indexed="64"/>
      </bottom>
      <diagonal/>
    </border>
    <border>
      <left style="thin">
        <color indexed="8"/>
      </left>
      <right/>
      <top style="hair">
        <color indexed="64"/>
      </top>
      <bottom style="hair">
        <color indexed="64"/>
      </bottom>
      <diagonal/>
    </border>
    <border>
      <left style="thin">
        <color indexed="8"/>
      </left>
      <right style="thin">
        <color indexed="8"/>
      </right>
      <top style="hair">
        <color indexed="64"/>
      </top>
      <bottom style="thin">
        <color indexed="64"/>
      </bottom>
      <diagonal/>
    </border>
    <border>
      <left/>
      <right style="thin">
        <color indexed="8"/>
      </right>
      <top style="thin">
        <color indexed="64"/>
      </top>
      <bottom style="hair">
        <color indexed="64"/>
      </bottom>
      <diagonal/>
    </border>
    <border>
      <left style="thin">
        <color indexed="8"/>
      </left>
      <right/>
      <top style="thin">
        <color indexed="64"/>
      </top>
      <bottom style="hair">
        <color indexed="64"/>
      </bottom>
      <diagonal/>
    </border>
    <border>
      <left style="thin">
        <color indexed="8"/>
      </left>
      <right style="thin">
        <color indexed="8"/>
      </right>
      <top style="thin">
        <color indexed="64"/>
      </top>
      <bottom style="hair">
        <color indexed="64"/>
      </bottom>
      <diagonal/>
    </border>
    <border>
      <left style="thin">
        <color indexed="8"/>
      </left>
      <right style="thin">
        <color indexed="64"/>
      </right>
      <top style="thin">
        <color indexed="64"/>
      </top>
      <bottom style="hair">
        <color indexed="64"/>
      </bottom>
      <diagonal/>
    </border>
    <border>
      <left/>
      <right style="thin">
        <color indexed="8"/>
      </right>
      <top style="hair">
        <color indexed="64"/>
      </top>
      <bottom style="hair">
        <color indexed="64"/>
      </bottom>
      <diagonal/>
    </border>
    <border>
      <left/>
      <right style="thin">
        <color indexed="8"/>
      </right>
      <top style="hair">
        <color indexed="64"/>
      </top>
      <bottom style="thin">
        <color indexed="64"/>
      </bottom>
      <diagonal/>
    </border>
    <border>
      <left style="thin">
        <color indexed="8"/>
      </left>
      <right style="thin">
        <color indexed="8"/>
      </right>
      <top style="hair">
        <color indexed="64"/>
      </top>
      <bottom/>
      <diagonal/>
    </border>
    <border>
      <left style="thin">
        <color indexed="8"/>
      </left>
      <right/>
      <top style="hair">
        <color indexed="64"/>
      </top>
      <bottom style="thin">
        <color indexed="64"/>
      </bottom>
      <diagonal/>
    </border>
    <border>
      <left/>
      <right style="thin">
        <color indexed="8"/>
      </right>
      <top style="thin">
        <color indexed="8"/>
      </top>
      <bottom/>
      <diagonal/>
    </border>
    <border>
      <left style="thin">
        <color indexed="8"/>
      </left>
      <right/>
      <top style="hair">
        <color indexed="64"/>
      </top>
      <bottom/>
      <diagonal/>
    </border>
    <border>
      <left/>
      <right style="thin">
        <color indexed="8"/>
      </right>
      <top style="hair">
        <color indexed="64"/>
      </top>
      <bottom/>
      <diagonal/>
    </border>
    <border>
      <left style="thin">
        <color indexed="8"/>
      </left>
      <right/>
      <top/>
      <bottom style="hair">
        <color indexed="64"/>
      </bottom>
      <diagonal/>
    </border>
    <border>
      <left/>
      <right style="thin">
        <color indexed="8"/>
      </right>
      <top/>
      <bottom style="hair">
        <color indexed="64"/>
      </bottom>
      <diagonal/>
    </border>
    <border>
      <left style="thin">
        <color indexed="8"/>
      </left>
      <right style="thin">
        <color indexed="64"/>
      </right>
      <top style="hair">
        <color indexed="64"/>
      </top>
      <bottom style="thin">
        <color indexed="64"/>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64"/>
      </left>
      <right style="thin">
        <color indexed="8"/>
      </right>
      <top style="hair">
        <color indexed="64"/>
      </top>
      <bottom style="hair">
        <color indexed="64"/>
      </bottom>
      <diagonal/>
    </border>
    <border>
      <left style="thin">
        <color indexed="64"/>
      </left>
      <right style="thin">
        <color indexed="8"/>
      </right>
      <top style="thin">
        <color indexed="64"/>
      </top>
      <bottom style="hair">
        <color indexed="64"/>
      </bottom>
      <diagonal/>
    </border>
    <border>
      <left style="thin">
        <color indexed="8"/>
      </left>
      <right style="thin">
        <color indexed="64"/>
      </right>
      <top style="hair">
        <color indexed="64"/>
      </top>
      <bottom style="hair">
        <color indexed="64"/>
      </bottom>
      <diagonal/>
    </border>
    <border>
      <left style="thin">
        <color indexed="8"/>
      </left>
      <right style="thin">
        <color indexed="8"/>
      </right>
      <top/>
      <bottom style="hair">
        <color indexed="64"/>
      </bottom>
      <diagonal/>
    </border>
    <border>
      <left style="thin">
        <color indexed="8"/>
      </left>
      <right/>
      <top/>
      <bottom/>
      <diagonal/>
    </border>
    <border>
      <left/>
      <right style="thin">
        <color indexed="8"/>
      </right>
      <top/>
      <bottom/>
      <diagonal/>
    </border>
    <border>
      <left style="medium">
        <color indexed="64"/>
      </left>
      <right/>
      <top style="hair">
        <color indexed="64"/>
      </top>
      <bottom style="hair">
        <color indexed="64"/>
      </bottom>
      <diagonal/>
    </border>
    <border>
      <left style="dashed">
        <color rgb="FFFF0000"/>
      </left>
      <right/>
      <top style="hair">
        <color indexed="64"/>
      </top>
      <bottom style="hair">
        <color indexed="64"/>
      </bottom>
      <diagonal/>
    </border>
    <border>
      <left/>
      <right style="hair">
        <color indexed="64"/>
      </right>
      <top style="hair">
        <color indexed="64"/>
      </top>
      <bottom style="medium">
        <color indexed="64"/>
      </bottom>
      <diagonal/>
    </border>
    <border>
      <left style="medium">
        <color indexed="64"/>
      </left>
      <right style="medium">
        <color indexed="64"/>
      </right>
      <top style="thin">
        <color indexed="64"/>
      </top>
      <bottom/>
      <diagonal/>
    </border>
    <border>
      <left/>
      <right style="hair">
        <color indexed="64"/>
      </right>
      <top style="medium">
        <color indexed="64"/>
      </top>
      <bottom style="hair">
        <color indexed="64"/>
      </bottom>
      <diagonal/>
    </border>
    <border>
      <left/>
      <right style="medium">
        <color indexed="64"/>
      </right>
      <top/>
      <bottom/>
      <diagonal/>
    </border>
    <border>
      <left style="dashed">
        <color indexed="10"/>
      </left>
      <right/>
      <top style="thin">
        <color indexed="64"/>
      </top>
      <bottom/>
      <diagonal/>
    </border>
    <border>
      <left/>
      <right style="dashed">
        <color indexed="10"/>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bottom/>
      <diagonal/>
    </border>
    <border>
      <left/>
      <right style="dotted">
        <color rgb="FFFF0000"/>
      </right>
      <top style="hair">
        <color indexed="64"/>
      </top>
      <bottom style="medium">
        <color indexed="64"/>
      </bottom>
      <diagonal/>
    </border>
    <border>
      <left/>
      <right style="dotted">
        <color rgb="FFFF0000"/>
      </right>
      <top style="medium">
        <color indexed="64"/>
      </top>
      <bottom style="hair">
        <color indexed="64"/>
      </bottom>
      <diagonal/>
    </border>
    <border>
      <left/>
      <right style="dotted">
        <color rgb="FFFF0000"/>
      </right>
      <top style="hair">
        <color indexed="64"/>
      </top>
      <bottom style="hair">
        <color indexed="64"/>
      </bottom>
      <diagonal/>
    </border>
    <border>
      <left/>
      <right style="dotted">
        <color rgb="FFFF0000"/>
      </right>
      <top style="hair">
        <color indexed="64"/>
      </top>
      <bottom/>
      <diagonal/>
    </border>
    <border>
      <left/>
      <right style="dotted">
        <color rgb="FFFF0000"/>
      </right>
      <top/>
      <bottom style="hair">
        <color indexed="64"/>
      </bottom>
      <diagonal/>
    </border>
    <border>
      <left style="hair">
        <color indexed="64"/>
      </left>
      <right style="dotted">
        <color rgb="FFFF0000"/>
      </right>
      <top style="thin">
        <color indexed="64"/>
      </top>
      <bottom style="hair">
        <color indexed="64"/>
      </bottom>
      <diagonal/>
    </border>
    <border>
      <left style="hair">
        <color indexed="64"/>
      </left>
      <right style="dotted">
        <color rgb="FFFF0000"/>
      </right>
      <top style="hair">
        <color indexed="64"/>
      </top>
      <bottom style="hair">
        <color indexed="64"/>
      </bottom>
      <diagonal/>
    </border>
    <border>
      <left style="dashed">
        <color rgb="FFFF0000"/>
      </left>
      <right style="hair">
        <color indexed="64"/>
      </right>
      <top style="hair">
        <color indexed="64"/>
      </top>
      <bottom style="hair">
        <color indexed="64"/>
      </bottom>
      <diagonal/>
    </border>
    <border>
      <left style="hair">
        <color indexed="64"/>
      </left>
      <right style="dotted">
        <color rgb="FFFF0000"/>
      </right>
      <top style="hair">
        <color indexed="64"/>
      </top>
      <bottom/>
      <diagonal/>
    </border>
    <border>
      <left style="dashed">
        <color rgb="FFFF0000"/>
      </left>
      <right/>
      <top style="thin">
        <color indexed="64"/>
      </top>
      <bottom style="hair">
        <color indexed="64"/>
      </bottom>
      <diagonal/>
    </border>
    <border>
      <left style="dashed">
        <color rgb="FFFF0000"/>
      </left>
      <right/>
      <top style="hair">
        <color indexed="64"/>
      </top>
      <bottom style="thin">
        <color indexed="64"/>
      </bottom>
      <diagonal/>
    </border>
    <border>
      <left style="dashed">
        <color rgb="FFFF0000"/>
      </left>
      <right/>
      <top style="hair">
        <color indexed="64"/>
      </top>
      <bottom/>
      <diagonal/>
    </border>
    <border>
      <left style="dashed">
        <color rgb="FFFF0000"/>
      </left>
      <right/>
      <top style="medium">
        <color indexed="64"/>
      </top>
      <bottom style="hair">
        <color indexed="64"/>
      </bottom>
      <diagonal/>
    </border>
    <border>
      <left style="dashed">
        <color rgb="FFFF0000"/>
      </left>
      <right/>
      <top/>
      <bottom style="hair">
        <color indexed="64"/>
      </bottom>
      <diagonal/>
    </border>
    <border>
      <left/>
      <right style="thin">
        <color indexed="64"/>
      </right>
      <top/>
      <bottom/>
      <diagonal/>
    </border>
    <border>
      <left style="dashed">
        <color indexed="10"/>
      </left>
      <right/>
      <top style="hair">
        <color theme="1"/>
      </top>
      <bottom style="hair">
        <color indexed="64"/>
      </bottom>
      <diagonal/>
    </border>
    <border>
      <left style="medium">
        <color indexed="64"/>
      </left>
      <right/>
      <top/>
      <bottom style="hair">
        <color indexed="64"/>
      </bottom>
      <diagonal/>
    </border>
    <border>
      <left style="thick">
        <color indexed="64"/>
      </left>
      <right/>
      <top style="thin">
        <color indexed="64"/>
      </top>
      <bottom style="hair">
        <color indexed="64"/>
      </bottom>
      <diagonal/>
    </border>
    <border>
      <left style="dotted">
        <color indexed="10"/>
      </left>
      <right/>
      <top style="hair">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top style="thin">
        <color indexed="64"/>
      </top>
      <bottom/>
      <diagonal/>
    </border>
    <border>
      <left style="dashed">
        <color rgb="FFFF0000"/>
      </left>
      <right/>
      <top style="thin">
        <color indexed="64"/>
      </top>
      <bottom/>
      <diagonal/>
    </border>
    <border>
      <left style="medium">
        <color indexed="64"/>
      </left>
      <right style="thin">
        <color indexed="64"/>
      </right>
      <top/>
      <bottom style="thin">
        <color indexed="64"/>
      </bottom>
      <diagonal/>
    </border>
    <border>
      <left/>
      <right style="hair">
        <color indexed="64"/>
      </right>
      <top/>
      <bottom style="thin">
        <color indexed="64"/>
      </bottom>
      <diagonal/>
    </border>
    <border>
      <left style="hair">
        <color indexed="64"/>
      </left>
      <right style="dotted">
        <color rgb="FFFF0000"/>
      </right>
      <top style="hair">
        <color indexed="64"/>
      </top>
      <bottom style="thin">
        <color indexed="64"/>
      </bottom>
      <diagonal/>
    </border>
    <border>
      <left/>
      <right style="hair">
        <color indexed="64"/>
      </right>
      <top style="hair">
        <color indexed="64"/>
      </top>
      <bottom style="thin">
        <color indexed="64"/>
      </bottom>
      <diagonal/>
    </border>
    <border>
      <left style="medium">
        <color indexed="64"/>
      </left>
      <right style="thin">
        <color indexed="64"/>
      </right>
      <top style="thin">
        <color indexed="64"/>
      </top>
      <bottom style="thin">
        <color indexed="64"/>
      </bottom>
      <diagonal/>
    </border>
    <border>
      <left/>
      <right style="dotted">
        <color rgb="FFFF0000"/>
      </right>
      <top style="thin">
        <color indexed="64"/>
      </top>
      <bottom style="thin">
        <color indexed="64"/>
      </bottom>
      <diagonal/>
    </border>
    <border>
      <left style="dashed">
        <color indexed="10"/>
      </left>
      <right/>
      <top style="thin">
        <color indexed="64"/>
      </top>
      <bottom style="thin">
        <color indexed="64"/>
      </bottom>
      <diagonal/>
    </border>
    <border>
      <left style="hair">
        <color indexed="64"/>
      </left>
      <right/>
      <top style="thin">
        <color indexed="64"/>
      </top>
      <bottom style="thin">
        <color indexed="64"/>
      </bottom>
      <diagonal/>
    </border>
    <border>
      <left/>
      <right style="dashed">
        <color indexed="10"/>
      </right>
      <top style="thin">
        <color indexed="64"/>
      </top>
      <bottom style="thin">
        <color indexed="64"/>
      </bottom>
      <diagonal/>
    </border>
    <border>
      <left style="dashed">
        <color rgb="FFFF0000"/>
      </left>
      <right/>
      <top style="thin">
        <color indexed="64"/>
      </top>
      <bottom style="thin">
        <color indexed="64"/>
      </bottom>
      <diagonal/>
    </border>
    <border>
      <left/>
      <right style="dotted">
        <color rgb="FFFF0000"/>
      </right>
      <top/>
      <bottom style="thin">
        <color indexed="64"/>
      </bottom>
      <diagonal/>
    </border>
    <border>
      <left style="hair">
        <color indexed="64"/>
      </left>
      <right/>
      <top/>
      <bottom style="thin">
        <color indexed="64"/>
      </bottom>
      <diagonal/>
    </border>
    <border>
      <left/>
      <right style="dashed">
        <color indexed="10"/>
      </right>
      <top/>
      <bottom style="thin">
        <color indexed="64"/>
      </bottom>
      <diagonal/>
    </border>
    <border>
      <left style="dashed">
        <color indexed="10"/>
      </left>
      <right/>
      <top/>
      <bottom style="thin">
        <color indexed="64"/>
      </bottom>
      <diagonal/>
    </border>
    <border>
      <left style="dotted">
        <color indexed="10"/>
      </left>
      <right/>
      <top/>
      <bottom style="thin">
        <color indexed="64"/>
      </bottom>
      <diagonal/>
    </border>
    <border>
      <left style="dashed">
        <color rgb="FFFF0000"/>
      </left>
      <right/>
      <top/>
      <bottom style="thin">
        <color indexed="64"/>
      </bottom>
      <diagonal/>
    </border>
    <border>
      <left style="thin">
        <color indexed="64"/>
      </left>
      <right/>
      <top/>
      <bottom style="medium">
        <color indexed="64"/>
      </bottom>
      <diagonal/>
    </border>
    <border>
      <left style="hair">
        <color indexed="64"/>
      </left>
      <right style="dotted">
        <color rgb="FFFF0000"/>
      </right>
      <top style="hair">
        <color indexed="64"/>
      </top>
      <bottom style="medium">
        <color indexed="64"/>
      </bottom>
      <diagonal/>
    </border>
    <border>
      <left/>
      <right style="dashed">
        <color indexed="10"/>
      </right>
      <top/>
      <bottom style="medium">
        <color indexed="64"/>
      </bottom>
      <diagonal/>
    </border>
    <border>
      <left style="dashed">
        <color indexed="10"/>
      </left>
      <right/>
      <top/>
      <bottom style="medium">
        <color indexed="64"/>
      </bottom>
      <diagonal/>
    </border>
    <border>
      <left style="hair">
        <color indexed="64"/>
      </left>
      <right/>
      <top/>
      <bottom style="medium">
        <color indexed="64"/>
      </bottom>
      <diagonal/>
    </border>
    <border>
      <left style="medium">
        <color indexed="64"/>
      </left>
      <right/>
      <top style="hair">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dashed">
        <color indexed="10"/>
      </left>
      <right/>
      <top style="medium">
        <color indexed="64"/>
      </top>
      <bottom style="medium">
        <color indexed="64"/>
      </bottom>
      <diagonal/>
    </border>
    <border>
      <left style="hair">
        <color indexed="64"/>
      </left>
      <right/>
      <top style="medium">
        <color indexed="64"/>
      </top>
      <bottom style="medium">
        <color indexed="64"/>
      </bottom>
      <diagonal/>
    </border>
    <border>
      <left/>
      <right style="dashed">
        <color indexed="10"/>
      </right>
      <top style="medium">
        <color indexed="64"/>
      </top>
      <bottom style="medium">
        <color indexed="64"/>
      </bottom>
      <diagonal/>
    </border>
    <border>
      <left/>
      <right style="hair">
        <color indexed="64"/>
      </right>
      <top style="medium">
        <color indexed="64"/>
      </top>
      <bottom style="medium">
        <color indexed="64"/>
      </bottom>
      <diagonal/>
    </border>
    <border>
      <left style="medium">
        <color indexed="64"/>
      </left>
      <right style="medium">
        <color indexed="64"/>
      </right>
      <top style="medium">
        <color indexed="64"/>
      </top>
      <bottom style="hair">
        <color indexed="64"/>
      </bottom>
      <diagonal/>
    </border>
    <border>
      <left style="dashed">
        <color indexed="10"/>
      </left>
      <right/>
      <top style="hair">
        <color theme="1"/>
      </top>
      <bottom style="medium">
        <color indexed="64"/>
      </bottom>
      <diagonal/>
    </border>
    <border>
      <left style="dashed">
        <color rgb="FFFF0000"/>
      </left>
      <right/>
      <top style="hair">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dotted">
        <color rgb="FFFF0000"/>
      </right>
      <top style="medium">
        <color indexed="64"/>
      </top>
      <bottom style="medium">
        <color indexed="64"/>
      </bottom>
      <diagonal/>
    </border>
    <border>
      <left style="medium">
        <color indexed="64"/>
      </left>
      <right style="medium">
        <color indexed="64"/>
      </right>
      <top/>
      <bottom style="hair">
        <color indexed="64"/>
      </bottom>
      <diagonal/>
    </border>
    <border diagonalUp="1">
      <left/>
      <right/>
      <top style="hair">
        <color indexed="64"/>
      </top>
      <bottom style="thick">
        <color indexed="64"/>
      </bottom>
      <diagonal style="thin">
        <color indexed="64"/>
      </diagonal>
    </border>
    <border diagonalUp="1">
      <left/>
      <right style="thick">
        <color indexed="64"/>
      </right>
      <top style="hair">
        <color indexed="64"/>
      </top>
      <bottom style="thick">
        <color indexed="64"/>
      </bottom>
      <diagonal style="thin">
        <color indexed="64"/>
      </diagonal>
    </border>
    <border>
      <left style="hair">
        <color indexed="64"/>
      </left>
      <right style="dashed">
        <color rgb="FFFF0000"/>
      </right>
      <top style="medium">
        <color indexed="64"/>
      </top>
      <bottom style="hair">
        <color indexed="64"/>
      </bottom>
      <diagonal/>
    </border>
    <border>
      <left style="hair">
        <color indexed="64"/>
      </left>
      <right style="dashed">
        <color rgb="FFFF0000"/>
      </right>
      <top style="hair">
        <color indexed="64"/>
      </top>
      <bottom style="hair">
        <color indexed="64"/>
      </bottom>
      <diagonal/>
    </border>
    <border>
      <left/>
      <right style="dashed">
        <color rgb="FFFF0000"/>
      </right>
      <top style="hair">
        <color indexed="64"/>
      </top>
      <bottom style="hair">
        <color indexed="64"/>
      </bottom>
      <diagonal/>
    </border>
    <border>
      <left style="thick">
        <color indexed="64"/>
      </left>
      <right/>
      <top style="hair">
        <color indexed="64"/>
      </top>
      <bottom style="hair">
        <color indexed="64"/>
      </bottom>
      <diagonal/>
    </border>
    <border>
      <left style="medium">
        <color indexed="64"/>
      </left>
      <right style="medium">
        <color indexed="64"/>
      </right>
      <top style="hair">
        <color indexed="64"/>
      </top>
      <bottom/>
      <diagonal/>
    </border>
    <border diagonalUp="1">
      <left style="hair">
        <color indexed="64"/>
      </left>
      <right style="thick">
        <color indexed="64"/>
      </right>
      <top style="hair">
        <color indexed="64"/>
      </top>
      <bottom style="hair">
        <color indexed="64"/>
      </bottom>
      <diagonal style="thin">
        <color indexed="64"/>
      </diagonal>
    </border>
    <border diagonalUp="1">
      <left style="hair">
        <color indexed="64"/>
      </left>
      <right style="hair">
        <color indexed="64"/>
      </right>
      <top style="hair">
        <color indexed="64"/>
      </top>
      <bottom style="hair">
        <color indexed="64"/>
      </bottom>
      <diagonal style="thin">
        <color indexed="64"/>
      </diagonal>
    </border>
    <border>
      <left/>
      <right/>
      <top style="thick">
        <color indexed="64"/>
      </top>
      <bottom style="hair">
        <color indexed="64"/>
      </bottom>
      <diagonal/>
    </border>
    <border>
      <left/>
      <right style="hair">
        <color indexed="64"/>
      </right>
      <top style="thick">
        <color indexed="64"/>
      </top>
      <bottom/>
      <diagonal/>
    </border>
    <border>
      <left/>
      <right style="thick">
        <color indexed="64"/>
      </right>
      <top style="thick">
        <color indexed="64"/>
      </top>
      <bottom style="hair">
        <color indexed="64"/>
      </bottom>
      <diagonal/>
    </border>
    <border>
      <left style="thick">
        <color indexed="64"/>
      </left>
      <right style="hair">
        <color indexed="64"/>
      </right>
      <top style="thick">
        <color indexed="64"/>
      </top>
      <bottom/>
      <diagonal/>
    </border>
    <border>
      <left style="hair">
        <color indexed="64"/>
      </left>
      <right style="hair">
        <color indexed="64"/>
      </right>
      <top style="thick">
        <color indexed="64"/>
      </top>
      <bottom/>
      <diagonal/>
    </border>
    <border>
      <left style="hair">
        <color indexed="64"/>
      </left>
      <right/>
      <top style="medium">
        <color indexed="64"/>
      </top>
      <bottom/>
      <diagonal/>
    </border>
    <border>
      <left/>
      <right style="dashed">
        <color indexed="10"/>
      </right>
      <top style="medium">
        <color indexed="64"/>
      </top>
      <bottom/>
      <diagonal/>
    </border>
    <border>
      <left style="dashed">
        <color indexed="10"/>
      </left>
      <right/>
      <top style="medium">
        <color indexed="64"/>
      </top>
      <bottom/>
      <diagonal/>
    </border>
    <border>
      <left style="medium">
        <color indexed="64"/>
      </left>
      <right style="medium">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medium">
        <color indexed="64"/>
      </top>
      <bottom style="medium">
        <color indexed="64"/>
      </bottom>
      <diagonal/>
    </border>
    <border>
      <left style="medium">
        <color indexed="64"/>
      </left>
      <right/>
      <top style="hair">
        <color indexed="64"/>
      </top>
      <bottom style="medium">
        <color indexed="64"/>
      </bottom>
      <diagonal/>
    </border>
    <border>
      <left style="medium">
        <color indexed="64"/>
      </left>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dashed">
        <color indexed="10"/>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medium">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diagonal/>
    </border>
    <border>
      <left style="hair">
        <color indexed="64"/>
      </left>
      <right style="medium">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medium">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style="hair">
        <color indexed="64"/>
      </top>
      <bottom style="thin">
        <color indexed="64"/>
      </bottom>
      <diagonal/>
    </border>
    <border>
      <left style="hair">
        <color indexed="64"/>
      </left>
      <right style="medium">
        <color indexed="64"/>
      </right>
      <top style="hair">
        <color indexed="64"/>
      </top>
      <bottom style="thin">
        <color indexed="64"/>
      </bottom>
      <diagonal/>
    </border>
    <border>
      <left style="hair">
        <color indexed="64"/>
      </left>
      <right style="medium">
        <color indexed="64"/>
      </right>
      <top style="medium">
        <color indexed="64"/>
      </top>
      <bottom style="medium">
        <color indexed="64"/>
      </bottom>
      <diagonal/>
    </border>
    <border>
      <left style="hair">
        <color indexed="64"/>
      </left>
      <right style="medium">
        <color indexed="64"/>
      </right>
      <top/>
      <bottom/>
      <diagonal/>
    </border>
    <border>
      <left style="thin">
        <color indexed="64"/>
      </left>
      <right style="hair">
        <color indexed="64"/>
      </right>
      <top style="medium">
        <color indexed="64"/>
      </top>
      <bottom style="hair">
        <color indexed="64"/>
      </bottom>
      <diagonal/>
    </border>
    <border>
      <left style="thin">
        <color indexed="64"/>
      </left>
      <right style="hair">
        <color indexed="64"/>
      </right>
      <top style="hair">
        <color indexed="64"/>
      </top>
      <bottom style="medium">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thin">
        <color indexed="64"/>
      </bottom>
      <diagonal/>
    </border>
    <border>
      <left style="thin">
        <color indexed="64"/>
      </left>
      <right style="hair">
        <color indexed="64"/>
      </right>
      <top style="medium">
        <color indexed="64"/>
      </top>
      <bottom style="medium">
        <color indexed="64"/>
      </bottom>
      <diagonal/>
    </border>
    <border>
      <left style="medium">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medium">
        <color indexed="64"/>
      </right>
      <top style="thin">
        <color indexed="64"/>
      </top>
      <bottom style="hair">
        <color indexed="64"/>
      </bottom>
      <diagonal/>
    </border>
    <border>
      <left style="medium">
        <color indexed="64"/>
      </left>
      <right style="hair">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medium">
        <color indexed="64"/>
      </top>
      <bottom/>
      <diagonal/>
    </border>
    <border>
      <left style="thin">
        <color indexed="64"/>
      </left>
      <right style="hair">
        <color indexed="64"/>
      </right>
      <top style="medium">
        <color indexed="64"/>
      </top>
      <bottom/>
      <diagonal/>
    </border>
    <border>
      <left/>
      <right style="hair">
        <color indexed="64"/>
      </right>
      <top style="medium">
        <color indexed="64"/>
      </top>
      <bottom/>
      <diagonal/>
    </border>
    <border>
      <left style="hair">
        <color indexed="64"/>
      </left>
      <right style="thin">
        <color indexed="64"/>
      </right>
      <top/>
      <bottom/>
      <diagonal/>
    </border>
    <border>
      <left style="medium">
        <color indexed="64"/>
      </left>
      <right style="medium">
        <color indexed="64"/>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style="medium">
        <color indexed="64"/>
      </top>
      <bottom/>
      <diagonal/>
    </border>
    <border>
      <left style="dashed">
        <color rgb="FFFF0000"/>
      </left>
      <right/>
      <top style="medium">
        <color indexed="64"/>
      </top>
      <bottom style="medium">
        <color indexed="64"/>
      </bottom>
      <diagonal/>
    </border>
    <border diagonalUp="1">
      <left style="hair">
        <color indexed="64"/>
      </left>
      <right/>
      <top style="hair">
        <color indexed="64"/>
      </top>
      <bottom style="hair">
        <color indexed="64"/>
      </bottom>
      <diagonal style="thin">
        <color indexed="64"/>
      </diagonal>
    </border>
    <border diagonalUp="1">
      <left/>
      <right style="hair">
        <color indexed="64"/>
      </right>
      <top style="hair">
        <color indexed="64"/>
      </top>
      <bottom style="hair">
        <color indexed="64"/>
      </bottom>
      <diagonal style="thin">
        <color indexed="64"/>
      </diagonal>
    </border>
    <border>
      <left style="thick">
        <color indexed="64"/>
      </left>
      <right style="thick">
        <color indexed="64"/>
      </right>
      <top/>
      <bottom style="thick">
        <color indexed="64"/>
      </bottom>
      <diagonal/>
    </border>
    <border>
      <left style="thick">
        <color indexed="64"/>
      </left>
      <right/>
      <top style="hair">
        <color indexed="64"/>
      </top>
      <bottom style="thick">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ck">
        <color indexed="64"/>
      </left>
      <right/>
      <top style="thick">
        <color indexed="64"/>
      </top>
      <bottom style="hair">
        <color indexed="64"/>
      </bottom>
      <diagonal/>
    </border>
  </borders>
  <cellStyleXfs count="5">
    <xf numFmtId="0" fontId="0" fillId="0" borderId="0">
      <alignment vertical="center"/>
    </xf>
    <xf numFmtId="0" fontId="23" fillId="0" borderId="0" applyNumberFormat="0" applyFill="0" applyBorder="0" applyAlignment="0" applyProtection="0">
      <alignment vertical="center"/>
    </xf>
    <xf numFmtId="0" fontId="22" fillId="0" borderId="0">
      <alignment vertical="center"/>
    </xf>
    <xf numFmtId="0" fontId="2" fillId="0" borderId="0">
      <alignment vertical="center"/>
    </xf>
    <xf numFmtId="0" fontId="1" fillId="0" borderId="0">
      <alignment vertical="center"/>
    </xf>
  </cellStyleXfs>
  <cellXfs count="3064">
    <xf numFmtId="0" fontId="0" fillId="0" borderId="0" xfId="0">
      <alignment vertical="center"/>
    </xf>
    <xf numFmtId="0" fontId="3" fillId="0" borderId="0" xfId="0" applyFont="1" applyFill="1" applyAlignment="1">
      <alignment vertical="center" shrinkToFit="1"/>
    </xf>
    <xf numFmtId="0" fontId="0" fillId="0" borderId="0" xfId="0" applyFont="1" applyFill="1" applyAlignment="1">
      <alignment horizontal="right" vertical="center"/>
    </xf>
    <xf numFmtId="0" fontId="0" fillId="0" borderId="0" xfId="0" applyFont="1" applyFill="1" applyAlignment="1">
      <alignment vertical="center" shrinkToFit="1"/>
    </xf>
    <xf numFmtId="0" fontId="0" fillId="0" borderId="0" xfId="0" applyFont="1" applyFill="1">
      <alignment vertical="center"/>
    </xf>
    <xf numFmtId="0" fontId="0" fillId="0" borderId="0" xfId="0" applyFont="1" applyFill="1" applyAlignment="1">
      <alignment horizontal="left" vertical="center" shrinkToFit="1"/>
    </xf>
    <xf numFmtId="164" fontId="0" fillId="0" borderId="0" xfId="0" applyNumberFormat="1" applyFont="1" applyFill="1" applyAlignment="1">
      <alignment vertical="center" shrinkToFit="1"/>
    </xf>
    <xf numFmtId="0" fontId="0" fillId="0" borderId="0" xfId="0" applyFont="1" applyFill="1" applyBorder="1" applyAlignment="1">
      <alignment horizontal="center" vertical="center" shrinkToFit="1"/>
    </xf>
    <xf numFmtId="0" fontId="5" fillId="0" borderId="2" xfId="0" applyFont="1" applyFill="1" applyBorder="1" applyAlignment="1">
      <alignment vertical="center" shrinkToFit="1"/>
    </xf>
    <xf numFmtId="0" fontId="5" fillId="0" borderId="2" xfId="0" applyFont="1" applyFill="1" applyBorder="1" applyAlignment="1">
      <alignment horizontal="center" vertical="center" shrinkToFit="1"/>
    </xf>
    <xf numFmtId="0" fontId="5" fillId="0" borderId="0" xfId="0" applyFont="1" applyFill="1">
      <alignment vertical="center"/>
    </xf>
    <xf numFmtId="0" fontId="5" fillId="0" borderId="3" xfId="0" applyFont="1" applyFill="1" applyBorder="1" applyAlignment="1">
      <alignment vertical="center" shrinkToFit="1"/>
    </xf>
    <xf numFmtId="0" fontId="0" fillId="0" borderId="2" xfId="0" applyFill="1" applyBorder="1">
      <alignment vertical="center"/>
    </xf>
    <xf numFmtId="0" fontId="5" fillId="0" borderId="2" xfId="0" applyFont="1" applyFill="1" applyBorder="1">
      <alignment vertical="center"/>
    </xf>
    <xf numFmtId="0" fontId="9" fillId="0" borderId="0" xfId="0" applyFont="1" applyFill="1" applyAlignment="1">
      <alignment horizontal="center" vertical="center"/>
    </xf>
    <xf numFmtId="0" fontId="9" fillId="0" borderId="0" xfId="0" applyFont="1" applyFill="1" applyBorder="1" applyAlignment="1">
      <alignment vertical="center"/>
    </xf>
    <xf numFmtId="0" fontId="11" fillId="0" borderId="0" xfId="0" applyFont="1" applyFill="1" applyBorder="1" applyAlignment="1">
      <alignment horizontal="center" vertical="center" textRotation="255"/>
    </xf>
    <xf numFmtId="0" fontId="11" fillId="0" borderId="0" xfId="0" applyFont="1" applyFill="1" applyBorder="1" applyAlignment="1">
      <alignment horizontal="center" vertical="center"/>
    </xf>
    <xf numFmtId="170" fontId="11" fillId="0" borderId="0" xfId="0" applyNumberFormat="1" applyFont="1" applyFill="1" applyBorder="1" applyAlignment="1">
      <alignment horizontal="center" vertical="center" wrapText="1"/>
    </xf>
    <xf numFmtId="170" fontId="13" fillId="0" borderId="0" xfId="0" applyNumberFormat="1" applyFont="1" applyFill="1" applyBorder="1" applyAlignment="1">
      <alignment horizontal="center" vertical="center"/>
    </xf>
    <xf numFmtId="0" fontId="13" fillId="0" borderId="0" xfId="0" applyFont="1" applyFill="1" applyBorder="1" applyAlignment="1">
      <alignment horizontal="left" vertical="center" wrapText="1"/>
    </xf>
    <xf numFmtId="0" fontId="14" fillId="0" borderId="0" xfId="0" applyFont="1" applyFill="1" applyBorder="1" applyAlignment="1">
      <alignment vertical="center"/>
    </xf>
    <xf numFmtId="0" fontId="14" fillId="0" borderId="0" xfId="0" applyFont="1" applyFill="1" applyAlignment="1">
      <alignment horizontal="left" vertical="center"/>
    </xf>
    <xf numFmtId="49" fontId="5" fillId="0" borderId="2" xfId="0" applyNumberFormat="1" applyFont="1" applyFill="1" applyBorder="1" applyAlignment="1">
      <alignment horizontal="left" vertical="center" shrinkToFit="1"/>
    </xf>
    <xf numFmtId="0" fontId="14" fillId="0" borderId="0" xfId="0" applyFont="1" applyFill="1" applyAlignment="1">
      <alignment vertical="center"/>
    </xf>
    <xf numFmtId="0" fontId="5" fillId="0" borderId="40" xfId="0" applyFont="1" applyFill="1" applyBorder="1">
      <alignment vertical="center"/>
    </xf>
    <xf numFmtId="0" fontId="5" fillId="0" borderId="41" xfId="0" applyFont="1" applyFill="1" applyBorder="1">
      <alignment vertical="center"/>
    </xf>
    <xf numFmtId="0" fontId="0" fillId="0" borderId="0" xfId="0" applyFont="1" applyFill="1" applyBorder="1" applyAlignment="1">
      <alignment horizontal="left" vertical="center" shrinkToFit="1"/>
    </xf>
    <xf numFmtId="0" fontId="11" fillId="8" borderId="54" xfId="0" applyFont="1" applyFill="1" applyBorder="1" applyAlignment="1">
      <alignment horizontal="center" vertical="center" wrapText="1"/>
    </xf>
    <xf numFmtId="0" fontId="12" fillId="8" borderId="55" xfId="0" applyFont="1" applyFill="1" applyBorder="1" applyAlignment="1">
      <alignment horizontal="left" vertical="center" shrinkToFit="1"/>
    </xf>
    <xf numFmtId="0" fontId="12" fillId="8" borderId="56" xfId="0" applyFont="1" applyFill="1" applyBorder="1" applyAlignment="1">
      <alignment horizontal="left" vertical="center" shrinkToFit="1"/>
    </xf>
    <xf numFmtId="0" fontId="12" fillId="8" borderId="53" xfId="0" applyFont="1" applyFill="1" applyBorder="1" applyAlignment="1">
      <alignment horizontal="left" vertical="center" shrinkToFit="1"/>
    </xf>
    <xf numFmtId="0" fontId="11" fillId="8" borderId="56" xfId="0" applyFont="1" applyFill="1" applyBorder="1" applyAlignment="1">
      <alignment horizontal="center" vertical="center" wrapText="1"/>
    </xf>
    <xf numFmtId="0" fontId="11" fillId="8" borderId="57" xfId="0" applyFont="1" applyFill="1" applyBorder="1" applyAlignment="1">
      <alignment horizontal="center" vertical="center" textRotation="255"/>
    </xf>
    <xf numFmtId="0" fontId="0" fillId="2" borderId="2" xfId="0" applyFill="1" applyBorder="1" applyAlignment="1">
      <alignment horizontal="center" vertical="center" shrinkToFit="1"/>
    </xf>
    <xf numFmtId="0" fontId="0" fillId="2" borderId="2" xfId="0" applyFill="1" applyBorder="1" applyAlignment="1">
      <alignment vertical="center" shrinkToFit="1"/>
    </xf>
    <xf numFmtId="0" fontId="0" fillId="0" borderId="0" xfId="0" applyAlignment="1">
      <alignment vertical="center" shrinkToFit="1"/>
    </xf>
    <xf numFmtId="0" fontId="0" fillId="0" borderId="2" xfId="0" applyBorder="1" applyAlignment="1">
      <alignment horizontal="center" vertical="center" shrinkToFit="1"/>
    </xf>
    <xf numFmtId="0" fontId="0" fillId="0" borderId="2" xfId="0" applyFill="1" applyBorder="1" applyAlignment="1">
      <alignment horizontal="center" vertical="center" shrinkToFit="1"/>
    </xf>
    <xf numFmtId="0" fontId="0" fillId="0" borderId="2" xfId="0" applyFill="1" applyBorder="1" applyAlignment="1">
      <alignment vertical="center" shrinkToFit="1"/>
    </xf>
    <xf numFmtId="0" fontId="0" fillId="4" borderId="2" xfId="0" applyFill="1" applyBorder="1" applyAlignment="1">
      <alignment horizontal="center" vertical="center" shrinkToFit="1"/>
    </xf>
    <xf numFmtId="0" fontId="0" fillId="4" borderId="2" xfId="0" applyFill="1" applyBorder="1" applyAlignment="1">
      <alignment vertical="center" shrinkToFit="1"/>
    </xf>
    <xf numFmtId="0" fontId="0" fillId="0" borderId="0" xfId="0" applyAlignment="1">
      <alignment horizontal="center" vertical="center" shrinkToFit="1"/>
    </xf>
    <xf numFmtId="176" fontId="9" fillId="0" borderId="0" xfId="0" applyNumberFormat="1" applyFont="1" applyFill="1" applyAlignment="1">
      <alignment horizontal="center" vertical="center"/>
    </xf>
    <xf numFmtId="176" fontId="11" fillId="0" borderId="0" xfId="0" applyNumberFormat="1" applyFont="1" applyFill="1" applyBorder="1" applyAlignment="1">
      <alignment horizontal="left" vertical="center" wrapText="1"/>
    </xf>
    <xf numFmtId="177" fontId="0" fillId="0" borderId="2" xfId="0" applyNumberFormat="1" applyFill="1" applyBorder="1" applyAlignment="1">
      <alignment horizontal="center" vertical="center" shrinkToFit="1"/>
    </xf>
    <xf numFmtId="0" fontId="0" fillId="2" borderId="6" xfId="0" applyFill="1" applyBorder="1" applyAlignment="1">
      <alignment vertical="center" textRotation="255" shrinkToFit="1"/>
    </xf>
    <xf numFmtId="0" fontId="0" fillId="2" borderId="1" xfId="0" applyFill="1" applyBorder="1" applyAlignment="1">
      <alignment vertical="center" textRotation="255" shrinkToFit="1"/>
    </xf>
    <xf numFmtId="0" fontId="6" fillId="0" borderId="0" xfId="0" applyFont="1" applyFill="1" applyAlignment="1">
      <alignment horizontal="left" vertical="center"/>
    </xf>
    <xf numFmtId="0" fontId="5" fillId="0" borderId="80" xfId="0" applyFont="1" applyFill="1" applyBorder="1" applyAlignment="1">
      <alignment horizontal="right" vertical="center" shrinkToFit="1"/>
    </xf>
    <xf numFmtId="0" fontId="5" fillId="0" borderId="81" xfId="0" applyFont="1" applyFill="1" applyBorder="1" applyAlignment="1">
      <alignment horizontal="left" vertical="center"/>
    </xf>
    <xf numFmtId="0" fontId="5" fillId="0" borderId="81" xfId="0" applyFont="1" applyFill="1" applyBorder="1" applyAlignment="1">
      <alignment horizontal="right" vertical="center" shrinkToFit="1"/>
    </xf>
    <xf numFmtId="0" fontId="5" fillId="0" borderId="82" xfId="0" applyFont="1" applyFill="1" applyBorder="1" applyAlignment="1">
      <alignment horizontal="left" vertical="center"/>
    </xf>
    <xf numFmtId="0" fontId="5" fillId="0" borderId="9" xfId="0" applyFont="1" applyFill="1" applyBorder="1">
      <alignment vertical="center"/>
    </xf>
    <xf numFmtId="0" fontId="5" fillId="0" borderId="61" xfId="0" applyFont="1" applyFill="1" applyBorder="1">
      <alignment vertical="center"/>
    </xf>
    <xf numFmtId="0" fontId="5" fillId="0" borderId="88" xfId="0" applyFont="1" applyFill="1" applyBorder="1">
      <alignment vertical="center"/>
    </xf>
    <xf numFmtId="0" fontId="5" fillId="0" borderId="89" xfId="0" applyFont="1" applyFill="1" applyBorder="1">
      <alignment vertical="center"/>
    </xf>
    <xf numFmtId="0" fontId="5" fillId="0" borderId="90" xfId="0" applyFont="1" applyFill="1" applyBorder="1">
      <alignment vertical="center"/>
    </xf>
    <xf numFmtId="0" fontId="5" fillId="0" borderId="91" xfId="0" applyFont="1" applyFill="1" applyBorder="1">
      <alignment vertical="center"/>
    </xf>
    <xf numFmtId="0" fontId="5" fillId="0" borderId="64" xfId="0" applyFont="1" applyFill="1" applyBorder="1">
      <alignment vertical="center"/>
    </xf>
    <xf numFmtId="0" fontId="5" fillId="0" borderId="92" xfId="0" applyFont="1" applyFill="1" applyBorder="1">
      <alignment vertical="center"/>
    </xf>
    <xf numFmtId="0" fontId="5" fillId="0" borderId="93" xfId="0" applyFont="1" applyFill="1" applyBorder="1">
      <alignment vertical="center"/>
    </xf>
    <xf numFmtId="0" fontId="5" fillId="0" borderId="42" xfId="0" applyFont="1" applyFill="1" applyBorder="1">
      <alignment vertical="center"/>
    </xf>
    <xf numFmtId="0" fontId="5" fillId="0" borderId="49" xfId="0" applyFont="1" applyFill="1" applyBorder="1">
      <alignment vertical="center"/>
    </xf>
    <xf numFmtId="0" fontId="5" fillId="0" borderId="63" xfId="0" applyFont="1" applyFill="1" applyBorder="1">
      <alignment vertical="center"/>
    </xf>
    <xf numFmtId="0" fontId="5" fillId="0" borderId="94" xfId="0" applyFont="1" applyFill="1" applyBorder="1">
      <alignment vertical="center"/>
    </xf>
    <xf numFmtId="0" fontId="5" fillId="0" borderId="95" xfId="0" applyFont="1" applyFill="1" applyBorder="1">
      <alignment vertical="center"/>
    </xf>
    <xf numFmtId="0" fontId="5" fillId="0" borderId="103" xfId="0" applyFont="1" applyFill="1" applyBorder="1">
      <alignment vertical="center"/>
    </xf>
    <xf numFmtId="0" fontId="9" fillId="6" borderId="0" xfId="0" applyFont="1" applyFill="1" applyAlignment="1">
      <alignment horizontal="center" vertical="center"/>
    </xf>
    <xf numFmtId="0" fontId="5" fillId="0" borderId="108" xfId="0" applyFont="1" applyFill="1" applyBorder="1">
      <alignment vertical="center"/>
    </xf>
    <xf numFmtId="0" fontId="5" fillId="0" borderId="97" xfId="0" applyFont="1" applyFill="1" applyBorder="1">
      <alignment vertical="center"/>
    </xf>
    <xf numFmtId="0" fontId="5" fillId="0" borderId="112" xfId="0" applyFont="1" applyFill="1" applyBorder="1">
      <alignment vertical="center"/>
    </xf>
    <xf numFmtId="0" fontId="5" fillId="0" borderId="113" xfId="0" applyFont="1" applyFill="1" applyBorder="1">
      <alignment vertical="center"/>
    </xf>
    <xf numFmtId="0" fontId="5" fillId="0" borderId="114" xfId="0" applyFont="1" applyFill="1" applyBorder="1">
      <alignment vertical="center"/>
    </xf>
    <xf numFmtId="0" fontId="5" fillId="0" borderId="0" xfId="0" applyFont="1" applyFill="1" applyBorder="1">
      <alignment vertical="center"/>
    </xf>
    <xf numFmtId="0" fontId="5" fillId="0" borderId="9" xfId="0" applyNumberFormat="1" applyFont="1" applyFill="1" applyBorder="1" applyAlignment="1">
      <alignment vertical="center"/>
    </xf>
    <xf numFmtId="0" fontId="0" fillId="0" borderId="41" xfId="0" applyFont="1" applyFill="1" applyBorder="1" applyAlignment="1">
      <alignment vertical="center" shrinkToFit="1"/>
    </xf>
    <xf numFmtId="0" fontId="0" fillId="0" borderId="69" xfId="0" applyFont="1" applyFill="1" applyBorder="1" applyAlignment="1">
      <alignment vertical="center" shrinkToFit="1"/>
    </xf>
    <xf numFmtId="0" fontId="8" fillId="0" borderId="0" xfId="0" applyFont="1" applyFill="1" applyBorder="1" applyAlignment="1">
      <alignment vertical="center"/>
    </xf>
    <xf numFmtId="0" fontId="5" fillId="0" borderId="106" xfId="0" applyFont="1" applyFill="1" applyBorder="1">
      <alignment vertical="center"/>
    </xf>
    <xf numFmtId="0" fontId="5" fillId="0" borderId="48" xfId="0" applyFont="1" applyFill="1" applyBorder="1">
      <alignment vertical="center"/>
    </xf>
    <xf numFmtId="0" fontId="5" fillId="0" borderId="66" xfId="0" applyFont="1" applyFill="1" applyBorder="1">
      <alignment vertical="center"/>
    </xf>
    <xf numFmtId="0" fontId="5" fillId="0" borderId="121" xfId="0" applyFont="1" applyFill="1" applyBorder="1">
      <alignment vertical="center"/>
    </xf>
    <xf numFmtId="0" fontId="5" fillId="0" borderId="122" xfId="0" applyFont="1" applyFill="1" applyBorder="1">
      <alignment vertical="center"/>
    </xf>
    <xf numFmtId="0" fontId="5" fillId="0" borderId="100" xfId="0" applyFont="1" applyFill="1" applyBorder="1">
      <alignment vertical="center"/>
    </xf>
    <xf numFmtId="0" fontId="5" fillId="0" borderId="130" xfId="0" applyFont="1" applyFill="1" applyBorder="1" applyAlignment="1">
      <alignment horizontal="left" vertical="center"/>
    </xf>
    <xf numFmtId="0" fontId="24" fillId="0" borderId="2" xfId="0" applyFont="1" applyFill="1" applyBorder="1">
      <alignment vertical="center"/>
    </xf>
    <xf numFmtId="0" fontId="9" fillId="0" borderId="0" xfId="0" applyFont="1" applyFill="1" applyBorder="1" applyAlignment="1">
      <alignment horizontal="center" vertical="center"/>
    </xf>
    <xf numFmtId="0" fontId="5" fillId="0" borderId="0" xfId="0" applyFont="1" applyFill="1" applyAlignment="1">
      <alignment horizontal="center" vertical="center"/>
    </xf>
    <xf numFmtId="0" fontId="5" fillId="0" borderId="209" xfId="0" applyFont="1" applyFill="1" applyBorder="1">
      <alignment vertical="center"/>
    </xf>
    <xf numFmtId="174" fontId="9" fillId="0" borderId="0" xfId="0" applyNumberFormat="1" applyFont="1" applyFill="1" applyBorder="1" applyAlignment="1">
      <alignment vertical="center"/>
    </xf>
    <xf numFmtId="174" fontId="10" fillId="0" borderId="0" xfId="0" applyNumberFormat="1" applyFont="1" applyFill="1" applyBorder="1" applyAlignment="1">
      <alignment horizontal="center" vertical="center"/>
    </xf>
    <xf numFmtId="174" fontId="11" fillId="0" borderId="0" xfId="0" applyNumberFormat="1" applyFont="1" applyFill="1" applyBorder="1" applyAlignment="1">
      <alignment horizontal="center" vertical="center" wrapText="1"/>
    </xf>
    <xf numFmtId="174" fontId="9" fillId="0" borderId="0" xfId="0" applyNumberFormat="1" applyFont="1" applyFill="1" applyAlignment="1">
      <alignment horizontal="center" vertical="center"/>
    </xf>
    <xf numFmtId="174" fontId="14" fillId="0" borderId="0" xfId="0" applyNumberFormat="1" applyFont="1" applyFill="1" applyBorder="1" applyAlignment="1">
      <alignment vertical="center"/>
    </xf>
    <xf numFmtId="178" fontId="9" fillId="0" borderId="0" xfId="0" applyNumberFormat="1" applyFont="1" applyFill="1" applyAlignment="1">
      <alignment horizontal="center" vertical="center"/>
    </xf>
    <xf numFmtId="178" fontId="9" fillId="0" borderId="2" xfId="0" applyNumberFormat="1" applyFont="1" applyFill="1" applyBorder="1" applyAlignment="1">
      <alignment horizontal="center" vertical="center"/>
    </xf>
    <xf numFmtId="0" fontId="21" fillId="0" borderId="2" xfId="0" applyFont="1" applyFill="1" applyBorder="1" applyAlignment="1">
      <alignment horizontal="center" vertical="center"/>
    </xf>
    <xf numFmtId="0" fontId="0" fillId="0" borderId="2" xfId="0" applyFill="1" applyBorder="1" applyAlignment="1">
      <alignment horizontal="center" vertical="center"/>
    </xf>
    <xf numFmtId="0" fontId="0" fillId="0" borderId="0" xfId="0" applyFill="1">
      <alignment vertical="center"/>
    </xf>
    <xf numFmtId="0" fontId="0" fillId="0" borderId="3" xfId="0" applyFill="1" applyBorder="1">
      <alignment vertical="center"/>
    </xf>
    <xf numFmtId="0" fontId="5" fillId="0" borderId="1" xfId="0" applyFont="1" applyFill="1" applyBorder="1" applyAlignment="1">
      <alignment horizontal="center" vertical="center"/>
    </xf>
    <xf numFmtId="0" fontId="11" fillId="0" borderId="0" xfId="0" applyFont="1" applyFill="1" applyBorder="1" applyAlignment="1">
      <alignment horizontal="left" vertical="center" wrapText="1" shrinkToFit="1"/>
    </xf>
    <xf numFmtId="0" fontId="11" fillId="0" borderId="0" xfId="0" applyFont="1" applyFill="1" applyBorder="1" applyAlignment="1">
      <alignment horizontal="left" vertical="center" wrapText="1"/>
    </xf>
    <xf numFmtId="0" fontId="14" fillId="0" borderId="0" xfId="0" applyFont="1" applyFill="1" applyBorder="1" applyAlignment="1">
      <alignment horizontal="left" vertical="center" wrapText="1" shrinkToFit="1"/>
    </xf>
    <xf numFmtId="0" fontId="5" fillId="0" borderId="132" xfId="0" applyFont="1" applyFill="1" applyBorder="1">
      <alignment vertical="center"/>
    </xf>
    <xf numFmtId="0" fontId="5" fillId="0" borderId="113" xfId="0" applyFont="1" applyFill="1" applyBorder="1" applyAlignment="1">
      <alignment horizontal="right" vertical="center"/>
    </xf>
    <xf numFmtId="0" fontId="5" fillId="0" borderId="210" xfId="0" applyFont="1" applyFill="1" applyBorder="1">
      <alignment vertical="center"/>
    </xf>
    <xf numFmtId="0" fontId="5" fillId="0" borderId="41" xfId="0" applyFont="1" applyFill="1" applyBorder="1" applyAlignment="1">
      <alignment vertical="top"/>
    </xf>
    <xf numFmtId="0" fontId="5" fillId="0" borderId="214" xfId="0" applyFont="1" applyFill="1" applyBorder="1" applyAlignment="1">
      <alignment horizontal="left" vertical="center"/>
    </xf>
    <xf numFmtId="0" fontId="5" fillId="0" borderId="215" xfId="0" applyFont="1" applyFill="1" applyBorder="1" applyAlignment="1">
      <alignment horizontal="right" vertical="center" shrinkToFit="1"/>
    </xf>
    <xf numFmtId="165" fontId="0" fillId="0" borderId="2" xfId="0" applyNumberFormat="1" applyFill="1" applyBorder="1" applyAlignment="1">
      <alignment horizontal="center" vertical="center" shrinkToFit="1"/>
    </xf>
    <xf numFmtId="0" fontId="9" fillId="0" borderId="145" xfId="0" applyFont="1" applyFill="1" applyBorder="1" applyAlignment="1">
      <alignment vertical="center"/>
    </xf>
    <xf numFmtId="0" fontId="9" fillId="0" borderId="146" xfId="0" applyFont="1" applyFill="1" applyBorder="1" applyAlignment="1">
      <alignment vertical="center"/>
    </xf>
    <xf numFmtId="0" fontId="9" fillId="0" borderId="101" xfId="0" applyFont="1" applyFill="1" applyBorder="1" applyAlignment="1">
      <alignment vertical="center"/>
    </xf>
    <xf numFmtId="0" fontId="9" fillId="0" borderId="147" xfId="0" applyFont="1" applyFill="1" applyBorder="1" applyAlignment="1">
      <alignment vertical="center"/>
    </xf>
    <xf numFmtId="0" fontId="5" fillId="0" borderId="88" xfId="0" applyFont="1" applyFill="1" applyBorder="1" applyAlignment="1">
      <alignment horizontal="right" vertical="center"/>
    </xf>
    <xf numFmtId="0" fontId="5" fillId="0" borderId="107" xfId="0" applyFont="1" applyFill="1" applyBorder="1" applyAlignment="1">
      <alignment vertical="top"/>
    </xf>
    <xf numFmtId="20" fontId="5" fillId="0" borderId="41" xfId="0" applyNumberFormat="1" applyFont="1" applyFill="1" applyBorder="1">
      <alignment vertical="center"/>
    </xf>
    <xf numFmtId="20" fontId="5" fillId="0" borderId="91" xfId="0" applyNumberFormat="1" applyFont="1" applyFill="1" applyBorder="1">
      <alignment vertical="center"/>
    </xf>
    <xf numFmtId="0" fontId="0" fillId="2" borderId="3" xfId="0" applyFill="1" applyBorder="1" applyAlignment="1">
      <alignment vertical="center" textRotation="255" shrinkToFit="1"/>
    </xf>
    <xf numFmtId="0" fontId="5" fillId="0" borderId="114" xfId="0" applyFont="1" applyFill="1" applyBorder="1" applyAlignment="1">
      <alignment vertical="top"/>
    </xf>
    <xf numFmtId="0" fontId="5" fillId="0" borderId="40" xfId="0" applyFont="1" applyFill="1" applyBorder="1" applyAlignment="1">
      <alignment vertical="top"/>
    </xf>
    <xf numFmtId="0" fontId="5" fillId="0" borderId="3" xfId="0" applyFont="1" applyFill="1" applyBorder="1">
      <alignment vertical="center"/>
    </xf>
    <xf numFmtId="0" fontId="5" fillId="0" borderId="88" xfId="0" applyFont="1" applyFill="1" applyBorder="1" applyAlignment="1">
      <alignment vertical="top"/>
    </xf>
    <xf numFmtId="0" fontId="5" fillId="0" borderId="208" xfId="0" applyFont="1" applyFill="1" applyBorder="1" applyAlignment="1">
      <alignment horizontal="center" vertical="center" shrinkToFit="1"/>
    </xf>
    <xf numFmtId="0" fontId="0" fillId="0" borderId="220" xfId="0" applyFont="1" applyFill="1" applyBorder="1" applyAlignment="1">
      <alignment vertical="center" shrinkToFit="1"/>
    </xf>
    <xf numFmtId="0" fontId="0" fillId="0" borderId="180" xfId="0" applyFont="1" applyFill="1" applyBorder="1">
      <alignment vertical="center"/>
    </xf>
    <xf numFmtId="0" fontId="0" fillId="0" borderId="103" xfId="0" applyFont="1" applyFill="1" applyBorder="1">
      <alignment vertical="center"/>
    </xf>
    <xf numFmtId="0" fontId="0" fillId="0" borderId="36" xfId="0" applyFont="1" applyFill="1" applyBorder="1">
      <alignment vertical="center"/>
    </xf>
    <xf numFmtId="0" fontId="0" fillId="0" borderId="126" xfId="0" applyFont="1" applyFill="1" applyBorder="1">
      <alignment vertical="center"/>
    </xf>
    <xf numFmtId="0" fontId="27" fillId="0" borderId="0" xfId="0" applyFont="1" applyFill="1" applyBorder="1">
      <alignment vertical="center"/>
    </xf>
    <xf numFmtId="0" fontId="0" fillId="0" borderId="0" xfId="0" applyFont="1" applyFill="1" applyBorder="1">
      <alignment vertical="center"/>
    </xf>
    <xf numFmtId="0" fontId="0" fillId="0" borderId="213" xfId="0" applyFont="1" applyFill="1" applyBorder="1">
      <alignment vertical="center"/>
    </xf>
    <xf numFmtId="0" fontId="0" fillId="0" borderId="132" xfId="0" applyFont="1" applyFill="1" applyBorder="1">
      <alignment vertical="center"/>
    </xf>
    <xf numFmtId="0" fontId="0" fillId="0" borderId="37" xfId="0" applyFont="1" applyFill="1" applyBorder="1">
      <alignment vertical="center"/>
    </xf>
    <xf numFmtId="0" fontId="10" fillId="0" borderId="0" xfId="0" applyFont="1" applyFill="1" applyBorder="1" applyAlignment="1">
      <alignment horizontal="center" vertical="center"/>
    </xf>
    <xf numFmtId="0" fontId="5" fillId="22" borderId="122" xfId="0" applyFont="1" applyFill="1" applyBorder="1">
      <alignment vertical="center"/>
    </xf>
    <xf numFmtId="0" fontId="5" fillId="22" borderId="48" xfId="0" applyFont="1" applyFill="1" applyBorder="1">
      <alignment vertical="center"/>
    </xf>
    <xf numFmtId="0" fontId="5" fillId="22" borderId="66" xfId="0" applyFont="1" applyFill="1" applyBorder="1">
      <alignment vertical="center"/>
    </xf>
    <xf numFmtId="0" fontId="5" fillId="22" borderId="121" xfId="0" applyFont="1" applyFill="1" applyBorder="1">
      <alignment vertical="center"/>
    </xf>
    <xf numFmtId="0" fontId="5" fillId="22" borderId="84" xfId="0" applyFont="1" applyFill="1" applyBorder="1">
      <alignment vertical="center"/>
    </xf>
    <xf numFmtId="0" fontId="5" fillId="22" borderId="85" xfId="0" applyFont="1" applyFill="1" applyBorder="1">
      <alignment vertical="center"/>
    </xf>
    <xf numFmtId="0" fontId="5" fillId="22" borderId="86" xfId="0" applyFont="1" applyFill="1" applyBorder="1">
      <alignment vertical="center"/>
    </xf>
    <xf numFmtId="0" fontId="5" fillId="22" borderId="87" xfId="0" applyFont="1" applyFill="1" applyBorder="1">
      <alignment vertical="center"/>
    </xf>
    <xf numFmtId="0" fontId="5" fillId="22" borderId="89" xfId="0" applyFont="1" applyFill="1" applyBorder="1">
      <alignment vertical="center"/>
    </xf>
    <xf numFmtId="0" fontId="5" fillId="22" borderId="41" xfId="0" applyFont="1" applyFill="1" applyBorder="1">
      <alignment vertical="center"/>
    </xf>
    <xf numFmtId="0" fontId="5" fillId="22" borderId="61" xfId="0" applyFont="1" applyFill="1" applyBorder="1">
      <alignment vertical="center"/>
    </xf>
    <xf numFmtId="0" fontId="5" fillId="22" borderId="88" xfId="0" applyFont="1" applyFill="1" applyBorder="1">
      <alignment vertical="center"/>
    </xf>
    <xf numFmtId="0" fontId="5" fillId="22" borderId="88" xfId="0" applyFont="1" applyFill="1" applyBorder="1" applyAlignment="1">
      <alignment horizontal="right" vertical="center"/>
    </xf>
    <xf numFmtId="0" fontId="5" fillId="22" borderId="95" xfId="0" applyFont="1" applyFill="1" applyBorder="1">
      <alignment vertical="center"/>
    </xf>
    <xf numFmtId="0" fontId="5" fillId="22" borderId="49" xfId="0" applyFont="1" applyFill="1" applyBorder="1">
      <alignment vertical="center"/>
    </xf>
    <xf numFmtId="0" fontId="5" fillId="22" borderId="63" xfId="0" applyFont="1" applyFill="1" applyBorder="1">
      <alignment vertical="center"/>
    </xf>
    <xf numFmtId="0" fontId="5" fillId="17" borderId="89" xfId="0" applyFont="1" applyFill="1" applyBorder="1">
      <alignment vertical="center"/>
    </xf>
    <xf numFmtId="0" fontId="5" fillId="17" borderId="41" xfId="0" applyFont="1" applyFill="1" applyBorder="1">
      <alignment vertical="center"/>
    </xf>
    <xf numFmtId="0" fontId="5" fillId="17" borderId="61" xfId="0" applyFont="1" applyFill="1" applyBorder="1">
      <alignment vertical="center"/>
    </xf>
    <xf numFmtId="0" fontId="5" fillId="17" borderId="88" xfId="0" applyFont="1" applyFill="1" applyBorder="1">
      <alignment vertical="center"/>
    </xf>
    <xf numFmtId="0" fontId="5" fillId="17" borderId="88" xfId="0" applyFont="1" applyFill="1" applyBorder="1" applyAlignment="1">
      <alignment horizontal="right" vertical="center"/>
    </xf>
    <xf numFmtId="0" fontId="5" fillId="23" borderId="89" xfId="0" applyFont="1" applyFill="1" applyBorder="1">
      <alignment vertical="center"/>
    </xf>
    <xf numFmtId="0" fontId="5" fillId="23" borderId="41" xfId="0" applyFont="1" applyFill="1" applyBorder="1">
      <alignment vertical="center"/>
    </xf>
    <xf numFmtId="0" fontId="5" fillId="23" borderId="61" xfId="0" applyFont="1" applyFill="1" applyBorder="1">
      <alignment vertical="center"/>
    </xf>
    <xf numFmtId="0" fontId="5" fillId="23" borderId="88" xfId="0" applyFont="1" applyFill="1" applyBorder="1">
      <alignment vertical="center"/>
    </xf>
    <xf numFmtId="0" fontId="5" fillId="23" borderId="88" xfId="0" applyFont="1" applyFill="1" applyBorder="1" applyAlignment="1">
      <alignment horizontal="right" vertical="center"/>
    </xf>
    <xf numFmtId="0" fontId="5" fillId="23" borderId="93" xfId="0" applyFont="1" applyFill="1" applyBorder="1">
      <alignment vertical="center"/>
    </xf>
    <xf numFmtId="0" fontId="5" fillId="23" borderId="91" xfId="0" applyFont="1" applyFill="1" applyBorder="1">
      <alignment vertical="center"/>
    </xf>
    <xf numFmtId="0" fontId="5" fillId="23" borderId="64" xfId="0" applyFont="1" applyFill="1" applyBorder="1">
      <alignment vertical="center"/>
    </xf>
    <xf numFmtId="0" fontId="5" fillId="23" borderId="92" xfId="0" applyFont="1" applyFill="1" applyBorder="1">
      <alignment vertical="center"/>
    </xf>
    <xf numFmtId="0" fontId="5" fillId="17" borderId="79" xfId="0" applyFont="1" applyFill="1" applyBorder="1" applyAlignment="1">
      <alignment horizontal="center" vertical="center"/>
    </xf>
    <xf numFmtId="0" fontId="5" fillId="23" borderId="79" xfId="0" applyFont="1" applyFill="1" applyBorder="1" applyAlignment="1">
      <alignment horizontal="center" vertical="center"/>
    </xf>
    <xf numFmtId="0" fontId="5" fillId="22" borderId="79" xfId="0" applyFont="1" applyFill="1" applyBorder="1" applyAlignment="1">
      <alignment horizontal="center" vertical="center"/>
    </xf>
    <xf numFmtId="0" fontId="5" fillId="22" borderId="220" xfId="0" applyNumberFormat="1" applyFont="1" applyFill="1" applyBorder="1" applyAlignment="1">
      <alignment horizontal="left" vertical="center" shrinkToFit="1"/>
    </xf>
    <xf numFmtId="0" fontId="0" fillId="0" borderId="0" xfId="0" applyFill="1" applyBorder="1">
      <alignment vertical="center"/>
    </xf>
    <xf numFmtId="0" fontId="5" fillId="0" borderId="234" xfId="0" applyFont="1" applyFill="1" applyBorder="1" applyAlignment="1">
      <alignment horizontal="center" vertical="center" shrinkToFit="1"/>
    </xf>
    <xf numFmtId="0" fontId="0" fillId="0" borderId="222" xfId="0" applyFont="1" applyFill="1" applyBorder="1" applyAlignment="1">
      <alignment horizontal="left" vertical="center" shrinkToFit="1"/>
    </xf>
    <xf numFmtId="0" fontId="5" fillId="0" borderId="231" xfId="0" applyFont="1" applyFill="1" applyBorder="1">
      <alignment vertical="center"/>
    </xf>
    <xf numFmtId="0" fontId="5" fillId="17" borderId="93" xfId="0" applyFont="1" applyFill="1" applyBorder="1">
      <alignment vertical="center"/>
    </xf>
    <xf numFmtId="0" fontId="5" fillId="17" borderId="91" xfId="0" applyFont="1" applyFill="1" applyBorder="1">
      <alignment vertical="center"/>
    </xf>
    <xf numFmtId="0" fontId="5" fillId="17" borderId="64" xfId="0" applyFont="1" applyFill="1" applyBorder="1">
      <alignment vertical="center"/>
    </xf>
    <xf numFmtId="0" fontId="5" fillId="17" borderId="210" xfId="0" applyFont="1" applyFill="1" applyBorder="1">
      <alignment vertical="center"/>
    </xf>
    <xf numFmtId="0" fontId="5" fillId="0" borderId="79" xfId="0" applyFont="1" applyFill="1" applyBorder="1" applyAlignment="1">
      <alignment horizontal="center" vertical="center"/>
    </xf>
    <xf numFmtId="0" fontId="5" fillId="22" borderId="78" xfId="0" applyFont="1" applyFill="1" applyBorder="1" applyAlignment="1">
      <alignment horizontal="center" vertical="center"/>
    </xf>
    <xf numFmtId="0" fontId="5" fillId="22" borderId="83" xfId="0" applyFont="1" applyFill="1" applyBorder="1">
      <alignment vertical="center"/>
    </xf>
    <xf numFmtId="0" fontId="5" fillId="22" borderId="69" xfId="0" applyFont="1" applyFill="1" applyBorder="1" applyAlignment="1">
      <alignment horizontal="center" vertical="center"/>
    </xf>
    <xf numFmtId="0" fontId="5" fillId="22" borderId="9" xfId="0" applyFont="1" applyFill="1" applyBorder="1">
      <alignment vertical="center"/>
    </xf>
    <xf numFmtId="0" fontId="5" fillId="22" borderId="96" xfId="0" applyFont="1" applyFill="1" applyBorder="1" applyAlignment="1">
      <alignment horizontal="center" vertical="center"/>
    </xf>
    <xf numFmtId="0" fontId="5" fillId="22" borderId="91" xfId="0" applyFont="1" applyFill="1" applyBorder="1">
      <alignment vertical="center"/>
    </xf>
    <xf numFmtId="0" fontId="5" fillId="22" borderId="64" xfId="0" applyFont="1" applyFill="1" applyBorder="1">
      <alignment vertical="center"/>
    </xf>
    <xf numFmtId="0" fontId="5" fillId="22" borderId="92" xfId="0" applyFont="1" applyFill="1" applyBorder="1">
      <alignment vertical="center"/>
    </xf>
    <xf numFmtId="0" fontId="5" fillId="22" borderId="93" xfId="0" applyFont="1" applyFill="1" applyBorder="1">
      <alignment vertical="center"/>
    </xf>
    <xf numFmtId="0" fontId="5" fillId="22" borderId="90" xfId="0" applyFont="1" applyFill="1" applyBorder="1">
      <alignment vertical="center"/>
    </xf>
    <xf numFmtId="0" fontId="5" fillId="22" borderId="91" xfId="0" applyFont="1" applyFill="1" applyBorder="1" applyAlignment="1">
      <alignment vertical="top"/>
    </xf>
    <xf numFmtId="0" fontId="5" fillId="22" borderId="219" xfId="0" applyNumberFormat="1" applyFont="1" applyFill="1" applyBorder="1" applyAlignment="1">
      <alignment horizontal="left" vertical="center" shrinkToFit="1"/>
    </xf>
    <xf numFmtId="0" fontId="5" fillId="22" borderId="94" xfId="0" applyFont="1" applyFill="1" applyBorder="1">
      <alignment vertical="center"/>
    </xf>
    <xf numFmtId="0" fontId="5" fillId="0" borderId="63" xfId="0" applyFont="1" applyFill="1" applyBorder="1" applyAlignment="1">
      <alignment vertical="top"/>
    </xf>
    <xf numFmtId="0" fontId="5" fillId="0" borderId="236" xfId="0" applyFont="1" applyFill="1" applyBorder="1">
      <alignment vertical="center"/>
    </xf>
    <xf numFmtId="14" fontId="5" fillId="0" borderId="63" xfId="0" quotePrefix="1" applyNumberFormat="1" applyFont="1" applyFill="1" applyBorder="1" applyAlignment="1">
      <alignment vertical="top"/>
    </xf>
    <xf numFmtId="14" fontId="5" fillId="22" borderId="63" xfId="0" quotePrefix="1" applyNumberFormat="1" applyFont="1" applyFill="1" applyBorder="1" applyAlignment="1">
      <alignment vertical="top"/>
    </xf>
    <xf numFmtId="0" fontId="5" fillId="23" borderId="97" xfId="0" applyFont="1" applyFill="1" applyBorder="1">
      <alignment vertical="center"/>
    </xf>
    <xf numFmtId="20" fontId="5" fillId="23" borderId="41" xfId="0" applyNumberFormat="1" applyFont="1" applyFill="1" applyBorder="1">
      <alignment vertical="center"/>
    </xf>
    <xf numFmtId="0" fontId="5" fillId="17" borderId="96" xfId="0" applyFont="1" applyFill="1" applyBorder="1" applyAlignment="1">
      <alignment horizontal="center" vertical="center"/>
    </xf>
    <xf numFmtId="0" fontId="5" fillId="17" borderId="92" xfId="0" applyFont="1" applyFill="1" applyBorder="1">
      <alignment vertical="center"/>
    </xf>
    <xf numFmtId="0" fontId="15" fillId="0" borderId="0" xfId="0" applyFont="1" applyFill="1" applyBorder="1" applyAlignment="1">
      <alignment horizontal="center" vertical="center" textRotation="255" wrapText="1" shrinkToFit="1"/>
    </xf>
    <xf numFmtId="0" fontId="5" fillId="0" borderId="0" xfId="0" applyFont="1" applyFill="1" applyBorder="1" applyAlignment="1">
      <alignment horizontal="center" vertical="center" shrinkToFit="1"/>
    </xf>
    <xf numFmtId="0" fontId="5" fillId="0" borderId="0" xfId="0" applyNumberFormat="1" applyFont="1" applyFill="1" applyBorder="1" applyAlignment="1">
      <alignment horizontal="left" vertical="center" shrinkToFit="1"/>
    </xf>
    <xf numFmtId="0" fontId="5" fillId="0" borderId="229" xfId="0" applyFont="1" applyFill="1" applyBorder="1">
      <alignment vertical="center"/>
    </xf>
    <xf numFmtId="0" fontId="5" fillId="0" borderId="241" xfId="0" applyFont="1" applyFill="1" applyBorder="1" applyAlignment="1">
      <alignment horizontal="center" vertical="center"/>
    </xf>
    <xf numFmtId="0" fontId="5" fillId="0" borderId="59" xfId="0" applyFont="1" applyFill="1" applyBorder="1">
      <alignment vertical="center"/>
    </xf>
    <xf numFmtId="0" fontId="5" fillId="0" borderId="252" xfId="0" applyFont="1" applyFill="1" applyBorder="1">
      <alignment vertical="center"/>
    </xf>
    <xf numFmtId="0" fontId="5" fillId="0" borderId="253" xfId="0" applyFont="1" applyFill="1" applyBorder="1">
      <alignment vertical="center"/>
    </xf>
    <xf numFmtId="0" fontId="5" fillId="0" borderId="254" xfId="0" applyFont="1" applyFill="1" applyBorder="1">
      <alignment vertical="center"/>
    </xf>
    <xf numFmtId="0" fontId="5" fillId="0" borderId="15" xfId="0" applyFont="1" applyFill="1" applyBorder="1">
      <alignment vertical="center"/>
    </xf>
    <xf numFmtId="0" fontId="5" fillId="0" borderId="255" xfId="0" applyFont="1" applyFill="1" applyBorder="1" applyAlignment="1">
      <alignment vertical="top"/>
    </xf>
    <xf numFmtId="0" fontId="5" fillId="0" borderId="59" xfId="0" applyFont="1" applyFill="1" applyBorder="1" applyAlignment="1">
      <alignment horizontal="left" vertical="top"/>
    </xf>
    <xf numFmtId="0" fontId="5" fillId="0" borderId="59" xfId="0" applyFont="1" applyFill="1" applyBorder="1" applyAlignment="1">
      <alignment vertical="top"/>
    </xf>
    <xf numFmtId="0" fontId="5" fillId="0" borderId="252" xfId="0" applyFont="1" applyFill="1" applyBorder="1" applyAlignment="1">
      <alignment vertical="top"/>
    </xf>
    <xf numFmtId="0" fontId="5" fillId="0" borderId="254" xfId="0" applyFont="1" applyFill="1" applyBorder="1" applyAlignment="1">
      <alignment vertical="top"/>
    </xf>
    <xf numFmtId="0" fontId="5" fillId="0" borderId="253" xfId="0" applyFont="1" applyFill="1" applyBorder="1" applyAlignment="1">
      <alignment horizontal="right" vertical="center"/>
    </xf>
    <xf numFmtId="0" fontId="5" fillId="0" borderId="59" xfId="0" applyFont="1" applyFill="1" applyBorder="1" applyAlignment="1">
      <alignment horizontal="right" vertical="center"/>
    </xf>
    <xf numFmtId="0" fontId="5" fillId="0" borderId="256" xfId="0" applyFont="1" applyFill="1" applyBorder="1">
      <alignment vertical="center"/>
    </xf>
    <xf numFmtId="20" fontId="5" fillId="17" borderId="91" xfId="0" applyNumberFormat="1" applyFont="1" applyFill="1" applyBorder="1">
      <alignment vertical="center"/>
    </xf>
    <xf numFmtId="0" fontId="5" fillId="22" borderId="224" xfId="0" applyNumberFormat="1" applyFont="1" applyFill="1" applyBorder="1" applyAlignment="1">
      <alignment horizontal="center" vertical="center" shrinkToFit="1"/>
    </xf>
    <xf numFmtId="0" fontId="5" fillId="17" borderId="258" xfId="0" applyNumberFormat="1" applyFont="1" applyFill="1" applyBorder="1" applyAlignment="1">
      <alignment horizontal="center" vertical="center" shrinkToFit="1"/>
    </xf>
    <xf numFmtId="0" fontId="5" fillId="22" borderId="95" xfId="0" applyFont="1" applyFill="1" applyBorder="1" applyAlignment="1">
      <alignment vertical="top"/>
    </xf>
    <xf numFmtId="0" fontId="5" fillId="22" borderId="49" xfId="0" applyFont="1" applyFill="1" applyBorder="1" applyAlignment="1">
      <alignment vertical="top"/>
    </xf>
    <xf numFmtId="0" fontId="5" fillId="22" borderId="94" xfId="0" applyFont="1" applyFill="1" applyBorder="1" applyAlignment="1">
      <alignment horizontal="right" vertical="center"/>
    </xf>
    <xf numFmtId="0" fontId="5" fillId="17" borderId="90" xfId="0" applyFont="1" applyFill="1" applyBorder="1">
      <alignment vertical="center"/>
    </xf>
    <xf numFmtId="0" fontId="5" fillId="17" borderId="259" xfId="0" applyFont="1" applyFill="1" applyBorder="1">
      <alignment vertical="center"/>
    </xf>
    <xf numFmtId="0" fontId="5" fillId="17" borderId="260" xfId="0" applyFont="1" applyFill="1" applyBorder="1">
      <alignment vertical="center"/>
    </xf>
    <xf numFmtId="0" fontId="5" fillId="17" borderId="132" xfId="0" applyFont="1" applyFill="1" applyBorder="1">
      <alignment vertical="center"/>
    </xf>
    <xf numFmtId="0" fontId="5" fillId="17" borderId="261" xfId="0" applyFont="1" applyFill="1" applyBorder="1">
      <alignment vertical="center"/>
    </xf>
    <xf numFmtId="0" fontId="5" fillId="17" borderId="259" xfId="0" applyFont="1" applyFill="1" applyBorder="1" applyAlignment="1">
      <alignment horizontal="right" vertical="center"/>
    </xf>
    <xf numFmtId="0" fontId="5" fillId="22" borderId="41" xfId="0" applyFont="1" applyFill="1" applyBorder="1" applyAlignment="1">
      <alignment horizontal="right" vertical="center"/>
    </xf>
    <xf numFmtId="0" fontId="5" fillId="22" borderId="209" xfId="0" applyFont="1" applyFill="1" applyBorder="1">
      <alignment vertical="center"/>
    </xf>
    <xf numFmtId="0" fontId="5" fillId="0" borderId="262" xfId="0" applyFont="1" applyFill="1" applyBorder="1" applyAlignment="1">
      <alignment horizontal="center" vertical="center" shrinkToFit="1"/>
    </xf>
    <xf numFmtId="0" fontId="5" fillId="18" borderId="41" xfId="0" applyFont="1" applyFill="1" applyBorder="1">
      <alignment vertical="center"/>
    </xf>
    <xf numFmtId="0" fontId="5" fillId="18" borderId="61" xfId="0" applyFont="1" applyFill="1" applyBorder="1">
      <alignment vertical="center"/>
    </xf>
    <xf numFmtId="0" fontId="5" fillId="18" borderId="97" xfId="0" applyFont="1" applyFill="1" applyBorder="1">
      <alignment vertical="center"/>
    </xf>
    <xf numFmtId="0" fontId="5" fillId="18" borderId="88" xfId="0" applyFont="1" applyFill="1" applyBorder="1">
      <alignment vertical="center"/>
    </xf>
    <xf numFmtId="0" fontId="5" fillId="0" borderId="243" xfId="0" applyNumberFormat="1" applyFont="1" applyFill="1" applyBorder="1" applyAlignment="1">
      <alignment horizontal="center" vertical="center" shrinkToFit="1"/>
    </xf>
    <xf numFmtId="0" fontId="5" fillId="0" borderId="117" xfId="0" applyFont="1" applyFill="1" applyBorder="1">
      <alignment vertical="center"/>
    </xf>
    <xf numFmtId="0" fontId="5" fillId="0" borderId="67" xfId="0" applyFont="1" applyFill="1" applyBorder="1">
      <alignment vertical="center"/>
    </xf>
    <xf numFmtId="0" fontId="5" fillId="0" borderId="118" xfId="0" applyFont="1" applyFill="1" applyBorder="1">
      <alignment vertical="center"/>
    </xf>
    <xf numFmtId="0" fontId="5" fillId="0" borderId="119" xfId="0" applyFont="1" applyFill="1" applyBorder="1">
      <alignment vertical="center"/>
    </xf>
    <xf numFmtId="0" fontId="5" fillId="0" borderId="46" xfId="0" applyFont="1" applyFill="1" applyBorder="1">
      <alignment vertical="center"/>
    </xf>
    <xf numFmtId="0" fontId="5" fillId="0" borderId="244" xfId="0" applyFont="1" applyFill="1" applyBorder="1">
      <alignment vertical="center"/>
    </xf>
    <xf numFmtId="20" fontId="5" fillId="0" borderId="117" xfId="0" applyNumberFormat="1" applyFont="1" applyFill="1" applyBorder="1">
      <alignment vertical="center"/>
    </xf>
    <xf numFmtId="0" fontId="5" fillId="0" borderId="228" xfId="0" applyFont="1" applyFill="1" applyBorder="1">
      <alignment vertical="center"/>
    </xf>
    <xf numFmtId="0" fontId="5" fillId="0" borderId="118" xfId="0" applyFont="1" applyFill="1" applyBorder="1" applyAlignment="1">
      <alignment horizontal="right" vertical="center"/>
    </xf>
    <xf numFmtId="0" fontId="5" fillId="22" borderId="63" xfId="0" applyFont="1" applyFill="1" applyBorder="1" applyAlignment="1">
      <alignment horizontal="left" vertical="top"/>
    </xf>
    <xf numFmtId="0" fontId="5" fillId="22" borderId="63" xfId="0" applyFont="1" applyFill="1" applyBorder="1" applyAlignment="1">
      <alignment vertical="top"/>
    </xf>
    <xf numFmtId="0" fontId="5" fillId="22" borderId="94" xfId="0" applyFont="1" applyFill="1" applyBorder="1" applyAlignment="1">
      <alignment horizontal="right" vertical="top"/>
    </xf>
    <xf numFmtId="0" fontId="5" fillId="22" borderId="229" xfId="0" applyFont="1" applyFill="1" applyBorder="1" applyAlignment="1">
      <alignment vertical="top"/>
    </xf>
    <xf numFmtId="0" fontId="5" fillId="22" borderId="108" xfId="0" applyFont="1" applyFill="1" applyBorder="1" applyAlignment="1">
      <alignment vertical="top"/>
    </xf>
    <xf numFmtId="0" fontId="5" fillId="22" borderId="94" xfId="0" applyFont="1" applyFill="1" applyBorder="1" applyAlignment="1">
      <alignment horizontal="left" vertical="center"/>
    </xf>
    <xf numFmtId="0" fontId="5" fillId="0" borderId="263" xfId="0" applyFont="1" applyFill="1" applyBorder="1" applyAlignment="1">
      <alignment horizontal="center" vertical="center" wrapText="1"/>
    </xf>
    <xf numFmtId="0" fontId="5" fillId="0" borderId="266" xfId="0" applyFont="1" applyFill="1" applyBorder="1">
      <alignment vertical="center"/>
    </xf>
    <xf numFmtId="0" fontId="5" fillId="0" borderId="267" xfId="0" applyFont="1" applyFill="1" applyBorder="1" applyAlignment="1">
      <alignment vertical="top"/>
    </xf>
    <xf numFmtId="0" fontId="5" fillId="0" borderId="268" xfId="0" applyFont="1" applyFill="1" applyBorder="1" applyAlignment="1">
      <alignment vertical="top"/>
    </xf>
    <xf numFmtId="0" fontId="5" fillId="0" borderId="268" xfId="0" applyFont="1" applyFill="1" applyBorder="1" applyAlignment="1">
      <alignment horizontal="left" vertical="top"/>
    </xf>
    <xf numFmtId="0" fontId="5" fillId="0" borderId="269" xfId="0" applyFont="1" applyFill="1" applyBorder="1" applyAlignment="1">
      <alignment horizontal="right" vertical="center"/>
    </xf>
    <xf numFmtId="0" fontId="5" fillId="0" borderId="267" xfId="0" applyFont="1" applyFill="1" applyBorder="1">
      <alignment vertical="center"/>
    </xf>
    <xf numFmtId="0" fontId="5" fillId="0" borderId="266" xfId="0" applyFont="1" applyFill="1" applyBorder="1" applyAlignment="1">
      <alignment horizontal="center" vertical="top"/>
    </xf>
    <xf numFmtId="0" fontId="5" fillId="0" borderId="268" xfId="0" applyFont="1" applyFill="1" applyBorder="1">
      <alignment vertical="center"/>
    </xf>
    <xf numFmtId="0" fontId="5" fillId="0" borderId="269" xfId="0" applyFont="1" applyFill="1" applyBorder="1">
      <alignment vertical="center"/>
    </xf>
    <xf numFmtId="20" fontId="5" fillId="0" borderId="266" xfId="0" applyNumberFormat="1" applyFont="1" applyFill="1" applyBorder="1">
      <alignment vertical="center"/>
    </xf>
    <xf numFmtId="0" fontId="5" fillId="0" borderId="269" xfId="0" applyFont="1" applyFill="1" applyBorder="1" applyAlignment="1">
      <alignment vertical="top"/>
    </xf>
    <xf numFmtId="0" fontId="5" fillId="0" borderId="268" xfId="0" applyFont="1" applyFill="1" applyBorder="1" applyAlignment="1">
      <alignment horizontal="right" vertical="center"/>
    </xf>
    <xf numFmtId="0" fontId="5" fillId="0" borderId="270" xfId="0" applyFont="1" applyFill="1" applyBorder="1">
      <alignment vertical="center"/>
    </xf>
    <xf numFmtId="170" fontId="14" fillId="0" borderId="0" xfId="0" applyNumberFormat="1" applyFont="1" applyFill="1" applyAlignment="1">
      <alignment vertical="center"/>
    </xf>
    <xf numFmtId="20" fontId="5" fillId="23" borderId="91" xfId="0" applyNumberFormat="1" applyFont="1" applyFill="1" applyBorder="1">
      <alignment vertical="center"/>
    </xf>
    <xf numFmtId="0" fontId="5" fillId="16" borderId="245" xfId="0" applyFont="1" applyFill="1" applyBorder="1" applyAlignment="1">
      <alignment horizontal="center" vertical="center"/>
    </xf>
    <xf numFmtId="0" fontId="5" fillId="16" borderId="60" xfId="0" applyFont="1" applyFill="1" applyBorder="1">
      <alignment vertical="center"/>
    </xf>
    <xf numFmtId="0" fontId="5" fillId="16" borderId="60" xfId="0" applyFont="1" applyFill="1" applyBorder="1" applyAlignment="1">
      <alignment vertical="top"/>
    </xf>
    <xf numFmtId="0" fontId="5" fillId="16" borderId="247" xfId="0" applyFont="1" applyFill="1" applyBorder="1">
      <alignment vertical="center"/>
    </xf>
    <xf numFmtId="0" fontId="5" fillId="16" borderId="248" xfId="0" applyFont="1" applyFill="1" applyBorder="1">
      <alignment vertical="center"/>
    </xf>
    <xf numFmtId="0" fontId="5" fillId="16" borderId="249" xfId="0" applyFont="1" applyFill="1" applyBorder="1">
      <alignment vertical="center"/>
    </xf>
    <xf numFmtId="0" fontId="5" fillId="16" borderId="60" xfId="0" applyFont="1" applyFill="1" applyBorder="1" applyAlignment="1">
      <alignment horizontal="left" vertical="top"/>
    </xf>
    <xf numFmtId="0" fontId="5" fillId="16" borderId="248" xfId="0" applyFont="1" applyFill="1" applyBorder="1" applyAlignment="1">
      <alignment vertical="top"/>
    </xf>
    <xf numFmtId="0" fontId="5" fillId="16" borderId="247" xfId="0" applyFont="1" applyFill="1" applyBorder="1" applyAlignment="1">
      <alignment vertical="top"/>
    </xf>
    <xf numFmtId="0" fontId="5" fillId="16" borderId="249" xfId="0" applyFont="1" applyFill="1" applyBorder="1" applyAlignment="1">
      <alignment horizontal="right" vertical="center"/>
    </xf>
    <xf numFmtId="0" fontId="5" fillId="16" borderId="60" xfId="0" applyFont="1" applyFill="1" applyBorder="1" applyAlignment="1">
      <alignment horizontal="right" vertical="center"/>
    </xf>
    <xf numFmtId="0" fontId="5" fillId="16" borderId="250" xfId="0" applyFont="1" applyFill="1" applyBorder="1">
      <alignment vertical="center"/>
    </xf>
    <xf numFmtId="0" fontId="0" fillId="0" borderId="221" xfId="0" applyFont="1" applyFill="1" applyBorder="1" applyAlignment="1">
      <alignment horizontal="left" vertical="center" shrinkToFit="1"/>
    </xf>
    <xf numFmtId="0" fontId="5" fillId="0" borderId="109" xfId="0" applyFont="1" applyFill="1" applyBorder="1" applyAlignment="1">
      <alignment horizontal="center" vertical="center"/>
    </xf>
    <xf numFmtId="0" fontId="5" fillId="0" borderId="93" xfId="0" applyFont="1" applyFill="1" applyBorder="1" applyAlignment="1">
      <alignment vertical="top"/>
    </xf>
    <xf numFmtId="0" fontId="5" fillId="0" borderId="91" xfId="0" applyFont="1" applyFill="1" applyBorder="1" applyAlignment="1">
      <alignment vertical="top"/>
    </xf>
    <xf numFmtId="0" fontId="5" fillId="0" borderId="92" xfId="0" applyFont="1" applyFill="1" applyBorder="1" applyAlignment="1">
      <alignment horizontal="right" vertical="center"/>
    </xf>
    <xf numFmtId="0" fontId="27" fillId="0" borderId="0" xfId="0" applyFont="1" applyFill="1">
      <alignment vertical="center"/>
    </xf>
    <xf numFmtId="0" fontId="27" fillId="0" borderId="0" xfId="0" applyFont="1">
      <alignment vertical="center"/>
    </xf>
    <xf numFmtId="0" fontId="34" fillId="0" borderId="0" xfId="0" applyFont="1">
      <alignment vertical="center"/>
    </xf>
    <xf numFmtId="0" fontId="34" fillId="0" borderId="0" xfId="0" applyFont="1" applyAlignment="1">
      <alignment horizontal="center" vertical="center"/>
    </xf>
    <xf numFmtId="0" fontId="27" fillId="0" borderId="0" xfId="0" applyFont="1" applyAlignment="1">
      <alignment horizontal="center" vertical="center"/>
    </xf>
    <xf numFmtId="171" fontId="27" fillId="0" borderId="0" xfId="0" applyNumberFormat="1" applyFont="1" applyAlignment="1">
      <alignment horizontal="center" vertical="center"/>
    </xf>
    <xf numFmtId="164" fontId="27" fillId="0" borderId="0" xfId="0" applyNumberFormat="1" applyFont="1" applyAlignment="1">
      <alignment horizontal="center" vertical="center"/>
    </xf>
    <xf numFmtId="14" fontId="27" fillId="0" borderId="0" xfId="0" applyNumberFormat="1" applyFont="1" applyAlignment="1">
      <alignment horizontal="center" vertical="center"/>
    </xf>
    <xf numFmtId="165" fontId="27" fillId="0" borderId="0" xfId="0" applyNumberFormat="1" applyFont="1" applyAlignment="1">
      <alignment horizontal="center" vertical="center"/>
    </xf>
    <xf numFmtId="167" fontId="27" fillId="0" borderId="0" xfId="0" applyNumberFormat="1" applyFont="1" applyAlignment="1">
      <alignment horizontal="center" vertical="center"/>
    </xf>
    <xf numFmtId="174" fontId="27" fillId="0" borderId="0" xfId="0" applyNumberFormat="1" applyFont="1" applyAlignment="1">
      <alignment horizontal="center" vertical="center"/>
    </xf>
    <xf numFmtId="168" fontId="27" fillId="0" borderId="0" xfId="0" applyNumberFormat="1" applyFont="1" applyFill="1">
      <alignment vertical="center"/>
    </xf>
    <xf numFmtId="168" fontId="27" fillId="0" borderId="0" xfId="0" applyNumberFormat="1" applyFont="1" applyAlignment="1">
      <alignment horizontal="center" vertical="center"/>
    </xf>
    <xf numFmtId="168" fontId="34" fillId="0" borderId="0" xfId="0" applyNumberFormat="1" applyFont="1" applyAlignment="1">
      <alignment horizontal="center" vertical="center"/>
    </xf>
    <xf numFmtId="168" fontId="27" fillId="0" borderId="0" xfId="0" applyNumberFormat="1" applyFont="1">
      <alignment vertical="center"/>
    </xf>
    <xf numFmtId="0" fontId="35" fillId="2" borderId="0" xfId="0" applyFont="1" applyFill="1" applyBorder="1" applyAlignment="1">
      <alignment horizontal="center" vertical="center"/>
    </xf>
    <xf numFmtId="0" fontId="27" fillId="2" borderId="21" xfId="0" applyFont="1" applyFill="1" applyBorder="1" applyAlignment="1">
      <alignment vertical="center" wrapText="1" shrinkToFit="1"/>
    </xf>
    <xf numFmtId="0" fontId="35" fillId="2" borderId="23" xfId="0" applyFont="1" applyFill="1" applyBorder="1" applyAlignment="1">
      <alignment horizontal="center" vertical="center"/>
    </xf>
    <xf numFmtId="0" fontId="35" fillId="2" borderId="2" xfId="0" applyFont="1" applyFill="1" applyBorder="1" applyAlignment="1">
      <alignment horizontal="center" vertical="center"/>
    </xf>
    <xf numFmtId="0" fontId="35" fillId="2" borderId="4" xfId="0" applyFont="1" applyFill="1" applyBorder="1" applyAlignment="1">
      <alignment horizontal="center" vertical="center"/>
    </xf>
    <xf numFmtId="165" fontId="35" fillId="2" borderId="23" xfId="0" applyNumberFormat="1" applyFont="1" applyFill="1" applyBorder="1" applyAlignment="1">
      <alignment horizontal="center" vertical="center"/>
    </xf>
    <xf numFmtId="165" fontId="35" fillId="2" borderId="2" xfId="0" applyNumberFormat="1" applyFont="1" applyFill="1" applyBorder="1" applyAlignment="1">
      <alignment horizontal="center" vertical="center"/>
    </xf>
    <xf numFmtId="165" fontId="35" fillId="2" borderId="24" xfId="0" applyNumberFormat="1" applyFont="1" applyFill="1" applyBorder="1" applyAlignment="1">
      <alignment horizontal="center" vertical="center"/>
    </xf>
    <xf numFmtId="165" fontId="27" fillId="2" borderId="2" xfId="0" applyNumberFormat="1" applyFont="1" applyFill="1" applyBorder="1" applyAlignment="1">
      <alignment horizontal="center" vertical="center" wrapText="1" shrinkToFit="1"/>
    </xf>
    <xf numFmtId="165" fontId="27" fillId="2" borderId="24" xfId="0" applyNumberFormat="1" applyFont="1" applyFill="1" applyBorder="1" applyAlignment="1">
      <alignment horizontal="center" vertical="center" wrapText="1" shrinkToFit="1"/>
    </xf>
    <xf numFmtId="174" fontId="27" fillId="2" borderId="2" xfId="0" applyNumberFormat="1" applyFont="1" applyFill="1" applyBorder="1" applyAlignment="1">
      <alignment horizontal="center" vertical="center" wrapText="1" shrinkToFit="1"/>
    </xf>
    <xf numFmtId="171" fontId="27" fillId="2" borderId="24" xfId="0" applyNumberFormat="1" applyFont="1" applyFill="1" applyBorder="1" applyAlignment="1">
      <alignment horizontal="center" vertical="center" wrapText="1" shrinkToFit="1"/>
    </xf>
    <xf numFmtId="0" fontId="27" fillId="2" borderId="26" xfId="0" applyFont="1" applyFill="1" applyBorder="1" applyAlignment="1">
      <alignment horizontal="center" vertical="center" wrapText="1" shrinkToFit="1"/>
    </xf>
    <xf numFmtId="174" fontId="27" fillId="2" borderId="58" xfId="0" applyNumberFormat="1" applyFont="1" applyFill="1" applyBorder="1" applyAlignment="1">
      <alignment horizontal="center" vertical="center" wrapText="1" shrinkToFit="1"/>
    </xf>
    <xf numFmtId="0" fontId="27" fillId="2" borderId="27" xfId="0" applyFont="1" applyFill="1" applyBorder="1" applyAlignment="1">
      <alignment horizontal="center" vertical="center" wrapText="1" shrinkToFit="1"/>
    </xf>
    <xf numFmtId="0" fontId="27" fillId="2" borderId="15" xfId="0" applyFont="1" applyFill="1" applyBorder="1" applyAlignment="1">
      <alignment horizontal="center" vertical="center" shrinkToFit="1"/>
    </xf>
    <xf numFmtId="0" fontId="34" fillId="0" borderId="16" xfId="0" applyFont="1" applyFill="1" applyBorder="1" applyAlignment="1">
      <alignment horizontal="left" vertical="center" shrinkToFit="1"/>
    </xf>
    <xf numFmtId="0" fontId="34" fillId="0" borderId="21" xfId="0" applyFont="1" applyFill="1" applyBorder="1" applyAlignment="1">
      <alignment horizontal="center" vertical="center" shrinkToFit="1"/>
    </xf>
    <xf numFmtId="0" fontId="34" fillId="0" borderId="22" xfId="0" applyFont="1" applyFill="1" applyBorder="1" applyAlignment="1">
      <alignment horizontal="center" vertical="center" shrinkToFit="1"/>
    </xf>
    <xf numFmtId="0" fontId="27" fillId="0" borderId="23" xfId="0" applyFont="1" applyFill="1" applyBorder="1" applyAlignment="1">
      <alignment horizontal="center" vertical="center" shrinkToFit="1"/>
    </xf>
    <xf numFmtId="0" fontId="27" fillId="0" borderId="1" xfId="0" applyFont="1" applyFill="1" applyBorder="1" applyAlignment="1">
      <alignment horizontal="center" vertical="center" shrinkToFit="1"/>
    </xf>
    <xf numFmtId="171" fontId="27" fillId="4" borderId="2" xfId="0" applyNumberFormat="1" applyFont="1" applyFill="1" applyBorder="1" applyAlignment="1">
      <alignment horizontal="center" vertical="center" shrinkToFit="1"/>
    </xf>
    <xf numFmtId="0" fontId="27" fillId="0" borderId="3" xfId="0" applyFont="1" applyFill="1" applyBorder="1" applyAlignment="1">
      <alignment horizontal="center" vertical="center" shrinkToFit="1"/>
    </xf>
    <xf numFmtId="49" fontId="27" fillId="0" borderId="2" xfId="0" applyNumberFormat="1" applyFont="1" applyFill="1" applyBorder="1" applyAlignment="1">
      <alignment horizontal="center" vertical="center" shrinkToFit="1"/>
    </xf>
    <xf numFmtId="0" fontId="27" fillId="0" borderId="2" xfId="0" applyFont="1" applyFill="1" applyBorder="1" applyAlignment="1">
      <alignment horizontal="center" vertical="center" shrinkToFit="1"/>
    </xf>
    <xf numFmtId="164" fontId="27" fillId="0" borderId="2" xfId="0" applyNumberFormat="1" applyFont="1" applyFill="1" applyBorder="1" applyAlignment="1">
      <alignment horizontal="center" vertical="center" shrinkToFit="1"/>
    </xf>
    <xf numFmtId="164" fontId="27" fillId="0" borderId="22" xfId="0" applyNumberFormat="1" applyFont="1" applyFill="1" applyBorder="1" applyAlignment="1">
      <alignment horizontal="center" vertical="center" shrinkToFit="1"/>
    </xf>
    <xf numFmtId="0" fontId="27" fillId="0" borderId="23" xfId="0" applyFont="1" applyFill="1" applyBorder="1" applyAlignment="1">
      <alignment vertical="center" shrinkToFit="1"/>
    </xf>
    <xf numFmtId="0" fontId="27" fillId="11" borderId="70" xfId="0" applyFont="1" applyFill="1" applyBorder="1" applyAlignment="1">
      <alignment vertical="center" shrinkToFit="1"/>
    </xf>
    <xf numFmtId="0" fontId="27" fillId="0" borderId="70" xfId="0" applyFont="1" applyFill="1" applyBorder="1" applyAlignment="1">
      <alignment vertical="center" shrinkToFit="1"/>
    </xf>
    <xf numFmtId="0" fontId="27" fillId="0" borderId="2" xfId="0" applyFont="1" applyFill="1" applyBorder="1" applyAlignment="1">
      <alignment vertical="center" shrinkToFit="1"/>
    </xf>
    <xf numFmtId="0" fontId="27" fillId="0" borderId="4" xfId="0" applyFont="1" applyFill="1" applyBorder="1" applyAlignment="1">
      <alignment vertical="center" shrinkToFit="1"/>
    </xf>
    <xf numFmtId="0" fontId="27" fillId="0" borderId="23" xfId="0" applyFont="1" applyFill="1" applyBorder="1" applyAlignment="1">
      <alignment horizontal="left" vertical="center" shrinkToFit="1"/>
    </xf>
    <xf numFmtId="0" fontId="27" fillId="0" borderId="24" xfId="0" applyFont="1" applyFill="1" applyBorder="1" applyAlignment="1">
      <alignment horizontal="left" vertical="center" shrinkToFit="1"/>
    </xf>
    <xf numFmtId="14" fontId="27" fillId="4" borderId="2" xfId="0" applyNumberFormat="1" applyFont="1" applyFill="1" applyBorder="1" applyAlignment="1">
      <alignment horizontal="center" vertical="center" shrinkToFit="1"/>
    </xf>
    <xf numFmtId="14" fontId="27" fillId="4" borderId="24" xfId="0" applyNumberFormat="1" applyFont="1" applyFill="1" applyBorder="1" applyAlignment="1">
      <alignment horizontal="center" vertical="center" shrinkToFit="1"/>
    </xf>
    <xf numFmtId="165" fontId="35" fillId="0" borderId="23" xfId="0" applyNumberFormat="1" applyFont="1" applyFill="1" applyBorder="1" applyAlignment="1">
      <alignment horizontal="center" vertical="center"/>
    </xf>
    <xf numFmtId="165" fontId="35" fillId="0" borderId="2" xfId="0" applyNumberFormat="1" applyFont="1" applyFill="1" applyBorder="1" applyAlignment="1">
      <alignment horizontal="center" vertical="center"/>
    </xf>
    <xf numFmtId="165" fontId="27" fillId="0" borderId="24" xfId="0" applyNumberFormat="1" applyFont="1" applyFill="1" applyBorder="1" applyAlignment="1">
      <alignment horizontal="center" vertical="center" shrinkToFit="1"/>
    </xf>
    <xf numFmtId="165" fontId="27" fillId="0" borderId="4" xfId="0" applyNumberFormat="1" applyFont="1" applyFill="1" applyBorder="1" applyAlignment="1">
      <alignment horizontal="center" vertical="center" shrinkToFit="1"/>
    </xf>
    <xf numFmtId="171" fontId="27" fillId="0" borderId="3" xfId="0" applyNumberFormat="1" applyFont="1" applyFill="1" applyBorder="1" applyAlignment="1">
      <alignment horizontal="center" vertical="center" shrinkToFit="1"/>
    </xf>
    <xf numFmtId="171" fontId="27" fillId="4" borderId="38" xfId="0" applyNumberFormat="1" applyFont="1" applyFill="1" applyBorder="1" applyAlignment="1">
      <alignment horizontal="center" vertical="center" shrinkToFit="1"/>
    </xf>
    <xf numFmtId="164" fontId="27" fillId="0" borderId="21" xfId="0" applyNumberFormat="1" applyFont="1" applyFill="1" applyBorder="1" applyAlignment="1">
      <alignment horizontal="center" vertical="center" shrinkToFit="1"/>
    </xf>
    <xf numFmtId="165" fontId="27" fillId="4" borderId="1" xfId="0" applyNumberFormat="1" applyFont="1" applyFill="1" applyBorder="1" applyAlignment="1">
      <alignment horizontal="center" vertical="center" shrinkToFit="1"/>
    </xf>
    <xf numFmtId="165" fontId="27" fillId="4" borderId="22" xfId="0" applyNumberFormat="1" applyFont="1" applyFill="1" applyBorder="1" applyAlignment="1">
      <alignment horizontal="center" vertical="center" shrinkToFit="1"/>
    </xf>
    <xf numFmtId="165" fontId="27" fillId="4" borderId="2" xfId="0" applyNumberFormat="1" applyFont="1" applyFill="1" applyBorder="1" applyAlignment="1">
      <alignment horizontal="center" vertical="center" shrinkToFit="1"/>
    </xf>
    <xf numFmtId="171" fontId="27" fillId="4" borderId="24" xfId="0" applyNumberFormat="1" applyFont="1" applyFill="1" applyBorder="1" applyAlignment="1">
      <alignment horizontal="center" vertical="center" shrinkToFit="1"/>
    </xf>
    <xf numFmtId="0" fontId="27" fillId="4" borderId="21" xfId="0" applyFont="1" applyFill="1" applyBorder="1" applyAlignment="1">
      <alignment horizontal="center" vertical="center" shrinkToFit="1"/>
    </xf>
    <xf numFmtId="0" fontId="27" fillId="4" borderId="1" xfId="0" applyFont="1" applyFill="1" applyBorder="1" applyAlignment="1">
      <alignment horizontal="center" vertical="center" shrinkToFit="1"/>
    </xf>
    <xf numFmtId="0" fontId="27" fillId="4" borderId="22" xfId="0" applyFont="1" applyFill="1" applyBorder="1" applyAlignment="1">
      <alignment horizontal="center" vertical="center" shrinkToFit="1"/>
    </xf>
    <xf numFmtId="165" fontId="27" fillId="4" borderId="21" xfId="0" applyNumberFormat="1" applyFont="1" applyFill="1" applyBorder="1" applyAlignment="1">
      <alignment horizontal="center" vertical="center" shrinkToFit="1"/>
    </xf>
    <xf numFmtId="174" fontId="27" fillId="4" borderId="15" xfId="0" applyNumberFormat="1" applyFont="1" applyFill="1" applyBorder="1" applyAlignment="1">
      <alignment horizontal="center" vertical="center" shrinkToFit="1"/>
    </xf>
    <xf numFmtId="174" fontId="27" fillId="4" borderId="1" xfId="0" applyNumberFormat="1" applyFont="1" applyFill="1" applyBorder="1" applyAlignment="1">
      <alignment horizontal="center" vertical="center" shrinkToFit="1"/>
    </xf>
    <xf numFmtId="171" fontId="27" fillId="4" borderId="22" xfId="0" applyNumberFormat="1" applyFont="1" applyFill="1" applyBorder="1" applyAlignment="1">
      <alignment horizontal="center" vertical="center" shrinkToFit="1"/>
    </xf>
    <xf numFmtId="171" fontId="27" fillId="4" borderId="59" xfId="0" applyNumberFormat="1" applyFont="1" applyFill="1" applyBorder="1" applyAlignment="1">
      <alignment horizontal="center" vertical="center" shrinkToFit="1"/>
    </xf>
    <xf numFmtId="0" fontId="27" fillId="0" borderId="21" xfId="0" applyFont="1" applyFill="1" applyBorder="1" applyAlignment="1">
      <alignment horizontal="center" vertical="center" shrinkToFit="1"/>
    </xf>
    <xf numFmtId="174" fontId="27" fillId="0" borderId="59" xfId="0" applyNumberFormat="1" applyFont="1" applyFill="1" applyBorder="1" applyAlignment="1">
      <alignment horizontal="center" vertical="center" shrinkToFit="1"/>
    </xf>
    <xf numFmtId="0" fontId="27" fillId="0" borderId="22" xfId="0" applyFont="1" applyFill="1" applyBorder="1" applyAlignment="1">
      <alignment horizontal="center" vertical="center" shrinkToFit="1"/>
    </xf>
    <xf numFmtId="171" fontId="27" fillId="4" borderId="26" xfId="0" applyNumberFormat="1" applyFont="1" applyFill="1" applyBorder="1" applyAlignment="1">
      <alignment horizontal="center" vertical="center" shrinkToFit="1"/>
    </xf>
    <xf numFmtId="171" fontId="27" fillId="4" borderId="3" xfId="0" applyNumberFormat="1" applyFont="1" applyFill="1" applyBorder="1" applyAlignment="1">
      <alignment horizontal="center" vertical="center" shrinkToFit="1"/>
    </xf>
    <xf numFmtId="0" fontId="27" fillId="0" borderId="17" xfId="0" applyFont="1" applyFill="1" applyBorder="1" applyAlignment="1">
      <alignment vertical="center" shrinkToFit="1"/>
    </xf>
    <xf numFmtId="0" fontId="27" fillId="0" borderId="0" xfId="0" applyFont="1" applyFill="1" applyBorder="1" applyAlignment="1">
      <alignment vertical="center" shrinkToFit="1"/>
    </xf>
    <xf numFmtId="0" fontId="27" fillId="0" borderId="0" xfId="0" applyFont="1" applyFill="1" applyAlignment="1">
      <alignment vertical="center" shrinkToFit="1"/>
    </xf>
    <xf numFmtId="0" fontId="27" fillId="2" borderId="4" xfId="0" applyFont="1" applyFill="1" applyBorder="1" applyAlignment="1">
      <alignment horizontal="center" vertical="center" shrinkToFit="1"/>
    </xf>
    <xf numFmtId="0" fontId="34" fillId="0" borderId="17" xfId="0" applyFont="1" applyFill="1" applyBorder="1" applyAlignment="1">
      <alignment horizontal="left" vertical="center" shrinkToFit="1"/>
    </xf>
    <xf numFmtId="0" fontId="34" fillId="0" borderId="23" xfId="0" applyFont="1" applyFill="1" applyBorder="1" applyAlignment="1">
      <alignment horizontal="center" vertical="center" shrinkToFit="1"/>
    </xf>
    <xf numFmtId="0" fontId="34" fillId="0" borderId="24" xfId="0" applyFont="1" applyFill="1" applyBorder="1" applyAlignment="1">
      <alignment horizontal="center" vertical="center" shrinkToFit="1"/>
    </xf>
    <xf numFmtId="164" fontId="27" fillId="0" borderId="24" xfId="0" applyNumberFormat="1" applyFont="1" applyFill="1" applyBorder="1" applyAlignment="1">
      <alignment horizontal="center" vertical="center" shrinkToFit="1"/>
    </xf>
    <xf numFmtId="164" fontId="27" fillId="0" borderId="23" xfId="0" applyNumberFormat="1" applyFont="1" applyFill="1" applyBorder="1" applyAlignment="1">
      <alignment horizontal="center" vertical="center" shrinkToFit="1"/>
    </xf>
    <xf numFmtId="165" fontId="27" fillId="4" borderId="24" xfId="0" applyNumberFormat="1" applyFont="1" applyFill="1" applyBorder="1" applyAlignment="1">
      <alignment horizontal="center" vertical="center" shrinkToFit="1"/>
    </xf>
    <xf numFmtId="174" fontId="27" fillId="0" borderId="60" xfId="0" applyNumberFormat="1" applyFont="1" applyFill="1" applyBorder="1" applyAlignment="1">
      <alignment horizontal="center" vertical="center" shrinkToFit="1"/>
    </xf>
    <xf numFmtId="0" fontId="27" fillId="0" borderId="24" xfId="0" applyFont="1" applyFill="1" applyBorder="1" applyAlignment="1">
      <alignment horizontal="center" vertical="center" shrinkToFit="1"/>
    </xf>
    <xf numFmtId="0" fontId="27" fillId="4" borderId="2" xfId="0" applyFont="1" applyFill="1" applyBorder="1" applyAlignment="1">
      <alignment horizontal="center" vertical="center" shrinkToFit="1"/>
    </xf>
    <xf numFmtId="0" fontId="27" fillId="5" borderId="26" xfId="0" applyFont="1" applyFill="1" applyBorder="1" applyAlignment="1">
      <alignment vertical="center" shrinkToFit="1"/>
    </xf>
    <xf numFmtId="165" fontId="27" fillId="4" borderId="23" xfId="0" applyNumberFormat="1" applyFont="1" applyFill="1" applyBorder="1" applyAlignment="1">
      <alignment horizontal="center" vertical="center" shrinkToFit="1"/>
    </xf>
    <xf numFmtId="0" fontId="27" fillId="4" borderId="23" xfId="0" applyFont="1" applyFill="1" applyBorder="1" applyAlignment="1">
      <alignment horizontal="center" vertical="center" shrinkToFit="1"/>
    </xf>
    <xf numFmtId="0" fontId="27" fillId="4" borderId="24" xfId="0" applyFont="1" applyFill="1" applyBorder="1" applyAlignment="1">
      <alignment horizontal="center" vertical="center" shrinkToFit="1"/>
    </xf>
    <xf numFmtId="174" fontId="27" fillId="4" borderId="4" xfId="0" applyNumberFormat="1" applyFont="1" applyFill="1" applyBorder="1" applyAlignment="1">
      <alignment horizontal="center" vertical="center" shrinkToFit="1"/>
    </xf>
    <xf numFmtId="174" fontId="27" fillId="4" borderId="2" xfId="0" applyNumberFormat="1" applyFont="1" applyFill="1" applyBorder="1" applyAlignment="1">
      <alignment horizontal="center" vertical="center" shrinkToFit="1"/>
    </xf>
    <xf numFmtId="171" fontId="27" fillId="4" borderId="60" xfId="0" applyNumberFormat="1" applyFont="1" applyFill="1" applyBorder="1" applyAlignment="1">
      <alignment horizontal="center" vertical="center" shrinkToFit="1"/>
    </xf>
    <xf numFmtId="166" fontId="35" fillId="0" borderId="2" xfId="0" applyNumberFormat="1" applyFont="1" applyBorder="1" applyAlignment="1">
      <alignment horizontal="center" vertical="center"/>
    </xf>
    <xf numFmtId="166" fontId="35" fillId="0" borderId="24" xfId="0" applyNumberFormat="1" applyFont="1" applyBorder="1" applyAlignment="1">
      <alignment horizontal="center" vertical="center"/>
    </xf>
    <xf numFmtId="0" fontId="36" fillId="0" borderId="17" xfId="0" applyFont="1" applyBorder="1" applyAlignment="1">
      <alignment vertical="center"/>
    </xf>
    <xf numFmtId="0" fontId="36" fillId="0" borderId="25" xfId="0" applyFont="1" applyBorder="1" applyAlignment="1">
      <alignment horizontal="center" vertical="center"/>
    </xf>
    <xf numFmtId="0" fontId="36" fillId="0" borderId="24" xfId="0" applyFont="1" applyBorder="1" applyAlignment="1">
      <alignment horizontal="center" vertical="center"/>
    </xf>
    <xf numFmtId="164" fontId="27" fillId="4" borderId="23" xfId="0" applyNumberFormat="1" applyFont="1" applyFill="1" applyBorder="1" applyAlignment="1">
      <alignment horizontal="center" vertical="center" shrinkToFit="1"/>
    </xf>
    <xf numFmtId="14" fontId="27" fillId="4" borderId="3" xfId="0" applyNumberFormat="1" applyFont="1" applyFill="1" applyBorder="1" applyAlignment="1">
      <alignment horizontal="center" vertical="center" shrinkToFit="1"/>
    </xf>
    <xf numFmtId="14" fontId="27" fillId="4" borderId="27" xfId="0" applyNumberFormat="1" applyFont="1" applyFill="1" applyBorder="1" applyAlignment="1">
      <alignment horizontal="center" vertical="center" shrinkToFit="1"/>
    </xf>
    <xf numFmtId="49" fontId="27" fillId="4" borderId="2" xfId="0" applyNumberFormat="1" applyFont="1" applyFill="1" applyBorder="1" applyAlignment="1">
      <alignment horizontal="center" vertical="center" shrinkToFit="1"/>
    </xf>
    <xf numFmtId="0" fontId="27" fillId="15" borderId="27" xfId="0" applyFont="1" applyFill="1" applyBorder="1" applyAlignment="1">
      <alignment horizontal="left" vertical="center" shrinkToFit="1"/>
    </xf>
    <xf numFmtId="165" fontId="27" fillId="0" borderId="2" xfId="0" applyNumberFormat="1" applyFont="1" applyFill="1" applyBorder="1" applyAlignment="1">
      <alignment horizontal="center" vertical="center" shrinkToFit="1"/>
    </xf>
    <xf numFmtId="0" fontId="36" fillId="0" borderId="23" xfId="0" applyFont="1" applyBorder="1" applyAlignment="1">
      <alignment horizontal="center" vertical="center"/>
    </xf>
    <xf numFmtId="0" fontId="27" fillId="0" borderId="38" xfId="0" applyFont="1" applyFill="1" applyBorder="1" applyAlignment="1">
      <alignment vertical="center" shrinkToFit="1"/>
    </xf>
    <xf numFmtId="0" fontId="27" fillId="2" borderId="24" xfId="0" applyFont="1" applyFill="1" applyBorder="1" applyAlignment="1">
      <alignment horizontal="left" vertical="center" shrinkToFit="1"/>
    </xf>
    <xf numFmtId="0" fontId="27" fillId="2" borderId="23" xfId="0" applyFont="1" applyFill="1" applyBorder="1" applyAlignment="1">
      <alignment horizontal="left" vertical="center" shrinkToFit="1"/>
    </xf>
    <xf numFmtId="169" fontId="27" fillId="0" borderId="2" xfId="0" applyNumberFormat="1" applyFont="1" applyFill="1" applyBorder="1" applyAlignment="1">
      <alignment horizontal="center" vertical="center" shrinkToFit="1"/>
    </xf>
    <xf numFmtId="169" fontId="27" fillId="0" borderId="24" xfId="0" applyNumberFormat="1" applyFont="1" applyFill="1" applyBorder="1" applyAlignment="1">
      <alignment horizontal="center" vertical="center" shrinkToFit="1"/>
    </xf>
    <xf numFmtId="0" fontId="27" fillId="11" borderId="26" xfId="0" applyFont="1" applyFill="1" applyBorder="1" applyAlignment="1">
      <alignment vertical="center" shrinkToFit="1"/>
    </xf>
    <xf numFmtId="0" fontId="27" fillId="11" borderId="38" xfId="0" applyFont="1" applyFill="1" applyBorder="1" applyAlignment="1">
      <alignment vertical="center" shrinkToFit="1"/>
    </xf>
    <xf numFmtId="0" fontId="27" fillId="0" borderId="1" xfId="0" applyFont="1" applyFill="1" applyBorder="1" applyAlignment="1">
      <alignment vertical="center" shrinkToFit="1"/>
    </xf>
    <xf numFmtId="0" fontId="27" fillId="0" borderId="68" xfId="0" applyFont="1" applyFill="1" applyBorder="1" applyAlignment="1">
      <alignment vertical="center" shrinkToFit="1"/>
    </xf>
    <xf numFmtId="0" fontId="34" fillId="0" borderId="26" xfId="0" applyFont="1" applyFill="1" applyBorder="1" applyAlignment="1">
      <alignment horizontal="center" vertical="center" shrinkToFit="1"/>
    </xf>
    <xf numFmtId="0" fontId="34" fillId="0" borderId="27" xfId="0" applyFont="1" applyFill="1" applyBorder="1" applyAlignment="1">
      <alignment horizontal="center" vertical="center" shrinkToFit="1"/>
    </xf>
    <xf numFmtId="0" fontId="27" fillId="0" borderId="26" xfId="0" applyFont="1" applyFill="1" applyBorder="1" applyAlignment="1">
      <alignment horizontal="center" vertical="center" shrinkToFit="1"/>
    </xf>
    <xf numFmtId="166" fontId="35" fillId="0" borderId="4" xfId="0" applyNumberFormat="1" applyFont="1" applyBorder="1" applyAlignment="1">
      <alignment horizontal="center" vertical="center"/>
    </xf>
    <xf numFmtId="0" fontId="27" fillId="4" borderId="26" xfId="0" applyFont="1" applyFill="1" applyBorder="1" applyAlignment="1">
      <alignment horizontal="center" vertical="center" shrinkToFit="1"/>
    </xf>
    <xf numFmtId="0" fontId="27" fillId="4" borderId="3" xfId="0" applyFont="1" applyFill="1" applyBorder="1" applyAlignment="1">
      <alignment horizontal="center" vertical="center" shrinkToFit="1"/>
    </xf>
    <xf numFmtId="0" fontId="27" fillId="4" borderId="27" xfId="0" applyFont="1" applyFill="1" applyBorder="1" applyAlignment="1">
      <alignment horizontal="center" vertical="center" shrinkToFit="1"/>
    </xf>
    <xf numFmtId="165" fontId="27" fillId="4" borderId="26" xfId="0" applyNumberFormat="1" applyFont="1" applyFill="1" applyBorder="1" applyAlignment="1">
      <alignment horizontal="center" vertical="center" shrinkToFit="1"/>
    </xf>
    <xf numFmtId="174" fontId="27" fillId="4" borderId="10" xfId="0" applyNumberFormat="1" applyFont="1" applyFill="1" applyBorder="1" applyAlignment="1">
      <alignment horizontal="center" vertical="center" shrinkToFit="1"/>
    </xf>
    <xf numFmtId="174" fontId="27" fillId="4" borderId="3" xfId="0" applyNumberFormat="1" applyFont="1" applyFill="1" applyBorder="1" applyAlignment="1">
      <alignment horizontal="center" vertical="center" shrinkToFit="1"/>
    </xf>
    <xf numFmtId="171" fontId="27" fillId="4" borderId="27" xfId="0" applyNumberFormat="1" applyFont="1" applyFill="1" applyBorder="1" applyAlignment="1">
      <alignment horizontal="center" vertical="center" shrinkToFit="1"/>
    </xf>
    <xf numFmtId="171" fontId="27" fillId="4" borderId="58" xfId="0" applyNumberFormat="1" applyFont="1" applyFill="1" applyBorder="1" applyAlignment="1">
      <alignment horizontal="center" vertical="center" shrinkToFit="1"/>
    </xf>
    <xf numFmtId="0" fontId="27" fillId="0" borderId="15" xfId="0" applyFont="1" applyFill="1" applyBorder="1" applyAlignment="1">
      <alignment vertical="center" shrinkToFit="1"/>
    </xf>
    <xf numFmtId="0" fontId="27" fillId="0" borderId="10" xfId="0" applyFont="1" applyFill="1" applyBorder="1" applyAlignment="1">
      <alignment vertical="center" shrinkToFit="1"/>
    </xf>
    <xf numFmtId="165" fontId="27" fillId="0" borderId="23" xfId="0" applyNumberFormat="1" applyFont="1" applyFill="1" applyBorder="1" applyAlignment="1">
      <alignment horizontal="center" vertical="center" shrinkToFit="1"/>
    </xf>
    <xf numFmtId="167" fontId="27" fillId="0" borderId="3" xfId="0" applyNumberFormat="1" applyFont="1" applyFill="1" applyBorder="1" applyAlignment="1">
      <alignment horizontal="center" vertical="center" shrinkToFit="1"/>
    </xf>
    <xf numFmtId="0" fontId="34" fillId="0" borderId="25" xfId="0" applyFont="1" applyFill="1" applyBorder="1" applyAlignment="1">
      <alignment horizontal="center" vertical="center" shrinkToFit="1"/>
    </xf>
    <xf numFmtId="0" fontId="27" fillId="0" borderId="26" xfId="0" applyFont="1" applyFill="1" applyBorder="1" applyAlignment="1">
      <alignment vertical="center" shrinkToFit="1"/>
    </xf>
    <xf numFmtId="165" fontId="27" fillId="4" borderId="28" xfId="0" applyNumberFormat="1" applyFont="1" applyFill="1" applyBorder="1" applyAlignment="1">
      <alignment horizontal="center" vertical="center" shrinkToFit="1"/>
    </xf>
    <xf numFmtId="165" fontId="27" fillId="4" borderId="10" xfId="0" applyNumberFormat="1" applyFont="1" applyFill="1" applyBorder="1" applyAlignment="1">
      <alignment horizontal="center" vertical="center" shrinkToFit="1"/>
    </xf>
    <xf numFmtId="168" fontId="27" fillId="0" borderId="2" xfId="0" applyNumberFormat="1" applyFont="1" applyFill="1" applyBorder="1" applyAlignment="1">
      <alignment horizontal="center" vertical="center" shrinkToFit="1"/>
    </xf>
    <xf numFmtId="168" fontId="27" fillId="0" borderId="24" xfId="0" applyNumberFormat="1" applyFont="1" applyFill="1" applyBorder="1" applyAlignment="1">
      <alignment horizontal="center" vertical="center" shrinkToFit="1"/>
    </xf>
    <xf numFmtId="165" fontId="27" fillId="0" borderId="2" xfId="0" applyNumberFormat="1" applyFont="1" applyFill="1" applyBorder="1" applyAlignment="1">
      <alignment horizontal="center" vertical="center" wrapText="1" shrinkToFit="1"/>
    </xf>
    <xf numFmtId="0" fontId="27" fillId="0" borderId="27" xfId="0" applyFont="1" applyFill="1" applyBorder="1" applyAlignment="1">
      <alignment horizontal="center" vertical="center" shrinkToFit="1"/>
    </xf>
    <xf numFmtId="174" fontId="27" fillId="0" borderId="10" xfId="0" applyNumberFormat="1" applyFont="1" applyFill="1" applyBorder="1" applyAlignment="1">
      <alignment horizontal="center" vertical="center" shrinkToFit="1"/>
    </xf>
    <xf numFmtId="174" fontId="27" fillId="0" borderId="3" xfId="0" applyNumberFormat="1" applyFont="1" applyFill="1" applyBorder="1" applyAlignment="1">
      <alignment horizontal="center" vertical="center" shrinkToFit="1"/>
    </xf>
    <xf numFmtId="171" fontId="27" fillId="0" borderId="27" xfId="0" applyNumberFormat="1" applyFont="1" applyFill="1" applyBorder="1" applyAlignment="1">
      <alignment horizontal="center" vertical="center" shrinkToFit="1"/>
    </xf>
    <xf numFmtId="171" fontId="27" fillId="0" borderId="58" xfId="0" applyNumberFormat="1" applyFont="1" applyFill="1" applyBorder="1" applyAlignment="1">
      <alignment horizontal="center" vertical="center" shrinkToFit="1"/>
    </xf>
    <xf numFmtId="174" fontId="27" fillId="0" borderId="4" xfId="0" applyNumberFormat="1" applyFont="1" applyFill="1" applyBorder="1" applyAlignment="1">
      <alignment horizontal="center" vertical="center" shrinkToFit="1"/>
    </xf>
    <xf numFmtId="165" fontId="27" fillId="0" borderId="3" xfId="0" applyNumberFormat="1" applyFont="1" applyFill="1" applyBorder="1" applyAlignment="1">
      <alignment horizontal="center" vertical="center" shrinkToFit="1"/>
    </xf>
    <xf numFmtId="171" fontId="27" fillId="0" borderId="38" xfId="0" applyNumberFormat="1" applyFont="1" applyFill="1" applyBorder="1" applyAlignment="1">
      <alignment horizontal="center" vertical="center" shrinkToFit="1"/>
    </xf>
    <xf numFmtId="0" fontId="27" fillId="0" borderId="0" xfId="0" applyFont="1" applyFill="1" applyAlignment="1">
      <alignment vertical="center"/>
    </xf>
    <xf numFmtId="0" fontId="36" fillId="0" borderId="17" xfId="0" applyFont="1" applyFill="1" applyBorder="1" applyAlignment="1">
      <alignment vertical="center"/>
    </xf>
    <xf numFmtId="0" fontId="36" fillId="0" borderId="23" xfId="0" applyFont="1" applyFill="1" applyBorder="1" applyAlignment="1">
      <alignment horizontal="center" vertical="center"/>
    </xf>
    <xf numFmtId="0" fontId="36" fillId="0" borderId="24" xfId="0" applyFont="1" applyFill="1" applyBorder="1" applyAlignment="1">
      <alignment horizontal="center" vertical="center"/>
    </xf>
    <xf numFmtId="0" fontId="27" fillId="0" borderId="24" xfId="0" applyFont="1" applyFill="1" applyBorder="1" applyAlignment="1">
      <alignment vertical="center" shrinkToFit="1"/>
    </xf>
    <xf numFmtId="0" fontId="34" fillId="0" borderId="28" xfId="0" applyFont="1" applyFill="1" applyBorder="1" applyAlignment="1">
      <alignment horizontal="center" vertical="center" shrinkToFit="1"/>
    </xf>
    <xf numFmtId="14" fontId="27" fillId="11" borderId="2" xfId="0" applyNumberFormat="1" applyFont="1" applyFill="1" applyBorder="1" applyAlignment="1">
      <alignment horizontal="center" vertical="center" shrinkToFit="1"/>
    </xf>
    <xf numFmtId="14" fontId="27" fillId="11" borderId="24" xfId="0" applyNumberFormat="1" applyFont="1" applyFill="1" applyBorder="1" applyAlignment="1">
      <alignment horizontal="center" vertical="center" shrinkToFit="1"/>
    </xf>
    <xf numFmtId="0" fontId="27" fillId="2" borderId="10" xfId="0" applyFont="1" applyFill="1" applyBorder="1" applyAlignment="1">
      <alignment horizontal="center" vertical="center" shrinkToFit="1"/>
    </xf>
    <xf numFmtId="0" fontId="34" fillId="0" borderId="18" xfId="0" applyFont="1" applyFill="1" applyBorder="1" applyAlignment="1">
      <alignment horizontal="left" vertical="center" shrinkToFit="1"/>
    </xf>
    <xf numFmtId="49" fontId="27" fillId="0" borderId="3" xfId="0" applyNumberFormat="1" applyFont="1" applyFill="1" applyBorder="1" applyAlignment="1">
      <alignment horizontal="center" vertical="center" shrinkToFit="1"/>
    </xf>
    <xf numFmtId="164" fontId="27" fillId="15" borderId="3" xfId="0" applyNumberFormat="1" applyFont="1" applyFill="1" applyBorder="1" applyAlignment="1">
      <alignment horizontal="center" vertical="center" shrinkToFit="1"/>
    </xf>
    <xf numFmtId="164" fontId="27" fillId="15" borderId="27" xfId="0" applyNumberFormat="1" applyFont="1" applyFill="1" applyBorder="1" applyAlignment="1">
      <alignment horizontal="center" vertical="center" shrinkToFit="1"/>
    </xf>
    <xf numFmtId="0" fontId="27" fillId="0" borderId="26" xfId="0" applyFont="1" applyFill="1" applyBorder="1" applyAlignment="1">
      <alignment horizontal="left" vertical="center" shrinkToFit="1"/>
    </xf>
    <xf numFmtId="14" fontId="27" fillId="0" borderId="23" xfId="0" applyNumberFormat="1" applyFont="1" applyFill="1" applyBorder="1" applyAlignment="1">
      <alignment horizontal="center" vertical="center" shrinkToFit="1"/>
    </xf>
    <xf numFmtId="14" fontId="27" fillId="15" borderId="27" xfId="0" applyNumberFormat="1" applyFont="1" applyFill="1" applyBorder="1" applyAlignment="1">
      <alignment horizontal="center" vertical="center" shrinkToFit="1"/>
    </xf>
    <xf numFmtId="165" fontId="27" fillId="0" borderId="23" xfId="0" applyNumberFormat="1" applyFont="1" applyFill="1" applyBorder="1" applyAlignment="1">
      <alignment horizontal="center" vertical="center" wrapText="1" shrinkToFit="1"/>
    </xf>
    <xf numFmtId="165" fontId="27" fillId="0" borderId="24" xfId="0" applyNumberFormat="1" applyFont="1" applyFill="1" applyBorder="1" applyAlignment="1">
      <alignment horizontal="center" vertical="center" wrapText="1" shrinkToFit="1"/>
    </xf>
    <xf numFmtId="164" fontId="27" fillId="0" borderId="26" xfId="0" applyNumberFormat="1" applyFont="1" applyFill="1" applyBorder="1" applyAlignment="1">
      <alignment horizontal="center" vertical="center" shrinkToFit="1"/>
    </xf>
    <xf numFmtId="165" fontId="27" fillId="0" borderId="26" xfId="0" applyNumberFormat="1" applyFont="1" applyFill="1" applyBorder="1" applyAlignment="1">
      <alignment horizontal="center" vertical="center" shrinkToFit="1"/>
    </xf>
    <xf numFmtId="174" fontId="27" fillId="0" borderId="58" xfId="0" applyNumberFormat="1" applyFont="1" applyFill="1" applyBorder="1" applyAlignment="1">
      <alignment horizontal="center" vertical="center" wrapText="1" shrinkToFit="1"/>
    </xf>
    <xf numFmtId="165" fontId="27" fillId="0" borderId="27" xfId="0" applyNumberFormat="1" applyFont="1" applyFill="1" applyBorder="1" applyAlignment="1">
      <alignment horizontal="center" vertical="center" shrinkToFit="1"/>
    </xf>
    <xf numFmtId="171" fontId="27" fillId="0" borderId="26" xfId="0" applyNumberFormat="1" applyFont="1" applyFill="1" applyBorder="1" applyAlignment="1">
      <alignment horizontal="center" vertical="center" shrinkToFit="1"/>
    </xf>
    <xf numFmtId="0" fontId="27" fillId="0" borderId="18" xfId="0" applyFont="1" applyFill="1" applyBorder="1" applyAlignment="1">
      <alignment vertical="center" shrinkToFit="1"/>
    </xf>
    <xf numFmtId="164" fontId="27" fillId="0" borderId="3" xfId="0" applyNumberFormat="1" applyFont="1" applyFill="1" applyBorder="1" applyAlignment="1">
      <alignment horizontal="center" vertical="center" shrinkToFit="1"/>
    </xf>
    <xf numFmtId="164" fontId="27" fillId="0" borderId="27" xfId="0" applyNumberFormat="1" applyFont="1" applyFill="1" applyBorder="1" applyAlignment="1">
      <alignment horizontal="center" vertical="center" shrinkToFit="1"/>
    </xf>
    <xf numFmtId="0" fontId="27" fillId="0" borderId="3" xfId="0" applyFont="1" applyFill="1" applyBorder="1" applyAlignment="1">
      <alignment vertical="center" shrinkToFit="1"/>
    </xf>
    <xf numFmtId="0" fontId="27" fillId="4" borderId="26" xfId="0" applyFont="1" applyFill="1" applyBorder="1" applyAlignment="1">
      <alignment horizontal="left" vertical="center" shrinkToFit="1"/>
    </xf>
    <xf numFmtId="14" fontId="27" fillId="0" borderId="26" xfId="0" applyNumberFormat="1" applyFont="1" applyFill="1" applyBorder="1" applyAlignment="1">
      <alignment horizontal="center" vertical="center" shrinkToFit="1"/>
    </xf>
    <xf numFmtId="0" fontId="27" fillId="0" borderId="10" xfId="0" applyFont="1" applyFill="1" applyBorder="1" applyAlignment="1">
      <alignment horizontal="center" vertical="center" shrinkToFit="1"/>
    </xf>
    <xf numFmtId="174" fontId="27" fillId="0" borderId="58" xfId="0" applyNumberFormat="1" applyFont="1" applyFill="1" applyBorder="1" applyAlignment="1">
      <alignment horizontal="center" vertical="center" shrinkToFit="1"/>
    </xf>
    <xf numFmtId="0" fontId="27" fillId="14" borderId="0" xfId="0" applyFont="1" applyFill="1">
      <alignment vertical="center"/>
    </xf>
    <xf numFmtId="0" fontId="27" fillId="16" borderId="10" xfId="0" applyFont="1" applyFill="1" applyBorder="1" applyAlignment="1">
      <alignment horizontal="center" vertical="center" shrinkToFit="1"/>
    </xf>
    <xf numFmtId="0" fontId="34" fillId="0" borderId="28" xfId="0" applyFont="1" applyFill="1" applyBorder="1" applyAlignment="1">
      <alignment horizontal="center" vertical="center" wrapText="1" shrinkToFit="1"/>
    </xf>
    <xf numFmtId="0" fontId="27" fillId="11" borderId="3" xfId="0" applyFont="1" applyFill="1" applyBorder="1" applyAlignment="1">
      <alignment horizontal="center" vertical="center" shrinkToFit="1"/>
    </xf>
    <xf numFmtId="171" fontId="27" fillId="11" borderId="3" xfId="0" applyNumberFormat="1" applyFont="1" applyFill="1" applyBorder="1" applyAlignment="1">
      <alignment horizontal="center" vertical="center" shrinkToFit="1"/>
    </xf>
    <xf numFmtId="49" fontId="27" fillId="11" borderId="3" xfId="0" applyNumberFormat="1" applyFont="1" applyFill="1" applyBorder="1" applyAlignment="1">
      <alignment horizontal="center" vertical="center" shrinkToFit="1"/>
    </xf>
    <xf numFmtId="164" fontId="27" fillId="11" borderId="3" xfId="0" applyNumberFormat="1" applyFont="1" applyFill="1" applyBorder="1" applyAlignment="1">
      <alignment horizontal="center" vertical="center" shrinkToFit="1"/>
    </xf>
    <xf numFmtId="164" fontId="27" fillId="11" borderId="27" xfId="0" applyNumberFormat="1" applyFont="1" applyFill="1" applyBorder="1" applyAlignment="1">
      <alignment horizontal="center" vertical="center" shrinkToFit="1"/>
    </xf>
    <xf numFmtId="0" fontId="27" fillId="11" borderId="26" xfId="0" applyFont="1" applyFill="1" applyBorder="1" applyAlignment="1">
      <alignment horizontal="left" vertical="center" shrinkToFit="1"/>
    </xf>
    <xf numFmtId="0" fontId="27" fillId="11" borderId="27" xfId="0" applyFont="1" applyFill="1" applyBorder="1" applyAlignment="1">
      <alignment horizontal="left" vertical="center" shrinkToFit="1"/>
    </xf>
    <xf numFmtId="14" fontId="27" fillId="0" borderId="3" xfId="0" applyNumberFormat="1" applyFont="1" applyFill="1" applyBorder="1" applyAlignment="1">
      <alignment horizontal="center" vertical="center" shrinkToFit="1"/>
    </xf>
    <xf numFmtId="14" fontId="27" fillId="11" borderId="27" xfId="0" applyNumberFormat="1" applyFont="1" applyFill="1" applyBorder="1" applyAlignment="1">
      <alignment horizontal="center" vertical="center" shrinkToFit="1"/>
    </xf>
    <xf numFmtId="165" fontId="27" fillId="11" borderId="26" xfId="0" applyNumberFormat="1" applyFont="1" applyFill="1" applyBorder="1" applyAlignment="1">
      <alignment horizontal="center" vertical="center" shrinkToFit="1"/>
    </xf>
    <xf numFmtId="165" fontId="27" fillId="11" borderId="3" xfId="0" applyNumberFormat="1" applyFont="1" applyFill="1" applyBorder="1" applyAlignment="1">
      <alignment horizontal="center" vertical="center" shrinkToFit="1"/>
    </xf>
    <xf numFmtId="171" fontId="27" fillId="11" borderId="27" xfId="0" applyNumberFormat="1" applyFont="1" applyFill="1" applyBorder="1" applyAlignment="1">
      <alignment horizontal="center" vertical="center" shrinkToFit="1"/>
    </xf>
    <xf numFmtId="171" fontId="27" fillId="11" borderId="58" xfId="0" applyNumberFormat="1" applyFont="1" applyFill="1" applyBorder="1" applyAlignment="1">
      <alignment horizontal="center" vertical="center" shrinkToFit="1"/>
    </xf>
    <xf numFmtId="174" fontId="27" fillId="11" borderId="58" xfId="0" applyNumberFormat="1" applyFont="1" applyFill="1" applyBorder="1" applyAlignment="1">
      <alignment horizontal="center" vertical="center" shrinkToFit="1"/>
    </xf>
    <xf numFmtId="165" fontId="27" fillId="11" borderId="27" xfId="0" applyNumberFormat="1" applyFont="1" applyFill="1" applyBorder="1" applyAlignment="1">
      <alignment horizontal="center" vertical="center" shrinkToFit="1"/>
    </xf>
    <xf numFmtId="0" fontId="27" fillId="14" borderId="0" xfId="0" applyFont="1" applyFill="1" applyBorder="1" applyAlignment="1">
      <alignment vertical="center" shrinkToFit="1"/>
    </xf>
    <xf numFmtId="164" fontId="27" fillId="14" borderId="0" xfId="0" applyNumberFormat="1" applyFont="1" applyFill="1" applyAlignment="1">
      <alignment horizontal="center" vertical="center"/>
    </xf>
    <xf numFmtId="0" fontId="27" fillId="4" borderId="27" xfId="0" applyFont="1" applyFill="1" applyBorder="1" applyAlignment="1">
      <alignment horizontal="left" vertical="center" shrinkToFit="1"/>
    </xf>
    <xf numFmtId="165" fontId="27" fillId="0" borderId="26" xfId="0" applyNumberFormat="1" applyFont="1" applyFill="1" applyBorder="1" applyAlignment="1">
      <alignment horizontal="center" vertical="center" wrapText="1" shrinkToFit="1"/>
    </xf>
    <xf numFmtId="165" fontId="27" fillId="0" borderId="3" xfId="0" applyNumberFormat="1" applyFont="1" applyFill="1" applyBorder="1" applyAlignment="1">
      <alignment horizontal="center" vertical="center" wrapText="1" shrinkToFit="1"/>
    </xf>
    <xf numFmtId="167" fontId="27" fillId="0" borderId="4" xfId="0" applyNumberFormat="1" applyFont="1" applyFill="1" applyBorder="1" applyAlignment="1">
      <alignment horizontal="center" vertical="center" shrinkToFit="1"/>
    </xf>
    <xf numFmtId="171" fontId="27" fillId="0" borderId="24" xfId="0" applyNumberFormat="1" applyFont="1" applyFill="1" applyBorder="1" applyAlignment="1">
      <alignment horizontal="center" vertical="center" shrinkToFit="1"/>
    </xf>
    <xf numFmtId="165" fontId="27" fillId="0" borderId="10" xfId="0" applyNumberFormat="1" applyFont="1" applyFill="1" applyBorder="1" applyAlignment="1">
      <alignment horizontal="center" vertical="center" shrinkToFit="1"/>
    </xf>
    <xf numFmtId="171" fontId="27" fillId="0" borderId="17" xfId="0" applyNumberFormat="1" applyFont="1" applyFill="1" applyBorder="1" applyAlignment="1">
      <alignment horizontal="center" vertical="center" shrinkToFit="1"/>
    </xf>
    <xf numFmtId="165" fontId="27" fillId="4" borderId="27" xfId="0" applyNumberFormat="1" applyFont="1" applyFill="1" applyBorder="1" applyAlignment="1">
      <alignment horizontal="center" vertical="center" shrinkToFit="1"/>
    </xf>
    <xf numFmtId="0" fontId="27" fillId="2" borderId="27" xfId="0" applyFont="1" applyFill="1" applyBorder="1" applyAlignment="1">
      <alignment horizontal="center" vertical="center" shrinkToFit="1"/>
    </xf>
    <xf numFmtId="0" fontId="34" fillId="0" borderId="152" xfId="0" applyFont="1" applyFill="1" applyBorder="1" applyAlignment="1">
      <alignment horizontal="left" vertical="center" shrinkToFit="1"/>
    </xf>
    <xf numFmtId="164" fontId="27" fillId="4" borderId="3" xfId="0" applyNumberFormat="1" applyFont="1" applyFill="1" applyBorder="1" applyAlignment="1">
      <alignment horizontal="center" vertical="center" shrinkToFit="1"/>
    </xf>
    <xf numFmtId="165" fontId="27" fillId="0" borderId="4" xfId="0" applyNumberFormat="1" applyFont="1" applyFill="1" applyBorder="1" applyAlignment="1">
      <alignment horizontal="center" vertical="center" wrapText="1" shrinkToFit="1"/>
    </xf>
    <xf numFmtId="164" fontId="27" fillId="4" borderId="27" xfId="0" applyNumberFormat="1" applyFont="1" applyFill="1" applyBorder="1" applyAlignment="1">
      <alignment horizontal="center" vertical="center" shrinkToFit="1"/>
    </xf>
    <xf numFmtId="0" fontId="27" fillId="0" borderId="28" xfId="0" applyFont="1" applyFill="1" applyBorder="1" applyAlignment="1">
      <alignment horizontal="left" vertical="center" shrinkToFit="1"/>
    </xf>
    <xf numFmtId="0" fontId="27" fillId="0" borderId="27" xfId="0" applyFont="1" applyFill="1" applyBorder="1" applyAlignment="1">
      <alignment horizontal="left" vertical="center" shrinkToFit="1"/>
    </xf>
    <xf numFmtId="165" fontId="27" fillId="4" borderId="3" xfId="0" applyNumberFormat="1" applyFont="1" applyFill="1" applyBorder="1" applyAlignment="1">
      <alignment horizontal="center" vertical="center" shrinkToFit="1"/>
    </xf>
    <xf numFmtId="164" fontId="27" fillId="4" borderId="26" xfId="0" applyNumberFormat="1" applyFont="1" applyFill="1" applyBorder="1" applyAlignment="1">
      <alignment horizontal="center" vertical="center" shrinkToFit="1"/>
    </xf>
    <xf numFmtId="174" fontId="27" fillId="4" borderId="58" xfId="0" applyNumberFormat="1" applyFont="1" applyFill="1" applyBorder="1" applyAlignment="1">
      <alignment horizontal="center" vertical="center" shrinkToFit="1"/>
    </xf>
    <xf numFmtId="0" fontId="27" fillId="16" borderId="27" xfId="0" applyFont="1" applyFill="1" applyBorder="1" applyAlignment="1">
      <alignment horizontal="center" vertical="center" shrinkToFit="1"/>
    </xf>
    <xf numFmtId="174" fontId="27" fillId="0" borderId="27" xfId="0" applyNumberFormat="1" applyFont="1" applyFill="1" applyBorder="1" applyAlignment="1">
      <alignment horizontal="center" vertical="center" shrinkToFit="1"/>
    </xf>
    <xf numFmtId="0" fontId="27" fillId="0" borderId="70" xfId="0" applyFont="1" applyFill="1" applyBorder="1" applyAlignment="1">
      <alignment horizontal="center" vertical="center" shrinkToFit="1"/>
    </xf>
    <xf numFmtId="174" fontId="27" fillId="0" borderId="24" xfId="0" applyNumberFormat="1" applyFont="1" applyFill="1" applyBorder="1" applyAlignment="1">
      <alignment horizontal="center" vertical="center" shrinkToFit="1"/>
    </xf>
    <xf numFmtId="0" fontId="27" fillId="2" borderId="102" xfId="0" applyFont="1" applyFill="1" applyBorder="1" applyAlignment="1">
      <alignment horizontal="center" vertical="center" shrinkToFit="1"/>
    </xf>
    <xf numFmtId="0" fontId="34" fillId="4" borderId="17" xfId="0" applyFont="1" applyFill="1" applyBorder="1" applyAlignment="1">
      <alignment horizontal="left" vertical="center" shrinkToFit="1"/>
    </xf>
    <xf numFmtId="0" fontId="34" fillId="4" borderId="28" xfId="0" applyFont="1" applyFill="1" applyBorder="1" applyAlignment="1">
      <alignment horizontal="center" vertical="center" shrinkToFit="1"/>
    </xf>
    <xf numFmtId="0" fontId="34" fillId="4" borderId="27" xfId="0" applyFont="1" applyFill="1" applyBorder="1" applyAlignment="1">
      <alignment horizontal="center" vertical="center" shrinkToFit="1"/>
    </xf>
    <xf numFmtId="49" fontId="27" fillId="4" borderId="3" xfId="0" applyNumberFormat="1" applyFont="1" applyFill="1" applyBorder="1" applyAlignment="1">
      <alignment horizontal="center" vertical="center" shrinkToFit="1"/>
    </xf>
    <xf numFmtId="0" fontId="27" fillId="4" borderId="26" xfId="0" applyFont="1" applyFill="1" applyBorder="1" applyAlignment="1">
      <alignment vertical="center" shrinkToFit="1"/>
    </xf>
    <xf numFmtId="0" fontId="27" fillId="4" borderId="38" xfId="0" applyFont="1" applyFill="1" applyBorder="1" applyAlignment="1">
      <alignment vertical="center" shrinkToFit="1"/>
    </xf>
    <xf numFmtId="0" fontId="27" fillId="4" borderId="3" xfId="0" applyFont="1" applyFill="1" applyBorder="1" applyAlignment="1">
      <alignment vertical="center" shrinkToFit="1"/>
    </xf>
    <xf numFmtId="0" fontId="27" fillId="4" borderId="10" xfId="0" applyFont="1" applyFill="1" applyBorder="1" applyAlignment="1">
      <alignment vertical="center" shrinkToFit="1"/>
    </xf>
    <xf numFmtId="167" fontId="27" fillId="4" borderId="3" xfId="0" applyNumberFormat="1" applyFont="1" applyFill="1" applyBorder="1" applyAlignment="1">
      <alignment horizontal="center" vertical="center" shrinkToFit="1"/>
    </xf>
    <xf numFmtId="0" fontId="34" fillId="4" borderId="152" xfId="0" applyFont="1" applyFill="1" applyBorder="1" applyAlignment="1">
      <alignment horizontal="left" vertical="center" shrinkToFit="1"/>
    </xf>
    <xf numFmtId="0" fontId="27" fillId="20" borderId="0" xfId="0" applyFont="1" applyFill="1">
      <alignment vertical="center"/>
    </xf>
    <xf numFmtId="0" fontId="34" fillId="20" borderId="152" xfId="0" applyFont="1" applyFill="1" applyBorder="1" applyAlignment="1">
      <alignment horizontal="left" vertical="center" shrinkToFit="1"/>
    </xf>
    <xf numFmtId="0" fontId="34" fillId="20" borderId="28" xfId="0" applyFont="1" applyFill="1" applyBorder="1" applyAlignment="1">
      <alignment horizontal="center" vertical="center" shrinkToFit="1"/>
    </xf>
    <xf numFmtId="0" fontId="34" fillId="20" borderId="27" xfId="0" applyFont="1" applyFill="1" applyBorder="1" applyAlignment="1">
      <alignment horizontal="center" vertical="center" shrinkToFit="1"/>
    </xf>
    <xf numFmtId="0" fontId="27" fillId="20" borderId="26" xfId="0" applyFont="1" applyFill="1" applyBorder="1" applyAlignment="1">
      <alignment horizontal="center" vertical="center" shrinkToFit="1"/>
    </xf>
    <xf numFmtId="0" fontId="27" fillId="20" borderId="3" xfId="0" applyFont="1" applyFill="1" applyBorder="1" applyAlignment="1">
      <alignment horizontal="center" vertical="center" shrinkToFit="1"/>
    </xf>
    <xf numFmtId="171" fontId="27" fillId="20" borderId="3" xfId="0" applyNumberFormat="1" applyFont="1" applyFill="1" applyBorder="1" applyAlignment="1">
      <alignment horizontal="center" vertical="center" shrinkToFit="1"/>
    </xf>
    <xf numFmtId="49" fontId="27" fillId="20" borderId="3" xfId="0" applyNumberFormat="1" applyFont="1" applyFill="1" applyBorder="1" applyAlignment="1">
      <alignment horizontal="center" vertical="center" shrinkToFit="1"/>
    </xf>
    <xf numFmtId="164" fontId="27" fillId="20" borderId="3" xfId="0" applyNumberFormat="1" applyFont="1" applyFill="1" applyBorder="1" applyAlignment="1">
      <alignment horizontal="center" vertical="center" shrinkToFit="1"/>
    </xf>
    <xf numFmtId="164" fontId="27" fillId="20" borderId="27" xfId="0" applyNumberFormat="1" applyFont="1" applyFill="1" applyBorder="1" applyAlignment="1">
      <alignment horizontal="center" vertical="center" shrinkToFit="1"/>
    </xf>
    <xf numFmtId="0" fontId="27" fillId="20" borderId="26" xfId="0" applyFont="1" applyFill="1" applyBorder="1" applyAlignment="1">
      <alignment vertical="center" shrinkToFit="1"/>
    </xf>
    <xf numFmtId="0" fontId="27" fillId="20" borderId="38" xfId="0" applyFont="1" applyFill="1" applyBorder="1" applyAlignment="1">
      <alignment vertical="center" shrinkToFit="1"/>
    </xf>
    <xf numFmtId="0" fontId="27" fillId="20" borderId="3" xfId="0" applyFont="1" applyFill="1" applyBorder="1" applyAlignment="1">
      <alignment vertical="center" shrinkToFit="1"/>
    </xf>
    <xf numFmtId="0" fontId="27" fillId="20" borderId="10" xfId="0" applyFont="1" applyFill="1" applyBorder="1" applyAlignment="1">
      <alignment vertical="center" shrinkToFit="1"/>
    </xf>
    <xf numFmtId="0" fontId="27" fillId="20" borderId="26" xfId="0" applyFont="1" applyFill="1" applyBorder="1" applyAlignment="1">
      <alignment horizontal="left" vertical="center" shrinkToFit="1"/>
    </xf>
    <xf numFmtId="0" fontId="27" fillId="20" borderId="27" xfId="0" applyFont="1" applyFill="1" applyBorder="1" applyAlignment="1">
      <alignment horizontal="left" vertical="center" shrinkToFit="1"/>
    </xf>
    <xf numFmtId="14" fontId="27" fillId="20" borderId="3" xfId="0" applyNumberFormat="1" applyFont="1" applyFill="1" applyBorder="1" applyAlignment="1">
      <alignment horizontal="center" vertical="center" shrinkToFit="1"/>
    </xf>
    <xf numFmtId="14" fontId="27" fillId="20" borderId="27" xfId="0" applyNumberFormat="1" applyFont="1" applyFill="1" applyBorder="1" applyAlignment="1">
      <alignment horizontal="center" vertical="center" shrinkToFit="1"/>
    </xf>
    <xf numFmtId="165" fontId="27" fillId="20" borderId="26" xfId="0" applyNumberFormat="1" applyFont="1" applyFill="1" applyBorder="1" applyAlignment="1">
      <alignment horizontal="center" vertical="center" shrinkToFit="1"/>
    </xf>
    <xf numFmtId="165" fontId="27" fillId="20" borderId="3" xfId="0" applyNumberFormat="1" applyFont="1" applyFill="1" applyBorder="1" applyAlignment="1">
      <alignment horizontal="center" vertical="center" shrinkToFit="1"/>
    </xf>
    <xf numFmtId="165" fontId="27" fillId="20" borderId="24" xfId="0" applyNumberFormat="1" applyFont="1" applyFill="1" applyBorder="1" applyAlignment="1">
      <alignment horizontal="center" vertical="center" shrinkToFit="1"/>
    </xf>
    <xf numFmtId="165" fontId="27" fillId="20" borderId="10" xfId="0" applyNumberFormat="1" applyFont="1" applyFill="1" applyBorder="1" applyAlignment="1">
      <alignment horizontal="center" vertical="center" shrinkToFit="1"/>
    </xf>
    <xf numFmtId="167" fontId="27" fillId="20" borderId="3" xfId="0" applyNumberFormat="1" applyFont="1" applyFill="1" applyBorder="1" applyAlignment="1">
      <alignment horizontal="center" vertical="center" shrinkToFit="1"/>
    </xf>
    <xf numFmtId="171" fontId="27" fillId="20" borderId="38" xfId="0" applyNumberFormat="1" applyFont="1" applyFill="1" applyBorder="1" applyAlignment="1">
      <alignment horizontal="center" vertical="center" shrinkToFit="1"/>
    </xf>
    <xf numFmtId="164" fontId="27" fillId="20" borderId="26" xfId="0" applyNumberFormat="1" applyFont="1" applyFill="1" applyBorder="1" applyAlignment="1">
      <alignment horizontal="center" vertical="center" shrinkToFit="1"/>
    </xf>
    <xf numFmtId="171" fontId="27" fillId="20" borderId="27" xfId="0" applyNumberFormat="1" applyFont="1" applyFill="1" applyBorder="1" applyAlignment="1">
      <alignment horizontal="center" vertical="center" shrinkToFit="1"/>
    </xf>
    <xf numFmtId="0" fontId="27" fillId="20" borderId="27" xfId="0" applyFont="1" applyFill="1" applyBorder="1" applyAlignment="1">
      <alignment horizontal="center" vertical="center" shrinkToFit="1"/>
    </xf>
    <xf numFmtId="174" fontId="27" fillId="20" borderId="10" xfId="0" applyNumberFormat="1" applyFont="1" applyFill="1" applyBorder="1" applyAlignment="1">
      <alignment horizontal="center" vertical="center" shrinkToFit="1"/>
    </xf>
    <xf numFmtId="174" fontId="27" fillId="20" borderId="3" xfId="0" applyNumberFormat="1" applyFont="1" applyFill="1" applyBorder="1" applyAlignment="1">
      <alignment horizontal="center" vertical="center" shrinkToFit="1"/>
    </xf>
    <xf numFmtId="171" fontId="27" fillId="20" borderId="58" xfId="0" applyNumberFormat="1" applyFont="1" applyFill="1" applyBorder="1" applyAlignment="1">
      <alignment horizontal="center" vertical="center" shrinkToFit="1"/>
    </xf>
    <xf numFmtId="174" fontId="27" fillId="20" borderId="58" xfId="0" applyNumberFormat="1" applyFont="1" applyFill="1" applyBorder="1" applyAlignment="1">
      <alignment horizontal="center" vertical="center" shrinkToFit="1"/>
    </xf>
    <xf numFmtId="165" fontId="27" fillId="20" borderId="27" xfId="0" applyNumberFormat="1" applyFont="1" applyFill="1" applyBorder="1" applyAlignment="1">
      <alignment horizontal="center" vertical="center" shrinkToFit="1"/>
    </xf>
    <xf numFmtId="171" fontId="27" fillId="20" borderId="26" xfId="0" applyNumberFormat="1" applyFont="1" applyFill="1" applyBorder="1" applyAlignment="1">
      <alignment horizontal="center" vertical="center" shrinkToFit="1"/>
    </xf>
    <xf numFmtId="0" fontId="27" fillId="20" borderId="18" xfId="0" applyFont="1" applyFill="1" applyBorder="1" applyAlignment="1">
      <alignment vertical="center" shrinkToFit="1"/>
    </xf>
    <xf numFmtId="0" fontId="27" fillId="20" borderId="0" xfId="0" applyFont="1" applyFill="1" applyBorder="1" applyAlignment="1">
      <alignment vertical="center" shrinkToFit="1"/>
    </xf>
    <xf numFmtId="164" fontId="27" fillId="20" borderId="0" xfId="0" applyNumberFormat="1" applyFont="1" applyFill="1" applyAlignment="1">
      <alignment horizontal="center" vertical="center"/>
    </xf>
    <xf numFmtId="0" fontId="34" fillId="4" borderId="25" xfId="0" applyFont="1" applyFill="1" applyBorder="1" applyAlignment="1">
      <alignment horizontal="center" vertical="center" shrinkToFit="1"/>
    </xf>
    <xf numFmtId="0" fontId="34" fillId="4" borderId="24" xfId="0" applyFont="1" applyFill="1" applyBorder="1" applyAlignment="1">
      <alignment horizontal="center" vertical="center" shrinkToFit="1"/>
    </xf>
    <xf numFmtId="0" fontId="34" fillId="4" borderId="60" xfId="0" applyFont="1" applyFill="1" applyBorder="1" applyAlignment="1">
      <alignment horizontal="center" vertical="center" shrinkToFit="1"/>
    </xf>
    <xf numFmtId="164" fontId="27" fillId="4" borderId="2" xfId="0" applyNumberFormat="1" applyFont="1" applyFill="1" applyBorder="1" applyAlignment="1">
      <alignment horizontal="center" vertical="center" shrinkToFit="1"/>
    </xf>
    <xf numFmtId="164" fontId="27" fillId="4" borderId="24" xfId="0" applyNumberFormat="1" applyFont="1" applyFill="1" applyBorder="1" applyAlignment="1">
      <alignment horizontal="center" vertical="center" shrinkToFit="1"/>
    </xf>
    <xf numFmtId="171" fontId="27" fillId="4" borderId="70" xfId="0" applyNumberFormat="1" applyFont="1" applyFill="1" applyBorder="1" applyAlignment="1">
      <alignment horizontal="center" vertical="center" shrinkToFit="1"/>
    </xf>
    <xf numFmtId="165" fontId="27" fillId="0" borderId="70" xfId="0" applyNumberFormat="1" applyFont="1" applyFill="1" applyBorder="1" applyAlignment="1">
      <alignment horizontal="center" vertical="center" shrinkToFit="1"/>
    </xf>
    <xf numFmtId="174" fontId="27" fillId="0" borderId="2" xfId="0" applyNumberFormat="1" applyFont="1" applyFill="1" applyBorder="1" applyAlignment="1">
      <alignment horizontal="center" vertical="center" shrinkToFit="1"/>
    </xf>
    <xf numFmtId="171" fontId="27" fillId="0" borderId="60" xfId="0" applyNumberFormat="1" applyFont="1" applyFill="1" applyBorder="1" applyAlignment="1">
      <alignment horizontal="center" vertical="center" shrinkToFit="1"/>
    </xf>
    <xf numFmtId="0" fontId="35" fillId="2" borderId="24" xfId="0" quotePrefix="1" applyFont="1" applyFill="1" applyBorder="1" applyAlignment="1">
      <alignment horizontal="center" vertical="center"/>
    </xf>
    <xf numFmtId="0" fontId="36" fillId="4" borderId="60" xfId="0" applyFont="1" applyFill="1" applyBorder="1" applyAlignment="1">
      <alignment horizontal="center" vertical="center"/>
    </xf>
    <xf numFmtId="0" fontId="27" fillId="4" borderId="4" xfId="0" applyFont="1" applyFill="1" applyBorder="1" applyAlignment="1">
      <alignment horizontal="center" vertical="center" shrinkToFit="1"/>
    </xf>
    <xf numFmtId="167" fontId="35" fillId="0" borderId="4" xfId="0" applyNumberFormat="1" applyFont="1" applyBorder="1" applyAlignment="1">
      <alignment horizontal="center" vertical="center"/>
    </xf>
    <xf numFmtId="0" fontId="35" fillId="0" borderId="23" xfId="0" applyFont="1" applyFill="1" applyBorder="1" applyAlignment="1">
      <alignment horizontal="left" vertical="center" shrinkToFit="1"/>
    </xf>
    <xf numFmtId="0" fontId="35" fillId="0" borderId="70" xfId="0" applyFont="1" applyFill="1" applyBorder="1" applyAlignment="1">
      <alignment horizontal="left" vertical="center" shrinkToFit="1"/>
    </xf>
    <xf numFmtId="0" fontId="27" fillId="4" borderId="23" xfId="0" applyFont="1" applyFill="1" applyBorder="1" applyAlignment="1">
      <alignment horizontal="left" vertical="center" shrinkToFit="1"/>
    </xf>
    <xf numFmtId="0" fontId="27" fillId="4" borderId="24" xfId="0" applyFont="1" applyFill="1" applyBorder="1" applyAlignment="1">
      <alignment horizontal="left" vertical="center" shrinkToFit="1"/>
    </xf>
    <xf numFmtId="14" fontId="27" fillId="4" borderId="23" xfId="0" applyNumberFormat="1" applyFont="1" applyFill="1" applyBorder="1" applyAlignment="1">
      <alignment horizontal="center" vertical="center" shrinkToFit="1"/>
    </xf>
    <xf numFmtId="165" fontId="35" fillId="0" borderId="23" xfId="0" applyNumberFormat="1" applyFont="1" applyBorder="1" applyAlignment="1">
      <alignment horizontal="center" vertical="center"/>
    </xf>
    <xf numFmtId="165" fontId="35" fillId="0" borderId="2" xfId="0" applyNumberFormat="1" applyFont="1" applyBorder="1" applyAlignment="1">
      <alignment horizontal="center" vertical="center"/>
    </xf>
    <xf numFmtId="0" fontId="34" fillId="0" borderId="60" xfId="0" applyFont="1" applyFill="1" applyBorder="1" applyAlignment="1">
      <alignment horizontal="center" vertical="center" wrapText="1" shrinkToFit="1"/>
    </xf>
    <xf numFmtId="165" fontId="27" fillId="4" borderId="4" xfId="0" applyNumberFormat="1" applyFont="1" applyFill="1" applyBorder="1" applyAlignment="1">
      <alignment horizontal="center" vertical="center" shrinkToFit="1"/>
    </xf>
    <xf numFmtId="0" fontId="27" fillId="2" borderId="29" xfId="0" applyFont="1" applyFill="1" applyBorder="1" applyAlignment="1">
      <alignment horizontal="center" vertical="center" shrinkToFit="1"/>
    </xf>
    <xf numFmtId="0" fontId="34" fillId="4" borderId="20" xfId="0" applyFont="1" applyFill="1" applyBorder="1" applyAlignment="1">
      <alignment horizontal="left" vertical="center" shrinkToFit="1"/>
    </xf>
    <xf numFmtId="0" fontId="34" fillId="4" borderId="52" xfId="0" applyFont="1" applyFill="1" applyBorder="1" applyAlignment="1">
      <alignment horizontal="center" vertical="center" shrinkToFit="1"/>
    </xf>
    <xf numFmtId="0" fontId="34" fillId="4" borderId="29" xfId="0" applyFont="1" applyFill="1" applyBorder="1" applyAlignment="1">
      <alignment horizontal="center" vertical="center" shrinkToFit="1"/>
    </xf>
    <xf numFmtId="0" fontId="27" fillId="4" borderId="30" xfId="0" applyFont="1" applyFill="1" applyBorder="1" applyAlignment="1">
      <alignment horizontal="center" vertical="center" shrinkToFit="1"/>
    </xf>
    <xf numFmtId="0" fontId="27" fillId="4" borderId="31" xfId="0" applyFont="1" applyFill="1" applyBorder="1" applyAlignment="1">
      <alignment horizontal="center" vertical="center" shrinkToFit="1"/>
    </xf>
    <xf numFmtId="171" fontId="27" fillId="4" borderId="31" xfId="0" applyNumberFormat="1" applyFont="1" applyFill="1" applyBorder="1" applyAlignment="1">
      <alignment horizontal="center" vertical="center" shrinkToFit="1"/>
    </xf>
    <xf numFmtId="49" fontId="27" fillId="4" borderId="31" xfId="0" applyNumberFormat="1" applyFont="1" applyFill="1" applyBorder="1" applyAlignment="1">
      <alignment horizontal="center" vertical="center" shrinkToFit="1"/>
    </xf>
    <xf numFmtId="164" fontId="27" fillId="4" borderId="31" xfId="0" applyNumberFormat="1" applyFont="1" applyFill="1" applyBorder="1" applyAlignment="1">
      <alignment horizontal="center" vertical="center" shrinkToFit="1"/>
    </xf>
    <xf numFmtId="164" fontId="27" fillId="4" borderId="29" xfId="0" applyNumberFormat="1" applyFont="1" applyFill="1" applyBorder="1" applyAlignment="1">
      <alignment horizontal="center" vertical="center" shrinkToFit="1"/>
    </xf>
    <xf numFmtId="0" fontId="27" fillId="4" borderId="30" xfId="0" applyFont="1" applyFill="1" applyBorder="1" applyAlignment="1">
      <alignment vertical="center" shrinkToFit="1"/>
    </xf>
    <xf numFmtId="0" fontId="27" fillId="4" borderId="134" xfId="0" applyFont="1" applyFill="1" applyBorder="1" applyAlignment="1">
      <alignment vertical="center" shrinkToFit="1"/>
    </xf>
    <xf numFmtId="0" fontId="27" fillId="4" borderId="31" xfId="0" applyFont="1" applyFill="1" applyBorder="1" applyAlignment="1">
      <alignment vertical="center" shrinkToFit="1"/>
    </xf>
    <xf numFmtId="0" fontId="27" fillId="4" borderId="133" xfId="0" applyFont="1" applyFill="1" applyBorder="1" applyAlignment="1">
      <alignment vertical="center" shrinkToFit="1"/>
    </xf>
    <xf numFmtId="0" fontId="27" fillId="4" borderId="30" xfId="0" applyFont="1" applyFill="1" applyBorder="1" applyAlignment="1">
      <alignment horizontal="left" vertical="center" shrinkToFit="1"/>
    </xf>
    <xf numFmtId="0" fontId="27" fillId="4" borderId="29" xfId="0" applyFont="1" applyFill="1" applyBorder="1" applyAlignment="1">
      <alignment horizontal="left" vertical="center" shrinkToFit="1"/>
    </xf>
    <xf numFmtId="14" fontId="27" fillId="4" borderId="30" xfId="0" applyNumberFormat="1" applyFont="1" applyFill="1" applyBorder="1" applyAlignment="1">
      <alignment horizontal="center" vertical="center" shrinkToFit="1"/>
    </xf>
    <xf numFmtId="14" fontId="27" fillId="4" borderId="29" xfId="0" applyNumberFormat="1" applyFont="1" applyFill="1" applyBorder="1" applyAlignment="1">
      <alignment horizontal="center" vertical="center" shrinkToFit="1"/>
    </xf>
    <xf numFmtId="165" fontId="27" fillId="4" borderId="30" xfId="0" applyNumberFormat="1" applyFont="1" applyFill="1" applyBorder="1" applyAlignment="1">
      <alignment horizontal="center" vertical="center" shrinkToFit="1"/>
    </xf>
    <xf numFmtId="165" fontId="27" fillId="4" borderId="31" xfId="0" applyNumberFormat="1" applyFont="1" applyFill="1" applyBorder="1" applyAlignment="1">
      <alignment horizontal="center" vertical="center" shrinkToFit="1"/>
    </xf>
    <xf numFmtId="165" fontId="27" fillId="4" borderId="29" xfId="0" applyNumberFormat="1" applyFont="1" applyFill="1" applyBorder="1" applyAlignment="1">
      <alignment horizontal="center" vertical="center" shrinkToFit="1"/>
    </xf>
    <xf numFmtId="165" fontId="27" fillId="4" borderId="133" xfId="0" applyNumberFormat="1" applyFont="1" applyFill="1" applyBorder="1" applyAlignment="1">
      <alignment horizontal="center" vertical="center" shrinkToFit="1"/>
    </xf>
    <xf numFmtId="167" fontId="27" fillId="4" borderId="31" xfId="0" applyNumberFormat="1" applyFont="1" applyFill="1" applyBorder="1" applyAlignment="1">
      <alignment horizontal="center" vertical="center" shrinkToFit="1"/>
    </xf>
    <xf numFmtId="171" fontId="27" fillId="4" borderId="134" xfId="0" applyNumberFormat="1" applyFont="1" applyFill="1" applyBorder="1" applyAlignment="1">
      <alignment horizontal="center" vertical="center" shrinkToFit="1"/>
    </xf>
    <xf numFmtId="164" fontId="27" fillId="4" borderId="30" xfId="0" applyNumberFormat="1" applyFont="1" applyFill="1" applyBorder="1" applyAlignment="1">
      <alignment horizontal="center" vertical="center" shrinkToFit="1"/>
    </xf>
    <xf numFmtId="171" fontId="27" fillId="4" borderId="29" xfId="0" applyNumberFormat="1" applyFont="1" applyFill="1" applyBorder="1" applyAlignment="1">
      <alignment horizontal="center" vertical="center" shrinkToFit="1"/>
    </xf>
    <xf numFmtId="0" fontId="27" fillId="4" borderId="29" xfId="0" applyFont="1" applyFill="1" applyBorder="1" applyAlignment="1">
      <alignment horizontal="center" vertical="center" shrinkToFit="1"/>
    </xf>
    <xf numFmtId="174" fontId="27" fillId="4" borderId="133" xfId="0" applyNumberFormat="1" applyFont="1" applyFill="1" applyBorder="1" applyAlignment="1">
      <alignment horizontal="center" vertical="center" shrinkToFit="1"/>
    </xf>
    <xf numFmtId="174" fontId="27" fillId="4" borderId="31" xfId="0" applyNumberFormat="1" applyFont="1" applyFill="1" applyBorder="1" applyAlignment="1">
      <alignment horizontal="center" vertical="center" shrinkToFit="1"/>
    </xf>
    <xf numFmtId="171" fontId="27" fillId="4" borderId="52" xfId="0" applyNumberFormat="1" applyFont="1" applyFill="1" applyBorder="1" applyAlignment="1">
      <alignment horizontal="center" vertical="center" shrinkToFit="1"/>
    </xf>
    <xf numFmtId="171" fontId="27" fillId="4" borderId="30" xfId="0" applyNumberFormat="1" applyFont="1" applyFill="1" applyBorder="1" applyAlignment="1">
      <alignment horizontal="center" vertical="center" shrinkToFit="1"/>
    </xf>
    <xf numFmtId="0" fontId="27" fillId="0" borderId="20" xfId="0" applyFont="1" applyFill="1" applyBorder="1" applyAlignment="1">
      <alignment vertical="center" shrinkToFit="1"/>
    </xf>
    <xf numFmtId="0" fontId="35" fillId="2" borderId="44" xfId="0" quotePrefix="1" applyFont="1" applyFill="1" applyBorder="1" applyAlignment="1">
      <alignment horizontal="center" vertical="center"/>
    </xf>
    <xf numFmtId="0" fontId="36" fillId="0" borderId="44" xfId="0" applyFont="1" applyFill="1" applyBorder="1" applyAlignment="1">
      <alignment vertical="center"/>
    </xf>
    <xf numFmtId="0" fontId="36" fillId="0" borderId="44" xfId="0" applyFont="1" applyFill="1" applyBorder="1" applyAlignment="1">
      <alignment horizontal="center" vertical="center"/>
    </xf>
    <xf numFmtId="0" fontId="27" fillId="0" borderId="43" xfId="0" applyFont="1" applyFill="1" applyBorder="1" applyAlignment="1">
      <alignment horizontal="center" vertical="center" shrinkToFit="1"/>
    </xf>
    <xf numFmtId="171" fontId="27" fillId="0" borderId="43" xfId="0" applyNumberFormat="1" applyFont="1" applyFill="1" applyBorder="1" applyAlignment="1">
      <alignment horizontal="center" vertical="center" shrinkToFit="1"/>
    </xf>
    <xf numFmtId="0" fontId="27" fillId="0" borderId="44" xfId="0" applyFont="1" applyFill="1" applyBorder="1" applyAlignment="1">
      <alignment horizontal="center" vertical="center" shrinkToFit="1"/>
    </xf>
    <xf numFmtId="167" fontId="35" fillId="0" borderId="44" xfId="0" applyNumberFormat="1" applyFont="1" applyBorder="1" applyAlignment="1">
      <alignment horizontal="center" vertical="center"/>
    </xf>
    <xf numFmtId="164" fontId="27" fillId="0" borderId="43" xfId="0" applyNumberFormat="1" applyFont="1" applyFill="1" applyBorder="1" applyAlignment="1">
      <alignment horizontal="center" vertical="center" shrinkToFit="1"/>
    </xf>
    <xf numFmtId="0" fontId="35" fillId="0" borderId="43" xfId="0" applyFont="1" applyFill="1" applyBorder="1" applyAlignment="1">
      <alignment horizontal="left" vertical="center" shrinkToFit="1"/>
    </xf>
    <xf numFmtId="0" fontId="27" fillId="0" borderId="43" xfId="0" applyFont="1" applyFill="1" applyBorder="1" applyAlignment="1">
      <alignment vertical="center" shrinkToFit="1"/>
    </xf>
    <xf numFmtId="0" fontId="27" fillId="0" borderId="43" xfId="0" applyFont="1" applyFill="1" applyBorder="1" applyAlignment="1">
      <alignment horizontal="left" vertical="center" shrinkToFit="1"/>
    </xf>
    <xf numFmtId="14" fontId="27" fillId="0" borderId="43" xfId="0" applyNumberFormat="1" applyFont="1" applyFill="1" applyBorder="1" applyAlignment="1">
      <alignment horizontal="center" vertical="center" shrinkToFit="1"/>
    </xf>
    <xf numFmtId="165" fontId="35" fillId="0" borderId="43" xfId="0" applyNumberFormat="1" applyFont="1" applyBorder="1" applyAlignment="1">
      <alignment horizontal="center" vertical="center"/>
    </xf>
    <xf numFmtId="165" fontId="27" fillId="0" borderId="43" xfId="0" applyNumberFormat="1" applyFont="1" applyFill="1" applyBorder="1" applyAlignment="1">
      <alignment horizontal="center" vertical="center" shrinkToFit="1"/>
    </xf>
    <xf numFmtId="167" fontId="27" fillId="0" borderId="43" xfId="0" applyNumberFormat="1" applyFont="1" applyFill="1" applyBorder="1" applyAlignment="1">
      <alignment horizontal="center" vertical="center" shrinkToFit="1"/>
    </xf>
    <xf numFmtId="174" fontId="27" fillId="0" borderId="43" xfId="0" applyNumberFormat="1" applyFont="1" applyFill="1" applyBorder="1" applyAlignment="1">
      <alignment horizontal="center" vertical="center" shrinkToFit="1"/>
    </xf>
    <xf numFmtId="0" fontId="27" fillId="2" borderId="7" xfId="0" applyFont="1" applyFill="1" applyBorder="1" applyAlignment="1">
      <alignment horizontal="center" vertical="center" shrinkToFit="1"/>
    </xf>
    <xf numFmtId="0" fontId="34" fillId="0" borderId="7" xfId="0" applyFont="1" applyFill="1" applyBorder="1" applyAlignment="1">
      <alignment horizontal="left" vertical="center" shrinkToFit="1"/>
    </xf>
    <xf numFmtId="0" fontId="34" fillId="0" borderId="7" xfId="0" applyFont="1" applyFill="1" applyBorder="1" applyAlignment="1">
      <alignment horizontal="center" vertical="center" shrinkToFit="1"/>
    </xf>
    <xf numFmtId="0" fontId="27" fillId="0" borderId="7" xfId="0" applyFont="1" applyFill="1" applyBorder="1" applyAlignment="1">
      <alignment horizontal="center" vertical="center" shrinkToFit="1"/>
    </xf>
    <xf numFmtId="171" fontId="27" fillId="0" borderId="7" xfId="0" applyNumberFormat="1" applyFont="1" applyFill="1" applyBorder="1" applyAlignment="1">
      <alignment horizontal="center" vertical="center" shrinkToFit="1"/>
    </xf>
    <xf numFmtId="49" fontId="27" fillId="0" borderId="7" xfId="0" applyNumberFormat="1" applyFont="1" applyFill="1" applyBorder="1" applyAlignment="1">
      <alignment horizontal="center" vertical="center" shrinkToFit="1"/>
    </xf>
    <xf numFmtId="164" fontId="27" fillId="0" borderId="7" xfId="0" applyNumberFormat="1" applyFont="1" applyFill="1" applyBorder="1" applyAlignment="1">
      <alignment horizontal="center" vertical="center" shrinkToFit="1"/>
    </xf>
    <xf numFmtId="0" fontId="27" fillId="0" borderId="7" xfId="0" applyFont="1" applyFill="1" applyBorder="1" applyAlignment="1">
      <alignment vertical="center" shrinkToFit="1"/>
    </xf>
    <xf numFmtId="0" fontId="27" fillId="0" borderId="7" xfId="0" applyFont="1" applyFill="1" applyBorder="1" applyAlignment="1">
      <alignment horizontal="left" vertical="center" shrinkToFit="1"/>
    </xf>
    <xf numFmtId="14" fontId="27" fillId="0" borderId="7" xfId="0" applyNumberFormat="1" applyFont="1" applyFill="1" applyBorder="1" applyAlignment="1">
      <alignment horizontal="center" vertical="center" shrinkToFit="1"/>
    </xf>
    <xf numFmtId="165" fontId="27" fillId="0" borderId="7" xfId="0" applyNumberFormat="1" applyFont="1" applyFill="1" applyBorder="1" applyAlignment="1">
      <alignment horizontal="center" vertical="center" shrinkToFit="1"/>
    </xf>
    <xf numFmtId="167" fontId="27" fillId="0" borderId="7" xfId="0" applyNumberFormat="1" applyFont="1" applyFill="1" applyBorder="1" applyAlignment="1">
      <alignment horizontal="center" vertical="center" shrinkToFit="1"/>
    </xf>
    <xf numFmtId="174" fontId="27" fillId="0" borderId="7" xfId="0" applyNumberFormat="1" applyFont="1" applyFill="1" applyBorder="1" applyAlignment="1">
      <alignment horizontal="center" vertical="center" shrinkToFit="1"/>
    </xf>
    <xf numFmtId="165" fontId="27" fillId="0" borderId="2" xfId="0" applyNumberFormat="1" applyFont="1" applyBorder="1" applyAlignment="1">
      <alignment horizontal="center" vertical="center"/>
    </xf>
    <xf numFmtId="0" fontId="37" fillId="0" borderId="2" xfId="0" applyFont="1" applyBorder="1" applyAlignment="1">
      <alignment horizontal="center" vertical="center"/>
    </xf>
    <xf numFmtId="1" fontId="37" fillId="0" borderId="2" xfId="0" applyNumberFormat="1" applyFont="1" applyBorder="1" applyAlignment="1">
      <alignment horizontal="center" vertical="center"/>
    </xf>
    <xf numFmtId="171" fontId="27" fillId="0" borderId="0" xfId="0" applyNumberFormat="1" applyFont="1">
      <alignment vertical="center"/>
    </xf>
    <xf numFmtId="0" fontId="5" fillId="0" borderId="12" xfId="0" applyFont="1" applyFill="1" applyBorder="1" applyAlignment="1">
      <alignment vertical="center" wrapText="1"/>
    </xf>
    <xf numFmtId="0" fontId="27" fillId="2" borderId="2" xfId="0" applyFont="1" applyFill="1" applyBorder="1" applyAlignment="1">
      <alignment horizontal="center" vertical="center" wrapText="1" shrinkToFit="1"/>
    </xf>
    <xf numFmtId="0" fontId="27" fillId="2" borderId="24" xfId="0" applyFont="1" applyFill="1" applyBorder="1" applyAlignment="1">
      <alignment horizontal="center" vertical="center" shrinkToFit="1"/>
    </xf>
    <xf numFmtId="0" fontId="35" fillId="2" borderId="138" xfId="0" applyFont="1" applyFill="1" applyBorder="1" applyAlignment="1">
      <alignment horizontal="center" vertical="center"/>
    </xf>
    <xf numFmtId="0" fontId="27" fillId="11" borderId="2" xfId="0" applyFont="1" applyFill="1" applyBorder="1" applyAlignment="1">
      <alignment vertical="center" shrinkToFit="1"/>
    </xf>
    <xf numFmtId="164" fontId="27" fillId="0" borderId="4" xfId="0" applyNumberFormat="1" applyFont="1" applyFill="1" applyBorder="1" applyAlignment="1">
      <alignment horizontal="center" vertical="center" shrinkToFit="1"/>
    </xf>
    <xf numFmtId="0" fontId="34" fillId="21" borderId="17" xfId="0" applyFont="1" applyFill="1" applyBorder="1" applyAlignment="1">
      <alignment horizontal="left" vertical="center" shrinkToFit="1"/>
    </xf>
    <xf numFmtId="0" fontId="34" fillId="0" borderId="17" xfId="0" applyFont="1" applyFill="1" applyBorder="1" applyAlignment="1">
      <alignment vertical="center" shrinkToFit="1"/>
    </xf>
    <xf numFmtId="0" fontId="27" fillId="0" borderId="70" xfId="0" applyFont="1" applyFill="1" applyBorder="1" applyAlignment="1">
      <alignment horizontal="left" vertical="center" shrinkToFit="1"/>
    </xf>
    <xf numFmtId="0" fontId="27" fillId="11" borderId="70" xfId="0" applyFont="1" applyFill="1" applyBorder="1" applyAlignment="1">
      <alignment horizontal="left" vertical="center" shrinkToFit="1"/>
    </xf>
    <xf numFmtId="0" fontId="34" fillId="0" borderId="18" xfId="0" applyFont="1" applyFill="1" applyBorder="1" applyAlignment="1">
      <alignment vertical="center" shrinkToFit="1"/>
    </xf>
    <xf numFmtId="49" fontId="27" fillId="0" borderId="23" xfId="0" applyNumberFormat="1" applyFont="1" applyFill="1" applyBorder="1" applyAlignment="1">
      <alignment horizontal="left" vertical="center" shrinkToFit="1"/>
    </xf>
    <xf numFmtId="0" fontId="27" fillId="0" borderId="2" xfId="0" applyFont="1" applyFill="1" applyBorder="1" applyAlignment="1">
      <alignment horizontal="center" vertical="center" wrapText="1" shrinkToFit="1"/>
    </xf>
    <xf numFmtId="0" fontId="27" fillId="4" borderId="2" xfId="0" applyFont="1" applyFill="1" applyBorder="1" applyAlignment="1">
      <alignment horizontal="center" vertical="center" wrapText="1" shrinkToFit="1"/>
    </xf>
    <xf numFmtId="0" fontId="27" fillId="0" borderId="4" xfId="0" applyFont="1" applyFill="1" applyBorder="1" applyAlignment="1">
      <alignment horizontal="center" vertical="center" shrinkToFit="1"/>
    </xf>
    <xf numFmtId="0" fontId="27" fillId="5" borderId="38" xfId="0" applyFont="1" applyFill="1" applyBorder="1" applyAlignment="1">
      <alignment vertical="center" shrinkToFit="1"/>
    </xf>
    <xf numFmtId="0" fontId="27" fillId="14" borderId="4" xfId="0" applyFont="1" applyFill="1" applyBorder="1" applyAlignment="1">
      <alignment horizontal="center" vertical="center" shrinkToFit="1"/>
    </xf>
    <xf numFmtId="0" fontId="34" fillId="14" borderId="17" xfId="0" applyFont="1" applyFill="1" applyBorder="1" applyAlignment="1">
      <alignment horizontal="left" vertical="center" shrinkToFit="1"/>
    </xf>
    <xf numFmtId="0" fontId="34" fillId="14" borderId="23" xfId="0" applyFont="1" applyFill="1" applyBorder="1" applyAlignment="1">
      <alignment horizontal="center" vertical="center" shrinkToFit="1"/>
    </xf>
    <xf numFmtId="0" fontId="34" fillId="14" borderId="24" xfId="0" applyFont="1" applyFill="1" applyBorder="1" applyAlignment="1">
      <alignment horizontal="center" vertical="center" shrinkToFit="1"/>
    </xf>
    <xf numFmtId="0" fontId="27" fillId="14" borderId="23" xfId="0" applyFont="1" applyFill="1" applyBorder="1" applyAlignment="1">
      <alignment horizontal="center" vertical="center" shrinkToFit="1"/>
    </xf>
    <xf numFmtId="0" fontId="27" fillId="14" borderId="2" xfId="0" applyFont="1" applyFill="1" applyBorder="1" applyAlignment="1">
      <alignment horizontal="center" vertical="center" shrinkToFit="1"/>
    </xf>
    <xf numFmtId="171" fontId="27" fillId="14" borderId="2" xfId="0" applyNumberFormat="1" applyFont="1" applyFill="1" applyBorder="1" applyAlignment="1">
      <alignment horizontal="center" vertical="center" shrinkToFit="1"/>
    </xf>
    <xf numFmtId="49" fontId="27" fillId="14" borderId="2" xfId="0" applyNumberFormat="1" applyFont="1" applyFill="1" applyBorder="1" applyAlignment="1">
      <alignment horizontal="center" vertical="center" shrinkToFit="1"/>
    </xf>
    <xf numFmtId="164" fontId="27" fillId="14" borderId="2" xfId="0" applyNumberFormat="1" applyFont="1" applyFill="1" applyBorder="1" applyAlignment="1">
      <alignment horizontal="center" vertical="center" shrinkToFit="1"/>
    </xf>
    <xf numFmtId="164" fontId="27" fillId="14" borderId="24" xfId="0" applyNumberFormat="1" applyFont="1" applyFill="1" applyBorder="1" applyAlignment="1">
      <alignment horizontal="center" vertical="center" shrinkToFit="1"/>
    </xf>
    <xf numFmtId="0" fontId="27" fillId="14" borderId="23" xfId="0" applyFont="1" applyFill="1" applyBorder="1" applyAlignment="1">
      <alignment vertical="center" shrinkToFit="1"/>
    </xf>
    <xf numFmtId="0" fontId="27" fillId="14" borderId="70" xfId="0" applyFont="1" applyFill="1" applyBorder="1" applyAlignment="1">
      <alignment vertical="center" shrinkToFit="1"/>
    </xf>
    <xf numFmtId="0" fontId="27" fillId="14" borderId="2" xfId="0" applyFont="1" applyFill="1" applyBorder="1" applyAlignment="1">
      <alignment vertical="center" shrinkToFit="1"/>
    </xf>
    <xf numFmtId="0" fontId="27" fillId="14" borderId="4" xfId="0" applyFont="1" applyFill="1" applyBorder="1" applyAlignment="1">
      <alignment vertical="center" shrinkToFit="1"/>
    </xf>
    <xf numFmtId="0" fontId="27" fillId="14" borderId="23" xfId="0" applyFont="1" applyFill="1" applyBorder="1" applyAlignment="1">
      <alignment horizontal="left" vertical="center" shrinkToFit="1"/>
    </xf>
    <xf numFmtId="0" fontId="27" fillId="14" borderId="24" xfId="0" applyFont="1" applyFill="1" applyBorder="1" applyAlignment="1">
      <alignment horizontal="left" vertical="center" shrinkToFit="1"/>
    </xf>
    <xf numFmtId="14" fontId="27" fillId="14" borderId="2" xfId="0" applyNumberFormat="1" applyFont="1" applyFill="1" applyBorder="1" applyAlignment="1">
      <alignment horizontal="center" vertical="center" shrinkToFit="1"/>
    </xf>
    <xf numFmtId="14" fontId="27" fillId="14" borderId="27" xfId="0" applyNumberFormat="1" applyFont="1" applyFill="1" applyBorder="1" applyAlignment="1">
      <alignment horizontal="center" vertical="center" shrinkToFit="1"/>
    </xf>
    <xf numFmtId="165" fontId="27" fillId="14" borderId="23" xfId="0" applyNumberFormat="1" applyFont="1" applyFill="1" applyBorder="1" applyAlignment="1">
      <alignment horizontal="center" vertical="center" shrinkToFit="1"/>
    </xf>
    <xf numFmtId="165" fontId="27" fillId="14" borderId="2" xfId="0" applyNumberFormat="1" applyFont="1" applyFill="1" applyBorder="1" applyAlignment="1">
      <alignment horizontal="center" vertical="center" shrinkToFit="1"/>
    </xf>
    <xf numFmtId="165" fontId="27" fillId="14" borderId="24" xfId="0" applyNumberFormat="1" applyFont="1" applyFill="1" applyBorder="1" applyAlignment="1">
      <alignment horizontal="center" vertical="center" shrinkToFit="1"/>
    </xf>
    <xf numFmtId="165" fontId="27" fillId="14" borderId="4" xfId="0" applyNumberFormat="1" applyFont="1" applyFill="1" applyBorder="1" applyAlignment="1">
      <alignment horizontal="center" vertical="center" shrinkToFit="1"/>
    </xf>
    <xf numFmtId="171" fontId="27" fillId="14" borderId="70" xfId="0" applyNumberFormat="1" applyFont="1" applyFill="1" applyBorder="1" applyAlignment="1">
      <alignment horizontal="center" vertical="center" shrinkToFit="1"/>
    </xf>
    <xf numFmtId="164" fontId="27" fillId="14" borderId="23" xfId="0" applyNumberFormat="1" applyFont="1" applyFill="1" applyBorder="1" applyAlignment="1">
      <alignment horizontal="center" vertical="center" shrinkToFit="1"/>
    </xf>
    <xf numFmtId="171" fontId="27" fillId="14" borderId="24" xfId="0" applyNumberFormat="1" applyFont="1" applyFill="1" applyBorder="1" applyAlignment="1">
      <alignment horizontal="center" vertical="center" shrinkToFit="1"/>
    </xf>
    <xf numFmtId="0" fontId="27" fillId="14" borderId="24" xfId="0" applyFont="1" applyFill="1" applyBorder="1" applyAlignment="1">
      <alignment horizontal="center" vertical="center" shrinkToFit="1"/>
    </xf>
    <xf numFmtId="174" fontId="27" fillId="14" borderId="4" xfId="0" applyNumberFormat="1" applyFont="1" applyFill="1" applyBorder="1" applyAlignment="1">
      <alignment horizontal="center" vertical="center" shrinkToFit="1"/>
    </xf>
    <xf numFmtId="174" fontId="27" fillId="14" borderId="2" xfId="0" applyNumberFormat="1" applyFont="1" applyFill="1" applyBorder="1" applyAlignment="1">
      <alignment horizontal="center" vertical="center" shrinkToFit="1"/>
    </xf>
    <xf numFmtId="171" fontId="27" fillId="14" borderId="60" xfId="0" applyNumberFormat="1" applyFont="1" applyFill="1" applyBorder="1" applyAlignment="1">
      <alignment horizontal="center" vertical="center" shrinkToFit="1"/>
    </xf>
    <xf numFmtId="174" fontId="27" fillId="14" borderId="60" xfId="0" applyNumberFormat="1" applyFont="1" applyFill="1" applyBorder="1" applyAlignment="1">
      <alignment horizontal="center" vertical="center" shrinkToFit="1"/>
    </xf>
    <xf numFmtId="171" fontId="27" fillId="14" borderId="23" xfId="0" applyNumberFormat="1" applyFont="1" applyFill="1" applyBorder="1" applyAlignment="1">
      <alignment horizontal="center" vertical="center" shrinkToFit="1"/>
    </xf>
    <xf numFmtId="171" fontId="27" fillId="14" borderId="3" xfId="0" applyNumberFormat="1" applyFont="1" applyFill="1" applyBorder="1" applyAlignment="1">
      <alignment horizontal="center" vertical="center" shrinkToFit="1"/>
    </xf>
    <xf numFmtId="0" fontId="27" fillId="14" borderId="17" xfId="0" applyFont="1" applyFill="1" applyBorder="1" applyAlignment="1">
      <alignment vertical="center" shrinkToFit="1"/>
    </xf>
    <xf numFmtId="0" fontId="27" fillId="14" borderId="0" xfId="0" applyFont="1" applyFill="1" applyAlignment="1">
      <alignment vertical="center" shrinkToFit="1"/>
    </xf>
    <xf numFmtId="168" fontId="39" fillId="0" borderId="24" xfId="0" applyNumberFormat="1" applyFont="1" applyBorder="1" applyAlignment="1">
      <alignment horizontal="center" vertical="center"/>
    </xf>
    <xf numFmtId="49" fontId="27" fillId="0" borderId="1" xfId="0" applyNumberFormat="1" applyFont="1" applyFill="1" applyBorder="1" applyAlignment="1">
      <alignment horizontal="center" vertical="center" shrinkToFit="1"/>
    </xf>
    <xf numFmtId="164" fontId="27" fillId="0" borderId="1" xfId="0" applyNumberFormat="1" applyFont="1" applyFill="1" applyBorder="1" applyAlignment="1">
      <alignment horizontal="center" vertical="center" shrinkToFit="1"/>
    </xf>
    <xf numFmtId="0" fontId="27" fillId="0" borderId="32" xfId="0" applyFont="1" applyFill="1" applyBorder="1" applyAlignment="1">
      <alignment vertical="center" shrinkToFit="1"/>
    </xf>
    <xf numFmtId="0" fontId="27" fillId="11" borderId="232" xfId="0" applyFont="1" applyFill="1" applyBorder="1" applyAlignment="1">
      <alignment vertical="center" shrinkToFit="1"/>
    </xf>
    <xf numFmtId="0" fontId="27" fillId="0" borderId="6" xfId="0" applyFont="1" applyFill="1" applyBorder="1" applyAlignment="1">
      <alignment vertical="center" shrinkToFit="1"/>
    </xf>
    <xf numFmtId="0" fontId="27" fillId="0" borderId="232" xfId="0" applyFont="1" applyFill="1" applyBorder="1" applyAlignment="1">
      <alignment vertical="center" shrinkToFit="1"/>
    </xf>
    <xf numFmtId="0" fontId="27" fillId="2" borderId="22" xfId="0" applyFont="1" applyFill="1" applyBorder="1" applyAlignment="1">
      <alignment horizontal="left" vertical="center" shrinkToFit="1"/>
    </xf>
    <xf numFmtId="14" fontId="27" fillId="4" borderId="1" xfId="0" applyNumberFormat="1" applyFont="1" applyFill="1" applyBorder="1" applyAlignment="1">
      <alignment horizontal="center" vertical="center" shrinkToFit="1"/>
    </xf>
    <xf numFmtId="14" fontId="27" fillId="4" borderId="22" xfId="0" applyNumberFormat="1" applyFont="1" applyFill="1" applyBorder="1" applyAlignment="1">
      <alignment horizontal="center" vertical="center" shrinkToFit="1"/>
    </xf>
    <xf numFmtId="165" fontId="27" fillId="0" borderId="21" xfId="0" applyNumberFormat="1" applyFont="1" applyFill="1" applyBorder="1" applyAlignment="1">
      <alignment horizontal="center" vertical="center" shrinkToFit="1"/>
    </xf>
    <xf numFmtId="165" fontId="27" fillId="0" borderId="1" xfId="0" applyNumberFormat="1" applyFont="1" applyFill="1" applyBorder="1" applyAlignment="1">
      <alignment horizontal="center" vertical="center" shrinkToFit="1"/>
    </xf>
    <xf numFmtId="165" fontId="27" fillId="0" borderId="22" xfId="0" applyNumberFormat="1" applyFont="1" applyFill="1" applyBorder="1" applyAlignment="1">
      <alignment horizontal="center" vertical="center" shrinkToFit="1"/>
    </xf>
    <xf numFmtId="0" fontId="27" fillId="0" borderId="16" xfId="0" applyFont="1" applyFill="1" applyBorder="1" applyAlignment="1">
      <alignment vertical="center" shrinkToFit="1"/>
    </xf>
    <xf numFmtId="14" fontId="27" fillId="0" borderId="24" xfId="0" applyNumberFormat="1" applyFont="1" applyFill="1" applyBorder="1" applyAlignment="1">
      <alignment horizontal="center" vertical="center" shrinkToFit="1"/>
    </xf>
    <xf numFmtId="14" fontId="27" fillId="0" borderId="2" xfId="0" applyNumberFormat="1" applyFont="1" applyFill="1" applyBorder="1" applyAlignment="1">
      <alignment horizontal="center" vertical="center" shrinkToFit="1"/>
    </xf>
    <xf numFmtId="0" fontId="34" fillId="14" borderId="25" xfId="0" applyFont="1" applyFill="1" applyBorder="1" applyAlignment="1">
      <alignment horizontal="center" vertical="center" shrinkToFit="1"/>
    </xf>
    <xf numFmtId="0" fontId="27" fillId="14" borderId="38" xfId="0" applyFont="1" applyFill="1" applyBorder="1" applyAlignment="1">
      <alignment vertical="center" shrinkToFit="1"/>
    </xf>
    <xf numFmtId="0" fontId="27" fillId="0" borderId="0" xfId="0" applyFont="1" applyBorder="1" applyAlignment="1">
      <alignment horizontal="center" vertical="center"/>
    </xf>
    <xf numFmtId="0" fontId="27" fillId="2" borderId="2" xfId="0" applyFont="1" applyFill="1" applyBorder="1" applyAlignment="1">
      <alignment vertical="center" shrinkToFit="1"/>
    </xf>
    <xf numFmtId="0" fontId="27" fillId="3" borderId="4" xfId="0" applyFont="1" applyFill="1" applyBorder="1" applyAlignment="1">
      <alignment horizontal="center" vertical="center" shrinkToFit="1"/>
    </xf>
    <xf numFmtId="0" fontId="34" fillId="3" borderId="17" xfId="0" applyFont="1" applyFill="1" applyBorder="1" applyAlignment="1">
      <alignment horizontal="left" vertical="center" shrinkToFit="1"/>
    </xf>
    <xf numFmtId="0" fontId="34" fillId="3" borderId="25" xfId="0" applyFont="1" applyFill="1" applyBorder="1" applyAlignment="1">
      <alignment horizontal="center" vertical="center" shrinkToFit="1"/>
    </xf>
    <xf numFmtId="0" fontId="34" fillId="3" borderId="24" xfId="0" applyFont="1" applyFill="1" applyBorder="1" applyAlignment="1">
      <alignment horizontal="center" vertical="center" shrinkToFit="1"/>
    </xf>
    <xf numFmtId="0" fontId="27" fillId="3" borderId="23" xfId="0" applyFont="1" applyFill="1" applyBorder="1" applyAlignment="1">
      <alignment horizontal="center" vertical="center" shrinkToFit="1"/>
    </xf>
    <xf numFmtId="0" fontId="27" fillId="3" borderId="2" xfId="0" applyFont="1" applyFill="1" applyBorder="1" applyAlignment="1">
      <alignment horizontal="center" vertical="center" shrinkToFit="1"/>
    </xf>
    <xf numFmtId="171" fontId="27" fillId="3" borderId="2" xfId="0" applyNumberFormat="1" applyFont="1" applyFill="1" applyBorder="1" applyAlignment="1">
      <alignment horizontal="center" vertical="center" shrinkToFit="1"/>
    </xf>
    <xf numFmtId="49" fontId="27" fillId="3" borderId="2" xfId="0" applyNumberFormat="1" applyFont="1" applyFill="1" applyBorder="1" applyAlignment="1">
      <alignment horizontal="center" vertical="center" shrinkToFit="1"/>
    </xf>
    <xf numFmtId="164" fontId="27" fillId="3" borderId="2" xfId="0" applyNumberFormat="1" applyFont="1" applyFill="1" applyBorder="1" applyAlignment="1">
      <alignment horizontal="center" vertical="center" shrinkToFit="1"/>
    </xf>
    <xf numFmtId="164" fontId="27" fillId="3" borderId="24" xfId="0" applyNumberFormat="1" applyFont="1" applyFill="1" applyBorder="1" applyAlignment="1">
      <alignment horizontal="center" vertical="center" shrinkToFit="1"/>
    </xf>
    <xf numFmtId="0" fontId="27" fillId="3" borderId="23" xfId="0" applyFont="1" applyFill="1" applyBorder="1" applyAlignment="1">
      <alignment vertical="center" shrinkToFit="1"/>
    </xf>
    <xf numFmtId="0" fontId="27" fillId="3" borderId="70" xfId="0" applyFont="1" applyFill="1" applyBorder="1" applyAlignment="1">
      <alignment vertical="center" shrinkToFit="1"/>
    </xf>
    <xf numFmtId="0" fontId="27" fillId="3" borderId="2" xfId="0" applyFont="1" applyFill="1" applyBorder="1" applyAlignment="1">
      <alignment vertical="center" shrinkToFit="1"/>
    </xf>
    <xf numFmtId="0" fontId="27" fillId="3" borderId="4" xfId="0" applyFont="1" applyFill="1" applyBorder="1" applyAlignment="1">
      <alignment vertical="center" shrinkToFit="1"/>
    </xf>
    <xf numFmtId="0" fontId="27" fillId="3" borderId="23" xfId="0" applyFont="1" applyFill="1" applyBorder="1" applyAlignment="1">
      <alignment horizontal="left" vertical="center" shrinkToFit="1"/>
    </xf>
    <xf numFmtId="0" fontId="27" fillId="3" borderId="24" xfId="0" applyFont="1" applyFill="1" applyBorder="1" applyAlignment="1">
      <alignment horizontal="left" vertical="center" shrinkToFit="1"/>
    </xf>
    <xf numFmtId="14" fontId="27" fillId="3" borderId="2" xfId="0" applyNumberFormat="1" applyFont="1" applyFill="1" applyBorder="1" applyAlignment="1">
      <alignment horizontal="center" vertical="center" shrinkToFit="1"/>
    </xf>
    <xf numFmtId="14" fontId="27" fillId="3" borderId="24" xfId="0" applyNumberFormat="1" applyFont="1" applyFill="1" applyBorder="1" applyAlignment="1">
      <alignment horizontal="center" vertical="center" shrinkToFit="1"/>
    </xf>
    <xf numFmtId="165" fontId="27" fillId="3" borderId="23" xfId="0" applyNumberFormat="1" applyFont="1" applyFill="1" applyBorder="1" applyAlignment="1">
      <alignment horizontal="center" vertical="center" shrinkToFit="1"/>
    </xf>
    <xf numFmtId="165" fontId="27" fillId="3" borderId="2" xfId="0" applyNumberFormat="1" applyFont="1" applyFill="1" applyBorder="1" applyAlignment="1">
      <alignment horizontal="center" vertical="center" shrinkToFit="1"/>
    </xf>
    <xf numFmtId="165" fontId="27" fillId="3" borderId="24" xfId="0" applyNumberFormat="1" applyFont="1" applyFill="1" applyBorder="1" applyAlignment="1">
      <alignment horizontal="center" vertical="center" shrinkToFit="1"/>
    </xf>
    <xf numFmtId="165" fontId="27" fillId="3" borderId="4" xfId="0" applyNumberFormat="1" applyFont="1" applyFill="1" applyBorder="1" applyAlignment="1">
      <alignment horizontal="center" vertical="center" shrinkToFit="1"/>
    </xf>
    <xf numFmtId="171" fontId="27" fillId="3" borderId="38" xfId="0" applyNumberFormat="1" applyFont="1" applyFill="1" applyBorder="1" applyAlignment="1">
      <alignment horizontal="center" vertical="center" shrinkToFit="1"/>
    </xf>
    <xf numFmtId="164" fontId="27" fillId="3" borderId="23" xfId="0" applyNumberFormat="1" applyFont="1" applyFill="1" applyBorder="1" applyAlignment="1">
      <alignment horizontal="center" vertical="center" shrinkToFit="1"/>
    </xf>
    <xf numFmtId="171" fontId="27" fillId="3" borderId="24" xfId="0" applyNumberFormat="1" applyFont="1" applyFill="1" applyBorder="1" applyAlignment="1">
      <alignment horizontal="center" vertical="center" shrinkToFit="1"/>
    </xf>
    <xf numFmtId="0" fontId="27" fillId="3" borderId="24" xfId="0" applyFont="1" applyFill="1" applyBorder="1" applyAlignment="1">
      <alignment horizontal="center" vertical="center" shrinkToFit="1"/>
    </xf>
    <xf numFmtId="174" fontId="27" fillId="3" borderId="4" xfId="0" applyNumberFormat="1" applyFont="1" applyFill="1" applyBorder="1" applyAlignment="1">
      <alignment horizontal="center" vertical="center" shrinkToFit="1"/>
    </xf>
    <xf numFmtId="174" fontId="27" fillId="3" borderId="2" xfId="0" applyNumberFormat="1" applyFont="1" applyFill="1" applyBorder="1" applyAlignment="1">
      <alignment horizontal="center" vertical="center" shrinkToFit="1"/>
    </xf>
    <xf numFmtId="171" fontId="27" fillId="3" borderId="60" xfId="0" applyNumberFormat="1" applyFont="1" applyFill="1" applyBorder="1" applyAlignment="1">
      <alignment horizontal="center" vertical="center" shrinkToFit="1"/>
    </xf>
    <xf numFmtId="174" fontId="27" fillId="3" borderId="60" xfId="0" applyNumberFormat="1" applyFont="1" applyFill="1" applyBorder="1" applyAlignment="1">
      <alignment horizontal="center" vertical="center" shrinkToFit="1"/>
    </xf>
    <xf numFmtId="171" fontId="27" fillId="3" borderId="26" xfId="0" applyNumberFormat="1" applyFont="1" applyFill="1" applyBorder="1" applyAlignment="1">
      <alignment horizontal="center" vertical="center" shrinkToFit="1"/>
    </xf>
    <xf numFmtId="171" fontId="27" fillId="3" borderId="3" xfId="0" applyNumberFormat="1" applyFont="1" applyFill="1" applyBorder="1" applyAlignment="1">
      <alignment horizontal="center" vertical="center" shrinkToFit="1"/>
    </xf>
    <xf numFmtId="0" fontId="27" fillId="3" borderId="17" xfId="0" applyFont="1" applyFill="1" applyBorder="1" applyAlignment="1">
      <alignment vertical="center" shrinkToFit="1"/>
    </xf>
    <xf numFmtId="0" fontId="27" fillId="3" borderId="0" xfId="0" applyFont="1" applyFill="1" applyBorder="1" applyAlignment="1">
      <alignment vertical="center" shrinkToFit="1"/>
    </xf>
    <xf numFmtId="0" fontId="27" fillId="0" borderId="38" xfId="0" applyFont="1" applyFill="1" applyBorder="1" applyAlignment="1">
      <alignment vertical="center" wrapText="1" shrinkToFit="1"/>
    </xf>
    <xf numFmtId="49" fontId="27" fillId="0" borderId="2" xfId="0" quotePrefix="1" applyNumberFormat="1" applyFont="1" applyFill="1" applyBorder="1" applyAlignment="1">
      <alignment horizontal="center" vertical="center" shrinkToFit="1"/>
    </xf>
    <xf numFmtId="0" fontId="34" fillId="0" borderId="19" xfId="0" applyFont="1" applyFill="1" applyBorder="1" applyAlignment="1">
      <alignment horizontal="left" vertical="center" shrinkToFit="1"/>
    </xf>
    <xf numFmtId="14" fontId="27" fillId="0" borderId="27" xfId="0" applyNumberFormat="1" applyFont="1" applyFill="1" applyBorder="1" applyAlignment="1">
      <alignment horizontal="center" vertical="center" shrinkToFit="1"/>
    </xf>
    <xf numFmtId="0" fontId="27" fillId="14" borderId="10" xfId="0" applyFont="1" applyFill="1" applyBorder="1" applyAlignment="1">
      <alignment horizontal="center" vertical="center" shrinkToFit="1"/>
    </xf>
    <xf numFmtId="0" fontId="34" fillId="14" borderId="19" xfId="0" applyFont="1" applyFill="1" applyBorder="1" applyAlignment="1">
      <alignment horizontal="left" vertical="center" shrinkToFit="1"/>
    </xf>
    <xf numFmtId="0" fontId="34" fillId="14" borderId="28" xfId="0" applyFont="1" applyFill="1" applyBorder="1" applyAlignment="1">
      <alignment horizontal="center" vertical="center" shrinkToFit="1"/>
    </xf>
    <xf numFmtId="0" fontId="34" fillId="14" borderId="27" xfId="0" applyFont="1" applyFill="1" applyBorder="1" applyAlignment="1">
      <alignment horizontal="center" vertical="center" shrinkToFit="1"/>
    </xf>
    <xf numFmtId="0" fontId="27" fillId="14" borderId="26" xfId="0" applyFont="1" applyFill="1" applyBorder="1" applyAlignment="1">
      <alignment horizontal="center" vertical="center" shrinkToFit="1"/>
    </xf>
    <xf numFmtId="0" fontId="27" fillId="14" borderId="3" xfId="0" applyFont="1" applyFill="1" applyBorder="1" applyAlignment="1">
      <alignment horizontal="center" vertical="center" shrinkToFit="1"/>
    </xf>
    <xf numFmtId="49" fontId="27" fillId="14" borderId="3" xfId="0" applyNumberFormat="1" applyFont="1" applyFill="1" applyBorder="1" applyAlignment="1">
      <alignment horizontal="center" vertical="center" shrinkToFit="1"/>
    </xf>
    <xf numFmtId="0" fontId="27" fillId="14" borderId="26" xfId="0" applyFont="1" applyFill="1" applyBorder="1" applyAlignment="1">
      <alignment vertical="center" shrinkToFit="1"/>
    </xf>
    <xf numFmtId="0" fontId="27" fillId="14" borderId="3" xfId="0" applyFont="1" applyFill="1" applyBorder="1" applyAlignment="1">
      <alignment vertical="center" shrinkToFit="1"/>
    </xf>
    <xf numFmtId="0" fontId="27" fillId="14" borderId="10" xfId="0" applyFont="1" applyFill="1" applyBorder="1" applyAlignment="1">
      <alignment vertical="center" shrinkToFit="1"/>
    </xf>
    <xf numFmtId="0" fontId="27" fillId="14" borderId="26" xfId="0" applyFont="1" applyFill="1" applyBorder="1" applyAlignment="1">
      <alignment horizontal="left" vertical="center" shrinkToFit="1"/>
    </xf>
    <xf numFmtId="0" fontId="27" fillId="14" borderId="27" xfId="0" applyFont="1" applyFill="1" applyBorder="1" applyAlignment="1">
      <alignment horizontal="left" vertical="center" shrinkToFit="1"/>
    </xf>
    <xf numFmtId="14" fontId="27" fillId="14" borderId="3" xfId="0" applyNumberFormat="1" applyFont="1" applyFill="1" applyBorder="1" applyAlignment="1">
      <alignment horizontal="center" vertical="center" shrinkToFit="1"/>
    </xf>
    <xf numFmtId="171" fontId="27" fillId="14" borderId="38" xfId="0" applyNumberFormat="1" applyFont="1" applyFill="1" applyBorder="1" applyAlignment="1">
      <alignment horizontal="center" vertical="center" shrinkToFit="1"/>
    </xf>
    <xf numFmtId="164" fontId="27" fillId="14" borderId="26" xfId="0" applyNumberFormat="1" applyFont="1" applyFill="1" applyBorder="1" applyAlignment="1">
      <alignment horizontal="center" vertical="center" shrinkToFit="1"/>
    </xf>
    <xf numFmtId="165" fontId="27" fillId="14" borderId="10" xfId="0" applyNumberFormat="1" applyFont="1" applyFill="1" applyBorder="1" applyAlignment="1">
      <alignment horizontal="center" vertical="center" shrinkToFit="1"/>
    </xf>
    <xf numFmtId="165" fontId="27" fillId="14" borderId="26" xfId="0" applyNumberFormat="1" applyFont="1" applyFill="1" applyBorder="1" applyAlignment="1">
      <alignment horizontal="center" vertical="center" shrinkToFit="1"/>
    </xf>
    <xf numFmtId="171" fontId="27" fillId="14" borderId="27" xfId="0" applyNumberFormat="1" applyFont="1" applyFill="1" applyBorder="1" applyAlignment="1">
      <alignment horizontal="center" vertical="center" shrinkToFit="1"/>
    </xf>
    <xf numFmtId="0" fontId="27" fillId="14" borderId="27" xfId="0" applyFont="1" applyFill="1" applyBorder="1" applyAlignment="1">
      <alignment horizontal="center" vertical="center" shrinkToFit="1"/>
    </xf>
    <xf numFmtId="174" fontId="27" fillId="14" borderId="10" xfId="0" applyNumberFormat="1" applyFont="1" applyFill="1" applyBorder="1" applyAlignment="1">
      <alignment horizontal="center" vertical="center" shrinkToFit="1"/>
    </xf>
    <xf numFmtId="174" fontId="27" fillId="14" borderId="3" xfId="0" applyNumberFormat="1" applyFont="1" applyFill="1" applyBorder="1" applyAlignment="1">
      <alignment horizontal="center" vertical="center" shrinkToFit="1"/>
    </xf>
    <xf numFmtId="171" fontId="27" fillId="14" borderId="58" xfId="0" applyNumberFormat="1" applyFont="1" applyFill="1" applyBorder="1" applyAlignment="1">
      <alignment horizontal="center" vertical="center" shrinkToFit="1"/>
    </xf>
    <xf numFmtId="174" fontId="27" fillId="14" borderId="58" xfId="0" applyNumberFormat="1" applyFont="1" applyFill="1" applyBorder="1" applyAlignment="1">
      <alignment horizontal="center" vertical="center" shrinkToFit="1"/>
    </xf>
    <xf numFmtId="165" fontId="27" fillId="14" borderId="27" xfId="0" applyNumberFormat="1" applyFont="1" applyFill="1" applyBorder="1" applyAlignment="1">
      <alignment horizontal="center" vertical="center" shrinkToFit="1"/>
    </xf>
    <xf numFmtId="171" fontId="27" fillId="14" borderId="26" xfId="0" applyNumberFormat="1" applyFont="1" applyFill="1" applyBorder="1" applyAlignment="1">
      <alignment horizontal="center" vertical="center" shrinkToFit="1"/>
    </xf>
    <xf numFmtId="0" fontId="27" fillId="14" borderId="18" xfId="0" applyFont="1" applyFill="1" applyBorder="1" applyAlignment="1">
      <alignment vertical="center" shrinkToFit="1"/>
    </xf>
    <xf numFmtId="14" fontId="27" fillId="3" borderId="3" xfId="0" applyNumberFormat="1" applyFont="1" applyFill="1" applyBorder="1" applyAlignment="1">
      <alignment horizontal="center" vertical="center" shrinkToFit="1"/>
    </xf>
    <xf numFmtId="0" fontId="27" fillId="14" borderId="25" xfId="0" applyFont="1" applyFill="1" applyBorder="1" applyAlignment="1">
      <alignment vertical="center" shrinkToFit="1"/>
    </xf>
    <xf numFmtId="0" fontId="27" fillId="0" borderId="25" xfId="0" applyFont="1" applyFill="1" applyBorder="1" applyAlignment="1">
      <alignment vertical="center" shrinkToFit="1"/>
    </xf>
    <xf numFmtId="0" fontId="27" fillId="5" borderId="2" xfId="0" applyFont="1" applyFill="1" applyBorder="1" applyAlignment="1">
      <alignment vertical="center" shrinkToFit="1"/>
    </xf>
    <xf numFmtId="0" fontId="27" fillId="0" borderId="28" xfId="0" applyFont="1" applyFill="1" applyBorder="1" applyAlignment="1">
      <alignment vertical="center" shrinkToFit="1"/>
    </xf>
    <xf numFmtId="0" fontId="27" fillId="0" borderId="23" xfId="0" applyNumberFormat="1" applyFont="1" applyBorder="1" applyAlignment="1">
      <alignment vertical="center" shrinkToFit="1"/>
    </xf>
    <xf numFmtId="0" fontId="34" fillId="14" borderId="18" xfId="0" applyFont="1" applyFill="1" applyBorder="1" applyAlignment="1">
      <alignment horizontal="left" vertical="center" shrinkToFit="1"/>
    </xf>
    <xf numFmtId="164" fontId="27" fillId="14" borderId="3" xfId="0" applyNumberFormat="1" applyFont="1" applyFill="1" applyBorder="1" applyAlignment="1">
      <alignment horizontal="center" vertical="center" shrinkToFit="1"/>
    </xf>
    <xf numFmtId="164" fontId="27" fillId="14" borderId="27" xfId="0" applyNumberFormat="1" applyFont="1" applyFill="1" applyBorder="1" applyAlignment="1">
      <alignment horizontal="center" vertical="center" shrinkToFit="1"/>
    </xf>
    <xf numFmtId="167" fontId="27" fillId="14" borderId="3" xfId="0" applyNumberFormat="1" applyFont="1" applyFill="1" applyBorder="1" applyAlignment="1">
      <alignment horizontal="center" vertical="center" shrinkToFit="1"/>
    </xf>
    <xf numFmtId="165" fontId="27" fillId="14" borderId="3" xfId="0" applyNumberFormat="1" applyFont="1" applyFill="1" applyBorder="1" applyAlignment="1">
      <alignment horizontal="center" vertical="center" shrinkToFit="1"/>
    </xf>
    <xf numFmtId="167" fontId="27" fillId="0" borderId="3" xfId="0" quotePrefix="1" applyNumberFormat="1" applyFont="1" applyFill="1" applyBorder="1" applyAlignment="1">
      <alignment horizontal="center" vertical="center" shrinkToFit="1"/>
    </xf>
    <xf numFmtId="171" fontId="27" fillId="0" borderId="2" xfId="0" applyNumberFormat="1" applyFont="1" applyFill="1" applyBorder="1" applyAlignment="1">
      <alignment horizontal="center" vertical="center" shrinkToFit="1"/>
    </xf>
    <xf numFmtId="0" fontId="27" fillId="3" borderId="10" xfId="0" applyFont="1" applyFill="1" applyBorder="1" applyAlignment="1">
      <alignment horizontal="center" vertical="center" shrinkToFit="1"/>
    </xf>
    <xf numFmtId="0" fontId="34" fillId="3" borderId="19" xfId="0" applyFont="1" applyFill="1" applyBorder="1" applyAlignment="1">
      <alignment horizontal="left" vertical="center" shrinkToFit="1"/>
    </xf>
    <xf numFmtId="0" fontId="34" fillId="3" borderId="28" xfId="0" applyFont="1" applyFill="1" applyBorder="1" applyAlignment="1">
      <alignment horizontal="center" vertical="center" shrinkToFit="1"/>
    </xf>
    <xf numFmtId="0" fontId="34" fillId="3" borderId="27" xfId="0" applyFont="1" applyFill="1" applyBorder="1" applyAlignment="1">
      <alignment horizontal="center" vertical="center" shrinkToFit="1"/>
    </xf>
    <xf numFmtId="0" fontId="27" fillId="3" borderId="26" xfId="0" applyFont="1" applyFill="1" applyBorder="1" applyAlignment="1">
      <alignment horizontal="center" vertical="center" shrinkToFit="1"/>
    </xf>
    <xf numFmtId="0" fontId="27" fillId="3" borderId="3" xfId="0" applyFont="1" applyFill="1" applyBorder="1" applyAlignment="1">
      <alignment horizontal="center" vertical="center" shrinkToFit="1"/>
    </xf>
    <xf numFmtId="49" fontId="27" fillId="3" borderId="3" xfId="0" applyNumberFormat="1" applyFont="1" applyFill="1" applyBorder="1" applyAlignment="1">
      <alignment horizontal="center" vertical="center" shrinkToFit="1"/>
    </xf>
    <xf numFmtId="0" fontId="27" fillId="3" borderId="26" xfId="0" applyFont="1" applyFill="1" applyBorder="1" applyAlignment="1">
      <alignment vertical="center" shrinkToFit="1"/>
    </xf>
    <xf numFmtId="0" fontId="27" fillId="3" borderId="38" xfId="0" applyFont="1" applyFill="1" applyBorder="1" applyAlignment="1">
      <alignment vertical="center" shrinkToFit="1"/>
    </xf>
    <xf numFmtId="0" fontId="27" fillId="3" borderId="3" xfId="0" applyFont="1" applyFill="1" applyBorder="1" applyAlignment="1">
      <alignment vertical="center" shrinkToFit="1"/>
    </xf>
    <xf numFmtId="0" fontId="27" fillId="3" borderId="10" xfId="0" applyFont="1" applyFill="1" applyBorder="1" applyAlignment="1">
      <alignment vertical="center" shrinkToFit="1"/>
    </xf>
    <xf numFmtId="0" fontId="27" fillId="3" borderId="26" xfId="0" applyFont="1" applyFill="1" applyBorder="1" applyAlignment="1">
      <alignment horizontal="left" vertical="center" shrinkToFit="1"/>
    </xf>
    <xf numFmtId="0" fontId="27" fillId="3" borderId="27" xfId="0" applyFont="1" applyFill="1" applyBorder="1" applyAlignment="1">
      <alignment horizontal="left" vertical="center" shrinkToFit="1"/>
    </xf>
    <xf numFmtId="14" fontId="27" fillId="3" borderId="27" xfId="0" applyNumberFormat="1" applyFont="1" applyFill="1" applyBorder="1" applyAlignment="1">
      <alignment horizontal="center" vertical="center" shrinkToFit="1"/>
    </xf>
    <xf numFmtId="164" fontId="27" fillId="3" borderId="26" xfId="0" applyNumberFormat="1" applyFont="1" applyFill="1" applyBorder="1" applyAlignment="1">
      <alignment horizontal="center" vertical="center" shrinkToFit="1"/>
    </xf>
    <xf numFmtId="165" fontId="27" fillId="3" borderId="3" xfId="0" applyNumberFormat="1" applyFont="1" applyFill="1" applyBorder="1" applyAlignment="1">
      <alignment horizontal="center" vertical="center" shrinkToFit="1"/>
    </xf>
    <xf numFmtId="165" fontId="27" fillId="3" borderId="10" xfId="0" applyNumberFormat="1" applyFont="1" applyFill="1" applyBorder="1" applyAlignment="1">
      <alignment horizontal="center" vertical="center" shrinkToFit="1"/>
    </xf>
    <xf numFmtId="165" fontId="27" fillId="3" borderId="26" xfId="0" applyNumberFormat="1" applyFont="1" applyFill="1" applyBorder="1" applyAlignment="1">
      <alignment horizontal="center" vertical="center" shrinkToFit="1"/>
    </xf>
    <xf numFmtId="171" fontId="27" fillId="3" borderId="27" xfId="0" applyNumberFormat="1" applyFont="1" applyFill="1" applyBorder="1" applyAlignment="1">
      <alignment horizontal="center" vertical="center" shrinkToFit="1"/>
    </xf>
    <xf numFmtId="0" fontId="27" fillId="3" borderId="27" xfId="0" applyFont="1" applyFill="1" applyBorder="1" applyAlignment="1">
      <alignment horizontal="center" vertical="center" shrinkToFit="1"/>
    </xf>
    <xf numFmtId="174" fontId="27" fillId="3" borderId="10" xfId="0" applyNumberFormat="1" applyFont="1" applyFill="1" applyBorder="1" applyAlignment="1">
      <alignment horizontal="center" vertical="center" shrinkToFit="1"/>
    </xf>
    <xf numFmtId="174" fontId="27" fillId="3" borderId="3" xfId="0" applyNumberFormat="1" applyFont="1" applyFill="1" applyBorder="1" applyAlignment="1">
      <alignment horizontal="center" vertical="center" shrinkToFit="1"/>
    </xf>
    <xf numFmtId="171" fontId="27" fillId="3" borderId="58" xfId="0" applyNumberFormat="1" applyFont="1" applyFill="1" applyBorder="1" applyAlignment="1">
      <alignment horizontal="center" vertical="center" shrinkToFit="1"/>
    </xf>
    <xf numFmtId="0" fontId="27" fillId="3" borderId="18" xfId="0" applyFont="1" applyFill="1" applyBorder="1" applyAlignment="1">
      <alignment vertical="center" shrinkToFit="1"/>
    </xf>
    <xf numFmtId="0" fontId="27" fillId="0" borderId="38" xfId="0" applyFont="1" applyFill="1" applyBorder="1" applyAlignment="1">
      <alignment horizontal="left" vertical="center" shrinkToFit="1"/>
    </xf>
    <xf numFmtId="0" fontId="27" fillId="11" borderId="38" xfId="0" applyFont="1" applyFill="1" applyBorder="1" applyAlignment="1">
      <alignment horizontal="left" vertical="center" shrinkToFit="1"/>
    </xf>
    <xf numFmtId="0" fontId="27" fillId="3" borderId="0" xfId="0" applyFont="1" applyFill="1">
      <alignment vertical="center"/>
    </xf>
    <xf numFmtId="0" fontId="27" fillId="5" borderId="27" xfId="0" applyFont="1" applyFill="1" applyBorder="1" applyAlignment="1">
      <alignment vertical="center" shrinkToFit="1"/>
    </xf>
    <xf numFmtId="164" fontId="27" fillId="5" borderId="3" xfId="0" applyNumberFormat="1" applyFont="1" applyFill="1" applyBorder="1" applyAlignment="1">
      <alignment horizontal="center" vertical="center" shrinkToFit="1"/>
    </xf>
    <xf numFmtId="164" fontId="27" fillId="5" borderId="27" xfId="0" applyNumberFormat="1" applyFont="1" applyFill="1" applyBorder="1" applyAlignment="1">
      <alignment horizontal="center" vertical="center" shrinkToFit="1"/>
    </xf>
    <xf numFmtId="0" fontId="27" fillId="0" borderId="3" xfId="0" applyFont="1" applyFill="1" applyBorder="1" applyAlignment="1">
      <alignment horizontal="left" vertical="center" shrinkToFit="1"/>
    </xf>
    <xf numFmtId="49" fontId="27" fillId="0" borderId="38" xfId="0" applyNumberFormat="1" applyFont="1" applyFill="1" applyBorder="1" applyAlignment="1">
      <alignment vertical="center" shrinkToFit="1"/>
    </xf>
    <xf numFmtId="169" fontId="27" fillId="0" borderId="4" xfId="0" applyNumberFormat="1" applyFont="1" applyFill="1" applyBorder="1" applyAlignment="1">
      <alignment horizontal="center" vertical="center" shrinkToFit="1"/>
    </xf>
    <xf numFmtId="164" fontId="27" fillId="5" borderId="10" xfId="0" applyNumberFormat="1" applyFont="1" applyFill="1" applyBorder="1" applyAlignment="1">
      <alignment horizontal="center" vertical="center" shrinkToFit="1"/>
    </xf>
    <xf numFmtId="164" fontId="27" fillId="0" borderId="10" xfId="0" applyNumberFormat="1" applyFont="1" applyFill="1" applyBorder="1" applyAlignment="1">
      <alignment horizontal="center" vertical="center" shrinkToFit="1"/>
    </xf>
    <xf numFmtId="0" fontId="27" fillId="0" borderId="21" xfId="0" applyFont="1" applyFill="1" applyBorder="1" applyAlignment="1">
      <alignment vertical="center" shrinkToFit="1"/>
    </xf>
    <xf numFmtId="0" fontId="27" fillId="4" borderId="23" xfId="0" applyFont="1" applyFill="1" applyBorder="1" applyAlignment="1">
      <alignment vertical="center" shrinkToFit="1"/>
    </xf>
    <xf numFmtId="0" fontId="27" fillId="11" borderId="3" xfId="0" applyFont="1" applyFill="1" applyBorder="1" applyAlignment="1">
      <alignment vertical="center" shrinkToFit="1"/>
    </xf>
    <xf numFmtId="171" fontId="40" fillId="0" borderId="3" xfId="0" applyNumberFormat="1" applyFont="1" applyFill="1" applyBorder="1" applyAlignment="1">
      <alignment horizontal="center" vertical="center" shrinkToFit="1"/>
    </xf>
    <xf numFmtId="0" fontId="27" fillId="0" borderId="26" xfId="0" applyFont="1" applyFill="1" applyBorder="1" applyAlignment="1">
      <alignment horizontal="left" vertical="center"/>
    </xf>
    <xf numFmtId="0" fontId="27" fillId="0" borderId="27" xfId="0" applyFont="1" applyFill="1" applyBorder="1" applyAlignment="1">
      <alignment vertical="center" shrinkToFit="1"/>
    </xf>
    <xf numFmtId="0" fontId="34" fillId="14" borderId="28" xfId="0" applyFont="1" applyFill="1" applyBorder="1" applyAlignment="1">
      <alignment horizontal="center" vertical="center" wrapText="1" shrinkToFit="1"/>
    </xf>
    <xf numFmtId="0" fontId="27" fillId="0" borderId="70" xfId="0" applyFont="1" applyFill="1" applyBorder="1" applyAlignment="1">
      <alignment vertical="center" wrapText="1" shrinkToFit="1"/>
    </xf>
    <xf numFmtId="14" fontId="27" fillId="0" borderId="38" xfId="0" applyNumberFormat="1" applyFont="1" applyFill="1" applyBorder="1" applyAlignment="1">
      <alignment horizontal="center" vertical="center" shrinkToFit="1"/>
    </xf>
    <xf numFmtId="0" fontId="27" fillId="0" borderId="38" xfId="0" applyFont="1" applyFill="1" applyBorder="1" applyAlignment="1">
      <alignment horizontal="center" vertical="center" shrinkToFit="1"/>
    </xf>
    <xf numFmtId="0" fontId="34" fillId="0" borderId="40" xfId="0" applyFont="1" applyFill="1" applyBorder="1" applyAlignment="1">
      <alignment horizontal="left" vertical="center" shrinkToFit="1"/>
    </xf>
    <xf numFmtId="164" fontId="27" fillId="0" borderId="38" xfId="0" applyNumberFormat="1" applyFont="1" applyFill="1" applyBorder="1" applyAlignment="1">
      <alignment horizontal="center" vertical="center" shrinkToFit="1"/>
    </xf>
    <xf numFmtId="0" fontId="27" fillId="0" borderId="152" xfId="0" applyFont="1" applyFill="1" applyBorder="1" applyAlignment="1">
      <alignment vertical="center" shrinkToFit="1"/>
    </xf>
    <xf numFmtId="0" fontId="34" fillId="0" borderId="60" xfId="0" applyFont="1" applyFill="1" applyBorder="1" applyAlignment="1">
      <alignment horizontal="left" vertical="center" shrinkToFit="1"/>
    </xf>
    <xf numFmtId="164" fontId="27" fillId="5" borderId="2" xfId="0" applyNumberFormat="1" applyFont="1" applyFill="1" applyBorder="1" applyAlignment="1">
      <alignment horizontal="center" vertical="center" shrinkToFit="1"/>
    </xf>
    <xf numFmtId="164" fontId="27" fillId="5" borderId="4" xfId="0" applyNumberFormat="1" applyFont="1" applyFill="1" applyBorder="1" applyAlignment="1">
      <alignment horizontal="center" vertical="center" shrinkToFit="1"/>
    </xf>
    <xf numFmtId="14" fontId="27" fillId="0" borderId="70" xfId="0" applyNumberFormat="1" applyFont="1" applyFill="1" applyBorder="1" applyAlignment="1">
      <alignment horizontal="center" vertical="center" shrinkToFit="1"/>
    </xf>
    <xf numFmtId="164" fontId="27" fillId="0" borderId="70" xfId="0" applyNumberFormat="1" applyFont="1" applyFill="1" applyBorder="1" applyAlignment="1">
      <alignment horizontal="center" vertical="center" shrinkToFit="1"/>
    </xf>
    <xf numFmtId="164" fontId="27" fillId="0" borderId="115" xfId="0" applyNumberFormat="1" applyFont="1" applyBorder="1" applyAlignment="1">
      <alignment horizontal="center" vertical="center"/>
    </xf>
    <xf numFmtId="0" fontId="27" fillId="0" borderId="115" xfId="0" applyFont="1" applyBorder="1">
      <alignment vertical="center"/>
    </xf>
    <xf numFmtId="0" fontId="34" fillId="0" borderId="235" xfId="0" applyFont="1" applyFill="1" applyBorder="1" applyAlignment="1">
      <alignment horizontal="left" vertical="center" shrinkToFit="1"/>
    </xf>
    <xf numFmtId="165" fontId="27" fillId="0" borderId="60" xfId="0" applyNumberFormat="1" applyFont="1" applyFill="1" applyBorder="1" applyAlignment="1">
      <alignment horizontal="center" vertical="center" shrinkToFit="1"/>
    </xf>
    <xf numFmtId="0" fontId="27" fillId="5" borderId="24" xfId="0" applyFont="1" applyFill="1" applyBorder="1" applyAlignment="1">
      <alignment vertical="center" shrinkToFit="1"/>
    </xf>
    <xf numFmtId="14" fontId="27" fillId="14" borderId="26" xfId="0" applyNumberFormat="1" applyFont="1" applyFill="1" applyBorder="1" applyAlignment="1">
      <alignment horizontal="center" vertical="center" shrinkToFit="1"/>
    </xf>
    <xf numFmtId="14" fontId="27" fillId="15" borderId="26" xfId="0" applyNumberFormat="1" applyFont="1" applyFill="1" applyBorder="1" applyAlignment="1">
      <alignment horizontal="center" vertical="center" shrinkToFit="1"/>
    </xf>
    <xf numFmtId="0" fontId="27" fillId="13" borderId="38" xfId="0" applyFont="1" applyFill="1" applyBorder="1" applyAlignment="1">
      <alignment vertical="center" shrinkToFit="1"/>
    </xf>
    <xf numFmtId="0" fontId="34" fillId="7" borderId="19" xfId="0" applyFont="1" applyFill="1" applyBorder="1" applyAlignment="1">
      <alignment horizontal="left" vertical="center" shrinkToFit="1"/>
    </xf>
    <xf numFmtId="0" fontId="34" fillId="7" borderId="28" xfId="0" applyFont="1" applyFill="1" applyBorder="1" applyAlignment="1">
      <alignment horizontal="center" vertical="center" shrinkToFit="1"/>
    </xf>
    <xf numFmtId="0" fontId="34" fillId="7" borderId="27" xfId="0" applyFont="1" applyFill="1" applyBorder="1" applyAlignment="1">
      <alignment horizontal="center" vertical="center" shrinkToFit="1"/>
    </xf>
    <xf numFmtId="0" fontId="27" fillId="7" borderId="26" xfId="0" applyFont="1" applyFill="1" applyBorder="1" applyAlignment="1">
      <alignment horizontal="center" vertical="center" shrinkToFit="1"/>
    </xf>
    <xf numFmtId="0" fontId="27" fillId="7" borderId="3" xfId="0" applyFont="1" applyFill="1" applyBorder="1" applyAlignment="1">
      <alignment horizontal="center" vertical="center" shrinkToFit="1"/>
    </xf>
    <xf numFmtId="0" fontId="27" fillId="7" borderId="2" xfId="0" applyFont="1" applyFill="1" applyBorder="1" applyAlignment="1">
      <alignment horizontal="center" vertical="center" shrinkToFit="1"/>
    </xf>
    <xf numFmtId="171" fontId="27" fillId="7" borderId="3" xfId="0" applyNumberFormat="1" applyFont="1" applyFill="1" applyBorder="1" applyAlignment="1">
      <alignment horizontal="center" vertical="center" shrinkToFit="1"/>
    </xf>
    <xf numFmtId="49" fontId="27" fillId="7" borderId="3" xfId="0" applyNumberFormat="1" applyFont="1" applyFill="1" applyBorder="1" applyAlignment="1">
      <alignment horizontal="center" vertical="center" shrinkToFit="1"/>
    </xf>
    <xf numFmtId="164" fontId="27" fillId="7" borderId="3" xfId="0" applyNumberFormat="1" applyFont="1" applyFill="1" applyBorder="1" applyAlignment="1">
      <alignment horizontal="center" vertical="center" shrinkToFit="1"/>
    </xf>
    <xf numFmtId="164" fontId="27" fillId="7" borderId="27" xfId="0" applyNumberFormat="1" applyFont="1" applyFill="1" applyBorder="1" applyAlignment="1">
      <alignment horizontal="center" vertical="center" shrinkToFit="1"/>
    </xf>
    <xf numFmtId="0" fontId="27" fillId="7" borderId="26" xfId="0" applyFont="1" applyFill="1" applyBorder="1" applyAlignment="1">
      <alignment vertical="center" shrinkToFit="1"/>
    </xf>
    <xf numFmtId="0" fontId="27" fillId="7" borderId="3" xfId="0" applyFont="1" applyFill="1" applyBorder="1" applyAlignment="1">
      <alignment vertical="center" shrinkToFit="1"/>
    </xf>
    <xf numFmtId="0" fontId="27" fillId="7" borderId="10" xfId="0" applyFont="1" applyFill="1" applyBorder="1" applyAlignment="1">
      <alignment vertical="center" shrinkToFit="1"/>
    </xf>
    <xf numFmtId="0" fontId="27" fillId="7" borderId="27" xfId="0" applyFont="1" applyFill="1" applyBorder="1" applyAlignment="1">
      <alignment horizontal="left" vertical="center" shrinkToFit="1"/>
    </xf>
    <xf numFmtId="14" fontId="27" fillId="7" borderId="26" xfId="0" applyNumberFormat="1" applyFont="1" applyFill="1" applyBorder="1" applyAlignment="1">
      <alignment horizontal="center" vertical="center" shrinkToFit="1"/>
    </xf>
    <xf numFmtId="14" fontId="27" fillId="7" borderId="27" xfId="0" applyNumberFormat="1" applyFont="1" applyFill="1" applyBorder="1" applyAlignment="1">
      <alignment horizontal="center" vertical="center" shrinkToFit="1"/>
    </xf>
    <xf numFmtId="165" fontId="27" fillId="7" borderId="23" xfId="0" applyNumberFormat="1" applyFont="1" applyFill="1" applyBorder="1" applyAlignment="1">
      <alignment horizontal="center" vertical="center" shrinkToFit="1"/>
    </xf>
    <xf numFmtId="165" fontId="27" fillId="7" borderId="2" xfId="0" applyNumberFormat="1" applyFont="1" applyFill="1" applyBorder="1" applyAlignment="1">
      <alignment horizontal="center" vertical="center" shrinkToFit="1"/>
    </xf>
    <xf numFmtId="165" fontId="27" fillId="7" borderId="24" xfId="0" applyNumberFormat="1" applyFont="1" applyFill="1" applyBorder="1" applyAlignment="1">
      <alignment horizontal="center" vertical="center" shrinkToFit="1"/>
    </xf>
    <xf numFmtId="165" fontId="27" fillId="7" borderId="4" xfId="0" applyNumberFormat="1" applyFont="1" applyFill="1" applyBorder="1" applyAlignment="1">
      <alignment horizontal="center" vertical="center" shrinkToFit="1"/>
    </xf>
    <xf numFmtId="171" fontId="27" fillId="7" borderId="38" xfId="0" applyNumberFormat="1" applyFont="1" applyFill="1" applyBorder="1" applyAlignment="1">
      <alignment horizontal="center" vertical="center" shrinkToFit="1"/>
    </xf>
    <xf numFmtId="164" fontId="27" fillId="7" borderId="26" xfId="0" applyNumberFormat="1" applyFont="1" applyFill="1" applyBorder="1" applyAlignment="1">
      <alignment horizontal="center" vertical="center" shrinkToFit="1"/>
    </xf>
    <xf numFmtId="165" fontId="27" fillId="7" borderId="3" xfId="0" applyNumberFormat="1" applyFont="1" applyFill="1" applyBorder="1" applyAlignment="1">
      <alignment horizontal="center" vertical="center" shrinkToFit="1"/>
    </xf>
    <xf numFmtId="165" fontId="27" fillId="7" borderId="10" xfId="0" applyNumberFormat="1" applyFont="1" applyFill="1" applyBorder="1" applyAlignment="1">
      <alignment horizontal="center" vertical="center" shrinkToFit="1"/>
    </xf>
    <xf numFmtId="165" fontId="27" fillId="7" borderId="27" xfId="0" applyNumberFormat="1" applyFont="1" applyFill="1" applyBorder="1" applyAlignment="1">
      <alignment horizontal="center" vertical="center" shrinkToFit="1"/>
    </xf>
    <xf numFmtId="0" fontId="27" fillId="7" borderId="27" xfId="0" applyFont="1" applyFill="1" applyBorder="1" applyAlignment="1">
      <alignment horizontal="center" vertical="center" shrinkToFit="1"/>
    </xf>
    <xf numFmtId="165" fontId="27" fillId="7" borderId="26" xfId="0" applyNumberFormat="1" applyFont="1" applyFill="1" applyBorder="1" applyAlignment="1">
      <alignment horizontal="center" vertical="center" shrinkToFit="1"/>
    </xf>
    <xf numFmtId="174" fontId="27" fillId="7" borderId="4" xfId="0" applyNumberFormat="1" applyFont="1" applyFill="1" applyBorder="1" applyAlignment="1">
      <alignment horizontal="center" vertical="center" shrinkToFit="1"/>
    </xf>
    <xf numFmtId="0" fontId="27" fillId="7" borderId="23" xfId="0" applyFont="1" applyFill="1" applyBorder="1" applyAlignment="1">
      <alignment horizontal="center" vertical="center" shrinkToFit="1"/>
    </xf>
    <xf numFmtId="174" fontId="27" fillId="7" borderId="60" xfId="0" applyNumberFormat="1" applyFont="1" applyFill="1" applyBorder="1" applyAlignment="1">
      <alignment horizontal="center" vertical="center" shrinkToFit="1"/>
    </xf>
    <xf numFmtId="171" fontId="27" fillId="7" borderId="26" xfId="0" applyNumberFormat="1" applyFont="1" applyFill="1" applyBorder="1" applyAlignment="1">
      <alignment horizontal="center" vertical="center" shrinkToFit="1"/>
    </xf>
    <xf numFmtId="0" fontId="27" fillId="7" borderId="18" xfId="0" applyFont="1" applyFill="1" applyBorder="1" applyAlignment="1">
      <alignment vertical="center" shrinkToFit="1"/>
    </xf>
    <xf numFmtId="0" fontId="27" fillId="7" borderId="0" xfId="0" applyFont="1" applyFill="1" applyBorder="1" applyAlignment="1">
      <alignment vertical="center" shrinkToFit="1"/>
    </xf>
    <xf numFmtId="164" fontId="27" fillId="7" borderId="0" xfId="0" applyNumberFormat="1" applyFont="1" applyFill="1" applyAlignment="1">
      <alignment horizontal="center" vertical="center"/>
    </xf>
    <xf numFmtId="0" fontId="27" fillId="7" borderId="0" xfId="0" applyFont="1" applyFill="1">
      <alignment vertical="center"/>
    </xf>
    <xf numFmtId="49" fontId="27" fillId="0" borderId="3" xfId="0" applyNumberFormat="1" applyFont="1" applyFill="1" applyBorder="1" applyAlignment="1">
      <alignment horizontal="center" vertical="center" wrapText="1" shrinkToFit="1"/>
    </xf>
    <xf numFmtId="49" fontId="27" fillId="5" borderId="3" xfId="0" applyNumberFormat="1" applyFont="1" applyFill="1" applyBorder="1" applyAlignment="1">
      <alignment horizontal="center" vertical="center" shrinkToFit="1"/>
    </xf>
    <xf numFmtId="174" fontId="27" fillId="0" borderId="10" xfId="0" applyNumberFormat="1" applyFont="1" applyFill="1" applyBorder="1" applyAlignment="1">
      <alignment horizontal="center" vertical="center" wrapText="1" shrinkToFit="1"/>
    </xf>
    <xf numFmtId="164" fontId="27" fillId="0" borderId="0" xfId="0" applyNumberFormat="1" applyFont="1" applyFill="1" applyAlignment="1">
      <alignment horizontal="center" vertical="center"/>
    </xf>
    <xf numFmtId="0" fontId="27" fillId="0" borderId="18" xfId="0" applyFont="1" applyFill="1" applyBorder="1" applyAlignment="1">
      <alignment vertical="center" wrapText="1" shrinkToFit="1"/>
    </xf>
    <xf numFmtId="0" fontId="27" fillId="0" borderId="0" xfId="0" applyFont="1" applyFill="1" applyBorder="1" applyAlignment="1">
      <alignment vertical="center" wrapText="1" shrinkToFit="1"/>
    </xf>
    <xf numFmtId="0" fontId="27" fillId="5" borderId="3" xfId="0" applyFont="1" applyFill="1" applyBorder="1" applyAlignment="1">
      <alignment horizontal="center" vertical="center" shrinkToFit="1"/>
    </xf>
    <xf numFmtId="14" fontId="27" fillId="0" borderId="18" xfId="0" applyNumberFormat="1" applyFont="1" applyFill="1" applyBorder="1" applyAlignment="1">
      <alignment vertical="center" wrapText="1" shrinkToFit="1"/>
    </xf>
    <xf numFmtId="14" fontId="27" fillId="0" borderId="0" xfId="0" applyNumberFormat="1" applyFont="1" applyFill="1" applyBorder="1" applyAlignment="1">
      <alignment vertical="center" wrapText="1" shrinkToFit="1"/>
    </xf>
    <xf numFmtId="0" fontId="27" fillId="14" borderId="18" xfId="0" applyFont="1" applyFill="1" applyBorder="1" applyAlignment="1">
      <alignment vertical="center" wrapText="1" shrinkToFit="1"/>
    </xf>
    <xf numFmtId="0" fontId="27" fillId="14" borderId="0" xfId="0" applyFont="1" applyFill="1" applyBorder="1" applyAlignment="1">
      <alignment vertical="center" wrapText="1" shrinkToFit="1"/>
    </xf>
    <xf numFmtId="165" fontId="27" fillId="0" borderId="27" xfId="0" applyNumberFormat="1" applyFont="1" applyFill="1" applyBorder="1" applyAlignment="1">
      <alignment horizontal="center" vertical="center" wrapText="1" shrinkToFit="1"/>
    </xf>
    <xf numFmtId="171" fontId="27" fillId="0" borderId="26" xfId="0" applyNumberFormat="1" applyFont="1" applyFill="1" applyBorder="1" applyAlignment="1">
      <alignment horizontal="center" vertical="center" wrapText="1" shrinkToFit="1"/>
    </xf>
    <xf numFmtId="0" fontId="27" fillId="5" borderId="26" xfId="0" applyFont="1" applyFill="1" applyBorder="1" applyAlignment="1">
      <alignment horizontal="left" vertical="center" shrinkToFit="1"/>
    </xf>
    <xf numFmtId="0" fontId="27" fillId="5" borderId="27" xfId="0" applyFont="1" applyFill="1" applyBorder="1" applyAlignment="1">
      <alignment horizontal="left" vertical="center" shrinkToFit="1"/>
    </xf>
    <xf numFmtId="0" fontId="34" fillId="0" borderId="27" xfId="0" applyFont="1" applyFill="1" applyBorder="1" applyAlignment="1">
      <alignment horizontal="center" vertical="center" wrapText="1" shrinkToFit="1"/>
    </xf>
    <xf numFmtId="174" fontId="27" fillId="7" borderId="10" xfId="0" applyNumberFormat="1" applyFont="1" applyFill="1" applyBorder="1" applyAlignment="1">
      <alignment horizontal="center" vertical="center" shrinkToFit="1"/>
    </xf>
    <xf numFmtId="0" fontId="27" fillId="14" borderId="24" xfId="0" applyFont="1" applyFill="1" applyBorder="1" applyAlignment="1">
      <alignment vertical="center" shrinkToFit="1"/>
    </xf>
    <xf numFmtId="165" fontId="27" fillId="0" borderId="10" xfId="0" applyNumberFormat="1" applyFont="1" applyFill="1" applyBorder="1" applyAlignment="1">
      <alignment horizontal="center" vertical="center" wrapText="1" shrinkToFit="1"/>
    </xf>
    <xf numFmtId="0" fontId="27" fillId="2" borderId="10" xfId="0" applyFont="1" applyFill="1" applyBorder="1" applyAlignment="1">
      <alignment horizontal="center" vertical="center" wrapText="1" shrinkToFit="1"/>
    </xf>
    <xf numFmtId="171" fontId="41" fillId="0" borderId="3" xfId="1" applyNumberFormat="1" applyFont="1" applyFill="1" applyBorder="1" applyAlignment="1">
      <alignment horizontal="center" vertical="center" shrinkToFit="1"/>
    </xf>
    <xf numFmtId="0" fontId="42" fillId="0" borderId="18" xfId="0" applyFont="1" applyFill="1" applyBorder="1" applyAlignment="1">
      <alignment vertical="center" wrapText="1"/>
    </xf>
    <xf numFmtId="0" fontId="42" fillId="0" borderId="0" xfId="0" applyFont="1" applyFill="1" applyBorder="1" applyAlignment="1">
      <alignment vertical="center" wrapText="1"/>
    </xf>
    <xf numFmtId="0" fontId="27" fillId="16" borderId="0" xfId="0" applyFont="1" applyFill="1">
      <alignment vertical="center"/>
    </xf>
    <xf numFmtId="0" fontId="34" fillId="16" borderId="18" xfId="0" applyFont="1" applyFill="1" applyBorder="1" applyAlignment="1">
      <alignment horizontal="left" vertical="center" shrinkToFit="1"/>
    </xf>
    <xf numFmtId="0" fontId="34" fillId="16" borderId="28" xfId="0" applyFont="1" applyFill="1" applyBorder="1" applyAlignment="1">
      <alignment horizontal="center" vertical="center" wrapText="1" shrinkToFit="1"/>
    </xf>
    <xf numFmtId="0" fontId="34" fillId="16" borderId="27" xfId="0" applyFont="1" applyFill="1" applyBorder="1" applyAlignment="1">
      <alignment horizontal="center" vertical="center" wrapText="1" shrinkToFit="1"/>
    </xf>
    <xf numFmtId="0" fontId="27" fillId="16" borderId="26" xfId="0" applyFont="1" applyFill="1" applyBorder="1" applyAlignment="1">
      <alignment horizontal="center" vertical="center" shrinkToFit="1"/>
    </xf>
    <xf numFmtId="0" fontId="27" fillId="16" borderId="3" xfId="0" applyFont="1" applyFill="1" applyBorder="1" applyAlignment="1">
      <alignment horizontal="center" vertical="center" shrinkToFit="1"/>
    </xf>
    <xf numFmtId="0" fontId="27" fillId="16" borderId="2" xfId="0" applyFont="1" applyFill="1" applyBorder="1" applyAlignment="1">
      <alignment horizontal="center" vertical="center" shrinkToFit="1"/>
    </xf>
    <xf numFmtId="165" fontId="27" fillId="16" borderId="2" xfId="0" applyNumberFormat="1" applyFont="1" applyFill="1" applyBorder="1" applyAlignment="1">
      <alignment horizontal="center" vertical="center" shrinkToFit="1"/>
    </xf>
    <xf numFmtId="49" fontId="27" fillId="16" borderId="3" xfId="0" applyNumberFormat="1" applyFont="1" applyFill="1" applyBorder="1" applyAlignment="1">
      <alignment horizontal="center" vertical="center" shrinkToFit="1"/>
    </xf>
    <xf numFmtId="164" fontId="27" fillId="16" borderId="3" xfId="0" applyNumberFormat="1" applyFont="1" applyFill="1" applyBorder="1" applyAlignment="1">
      <alignment horizontal="center" vertical="center" shrinkToFit="1"/>
    </xf>
    <xf numFmtId="164" fontId="27" fillId="16" borderId="27" xfId="0" applyNumberFormat="1" applyFont="1" applyFill="1" applyBorder="1" applyAlignment="1">
      <alignment horizontal="center" vertical="center" shrinkToFit="1"/>
    </xf>
    <xf numFmtId="0" fontId="27" fillId="16" borderId="26" xfId="0" applyFont="1" applyFill="1" applyBorder="1" applyAlignment="1">
      <alignment vertical="center" shrinkToFit="1"/>
    </xf>
    <xf numFmtId="0" fontId="27" fillId="16" borderId="38" xfId="0" applyFont="1" applyFill="1" applyBorder="1" applyAlignment="1">
      <alignment vertical="center" shrinkToFit="1"/>
    </xf>
    <xf numFmtId="0" fontId="27" fillId="16" borderId="3" xfId="0" applyFont="1" applyFill="1" applyBorder="1" applyAlignment="1">
      <alignment vertical="center" shrinkToFit="1"/>
    </xf>
    <xf numFmtId="0" fontId="27" fillId="16" borderId="10" xfId="0" applyFont="1" applyFill="1" applyBorder="1" applyAlignment="1">
      <alignment vertical="center" shrinkToFit="1"/>
    </xf>
    <xf numFmtId="0" fontId="27" fillId="16" borderId="26" xfId="0" applyFont="1" applyFill="1" applyBorder="1" applyAlignment="1">
      <alignment horizontal="left" vertical="center" shrinkToFit="1"/>
    </xf>
    <xf numFmtId="0" fontId="27" fillId="16" borderId="24" xfId="0" applyFont="1" applyFill="1" applyBorder="1" applyAlignment="1">
      <alignment horizontal="left" vertical="center" shrinkToFit="1"/>
    </xf>
    <xf numFmtId="14" fontId="27" fillId="16" borderId="26" xfId="0" applyNumberFormat="1" applyFont="1" applyFill="1" applyBorder="1" applyAlignment="1">
      <alignment horizontal="center" vertical="center" shrinkToFit="1"/>
    </xf>
    <xf numFmtId="14" fontId="27" fillId="16" borderId="27" xfId="0" applyNumberFormat="1" applyFont="1" applyFill="1" applyBorder="1" applyAlignment="1">
      <alignment horizontal="center" vertical="center" shrinkToFit="1"/>
    </xf>
    <xf numFmtId="165" fontId="27" fillId="16" borderId="23" xfId="0" applyNumberFormat="1" applyFont="1" applyFill="1" applyBorder="1" applyAlignment="1">
      <alignment horizontal="center" vertical="center" shrinkToFit="1"/>
    </xf>
    <xf numFmtId="165" fontId="27" fillId="16" borderId="24" xfId="0" applyNumberFormat="1" applyFont="1" applyFill="1" applyBorder="1" applyAlignment="1">
      <alignment horizontal="center" vertical="center" shrinkToFit="1"/>
    </xf>
    <xf numFmtId="165" fontId="27" fillId="16" borderId="4" xfId="0" applyNumberFormat="1" applyFont="1" applyFill="1" applyBorder="1" applyAlignment="1">
      <alignment horizontal="center" vertical="center" shrinkToFit="1"/>
    </xf>
    <xf numFmtId="171" fontId="27" fillId="16" borderId="3" xfId="0" applyNumberFormat="1" applyFont="1" applyFill="1" applyBorder="1" applyAlignment="1">
      <alignment horizontal="center" vertical="center" shrinkToFit="1"/>
    </xf>
    <xf numFmtId="171" fontId="27" fillId="16" borderId="38" xfId="0" applyNumberFormat="1" applyFont="1" applyFill="1" applyBorder="1" applyAlignment="1">
      <alignment horizontal="center" vertical="center" shrinkToFit="1"/>
    </xf>
    <xf numFmtId="164" fontId="27" fillId="16" borderId="26" xfId="0" applyNumberFormat="1" applyFont="1" applyFill="1" applyBorder="1" applyAlignment="1">
      <alignment horizontal="center" vertical="center" shrinkToFit="1"/>
    </xf>
    <xf numFmtId="165" fontId="27" fillId="16" borderId="3" xfId="0" applyNumberFormat="1" applyFont="1" applyFill="1" applyBorder="1" applyAlignment="1">
      <alignment horizontal="center" vertical="center" shrinkToFit="1"/>
    </xf>
    <xf numFmtId="165" fontId="27" fillId="16" borderId="10" xfId="0" applyNumberFormat="1" applyFont="1" applyFill="1" applyBorder="1" applyAlignment="1">
      <alignment horizontal="center" vertical="center" shrinkToFit="1"/>
    </xf>
    <xf numFmtId="165" fontId="27" fillId="16" borderId="27" xfId="0" applyNumberFormat="1" applyFont="1" applyFill="1" applyBorder="1" applyAlignment="1">
      <alignment horizontal="center" vertical="center" shrinkToFit="1"/>
    </xf>
    <xf numFmtId="165" fontId="27" fillId="16" borderId="26" xfId="0" applyNumberFormat="1" applyFont="1" applyFill="1" applyBorder="1" applyAlignment="1">
      <alignment horizontal="center" vertical="center" shrinkToFit="1"/>
    </xf>
    <xf numFmtId="174" fontId="27" fillId="16" borderId="10" xfId="0" applyNumberFormat="1" applyFont="1" applyFill="1" applyBorder="1" applyAlignment="1">
      <alignment horizontal="center" vertical="center" shrinkToFit="1"/>
    </xf>
    <xf numFmtId="174" fontId="27" fillId="16" borderId="3" xfId="0" applyNumberFormat="1" applyFont="1" applyFill="1" applyBorder="1" applyAlignment="1">
      <alignment horizontal="center" vertical="center" shrinkToFit="1"/>
    </xf>
    <xf numFmtId="171" fontId="27" fillId="16" borderId="27" xfId="0" applyNumberFormat="1" applyFont="1" applyFill="1" applyBorder="1" applyAlignment="1">
      <alignment horizontal="center" vertical="center" shrinkToFit="1"/>
    </xf>
    <xf numFmtId="171" fontId="27" fillId="16" borderId="58" xfId="0" applyNumberFormat="1" applyFont="1" applyFill="1" applyBorder="1" applyAlignment="1">
      <alignment horizontal="center" vertical="center" shrinkToFit="1"/>
    </xf>
    <xf numFmtId="174" fontId="27" fillId="16" borderId="58" xfId="0" applyNumberFormat="1" applyFont="1" applyFill="1" applyBorder="1" applyAlignment="1">
      <alignment horizontal="center" vertical="center" shrinkToFit="1"/>
    </xf>
    <xf numFmtId="171" fontId="27" fillId="16" borderId="26" xfId="0" applyNumberFormat="1" applyFont="1" applyFill="1" applyBorder="1" applyAlignment="1">
      <alignment horizontal="center" vertical="center" shrinkToFit="1"/>
    </xf>
    <xf numFmtId="167" fontId="27" fillId="16" borderId="3" xfId="0" applyNumberFormat="1" applyFont="1" applyFill="1" applyBorder="1" applyAlignment="1">
      <alignment horizontal="center" vertical="center" shrinkToFit="1"/>
    </xf>
    <xf numFmtId="0" fontId="27" fillId="16" borderId="18" xfId="0" applyFont="1" applyFill="1" applyBorder="1" applyAlignment="1">
      <alignment vertical="center" shrinkToFit="1"/>
    </xf>
    <xf numFmtId="0" fontId="27" fillId="16" borderId="0" xfId="0" applyFont="1" applyFill="1" applyBorder="1" applyAlignment="1">
      <alignment vertical="center" shrinkToFit="1"/>
    </xf>
    <xf numFmtId="164" fontId="27" fillId="16" borderId="0" xfId="0" applyNumberFormat="1" applyFont="1" applyFill="1" applyAlignment="1">
      <alignment horizontal="center" vertical="center"/>
    </xf>
    <xf numFmtId="49" fontId="27" fillId="0" borderId="3" xfId="0" quotePrefix="1" applyNumberFormat="1" applyFont="1" applyFill="1" applyBorder="1" applyAlignment="1">
      <alignment horizontal="center" vertical="center" shrinkToFit="1"/>
    </xf>
    <xf numFmtId="0" fontId="27" fillId="0" borderId="25" xfId="0" applyFont="1" applyFill="1" applyBorder="1" applyAlignment="1">
      <alignment horizontal="left" vertical="center" shrinkToFit="1"/>
    </xf>
    <xf numFmtId="0" fontId="27" fillId="5" borderId="24" xfId="0" applyFont="1" applyFill="1" applyBorder="1" applyAlignment="1">
      <alignment horizontal="left" vertical="center" shrinkToFit="1"/>
    </xf>
    <xf numFmtId="0" fontId="27" fillId="6" borderId="10" xfId="0" applyFont="1" applyFill="1" applyBorder="1" applyAlignment="1">
      <alignment horizontal="center" vertical="center" shrinkToFit="1"/>
    </xf>
    <xf numFmtId="0" fontId="34" fillId="6" borderId="18" xfId="0" applyFont="1" applyFill="1" applyBorder="1" applyAlignment="1">
      <alignment horizontal="left" vertical="center" shrinkToFit="1"/>
    </xf>
    <xf numFmtId="0" fontId="34" fillId="6" borderId="28" xfId="0" applyFont="1" applyFill="1" applyBorder="1" applyAlignment="1">
      <alignment horizontal="center" vertical="center" shrinkToFit="1"/>
    </xf>
    <xf numFmtId="0" fontId="34" fillId="6" borderId="27" xfId="0" applyFont="1" applyFill="1" applyBorder="1" applyAlignment="1">
      <alignment horizontal="center" vertical="center" shrinkToFit="1"/>
    </xf>
    <xf numFmtId="0" fontId="27" fillId="6" borderId="26" xfId="0" applyFont="1" applyFill="1" applyBorder="1" applyAlignment="1">
      <alignment horizontal="center" vertical="center" shrinkToFit="1"/>
    </xf>
    <xf numFmtId="0" fontId="27" fillId="6" borderId="3" xfId="0" applyFont="1" applyFill="1" applyBorder="1" applyAlignment="1">
      <alignment horizontal="center" vertical="center" shrinkToFit="1"/>
    </xf>
    <xf numFmtId="165" fontId="27" fillId="6" borderId="2" xfId="0" applyNumberFormat="1" applyFont="1" applyFill="1" applyBorder="1" applyAlignment="1">
      <alignment horizontal="center" vertical="center" shrinkToFit="1"/>
    </xf>
    <xf numFmtId="49" fontId="27" fillId="6" borderId="3" xfId="0" applyNumberFormat="1" applyFont="1" applyFill="1" applyBorder="1" applyAlignment="1">
      <alignment horizontal="center" vertical="center" shrinkToFit="1"/>
    </xf>
    <xf numFmtId="164" fontId="27" fillId="6" borderId="3" xfId="0" applyNumberFormat="1" applyFont="1" applyFill="1" applyBorder="1" applyAlignment="1">
      <alignment horizontal="center" vertical="center" shrinkToFit="1"/>
    </xf>
    <xf numFmtId="164" fontId="27" fillId="6" borderId="27" xfId="0" applyNumberFormat="1" applyFont="1" applyFill="1" applyBorder="1" applyAlignment="1">
      <alignment horizontal="center" vertical="center" shrinkToFit="1"/>
    </xf>
    <xf numFmtId="0" fontId="27" fillId="6" borderId="26" xfId="0" applyFont="1" applyFill="1" applyBorder="1" applyAlignment="1">
      <alignment vertical="center" shrinkToFit="1"/>
    </xf>
    <xf numFmtId="0" fontId="27" fillId="6" borderId="38" xfId="0" applyFont="1" applyFill="1" applyBorder="1" applyAlignment="1">
      <alignment vertical="center" shrinkToFit="1"/>
    </xf>
    <xf numFmtId="0" fontId="27" fillId="6" borderId="3" xfId="0" applyFont="1" applyFill="1" applyBorder="1" applyAlignment="1">
      <alignment vertical="center" shrinkToFit="1"/>
    </xf>
    <xf numFmtId="0" fontId="27" fillId="6" borderId="10" xfId="0" applyFont="1" applyFill="1" applyBorder="1" applyAlignment="1">
      <alignment vertical="center" shrinkToFit="1"/>
    </xf>
    <xf numFmtId="0" fontId="27" fillId="6" borderId="23" xfId="0" applyFont="1" applyFill="1" applyBorder="1" applyAlignment="1">
      <alignment horizontal="left" vertical="center" shrinkToFit="1"/>
    </xf>
    <xf numFmtId="0" fontId="27" fillId="6" borderId="24" xfId="0" applyFont="1" applyFill="1" applyBorder="1" applyAlignment="1">
      <alignment horizontal="left" vertical="center" shrinkToFit="1"/>
    </xf>
    <xf numFmtId="14" fontId="27" fillId="6" borderId="26" xfId="0" applyNumberFormat="1" applyFont="1" applyFill="1" applyBorder="1" applyAlignment="1">
      <alignment horizontal="center" vertical="center" shrinkToFit="1"/>
    </xf>
    <xf numFmtId="14" fontId="27" fillId="6" borderId="27" xfId="0" applyNumberFormat="1" applyFont="1" applyFill="1" applyBorder="1" applyAlignment="1">
      <alignment horizontal="center" vertical="center" shrinkToFit="1"/>
    </xf>
    <xf numFmtId="165" fontId="27" fillId="6" borderId="23" xfId="0" applyNumberFormat="1" applyFont="1" applyFill="1" applyBorder="1" applyAlignment="1">
      <alignment horizontal="center" vertical="center" shrinkToFit="1"/>
    </xf>
    <xf numFmtId="165" fontId="27" fillId="6" borderId="24" xfId="0" applyNumberFormat="1" applyFont="1" applyFill="1" applyBorder="1" applyAlignment="1">
      <alignment horizontal="center" vertical="center" shrinkToFit="1"/>
    </xf>
    <xf numFmtId="165" fontId="27" fillId="6" borderId="4" xfId="0" applyNumberFormat="1" applyFont="1" applyFill="1" applyBorder="1" applyAlignment="1">
      <alignment horizontal="center" vertical="center" shrinkToFit="1"/>
    </xf>
    <xf numFmtId="167" fontId="27" fillId="6" borderId="3" xfId="0" applyNumberFormat="1" applyFont="1" applyFill="1" applyBorder="1" applyAlignment="1">
      <alignment horizontal="center" vertical="center" shrinkToFit="1"/>
    </xf>
    <xf numFmtId="171" fontId="27" fillId="6" borderId="38" xfId="0" applyNumberFormat="1" applyFont="1" applyFill="1" applyBorder="1" applyAlignment="1">
      <alignment horizontal="center" vertical="center" shrinkToFit="1"/>
    </xf>
    <xf numFmtId="164" fontId="27" fillId="6" borderId="26" xfId="0" applyNumberFormat="1" applyFont="1" applyFill="1" applyBorder="1" applyAlignment="1">
      <alignment horizontal="center" vertical="center" shrinkToFit="1"/>
    </xf>
    <xf numFmtId="165" fontId="27" fillId="6" borderId="3" xfId="0" applyNumberFormat="1" applyFont="1" applyFill="1" applyBorder="1" applyAlignment="1">
      <alignment horizontal="center" vertical="center" shrinkToFit="1"/>
    </xf>
    <xf numFmtId="165" fontId="27" fillId="6" borderId="10" xfId="0" applyNumberFormat="1" applyFont="1" applyFill="1" applyBorder="1" applyAlignment="1">
      <alignment horizontal="center" vertical="center" shrinkToFit="1"/>
    </xf>
    <xf numFmtId="165" fontId="27" fillId="6" borderId="27" xfId="0" applyNumberFormat="1" applyFont="1" applyFill="1" applyBorder="1" applyAlignment="1">
      <alignment horizontal="center" vertical="center" shrinkToFit="1"/>
    </xf>
    <xf numFmtId="0" fontId="27" fillId="6" borderId="27" xfId="0" applyFont="1" applyFill="1" applyBorder="1" applyAlignment="1">
      <alignment horizontal="center" vertical="center" shrinkToFit="1"/>
    </xf>
    <xf numFmtId="165" fontId="27" fillId="6" borderId="26" xfId="0" applyNumberFormat="1" applyFont="1" applyFill="1" applyBorder="1" applyAlignment="1">
      <alignment horizontal="center" vertical="center" shrinkToFit="1"/>
    </xf>
    <xf numFmtId="174" fontId="27" fillId="6" borderId="10" xfId="0" applyNumberFormat="1" applyFont="1" applyFill="1" applyBorder="1" applyAlignment="1">
      <alignment horizontal="center" vertical="center" shrinkToFit="1"/>
    </xf>
    <xf numFmtId="174" fontId="27" fillId="6" borderId="3" xfId="0" applyNumberFormat="1" applyFont="1" applyFill="1" applyBorder="1" applyAlignment="1">
      <alignment horizontal="center" vertical="center" shrinkToFit="1"/>
    </xf>
    <xf numFmtId="171" fontId="27" fillId="6" borderId="27" xfId="0" applyNumberFormat="1" applyFont="1" applyFill="1" applyBorder="1" applyAlignment="1">
      <alignment horizontal="center" vertical="center" shrinkToFit="1"/>
    </xf>
    <xf numFmtId="171" fontId="27" fillId="6" borderId="58" xfId="0" applyNumberFormat="1" applyFont="1" applyFill="1" applyBorder="1" applyAlignment="1">
      <alignment horizontal="center" vertical="center" shrinkToFit="1"/>
    </xf>
    <xf numFmtId="174" fontId="27" fillId="6" borderId="58" xfId="0" applyNumberFormat="1" applyFont="1" applyFill="1" applyBorder="1" applyAlignment="1">
      <alignment horizontal="center" vertical="center" shrinkToFit="1"/>
    </xf>
    <xf numFmtId="171" fontId="27" fillId="6" borderId="26" xfId="0" applyNumberFormat="1" applyFont="1" applyFill="1" applyBorder="1" applyAlignment="1">
      <alignment horizontal="center" vertical="center" shrinkToFit="1"/>
    </xf>
    <xf numFmtId="171" fontId="27" fillId="6" borderId="3" xfId="0" applyNumberFormat="1" applyFont="1" applyFill="1" applyBorder="1" applyAlignment="1">
      <alignment horizontal="center" vertical="center" shrinkToFit="1"/>
    </xf>
    <xf numFmtId="0" fontId="27" fillId="6" borderId="18" xfId="0" applyFont="1" applyFill="1" applyBorder="1" applyAlignment="1">
      <alignment vertical="center" shrinkToFit="1"/>
    </xf>
    <xf numFmtId="0" fontId="27" fillId="6" borderId="0" xfId="0" applyFont="1" applyFill="1" applyBorder="1" applyAlignment="1">
      <alignment vertical="center" shrinkToFit="1"/>
    </xf>
    <xf numFmtId="164" fontId="27" fillId="6" borderId="0" xfId="0" applyNumberFormat="1" applyFont="1" applyFill="1" applyAlignment="1">
      <alignment horizontal="center" vertical="center"/>
    </xf>
    <xf numFmtId="0" fontId="27" fillId="6" borderId="0" xfId="0" applyFont="1" applyFill="1">
      <alignment vertical="center"/>
    </xf>
    <xf numFmtId="0" fontId="27" fillId="5" borderId="28" xfId="0" applyFont="1" applyFill="1" applyBorder="1" applyAlignment="1">
      <alignment horizontal="left" vertical="center" shrinkToFit="1"/>
    </xf>
    <xf numFmtId="171" fontId="27" fillId="5" borderId="3" xfId="0" applyNumberFormat="1" applyFont="1" applyFill="1" applyBorder="1" applyAlignment="1">
      <alignment horizontal="center" vertical="center" shrinkToFit="1"/>
    </xf>
    <xf numFmtId="171" fontId="27" fillId="0" borderId="23" xfId="0" applyNumberFormat="1" applyFont="1" applyFill="1" applyBorder="1" applyAlignment="1">
      <alignment horizontal="center" vertical="center" shrinkToFit="1"/>
    </xf>
    <xf numFmtId="165" fontId="43" fillId="0" borderId="26" xfId="0" applyNumberFormat="1" applyFont="1" applyFill="1" applyBorder="1" applyAlignment="1">
      <alignment horizontal="center" vertical="center" wrapText="1" shrinkToFit="1"/>
    </xf>
    <xf numFmtId="165" fontId="43" fillId="0" borderId="3" xfId="0" applyNumberFormat="1" applyFont="1" applyFill="1" applyBorder="1" applyAlignment="1">
      <alignment horizontal="center" vertical="center" wrapText="1" shrinkToFit="1"/>
    </xf>
    <xf numFmtId="165" fontId="43" fillId="0" borderId="24" xfId="0" applyNumberFormat="1" applyFont="1" applyFill="1" applyBorder="1" applyAlignment="1">
      <alignment horizontal="center" vertical="center" wrapText="1" shrinkToFit="1"/>
    </xf>
    <xf numFmtId="174" fontId="27" fillId="0" borderId="3" xfId="0" applyNumberFormat="1" applyFont="1" applyFill="1" applyBorder="1" applyAlignment="1">
      <alignment horizontal="center" vertical="center" wrapText="1" shrinkToFit="1"/>
    </xf>
    <xf numFmtId="0" fontId="27" fillId="15" borderId="26" xfId="0" applyFont="1" applyFill="1" applyBorder="1" applyAlignment="1">
      <alignment horizontal="left" vertical="center" shrinkToFit="1"/>
    </xf>
    <xf numFmtId="0" fontId="27" fillId="13" borderId="10" xfId="0" applyFont="1" applyFill="1" applyBorder="1" applyAlignment="1">
      <alignment horizontal="center" vertical="center" shrinkToFit="1"/>
    </xf>
    <xf numFmtId="0" fontId="34" fillId="13" borderId="18" xfId="0" applyFont="1" applyFill="1" applyBorder="1" applyAlignment="1">
      <alignment horizontal="left" vertical="center" shrinkToFit="1"/>
    </xf>
    <xf numFmtId="0" fontId="34" fillId="13" borderId="28" xfId="0" applyFont="1" applyFill="1" applyBorder="1" applyAlignment="1">
      <alignment horizontal="center" vertical="center" wrapText="1" shrinkToFit="1"/>
    </xf>
    <xf numFmtId="0" fontId="34" fillId="13" borderId="27" xfId="0" applyFont="1" applyFill="1" applyBorder="1" applyAlignment="1">
      <alignment horizontal="center" vertical="center" shrinkToFit="1"/>
    </xf>
    <xf numFmtId="0" fontId="27" fillId="13" borderId="26" xfId="0" applyFont="1" applyFill="1" applyBorder="1" applyAlignment="1">
      <alignment horizontal="center" vertical="center" shrinkToFit="1"/>
    </xf>
    <xf numFmtId="0" fontId="27" fillId="13" borderId="3" xfId="0" applyFont="1" applyFill="1" applyBorder="1" applyAlignment="1">
      <alignment horizontal="center" vertical="center" shrinkToFit="1"/>
    </xf>
    <xf numFmtId="171" fontId="27" fillId="13" borderId="3" xfId="0" applyNumberFormat="1" applyFont="1" applyFill="1" applyBorder="1" applyAlignment="1">
      <alignment horizontal="center" vertical="center" shrinkToFit="1"/>
    </xf>
    <xf numFmtId="49" fontId="27" fillId="13" borderId="3" xfId="0" applyNumberFormat="1" applyFont="1" applyFill="1" applyBorder="1" applyAlignment="1">
      <alignment horizontal="center" vertical="center" shrinkToFit="1"/>
    </xf>
    <xf numFmtId="164" fontId="27" fillId="13" borderId="3" xfId="0" applyNumberFormat="1" applyFont="1" applyFill="1" applyBorder="1" applyAlignment="1">
      <alignment horizontal="center" vertical="center" shrinkToFit="1"/>
    </xf>
    <xf numFmtId="164" fontId="27" fillId="13" borderId="27" xfId="0" applyNumberFormat="1" applyFont="1" applyFill="1" applyBorder="1" applyAlignment="1">
      <alignment horizontal="center" vertical="center" shrinkToFit="1"/>
    </xf>
    <xf numFmtId="0" fontId="27" fillId="13" borderId="23" xfId="0" applyFont="1" applyFill="1" applyBorder="1" applyAlignment="1">
      <alignment vertical="center" shrinkToFit="1"/>
    </xf>
    <xf numFmtId="0" fontId="27" fillId="13" borderId="70" xfId="0" applyFont="1" applyFill="1" applyBorder="1" applyAlignment="1">
      <alignment vertical="center" shrinkToFit="1"/>
    </xf>
    <xf numFmtId="0" fontId="27" fillId="13" borderId="2" xfId="0" applyFont="1" applyFill="1" applyBorder="1" applyAlignment="1">
      <alignment vertical="center" shrinkToFit="1"/>
    </xf>
    <xf numFmtId="0" fontId="27" fillId="13" borderId="10" xfId="0" applyFont="1" applyFill="1" applyBorder="1" applyAlignment="1">
      <alignment vertical="center" shrinkToFit="1"/>
    </xf>
    <xf numFmtId="0" fontId="27" fillId="13" borderId="26" xfId="0" applyFont="1" applyFill="1" applyBorder="1" applyAlignment="1">
      <alignment horizontal="left" vertical="center" shrinkToFit="1"/>
    </xf>
    <xf numFmtId="0" fontId="27" fillId="13" borderId="24" xfId="0" applyFont="1" applyFill="1" applyBorder="1" applyAlignment="1">
      <alignment horizontal="left" vertical="center" shrinkToFit="1"/>
    </xf>
    <xf numFmtId="14" fontId="27" fillId="13" borderId="26" xfId="0" applyNumberFormat="1" applyFont="1" applyFill="1" applyBorder="1" applyAlignment="1">
      <alignment horizontal="center" vertical="center" shrinkToFit="1"/>
    </xf>
    <xf numFmtId="14" fontId="27" fillId="13" borderId="27" xfId="0" applyNumberFormat="1" applyFont="1" applyFill="1" applyBorder="1" applyAlignment="1">
      <alignment horizontal="center" vertical="center" shrinkToFit="1"/>
    </xf>
    <xf numFmtId="165" fontId="27" fillId="13" borderId="23" xfId="0" applyNumberFormat="1" applyFont="1" applyFill="1" applyBorder="1" applyAlignment="1">
      <alignment horizontal="center" vertical="center" shrinkToFit="1"/>
    </xf>
    <xf numFmtId="165" fontId="27" fillId="13" borderId="2" xfId="0" applyNumberFormat="1" applyFont="1" applyFill="1" applyBorder="1" applyAlignment="1">
      <alignment horizontal="center" vertical="center" shrinkToFit="1"/>
    </xf>
    <xf numFmtId="165" fontId="27" fillId="13" borderId="24" xfId="0" applyNumberFormat="1" applyFont="1" applyFill="1" applyBorder="1" applyAlignment="1">
      <alignment horizontal="center" vertical="center" shrinkToFit="1"/>
    </xf>
    <xf numFmtId="165" fontId="27" fillId="13" borderId="4" xfId="0" applyNumberFormat="1" applyFont="1" applyFill="1" applyBorder="1" applyAlignment="1">
      <alignment horizontal="center" vertical="center" shrinkToFit="1"/>
    </xf>
    <xf numFmtId="167" fontId="27" fillId="13" borderId="3" xfId="0" applyNumberFormat="1" applyFont="1" applyFill="1" applyBorder="1" applyAlignment="1">
      <alignment horizontal="center" vertical="center" shrinkToFit="1"/>
    </xf>
    <xf numFmtId="171" fontId="27" fillId="13" borderId="38" xfId="0" applyNumberFormat="1" applyFont="1" applyFill="1" applyBorder="1" applyAlignment="1">
      <alignment horizontal="center" vertical="center" shrinkToFit="1"/>
    </xf>
    <xf numFmtId="164" fontId="27" fillId="13" borderId="26" xfId="0" applyNumberFormat="1" applyFont="1" applyFill="1" applyBorder="1" applyAlignment="1">
      <alignment horizontal="center" vertical="center" shrinkToFit="1"/>
    </xf>
    <xf numFmtId="165" fontId="27" fillId="13" borderId="3" xfId="0" applyNumberFormat="1" applyFont="1" applyFill="1" applyBorder="1" applyAlignment="1">
      <alignment horizontal="center" vertical="center" shrinkToFit="1"/>
    </xf>
    <xf numFmtId="165" fontId="27" fillId="13" borderId="10" xfId="0" applyNumberFormat="1" applyFont="1" applyFill="1" applyBorder="1" applyAlignment="1">
      <alignment horizontal="center" vertical="center" shrinkToFit="1"/>
    </xf>
    <xf numFmtId="171" fontId="27" fillId="13" borderId="26" xfId="0" applyNumberFormat="1" applyFont="1" applyFill="1" applyBorder="1" applyAlignment="1">
      <alignment horizontal="center" vertical="center" shrinkToFit="1"/>
    </xf>
    <xf numFmtId="171" fontId="27" fillId="13" borderId="27" xfId="0" applyNumberFormat="1" applyFont="1" applyFill="1" applyBorder="1" applyAlignment="1">
      <alignment horizontal="center" vertical="center" shrinkToFit="1"/>
    </xf>
    <xf numFmtId="0" fontId="27" fillId="13" borderId="27" xfId="0" applyFont="1" applyFill="1" applyBorder="1" applyAlignment="1">
      <alignment horizontal="center" vertical="center" shrinkToFit="1"/>
    </xf>
    <xf numFmtId="165" fontId="27" fillId="13" borderId="26" xfId="0" applyNumberFormat="1" applyFont="1" applyFill="1" applyBorder="1" applyAlignment="1">
      <alignment horizontal="center" vertical="center" shrinkToFit="1"/>
    </xf>
    <xf numFmtId="174" fontId="27" fillId="13" borderId="10" xfId="0" applyNumberFormat="1" applyFont="1" applyFill="1" applyBorder="1" applyAlignment="1">
      <alignment horizontal="center" vertical="center" shrinkToFit="1"/>
    </xf>
    <xf numFmtId="174" fontId="27" fillId="13" borderId="3" xfId="0" applyNumberFormat="1" applyFont="1" applyFill="1" applyBorder="1" applyAlignment="1">
      <alignment horizontal="center" vertical="center" shrinkToFit="1"/>
    </xf>
    <xf numFmtId="171" fontId="27" fillId="13" borderId="58" xfId="0" applyNumberFormat="1" applyFont="1" applyFill="1" applyBorder="1" applyAlignment="1">
      <alignment horizontal="center" vertical="center" shrinkToFit="1"/>
    </xf>
    <xf numFmtId="174" fontId="27" fillId="13" borderId="58" xfId="0" applyNumberFormat="1" applyFont="1" applyFill="1" applyBorder="1" applyAlignment="1">
      <alignment horizontal="center" vertical="center" shrinkToFit="1"/>
    </xf>
    <xf numFmtId="165" fontId="27" fillId="13" borderId="27" xfId="0" applyNumberFormat="1" applyFont="1" applyFill="1" applyBorder="1" applyAlignment="1">
      <alignment horizontal="center" vertical="center" shrinkToFit="1"/>
    </xf>
    <xf numFmtId="0" fontId="27" fillId="13" borderId="18" xfId="0" applyFont="1" applyFill="1" applyBorder="1" applyAlignment="1">
      <alignment vertical="center" shrinkToFit="1"/>
    </xf>
    <xf numFmtId="0" fontId="27" fillId="13" borderId="0" xfId="0" applyFont="1" applyFill="1" applyBorder="1" applyAlignment="1">
      <alignment vertical="center" shrinkToFit="1"/>
    </xf>
    <xf numFmtId="164" fontId="27" fillId="13" borderId="0" xfId="0" applyNumberFormat="1" applyFont="1" applyFill="1" applyAlignment="1">
      <alignment horizontal="center" vertical="center"/>
    </xf>
    <xf numFmtId="0" fontId="27" fillId="13" borderId="0" xfId="0" applyFont="1" applyFill="1">
      <alignment vertical="center"/>
    </xf>
    <xf numFmtId="164" fontId="27" fillId="15" borderId="2" xfId="0" applyNumberFormat="1" applyFont="1" applyFill="1" applyBorder="1" applyAlignment="1">
      <alignment horizontal="center" vertical="center" shrinkToFit="1"/>
    </xf>
    <xf numFmtId="165" fontId="43" fillId="0" borderId="23" xfId="0" applyNumberFormat="1" applyFont="1" applyFill="1" applyBorder="1" applyAlignment="1">
      <alignment horizontal="center" vertical="center" wrapText="1" shrinkToFit="1"/>
    </xf>
    <xf numFmtId="165" fontId="43" fillId="0" borderId="2" xfId="0" applyNumberFormat="1" applyFont="1" applyFill="1" applyBorder="1" applyAlignment="1">
      <alignment horizontal="center" vertical="center" wrapText="1" shrinkToFit="1"/>
    </xf>
    <xf numFmtId="171" fontId="27" fillId="0" borderId="27" xfId="0" applyNumberFormat="1" applyFont="1" applyFill="1" applyBorder="1" applyAlignment="1">
      <alignment horizontal="center" vertical="center" wrapText="1" shrinkToFit="1"/>
    </xf>
    <xf numFmtId="0" fontId="34" fillId="6" borderId="28" xfId="0" applyFont="1" applyFill="1" applyBorder="1" applyAlignment="1">
      <alignment horizontal="center" vertical="center" wrapText="1" shrinkToFit="1"/>
    </xf>
    <xf numFmtId="0" fontId="27" fillId="6" borderId="26" xfId="0" applyFont="1" applyFill="1" applyBorder="1" applyAlignment="1">
      <alignment horizontal="left" vertical="center" shrinkToFit="1"/>
    </xf>
    <xf numFmtId="171" fontId="27" fillId="0" borderId="28" xfId="0" applyNumberFormat="1" applyFont="1" applyFill="1" applyBorder="1" applyAlignment="1">
      <alignment horizontal="center" vertical="center" shrinkToFit="1"/>
    </xf>
    <xf numFmtId="0" fontId="27" fillId="0" borderId="102" xfId="0" applyFont="1" applyFill="1" applyBorder="1" applyAlignment="1">
      <alignment horizontal="left" vertical="center" shrinkToFit="1"/>
    </xf>
    <xf numFmtId="0" fontId="27" fillId="0" borderId="102" xfId="0" applyFont="1" applyFill="1" applyBorder="1" applyAlignment="1">
      <alignment horizontal="center" vertical="center" shrinkToFit="1"/>
    </xf>
    <xf numFmtId="0" fontId="27" fillId="14" borderId="28" xfId="0" applyFont="1" applyFill="1" applyBorder="1" applyAlignment="1">
      <alignment vertical="center" shrinkToFit="1"/>
    </xf>
    <xf numFmtId="0" fontId="27" fillId="14" borderId="58" xfId="0" applyFont="1" applyFill="1" applyBorder="1" applyAlignment="1">
      <alignment vertical="center" shrinkToFit="1"/>
    </xf>
    <xf numFmtId="0" fontId="27" fillId="5" borderId="23" xfId="0" applyFont="1" applyFill="1" applyBorder="1" applyAlignment="1">
      <alignment horizontal="left" vertical="center" shrinkToFit="1"/>
    </xf>
    <xf numFmtId="0" fontId="27" fillId="0" borderId="58" xfId="0" applyFont="1" applyFill="1" applyBorder="1" applyAlignment="1">
      <alignment vertical="center" shrinkToFit="1"/>
    </xf>
    <xf numFmtId="171" fontId="27" fillId="0" borderId="38" xfId="0" applyNumberFormat="1" applyFont="1" applyFill="1" applyBorder="1" applyAlignment="1">
      <alignment horizontal="center" vertical="center" wrapText="1" shrinkToFit="1"/>
    </xf>
    <xf numFmtId="165" fontId="27" fillId="14" borderId="23" xfId="0" applyNumberFormat="1" applyFont="1" applyFill="1" applyBorder="1" applyAlignment="1">
      <alignment horizontal="center" vertical="center" wrapText="1" shrinkToFit="1"/>
    </xf>
    <xf numFmtId="0" fontId="34" fillId="0" borderId="23" xfId="0" applyFont="1" applyFill="1" applyBorder="1" applyAlignment="1">
      <alignment horizontal="center" vertical="center" wrapText="1" shrinkToFit="1"/>
    </xf>
    <xf numFmtId="171" fontId="27" fillId="0" borderId="3" xfId="0" quotePrefix="1" applyNumberFormat="1" applyFont="1" applyFill="1" applyBorder="1" applyAlignment="1">
      <alignment horizontal="center" vertical="center" shrinkToFit="1"/>
    </xf>
    <xf numFmtId="0" fontId="34" fillId="14" borderId="23" xfId="0" applyFont="1" applyFill="1" applyBorder="1" applyAlignment="1">
      <alignment horizontal="center" vertical="center" wrapText="1" shrinkToFit="1"/>
    </xf>
    <xf numFmtId="14" fontId="27" fillId="14" borderId="23" xfId="0" applyNumberFormat="1" applyFont="1" applyFill="1" applyBorder="1" applyAlignment="1">
      <alignment horizontal="center" vertical="center" shrinkToFit="1"/>
    </xf>
    <xf numFmtId="14" fontId="27" fillId="14" borderId="24" xfId="0" applyNumberFormat="1" applyFont="1" applyFill="1" applyBorder="1" applyAlignment="1">
      <alignment horizontal="center" vertical="center" shrinkToFit="1"/>
    </xf>
    <xf numFmtId="165" fontId="27" fillId="14" borderId="4" xfId="0" applyNumberFormat="1" applyFont="1" applyFill="1" applyBorder="1" applyAlignment="1">
      <alignment horizontal="center" vertical="center" wrapText="1" shrinkToFit="1"/>
    </xf>
    <xf numFmtId="174" fontId="27" fillId="14" borderId="58" xfId="0" applyNumberFormat="1" applyFont="1" applyFill="1" applyBorder="1" applyAlignment="1">
      <alignment horizontal="center" vertical="center" wrapText="1" shrinkToFit="1"/>
    </xf>
    <xf numFmtId="0" fontId="34" fillId="0" borderId="26" xfId="0" applyFont="1" applyFill="1" applyBorder="1" applyAlignment="1">
      <alignment horizontal="center" vertical="center" wrapText="1" shrinkToFit="1"/>
    </xf>
    <xf numFmtId="0" fontId="27" fillId="15" borderId="24" xfId="0" applyFont="1" applyFill="1" applyBorder="1" applyAlignment="1">
      <alignment horizontal="left" vertical="center" shrinkToFit="1"/>
    </xf>
    <xf numFmtId="14" fontId="27" fillId="15" borderId="3" xfId="0" applyNumberFormat="1" applyFont="1" applyFill="1" applyBorder="1" applyAlignment="1">
      <alignment horizontal="center" vertical="center" shrinkToFit="1"/>
    </xf>
    <xf numFmtId="167" fontId="27" fillId="14" borderId="2" xfId="0" applyNumberFormat="1" applyFont="1" applyFill="1" applyBorder="1" applyAlignment="1">
      <alignment horizontal="center" vertical="center" shrinkToFit="1"/>
    </xf>
    <xf numFmtId="167" fontId="27" fillId="0" borderId="2" xfId="0" applyNumberFormat="1" applyFont="1" applyFill="1" applyBorder="1" applyAlignment="1">
      <alignment horizontal="center" vertical="center" shrinkToFit="1"/>
    </xf>
    <xf numFmtId="0" fontId="27" fillId="11" borderId="58" xfId="0" applyFont="1" applyFill="1" applyBorder="1" applyAlignment="1">
      <alignment vertical="center" shrinkToFit="1"/>
    </xf>
    <xf numFmtId="171" fontId="41" fillId="14" borderId="3" xfId="1" applyNumberFormat="1" applyFont="1" applyFill="1" applyBorder="1" applyAlignment="1">
      <alignment horizontal="center" vertical="center" shrinkToFit="1"/>
    </xf>
    <xf numFmtId="0" fontId="34" fillId="0" borderId="102" xfId="0" applyFont="1" applyFill="1" applyBorder="1" applyAlignment="1">
      <alignment horizontal="left" vertical="center" shrinkToFit="1"/>
    </xf>
    <xf numFmtId="0" fontId="34" fillId="14" borderId="152" xfId="0" applyFont="1" applyFill="1" applyBorder="1" applyAlignment="1">
      <alignment horizontal="left" vertical="center" shrinkToFit="1"/>
    </xf>
    <xf numFmtId="167" fontId="27" fillId="0" borderId="4" xfId="0" applyNumberFormat="1" applyFont="1" applyFill="1" applyBorder="1" applyAlignment="1">
      <alignment horizontal="center" vertical="center" wrapText="1" shrinkToFit="1"/>
    </xf>
    <xf numFmtId="0" fontId="27" fillId="16" borderId="24" xfId="0" applyFont="1" applyFill="1" applyBorder="1" applyAlignment="1">
      <alignment horizontal="center" vertical="center" shrinkToFit="1"/>
    </xf>
    <xf numFmtId="0" fontId="27" fillId="16" borderId="27" xfId="0" applyFont="1" applyFill="1" applyBorder="1" applyAlignment="1">
      <alignment horizontal="center" vertical="center" wrapText="1" shrinkToFit="1"/>
    </xf>
    <xf numFmtId="171" fontId="27" fillId="0" borderId="152" xfId="0" applyNumberFormat="1" applyFont="1" applyFill="1" applyBorder="1" applyAlignment="1">
      <alignment horizontal="center" vertical="center" shrinkToFit="1"/>
    </xf>
    <xf numFmtId="174" fontId="27" fillId="0" borderId="25" xfId="0" applyNumberFormat="1" applyFont="1" applyFill="1" applyBorder="1" applyAlignment="1">
      <alignment horizontal="center" vertical="center" shrinkToFit="1"/>
    </xf>
    <xf numFmtId="0" fontId="27" fillId="11" borderId="0" xfId="0" applyFont="1" applyFill="1">
      <alignment vertical="center"/>
    </xf>
    <xf numFmtId="171" fontId="27" fillId="11" borderId="38" xfId="0" applyNumberFormat="1" applyFont="1" applyFill="1" applyBorder="1" applyAlignment="1">
      <alignment horizontal="center" vertical="center" shrinkToFit="1"/>
    </xf>
    <xf numFmtId="0" fontId="27" fillId="11" borderId="26" xfId="0" applyFont="1" applyFill="1" applyBorder="1" applyAlignment="1">
      <alignment horizontal="center" vertical="center" shrinkToFit="1"/>
    </xf>
    <xf numFmtId="0" fontId="27" fillId="11" borderId="27" xfId="0" applyFont="1" applyFill="1" applyBorder="1" applyAlignment="1">
      <alignment horizontal="center" vertical="center" shrinkToFit="1"/>
    </xf>
    <xf numFmtId="174" fontId="27" fillId="11" borderId="10" xfId="0" applyNumberFormat="1" applyFont="1" applyFill="1" applyBorder="1" applyAlignment="1">
      <alignment horizontal="center" vertical="center" shrinkToFit="1"/>
    </xf>
    <xf numFmtId="174" fontId="27" fillId="11" borderId="3" xfId="0" applyNumberFormat="1" applyFont="1" applyFill="1" applyBorder="1" applyAlignment="1">
      <alignment horizontal="center" vertical="center" shrinkToFit="1"/>
    </xf>
    <xf numFmtId="171" fontId="27" fillId="11" borderId="26" xfId="0" applyNumberFormat="1" applyFont="1" applyFill="1" applyBorder="1" applyAlignment="1">
      <alignment horizontal="center" vertical="center" shrinkToFit="1"/>
    </xf>
    <xf numFmtId="0" fontId="27" fillId="11" borderId="0" xfId="0" applyFont="1" applyFill="1" applyBorder="1" applyAlignment="1">
      <alignment vertical="center" wrapText="1" shrinkToFit="1"/>
    </xf>
    <xf numFmtId="164" fontId="27" fillId="11" borderId="0" xfId="0" applyNumberFormat="1" applyFont="1" applyFill="1" applyAlignment="1">
      <alignment horizontal="center" vertical="center"/>
    </xf>
    <xf numFmtId="0" fontId="27" fillId="13" borderId="2" xfId="0" applyFont="1" applyFill="1" applyBorder="1" applyAlignment="1">
      <alignment horizontal="center" vertical="center" shrinkToFit="1"/>
    </xf>
    <xf numFmtId="0" fontId="27" fillId="13" borderId="26" xfId="0" applyFont="1" applyFill="1" applyBorder="1" applyAlignment="1">
      <alignment vertical="center" shrinkToFit="1"/>
    </xf>
    <xf numFmtId="0" fontId="27" fillId="13" borderId="3" xfId="0" applyFont="1" applyFill="1" applyBorder="1" applyAlignment="1">
      <alignment vertical="center" shrinkToFit="1"/>
    </xf>
    <xf numFmtId="0" fontId="27" fillId="13" borderId="27" xfId="0" applyFont="1" applyFill="1" applyBorder="1" applyAlignment="1">
      <alignment horizontal="left" vertical="center" shrinkToFit="1"/>
    </xf>
    <xf numFmtId="14" fontId="27" fillId="13" borderId="3" xfId="0" applyNumberFormat="1" applyFont="1" applyFill="1" applyBorder="1" applyAlignment="1">
      <alignment horizontal="center" vertical="center" shrinkToFit="1"/>
    </xf>
    <xf numFmtId="0" fontId="34" fillId="4" borderId="59" xfId="0" applyFont="1" applyFill="1" applyBorder="1" applyAlignment="1">
      <alignment horizontal="center" vertical="center" shrinkToFit="1"/>
    </xf>
    <xf numFmtId="0" fontId="34" fillId="0" borderId="60" xfId="0" applyFont="1" applyFill="1" applyBorder="1" applyAlignment="1">
      <alignment horizontal="center" vertical="center" shrinkToFit="1"/>
    </xf>
    <xf numFmtId="0" fontId="27" fillId="2" borderId="24" xfId="0" applyFont="1" applyFill="1" applyBorder="1" applyAlignment="1">
      <alignment horizontal="center" vertical="center" shrinkToFit="1"/>
    </xf>
    <xf numFmtId="0" fontId="5" fillId="0" borderId="3" xfId="0" applyFont="1" applyFill="1" applyBorder="1" applyAlignment="1">
      <alignment horizontal="left" vertical="center" shrinkToFit="1"/>
    </xf>
    <xf numFmtId="0" fontId="27" fillId="14" borderId="38" xfId="0" applyFont="1" applyFill="1" applyBorder="1" applyAlignment="1">
      <alignment horizontal="center" vertical="center" shrinkToFit="1"/>
    </xf>
    <xf numFmtId="174" fontId="27" fillId="14" borderId="27" xfId="0" applyNumberFormat="1" applyFont="1" applyFill="1" applyBorder="1" applyAlignment="1">
      <alignment horizontal="center" vertical="center" shrinkToFit="1"/>
    </xf>
    <xf numFmtId="174" fontId="27" fillId="14" borderId="25" xfId="0" applyNumberFormat="1" applyFont="1" applyFill="1" applyBorder="1" applyAlignment="1">
      <alignment horizontal="center" vertical="center" shrinkToFit="1"/>
    </xf>
    <xf numFmtId="174" fontId="27" fillId="14" borderId="24" xfId="0" applyNumberFormat="1" applyFont="1" applyFill="1" applyBorder="1" applyAlignment="1">
      <alignment horizontal="center" vertical="center" shrinkToFit="1"/>
    </xf>
    <xf numFmtId="165" fontId="27" fillId="14" borderId="70" xfId="0" applyNumberFormat="1" applyFont="1" applyFill="1" applyBorder="1" applyAlignment="1">
      <alignment horizontal="center" vertical="center" shrinkToFit="1"/>
    </xf>
    <xf numFmtId="0" fontId="0" fillId="0" borderId="220" xfId="0" applyFont="1" applyFill="1" applyBorder="1" applyAlignment="1">
      <alignment horizontal="left" vertical="center" shrinkToFit="1"/>
    </xf>
    <xf numFmtId="0" fontId="5" fillId="0" borderId="123" xfId="0" applyFont="1" applyFill="1" applyBorder="1" applyAlignment="1">
      <alignment horizontal="center" vertical="center"/>
    </xf>
    <xf numFmtId="0" fontId="5" fillId="0" borderId="96" xfId="0" applyFont="1" applyFill="1" applyBorder="1" applyAlignment="1">
      <alignment horizontal="center" vertical="center"/>
    </xf>
    <xf numFmtId="0" fontId="5" fillId="0" borderId="11" xfId="0" applyFont="1" applyFill="1" applyBorder="1" applyAlignment="1">
      <alignment horizontal="center" vertical="center" wrapText="1"/>
    </xf>
    <xf numFmtId="0" fontId="5" fillId="0" borderId="213" xfId="0" applyFont="1" applyFill="1" applyBorder="1" applyAlignment="1">
      <alignment horizontal="center" vertical="center"/>
    </xf>
    <xf numFmtId="0" fontId="5" fillId="0" borderId="84" xfId="0" applyFont="1" applyFill="1" applyBorder="1">
      <alignment vertical="center"/>
    </xf>
    <xf numFmtId="0" fontId="5" fillId="0" borderId="85" xfId="0" applyFont="1" applyFill="1" applyBorder="1">
      <alignment vertical="center"/>
    </xf>
    <xf numFmtId="0" fontId="5" fillId="0" borderId="86" xfId="0" applyFont="1" applyFill="1" applyBorder="1">
      <alignment vertical="center"/>
    </xf>
    <xf numFmtId="0" fontId="5" fillId="0" borderId="87" xfId="0" applyFont="1" applyFill="1" applyBorder="1">
      <alignment vertical="center"/>
    </xf>
    <xf numFmtId="0" fontId="5" fillId="0" borderId="83" xfId="0" applyFont="1" applyFill="1" applyBorder="1">
      <alignment vertical="center"/>
    </xf>
    <xf numFmtId="0" fontId="5" fillId="0" borderId="212" xfId="0" applyFont="1" applyFill="1" applyBorder="1">
      <alignment vertical="center"/>
    </xf>
    <xf numFmtId="20" fontId="5" fillId="0" borderId="84" xfId="0" applyNumberFormat="1" applyFont="1" applyFill="1" applyBorder="1">
      <alignment vertical="center"/>
    </xf>
    <xf numFmtId="0" fontId="5" fillId="0" borderId="78" xfId="0" applyFont="1" applyFill="1" applyBorder="1" applyAlignment="1">
      <alignment horizontal="center" vertical="center"/>
    </xf>
    <xf numFmtId="0" fontId="5" fillId="0" borderId="69" xfId="0" applyFont="1" applyFill="1" applyBorder="1" applyAlignment="1">
      <alignment horizontal="center" vertical="center"/>
    </xf>
    <xf numFmtId="0" fontId="5" fillId="0" borderId="219" xfId="0" applyNumberFormat="1" applyFont="1" applyFill="1" applyBorder="1" applyAlignment="1">
      <alignment horizontal="left" vertical="center" shrinkToFit="1"/>
    </xf>
    <xf numFmtId="0" fontId="5" fillId="0" borderId="220" xfId="0" applyNumberFormat="1" applyFont="1" applyFill="1" applyBorder="1" applyAlignment="1">
      <alignment horizontal="left" vertical="center" shrinkToFit="1"/>
    </xf>
    <xf numFmtId="0" fontId="5" fillId="0" borderId="224" xfId="0" applyNumberFormat="1" applyFont="1" applyFill="1" applyBorder="1" applyAlignment="1">
      <alignment horizontal="center" vertical="center" shrinkToFit="1"/>
    </xf>
    <xf numFmtId="0" fontId="5" fillId="0" borderId="95" xfId="0" applyFont="1" applyFill="1" applyBorder="1" applyAlignment="1">
      <alignment vertical="top"/>
    </xf>
    <xf numFmtId="0" fontId="5" fillId="0" borderId="49" xfId="0" applyFont="1" applyFill="1" applyBorder="1" applyAlignment="1">
      <alignment vertical="top"/>
    </xf>
    <xf numFmtId="0" fontId="5" fillId="0" borderId="94" xfId="0" applyFont="1" applyFill="1" applyBorder="1" applyAlignment="1">
      <alignment horizontal="right" vertical="center"/>
    </xf>
    <xf numFmtId="0" fontId="5" fillId="0" borderId="63" xfId="0" applyFont="1" applyFill="1" applyBorder="1" applyAlignment="1">
      <alignment horizontal="left" vertical="top"/>
    </xf>
    <xf numFmtId="0" fontId="5" fillId="0" borderId="94" xfId="0" applyFont="1" applyFill="1" applyBorder="1" applyAlignment="1">
      <alignment horizontal="right" vertical="top"/>
    </xf>
    <xf numFmtId="0" fontId="5" fillId="0" borderId="229" xfId="0" applyFont="1" applyFill="1" applyBorder="1" applyAlignment="1">
      <alignment vertical="top"/>
    </xf>
    <xf numFmtId="0" fontId="5" fillId="0" borderId="108" xfId="0" applyFont="1" applyFill="1" applyBorder="1" applyAlignment="1">
      <alignment vertical="top"/>
    </xf>
    <xf numFmtId="0" fontId="5" fillId="0" borderId="94" xfId="0" applyFont="1" applyFill="1" applyBorder="1" applyAlignment="1">
      <alignment horizontal="left" vertical="center"/>
    </xf>
    <xf numFmtId="0" fontId="5" fillId="0" borderId="41" xfId="0" applyFont="1" applyFill="1" applyBorder="1" applyAlignment="1">
      <alignment horizontal="right" vertical="center"/>
    </xf>
    <xf numFmtId="0" fontId="5" fillId="0" borderId="258" xfId="0" applyNumberFormat="1" applyFont="1" applyFill="1" applyBorder="1" applyAlignment="1">
      <alignment horizontal="center" vertical="center" shrinkToFit="1"/>
    </xf>
    <xf numFmtId="0" fontId="5" fillId="0" borderId="259" xfId="0" applyFont="1" applyFill="1" applyBorder="1">
      <alignment vertical="center"/>
    </xf>
    <xf numFmtId="0" fontId="5" fillId="0" borderId="260" xfId="0" applyFont="1" applyFill="1" applyBorder="1">
      <alignment vertical="center"/>
    </xf>
    <xf numFmtId="0" fontId="5" fillId="0" borderId="261" xfId="0" applyFont="1" applyFill="1" applyBorder="1">
      <alignment vertical="center"/>
    </xf>
    <xf numFmtId="0" fontId="5" fillId="0" borderId="259" xfId="0" applyFont="1" applyFill="1" applyBorder="1" applyAlignment="1">
      <alignment horizontal="right" vertical="center"/>
    </xf>
    <xf numFmtId="0" fontId="5" fillId="0" borderId="245" xfId="0" applyFont="1" applyFill="1" applyBorder="1" applyAlignment="1">
      <alignment horizontal="center" vertical="center"/>
    </xf>
    <xf numFmtId="0" fontId="5" fillId="0" borderId="60" xfId="0" applyFont="1" applyFill="1" applyBorder="1">
      <alignment vertical="center"/>
    </xf>
    <xf numFmtId="0" fontId="5" fillId="0" borderId="60" xfId="0" applyFont="1" applyFill="1" applyBorder="1" applyAlignment="1">
      <alignment vertical="top"/>
    </xf>
    <xf numFmtId="0" fontId="5" fillId="0" borderId="247" xfId="0" applyFont="1" applyFill="1" applyBorder="1">
      <alignment vertical="center"/>
    </xf>
    <xf numFmtId="0" fontId="5" fillId="0" borderId="248" xfId="0" applyFont="1" applyFill="1" applyBorder="1">
      <alignment vertical="center"/>
    </xf>
    <xf numFmtId="0" fontId="5" fillId="0" borderId="249" xfId="0" applyFont="1" applyFill="1" applyBorder="1">
      <alignment vertical="center"/>
    </xf>
    <xf numFmtId="0" fontId="5" fillId="0" borderId="60" xfId="0" applyFont="1" applyFill="1" applyBorder="1" applyAlignment="1">
      <alignment horizontal="left" vertical="top"/>
    </xf>
    <xf numFmtId="0" fontId="5" fillId="0" borderId="248" xfId="0" applyFont="1" applyFill="1" applyBorder="1" applyAlignment="1">
      <alignment vertical="top"/>
    </xf>
    <xf numFmtId="0" fontId="5" fillId="0" borderId="247" xfId="0" applyFont="1" applyFill="1" applyBorder="1" applyAlignment="1">
      <alignment vertical="top"/>
    </xf>
    <xf numFmtId="0" fontId="5" fillId="0" borderId="249" xfId="0" applyFont="1" applyFill="1" applyBorder="1" applyAlignment="1">
      <alignment horizontal="right" vertical="center"/>
    </xf>
    <xf numFmtId="0" fontId="5" fillId="0" borderId="60" xfId="0" applyFont="1" applyFill="1" applyBorder="1" applyAlignment="1">
      <alignment horizontal="right" vertical="center"/>
    </xf>
    <xf numFmtId="0" fontId="5" fillId="0" borderId="250" xfId="0" applyFont="1" applyFill="1" applyBorder="1">
      <alignment vertical="center"/>
    </xf>
    <xf numFmtId="0" fontId="5" fillId="0" borderId="223" xfId="0" applyNumberFormat="1" applyFont="1" applyFill="1" applyBorder="1" applyAlignment="1">
      <alignment horizontal="center" vertical="center" shrinkToFit="1"/>
    </xf>
    <xf numFmtId="0" fontId="5" fillId="0" borderId="58" xfId="0" applyFont="1" applyFill="1" applyBorder="1">
      <alignment vertical="center"/>
    </xf>
    <xf numFmtId="0" fontId="5" fillId="0" borderId="214" xfId="0" applyFont="1" applyFill="1" applyBorder="1">
      <alignment vertical="center"/>
    </xf>
    <xf numFmtId="0" fontId="5" fillId="0" borderId="239" xfId="0" applyFont="1" applyFill="1" applyBorder="1">
      <alignment vertical="center"/>
    </xf>
    <xf numFmtId="0" fontId="5" fillId="0" borderId="215" xfId="0" applyFont="1" applyFill="1" applyBorder="1">
      <alignment vertical="center"/>
    </xf>
    <xf numFmtId="0" fontId="5" fillId="0" borderId="214" xfId="0" applyFont="1" applyFill="1" applyBorder="1" applyAlignment="1">
      <alignment vertical="top"/>
    </xf>
    <xf numFmtId="0" fontId="5" fillId="0" borderId="58" xfId="0" applyFont="1" applyFill="1" applyBorder="1" applyAlignment="1">
      <alignment vertical="top"/>
    </xf>
    <xf numFmtId="0" fontId="5" fillId="0" borderId="215" xfId="0" applyFont="1" applyFill="1" applyBorder="1" applyAlignment="1">
      <alignment horizontal="right" vertical="center"/>
    </xf>
    <xf numFmtId="0" fontId="5" fillId="0" borderId="239" xfId="0" applyFont="1" applyFill="1" applyBorder="1" applyAlignment="1">
      <alignment horizontal="left" vertical="top"/>
    </xf>
    <xf numFmtId="0" fontId="5" fillId="0" borderId="239" xfId="0" applyFont="1" applyFill="1" applyBorder="1" applyAlignment="1">
      <alignment vertical="top"/>
    </xf>
    <xf numFmtId="0" fontId="5" fillId="0" borderId="240" xfId="0" applyFont="1" applyFill="1" applyBorder="1">
      <alignment vertical="center"/>
    </xf>
    <xf numFmtId="0" fontId="5" fillId="0" borderId="128" xfId="0" applyFont="1" applyFill="1" applyBorder="1" applyAlignment="1">
      <alignment vertical="top"/>
    </xf>
    <xf numFmtId="0" fontId="5" fillId="0" borderId="226" xfId="0" applyNumberFormat="1" applyFont="1" applyFill="1" applyBorder="1" applyAlignment="1">
      <alignment horizontal="center" vertical="center" shrinkToFit="1"/>
    </xf>
    <xf numFmtId="20" fontId="5" fillId="0" borderId="49" xfId="0" applyNumberFormat="1" applyFont="1" applyFill="1" applyBorder="1">
      <alignment vertical="center"/>
    </xf>
    <xf numFmtId="0" fontId="5" fillId="0" borderId="233" xfId="0" applyFont="1" applyFill="1" applyBorder="1">
      <alignment vertical="center"/>
    </xf>
    <xf numFmtId="0" fontId="5" fillId="0" borderId="227" xfId="0" applyFont="1" applyFill="1" applyBorder="1">
      <alignment vertical="center"/>
    </xf>
    <xf numFmtId="0" fontId="5" fillId="0" borderId="113" xfId="0" applyFont="1" applyFill="1" applyBorder="1" applyAlignment="1">
      <alignment horizontal="left" vertical="center"/>
    </xf>
    <xf numFmtId="0" fontId="5" fillId="0" borderId="272" xfId="0" applyFont="1" applyFill="1" applyBorder="1" applyAlignment="1">
      <alignment vertical="top"/>
    </xf>
    <xf numFmtId="0" fontId="5" fillId="0" borderId="273" xfId="0" applyFont="1" applyFill="1" applyBorder="1">
      <alignment vertical="center"/>
    </xf>
    <xf numFmtId="0" fontId="5" fillId="0" borderId="176" xfId="0" applyFont="1" applyFill="1" applyBorder="1" applyAlignment="1">
      <alignment vertical="center" shrinkToFit="1"/>
    </xf>
    <xf numFmtId="0" fontId="5" fillId="0" borderId="125" xfId="0" applyFont="1" applyFill="1" applyBorder="1" applyAlignment="1">
      <alignment horizontal="center" vertical="center"/>
    </xf>
    <xf numFmtId="0" fontId="0" fillId="0" borderId="219" xfId="0" applyFont="1" applyFill="1" applyBorder="1" applyAlignment="1">
      <alignment horizontal="left" vertical="center" shrinkToFit="1"/>
    </xf>
    <xf numFmtId="0" fontId="5" fillId="0" borderId="127" xfId="0" applyFont="1" applyFill="1" applyBorder="1">
      <alignment vertical="center"/>
    </xf>
    <xf numFmtId="0" fontId="5" fillId="0" borderId="230" xfId="0" applyFont="1" applyFill="1" applyBorder="1">
      <alignment vertical="center"/>
    </xf>
    <xf numFmtId="0" fontId="5" fillId="0" borderId="11" xfId="0" applyFont="1" applyFill="1" applyBorder="1" applyAlignment="1">
      <alignment vertical="center" shrinkToFit="1"/>
    </xf>
    <xf numFmtId="0" fontId="5" fillId="0" borderId="107" xfId="0" applyFont="1" applyFill="1" applyBorder="1">
      <alignment vertical="center"/>
    </xf>
    <xf numFmtId="0" fontId="5" fillId="0" borderId="61" xfId="0" applyFont="1" applyFill="1" applyBorder="1" applyAlignment="1">
      <alignment vertical="top"/>
    </xf>
    <xf numFmtId="0" fontId="5" fillId="0" borderId="221" xfId="0" applyNumberFormat="1" applyFont="1" applyFill="1" applyBorder="1" applyAlignment="1">
      <alignment horizontal="left" vertical="center" shrinkToFit="1"/>
    </xf>
    <xf numFmtId="0" fontId="5" fillId="0" borderId="14" xfId="0" applyFont="1" applyFill="1" applyBorder="1" applyAlignment="1">
      <alignment vertical="center" shrinkToFit="1"/>
    </xf>
    <xf numFmtId="0" fontId="26" fillId="0" borderId="79" xfId="0" applyFont="1" applyFill="1" applyBorder="1" applyAlignment="1">
      <alignment horizontal="center" vertical="center"/>
    </xf>
    <xf numFmtId="0" fontId="5" fillId="0" borderId="69" xfId="0" applyNumberFormat="1" applyFont="1" applyFill="1" applyBorder="1" applyAlignment="1">
      <alignment horizontal="left" vertical="center" shrinkToFit="1"/>
    </xf>
    <xf numFmtId="20" fontId="5" fillId="0" borderId="88" xfId="0" applyNumberFormat="1" applyFont="1" applyFill="1" applyBorder="1">
      <alignment vertical="center"/>
    </xf>
    <xf numFmtId="0" fontId="5" fillId="0" borderId="274" xfId="0" applyFont="1" applyFill="1" applyBorder="1" applyAlignment="1">
      <alignment vertical="center" wrapText="1"/>
    </xf>
    <xf numFmtId="0" fontId="5" fillId="0" borderId="13" xfId="0" applyFont="1" applyFill="1" applyBorder="1" applyAlignment="1">
      <alignment horizontal="center" vertical="center" shrinkToFit="1"/>
    </xf>
    <xf numFmtId="0" fontId="5" fillId="0" borderId="208" xfId="0" applyFont="1" applyFill="1" applyBorder="1" applyAlignment="1">
      <alignment horizontal="center" vertical="center"/>
    </xf>
    <xf numFmtId="0" fontId="5" fillId="0" borderId="225" xfId="0" applyFont="1" applyFill="1" applyBorder="1">
      <alignment vertical="center"/>
    </xf>
    <xf numFmtId="0" fontId="26" fillId="0" borderId="89" xfId="0" applyFont="1" applyFill="1" applyBorder="1">
      <alignment vertical="center"/>
    </xf>
    <xf numFmtId="0" fontId="26" fillId="0" borderId="208" xfId="0" applyFont="1" applyFill="1" applyBorder="1" applyAlignment="1">
      <alignment horizontal="center" vertical="center"/>
    </xf>
    <xf numFmtId="0" fontId="5" fillId="0" borderId="41" xfId="0" applyNumberFormat="1" applyFont="1" applyFill="1" applyBorder="1" applyAlignment="1">
      <alignment vertical="center" shrinkToFit="1"/>
    </xf>
    <xf numFmtId="0" fontId="5" fillId="0" borderId="69" xfId="0" applyNumberFormat="1" applyFont="1" applyFill="1" applyBorder="1" applyAlignment="1">
      <alignment vertical="center" shrinkToFit="1"/>
    </xf>
    <xf numFmtId="0" fontId="5" fillId="0" borderId="220" xfId="0" applyNumberFormat="1" applyFont="1" applyFill="1" applyBorder="1" applyAlignment="1">
      <alignment vertical="center" shrinkToFit="1"/>
    </xf>
    <xf numFmtId="0" fontId="5" fillId="0" borderId="88" xfId="0" applyFont="1" applyFill="1" applyBorder="1" applyAlignment="1">
      <alignment horizontal="center" vertical="center"/>
    </xf>
    <xf numFmtId="0" fontId="5" fillId="0" borderId="86" xfId="0" applyFont="1" applyFill="1" applyBorder="1" applyAlignment="1">
      <alignment horizontal="right" vertical="center"/>
    </xf>
    <xf numFmtId="0" fontId="5" fillId="0" borderId="264" xfId="0" applyFont="1" applyFill="1" applyBorder="1" applyAlignment="1">
      <alignment horizontal="center" vertical="center" wrapText="1" shrinkToFit="1"/>
    </xf>
    <xf numFmtId="0" fontId="5" fillId="0" borderId="275" xfId="0" applyFont="1" applyFill="1" applyBorder="1" applyAlignment="1">
      <alignment horizontal="center" vertical="center"/>
    </xf>
    <xf numFmtId="0" fontId="5" fillId="0" borderId="265" xfId="0" applyFont="1" applyFill="1" applyBorder="1">
      <alignment vertical="center"/>
    </xf>
    <xf numFmtId="0" fontId="5" fillId="26" borderId="79" xfId="0" applyFont="1" applyFill="1" applyBorder="1" applyAlignment="1">
      <alignment horizontal="center" vertical="center"/>
    </xf>
    <xf numFmtId="0" fontId="38" fillId="0" borderId="89" xfId="0" applyFont="1" applyFill="1" applyBorder="1">
      <alignment vertical="center"/>
    </xf>
    <xf numFmtId="0" fontId="38" fillId="0" borderId="41" xfId="0" applyFont="1" applyFill="1" applyBorder="1">
      <alignment vertical="center"/>
    </xf>
    <xf numFmtId="0" fontId="38" fillId="0" borderId="91" xfId="0" applyFont="1" applyFill="1" applyBorder="1">
      <alignment vertical="center"/>
    </xf>
    <xf numFmtId="0" fontId="5" fillId="26" borderId="41" xfId="0" applyFont="1" applyFill="1" applyBorder="1">
      <alignment vertical="center"/>
    </xf>
    <xf numFmtId="0" fontId="5" fillId="26" borderId="61" xfId="0" applyFont="1" applyFill="1" applyBorder="1">
      <alignment vertical="center"/>
    </xf>
    <xf numFmtId="0" fontId="5" fillId="26" borderId="88" xfId="0" applyFont="1" applyFill="1" applyBorder="1">
      <alignment vertical="center"/>
    </xf>
    <xf numFmtId="0" fontId="5" fillId="26" borderId="89" xfId="0" applyFont="1" applyFill="1" applyBorder="1">
      <alignment vertical="center"/>
    </xf>
    <xf numFmtId="0" fontId="5" fillId="26" borderId="9" xfId="0" applyFont="1" applyFill="1" applyBorder="1">
      <alignment vertical="center"/>
    </xf>
    <xf numFmtId="0" fontId="5" fillId="26" borderId="97" xfId="0" applyFont="1" applyFill="1" applyBorder="1">
      <alignment vertical="center"/>
    </xf>
    <xf numFmtId="20" fontId="5" fillId="26" borderId="41" xfId="0" applyNumberFormat="1" applyFont="1" applyFill="1" applyBorder="1">
      <alignment vertical="center"/>
    </xf>
    <xf numFmtId="0" fontId="38" fillId="26" borderId="89" xfId="0" applyFont="1" applyFill="1" applyBorder="1">
      <alignment vertical="center"/>
    </xf>
    <xf numFmtId="0" fontId="38" fillId="26" borderId="41" xfId="0" applyFont="1" applyFill="1" applyBorder="1">
      <alignment vertical="center"/>
    </xf>
    <xf numFmtId="0" fontId="5" fillId="18" borderId="79" xfId="0" applyFont="1" applyFill="1" applyBorder="1" applyAlignment="1">
      <alignment horizontal="center" vertical="center"/>
    </xf>
    <xf numFmtId="0" fontId="5" fillId="18" borderId="89" xfId="0" applyFont="1" applyFill="1" applyBorder="1">
      <alignment vertical="center"/>
    </xf>
    <xf numFmtId="0" fontId="5" fillId="18" borderId="9" xfId="0" applyFont="1" applyFill="1" applyBorder="1">
      <alignment vertical="center"/>
    </xf>
    <xf numFmtId="20" fontId="5" fillId="18" borderId="41" xfId="0" applyNumberFormat="1" applyFont="1" applyFill="1" applyBorder="1">
      <alignment vertical="center"/>
    </xf>
    <xf numFmtId="0" fontId="38" fillId="18" borderId="41" xfId="0" applyFont="1" applyFill="1" applyBorder="1">
      <alignment vertical="center"/>
    </xf>
    <xf numFmtId="0" fontId="5" fillId="27" borderId="79" xfId="0" applyFont="1" applyFill="1" applyBorder="1" applyAlignment="1">
      <alignment horizontal="center" vertical="center"/>
    </xf>
    <xf numFmtId="0" fontId="5" fillId="27" borderId="41" xfId="0" applyFont="1" applyFill="1" applyBorder="1">
      <alignment vertical="center"/>
    </xf>
    <xf numFmtId="0" fontId="5" fillId="27" borderId="61" xfId="0" applyFont="1" applyFill="1" applyBorder="1">
      <alignment vertical="center"/>
    </xf>
    <xf numFmtId="0" fontId="5" fillId="27" borderId="88" xfId="0" applyFont="1" applyFill="1" applyBorder="1">
      <alignment vertical="center"/>
    </xf>
    <xf numFmtId="0" fontId="5" fillId="27" borderId="89" xfId="0" applyFont="1" applyFill="1" applyBorder="1">
      <alignment vertical="center"/>
    </xf>
    <xf numFmtId="0" fontId="5" fillId="27" borderId="9" xfId="0" applyFont="1" applyFill="1" applyBorder="1">
      <alignment vertical="center"/>
    </xf>
    <xf numFmtId="0" fontId="5" fillId="27" borderId="97" xfId="0" applyFont="1" applyFill="1" applyBorder="1">
      <alignment vertical="center"/>
    </xf>
    <xf numFmtId="20" fontId="5" fillId="27" borderId="41" xfId="0" applyNumberFormat="1" applyFont="1" applyFill="1" applyBorder="1">
      <alignment vertical="center"/>
    </xf>
    <xf numFmtId="0" fontId="5" fillId="27" borderId="88" xfId="0" applyFont="1" applyFill="1" applyBorder="1" applyAlignment="1">
      <alignment horizontal="right" vertical="center"/>
    </xf>
    <xf numFmtId="0" fontId="38" fillId="27" borderId="89" xfId="0" applyFont="1" applyFill="1" applyBorder="1">
      <alignment vertical="center"/>
    </xf>
    <xf numFmtId="0" fontId="5" fillId="26" borderId="88" xfId="0" applyFont="1" applyFill="1" applyBorder="1" applyAlignment="1">
      <alignment horizontal="left" vertical="center"/>
    </xf>
    <xf numFmtId="0" fontId="5" fillId="26" borderId="88" xfId="0" applyFont="1" applyFill="1" applyBorder="1" applyAlignment="1">
      <alignment horizontal="right" vertical="center"/>
    </xf>
    <xf numFmtId="0" fontId="5" fillId="17" borderId="9" xfId="0" applyFont="1" applyFill="1" applyBorder="1">
      <alignment vertical="center"/>
    </xf>
    <xf numFmtId="0" fontId="5" fillId="17" borderId="97" xfId="0" applyFont="1" applyFill="1" applyBorder="1">
      <alignment vertical="center"/>
    </xf>
    <xf numFmtId="20" fontId="5" fillId="17" borderId="41" xfId="0" applyNumberFormat="1" applyFont="1" applyFill="1" applyBorder="1">
      <alignment vertical="center"/>
    </xf>
    <xf numFmtId="0" fontId="38" fillId="17" borderId="89" xfId="0" applyFont="1" applyFill="1" applyBorder="1">
      <alignment vertical="center"/>
    </xf>
    <xf numFmtId="0" fontId="5" fillId="27" borderId="125" xfId="0" applyFont="1" applyFill="1" applyBorder="1" applyAlignment="1">
      <alignment horizontal="center" vertical="center"/>
    </xf>
    <xf numFmtId="0" fontId="5" fillId="27" borderId="84" xfId="0" applyFont="1" applyFill="1" applyBorder="1">
      <alignment vertical="center"/>
    </xf>
    <xf numFmtId="20" fontId="5" fillId="27" borderId="84" xfId="0" applyNumberFormat="1" applyFont="1" applyFill="1" applyBorder="1">
      <alignment vertical="center"/>
    </xf>
    <xf numFmtId="0" fontId="5" fillId="27" borderId="87" xfId="0" applyFont="1" applyFill="1" applyBorder="1">
      <alignment vertical="center"/>
    </xf>
    <xf numFmtId="0" fontId="5" fillId="27" borderId="85" xfId="0" applyFont="1" applyFill="1" applyBorder="1">
      <alignment vertical="center"/>
    </xf>
    <xf numFmtId="0" fontId="5" fillId="27" borderId="86" xfId="0" applyFont="1" applyFill="1" applyBorder="1">
      <alignment vertical="center"/>
    </xf>
    <xf numFmtId="0" fontId="5" fillId="27" borderId="86" xfId="0" applyFont="1" applyFill="1" applyBorder="1" applyAlignment="1">
      <alignment horizontal="right" vertical="center"/>
    </xf>
    <xf numFmtId="0" fontId="5" fillId="12" borderId="96" xfId="0" applyFont="1" applyFill="1" applyBorder="1" applyAlignment="1">
      <alignment horizontal="center" vertical="center"/>
    </xf>
    <xf numFmtId="0" fontId="5" fillId="12" borderId="91" xfId="0" applyFont="1" applyFill="1" applyBorder="1">
      <alignment vertical="center"/>
    </xf>
    <xf numFmtId="0" fontId="5" fillId="12" borderId="64" xfId="0" applyFont="1" applyFill="1" applyBorder="1">
      <alignment vertical="center"/>
    </xf>
    <xf numFmtId="0" fontId="5" fillId="12" borderId="92" xfId="0" applyFont="1" applyFill="1" applyBorder="1">
      <alignment vertical="center"/>
    </xf>
    <xf numFmtId="0" fontId="5" fillId="12" borderId="93" xfId="0" applyFont="1" applyFill="1" applyBorder="1">
      <alignment vertical="center"/>
    </xf>
    <xf numFmtId="0" fontId="5" fillId="12" borderId="90" xfId="0" applyFont="1" applyFill="1" applyBorder="1">
      <alignment vertical="center"/>
    </xf>
    <xf numFmtId="0" fontId="5" fillId="12" borderId="210" xfId="0" applyFont="1" applyFill="1" applyBorder="1">
      <alignment vertical="center"/>
    </xf>
    <xf numFmtId="20" fontId="5" fillId="12" borderId="91" xfId="0" applyNumberFormat="1" applyFont="1" applyFill="1" applyBorder="1">
      <alignment vertical="center"/>
    </xf>
    <xf numFmtId="0" fontId="38" fillId="12" borderId="93" xfId="0" applyFont="1" applyFill="1" applyBorder="1">
      <alignment vertical="center"/>
    </xf>
    <xf numFmtId="0" fontId="5" fillId="17" borderId="79" xfId="0" applyFont="1" applyFill="1" applyBorder="1" applyAlignment="1">
      <alignment horizontal="center" vertical="center" shrinkToFit="1"/>
    </xf>
    <xf numFmtId="0" fontId="38" fillId="17" borderId="41" xfId="0" applyFont="1" applyFill="1" applyBorder="1">
      <alignment vertical="center"/>
    </xf>
    <xf numFmtId="0" fontId="38" fillId="17" borderId="61" xfId="0" applyFont="1" applyFill="1" applyBorder="1">
      <alignment vertical="center"/>
    </xf>
    <xf numFmtId="0" fontId="45" fillId="0" borderId="61" xfId="0" applyFont="1" applyFill="1" applyBorder="1">
      <alignment vertical="center"/>
    </xf>
    <xf numFmtId="0" fontId="45" fillId="0" borderId="89" xfId="0" applyFont="1" applyFill="1" applyBorder="1">
      <alignment vertical="center"/>
    </xf>
    <xf numFmtId="0" fontId="45" fillId="0" borderId="85" xfId="0" applyFont="1" applyFill="1" applyBorder="1">
      <alignment vertical="center"/>
    </xf>
    <xf numFmtId="0" fontId="38" fillId="27" borderId="61" xfId="0" applyFont="1" applyFill="1" applyBorder="1">
      <alignment vertical="center"/>
    </xf>
    <xf numFmtId="0" fontId="5" fillId="26" borderId="96" xfId="0" applyFont="1" applyFill="1" applyBorder="1" applyAlignment="1">
      <alignment horizontal="center" vertical="center"/>
    </xf>
    <xf numFmtId="0" fontId="5" fillId="26" borderId="91" xfId="0" applyFont="1" applyFill="1" applyBorder="1">
      <alignment vertical="center"/>
    </xf>
    <xf numFmtId="20" fontId="5" fillId="26" borderId="91" xfId="0" applyNumberFormat="1" applyFont="1" applyFill="1" applyBorder="1">
      <alignment vertical="center"/>
    </xf>
    <xf numFmtId="0" fontId="5" fillId="26" borderId="93" xfId="0" applyFont="1" applyFill="1" applyBorder="1">
      <alignment vertical="center"/>
    </xf>
    <xf numFmtId="0" fontId="5" fillId="26" borderId="64" xfId="0" applyFont="1" applyFill="1" applyBorder="1">
      <alignment vertical="center"/>
    </xf>
    <xf numFmtId="0" fontId="5" fillId="26" borderId="92" xfId="0" applyFont="1" applyFill="1" applyBorder="1">
      <alignment vertical="center"/>
    </xf>
    <xf numFmtId="0" fontId="5" fillId="26" borderId="92" xfId="0" applyFont="1" applyFill="1" applyBorder="1" applyAlignment="1">
      <alignment horizontal="right" vertical="center"/>
    </xf>
    <xf numFmtId="0" fontId="38" fillId="26" borderId="93" xfId="0" applyFont="1" applyFill="1" applyBorder="1">
      <alignment vertical="center"/>
    </xf>
    <xf numFmtId="0" fontId="5" fillId="27" borderId="83" xfId="0" applyFont="1" applyFill="1" applyBorder="1">
      <alignment vertical="center"/>
    </xf>
    <xf numFmtId="0" fontId="5" fillId="27" borderId="212" xfId="0" applyFont="1" applyFill="1" applyBorder="1">
      <alignment vertical="center"/>
    </xf>
    <xf numFmtId="0" fontId="5" fillId="26" borderId="125" xfId="0" applyFont="1" applyFill="1" applyBorder="1" applyAlignment="1">
      <alignment horizontal="center" vertical="center"/>
    </xf>
    <xf numFmtId="0" fontId="5" fillId="26" borderId="84" xfId="0" applyFont="1" applyFill="1" applyBorder="1">
      <alignment vertical="center"/>
    </xf>
    <xf numFmtId="20" fontId="5" fillId="26" borderId="84" xfId="0" applyNumberFormat="1" applyFont="1" applyFill="1" applyBorder="1">
      <alignment vertical="center"/>
    </xf>
    <xf numFmtId="0" fontId="5" fillId="26" borderId="87" xfId="0" applyFont="1" applyFill="1" applyBorder="1">
      <alignment vertical="center"/>
    </xf>
    <xf numFmtId="0" fontId="5" fillId="26" borderId="85" xfId="0" applyFont="1" applyFill="1" applyBorder="1">
      <alignment vertical="center"/>
    </xf>
    <xf numFmtId="0" fontId="5" fillId="26" borderId="86" xfId="0" applyFont="1" applyFill="1" applyBorder="1">
      <alignment vertical="center"/>
    </xf>
    <xf numFmtId="0" fontId="5" fillId="26" borderId="86" xfId="0" applyFont="1" applyFill="1" applyBorder="1" applyAlignment="1">
      <alignment horizontal="right" vertical="center"/>
    </xf>
    <xf numFmtId="0" fontId="45" fillId="0" borderId="84" xfId="0" applyFont="1" applyFill="1" applyBorder="1">
      <alignment vertical="center"/>
    </xf>
    <xf numFmtId="0" fontId="38" fillId="26" borderId="97" xfId="0" applyFont="1" applyFill="1" applyBorder="1">
      <alignment vertical="center"/>
    </xf>
    <xf numFmtId="0" fontId="45" fillId="0" borderId="41" xfId="0" applyFont="1" applyFill="1" applyBorder="1">
      <alignment vertical="center"/>
    </xf>
    <xf numFmtId="0" fontId="5" fillId="0" borderId="126" xfId="0" applyFont="1" applyFill="1" applyBorder="1">
      <alignment vertical="center"/>
    </xf>
    <xf numFmtId="0" fontId="5" fillId="0" borderId="181" xfId="0" applyFont="1" applyFill="1" applyBorder="1">
      <alignment vertical="center"/>
    </xf>
    <xf numFmtId="0" fontId="34" fillId="0" borderId="25" xfId="0" applyFont="1" applyFill="1" applyBorder="1" applyAlignment="1">
      <alignment horizontal="center" vertical="center" wrapText="1" shrinkToFit="1"/>
    </xf>
    <xf numFmtId="0" fontId="5" fillId="23" borderId="92" xfId="0" applyFont="1" applyFill="1" applyBorder="1" applyAlignment="1">
      <alignment horizontal="right" vertical="center"/>
    </xf>
    <xf numFmtId="0" fontId="34" fillId="16" borderId="27" xfId="0" applyFont="1" applyFill="1" applyBorder="1" applyAlignment="1">
      <alignment horizontal="center" vertical="center" shrinkToFit="1"/>
    </xf>
    <xf numFmtId="0" fontId="27" fillId="16" borderId="27" xfId="0" applyFont="1" applyFill="1" applyBorder="1" applyAlignment="1">
      <alignment horizontal="left" vertical="center" shrinkToFit="1"/>
    </xf>
    <xf numFmtId="167" fontId="27" fillId="16" borderId="2" xfId="0" applyNumberFormat="1" applyFont="1" applyFill="1" applyBorder="1" applyAlignment="1">
      <alignment horizontal="center" vertical="center" shrinkToFit="1"/>
    </xf>
    <xf numFmtId="0" fontId="27" fillId="4" borderId="2" xfId="0" applyFont="1" applyFill="1" applyBorder="1" applyAlignment="1">
      <alignment vertical="center" shrinkToFit="1"/>
    </xf>
    <xf numFmtId="167" fontId="27" fillId="0" borderId="2" xfId="0" applyNumberFormat="1" applyFont="1" applyFill="1" applyBorder="1" applyAlignment="1">
      <alignment horizontal="center" vertical="center" wrapText="1" shrinkToFit="1"/>
    </xf>
    <xf numFmtId="0" fontId="34" fillId="19" borderId="17" xfId="0" applyFont="1" applyFill="1" applyBorder="1" applyAlignment="1">
      <alignment horizontal="left" vertical="center" shrinkToFit="1"/>
    </xf>
    <xf numFmtId="0" fontId="5" fillId="23" borderId="9" xfId="0" applyFont="1" applyFill="1" applyBorder="1">
      <alignment vertical="center"/>
    </xf>
    <xf numFmtId="0" fontId="27" fillId="16" borderId="0" xfId="0" applyFont="1" applyFill="1" applyAlignment="1">
      <alignment horizontal="center" vertical="center"/>
    </xf>
    <xf numFmtId="165" fontId="27" fillId="14" borderId="2" xfId="0" applyNumberFormat="1" applyFont="1" applyFill="1" applyBorder="1" applyAlignment="1">
      <alignment horizontal="center" vertical="center" wrapText="1" shrinkToFit="1"/>
    </xf>
    <xf numFmtId="164" fontId="27" fillId="4" borderId="10" xfId="0" applyNumberFormat="1" applyFont="1" applyFill="1" applyBorder="1" applyAlignment="1">
      <alignment horizontal="center" vertical="center" shrinkToFit="1"/>
    </xf>
    <xf numFmtId="164" fontId="27" fillId="15" borderId="24" xfId="0" applyNumberFormat="1" applyFont="1" applyFill="1" applyBorder="1" applyAlignment="1">
      <alignment horizontal="center" vertical="center" shrinkToFit="1"/>
    </xf>
    <xf numFmtId="0" fontId="27" fillId="4" borderId="58" xfId="0" applyFont="1" applyFill="1" applyBorder="1" applyAlignment="1">
      <alignment vertical="center" shrinkToFit="1"/>
    </xf>
    <xf numFmtId="0" fontId="27" fillId="4" borderId="2" xfId="0" applyFont="1" applyFill="1" applyBorder="1" applyAlignment="1">
      <alignment horizontal="left" vertical="center" shrinkToFit="1"/>
    </xf>
    <xf numFmtId="0" fontId="5" fillId="22" borderId="97" xfId="0" applyFont="1" applyFill="1" applyBorder="1">
      <alignment vertical="center"/>
    </xf>
    <xf numFmtId="20" fontId="5" fillId="22" borderId="41" xfId="0" applyNumberFormat="1" applyFont="1" applyFill="1" applyBorder="1">
      <alignment vertical="center"/>
    </xf>
    <xf numFmtId="0" fontId="27" fillId="4" borderId="10" xfId="0" applyFont="1" applyFill="1" applyBorder="1" applyAlignment="1">
      <alignment horizontal="left" vertical="center" shrinkToFit="1"/>
    </xf>
    <xf numFmtId="0" fontId="27" fillId="0" borderId="2" xfId="0" applyFont="1" applyFill="1" applyBorder="1" applyAlignment="1">
      <alignment horizontal="left" vertical="center" shrinkToFit="1"/>
    </xf>
    <xf numFmtId="0" fontId="27" fillId="0" borderId="10" xfId="0" applyFont="1" applyFill="1" applyBorder="1" applyAlignment="1">
      <alignment horizontal="left" vertical="center" shrinkToFit="1"/>
    </xf>
    <xf numFmtId="0" fontId="0" fillId="22" borderId="220" xfId="0" applyFont="1" applyFill="1" applyBorder="1" applyAlignment="1">
      <alignment horizontal="left" vertical="center" shrinkToFit="1"/>
    </xf>
    <xf numFmtId="0" fontId="5" fillId="22" borderId="274" xfId="0" applyFont="1" applyFill="1" applyBorder="1" applyAlignment="1">
      <alignment horizontal="center" vertical="center"/>
    </xf>
    <xf numFmtId="0" fontId="5" fillId="22" borderId="275" xfId="0" applyFont="1" applyFill="1" applyBorder="1" applyAlignment="1">
      <alignment horizontal="center" vertical="center"/>
    </xf>
    <xf numFmtId="0" fontId="5" fillId="22" borderId="266" xfId="0" applyFont="1" applyFill="1" applyBorder="1">
      <alignment vertical="center"/>
    </xf>
    <xf numFmtId="0" fontId="5" fillId="22" borderId="268" xfId="0" applyFont="1" applyFill="1" applyBorder="1">
      <alignment vertical="center"/>
    </xf>
    <xf numFmtId="0" fontId="5" fillId="22" borderId="269" xfId="0" applyFont="1" applyFill="1" applyBorder="1">
      <alignment vertical="center"/>
    </xf>
    <xf numFmtId="0" fontId="5" fillId="22" borderId="267" xfId="0" applyFont="1" applyFill="1" applyBorder="1">
      <alignment vertical="center"/>
    </xf>
    <xf numFmtId="0" fontId="5" fillId="22" borderId="265" xfId="0" applyFont="1" applyFill="1" applyBorder="1">
      <alignment vertical="center"/>
    </xf>
    <xf numFmtId="0" fontId="5" fillId="22" borderId="270" xfId="0" applyFont="1" applyFill="1" applyBorder="1">
      <alignment vertical="center"/>
    </xf>
    <xf numFmtId="20" fontId="5" fillId="22" borderId="266" xfId="0" applyNumberFormat="1" applyFont="1" applyFill="1" applyBorder="1">
      <alignment vertical="center"/>
    </xf>
    <xf numFmtId="0" fontId="5" fillId="22" borderId="269" xfId="0" applyFont="1" applyFill="1" applyBorder="1" applyAlignment="1">
      <alignment horizontal="right" vertical="center"/>
    </xf>
    <xf numFmtId="0" fontId="5" fillId="17" borderId="224" xfId="0" applyNumberFormat="1" applyFont="1" applyFill="1" applyBorder="1" applyAlignment="1">
      <alignment horizontal="center" vertical="center" shrinkToFit="1"/>
    </xf>
    <xf numFmtId="171" fontId="27" fillId="0" borderId="3" xfId="0" applyNumberFormat="1" applyFont="1" applyFill="1" applyBorder="1" applyAlignment="1">
      <alignment horizontal="left" vertical="center" shrinkToFit="1"/>
    </xf>
    <xf numFmtId="0" fontId="0" fillId="29" borderId="0" xfId="0" applyFont="1" applyFill="1">
      <alignment vertical="center"/>
    </xf>
    <xf numFmtId="0" fontId="5" fillId="29" borderId="0" xfId="0" applyFont="1" applyFill="1">
      <alignment vertical="center"/>
    </xf>
    <xf numFmtId="0" fontId="0" fillId="29" borderId="180" xfId="0" applyFont="1" applyFill="1" applyBorder="1">
      <alignment vertical="center"/>
    </xf>
    <xf numFmtId="0" fontId="5" fillId="29" borderId="103" xfId="0" applyFont="1" applyFill="1" applyBorder="1">
      <alignment vertical="center"/>
    </xf>
    <xf numFmtId="0" fontId="0" fillId="29" borderId="103" xfId="0" applyFont="1" applyFill="1" applyBorder="1">
      <alignment vertical="center"/>
    </xf>
    <xf numFmtId="0" fontId="0" fillId="29" borderId="36" xfId="0" applyFont="1" applyFill="1" applyBorder="1">
      <alignment vertical="center"/>
    </xf>
    <xf numFmtId="0" fontId="0" fillId="29" borderId="126" xfId="0" applyFont="1" applyFill="1" applyBorder="1">
      <alignment vertical="center"/>
    </xf>
    <xf numFmtId="0" fontId="0" fillId="29" borderId="0" xfId="0" applyFont="1" applyFill="1" applyBorder="1">
      <alignment vertical="center"/>
    </xf>
    <xf numFmtId="0" fontId="5" fillId="29" borderId="0" xfId="0" applyFont="1" applyFill="1" applyBorder="1">
      <alignment vertical="center"/>
    </xf>
    <xf numFmtId="0" fontId="5" fillId="29" borderId="213" xfId="0" applyFont="1" applyFill="1" applyBorder="1">
      <alignment vertical="center"/>
    </xf>
    <xf numFmtId="0" fontId="0" fillId="29" borderId="213" xfId="0" applyFont="1" applyFill="1" applyBorder="1">
      <alignment vertical="center"/>
    </xf>
    <xf numFmtId="0" fontId="0" fillId="29" borderId="181" xfId="0" applyFont="1" applyFill="1" applyBorder="1">
      <alignment vertical="center"/>
    </xf>
    <xf numFmtId="0" fontId="5" fillId="29" borderId="132" xfId="0" applyFont="1" applyFill="1" applyBorder="1">
      <alignment vertical="center"/>
    </xf>
    <xf numFmtId="0" fontId="0" fillId="29" borderId="132" xfId="0" applyFont="1" applyFill="1" applyBorder="1">
      <alignment vertical="center"/>
    </xf>
    <xf numFmtId="0" fontId="0" fillId="29" borderId="37" xfId="0" applyFont="1" applyFill="1" applyBorder="1">
      <alignment vertical="center"/>
    </xf>
    <xf numFmtId="0" fontId="34" fillId="29" borderId="0" xfId="0" applyFont="1" applyFill="1" applyBorder="1">
      <alignment vertical="center"/>
    </xf>
    <xf numFmtId="0" fontId="5" fillId="17" borderId="92" xfId="0" applyFont="1" applyFill="1" applyBorder="1" applyAlignment="1">
      <alignment horizontal="right" vertical="center"/>
    </xf>
    <xf numFmtId="164" fontId="27" fillId="15" borderId="10" xfId="0" applyNumberFormat="1" applyFont="1" applyFill="1" applyBorder="1" applyAlignment="1">
      <alignment horizontal="center" vertical="center" shrinkToFit="1"/>
    </xf>
    <xf numFmtId="171" fontId="27" fillId="0" borderId="3" xfId="0" applyNumberFormat="1" applyFont="1" applyFill="1" applyBorder="1" applyAlignment="1">
      <alignment horizontal="center" vertical="center" wrapText="1" shrinkToFit="1"/>
    </xf>
    <xf numFmtId="164" fontId="27" fillId="31" borderId="10" xfId="0" applyNumberFormat="1" applyFont="1" applyFill="1" applyBorder="1" applyAlignment="1">
      <alignment horizontal="center" vertical="center" shrinkToFit="1"/>
    </xf>
    <xf numFmtId="164" fontId="27" fillId="31" borderId="27" xfId="0" applyNumberFormat="1" applyFont="1" applyFill="1" applyBorder="1" applyAlignment="1">
      <alignment horizontal="center" vertical="center" shrinkToFit="1"/>
    </xf>
    <xf numFmtId="0" fontId="26" fillId="16" borderId="89" xfId="0" applyFont="1" applyFill="1" applyBorder="1">
      <alignment vertical="center"/>
    </xf>
    <xf numFmtId="0" fontId="26" fillId="16" borderId="208" xfId="0" applyFont="1" applyFill="1" applyBorder="1" applyAlignment="1">
      <alignment horizontal="center" vertical="center"/>
    </xf>
    <xf numFmtId="0" fontId="5" fillId="22" borderId="61" xfId="0" applyFont="1" applyFill="1" applyBorder="1" applyAlignment="1">
      <alignment horizontal="right" vertical="center"/>
    </xf>
    <xf numFmtId="165" fontId="27" fillId="0" borderId="28" xfId="0" applyNumberFormat="1" applyFont="1" applyFill="1" applyBorder="1" applyAlignment="1">
      <alignment horizontal="center" vertical="center" shrinkToFit="1"/>
    </xf>
    <xf numFmtId="0" fontId="5" fillId="22" borderId="109" xfId="0" applyFont="1" applyFill="1" applyBorder="1" applyAlignment="1">
      <alignment horizontal="center" vertical="center"/>
    </xf>
    <xf numFmtId="0" fontId="5" fillId="22" borderId="123" xfId="0" applyFont="1" applyFill="1" applyBorder="1" applyAlignment="1">
      <alignment horizontal="center" vertical="center"/>
    </xf>
    <xf numFmtId="0" fontId="5" fillId="22" borderId="223" xfId="0" applyNumberFormat="1" applyFont="1" applyFill="1" applyBorder="1" applyAlignment="1">
      <alignment horizontal="center" vertical="center" shrinkToFit="1"/>
    </xf>
    <xf numFmtId="0" fontId="5" fillId="22" borderId="40" xfId="0" applyFont="1" applyFill="1" applyBorder="1">
      <alignment vertical="center"/>
    </xf>
    <xf numFmtId="0" fontId="5" fillId="22" borderId="114" xfId="0" applyFont="1" applyFill="1" applyBorder="1">
      <alignment vertical="center"/>
    </xf>
    <xf numFmtId="0" fontId="5" fillId="22" borderId="112" xfId="0" applyFont="1" applyFill="1" applyBorder="1">
      <alignment vertical="center"/>
    </xf>
    <xf numFmtId="0" fontId="5" fillId="22" borderId="114" xfId="0" applyFont="1" applyFill="1" applyBorder="1" applyAlignment="1">
      <alignment vertical="top"/>
    </xf>
    <xf numFmtId="0" fontId="5" fillId="22" borderId="113" xfId="0" applyFont="1" applyFill="1" applyBorder="1" applyAlignment="1">
      <alignment horizontal="right" vertical="center"/>
    </xf>
    <xf numFmtId="0" fontId="5" fillId="22" borderId="227" xfId="0" applyFont="1" applyFill="1" applyBorder="1">
      <alignment vertical="center"/>
    </xf>
    <xf numFmtId="0" fontId="5" fillId="30" borderId="41" xfId="0" applyFont="1" applyFill="1" applyBorder="1">
      <alignment vertical="center"/>
    </xf>
    <xf numFmtId="0" fontId="26" fillId="0" borderId="0" xfId="0" applyFont="1" applyFill="1" applyAlignment="1">
      <alignment horizontal="center" vertical="center"/>
    </xf>
    <xf numFmtId="0" fontId="26" fillId="0" borderId="0" xfId="0" applyFont="1" applyFill="1">
      <alignment vertical="center"/>
    </xf>
    <xf numFmtId="0" fontId="49" fillId="0" borderId="0" xfId="0" applyFont="1" applyFill="1" applyAlignment="1">
      <alignment horizontal="left" vertical="center"/>
    </xf>
    <xf numFmtId="0" fontId="26" fillId="0" borderId="103" xfId="0" applyFont="1" applyFill="1" applyBorder="1" applyAlignment="1">
      <alignment horizontal="center" vertical="center"/>
    </xf>
    <xf numFmtId="0" fontId="26" fillId="0" borderId="315" xfId="0" applyFont="1" applyFill="1" applyBorder="1" applyAlignment="1">
      <alignment horizontal="center" vertical="center"/>
    </xf>
    <xf numFmtId="0" fontId="26" fillId="0" borderId="64" xfId="0" applyFont="1" applyFill="1" applyBorder="1" applyAlignment="1">
      <alignment horizontal="center" vertical="center"/>
    </xf>
    <xf numFmtId="0" fontId="26" fillId="0" borderId="326" xfId="0" applyFont="1" applyFill="1" applyBorder="1" applyAlignment="1">
      <alignment horizontal="center" vertical="center"/>
    </xf>
    <xf numFmtId="0" fontId="26" fillId="0" borderId="316" xfId="0" applyFont="1" applyFill="1" applyBorder="1" applyAlignment="1">
      <alignment horizontal="center" vertical="center"/>
    </xf>
    <xf numFmtId="0" fontId="26" fillId="0" borderId="132" xfId="0" applyFont="1" applyFill="1" applyBorder="1" applyAlignment="1">
      <alignment horizontal="center" vertical="center"/>
    </xf>
    <xf numFmtId="0" fontId="26" fillId="0" borderId="81" xfId="0" applyFont="1" applyFill="1" applyBorder="1" applyAlignment="1">
      <alignment horizontal="left" vertical="center"/>
    </xf>
    <xf numFmtId="0" fontId="26" fillId="0" borderId="80" xfId="0" applyFont="1" applyFill="1" applyBorder="1" applyAlignment="1">
      <alignment horizontal="right" vertical="center" shrinkToFit="1"/>
    </xf>
    <xf numFmtId="0" fontId="26" fillId="0" borderId="81" xfId="0" applyFont="1" applyFill="1" applyBorder="1" applyAlignment="1">
      <alignment horizontal="right" vertical="center" shrinkToFit="1"/>
    </xf>
    <xf numFmtId="0" fontId="26" fillId="0" borderId="82" xfId="0" applyFont="1" applyFill="1" applyBorder="1" applyAlignment="1">
      <alignment horizontal="left" vertical="center"/>
    </xf>
    <xf numFmtId="0" fontId="26" fillId="0" borderId="130" xfId="0" applyFont="1" applyFill="1" applyBorder="1" applyAlignment="1">
      <alignment horizontal="left" vertical="center"/>
    </xf>
    <xf numFmtId="0" fontId="26" fillId="22" borderId="84" xfId="0" applyFont="1" applyFill="1" applyBorder="1">
      <alignment vertical="center"/>
    </xf>
    <xf numFmtId="0" fontId="26" fillId="22" borderId="85" xfId="0" applyFont="1" applyFill="1" applyBorder="1">
      <alignment vertical="center"/>
    </xf>
    <xf numFmtId="0" fontId="26" fillId="22" borderId="86" xfId="0" applyFont="1" applyFill="1" applyBorder="1">
      <alignment vertical="center"/>
    </xf>
    <xf numFmtId="0" fontId="26" fillId="22" borderId="87" xfId="0" applyFont="1" applyFill="1" applyBorder="1">
      <alignment vertical="center"/>
    </xf>
    <xf numFmtId="0" fontId="26" fillId="22" borderId="9" xfId="0" applyFont="1" applyFill="1" applyBorder="1">
      <alignment vertical="center"/>
    </xf>
    <xf numFmtId="0" fontId="26" fillId="22" borderId="41" xfId="0" applyFont="1" applyFill="1" applyBorder="1">
      <alignment vertical="center"/>
    </xf>
    <xf numFmtId="0" fontId="26" fillId="22" borderId="61" xfId="0" applyFont="1" applyFill="1" applyBorder="1">
      <alignment vertical="center"/>
    </xf>
    <xf numFmtId="0" fontId="26" fillId="22" borderId="88" xfId="0" applyFont="1" applyFill="1" applyBorder="1">
      <alignment vertical="center"/>
    </xf>
    <xf numFmtId="0" fontId="26" fillId="22" borderId="89" xfId="0" applyFont="1" applyFill="1" applyBorder="1">
      <alignment vertical="center"/>
    </xf>
    <xf numFmtId="0" fontId="26" fillId="0" borderId="41" xfId="0" applyFont="1" applyFill="1" applyBorder="1">
      <alignment vertical="center"/>
    </xf>
    <xf numFmtId="0" fontId="26" fillId="0" borderId="61" xfId="0" applyFont="1" applyFill="1" applyBorder="1">
      <alignment vertical="center"/>
    </xf>
    <xf numFmtId="0" fontId="26" fillId="0" borderId="88" xfId="0" applyFont="1" applyFill="1" applyBorder="1">
      <alignment vertical="center"/>
    </xf>
    <xf numFmtId="0" fontId="26" fillId="0" borderId="9" xfId="0" applyFont="1" applyFill="1" applyBorder="1">
      <alignment vertical="center"/>
    </xf>
    <xf numFmtId="0" fontId="26" fillId="0" borderId="88" xfId="0" applyFont="1" applyFill="1" applyBorder="1" applyAlignment="1">
      <alignment horizontal="right" vertical="center"/>
    </xf>
    <xf numFmtId="0" fontId="26" fillId="22" borderId="88" xfId="0" applyFont="1" applyFill="1" applyBorder="1" applyAlignment="1">
      <alignment horizontal="right" vertical="center"/>
    </xf>
    <xf numFmtId="0" fontId="26" fillId="17" borderId="315" xfId="0" applyNumberFormat="1" applyFont="1" applyFill="1" applyBorder="1" applyAlignment="1">
      <alignment horizontal="center" vertical="center" shrinkToFit="1"/>
    </xf>
    <xf numFmtId="0" fontId="26" fillId="17" borderId="297" xfId="0" applyNumberFormat="1" applyFont="1" applyFill="1" applyBorder="1" applyAlignment="1">
      <alignment horizontal="center" vertical="center" shrinkToFit="1"/>
    </xf>
    <xf numFmtId="0" fontId="26" fillId="17" borderId="316" xfId="0" applyNumberFormat="1" applyFont="1" applyFill="1" applyBorder="1" applyAlignment="1">
      <alignment horizontal="center" vertical="center" shrinkToFit="1"/>
    </xf>
    <xf numFmtId="0" fontId="26" fillId="17" borderId="91" xfId="0" applyFont="1" applyFill="1" applyBorder="1">
      <alignment vertical="center"/>
    </xf>
    <xf numFmtId="0" fontId="26" fillId="17" borderId="64" xfId="0" applyFont="1" applyFill="1" applyBorder="1">
      <alignment vertical="center"/>
    </xf>
    <xf numFmtId="0" fontId="26" fillId="17" borderId="92" xfId="0" applyFont="1" applyFill="1" applyBorder="1">
      <alignment vertical="center"/>
    </xf>
    <xf numFmtId="0" fontId="26" fillId="17" borderId="93" xfId="0" applyFont="1" applyFill="1" applyBorder="1">
      <alignment vertical="center"/>
    </xf>
    <xf numFmtId="0" fontId="26" fillId="17" borderId="90" xfId="0" applyFont="1" applyFill="1" applyBorder="1">
      <alignment vertical="center"/>
    </xf>
    <xf numFmtId="0" fontId="26" fillId="17" borderId="210" xfId="0" applyFont="1" applyFill="1" applyBorder="1">
      <alignment vertical="center"/>
    </xf>
    <xf numFmtId="20" fontId="26" fillId="17" borderId="91" xfId="0" applyNumberFormat="1" applyFont="1" applyFill="1" applyBorder="1">
      <alignment vertical="center"/>
    </xf>
    <xf numFmtId="0" fontId="26" fillId="22" borderId="263" xfId="0" applyFont="1" applyFill="1" applyBorder="1" applyAlignment="1">
      <alignment horizontal="center" vertical="center"/>
    </xf>
    <xf numFmtId="0" fontId="26" fillId="22" borderId="263" xfId="0" applyNumberFormat="1" applyFont="1" applyFill="1" applyBorder="1" applyAlignment="1">
      <alignment horizontal="left" vertical="center" shrinkToFit="1"/>
    </xf>
    <xf numFmtId="0" fontId="26" fillId="22" borderId="323" xfId="0" applyNumberFormat="1" applyFont="1" applyFill="1" applyBorder="1" applyAlignment="1">
      <alignment horizontal="center" vertical="center" shrinkToFit="1"/>
    </xf>
    <xf numFmtId="0" fontId="26" fillId="22" borderId="266" xfId="0" applyFont="1" applyFill="1" applyBorder="1">
      <alignment vertical="center"/>
    </xf>
    <xf numFmtId="0" fontId="26" fillId="22" borderId="263" xfId="0" applyNumberFormat="1" applyFont="1" applyFill="1" applyBorder="1" applyAlignment="1">
      <alignment horizontal="center" vertical="center" shrinkToFit="1"/>
    </xf>
    <xf numFmtId="0" fontId="26" fillId="22" borderId="270" xfId="0" applyNumberFormat="1" applyFont="1" applyFill="1" applyBorder="1" applyAlignment="1">
      <alignment horizontal="center" vertical="center" shrinkToFit="1"/>
    </xf>
    <xf numFmtId="0" fontId="26" fillId="22" borderId="302" xfId="0" applyNumberFormat="1" applyFont="1" applyFill="1" applyBorder="1" applyAlignment="1">
      <alignment horizontal="center" vertical="center" shrinkToFit="1"/>
    </xf>
    <xf numFmtId="0" fontId="26" fillId="22" borderId="308" xfId="0" applyNumberFormat="1" applyFont="1" applyFill="1" applyBorder="1" applyAlignment="1">
      <alignment horizontal="center" vertical="center" shrinkToFit="1"/>
    </xf>
    <xf numFmtId="0" fontId="26" fillId="22" borderId="268" xfId="0" applyFont="1" applyFill="1" applyBorder="1">
      <alignment vertical="center"/>
    </xf>
    <xf numFmtId="0" fontId="26" fillId="22" borderId="269" xfId="0" applyFont="1" applyFill="1" applyBorder="1" applyAlignment="1">
      <alignment horizontal="right" vertical="center"/>
    </xf>
    <xf numFmtId="0" fontId="26" fillId="22" borderId="267" xfId="0" applyFont="1" applyFill="1" applyBorder="1">
      <alignment vertical="center"/>
    </xf>
    <xf numFmtId="0" fontId="26" fillId="22" borderId="313" xfId="0" applyFont="1" applyFill="1" applyBorder="1" applyAlignment="1">
      <alignment horizontal="center" vertical="center"/>
    </xf>
    <xf numFmtId="0" fontId="26" fillId="22" borderId="314" xfId="0" applyNumberFormat="1" applyFont="1" applyFill="1" applyBorder="1" applyAlignment="1">
      <alignment horizontal="center" vertical="center" shrinkToFit="1"/>
    </xf>
    <xf numFmtId="0" fontId="26" fillId="22" borderId="97" xfId="0" applyFont="1" applyFill="1" applyBorder="1">
      <alignment vertical="center"/>
    </xf>
    <xf numFmtId="20" fontId="26" fillId="22" borderId="41" xfId="0" applyNumberFormat="1" applyFont="1" applyFill="1" applyBorder="1">
      <alignment vertical="center"/>
    </xf>
    <xf numFmtId="0" fontId="26" fillId="17" borderId="208" xfId="0" applyNumberFormat="1" applyFont="1" applyFill="1" applyBorder="1" applyAlignment="1">
      <alignment horizontal="center" vertical="center" shrinkToFit="1"/>
    </xf>
    <xf numFmtId="0" fontId="26" fillId="17" borderId="97" xfId="0" applyNumberFormat="1" applyFont="1" applyFill="1" applyBorder="1" applyAlignment="1">
      <alignment horizontal="center" vertical="center" shrinkToFit="1"/>
    </xf>
    <xf numFmtId="0" fontId="26" fillId="17" borderId="296" xfId="0" applyNumberFormat="1" applyFont="1" applyFill="1" applyBorder="1" applyAlignment="1">
      <alignment horizontal="center" vertical="center" shrinkToFit="1"/>
    </xf>
    <xf numFmtId="0" fontId="26" fillId="17" borderId="314" xfId="0" applyNumberFormat="1" applyFont="1" applyFill="1" applyBorder="1" applyAlignment="1">
      <alignment horizontal="center" vertical="center" shrinkToFit="1"/>
    </xf>
    <xf numFmtId="0" fontId="26" fillId="17" borderId="89" xfId="0" applyFont="1" applyFill="1" applyBorder="1">
      <alignment vertical="center"/>
    </xf>
    <xf numFmtId="0" fontId="26" fillId="17" borderId="41" xfId="0" applyFont="1" applyFill="1" applyBorder="1">
      <alignment vertical="center"/>
    </xf>
    <xf numFmtId="0" fontId="26" fillId="17" borderId="61" xfId="0" applyFont="1" applyFill="1" applyBorder="1">
      <alignment vertical="center"/>
    </xf>
    <xf numFmtId="0" fontId="26" fillId="17" borderId="88" xfId="0" applyFont="1" applyFill="1" applyBorder="1">
      <alignment vertical="center"/>
    </xf>
    <xf numFmtId="0" fontId="26" fillId="17" borderId="88" xfId="0" applyFont="1" applyFill="1" applyBorder="1" applyAlignment="1">
      <alignment horizontal="right" vertical="center"/>
    </xf>
    <xf numFmtId="0" fontId="26" fillId="0" borderId="91" xfId="0" applyFont="1" applyFill="1" applyBorder="1">
      <alignment vertical="center"/>
    </xf>
    <xf numFmtId="0" fontId="26" fillId="17" borderId="92" xfId="0" applyFont="1" applyFill="1" applyBorder="1" applyAlignment="1">
      <alignment horizontal="right" vertical="center"/>
    </xf>
    <xf numFmtId="0" fontId="26" fillId="17" borderId="304" xfId="0" applyFont="1" applyFill="1" applyBorder="1" applyAlignment="1">
      <alignment horizontal="center" vertical="center"/>
    </xf>
    <xf numFmtId="0" fontId="26" fillId="17" borderId="304" xfId="0" applyNumberFormat="1" applyFont="1" applyFill="1" applyBorder="1" applyAlignment="1">
      <alignment horizontal="left" vertical="center" shrinkToFit="1"/>
    </xf>
    <xf numFmtId="0" fontId="26" fillId="17" borderId="311" xfId="0" applyFont="1" applyFill="1" applyBorder="1" applyAlignment="1">
      <alignment horizontal="center" vertical="center"/>
    </xf>
    <xf numFmtId="0" fontId="26" fillId="17" borderId="312" xfId="0" applyNumberFormat="1" applyFont="1" applyFill="1" applyBorder="1" applyAlignment="1">
      <alignment horizontal="center" vertical="center" shrinkToFit="1"/>
    </xf>
    <xf numFmtId="0" fontId="26" fillId="17" borderId="85" xfId="0" applyFont="1" applyFill="1" applyBorder="1">
      <alignment vertical="center"/>
    </xf>
    <xf numFmtId="0" fontId="26" fillId="17" borderId="311" xfId="0" applyNumberFormat="1" applyFont="1" applyFill="1" applyBorder="1" applyAlignment="1">
      <alignment horizontal="center" vertical="center" shrinkToFit="1"/>
    </xf>
    <xf numFmtId="0" fontId="26" fillId="17" borderId="305" xfId="0" applyNumberFormat="1" applyFont="1" applyFill="1" applyBorder="1" applyAlignment="1">
      <alignment horizontal="center" vertical="center" shrinkToFit="1"/>
    </xf>
    <xf numFmtId="0" fontId="26" fillId="17" borderId="84" xfId="0" applyFont="1" applyFill="1" applyBorder="1">
      <alignment vertical="center"/>
    </xf>
    <xf numFmtId="0" fontId="26" fillId="17" borderId="86" xfId="0" applyFont="1" applyFill="1" applyBorder="1">
      <alignment vertical="center"/>
    </xf>
    <xf numFmtId="0" fontId="26" fillId="17" borderId="87" xfId="0" applyFont="1" applyFill="1" applyBorder="1">
      <alignment vertical="center"/>
    </xf>
    <xf numFmtId="0" fontId="26" fillId="17" borderId="83" xfId="0" applyFont="1" applyFill="1" applyBorder="1">
      <alignment vertical="center"/>
    </xf>
    <xf numFmtId="0" fontId="26" fillId="17" borderId="212" xfId="0" applyFont="1" applyFill="1" applyBorder="1">
      <alignment vertical="center"/>
    </xf>
    <xf numFmtId="20" fontId="26" fillId="17" borderId="84" xfId="0" applyNumberFormat="1" applyFont="1" applyFill="1" applyBorder="1">
      <alignment vertical="center"/>
    </xf>
    <xf numFmtId="0" fontId="26" fillId="17" borderId="294" xfId="0" applyFont="1" applyFill="1" applyBorder="1">
      <alignment vertical="center"/>
    </xf>
    <xf numFmtId="0" fontId="26" fillId="17" borderId="103" xfId="0" applyFont="1" applyFill="1" applyBorder="1">
      <alignment vertical="center"/>
    </xf>
    <xf numFmtId="0" fontId="26" fillId="17" borderId="292" xfId="0" applyFont="1" applyFill="1" applyBorder="1">
      <alignment vertical="center"/>
    </xf>
    <xf numFmtId="0" fontId="26" fillId="17" borderId="293" xfId="0" applyFont="1" applyFill="1" applyBorder="1">
      <alignment vertical="center"/>
    </xf>
    <xf numFmtId="0" fontId="26" fillId="17" borderId="303" xfId="0" applyFont="1" applyFill="1" applyBorder="1" applyAlignment="1">
      <alignment horizontal="center" vertical="center"/>
    </xf>
    <xf numFmtId="0" fontId="26" fillId="17" borderId="303" xfId="0" applyNumberFormat="1" applyFont="1" applyFill="1" applyBorder="1" applyAlignment="1">
      <alignment horizontal="left" vertical="center" shrinkToFit="1"/>
    </xf>
    <xf numFmtId="0" fontId="26" fillId="17" borderId="315" xfId="0" applyFont="1" applyFill="1" applyBorder="1" applyAlignment="1">
      <alignment horizontal="center" vertical="center"/>
    </xf>
    <xf numFmtId="0" fontId="26" fillId="17" borderId="63" xfId="0" applyFont="1" applyFill="1" applyBorder="1">
      <alignment vertical="center"/>
    </xf>
    <xf numFmtId="0" fontId="26" fillId="17" borderId="262" xfId="0" applyNumberFormat="1" applyFont="1" applyFill="1" applyBorder="1" applyAlignment="1">
      <alignment horizontal="center" vertical="center" shrinkToFit="1"/>
    </xf>
    <xf numFmtId="0" fontId="26" fillId="17" borderId="108" xfId="0" applyNumberFormat="1" applyFont="1" applyFill="1" applyBorder="1" applyAlignment="1">
      <alignment horizontal="center" vertical="center" shrinkToFit="1"/>
    </xf>
    <xf numFmtId="0" fontId="26" fillId="17" borderId="62" xfId="0" applyNumberFormat="1" applyFont="1" applyFill="1" applyBorder="1" applyAlignment="1">
      <alignment horizontal="center" vertical="center" shrinkToFit="1"/>
    </xf>
    <xf numFmtId="0" fontId="26" fillId="17" borderId="320" xfId="0" applyNumberFormat="1" applyFont="1" applyFill="1" applyBorder="1" applyAlignment="1">
      <alignment horizontal="center" vertical="center" shrinkToFit="1"/>
    </xf>
    <xf numFmtId="0" fontId="26" fillId="17" borderId="304" xfId="0" applyNumberFormat="1" applyFont="1" applyFill="1" applyBorder="1" applyAlignment="1">
      <alignment horizontal="center" vertical="center" shrinkToFit="1"/>
    </xf>
    <xf numFmtId="0" fontId="26" fillId="17" borderId="212" xfId="0" applyNumberFormat="1" applyFont="1" applyFill="1" applyBorder="1" applyAlignment="1">
      <alignment horizontal="center" vertical="center" shrinkToFit="1"/>
    </xf>
    <xf numFmtId="0" fontId="26" fillId="17" borderId="86" xfId="0" applyFont="1" applyFill="1" applyBorder="1" applyAlignment="1">
      <alignment horizontal="right" vertical="center"/>
    </xf>
    <xf numFmtId="0" fontId="26" fillId="17" borderId="208" xfId="0" applyFont="1" applyFill="1" applyBorder="1" applyAlignment="1">
      <alignment horizontal="center" vertical="center"/>
    </xf>
    <xf numFmtId="0" fontId="26" fillId="17" borderId="208" xfId="0" applyNumberFormat="1" applyFont="1" applyFill="1" applyBorder="1" applyAlignment="1">
      <alignment horizontal="left" vertical="center" shrinkToFit="1"/>
    </xf>
    <xf numFmtId="0" fontId="26" fillId="17" borderId="313" xfId="0" applyFont="1" applyFill="1" applyBorder="1" applyAlignment="1">
      <alignment horizontal="center" vertical="center"/>
    </xf>
    <xf numFmtId="0" fontId="26" fillId="17" borderId="313" xfId="0" applyNumberFormat="1" applyFont="1" applyFill="1" applyBorder="1" applyAlignment="1">
      <alignment horizontal="center" vertical="center" shrinkToFit="1"/>
    </xf>
    <xf numFmtId="0" fontId="26" fillId="0" borderId="97" xfId="0" applyFont="1" applyFill="1" applyBorder="1">
      <alignment vertical="center"/>
    </xf>
    <xf numFmtId="20" fontId="26" fillId="0" borderId="41" xfId="0" applyNumberFormat="1" applyFont="1" applyFill="1" applyBorder="1">
      <alignment vertical="center"/>
    </xf>
    <xf numFmtId="0" fontId="26" fillId="17" borderId="303" xfId="0" applyNumberFormat="1" applyFont="1" applyFill="1" applyBorder="1" applyAlignment="1">
      <alignment horizontal="center" vertical="center" shrinkToFit="1"/>
    </xf>
    <xf numFmtId="0" fontId="26" fillId="17" borderId="210" xfId="0" applyNumberFormat="1" applyFont="1" applyFill="1" applyBorder="1" applyAlignment="1">
      <alignment horizontal="center" vertical="center" shrinkToFit="1"/>
    </xf>
    <xf numFmtId="0" fontId="26" fillId="0" borderId="64" xfId="0" applyFont="1" applyFill="1" applyBorder="1">
      <alignment vertical="center"/>
    </xf>
    <xf numFmtId="0" fontId="26" fillId="0" borderId="92" xfId="0" applyFont="1" applyFill="1" applyBorder="1">
      <alignment vertical="center"/>
    </xf>
    <xf numFmtId="0" fontId="26" fillId="0" borderId="93" xfId="0" applyFont="1" applyFill="1" applyBorder="1">
      <alignment vertical="center"/>
    </xf>
    <xf numFmtId="0" fontId="26" fillId="0" borderId="90" xfId="0" applyFont="1" applyFill="1" applyBorder="1">
      <alignment vertical="center"/>
    </xf>
    <xf numFmtId="0" fontId="26" fillId="0" borderId="210" xfId="0" applyFont="1" applyFill="1" applyBorder="1">
      <alignment vertical="center"/>
    </xf>
    <xf numFmtId="20" fontId="26" fillId="0" borderId="91" xfId="0" applyNumberFormat="1" applyFont="1" applyFill="1" applyBorder="1">
      <alignment vertical="center"/>
    </xf>
    <xf numFmtId="0" fontId="26" fillId="22" borderId="274" xfId="0" applyFont="1" applyFill="1" applyBorder="1" applyAlignment="1">
      <alignment horizontal="center" vertical="center"/>
    </xf>
    <xf numFmtId="0" fontId="26" fillId="22" borderId="308" xfId="0" applyFont="1" applyFill="1" applyBorder="1" applyAlignment="1">
      <alignment horizontal="center" vertical="center"/>
    </xf>
    <xf numFmtId="0" fontId="26" fillId="22" borderId="268" xfId="0" applyFont="1" applyFill="1" applyBorder="1" applyAlignment="1">
      <alignment horizontal="left" vertical="center"/>
    </xf>
    <xf numFmtId="0" fontId="26" fillId="22" borderId="269" xfId="0" applyFont="1" applyFill="1" applyBorder="1">
      <alignment vertical="center"/>
    </xf>
    <xf numFmtId="0" fontId="26" fillId="22" borderId="265" xfId="0" applyFont="1" applyFill="1" applyBorder="1">
      <alignment vertical="center"/>
    </xf>
    <xf numFmtId="0" fontId="26" fillId="22" borderId="270" xfId="0" applyFont="1" applyFill="1" applyBorder="1">
      <alignment vertical="center"/>
    </xf>
    <xf numFmtId="20" fontId="26" fillId="22" borderId="266" xfId="0" applyNumberFormat="1" applyFont="1" applyFill="1" applyBorder="1">
      <alignment vertical="center"/>
    </xf>
    <xf numFmtId="0" fontId="26" fillId="17" borderId="85" xfId="0" applyFont="1" applyFill="1" applyBorder="1" applyAlignment="1">
      <alignment horizontal="left" vertical="center"/>
    </xf>
    <xf numFmtId="0" fontId="26" fillId="17" borderId="9" xfId="0" applyFont="1" applyFill="1" applyBorder="1">
      <alignment vertical="center"/>
    </xf>
    <xf numFmtId="0" fontId="26" fillId="17" borderId="97" xfId="0" applyFont="1" applyFill="1" applyBorder="1">
      <alignment vertical="center"/>
    </xf>
    <xf numFmtId="20" fontId="26" fillId="17" borderId="41" xfId="0" applyNumberFormat="1" applyFont="1" applyFill="1" applyBorder="1">
      <alignment vertical="center"/>
    </xf>
    <xf numFmtId="0" fontId="26" fillId="17" borderId="41" xfId="0" applyFont="1" applyFill="1" applyBorder="1" applyAlignment="1">
      <alignment vertical="top"/>
    </xf>
    <xf numFmtId="0" fontId="26" fillId="17" borderId="89" xfId="0" applyFont="1" applyFill="1" applyBorder="1" applyAlignment="1">
      <alignment vertical="top"/>
    </xf>
    <xf numFmtId="0" fontId="26" fillId="17" borderId="61" xfId="0" applyFont="1" applyFill="1" applyBorder="1" applyAlignment="1">
      <alignment horizontal="left" vertical="center"/>
    </xf>
    <xf numFmtId="0" fontId="26" fillId="17" borderId="64" xfId="0" applyFont="1" applyFill="1" applyBorder="1" applyAlignment="1">
      <alignment horizontal="left" vertical="center"/>
    </xf>
    <xf numFmtId="0" fontId="26" fillId="23" borderId="274" xfId="0" applyFont="1" applyFill="1" applyBorder="1" applyAlignment="1">
      <alignment horizontal="center" vertical="center"/>
    </xf>
    <xf numFmtId="0" fontId="26" fillId="23" borderId="263" xfId="0" applyFont="1" applyFill="1" applyBorder="1" applyAlignment="1">
      <alignment horizontal="center" vertical="center"/>
    </xf>
    <xf numFmtId="0" fontId="26" fillId="23" borderId="263" xfId="0" applyNumberFormat="1" applyFont="1" applyFill="1" applyBorder="1" applyAlignment="1">
      <alignment horizontal="left" vertical="center" shrinkToFit="1"/>
    </xf>
    <xf numFmtId="0" fontId="26" fillId="23" borderId="308" xfId="0" applyFont="1" applyFill="1" applyBorder="1" applyAlignment="1">
      <alignment horizontal="center" vertical="center"/>
    </xf>
    <xf numFmtId="0" fontId="26" fillId="23" borderId="323" xfId="0" applyNumberFormat="1" applyFont="1" applyFill="1" applyBorder="1" applyAlignment="1">
      <alignment horizontal="center" vertical="center" shrinkToFit="1"/>
    </xf>
    <xf numFmtId="0" fontId="26" fillId="23" borderId="323" xfId="0" applyFont="1" applyFill="1" applyBorder="1" applyAlignment="1">
      <alignment horizontal="left" vertical="center"/>
    </xf>
    <xf numFmtId="0" fontId="26" fillId="23" borderId="303" xfId="0" applyNumberFormat="1" applyFont="1" applyFill="1" applyBorder="1" applyAlignment="1">
      <alignment horizontal="center" vertical="center" shrinkToFit="1"/>
    </xf>
    <xf numFmtId="0" fontId="26" fillId="23" borderId="210" xfId="0" applyNumberFormat="1" applyFont="1" applyFill="1" applyBorder="1" applyAlignment="1">
      <alignment horizontal="center" vertical="center" shrinkToFit="1"/>
    </xf>
    <xf numFmtId="0" fontId="26" fillId="23" borderId="297" xfId="0" applyNumberFormat="1" applyFont="1" applyFill="1" applyBorder="1" applyAlignment="1">
      <alignment horizontal="center" vertical="center" shrinkToFit="1"/>
    </xf>
    <xf numFmtId="0" fontId="26" fillId="23" borderId="316" xfId="0" applyNumberFormat="1" applyFont="1" applyFill="1" applyBorder="1" applyAlignment="1">
      <alignment horizontal="center" vertical="center" shrinkToFit="1"/>
    </xf>
    <xf numFmtId="0" fontId="26" fillId="23" borderId="315" xfId="0" applyNumberFormat="1" applyFont="1" applyFill="1" applyBorder="1" applyAlignment="1">
      <alignment horizontal="center" vertical="center" shrinkToFit="1"/>
    </xf>
    <xf numFmtId="0" fontId="26" fillId="23" borderId="91" xfId="0" applyFont="1" applyFill="1" applyBorder="1">
      <alignment vertical="center"/>
    </xf>
    <xf numFmtId="20" fontId="26" fillId="23" borderId="91" xfId="0" applyNumberFormat="1" applyFont="1" applyFill="1" applyBorder="1">
      <alignment vertical="center"/>
    </xf>
    <xf numFmtId="0" fontId="26" fillId="23" borderId="93" xfId="0" applyFont="1" applyFill="1" applyBorder="1">
      <alignment vertical="center"/>
    </xf>
    <xf numFmtId="0" fontId="26" fillId="23" borderId="64" xfId="0" applyFont="1" applyFill="1" applyBorder="1">
      <alignment vertical="center"/>
    </xf>
    <xf numFmtId="0" fontId="26" fillId="23" borderId="92" xfId="0" applyFont="1" applyFill="1" applyBorder="1">
      <alignment vertical="center"/>
    </xf>
    <xf numFmtId="0" fontId="26" fillId="23" borderId="92" xfId="0" applyFont="1" applyFill="1" applyBorder="1" applyAlignment="1">
      <alignment horizontal="right" vertical="center"/>
    </xf>
    <xf numFmtId="0" fontId="26" fillId="0" borderId="0" xfId="0" applyFont="1" applyFill="1" applyAlignment="1">
      <alignment horizontal="right" vertical="center"/>
    </xf>
    <xf numFmtId="0" fontId="49" fillId="0" borderId="132" xfId="0" applyFont="1" applyFill="1" applyBorder="1" applyAlignment="1">
      <alignment horizontal="left" vertical="center"/>
    </xf>
    <xf numFmtId="0" fontId="26" fillId="0" borderId="132" xfId="0" applyFont="1" applyFill="1" applyBorder="1">
      <alignment vertical="center"/>
    </xf>
    <xf numFmtId="0" fontId="26" fillId="16" borderId="304" xfId="0" applyFont="1" applyFill="1" applyBorder="1" applyAlignment="1">
      <alignment horizontal="center" vertical="center"/>
    </xf>
    <xf numFmtId="0" fontId="26" fillId="16" borderId="304" xfId="0" applyNumberFormat="1" applyFont="1" applyFill="1" applyBorder="1" applyAlignment="1">
      <alignment horizontal="left" vertical="center" shrinkToFit="1"/>
    </xf>
    <xf numFmtId="0" fontId="26" fillId="23" borderId="318" xfId="0" applyNumberFormat="1" applyFont="1" applyFill="1" applyBorder="1" applyAlignment="1">
      <alignment horizontal="center" vertical="center" shrinkToFit="1"/>
    </xf>
    <xf numFmtId="0" fontId="26" fillId="23" borderId="317" xfId="0" applyNumberFormat="1" applyFont="1" applyFill="1" applyBorder="1" applyAlignment="1">
      <alignment horizontal="center" vertical="center" shrinkToFit="1"/>
    </xf>
    <xf numFmtId="0" fontId="26" fillId="23" borderId="65" xfId="0" applyNumberFormat="1" applyFont="1" applyFill="1" applyBorder="1" applyAlignment="1">
      <alignment horizontal="center" vertical="center" shrinkToFit="1"/>
    </xf>
    <xf numFmtId="0" fontId="26" fillId="16" borderId="87" xfId="0" applyFont="1" applyFill="1" applyBorder="1">
      <alignment vertical="center"/>
    </xf>
    <xf numFmtId="0" fontId="26" fillId="16" borderId="84" xfId="0" applyFont="1" applyFill="1" applyBorder="1">
      <alignment vertical="center"/>
    </xf>
    <xf numFmtId="0" fontId="26" fillId="16" borderId="85" xfId="0" applyFont="1" applyFill="1" applyBorder="1">
      <alignment vertical="center"/>
    </xf>
    <xf numFmtId="0" fontId="26" fillId="16" borderId="86" xfId="0" applyFont="1" applyFill="1" applyBorder="1">
      <alignment vertical="center"/>
    </xf>
    <xf numFmtId="0" fontId="26" fillId="23" borderId="311" xfId="0" applyNumberFormat="1" applyFont="1" applyFill="1" applyBorder="1" applyAlignment="1">
      <alignment horizontal="center" vertical="center" shrinkToFit="1"/>
    </xf>
    <xf numFmtId="0" fontId="26" fillId="23" borderId="305" xfId="0" applyNumberFormat="1" applyFont="1" applyFill="1" applyBorder="1" applyAlignment="1">
      <alignment horizontal="center" vertical="center" shrinkToFit="1"/>
    </xf>
    <xf numFmtId="0" fontId="26" fillId="23" borderId="312" xfId="0" applyNumberFormat="1" applyFont="1" applyFill="1" applyBorder="1" applyAlignment="1">
      <alignment horizontal="center" vertical="center" shrinkToFit="1"/>
    </xf>
    <xf numFmtId="0" fontId="26" fillId="16" borderId="41" xfId="0" applyFont="1" applyFill="1" applyBorder="1">
      <alignment vertical="center"/>
    </xf>
    <xf numFmtId="0" fontId="26" fillId="16" borderId="61" xfId="0" applyFont="1" applyFill="1" applyBorder="1">
      <alignment vertical="center"/>
    </xf>
    <xf numFmtId="0" fontId="26" fillId="16" borderId="88" xfId="0" applyFont="1" applyFill="1" applyBorder="1">
      <alignment vertical="center"/>
    </xf>
    <xf numFmtId="0" fontId="26" fillId="16" borderId="9" xfId="0" applyFont="1" applyFill="1" applyBorder="1">
      <alignment vertical="center"/>
    </xf>
    <xf numFmtId="0" fontId="26" fillId="16" borderId="97" xfId="0" applyFont="1" applyFill="1" applyBorder="1">
      <alignment vertical="center"/>
    </xf>
    <xf numFmtId="0" fontId="26" fillId="16" borderId="313" xfId="0" applyNumberFormat="1" applyFont="1" applyFill="1" applyBorder="1" applyAlignment="1">
      <alignment horizontal="center" vertical="center" shrinkToFit="1"/>
    </xf>
    <xf numFmtId="0" fontId="26" fillId="16" borderId="314" xfId="0" applyNumberFormat="1" applyFont="1" applyFill="1" applyBorder="1" applyAlignment="1">
      <alignment horizontal="center" vertical="center" shrinkToFit="1"/>
    </xf>
    <xf numFmtId="0" fontId="26" fillId="16" borderId="88" xfId="0" applyFont="1" applyFill="1" applyBorder="1" applyAlignment="1">
      <alignment horizontal="right" vertical="center"/>
    </xf>
    <xf numFmtId="20" fontId="26" fillId="16" borderId="41" xfId="0" applyNumberFormat="1" applyFont="1" applyFill="1" applyBorder="1">
      <alignment vertical="center"/>
    </xf>
    <xf numFmtId="0" fontId="26" fillId="16" borderId="208" xfId="0" applyNumberFormat="1" applyFont="1" applyFill="1" applyBorder="1" applyAlignment="1">
      <alignment horizontal="left" vertical="center" shrinkToFit="1"/>
    </xf>
    <xf numFmtId="0" fontId="26" fillId="23" borderId="208" xfId="0" applyFont="1" applyFill="1" applyBorder="1" applyAlignment="1">
      <alignment horizontal="center" vertical="center"/>
    </xf>
    <xf numFmtId="0" fontId="26" fillId="23" borderId="208" xfId="0" applyNumberFormat="1" applyFont="1" applyFill="1" applyBorder="1" applyAlignment="1">
      <alignment horizontal="left" vertical="center" shrinkToFit="1"/>
    </xf>
    <xf numFmtId="0" fontId="26" fillId="23" borderId="311" xfId="0" applyFont="1" applyFill="1" applyBorder="1" applyAlignment="1">
      <alignment horizontal="center" vertical="center"/>
    </xf>
    <xf numFmtId="0" fontId="26" fillId="23" borderId="61" xfId="0" applyFont="1" applyFill="1" applyBorder="1" applyAlignment="1">
      <alignment horizontal="left" vertical="center"/>
    </xf>
    <xf numFmtId="0" fontId="26" fillId="23" borderId="208" xfId="0" applyNumberFormat="1" applyFont="1" applyFill="1" applyBorder="1" applyAlignment="1">
      <alignment horizontal="center" vertical="center" shrinkToFit="1"/>
    </xf>
    <xf numFmtId="0" fontId="26" fillId="23" borderId="97" xfId="0" applyNumberFormat="1" applyFont="1" applyFill="1" applyBorder="1" applyAlignment="1">
      <alignment horizontal="center" vertical="center" shrinkToFit="1"/>
    </xf>
    <xf numFmtId="0" fontId="26" fillId="23" borderId="296" xfId="0" applyNumberFormat="1" applyFont="1" applyFill="1" applyBorder="1" applyAlignment="1">
      <alignment horizontal="center" vertical="center" shrinkToFit="1"/>
    </xf>
    <xf numFmtId="0" fontId="26" fillId="23" borderId="314" xfId="0" applyNumberFormat="1" applyFont="1" applyFill="1" applyBorder="1" applyAlignment="1">
      <alignment horizontal="center" vertical="center" shrinkToFit="1"/>
    </xf>
    <xf numFmtId="0" fontId="26" fillId="23" borderId="313" xfId="0" applyNumberFormat="1" applyFont="1" applyFill="1" applyBorder="1" applyAlignment="1">
      <alignment horizontal="center" vertical="center" shrinkToFit="1"/>
    </xf>
    <xf numFmtId="0" fontId="26" fillId="23" borderId="41" xfId="0" applyFont="1" applyFill="1" applyBorder="1">
      <alignment vertical="center"/>
    </xf>
    <xf numFmtId="0" fontId="26" fillId="23" borderId="61" xfId="0" applyFont="1" applyFill="1" applyBorder="1">
      <alignment vertical="center"/>
    </xf>
    <xf numFmtId="0" fontId="26" fillId="23" borderId="88" xfId="0" applyFont="1" applyFill="1" applyBorder="1">
      <alignment vertical="center"/>
    </xf>
    <xf numFmtId="0" fontId="26" fillId="23" borderId="89" xfId="0" applyFont="1" applyFill="1" applyBorder="1">
      <alignment vertical="center"/>
    </xf>
    <xf numFmtId="0" fontId="26" fillId="23" borderId="9" xfId="0" applyFont="1" applyFill="1" applyBorder="1">
      <alignment vertical="center"/>
    </xf>
    <xf numFmtId="0" fontId="26" fillId="23" borderId="97" xfId="0" applyFont="1" applyFill="1" applyBorder="1">
      <alignment vertical="center"/>
    </xf>
    <xf numFmtId="20" fontId="26" fillId="23" borderId="41" xfId="0" applyNumberFormat="1" applyFont="1" applyFill="1" applyBorder="1">
      <alignment vertical="center"/>
    </xf>
    <xf numFmtId="0" fontId="26" fillId="23" borderId="88" xfId="0" applyFont="1" applyFill="1" applyBorder="1" applyAlignment="1">
      <alignment horizontal="right" vertical="center"/>
    </xf>
    <xf numFmtId="0" fontId="26" fillId="23" borderId="262" xfId="0" applyFont="1" applyFill="1" applyBorder="1" applyAlignment="1">
      <alignment horizontal="center" vertical="center"/>
    </xf>
    <xf numFmtId="0" fontId="26" fillId="23" borderId="262" xfId="0" applyNumberFormat="1" applyFont="1" applyFill="1" applyBorder="1" applyAlignment="1">
      <alignment horizontal="left" vertical="center" shrinkToFit="1"/>
    </xf>
    <xf numFmtId="0" fontId="26" fillId="23" borderId="315" xfId="0" applyFont="1" applyFill="1" applyBorder="1" applyAlignment="1">
      <alignment horizontal="center" vertical="center"/>
    </xf>
    <xf numFmtId="0" fontId="26" fillId="23" borderId="63" xfId="0" applyFont="1" applyFill="1" applyBorder="1" applyAlignment="1">
      <alignment horizontal="left" vertical="center"/>
    </xf>
    <xf numFmtId="0" fontId="26" fillId="23" borderId="320" xfId="0" applyNumberFormat="1" applyFont="1" applyFill="1" applyBorder="1" applyAlignment="1">
      <alignment horizontal="center" vertical="center" shrinkToFit="1"/>
    </xf>
    <xf numFmtId="0" fontId="26" fillId="23" borderId="319" xfId="0" applyNumberFormat="1" applyFont="1" applyFill="1" applyBorder="1" applyAlignment="1">
      <alignment horizontal="center" vertical="center" shrinkToFit="1"/>
    </xf>
    <xf numFmtId="0" fontId="26" fillId="23" borderId="62" xfId="0" applyNumberFormat="1" applyFont="1" applyFill="1" applyBorder="1" applyAlignment="1">
      <alignment horizontal="center" vertical="center" shrinkToFit="1"/>
    </xf>
    <xf numFmtId="0" fontId="26" fillId="23" borderId="304" xfId="0" applyFont="1" applyFill="1" applyBorder="1" applyAlignment="1">
      <alignment horizontal="center" vertical="center"/>
    </xf>
    <xf numFmtId="0" fontId="26" fillId="23" borderId="304" xfId="0" applyNumberFormat="1" applyFont="1" applyFill="1" applyBorder="1" applyAlignment="1">
      <alignment horizontal="left" vertical="center" shrinkToFit="1"/>
    </xf>
    <xf numFmtId="0" fontId="26" fillId="23" borderId="85" xfId="0" applyFont="1" applyFill="1" applyBorder="1" applyAlignment="1">
      <alignment horizontal="left" vertical="center"/>
    </xf>
    <xf numFmtId="0" fontId="26" fillId="23" borderId="304" xfId="0" applyNumberFormat="1" applyFont="1" applyFill="1" applyBorder="1" applyAlignment="1">
      <alignment horizontal="center" vertical="center" shrinkToFit="1"/>
    </xf>
    <xf numFmtId="0" fontId="26" fillId="23" borderId="212" xfId="0" applyNumberFormat="1" applyFont="1" applyFill="1" applyBorder="1" applyAlignment="1">
      <alignment horizontal="center" vertical="center" shrinkToFit="1"/>
    </xf>
    <xf numFmtId="0" fontId="26" fillId="23" borderId="84" xfId="0" applyNumberFormat="1" applyFont="1" applyFill="1" applyBorder="1" applyAlignment="1">
      <alignment horizontal="left" vertical="center" shrinkToFit="1"/>
    </xf>
    <xf numFmtId="0" fontId="26" fillId="23" borderId="84" xfId="0" applyFont="1" applyFill="1" applyBorder="1">
      <alignment vertical="center"/>
    </xf>
    <xf numFmtId="0" fontId="26" fillId="23" borderId="85" xfId="0" applyFont="1" applyFill="1" applyBorder="1">
      <alignment vertical="center"/>
    </xf>
    <xf numFmtId="0" fontId="26" fillId="23" borderId="86" xfId="0" applyFont="1" applyFill="1" applyBorder="1">
      <alignment vertical="center"/>
    </xf>
    <xf numFmtId="0" fontId="26" fillId="23" borderId="87" xfId="0" applyFont="1" applyFill="1" applyBorder="1">
      <alignment vertical="center"/>
    </xf>
    <xf numFmtId="0" fontId="26" fillId="23" borderId="83" xfId="0" applyFont="1" applyFill="1" applyBorder="1">
      <alignment vertical="center"/>
    </xf>
    <xf numFmtId="0" fontId="26" fillId="23" borderId="212" xfId="0" applyFont="1" applyFill="1" applyBorder="1">
      <alignment vertical="center"/>
    </xf>
    <xf numFmtId="20" fontId="26" fillId="23" borderId="84" xfId="0" applyNumberFormat="1" applyFont="1" applyFill="1" applyBorder="1">
      <alignment vertical="center"/>
    </xf>
    <xf numFmtId="0" fontId="26" fillId="23" borderId="86" xfId="0" applyFont="1" applyFill="1" applyBorder="1" applyAlignment="1">
      <alignment horizontal="right" vertical="center"/>
    </xf>
    <xf numFmtId="0" fontId="26" fillId="23" borderId="313" xfId="0" applyFont="1" applyFill="1" applyBorder="1" applyAlignment="1">
      <alignment horizontal="center" vertical="center"/>
    </xf>
    <xf numFmtId="0" fontId="26" fillId="23" borderId="41" xfId="0" applyNumberFormat="1" applyFont="1" applyFill="1" applyBorder="1" applyAlignment="1">
      <alignment horizontal="left" vertical="center" shrinkToFit="1"/>
    </xf>
    <xf numFmtId="0" fontId="26" fillId="23" borderId="209" xfId="0" applyFont="1" applyFill="1" applyBorder="1">
      <alignment vertical="center"/>
    </xf>
    <xf numFmtId="0" fontId="26" fillId="23" borderId="303" xfId="0" applyFont="1" applyFill="1" applyBorder="1" applyAlignment="1">
      <alignment horizontal="center" vertical="center"/>
    </xf>
    <xf numFmtId="0" fontId="26" fillId="23" borderId="303" xfId="0" applyNumberFormat="1" applyFont="1" applyFill="1" applyBorder="1" applyAlignment="1">
      <alignment horizontal="left" vertical="center" shrinkToFit="1"/>
    </xf>
    <xf numFmtId="0" fontId="26" fillId="23" borderId="64" xfId="0" applyFont="1" applyFill="1" applyBorder="1" applyAlignment="1">
      <alignment horizontal="left" vertical="center"/>
    </xf>
    <xf numFmtId="0" fontId="26" fillId="23" borderId="90" xfId="0" applyFont="1" applyFill="1" applyBorder="1">
      <alignment vertical="center"/>
    </xf>
    <xf numFmtId="0" fontId="26" fillId="23" borderId="210" xfId="0" applyFont="1" applyFill="1" applyBorder="1">
      <alignment vertical="center"/>
    </xf>
    <xf numFmtId="0" fontId="26" fillId="23" borderId="312" xfId="0" applyFont="1" applyFill="1" applyBorder="1" applyAlignment="1">
      <alignment horizontal="left" vertical="center"/>
    </xf>
    <xf numFmtId="0" fontId="26" fillId="23" borderId="314" xfId="0" applyFont="1" applyFill="1" applyBorder="1" applyAlignment="1">
      <alignment horizontal="left" vertical="center"/>
    </xf>
    <xf numFmtId="0" fontId="26" fillId="23" borderId="321" xfId="0" applyFont="1" applyFill="1" applyBorder="1" applyAlignment="1">
      <alignment horizontal="center" vertical="center"/>
    </xf>
    <xf numFmtId="0" fontId="26" fillId="23" borderId="322" xfId="0" applyNumberFormat="1" applyFont="1" applyFill="1" applyBorder="1" applyAlignment="1">
      <alignment horizontal="center" vertical="center" shrinkToFit="1"/>
    </xf>
    <xf numFmtId="0" fontId="26" fillId="23" borderId="322" xfId="0" applyFont="1" applyFill="1" applyBorder="1" applyAlignment="1">
      <alignment horizontal="left" vertical="center"/>
    </xf>
    <xf numFmtId="0" fontId="26" fillId="23" borderId="262" xfId="0" applyNumberFormat="1" applyFont="1" applyFill="1" applyBorder="1" applyAlignment="1">
      <alignment horizontal="center" vertical="center" shrinkToFit="1"/>
    </xf>
    <xf numFmtId="0" fontId="26" fillId="23" borderId="108" xfId="0" applyNumberFormat="1" applyFont="1" applyFill="1" applyBorder="1" applyAlignment="1">
      <alignment horizontal="center" vertical="center" shrinkToFit="1"/>
    </xf>
    <xf numFmtId="0" fontId="26" fillId="23" borderId="331" xfId="0" applyFont="1" applyFill="1" applyBorder="1" applyAlignment="1">
      <alignment horizontal="center" vertical="center"/>
    </xf>
    <xf numFmtId="0" fontId="26" fillId="23" borderId="317" xfId="0" applyFont="1" applyFill="1" applyBorder="1" applyAlignment="1">
      <alignment horizontal="center" vertical="center"/>
    </xf>
    <xf numFmtId="0" fontId="26" fillId="23" borderId="66" xfId="0" applyFont="1" applyFill="1" applyBorder="1" applyAlignment="1">
      <alignment horizontal="left" vertical="center"/>
    </xf>
    <xf numFmtId="0" fontId="26" fillId="23" borderId="331" xfId="0" applyNumberFormat="1" applyFont="1" applyFill="1" applyBorder="1" applyAlignment="1">
      <alignment horizontal="center" vertical="center" shrinkToFit="1"/>
    </xf>
    <xf numFmtId="0" fontId="26" fillId="23" borderId="128" xfId="0" applyNumberFormat="1" applyFont="1" applyFill="1" applyBorder="1" applyAlignment="1">
      <alignment horizontal="center" vertical="center" shrinkToFit="1"/>
    </xf>
    <xf numFmtId="0" fontId="26" fillId="23" borderId="332" xfId="0" applyNumberFormat="1" applyFont="1" applyFill="1" applyBorder="1" applyAlignment="1">
      <alignment horizontal="center" vertical="center" shrinkToFit="1"/>
    </xf>
    <xf numFmtId="0" fontId="26" fillId="23" borderId="333" xfId="0" applyNumberFormat="1" applyFont="1" applyFill="1" applyBorder="1" applyAlignment="1">
      <alignment horizontal="center" vertical="center" shrinkToFit="1"/>
    </xf>
    <xf numFmtId="0" fontId="26" fillId="23" borderId="334" xfId="0" applyNumberFormat="1" applyFont="1" applyFill="1" applyBorder="1" applyAlignment="1">
      <alignment horizontal="center" vertical="center" shrinkToFit="1"/>
    </xf>
    <xf numFmtId="0" fontId="26" fillId="23" borderId="40" xfId="0" applyFont="1" applyFill="1" applyBorder="1">
      <alignment vertical="center"/>
    </xf>
    <xf numFmtId="0" fontId="26" fillId="23" borderId="112" xfId="0" applyFont="1" applyFill="1" applyBorder="1">
      <alignment vertical="center"/>
    </xf>
    <xf numFmtId="0" fontId="26" fillId="23" borderId="113" xfId="0" applyFont="1" applyFill="1" applyBorder="1">
      <alignment vertical="center"/>
    </xf>
    <xf numFmtId="0" fontId="26" fillId="23" borderId="114" xfId="0" applyFont="1" applyFill="1" applyBorder="1">
      <alignment vertical="center"/>
    </xf>
    <xf numFmtId="0" fontId="26" fillId="23" borderId="39" xfId="0" applyFont="1" applyFill="1" applyBorder="1">
      <alignment vertical="center"/>
    </xf>
    <xf numFmtId="0" fontId="26" fillId="23" borderId="128" xfId="0" applyFont="1" applyFill="1" applyBorder="1">
      <alignment vertical="center"/>
    </xf>
    <xf numFmtId="20" fontId="26" fillId="23" borderId="40" xfId="0" applyNumberFormat="1" applyFont="1" applyFill="1" applyBorder="1">
      <alignment vertical="center"/>
    </xf>
    <xf numFmtId="0" fontId="26" fillId="23" borderId="227" xfId="0" applyFont="1" applyFill="1" applyBorder="1">
      <alignment vertical="center"/>
    </xf>
    <xf numFmtId="0" fontId="26" fillId="23" borderId="113" xfId="0" applyFont="1" applyFill="1" applyBorder="1" applyAlignment="1">
      <alignment horizontal="right" vertical="center"/>
    </xf>
    <xf numFmtId="0" fontId="26" fillId="16" borderId="311" xfId="0" applyFont="1" applyFill="1" applyBorder="1" applyAlignment="1">
      <alignment horizontal="center" vertical="center"/>
    </xf>
    <xf numFmtId="0" fontId="26" fillId="16" borderId="312" xfId="0" applyNumberFormat="1" applyFont="1" applyFill="1" applyBorder="1" applyAlignment="1">
      <alignment horizontal="center" vertical="center" shrinkToFit="1"/>
    </xf>
    <xf numFmtId="0" fontId="26" fillId="16" borderId="85" xfId="0" applyFont="1" applyFill="1" applyBorder="1" applyAlignment="1">
      <alignment horizontal="left" vertical="center"/>
    </xf>
    <xf numFmtId="0" fontId="26" fillId="16" borderId="304" xfId="0" applyNumberFormat="1" applyFont="1" applyFill="1" applyBorder="1" applyAlignment="1">
      <alignment horizontal="center" vertical="center" shrinkToFit="1"/>
    </xf>
    <xf numFmtId="0" fontId="26" fillId="16" borderId="212" xfId="0" applyNumberFormat="1" applyFont="1" applyFill="1" applyBorder="1" applyAlignment="1">
      <alignment horizontal="center" vertical="center" shrinkToFit="1"/>
    </xf>
    <xf numFmtId="0" fontId="26" fillId="16" borderId="305" xfId="0" applyNumberFormat="1" applyFont="1" applyFill="1" applyBorder="1" applyAlignment="1">
      <alignment horizontal="center" vertical="center" shrinkToFit="1"/>
    </xf>
    <xf numFmtId="0" fontId="26" fillId="16" borderId="311" xfId="0" applyNumberFormat="1" applyFont="1" applyFill="1" applyBorder="1" applyAlignment="1">
      <alignment horizontal="center" vertical="center" shrinkToFit="1"/>
    </xf>
    <xf numFmtId="0" fontId="26" fillId="16" borderId="83" xfId="0" applyFont="1" applyFill="1" applyBorder="1">
      <alignment vertical="center"/>
    </xf>
    <xf numFmtId="0" fontId="26" fillId="16" borderId="212" xfId="0" applyFont="1" applyFill="1" applyBorder="1">
      <alignment vertical="center"/>
    </xf>
    <xf numFmtId="20" fontId="26" fillId="16" borderId="84" xfId="0" applyNumberFormat="1" applyFont="1" applyFill="1" applyBorder="1">
      <alignment vertical="center"/>
    </xf>
    <xf numFmtId="0" fontId="26" fillId="16" borderId="313" xfId="0" applyFont="1" applyFill="1" applyBorder="1" applyAlignment="1">
      <alignment horizontal="center" vertical="center"/>
    </xf>
    <xf numFmtId="0" fontId="26" fillId="16" borderId="61" xfId="0" applyFont="1" applyFill="1" applyBorder="1" applyAlignment="1">
      <alignment horizontal="left" vertical="center"/>
    </xf>
    <xf numFmtId="0" fontId="26" fillId="16" borderId="208" xfId="0" applyNumberFormat="1" applyFont="1" applyFill="1" applyBorder="1" applyAlignment="1">
      <alignment horizontal="center" vertical="center" shrinkToFit="1"/>
    </xf>
    <xf numFmtId="0" fontId="26" fillId="16" borderId="97" xfId="0" applyNumberFormat="1" applyFont="1" applyFill="1" applyBorder="1" applyAlignment="1">
      <alignment horizontal="center" vertical="center" shrinkToFit="1"/>
    </xf>
    <xf numFmtId="0" fontId="26" fillId="16" borderId="296" xfId="0" applyNumberFormat="1" applyFont="1" applyFill="1" applyBorder="1" applyAlignment="1">
      <alignment horizontal="center" vertical="center" shrinkToFit="1"/>
    </xf>
    <xf numFmtId="0" fontId="26" fillId="16" borderId="303" xfId="0" applyFont="1" applyFill="1" applyBorder="1" applyAlignment="1">
      <alignment horizontal="center" vertical="center"/>
    </xf>
    <xf numFmtId="0" fontId="26" fillId="16" borderId="303" xfId="0" applyNumberFormat="1" applyFont="1" applyFill="1" applyBorder="1" applyAlignment="1">
      <alignment horizontal="left" vertical="center" shrinkToFit="1"/>
    </xf>
    <xf numFmtId="0" fontId="26" fillId="16" borderId="315" xfId="0" applyFont="1" applyFill="1" applyBorder="1" applyAlignment="1">
      <alignment horizontal="center" vertical="center"/>
    </xf>
    <xf numFmtId="0" fontId="26" fillId="16" borderId="316" xfId="0" applyNumberFormat="1" applyFont="1" applyFill="1" applyBorder="1" applyAlignment="1">
      <alignment horizontal="center" vertical="center" shrinkToFit="1"/>
    </xf>
    <xf numFmtId="0" fontId="26" fillId="16" borderId="64" xfId="0" applyFont="1" applyFill="1" applyBorder="1" applyAlignment="1">
      <alignment horizontal="left" vertical="center"/>
    </xf>
    <xf numFmtId="0" fontId="26" fillId="16" borderId="303" xfId="0" applyNumberFormat="1" applyFont="1" applyFill="1" applyBorder="1" applyAlignment="1">
      <alignment horizontal="center" vertical="center" shrinkToFit="1"/>
    </xf>
    <xf numFmtId="0" fontId="26" fillId="16" borderId="210" xfId="0" applyNumberFormat="1" applyFont="1" applyFill="1" applyBorder="1" applyAlignment="1">
      <alignment horizontal="center" vertical="center" shrinkToFit="1"/>
    </xf>
    <xf numFmtId="0" fontId="26" fillId="16" borderId="297" xfId="0" applyNumberFormat="1" applyFont="1" applyFill="1" applyBorder="1" applyAlignment="1">
      <alignment horizontal="center" vertical="center" shrinkToFit="1"/>
    </xf>
    <xf numFmtId="0" fontId="26" fillId="16" borderId="315" xfId="0" applyNumberFormat="1" applyFont="1" applyFill="1" applyBorder="1" applyAlignment="1">
      <alignment horizontal="center" vertical="center" shrinkToFit="1"/>
    </xf>
    <xf numFmtId="0" fontId="26" fillId="16" borderId="91" xfId="0" applyFont="1" applyFill="1" applyBorder="1">
      <alignment vertical="center"/>
    </xf>
    <xf numFmtId="0" fontId="26" fillId="16" borderId="64" xfId="0" applyFont="1" applyFill="1" applyBorder="1">
      <alignment vertical="center"/>
    </xf>
    <xf numFmtId="0" fontId="26" fillId="16" borderId="92" xfId="0" applyFont="1" applyFill="1" applyBorder="1">
      <alignment vertical="center"/>
    </xf>
    <xf numFmtId="0" fontId="26" fillId="16" borderId="93" xfId="0" applyFont="1" applyFill="1" applyBorder="1">
      <alignment vertical="center"/>
    </xf>
    <xf numFmtId="0" fontId="26" fillId="16" borderId="90" xfId="0" applyFont="1" applyFill="1" applyBorder="1">
      <alignment vertical="center"/>
    </xf>
    <xf numFmtId="0" fontId="26" fillId="16" borderId="210" xfId="0" applyFont="1" applyFill="1" applyBorder="1">
      <alignment vertical="center"/>
    </xf>
    <xf numFmtId="20" fontId="26" fillId="16" borderId="91" xfId="0" applyNumberFormat="1" applyFont="1" applyFill="1" applyBorder="1">
      <alignment vertical="center"/>
    </xf>
    <xf numFmtId="0" fontId="26" fillId="23" borderId="92" xfId="0" applyFont="1" applyFill="1" applyBorder="1" applyAlignment="1">
      <alignment horizontal="left" vertical="center"/>
    </xf>
    <xf numFmtId="0" fontId="26" fillId="0" borderId="208" xfId="0" applyNumberFormat="1" applyFont="1" applyFill="1" applyBorder="1" applyAlignment="1">
      <alignment horizontal="left" vertical="center" shrinkToFit="1"/>
    </xf>
    <xf numFmtId="0" fontId="26" fillId="0" borderId="61" xfId="0" applyFont="1" applyFill="1" applyBorder="1" applyAlignment="1">
      <alignment horizontal="left" vertical="center"/>
    </xf>
    <xf numFmtId="0" fontId="26" fillId="0" borderId="208" xfId="0" applyNumberFormat="1" applyFont="1" applyFill="1" applyBorder="1" applyAlignment="1">
      <alignment horizontal="center" vertical="center" shrinkToFit="1"/>
    </xf>
    <xf numFmtId="0" fontId="26" fillId="0" borderId="97" xfId="0" applyNumberFormat="1" applyFont="1" applyFill="1" applyBorder="1" applyAlignment="1">
      <alignment horizontal="center" vertical="center" shrinkToFit="1"/>
    </xf>
    <xf numFmtId="0" fontId="26" fillId="0" borderId="296" xfId="0" applyNumberFormat="1" applyFont="1" applyFill="1" applyBorder="1" applyAlignment="1">
      <alignment horizontal="center" vertical="center" shrinkToFit="1"/>
    </xf>
    <xf numFmtId="0" fontId="26" fillId="0" borderId="314" xfId="0" applyNumberFormat="1" applyFont="1" applyFill="1" applyBorder="1" applyAlignment="1">
      <alignment horizontal="center" vertical="center" shrinkToFit="1"/>
    </xf>
    <xf numFmtId="0" fontId="26" fillId="0" borderId="313" xfId="0" applyNumberFormat="1" applyFont="1" applyFill="1" applyBorder="1" applyAlignment="1">
      <alignment horizontal="center" vertical="center" shrinkToFit="1"/>
    </xf>
    <xf numFmtId="0" fontId="26" fillId="0" borderId="306" xfId="0" applyFont="1" applyFill="1" applyBorder="1">
      <alignment vertical="center"/>
    </xf>
    <xf numFmtId="0" fontId="26" fillId="0" borderId="41" xfId="0" applyFont="1" applyFill="1" applyBorder="1" applyAlignment="1">
      <alignment horizontal="center" vertical="center"/>
    </xf>
    <xf numFmtId="0" fontId="26" fillId="18" borderId="221" xfId="0" applyNumberFormat="1" applyFont="1" applyFill="1" applyBorder="1" applyAlignment="1">
      <alignment horizontal="center" vertical="center" shrinkToFit="1"/>
    </xf>
    <xf numFmtId="0" fontId="26" fillId="18" borderId="49" xfId="0" applyFont="1" applyFill="1" applyBorder="1">
      <alignment vertical="center"/>
    </xf>
    <xf numFmtId="0" fontId="26" fillId="18" borderId="63" xfId="0" applyFont="1" applyFill="1" applyBorder="1">
      <alignment vertical="center"/>
    </xf>
    <xf numFmtId="0" fontId="26" fillId="18" borderId="94" xfId="0" applyFont="1" applyFill="1" applyBorder="1">
      <alignment vertical="center"/>
    </xf>
    <xf numFmtId="0" fontId="26" fillId="18" borderId="95" xfId="0" applyFont="1" applyFill="1" applyBorder="1">
      <alignment vertical="center"/>
    </xf>
    <xf numFmtId="0" fontId="26" fillId="18" borderId="42" xfId="0" applyFont="1" applyFill="1" applyBorder="1">
      <alignment vertical="center"/>
    </xf>
    <xf numFmtId="0" fontId="26" fillId="18" borderId="108" xfId="0" applyFont="1" applyFill="1" applyBorder="1">
      <alignment vertical="center"/>
    </xf>
    <xf numFmtId="20" fontId="26" fillId="18" borderId="49" xfId="0" applyNumberFormat="1" applyFont="1" applyFill="1" applyBorder="1">
      <alignment vertical="center"/>
    </xf>
    <xf numFmtId="0" fontId="26" fillId="18" borderId="229" xfId="0" applyFont="1" applyFill="1" applyBorder="1">
      <alignment vertical="center"/>
    </xf>
    <xf numFmtId="0" fontId="26" fillId="18" borderId="94" xfId="0" applyFont="1" applyFill="1" applyBorder="1" applyAlignment="1">
      <alignment horizontal="left" vertical="top"/>
    </xf>
    <xf numFmtId="0" fontId="26" fillId="18" borderId="94" xfId="0" applyFont="1" applyFill="1" applyBorder="1" applyAlignment="1">
      <alignment horizontal="right" vertical="center"/>
    </xf>
    <xf numFmtId="0" fontId="26" fillId="22" borderId="219" xfId="0" applyNumberFormat="1" applyFont="1" applyFill="1" applyBorder="1" applyAlignment="1">
      <alignment horizontal="center" vertical="center" shrinkToFit="1"/>
    </xf>
    <xf numFmtId="0" fontId="26" fillId="22" borderId="86" xfId="0" applyFont="1" applyFill="1" applyBorder="1" applyAlignment="1">
      <alignment horizontal="right" vertical="center"/>
    </xf>
    <xf numFmtId="0" fontId="26" fillId="22" borderId="87" xfId="0" applyFont="1" applyFill="1" applyBorder="1" applyAlignment="1">
      <alignment vertical="top"/>
    </xf>
    <xf numFmtId="0" fontId="26" fillId="22" borderId="84" xfId="0" applyFont="1" applyFill="1" applyBorder="1" applyAlignment="1">
      <alignment vertical="top"/>
    </xf>
    <xf numFmtId="0" fontId="26" fillId="22" borderId="85" xfId="0" applyFont="1" applyFill="1" applyBorder="1" applyAlignment="1">
      <alignment horizontal="left" vertical="top"/>
    </xf>
    <xf numFmtId="0" fontId="26" fillId="22" borderId="85" xfId="0" applyFont="1" applyFill="1" applyBorder="1" applyAlignment="1">
      <alignment vertical="top"/>
    </xf>
    <xf numFmtId="0" fontId="26" fillId="22" borderId="230" xfId="0" applyFont="1" applyFill="1" applyBorder="1">
      <alignment vertical="center"/>
    </xf>
    <xf numFmtId="0" fontId="26" fillId="22" borderId="212" xfId="0" applyFont="1" applyFill="1" applyBorder="1" applyAlignment="1">
      <alignment vertical="top"/>
    </xf>
    <xf numFmtId="0" fontId="26" fillId="22" borderId="86" xfId="0" applyFont="1" applyFill="1" applyBorder="1" applyAlignment="1">
      <alignment horizontal="left" vertical="top"/>
    </xf>
    <xf numFmtId="0" fontId="26" fillId="23" borderId="271" xfId="0" applyNumberFormat="1" applyFont="1" applyFill="1" applyBorder="1" applyAlignment="1">
      <alignment horizontal="left" vertical="center" shrinkToFit="1"/>
    </xf>
    <xf numFmtId="0" fontId="26" fillId="23" borderId="14" xfId="0" applyNumberFormat="1" applyFont="1" applyFill="1" applyBorder="1" applyAlignment="1">
      <alignment horizontal="left" vertical="center" shrinkToFit="1"/>
    </xf>
    <xf numFmtId="0" fontId="26" fillId="23" borderId="342" xfId="0" applyNumberFormat="1" applyFont="1" applyFill="1" applyBorder="1" applyAlignment="1">
      <alignment horizontal="left" vertical="center" shrinkToFit="1"/>
    </xf>
    <xf numFmtId="0" fontId="26" fillId="23" borderId="277" xfId="0" applyNumberFormat="1" applyFont="1" applyFill="1" applyBorder="1" applyAlignment="1">
      <alignment horizontal="left" vertical="center" shrinkToFit="1"/>
    </xf>
    <xf numFmtId="0" fontId="26" fillId="23" borderId="13" xfId="0" applyNumberFormat="1" applyFont="1" applyFill="1" applyBorder="1" applyAlignment="1">
      <alignment horizontal="left" vertical="center" shrinkToFit="1"/>
    </xf>
    <xf numFmtId="0" fontId="26" fillId="18" borderId="49" xfId="0" applyFont="1" applyFill="1" applyBorder="1" applyAlignment="1">
      <alignment horizontal="right" vertical="center"/>
    </xf>
    <xf numFmtId="0" fontId="26" fillId="23" borderId="234" xfId="0" applyFont="1" applyFill="1" applyBorder="1" applyAlignment="1">
      <alignment horizontal="center" vertical="center"/>
    </xf>
    <xf numFmtId="0" fontId="26" fillId="23" borderId="318" xfId="0" applyFont="1" applyFill="1" applyBorder="1" applyAlignment="1">
      <alignment horizontal="left" vertical="center"/>
    </xf>
    <xf numFmtId="0" fontId="26" fillId="23" borderId="234" xfId="0" applyNumberFormat="1" applyFont="1" applyFill="1" applyBorder="1" applyAlignment="1">
      <alignment horizontal="center" vertical="center" shrinkToFit="1"/>
    </xf>
    <xf numFmtId="0" fontId="26" fillId="23" borderId="100" xfId="0" applyNumberFormat="1" applyFont="1" applyFill="1" applyBorder="1" applyAlignment="1">
      <alignment horizontal="center" vertical="center" shrinkToFit="1"/>
    </xf>
    <xf numFmtId="0" fontId="26" fillId="23" borderId="88" xfId="0" applyFont="1" applyFill="1" applyBorder="1" applyAlignment="1">
      <alignment horizontal="left" vertical="center"/>
    </xf>
    <xf numFmtId="0" fontId="26" fillId="23" borderId="343" xfId="0" applyFont="1" applyFill="1" applyBorder="1" applyAlignment="1">
      <alignment horizontal="center" vertical="center"/>
    </xf>
    <xf numFmtId="0" fontId="26" fillId="23" borderId="343" xfId="0" applyNumberFormat="1" applyFont="1" applyFill="1" applyBorder="1" applyAlignment="1">
      <alignment horizontal="center" vertical="center" shrinkToFit="1"/>
    </xf>
    <xf numFmtId="0" fontId="26" fillId="23" borderId="244" xfId="0" applyNumberFormat="1" applyFont="1" applyFill="1" applyBorder="1" applyAlignment="1">
      <alignment horizontal="center" vertical="center" shrinkToFit="1"/>
    </xf>
    <xf numFmtId="0" fontId="26" fillId="23" borderId="307" xfId="0" applyNumberFormat="1" applyFont="1" applyFill="1" applyBorder="1" applyAlignment="1">
      <alignment horizontal="center" vertical="center" shrinkToFit="1"/>
    </xf>
    <xf numFmtId="0" fontId="26" fillId="23" borderId="321" xfId="0" applyNumberFormat="1" applyFont="1" applyFill="1" applyBorder="1" applyAlignment="1">
      <alignment horizontal="center" vertical="center" shrinkToFit="1"/>
    </xf>
    <xf numFmtId="0" fontId="26" fillId="23" borderId="117" xfId="0" applyFont="1" applyFill="1" applyBorder="1">
      <alignment vertical="center"/>
    </xf>
    <xf numFmtId="0" fontId="26" fillId="23" borderId="67" xfId="0" applyFont="1" applyFill="1" applyBorder="1">
      <alignment vertical="center"/>
    </xf>
    <xf numFmtId="0" fontId="26" fillId="23" borderId="118" xfId="0" applyFont="1" applyFill="1" applyBorder="1">
      <alignment vertical="center"/>
    </xf>
    <xf numFmtId="0" fontId="26" fillId="23" borderId="119" xfId="0" applyFont="1" applyFill="1" applyBorder="1">
      <alignment vertical="center"/>
    </xf>
    <xf numFmtId="0" fontId="26" fillId="23" borderId="46" xfId="0" applyFont="1" applyFill="1" applyBorder="1">
      <alignment vertical="center"/>
    </xf>
    <xf numFmtId="0" fontId="26" fillId="23" borderId="244" xfId="0" applyFont="1" applyFill="1" applyBorder="1">
      <alignment vertical="center"/>
    </xf>
    <xf numFmtId="20" fontId="26" fillId="23" borderId="117" xfId="0" applyNumberFormat="1" applyFont="1" applyFill="1" applyBorder="1">
      <alignment vertical="center"/>
    </xf>
    <xf numFmtId="0" fontId="26" fillId="23" borderId="118" xfId="0" applyFont="1" applyFill="1" applyBorder="1" applyAlignment="1">
      <alignment horizontal="right" vertical="center"/>
    </xf>
    <xf numFmtId="0" fontId="26" fillId="23" borderId="306" xfId="0" applyFont="1" applyFill="1" applyBorder="1">
      <alignment vertical="center"/>
    </xf>
    <xf numFmtId="0" fontId="26" fillId="23" borderId="319" xfId="0" applyFont="1" applyFill="1" applyBorder="1" applyAlignment="1">
      <alignment horizontal="center" vertical="center"/>
    </xf>
    <xf numFmtId="0" fontId="26" fillId="23" borderId="234" xfId="0" applyNumberFormat="1" applyFont="1" applyFill="1" applyBorder="1" applyAlignment="1">
      <alignment horizontal="left" vertical="center" shrinkToFit="1"/>
    </xf>
    <xf numFmtId="0" fontId="26" fillId="23" borderId="316" xfId="0" applyFont="1" applyFill="1" applyBorder="1" applyAlignment="1">
      <alignment horizontal="left" vertical="center"/>
    </xf>
    <xf numFmtId="0" fontId="26" fillId="23" borderId="91" xfId="0" applyNumberFormat="1" applyFont="1" applyFill="1" applyBorder="1" applyAlignment="1">
      <alignment horizontal="left" vertical="center" shrinkToFit="1"/>
    </xf>
    <xf numFmtId="0" fontId="26" fillId="22" borderId="313" xfId="0" applyFont="1" applyFill="1" applyBorder="1" applyAlignment="1">
      <alignment horizontal="center" vertical="center" shrinkToFit="1"/>
    </xf>
    <xf numFmtId="0" fontId="26" fillId="22" borderId="314" xfId="0" applyFont="1" applyFill="1" applyBorder="1" applyAlignment="1">
      <alignment horizontal="center" vertical="center" shrinkToFit="1"/>
    </xf>
    <xf numFmtId="0" fontId="26" fillId="22" borderId="327" xfId="0" applyFont="1" applyFill="1" applyBorder="1" applyAlignment="1">
      <alignment horizontal="center" vertical="center" shrinkToFit="1"/>
    </xf>
    <xf numFmtId="176" fontId="26" fillId="23" borderId="313" xfId="0" applyNumberFormat="1" applyFont="1" applyFill="1" applyBorder="1" applyAlignment="1">
      <alignment horizontal="center" vertical="center" shrinkToFit="1"/>
    </xf>
    <xf numFmtId="176" fontId="26" fillId="23" borderId="314" xfId="0" applyNumberFormat="1" applyFont="1" applyFill="1" applyBorder="1" applyAlignment="1">
      <alignment horizontal="center" vertical="center" shrinkToFit="1"/>
    </xf>
    <xf numFmtId="176" fontId="26" fillId="23" borderId="61" xfId="0" applyNumberFormat="1" applyFont="1" applyFill="1" applyBorder="1" applyAlignment="1">
      <alignment horizontal="center" vertical="center" shrinkToFit="1"/>
    </xf>
    <xf numFmtId="176" fontId="26" fillId="23" borderId="327" xfId="0" applyNumberFormat="1" applyFont="1" applyFill="1" applyBorder="1" applyAlignment="1">
      <alignment horizontal="center" vertical="center" shrinkToFit="1"/>
    </xf>
    <xf numFmtId="0" fontId="26" fillId="23" borderId="41" xfId="0" applyFont="1" applyFill="1" applyBorder="1" applyAlignment="1">
      <alignment horizontal="left" vertical="center" shrinkToFit="1"/>
    </xf>
    <xf numFmtId="176" fontId="26" fillId="23" borderId="311" xfId="0" applyNumberFormat="1" applyFont="1" applyFill="1" applyBorder="1" applyAlignment="1">
      <alignment horizontal="center" vertical="center" shrinkToFit="1"/>
    </xf>
    <xf numFmtId="176" fontId="26" fillId="23" borderId="312" xfId="0" applyNumberFormat="1" applyFont="1" applyFill="1" applyBorder="1" applyAlignment="1">
      <alignment horizontal="center" vertical="center" shrinkToFit="1"/>
    </xf>
    <xf numFmtId="176" fontId="26" fillId="23" borderId="85" xfId="0" applyNumberFormat="1" applyFont="1" applyFill="1" applyBorder="1" applyAlignment="1">
      <alignment horizontal="center" vertical="center" shrinkToFit="1"/>
    </xf>
    <xf numFmtId="176" fontId="26" fillId="23" borderId="325" xfId="0" applyNumberFormat="1" applyFont="1" applyFill="1" applyBorder="1" applyAlignment="1">
      <alignment horizontal="center" vertical="center" shrinkToFit="1"/>
    </xf>
    <xf numFmtId="0" fontId="26" fillId="23" borderId="314" xfId="0" applyFont="1" applyFill="1" applyBorder="1" applyAlignment="1">
      <alignment horizontal="center" vertical="center" shrinkToFit="1"/>
    </xf>
    <xf numFmtId="0" fontId="26" fillId="23" borderId="327" xfId="0" applyFont="1" applyFill="1" applyBorder="1" applyAlignment="1">
      <alignment horizontal="center" vertical="center" shrinkToFit="1"/>
    </xf>
    <xf numFmtId="0" fontId="26" fillId="23" borderId="61" xfId="0" applyFont="1" applyFill="1" applyBorder="1" applyAlignment="1">
      <alignment horizontal="center" vertical="center" shrinkToFit="1"/>
    </xf>
    <xf numFmtId="0" fontId="26" fillId="23" borderId="313" xfId="0" applyFont="1" applyFill="1" applyBorder="1" applyAlignment="1">
      <alignment horizontal="center" vertical="center" shrinkToFit="1"/>
    </xf>
    <xf numFmtId="176" fontId="26" fillId="23" borderId="315" xfId="0" applyNumberFormat="1" applyFont="1" applyFill="1" applyBorder="1" applyAlignment="1">
      <alignment horizontal="center" vertical="center" shrinkToFit="1"/>
    </xf>
    <xf numFmtId="176" fontId="26" fillId="23" borderId="316" xfId="0" applyNumberFormat="1" applyFont="1" applyFill="1" applyBorder="1" applyAlignment="1">
      <alignment horizontal="center" vertical="center" shrinkToFit="1"/>
    </xf>
    <xf numFmtId="0" fontId="26" fillId="23" borderId="84" xfId="0" applyFont="1" applyFill="1" applyBorder="1" applyAlignment="1">
      <alignment horizontal="left" vertical="center" shrinkToFit="1"/>
    </xf>
    <xf numFmtId="176" fontId="26" fillId="23" borderId="321" xfId="0" applyNumberFormat="1" applyFont="1" applyFill="1" applyBorder="1" applyAlignment="1">
      <alignment horizontal="center" vertical="center" shrinkToFit="1"/>
    </xf>
    <xf numFmtId="0" fontId="26" fillId="23" borderId="322" xfId="0" applyFont="1" applyFill="1" applyBorder="1" applyAlignment="1">
      <alignment horizontal="center" vertical="center" shrinkToFit="1"/>
    </xf>
    <xf numFmtId="0" fontId="26" fillId="23" borderId="321" xfId="0" applyFont="1" applyFill="1" applyBorder="1" applyAlignment="1">
      <alignment horizontal="center" vertical="center" shrinkToFit="1"/>
    </xf>
    <xf numFmtId="0" fontId="26" fillId="23" borderId="67" xfId="0" applyFont="1" applyFill="1" applyBorder="1" applyAlignment="1">
      <alignment horizontal="center" vertical="center" shrinkToFit="1"/>
    </xf>
    <xf numFmtId="0" fontId="26" fillId="23" borderId="329" xfId="0" applyFont="1" applyFill="1" applyBorder="1" applyAlignment="1">
      <alignment horizontal="center" vertical="center" shrinkToFit="1"/>
    </xf>
    <xf numFmtId="0" fontId="26" fillId="23" borderId="117" xfId="0" applyFont="1" applyFill="1" applyBorder="1" applyAlignment="1">
      <alignment horizontal="left" vertical="center" shrinkToFit="1"/>
    </xf>
    <xf numFmtId="176" fontId="26" fillId="23" borderId="334" xfId="0" applyNumberFormat="1" applyFont="1" applyFill="1" applyBorder="1" applyAlignment="1">
      <alignment horizontal="center" vertical="center" shrinkToFit="1"/>
    </xf>
    <xf numFmtId="0" fontId="26" fillId="23" borderId="333" xfId="0" applyFont="1" applyFill="1" applyBorder="1" applyAlignment="1">
      <alignment horizontal="center" vertical="center" shrinkToFit="1"/>
    </xf>
    <xf numFmtId="0" fontId="26" fillId="23" borderId="334" xfId="0" applyFont="1" applyFill="1" applyBorder="1" applyAlignment="1">
      <alignment horizontal="center" vertical="center" shrinkToFit="1"/>
    </xf>
    <xf numFmtId="0" fontId="26" fillId="23" borderId="112" xfId="0" applyFont="1" applyFill="1" applyBorder="1" applyAlignment="1">
      <alignment horizontal="center" vertical="center" shrinkToFit="1"/>
    </xf>
    <xf numFmtId="0" fontId="26" fillId="23" borderId="335" xfId="0" applyFont="1" applyFill="1" applyBorder="1" applyAlignment="1">
      <alignment horizontal="center" vertical="center" shrinkToFit="1"/>
    </xf>
    <xf numFmtId="0" fontId="26" fillId="23" borderId="40" xfId="0" applyFont="1" applyFill="1" applyBorder="1" applyAlignment="1">
      <alignment horizontal="left" vertical="center" shrinkToFit="1"/>
    </xf>
    <xf numFmtId="176" fontId="26" fillId="23" borderId="64" xfId="0" applyNumberFormat="1" applyFont="1" applyFill="1" applyBorder="1" applyAlignment="1">
      <alignment horizontal="center" vertical="center" shrinkToFit="1"/>
    </xf>
    <xf numFmtId="176" fontId="26" fillId="23" borderId="326" xfId="0" applyNumberFormat="1" applyFont="1" applyFill="1" applyBorder="1" applyAlignment="1">
      <alignment horizontal="center" vertical="center" shrinkToFit="1"/>
    </xf>
    <xf numFmtId="0" fontId="26" fillId="23" borderId="91" xfId="0" applyFont="1" applyFill="1" applyBorder="1" applyAlignment="1">
      <alignment horizontal="left" vertical="center" shrinkToFit="1"/>
    </xf>
    <xf numFmtId="0" fontId="26" fillId="16" borderId="41" xfId="0" applyFont="1" applyFill="1" applyBorder="1" applyAlignment="1">
      <alignment horizontal="left" vertical="center" shrinkToFit="1"/>
    </xf>
    <xf numFmtId="176" fontId="26" fillId="23" borderId="318" xfId="0" applyNumberFormat="1" applyFont="1" applyFill="1" applyBorder="1" applyAlignment="1">
      <alignment horizontal="center" vertical="center" shrinkToFit="1"/>
    </xf>
    <xf numFmtId="176" fontId="26" fillId="23" borderId="320" xfId="0" applyNumberFormat="1" applyFont="1" applyFill="1" applyBorder="1" applyAlignment="1">
      <alignment horizontal="center" vertical="center" shrinkToFit="1"/>
    </xf>
    <xf numFmtId="176" fontId="26" fillId="17" borderId="304" xfId="0" applyNumberFormat="1" applyFont="1" applyFill="1" applyBorder="1" applyAlignment="1">
      <alignment horizontal="center" vertical="center" shrinkToFit="1"/>
    </xf>
    <xf numFmtId="176" fontId="26" fillId="17" borderId="312" xfId="0" applyNumberFormat="1" applyFont="1" applyFill="1" applyBorder="1" applyAlignment="1">
      <alignment horizontal="center" vertical="center" shrinkToFit="1"/>
    </xf>
    <xf numFmtId="0" fontId="26" fillId="17" borderId="311" xfId="0" applyFont="1" applyFill="1" applyBorder="1" applyAlignment="1">
      <alignment horizontal="center" vertical="center" shrinkToFit="1"/>
    </xf>
    <xf numFmtId="0" fontId="26" fillId="17" borderId="85" xfId="0" applyFont="1" applyFill="1" applyBorder="1" applyAlignment="1">
      <alignment horizontal="center" vertical="center" shrinkToFit="1"/>
    </xf>
    <xf numFmtId="0" fontId="26" fillId="17" borderId="325" xfId="0" applyFont="1" applyFill="1" applyBorder="1" applyAlignment="1">
      <alignment horizontal="center" vertical="center" shrinkToFit="1"/>
    </xf>
    <xf numFmtId="0" fontId="26" fillId="17" borderId="312" xfId="0" applyFont="1" applyFill="1" applyBorder="1" applyAlignment="1">
      <alignment horizontal="center" vertical="center" shrinkToFit="1"/>
    </xf>
    <xf numFmtId="0" fontId="26" fillId="17" borderId="84" xfId="0" applyFont="1" applyFill="1" applyBorder="1" applyAlignment="1">
      <alignment horizontal="left" vertical="center" shrinkToFit="1"/>
    </xf>
    <xf numFmtId="176" fontId="26" fillId="17" borderId="303" xfId="0" applyNumberFormat="1" applyFont="1" applyFill="1" applyBorder="1" applyAlignment="1">
      <alignment horizontal="center" vertical="center" shrinkToFit="1"/>
    </xf>
    <xf numFmtId="176" fontId="26" fillId="17" borderId="316" xfId="0" applyNumberFormat="1" applyFont="1" applyFill="1" applyBorder="1" applyAlignment="1">
      <alignment horizontal="center" vertical="center" shrinkToFit="1"/>
    </xf>
    <xf numFmtId="0" fontId="26" fillId="17" borderId="315" xfId="0" applyFont="1" applyFill="1" applyBorder="1" applyAlignment="1">
      <alignment horizontal="center" vertical="center" shrinkToFit="1"/>
    </xf>
    <xf numFmtId="0" fontId="26" fillId="17" borderId="64" xfId="0" applyFont="1" applyFill="1" applyBorder="1" applyAlignment="1">
      <alignment horizontal="center" vertical="center" shrinkToFit="1"/>
    </xf>
    <xf numFmtId="0" fontId="26" fillId="17" borderId="326" xfId="0" applyFont="1" applyFill="1" applyBorder="1" applyAlignment="1">
      <alignment horizontal="center" vertical="center" shrinkToFit="1"/>
    </xf>
    <xf numFmtId="0" fontId="26" fillId="17" borderId="316" xfId="0" applyFont="1" applyFill="1" applyBorder="1" applyAlignment="1">
      <alignment horizontal="center" vertical="center" shrinkToFit="1"/>
    </xf>
    <xf numFmtId="0" fontId="26" fillId="17" borderId="91" xfId="0" applyFont="1" applyFill="1" applyBorder="1" applyAlignment="1">
      <alignment horizontal="left" vertical="center" shrinkToFit="1"/>
    </xf>
    <xf numFmtId="176" fontId="26" fillId="17" borderId="208" xfId="0" applyNumberFormat="1" applyFont="1" applyFill="1" applyBorder="1" applyAlignment="1">
      <alignment horizontal="center" vertical="center" shrinkToFit="1"/>
    </xf>
    <xf numFmtId="176" fontId="26" fillId="17" borderId="314" xfId="0" applyNumberFormat="1" applyFont="1" applyFill="1" applyBorder="1" applyAlignment="1">
      <alignment horizontal="center" vertical="center" shrinkToFit="1"/>
    </xf>
    <xf numFmtId="0" fontId="26" fillId="17" borderId="313" xfId="0" applyFont="1" applyFill="1" applyBorder="1" applyAlignment="1">
      <alignment horizontal="center" vertical="center" shrinkToFit="1"/>
    </xf>
    <xf numFmtId="0" fontId="26" fillId="17" borderId="61" xfId="0" applyFont="1" applyFill="1" applyBorder="1" applyAlignment="1">
      <alignment horizontal="center" vertical="center" shrinkToFit="1"/>
    </xf>
    <xf numFmtId="0" fontId="26" fillId="17" borderId="327" xfId="0" applyFont="1" applyFill="1" applyBorder="1" applyAlignment="1">
      <alignment horizontal="center" vertical="center" shrinkToFit="1"/>
    </xf>
    <xf numFmtId="0" fontId="26" fillId="17" borderId="314" xfId="0" applyFont="1" applyFill="1" applyBorder="1" applyAlignment="1">
      <alignment horizontal="center" vertical="center" shrinkToFit="1"/>
    </xf>
    <xf numFmtId="0" fontId="26" fillId="17" borderId="41" xfId="0" applyFont="1" applyFill="1" applyBorder="1" applyAlignment="1">
      <alignment horizontal="left" vertical="center" shrinkToFit="1"/>
    </xf>
    <xf numFmtId="176" fontId="26" fillId="16" borderId="311" xfId="0" applyNumberFormat="1" applyFont="1" applyFill="1" applyBorder="1" applyAlignment="1">
      <alignment horizontal="center" vertical="center" shrinkToFit="1"/>
    </xf>
    <xf numFmtId="176" fontId="26" fillId="16" borderId="312" xfId="0" applyNumberFormat="1" applyFont="1" applyFill="1" applyBorder="1" applyAlignment="1">
      <alignment horizontal="center" vertical="center" shrinkToFit="1"/>
    </xf>
    <xf numFmtId="176" fontId="26" fillId="16" borderId="85" xfId="0" applyNumberFormat="1" applyFont="1" applyFill="1" applyBorder="1" applyAlignment="1">
      <alignment horizontal="center" vertical="center" shrinkToFit="1"/>
    </xf>
    <xf numFmtId="176" fontId="26" fillId="16" borderId="325" xfId="0" applyNumberFormat="1" applyFont="1" applyFill="1" applyBorder="1" applyAlignment="1">
      <alignment horizontal="center" vertical="center" shrinkToFit="1"/>
    </xf>
    <xf numFmtId="0" fontId="26" fillId="16" borderId="86" xfId="0" applyFont="1" applyFill="1" applyBorder="1" applyAlignment="1">
      <alignment horizontal="left" vertical="center" shrinkToFit="1"/>
    </xf>
    <xf numFmtId="176" fontId="26" fillId="16" borderId="313" xfId="0" applyNumberFormat="1" applyFont="1" applyFill="1" applyBorder="1" applyAlignment="1">
      <alignment horizontal="center" vertical="center" shrinkToFit="1"/>
    </xf>
    <xf numFmtId="176" fontId="26" fillId="16" borderId="314" xfId="0" applyNumberFormat="1" applyFont="1" applyFill="1" applyBorder="1" applyAlignment="1">
      <alignment horizontal="center" vertical="center" shrinkToFit="1"/>
    </xf>
    <xf numFmtId="176" fontId="26" fillId="16" borderId="61" xfId="0" applyNumberFormat="1" applyFont="1" applyFill="1" applyBorder="1" applyAlignment="1">
      <alignment horizontal="center" vertical="center" shrinkToFit="1"/>
    </xf>
    <xf numFmtId="176" fontId="26" fillId="16" borderId="327" xfId="0" applyNumberFormat="1" applyFont="1" applyFill="1" applyBorder="1" applyAlignment="1">
      <alignment horizontal="center" vertical="center" shrinkToFit="1"/>
    </xf>
    <xf numFmtId="0" fontId="26" fillId="16" borderId="88" xfId="0" applyFont="1" applyFill="1" applyBorder="1" applyAlignment="1">
      <alignment horizontal="left" vertical="center" shrinkToFit="1"/>
    </xf>
    <xf numFmtId="176" fontId="26" fillId="16" borderId="315" xfId="0" applyNumberFormat="1" applyFont="1" applyFill="1" applyBorder="1" applyAlignment="1">
      <alignment horizontal="center" vertical="center" shrinkToFit="1"/>
    </xf>
    <xf numFmtId="176" fontId="26" fillId="16" borderId="316" xfId="0" applyNumberFormat="1" applyFont="1" applyFill="1" applyBorder="1" applyAlignment="1">
      <alignment horizontal="center" vertical="center" shrinkToFit="1"/>
    </xf>
    <xf numFmtId="176" fontId="26" fillId="16" borderId="64" xfId="0" applyNumberFormat="1" applyFont="1" applyFill="1" applyBorder="1" applyAlignment="1">
      <alignment horizontal="center" vertical="center" shrinkToFit="1"/>
    </xf>
    <xf numFmtId="176" fontId="26" fillId="16" borderId="326" xfId="0" applyNumberFormat="1" applyFont="1" applyFill="1" applyBorder="1" applyAlignment="1">
      <alignment horizontal="center" vertical="center" shrinkToFit="1"/>
    </xf>
    <xf numFmtId="0" fontId="26" fillId="16" borderId="91" xfId="0" applyFont="1" applyFill="1" applyBorder="1" applyAlignment="1">
      <alignment horizontal="left" vertical="center" shrinkToFit="1"/>
    </xf>
    <xf numFmtId="176" fontId="26" fillId="23" borderId="319" xfId="0" applyNumberFormat="1" applyFont="1" applyFill="1" applyBorder="1" applyAlignment="1">
      <alignment horizontal="center" vertical="center" shrinkToFit="1"/>
    </xf>
    <xf numFmtId="0" fontId="26" fillId="23" borderId="337" xfId="0" applyFont="1" applyFill="1" applyBorder="1" applyAlignment="1">
      <alignment horizontal="center" vertical="center" shrinkToFit="1"/>
    </xf>
    <xf numFmtId="176" fontId="26" fillId="23" borderId="317" xfId="0" applyNumberFormat="1" applyFont="1" applyFill="1" applyBorder="1" applyAlignment="1">
      <alignment horizontal="center" vertical="center" shrinkToFit="1"/>
    </xf>
    <xf numFmtId="176" fontId="26" fillId="22" borderId="308" xfId="0" applyNumberFormat="1" applyFont="1" applyFill="1" applyBorder="1" applyAlignment="1">
      <alignment horizontal="center" vertical="center" shrinkToFit="1"/>
    </xf>
    <xf numFmtId="176" fontId="26" fillId="22" borderId="309" xfId="0" applyNumberFormat="1" applyFont="1" applyFill="1" applyBorder="1" applyAlignment="1">
      <alignment horizontal="center" vertical="center" shrinkToFit="1"/>
    </xf>
    <xf numFmtId="176" fontId="26" fillId="22" borderId="268" xfId="0" applyNumberFormat="1" applyFont="1" applyFill="1" applyBorder="1" applyAlignment="1">
      <alignment horizontal="center" vertical="center" shrinkToFit="1"/>
    </xf>
    <xf numFmtId="176" fontId="26" fillId="22" borderId="330" xfId="0" applyNumberFormat="1" applyFont="1" applyFill="1" applyBorder="1" applyAlignment="1">
      <alignment horizontal="center" vertical="center" shrinkToFit="1"/>
    </xf>
    <xf numFmtId="176" fontId="26" fillId="22" borderId="323" xfId="0" applyNumberFormat="1" applyFont="1" applyFill="1" applyBorder="1" applyAlignment="1">
      <alignment horizontal="center" vertical="center" shrinkToFit="1"/>
    </xf>
    <xf numFmtId="0" fontId="26" fillId="22" borderId="266" xfId="0" applyFont="1" applyFill="1" applyBorder="1" applyAlignment="1">
      <alignment horizontal="left" vertical="center" shrinkToFit="1"/>
    </xf>
    <xf numFmtId="176" fontId="26" fillId="17" borderId="311" xfId="0" applyNumberFormat="1" applyFont="1" applyFill="1" applyBorder="1" applyAlignment="1">
      <alignment horizontal="center" vertical="center" shrinkToFit="1"/>
    </xf>
    <xf numFmtId="176" fontId="26" fillId="17" borderId="317" xfId="0" applyNumberFormat="1" applyFont="1" applyFill="1" applyBorder="1" applyAlignment="1">
      <alignment horizontal="center" vertical="center" shrinkToFit="1"/>
    </xf>
    <xf numFmtId="176" fontId="26" fillId="17" borderId="66" xfId="0" applyNumberFormat="1" applyFont="1" applyFill="1" applyBorder="1" applyAlignment="1">
      <alignment horizontal="center" vertical="center" shrinkToFit="1"/>
    </xf>
    <xf numFmtId="176" fontId="26" fillId="17" borderId="328" xfId="0" applyNumberFormat="1" applyFont="1" applyFill="1" applyBorder="1" applyAlignment="1">
      <alignment horizontal="center" vertical="center" shrinkToFit="1"/>
    </xf>
    <xf numFmtId="176" fontId="26" fillId="17" borderId="318" xfId="0" applyNumberFormat="1" applyFont="1" applyFill="1" applyBorder="1" applyAlignment="1">
      <alignment horizontal="center" vertical="center" shrinkToFit="1"/>
    </xf>
    <xf numFmtId="0" fontId="26" fillId="17" borderId="100" xfId="0" applyFont="1" applyFill="1" applyBorder="1" applyAlignment="1">
      <alignment horizontal="left" vertical="center" shrinkToFit="1"/>
    </xf>
    <xf numFmtId="176" fontId="26" fillId="17" borderId="313" xfId="0" applyNumberFormat="1" applyFont="1" applyFill="1" applyBorder="1" applyAlignment="1">
      <alignment horizontal="center" vertical="center" shrinkToFit="1"/>
    </xf>
    <xf numFmtId="176" fontId="26" fillId="17" borderId="61" xfId="0" applyNumberFormat="1" applyFont="1" applyFill="1" applyBorder="1" applyAlignment="1">
      <alignment horizontal="center" vertical="center" shrinkToFit="1"/>
    </xf>
    <xf numFmtId="176" fontId="26" fillId="17" borderId="327" xfId="0" applyNumberFormat="1" applyFont="1" applyFill="1" applyBorder="1" applyAlignment="1">
      <alignment horizontal="center" vertical="center" shrinkToFit="1"/>
    </xf>
    <xf numFmtId="0" fontId="26" fillId="17" borderId="97" xfId="0" applyFont="1" applyFill="1" applyBorder="1" applyAlignment="1">
      <alignment horizontal="left" vertical="center" shrinkToFit="1"/>
    </xf>
    <xf numFmtId="176" fontId="26" fillId="17" borderId="315" xfId="0" applyNumberFormat="1" applyFont="1" applyFill="1" applyBorder="1" applyAlignment="1">
      <alignment horizontal="center" vertical="center" shrinkToFit="1"/>
    </xf>
    <xf numFmtId="176" fontId="26" fillId="17" borderId="64" xfId="0" applyNumberFormat="1" applyFont="1" applyFill="1" applyBorder="1" applyAlignment="1">
      <alignment horizontal="center" vertical="center" shrinkToFit="1"/>
    </xf>
    <xf numFmtId="176" fontId="26" fillId="17" borderId="326" xfId="0" applyNumberFormat="1" applyFont="1" applyFill="1" applyBorder="1" applyAlignment="1">
      <alignment horizontal="center" vertical="center" shrinkToFit="1"/>
    </xf>
    <xf numFmtId="0" fontId="26" fillId="17" borderId="210" xfId="0" applyFont="1" applyFill="1" applyBorder="1" applyAlignment="1">
      <alignment horizontal="left" vertical="center" shrinkToFit="1"/>
    </xf>
    <xf numFmtId="0" fontId="26" fillId="0" borderId="0" xfId="0" applyFont="1" applyFill="1" applyBorder="1" applyAlignment="1">
      <alignment vertical="center"/>
    </xf>
    <xf numFmtId="174" fontId="26" fillId="0" borderId="0" xfId="0" applyNumberFormat="1" applyFont="1" applyFill="1" applyBorder="1" applyAlignment="1">
      <alignment vertical="center"/>
    </xf>
    <xf numFmtId="174" fontId="26" fillId="0" borderId="0" xfId="0" applyNumberFormat="1" applyFont="1" applyFill="1" applyAlignment="1">
      <alignment horizontal="center" vertical="center"/>
    </xf>
    <xf numFmtId="0" fontId="51" fillId="0" borderId="0" xfId="0" applyFont="1" applyFill="1" applyAlignment="1">
      <alignment horizontal="center" vertical="center"/>
    </xf>
    <xf numFmtId="0" fontId="26" fillId="0" borderId="0" xfId="0" applyFont="1" applyFill="1" applyAlignment="1">
      <alignment vertical="center"/>
    </xf>
    <xf numFmtId="0" fontId="26" fillId="0" borderId="0" xfId="0" applyFont="1" applyFill="1" applyBorder="1" applyAlignment="1">
      <alignment horizontal="left" vertical="center"/>
    </xf>
    <xf numFmtId="0" fontId="26" fillId="0" borderId="0" xfId="0" applyFont="1" applyFill="1" applyAlignment="1">
      <alignment horizontal="left" vertical="center"/>
    </xf>
    <xf numFmtId="170" fontId="26" fillId="0" borderId="0" xfId="0" applyNumberFormat="1" applyFont="1" applyFill="1" applyAlignment="1">
      <alignment vertical="center"/>
    </xf>
    <xf numFmtId="174" fontId="51" fillId="0" borderId="0" xfId="0" applyNumberFormat="1" applyFont="1" applyFill="1" applyAlignment="1">
      <alignment horizontal="center" vertical="center"/>
    </xf>
    <xf numFmtId="170" fontId="51" fillId="0" borderId="0" xfId="0" applyNumberFormat="1" applyFont="1" applyFill="1" applyAlignment="1">
      <alignment horizontal="left" vertical="center"/>
    </xf>
    <xf numFmtId="0" fontId="26" fillId="0" borderId="0" xfId="0" applyFont="1" applyAlignment="1">
      <alignment horizontal="left" vertical="center"/>
    </xf>
    <xf numFmtId="0" fontId="51" fillId="0" borderId="0" xfId="0" applyFont="1" applyFill="1" applyAlignment="1">
      <alignment horizontal="left" vertical="center"/>
    </xf>
    <xf numFmtId="0" fontId="51" fillId="0" borderId="0" xfId="0" applyFont="1" applyFill="1" applyBorder="1" applyAlignment="1">
      <alignment vertical="center"/>
    </xf>
    <xf numFmtId="0" fontId="26" fillId="0" borderId="313" xfId="0" applyFont="1" applyFill="1" applyBorder="1" applyAlignment="1">
      <alignment horizontal="center" vertical="center" shrinkToFit="1"/>
    </xf>
    <xf numFmtId="0" fontId="26" fillId="0" borderId="314" xfId="0" applyFont="1" applyFill="1" applyBorder="1" applyAlignment="1">
      <alignment horizontal="center" vertical="center" shrinkToFit="1"/>
    </xf>
    <xf numFmtId="0" fontId="26" fillId="0" borderId="337" xfId="0" applyFont="1" applyFill="1" applyBorder="1" applyAlignment="1">
      <alignment horizontal="center" vertical="center" shrinkToFit="1"/>
    </xf>
    <xf numFmtId="0" fontId="26" fillId="0" borderId="327" xfId="0" applyFont="1" applyFill="1" applyBorder="1" applyAlignment="1">
      <alignment horizontal="center" vertical="center" shrinkToFit="1"/>
    </xf>
    <xf numFmtId="0" fontId="26" fillId="0" borderId="41" xfId="0" applyFont="1" applyFill="1" applyBorder="1" applyAlignment="1">
      <alignment horizontal="left" vertical="center" shrinkToFit="1"/>
    </xf>
    <xf numFmtId="0" fontId="26" fillId="0" borderId="41" xfId="0" applyFont="1" applyFill="1" applyBorder="1" applyAlignment="1">
      <alignment horizontal="center" vertical="center" shrinkToFit="1"/>
    </xf>
    <xf numFmtId="0" fontId="26" fillId="29" borderId="0" xfId="0" applyFont="1" applyFill="1">
      <alignment vertical="center"/>
    </xf>
    <xf numFmtId="0" fontId="26" fillId="22" borderId="41" xfId="0" applyFont="1" applyFill="1" applyBorder="1" applyAlignment="1">
      <alignment horizontal="left" vertical="center" shrinkToFit="1"/>
    </xf>
    <xf numFmtId="0" fontId="26" fillId="22" borderId="337" xfId="0" applyFont="1" applyFill="1" applyBorder="1" applyAlignment="1">
      <alignment horizontal="center" vertical="center" shrinkToFit="1"/>
    </xf>
    <xf numFmtId="0" fontId="26" fillId="22" borderId="306" xfId="0" applyFont="1" applyFill="1" applyBorder="1">
      <alignment vertical="center"/>
    </xf>
    <xf numFmtId="0" fontId="26" fillId="17" borderId="234" xfId="0" applyFont="1" applyFill="1" applyBorder="1" applyAlignment="1">
      <alignment horizontal="center" vertical="center"/>
    </xf>
    <xf numFmtId="0" fontId="26" fillId="17" borderId="234" xfId="0" applyNumberFormat="1" applyFont="1" applyFill="1" applyBorder="1" applyAlignment="1">
      <alignment horizontal="left" vertical="center" shrinkToFit="1"/>
    </xf>
    <xf numFmtId="0" fontId="26" fillId="17" borderId="317" xfId="0" applyFont="1" applyFill="1" applyBorder="1" applyAlignment="1">
      <alignment horizontal="center" vertical="center"/>
    </xf>
    <xf numFmtId="0" fontId="26" fillId="17" borderId="318" xfId="0" applyNumberFormat="1" applyFont="1" applyFill="1" applyBorder="1" applyAlignment="1">
      <alignment horizontal="center" vertical="center" shrinkToFit="1"/>
    </xf>
    <xf numFmtId="0" fontId="26" fillId="17" borderId="66" xfId="0" applyFont="1" applyFill="1" applyBorder="1">
      <alignment vertical="center"/>
    </xf>
    <xf numFmtId="0" fontId="26" fillId="17" borderId="234" xfId="0" applyNumberFormat="1" applyFont="1" applyFill="1" applyBorder="1" applyAlignment="1">
      <alignment horizontal="center" vertical="center" shrinkToFit="1"/>
    </xf>
    <xf numFmtId="0" fontId="26" fillId="17" borderId="100" xfId="0" applyNumberFormat="1" applyFont="1" applyFill="1" applyBorder="1" applyAlignment="1">
      <alignment horizontal="center" vertical="center" shrinkToFit="1"/>
    </xf>
    <xf numFmtId="0" fontId="26" fillId="17" borderId="65" xfId="0" applyNumberFormat="1" applyFont="1" applyFill="1" applyBorder="1" applyAlignment="1">
      <alignment horizontal="center" vertical="center" shrinkToFit="1"/>
    </xf>
    <xf numFmtId="0" fontId="26" fillId="17" borderId="317" xfId="0" applyNumberFormat="1" applyFont="1" applyFill="1" applyBorder="1" applyAlignment="1">
      <alignment horizontal="center" vertical="center" shrinkToFit="1"/>
    </xf>
    <xf numFmtId="170" fontId="14" fillId="0" borderId="0" xfId="0" applyNumberFormat="1" applyFont="1" applyFill="1" applyAlignment="1">
      <alignment horizontal="left" vertical="center"/>
    </xf>
    <xf numFmtId="0" fontId="26" fillId="0" borderId="284" xfId="0" applyFont="1" applyFill="1" applyBorder="1" applyAlignment="1">
      <alignment horizontal="center" vertical="center" wrapText="1" shrinkToFit="1"/>
    </xf>
    <xf numFmtId="0" fontId="26" fillId="23" borderId="176" xfId="0" applyFont="1" applyFill="1" applyBorder="1" applyAlignment="1">
      <alignment horizontal="center" vertical="center" wrapText="1" shrinkToFit="1"/>
    </xf>
    <xf numFmtId="0" fontId="50" fillId="23" borderId="208" xfId="0" applyNumberFormat="1" applyFont="1" applyFill="1" applyBorder="1" applyAlignment="1">
      <alignment horizontal="left" vertical="center" shrinkToFit="1"/>
    </xf>
    <xf numFmtId="0" fontId="26" fillId="23" borderId="180" xfId="0" applyFont="1" applyFill="1" applyBorder="1" applyAlignment="1">
      <alignment horizontal="center" vertical="center"/>
    </xf>
    <xf numFmtId="0" fontId="26" fillId="23" borderId="180" xfId="0" applyNumberFormat="1" applyFont="1" applyFill="1" applyBorder="1" applyAlignment="1">
      <alignment horizontal="left" vertical="center" shrinkToFit="1"/>
    </xf>
    <xf numFmtId="0" fontId="26" fillId="23" borderId="298" xfId="0" applyFont="1" applyFill="1" applyBorder="1" applyAlignment="1">
      <alignment horizontal="center" vertical="center"/>
    </xf>
    <xf numFmtId="0" fontId="26" fillId="23" borderId="309" xfId="0" applyNumberFormat="1" applyFont="1" applyFill="1" applyBorder="1" applyAlignment="1">
      <alignment horizontal="center" vertical="center" shrinkToFit="1"/>
    </xf>
    <xf numFmtId="0" fontId="26" fillId="23" borderId="292" xfId="0" applyFont="1" applyFill="1" applyBorder="1" applyAlignment="1">
      <alignment horizontal="left" vertical="center"/>
    </xf>
    <xf numFmtId="0" fontId="26" fillId="23" borderId="180" xfId="0" applyNumberFormat="1" applyFont="1" applyFill="1" applyBorder="1" applyAlignment="1">
      <alignment horizontal="center" vertical="center" shrinkToFit="1"/>
    </xf>
    <xf numFmtId="0" fontId="26" fillId="23" borderId="340" xfId="0" applyNumberFormat="1" applyFont="1" applyFill="1" applyBorder="1" applyAlignment="1">
      <alignment horizontal="center" vertical="center" shrinkToFit="1"/>
    </xf>
    <xf numFmtId="0" fontId="26" fillId="23" borderId="299" xfId="0" applyNumberFormat="1" applyFont="1" applyFill="1" applyBorder="1" applyAlignment="1">
      <alignment horizontal="center" vertical="center" shrinkToFit="1"/>
    </xf>
    <xf numFmtId="0" fontId="26" fillId="23" borderId="298" xfId="0" applyNumberFormat="1" applyFont="1" applyFill="1" applyBorder="1" applyAlignment="1">
      <alignment horizontal="center" vertical="center" shrinkToFit="1"/>
    </xf>
    <xf numFmtId="176" fontId="26" fillId="23" borderId="298" xfId="0" applyNumberFormat="1" applyFont="1" applyFill="1" applyBorder="1" applyAlignment="1">
      <alignment horizontal="center" vertical="center" shrinkToFit="1"/>
    </xf>
    <xf numFmtId="176" fontId="26" fillId="23" borderId="309" xfId="0" applyNumberFormat="1" applyFont="1" applyFill="1" applyBorder="1" applyAlignment="1">
      <alignment horizontal="center" vertical="center" shrinkToFit="1"/>
    </xf>
    <xf numFmtId="176" fontId="26" fillId="23" borderId="292" xfId="0" applyNumberFormat="1" applyFont="1" applyFill="1" applyBorder="1" applyAlignment="1">
      <alignment horizontal="center" vertical="center" shrinkToFit="1"/>
    </xf>
    <xf numFmtId="176" fontId="26" fillId="23" borderId="339" xfId="0" applyNumberFormat="1" applyFont="1" applyFill="1" applyBorder="1" applyAlignment="1">
      <alignment horizontal="center" vertical="center" shrinkToFit="1"/>
    </xf>
    <xf numFmtId="0" fontId="26" fillId="23" borderId="103" xfId="0" applyFont="1" applyFill="1" applyBorder="1" applyAlignment="1">
      <alignment horizontal="left" vertical="center" shrinkToFit="1"/>
    </xf>
    <xf numFmtId="0" fontId="26" fillId="23" borderId="103" xfId="0" applyFont="1" applyFill="1" applyBorder="1">
      <alignment vertical="center"/>
    </xf>
    <xf numFmtId="0" fontId="26" fillId="23" borderId="292" xfId="0" applyFont="1" applyFill="1" applyBorder="1">
      <alignment vertical="center"/>
    </xf>
    <xf numFmtId="0" fontId="26" fillId="23" borderId="293" xfId="0" applyFont="1" applyFill="1" applyBorder="1">
      <alignment vertical="center"/>
    </xf>
    <xf numFmtId="0" fontId="26" fillId="23" borderId="294" xfId="0" applyFont="1" applyFill="1" applyBorder="1">
      <alignment vertical="center"/>
    </xf>
    <xf numFmtId="0" fontId="26" fillId="23" borderId="344" xfId="0" applyFont="1" applyFill="1" applyBorder="1">
      <alignment vertical="center"/>
    </xf>
    <xf numFmtId="0" fontId="26" fillId="23" borderId="340" xfId="0" applyFont="1" applyFill="1" applyBorder="1">
      <alignment vertical="center"/>
    </xf>
    <xf numFmtId="20" fontId="26" fillId="23" borderId="103" xfId="0" applyNumberFormat="1" applyFont="1" applyFill="1" applyBorder="1">
      <alignment vertical="center"/>
    </xf>
    <xf numFmtId="0" fontId="26" fillId="23" borderId="293" xfId="0" applyFont="1" applyFill="1" applyBorder="1" applyAlignment="1">
      <alignment horizontal="right" vertical="center"/>
    </xf>
    <xf numFmtId="0" fontId="26" fillId="0" borderId="274" xfId="0" applyFont="1" applyFill="1" applyBorder="1" applyAlignment="1">
      <alignment horizontal="center" vertical="center" wrapText="1"/>
    </xf>
    <xf numFmtId="0" fontId="26" fillId="22" borderId="274" xfId="0" applyFont="1" applyFill="1" applyBorder="1" applyAlignment="1">
      <alignment horizontal="center" vertical="center" shrinkToFit="1"/>
    </xf>
    <xf numFmtId="176" fontId="26" fillId="22" borderId="263" xfId="0" applyNumberFormat="1" applyFont="1" applyFill="1" applyBorder="1" applyAlignment="1">
      <alignment horizontal="center" vertical="center" shrinkToFit="1"/>
    </xf>
    <xf numFmtId="0" fontId="26" fillId="22" borderId="268" xfId="0" applyNumberFormat="1" applyFont="1" applyFill="1" applyBorder="1" applyAlignment="1">
      <alignment horizontal="center" vertical="center" shrinkToFit="1"/>
    </xf>
    <xf numFmtId="0" fontId="26" fillId="22" borderId="330" xfId="0" applyNumberFormat="1" applyFont="1" applyFill="1" applyBorder="1" applyAlignment="1">
      <alignment horizontal="center" vertical="center" shrinkToFit="1"/>
    </xf>
    <xf numFmtId="0" fontId="26" fillId="22" borderId="276" xfId="0" applyNumberFormat="1" applyFont="1" applyFill="1" applyBorder="1" applyAlignment="1">
      <alignment horizontal="center" vertical="center" shrinkToFit="1"/>
    </xf>
    <xf numFmtId="0" fontId="26" fillId="0" borderId="266" xfId="0" applyFont="1" applyFill="1" applyBorder="1">
      <alignment vertical="center"/>
    </xf>
    <xf numFmtId="0" fontId="26" fillId="0" borderId="267" xfId="0" applyFont="1" applyFill="1" applyBorder="1">
      <alignment vertical="center"/>
    </xf>
    <xf numFmtId="0" fontId="26" fillId="0" borderId="268" xfId="0" applyFont="1" applyFill="1" applyBorder="1">
      <alignment vertical="center"/>
    </xf>
    <xf numFmtId="0" fontId="26" fillId="0" borderId="269" xfId="0" applyFont="1" applyFill="1" applyBorder="1">
      <alignment vertical="center"/>
    </xf>
    <xf numFmtId="0" fontId="26" fillId="0" borderId="267" xfId="0" applyFont="1" applyFill="1" applyBorder="1" applyAlignment="1">
      <alignment vertical="top"/>
    </xf>
    <xf numFmtId="0" fontId="26" fillId="0" borderId="266" xfId="0" applyFont="1" applyFill="1" applyBorder="1" applyAlignment="1">
      <alignment vertical="top"/>
    </xf>
    <xf numFmtId="0" fontId="26" fillId="0" borderId="269" xfId="0" applyFont="1" applyFill="1" applyBorder="1" applyAlignment="1">
      <alignment horizontal="right" vertical="center"/>
    </xf>
    <xf numFmtId="0" fontId="26" fillId="22" borderId="267" xfId="0" applyFont="1" applyFill="1" applyBorder="1" applyAlignment="1">
      <alignment vertical="top"/>
    </xf>
    <xf numFmtId="0" fontId="26" fillId="22" borderId="345" xfId="0" applyFont="1" applyFill="1" applyBorder="1">
      <alignment vertical="center"/>
    </xf>
    <xf numFmtId="0" fontId="26" fillId="22" borderId="269" xfId="0" applyFont="1" applyFill="1" applyBorder="1" applyAlignment="1">
      <alignment horizontal="left" vertical="center"/>
    </xf>
    <xf numFmtId="0" fontId="5" fillId="23" borderId="96" xfId="0" applyFont="1" applyFill="1" applyBorder="1" applyAlignment="1">
      <alignment horizontal="center" vertical="center"/>
    </xf>
    <xf numFmtId="0" fontId="34" fillId="13" borderId="28" xfId="0" applyFont="1" applyFill="1" applyBorder="1" applyAlignment="1">
      <alignment horizontal="center" vertical="center" shrinkToFit="1"/>
    </xf>
    <xf numFmtId="164" fontId="27" fillId="13" borderId="10" xfId="0" applyNumberFormat="1" applyFont="1" applyFill="1" applyBorder="1" applyAlignment="1">
      <alignment horizontal="center" vertical="center" shrinkToFit="1"/>
    </xf>
    <xf numFmtId="164" fontId="27" fillId="13" borderId="24" xfId="0" applyNumberFormat="1" applyFont="1" applyFill="1" applyBorder="1" applyAlignment="1">
      <alignment horizontal="center" vertical="center" shrinkToFit="1"/>
    </xf>
    <xf numFmtId="0" fontId="27" fillId="13" borderId="102" xfId="0" applyFont="1" applyFill="1" applyBorder="1" applyAlignment="1">
      <alignment horizontal="center" vertical="center" shrinkToFit="1"/>
    </xf>
    <xf numFmtId="0" fontId="34" fillId="13" borderId="17" xfId="0" applyFont="1" applyFill="1" applyBorder="1" applyAlignment="1">
      <alignment horizontal="left" vertical="center" shrinkToFit="1"/>
    </xf>
    <xf numFmtId="0" fontId="34" fillId="13" borderId="25" xfId="0" applyFont="1" applyFill="1" applyBorder="1" applyAlignment="1">
      <alignment horizontal="center" vertical="center" wrapText="1" shrinkToFit="1"/>
    </xf>
    <xf numFmtId="0" fontId="34" fillId="13" borderId="24" xfId="0" applyFont="1" applyFill="1" applyBorder="1" applyAlignment="1">
      <alignment horizontal="center" vertical="center" shrinkToFit="1"/>
    </xf>
    <xf numFmtId="0" fontId="27" fillId="13" borderId="23" xfId="0" applyFont="1" applyFill="1" applyBorder="1" applyAlignment="1">
      <alignment horizontal="center" vertical="center" shrinkToFit="1"/>
    </xf>
    <xf numFmtId="165" fontId="27" fillId="13" borderId="4" xfId="0" applyNumberFormat="1" applyFont="1" applyFill="1" applyBorder="1" applyAlignment="1">
      <alignment horizontal="center" vertical="center" wrapText="1" shrinkToFit="1"/>
    </xf>
    <xf numFmtId="0" fontId="5" fillId="16" borderId="79" xfId="0" applyFont="1" applyFill="1" applyBorder="1" applyAlignment="1">
      <alignment horizontal="center" vertical="center"/>
    </xf>
    <xf numFmtId="0" fontId="5" fillId="16" borderId="41" xfId="0" applyFont="1" applyFill="1" applyBorder="1">
      <alignment vertical="center"/>
    </xf>
    <xf numFmtId="0" fontId="5" fillId="16" borderId="61" xfId="0" applyFont="1" applyFill="1" applyBorder="1">
      <alignment vertical="center"/>
    </xf>
    <xf numFmtId="0" fontId="5" fillId="16" borderId="88" xfId="0" applyFont="1" applyFill="1" applyBorder="1">
      <alignment vertical="center"/>
    </xf>
    <xf numFmtId="0" fontId="5" fillId="16" borderId="89" xfId="0" applyFont="1" applyFill="1" applyBorder="1">
      <alignment vertical="center"/>
    </xf>
    <xf numFmtId="0" fontId="5" fillId="16" borderId="9" xfId="0" applyFont="1" applyFill="1" applyBorder="1">
      <alignment vertical="center"/>
    </xf>
    <xf numFmtId="0" fontId="5" fillId="16" borderId="97" xfId="0" applyFont="1" applyFill="1" applyBorder="1">
      <alignment vertical="center"/>
    </xf>
    <xf numFmtId="20" fontId="5" fillId="16" borderId="41" xfId="0" applyNumberFormat="1" applyFont="1" applyFill="1" applyBorder="1">
      <alignment vertical="center"/>
    </xf>
    <xf numFmtId="0" fontId="5" fillId="16" borderId="88" xfId="0" applyFont="1" applyFill="1" applyBorder="1" applyAlignment="1">
      <alignment horizontal="right" vertical="center"/>
    </xf>
    <xf numFmtId="0" fontId="5" fillId="16" borderId="125" xfId="0" applyFont="1" applyFill="1" applyBorder="1" applyAlignment="1">
      <alignment horizontal="center" vertical="center"/>
    </xf>
    <xf numFmtId="0" fontId="5" fillId="16" borderId="84" xfId="0" applyFont="1" applyFill="1" applyBorder="1">
      <alignment vertical="center"/>
    </xf>
    <xf numFmtId="0" fontId="5" fillId="16" borderId="85" xfId="0" applyFont="1" applyFill="1" applyBorder="1">
      <alignment vertical="center"/>
    </xf>
    <xf numFmtId="0" fontId="5" fillId="16" borderId="86" xfId="0" applyFont="1" applyFill="1" applyBorder="1">
      <alignment vertical="center"/>
    </xf>
    <xf numFmtId="0" fontId="5" fillId="16" borderId="87" xfId="0" applyFont="1" applyFill="1" applyBorder="1">
      <alignment vertical="center"/>
    </xf>
    <xf numFmtId="0" fontId="5" fillId="16" borderId="83" xfId="0" applyFont="1" applyFill="1" applyBorder="1">
      <alignment vertical="center"/>
    </xf>
    <xf numFmtId="0" fontId="5" fillId="16" borderId="230" xfId="0" applyFont="1" applyFill="1" applyBorder="1">
      <alignment vertical="center"/>
    </xf>
    <xf numFmtId="0" fontId="5" fillId="16" borderId="212" xfId="0" applyFont="1" applyFill="1" applyBorder="1">
      <alignment vertical="center"/>
    </xf>
    <xf numFmtId="0" fontId="5" fillId="16" borderId="209" xfId="0" applyFont="1" applyFill="1" applyBorder="1">
      <alignment vertical="center"/>
    </xf>
    <xf numFmtId="0" fontId="5" fillId="16" borderId="9" xfId="0" applyNumberFormat="1" applyFont="1" applyFill="1" applyBorder="1" applyAlignment="1">
      <alignment vertical="center"/>
    </xf>
    <xf numFmtId="0" fontId="0" fillId="16" borderId="41" xfId="0" applyFont="1" applyFill="1" applyBorder="1" applyAlignment="1">
      <alignment vertical="center" shrinkToFit="1"/>
    </xf>
    <xf numFmtId="0" fontId="0" fillId="16" borderId="69" xfId="0" applyFont="1" applyFill="1" applyBorder="1" applyAlignment="1">
      <alignment vertical="center" shrinkToFit="1"/>
    </xf>
    <xf numFmtId="0" fontId="0" fillId="16" borderId="220" xfId="0" applyFont="1" applyFill="1" applyBorder="1" applyAlignment="1">
      <alignment vertical="center" shrinkToFit="1"/>
    </xf>
    <xf numFmtId="0" fontId="5" fillId="16" borderId="208" xfId="0" applyFont="1" applyFill="1" applyBorder="1" applyAlignment="1">
      <alignment horizontal="center" vertical="center"/>
    </xf>
    <xf numFmtId="0" fontId="5" fillId="16" borderId="225" xfId="0" applyFont="1" applyFill="1" applyBorder="1">
      <alignment vertical="center"/>
    </xf>
    <xf numFmtId="0" fontId="5" fillId="16" borderId="41" xfId="0" applyFont="1" applyFill="1" applyBorder="1" applyAlignment="1">
      <alignment vertical="top"/>
    </xf>
    <xf numFmtId="0" fontId="5" fillId="16" borderId="41" xfId="0" applyNumberFormat="1" applyFont="1" applyFill="1" applyBorder="1" applyAlignment="1">
      <alignment vertical="center" shrinkToFit="1"/>
    </xf>
    <xf numFmtId="0" fontId="5" fillId="16" borderId="69" xfId="0" applyNumberFormat="1" applyFont="1" applyFill="1" applyBorder="1" applyAlignment="1">
      <alignment vertical="center" shrinkToFit="1"/>
    </xf>
    <xf numFmtId="0" fontId="5" fillId="16" borderId="220" xfId="0" applyNumberFormat="1" applyFont="1" applyFill="1" applyBorder="1" applyAlignment="1">
      <alignment vertical="center" shrinkToFit="1"/>
    </xf>
    <xf numFmtId="0" fontId="5" fillId="16" borderId="88" xfId="0" applyFont="1" applyFill="1" applyBorder="1" applyAlignment="1">
      <alignment horizontal="center" vertical="center"/>
    </xf>
    <xf numFmtId="0" fontId="5" fillId="16" borderId="88" xfId="0" applyFont="1" applyFill="1" applyBorder="1" applyAlignment="1">
      <alignment horizontal="left" vertical="center"/>
    </xf>
    <xf numFmtId="0" fontId="5" fillId="16" borderId="96" xfId="0" applyFont="1" applyFill="1" applyBorder="1" applyAlignment="1">
      <alignment horizontal="center" vertical="center"/>
    </xf>
    <xf numFmtId="0" fontId="5" fillId="16" borderId="91" xfId="0" applyFont="1" applyFill="1" applyBorder="1">
      <alignment vertical="center"/>
    </xf>
    <xf numFmtId="0" fontId="5" fillId="16" borderId="64" xfId="0" applyFont="1" applyFill="1" applyBorder="1">
      <alignment vertical="center"/>
    </xf>
    <xf numFmtId="0" fontId="5" fillId="16" borderId="92" xfId="0" applyFont="1" applyFill="1" applyBorder="1">
      <alignment vertical="center"/>
    </xf>
    <xf numFmtId="0" fontId="5" fillId="16" borderId="93" xfId="0" applyFont="1" applyFill="1" applyBorder="1">
      <alignment vertical="center"/>
    </xf>
    <xf numFmtId="20" fontId="5" fillId="16" borderId="91" xfId="0" applyNumberFormat="1" applyFont="1" applyFill="1" applyBorder="1">
      <alignment vertical="center"/>
    </xf>
    <xf numFmtId="0" fontId="5" fillId="22" borderId="88" xfId="0" applyFont="1" applyFill="1" applyBorder="1" applyAlignment="1">
      <alignment horizontal="left" vertical="center"/>
    </xf>
    <xf numFmtId="0" fontId="5" fillId="17" borderId="92" xfId="0" applyFont="1" applyFill="1" applyBorder="1" applyAlignment="1">
      <alignment horizontal="left" vertical="center"/>
    </xf>
    <xf numFmtId="0" fontId="27" fillId="14" borderId="102" xfId="0" applyFont="1" applyFill="1" applyBorder="1" applyAlignment="1">
      <alignment horizontal="center" vertical="center" shrinkToFit="1"/>
    </xf>
    <xf numFmtId="0" fontId="5" fillId="16" borderId="92" xfId="0" applyFont="1" applyFill="1" applyBorder="1" applyAlignment="1">
      <alignment horizontal="right" vertical="center"/>
    </xf>
    <xf numFmtId="0" fontId="5" fillId="22" borderId="111" xfId="0" applyFont="1" applyFill="1" applyBorder="1" applyAlignment="1">
      <alignment horizontal="center" vertical="center"/>
    </xf>
    <xf numFmtId="0" fontId="5" fillId="22" borderId="113" xfId="0" applyFont="1" applyFill="1" applyBorder="1" applyAlignment="1">
      <alignment horizontal="left" vertical="center"/>
    </xf>
    <xf numFmtId="0" fontId="5" fillId="22" borderId="89" xfId="0" applyFont="1" applyFill="1" applyBorder="1" applyAlignment="1">
      <alignment vertical="top"/>
    </xf>
    <xf numFmtId="0" fontId="5" fillId="22" borderId="41" xfId="0" applyFont="1" applyFill="1" applyBorder="1" applyAlignment="1">
      <alignment vertical="top"/>
    </xf>
    <xf numFmtId="0" fontId="5" fillId="22" borderId="61" xfId="0" applyFont="1" applyFill="1" applyBorder="1" applyAlignment="1">
      <alignment horizontal="left" vertical="top"/>
    </xf>
    <xf numFmtId="0" fontId="5" fillId="22" borderId="61" xfId="0" applyFont="1" applyFill="1" applyBorder="1" applyAlignment="1">
      <alignment vertical="top"/>
    </xf>
    <xf numFmtId="0" fontId="5" fillId="22" borderId="97" xfId="0" applyFont="1" applyFill="1" applyBorder="1" applyAlignment="1">
      <alignment vertical="top"/>
    </xf>
    <xf numFmtId="0" fontId="5" fillId="22" borderId="88" xfId="0" applyFont="1" applyFill="1" applyBorder="1" applyAlignment="1">
      <alignment horizontal="left" vertical="top"/>
    </xf>
    <xf numFmtId="0" fontId="5" fillId="22" borderId="342" xfId="0" applyFont="1" applyFill="1" applyBorder="1" applyAlignment="1">
      <alignment vertical="center" shrinkToFit="1"/>
    </xf>
    <xf numFmtId="0" fontId="34" fillId="13" borderId="152" xfId="0" applyFont="1" applyFill="1" applyBorder="1" applyAlignment="1">
      <alignment horizontal="left" vertical="center" shrinkToFit="1"/>
    </xf>
    <xf numFmtId="0" fontId="5" fillId="18" borderId="226" xfId="0" applyNumberFormat="1" applyFont="1" applyFill="1" applyBorder="1" applyAlignment="1">
      <alignment horizontal="center" vertical="center" shrinkToFit="1"/>
    </xf>
    <xf numFmtId="0" fontId="5" fillId="18" borderId="49" xfId="0" applyFont="1" applyFill="1" applyBorder="1">
      <alignment vertical="center"/>
    </xf>
    <xf numFmtId="0" fontId="5" fillId="18" borderId="63" xfId="0" applyFont="1" applyFill="1" applyBorder="1">
      <alignment vertical="center"/>
    </xf>
    <xf numFmtId="0" fontId="5" fillId="18" borderId="94" xfId="0" applyFont="1" applyFill="1" applyBorder="1">
      <alignment vertical="center"/>
    </xf>
    <xf numFmtId="0" fontId="5" fillId="18" borderId="95" xfId="0" applyFont="1" applyFill="1" applyBorder="1">
      <alignment vertical="center"/>
    </xf>
    <xf numFmtId="0" fontId="5" fillId="18" borderId="42" xfId="0" applyFont="1" applyFill="1" applyBorder="1">
      <alignment vertical="center"/>
    </xf>
    <xf numFmtId="0" fontId="5" fillId="18" borderId="108" xfId="0" applyFont="1" applyFill="1" applyBorder="1">
      <alignment vertical="center"/>
    </xf>
    <xf numFmtId="20" fontId="5" fillId="18" borderId="49" xfId="0" applyNumberFormat="1" applyFont="1" applyFill="1" applyBorder="1">
      <alignment vertical="center"/>
    </xf>
    <xf numFmtId="0" fontId="5" fillId="18" borderId="229" xfId="0" applyFont="1" applyFill="1" applyBorder="1">
      <alignment vertical="center"/>
    </xf>
    <xf numFmtId="0" fontId="5" fillId="18" borderId="94" xfId="0" applyFont="1" applyFill="1" applyBorder="1" applyAlignment="1">
      <alignment horizontal="left" vertical="top"/>
    </xf>
    <xf numFmtId="0" fontId="5" fillId="18" borderId="94" xfId="0" applyFont="1" applyFill="1" applyBorder="1" applyAlignment="1">
      <alignment horizontal="right" vertical="center"/>
    </xf>
    <xf numFmtId="0" fontId="5" fillId="23" borderId="61" xfId="0" applyFont="1" applyFill="1" applyBorder="1" applyAlignment="1">
      <alignment horizontal="right" vertical="center"/>
    </xf>
    <xf numFmtId="0" fontId="5" fillId="16" borderId="127" xfId="0" applyFont="1" applyFill="1" applyBorder="1">
      <alignment vertical="center"/>
    </xf>
    <xf numFmtId="0" fontId="5" fillId="16" borderId="280" xfId="0" applyFont="1" applyFill="1" applyBorder="1">
      <alignment vertical="center"/>
    </xf>
    <xf numFmtId="0" fontId="5" fillId="16" borderId="107" xfId="0" applyFont="1" applyFill="1" applyBorder="1">
      <alignment vertical="center"/>
    </xf>
    <xf numFmtId="0" fontId="5" fillId="16" borderId="281" xfId="0" applyFont="1" applyFill="1" applyBorder="1">
      <alignment vertical="center"/>
    </xf>
    <xf numFmtId="0" fontId="5" fillId="16" borderId="282" xfId="0" applyFont="1" applyFill="1" applyBorder="1">
      <alignment vertical="center"/>
    </xf>
    <xf numFmtId="0" fontId="5" fillId="16" borderId="61" xfId="0" applyFont="1" applyFill="1" applyBorder="1" applyAlignment="1">
      <alignment vertical="top"/>
    </xf>
    <xf numFmtId="0" fontId="26" fillId="16" borderId="79" xfId="0" applyFont="1" applyFill="1" applyBorder="1" applyAlignment="1">
      <alignment horizontal="center" vertical="center"/>
    </xf>
    <xf numFmtId="20" fontId="5" fillId="16" borderId="88" xfId="0" applyNumberFormat="1" applyFont="1" applyFill="1" applyBorder="1">
      <alignment vertical="center"/>
    </xf>
    <xf numFmtId="0" fontId="5" fillId="16" borderId="282" xfId="0" applyFont="1" applyFill="1" applyBorder="1" applyAlignment="1">
      <alignment horizontal="right" vertical="center"/>
    </xf>
    <xf numFmtId="0" fontId="5" fillId="16" borderId="90" xfId="0" applyFont="1" applyFill="1" applyBorder="1">
      <alignment vertical="center"/>
    </xf>
    <xf numFmtId="0" fontId="5" fillId="16" borderId="210" xfId="0" applyFont="1" applyFill="1" applyBorder="1">
      <alignment vertical="center"/>
    </xf>
    <xf numFmtId="165" fontId="27" fillId="0" borderId="25" xfId="0" applyNumberFormat="1" applyFont="1" applyFill="1" applyBorder="1" applyAlignment="1">
      <alignment horizontal="center" vertical="center" shrinkToFit="1"/>
    </xf>
    <xf numFmtId="0" fontId="5" fillId="23" borderId="48" xfId="0" applyFont="1" applyFill="1" applyBorder="1">
      <alignment vertical="center"/>
    </xf>
    <xf numFmtId="0" fontId="5" fillId="23" borderId="122" xfId="0" applyFont="1" applyFill="1" applyBorder="1">
      <alignment vertical="center"/>
    </xf>
    <xf numFmtId="0" fontId="5" fillId="23" borderId="66" xfId="0" applyFont="1" applyFill="1" applyBorder="1">
      <alignment vertical="center"/>
    </xf>
    <xf numFmtId="0" fontId="5" fillId="23" borderId="121" xfId="0" applyFont="1" applyFill="1" applyBorder="1">
      <alignment vertical="center"/>
    </xf>
    <xf numFmtId="0" fontId="5" fillId="23" borderId="121" xfId="0" applyFont="1" applyFill="1" applyBorder="1" applyAlignment="1">
      <alignment horizontal="right" vertical="center"/>
    </xf>
    <xf numFmtId="0" fontId="5" fillId="17" borderId="125" xfId="0" applyFont="1" applyFill="1" applyBorder="1" applyAlignment="1">
      <alignment horizontal="center" vertical="center"/>
    </xf>
    <xf numFmtId="0" fontId="5" fillId="17" borderId="84" xfId="0" applyFont="1" applyFill="1" applyBorder="1">
      <alignment vertical="center"/>
    </xf>
    <xf numFmtId="0" fontId="5" fillId="17" borderId="85" xfId="0" applyFont="1" applyFill="1" applyBorder="1">
      <alignment vertical="center"/>
    </xf>
    <xf numFmtId="0" fontId="5" fillId="17" borderId="86" xfId="0" applyFont="1" applyFill="1" applyBorder="1">
      <alignment vertical="center"/>
    </xf>
    <xf numFmtId="0" fontId="5" fillId="17" borderId="87" xfId="0" applyFont="1" applyFill="1" applyBorder="1">
      <alignment vertical="center"/>
    </xf>
    <xf numFmtId="0" fontId="5" fillId="17" borderId="83" xfId="0" applyFont="1" applyFill="1" applyBorder="1">
      <alignment vertical="center"/>
    </xf>
    <xf numFmtId="0" fontId="5" fillId="17" borderId="212" xfId="0" applyFont="1" applyFill="1" applyBorder="1">
      <alignment vertical="center"/>
    </xf>
    <xf numFmtId="20" fontId="5" fillId="17" borderId="84" xfId="0" applyNumberFormat="1" applyFont="1" applyFill="1" applyBorder="1">
      <alignment vertical="center"/>
    </xf>
    <xf numFmtId="0" fontId="5" fillId="17" borderId="86" xfId="0" applyFont="1" applyFill="1" applyBorder="1" applyAlignment="1">
      <alignment horizontal="right" vertical="center"/>
    </xf>
    <xf numFmtId="0" fontId="5" fillId="17" borderId="91" xfId="0" applyFont="1" applyFill="1" applyBorder="1" applyAlignment="1">
      <alignment vertical="top"/>
    </xf>
    <xf numFmtId="0" fontId="5" fillId="17" borderId="93" xfId="0" applyFont="1" applyFill="1" applyBorder="1" applyAlignment="1">
      <alignment vertical="top"/>
    </xf>
    <xf numFmtId="0" fontId="0" fillId="16" borderId="219" xfId="0" applyFont="1" applyFill="1" applyBorder="1" applyAlignment="1">
      <alignment horizontal="left" vertical="center" shrinkToFit="1"/>
    </xf>
    <xf numFmtId="169" fontId="27" fillId="0" borderId="3" xfId="0" applyNumberFormat="1" applyFont="1" applyFill="1" applyBorder="1" applyAlignment="1">
      <alignment horizontal="center" vertical="center" shrinkToFit="1"/>
    </xf>
    <xf numFmtId="0" fontId="34" fillId="11" borderId="18" xfId="0" applyFont="1" applyFill="1" applyBorder="1" applyAlignment="1">
      <alignment horizontal="left" vertical="center" shrinkToFit="1"/>
    </xf>
    <xf numFmtId="0" fontId="34" fillId="11" borderId="152" xfId="0" applyFont="1" applyFill="1" applyBorder="1" applyAlignment="1">
      <alignment horizontal="left" vertical="center" shrinkToFit="1"/>
    </xf>
    <xf numFmtId="0" fontId="34" fillId="11" borderId="17" xfId="0" applyFont="1" applyFill="1" applyBorder="1" applyAlignment="1">
      <alignment horizontal="left" vertical="center" shrinkToFit="1"/>
    </xf>
    <xf numFmtId="0" fontId="27" fillId="2" borderId="24" xfId="0" applyFont="1" applyFill="1" applyBorder="1" applyAlignment="1">
      <alignment horizontal="center" vertical="center" shrinkToFit="1"/>
    </xf>
    <xf numFmtId="0" fontId="27" fillId="13" borderId="24" xfId="0" applyFont="1" applyFill="1" applyBorder="1" applyAlignment="1">
      <alignment horizontal="center" vertical="center" shrinkToFit="1"/>
    </xf>
    <xf numFmtId="0" fontId="44" fillId="13" borderId="102" xfId="0" applyFont="1" applyFill="1" applyBorder="1" applyAlignment="1">
      <alignment vertical="center" textRotation="255" shrinkToFit="1"/>
    </xf>
    <xf numFmtId="0" fontId="5" fillId="23" borderId="123" xfId="0" applyFont="1" applyFill="1" applyBorder="1" applyAlignment="1">
      <alignment horizontal="center" vertical="center"/>
    </xf>
    <xf numFmtId="0" fontId="5" fillId="16" borderId="61" xfId="0" applyFont="1" applyFill="1" applyBorder="1" applyAlignment="1">
      <alignment horizontal="right" vertical="center"/>
    </xf>
    <xf numFmtId="0" fontId="5" fillId="17" borderId="12" xfId="0" applyFont="1" applyFill="1" applyBorder="1" applyAlignment="1">
      <alignment horizontal="center" vertical="center" wrapText="1"/>
    </xf>
    <xf numFmtId="0" fontId="5" fillId="17" borderId="350" xfId="0" applyFont="1" applyFill="1" applyBorder="1" applyAlignment="1">
      <alignment horizontal="center" vertical="center"/>
    </xf>
    <xf numFmtId="0" fontId="5" fillId="0" borderId="257" xfId="0" applyFont="1" applyFill="1" applyBorder="1">
      <alignment vertical="center"/>
    </xf>
    <xf numFmtId="0" fontId="5" fillId="0" borderId="351" xfId="0" applyFont="1" applyFill="1" applyBorder="1">
      <alignment vertical="center"/>
    </xf>
    <xf numFmtId="20" fontId="5" fillId="0" borderId="132" xfId="0" applyNumberFormat="1" applyFont="1" applyFill="1" applyBorder="1">
      <alignment vertical="center"/>
    </xf>
    <xf numFmtId="0" fontId="5" fillId="23" borderId="125" xfId="0" applyFont="1" applyFill="1" applyBorder="1" applyAlignment="1">
      <alignment horizontal="center" vertical="center"/>
    </xf>
    <xf numFmtId="0" fontId="5" fillId="23" borderId="84" xfId="0" applyFont="1" applyFill="1" applyBorder="1">
      <alignment vertical="center"/>
    </xf>
    <xf numFmtId="0" fontId="5" fillId="23" borderId="87" xfId="0" applyFont="1" applyFill="1" applyBorder="1">
      <alignment vertical="center"/>
    </xf>
    <xf numFmtId="0" fontId="5" fillId="23" borderId="85" xfId="0" applyFont="1" applyFill="1" applyBorder="1">
      <alignment vertical="center"/>
    </xf>
    <xf numFmtId="0" fontId="5" fillId="23" borderId="86" xfId="0" applyFont="1" applyFill="1" applyBorder="1">
      <alignment vertical="center"/>
    </xf>
    <xf numFmtId="0" fontId="5" fillId="23" borderId="86" xfId="0" applyFont="1" applyFill="1" applyBorder="1" applyAlignment="1">
      <alignment horizontal="right" vertical="center"/>
    </xf>
    <xf numFmtId="0" fontId="5" fillId="23" borderId="210" xfId="0" applyFont="1" applyFill="1" applyBorder="1">
      <alignment vertical="center"/>
    </xf>
    <xf numFmtId="20" fontId="5" fillId="23" borderId="48" xfId="0" applyNumberFormat="1" applyFont="1" applyFill="1" applyBorder="1">
      <alignment vertical="center"/>
    </xf>
    <xf numFmtId="0" fontId="5" fillId="23" borderId="85" xfId="0" applyFont="1" applyFill="1" applyBorder="1" applyAlignment="1">
      <alignment horizontal="right" vertical="center"/>
    </xf>
    <xf numFmtId="0" fontId="4" fillId="0" borderId="17" xfId="0" applyFont="1" applyFill="1" applyBorder="1" applyAlignment="1">
      <alignment horizontal="left" vertical="center" shrinkToFit="1"/>
    </xf>
    <xf numFmtId="0" fontId="5" fillId="22" borderId="89" xfId="0" applyFont="1" applyFill="1" applyBorder="1" applyAlignment="1">
      <alignment horizontal="left" vertical="center"/>
    </xf>
    <xf numFmtId="0" fontId="5" fillId="17" borderId="123" xfId="0" applyFont="1" applyFill="1" applyBorder="1" applyAlignment="1">
      <alignment horizontal="center" vertical="center"/>
    </xf>
    <xf numFmtId="0" fontId="5" fillId="17" borderId="48" xfId="0" applyFont="1" applyFill="1" applyBorder="1">
      <alignment vertical="center"/>
    </xf>
    <xf numFmtId="0" fontId="5" fillId="17" borderId="66" xfId="0" applyFont="1" applyFill="1" applyBorder="1">
      <alignment vertical="center"/>
    </xf>
    <xf numFmtId="0" fontId="5" fillId="17" borderId="121" xfId="0" applyFont="1" applyFill="1" applyBorder="1">
      <alignment vertical="center"/>
    </xf>
    <xf numFmtId="0" fontId="5" fillId="17" borderId="122" xfId="0" applyFont="1" applyFill="1" applyBorder="1">
      <alignment vertical="center"/>
    </xf>
    <xf numFmtId="0" fontId="5" fillId="17" borderId="106" xfId="0" applyFont="1" applyFill="1" applyBorder="1">
      <alignment vertical="center"/>
    </xf>
    <xf numFmtId="0" fontId="5" fillId="17" borderId="100" xfId="0" applyFont="1" applyFill="1" applyBorder="1">
      <alignment vertical="center"/>
    </xf>
    <xf numFmtId="20" fontId="5" fillId="17" borderId="48" xfId="0" applyNumberFormat="1" applyFont="1" applyFill="1" applyBorder="1">
      <alignment vertical="center"/>
    </xf>
    <xf numFmtId="0" fontId="5" fillId="17" borderId="121" xfId="0" applyFont="1" applyFill="1" applyBorder="1" applyAlignment="1">
      <alignment horizontal="right" vertical="center"/>
    </xf>
    <xf numFmtId="0" fontId="14" fillId="0" borderId="0" xfId="0" applyFont="1" applyFill="1" applyAlignment="1">
      <alignment horizontal="center" vertical="center"/>
    </xf>
    <xf numFmtId="0" fontId="11" fillId="0" borderId="0" xfId="0" applyFont="1" applyFill="1" applyBorder="1" applyAlignment="1">
      <alignment horizontal="center" vertical="center" wrapText="1"/>
    </xf>
    <xf numFmtId="0" fontId="11" fillId="0" borderId="0" xfId="0" applyFont="1" applyFill="1" applyBorder="1" applyAlignment="1">
      <alignment horizontal="center" vertical="center" wrapText="1" shrinkToFit="1"/>
    </xf>
    <xf numFmtId="174" fontId="11" fillId="0" borderId="0" xfId="0" applyNumberFormat="1" applyFont="1" applyFill="1" applyBorder="1" applyAlignment="1">
      <alignment horizontal="center" vertical="center" wrapText="1" shrinkToFit="1"/>
    </xf>
    <xf numFmtId="0" fontId="10" fillId="0" borderId="35" xfId="2" applyFont="1" applyFill="1" applyBorder="1" applyAlignment="1">
      <alignment horizontal="center" vertical="center" wrapText="1"/>
    </xf>
    <xf numFmtId="0" fontId="10" fillId="0" borderId="33" xfId="2" applyFont="1" applyFill="1" applyBorder="1" applyAlignment="1">
      <alignment horizontal="center" vertical="center" wrapText="1"/>
    </xf>
    <xf numFmtId="0" fontId="10" fillId="0" borderId="34" xfId="2" applyFont="1" applyFill="1" applyBorder="1" applyAlignment="1">
      <alignment horizontal="center" vertical="center" wrapText="1"/>
    </xf>
    <xf numFmtId="0" fontId="9" fillId="0" borderId="2" xfId="0" applyFont="1" applyFill="1" applyBorder="1" applyAlignment="1">
      <alignment horizontal="center" vertical="center"/>
    </xf>
    <xf numFmtId="0" fontId="0" fillId="16" borderId="220" xfId="0" applyFont="1" applyFill="1" applyBorder="1" applyAlignment="1">
      <alignment horizontal="left" vertical="center" shrinkToFit="1"/>
    </xf>
    <xf numFmtId="0" fontId="5" fillId="16" borderId="220" xfId="0" applyNumberFormat="1" applyFont="1" applyFill="1" applyBorder="1" applyAlignment="1">
      <alignment horizontal="left" vertical="center" shrinkToFit="1"/>
    </xf>
    <xf numFmtId="0" fontId="5" fillId="0" borderId="103" xfId="0" applyFont="1" applyFill="1" applyBorder="1" applyAlignment="1">
      <alignment horizontal="center" vertical="center"/>
    </xf>
    <xf numFmtId="0" fontId="5" fillId="0" borderId="0" xfId="0" applyFont="1" applyFill="1" applyBorder="1" applyAlignment="1">
      <alignment horizontal="center" vertical="center"/>
    </xf>
    <xf numFmtId="0" fontId="5" fillId="23" borderId="11" xfId="0" applyFont="1" applyFill="1" applyBorder="1" applyAlignment="1">
      <alignment horizontal="center" vertical="center"/>
    </xf>
    <xf numFmtId="0" fontId="5" fillId="16" borderId="14" xfId="0" applyFont="1" applyFill="1" applyBorder="1" applyAlignment="1">
      <alignment horizontal="center" vertical="center" wrapText="1"/>
    </xf>
    <xf numFmtId="0" fontId="5" fillId="22" borderId="213" xfId="0" applyFont="1" applyFill="1" applyBorder="1" applyAlignment="1">
      <alignment horizontal="center" vertical="center"/>
    </xf>
    <xf numFmtId="0" fontId="0" fillId="16" borderId="220" xfId="0" applyFont="1" applyFill="1" applyBorder="1" applyAlignment="1">
      <alignment horizontal="left" vertical="center" shrinkToFit="1"/>
    </xf>
    <xf numFmtId="0" fontId="5" fillId="16" borderId="69" xfId="0" applyNumberFormat="1" applyFont="1" applyFill="1" applyBorder="1" applyAlignment="1">
      <alignment horizontal="left" vertical="center" shrinkToFit="1"/>
    </xf>
    <xf numFmtId="0" fontId="5" fillId="16" borderId="220" xfId="0" applyNumberFormat="1" applyFont="1" applyFill="1" applyBorder="1" applyAlignment="1">
      <alignment horizontal="left" vertical="center" shrinkToFit="1"/>
    </xf>
    <xf numFmtId="0" fontId="5" fillId="23" borderId="121" xfId="0" applyFont="1" applyFill="1" applyBorder="1" applyAlignment="1">
      <alignment horizontal="left" vertical="center"/>
    </xf>
    <xf numFmtId="0" fontId="5" fillId="17" borderId="84" xfId="0" applyFont="1" applyFill="1" applyBorder="1" applyAlignment="1">
      <alignment vertical="top"/>
    </xf>
    <xf numFmtId="0" fontId="5" fillId="17" borderId="87" xfId="0" applyFont="1" applyFill="1" applyBorder="1" applyAlignment="1">
      <alignment vertical="top"/>
    </xf>
    <xf numFmtId="0" fontId="27" fillId="2" borderId="137" xfId="0" applyFont="1" applyFill="1" applyBorder="1" applyAlignment="1">
      <alignment horizontal="center" vertical="center" wrapText="1" shrinkToFit="1"/>
    </xf>
    <xf numFmtId="0" fontId="27" fillId="2" borderId="22" xfId="0" applyFont="1" applyFill="1" applyBorder="1" applyAlignment="1">
      <alignment horizontal="center" vertical="center" wrapText="1" shrinkToFit="1"/>
    </xf>
    <xf numFmtId="0" fontId="34" fillId="2" borderId="129" xfId="0" applyFont="1" applyFill="1" applyBorder="1" applyAlignment="1">
      <alignment horizontal="center" vertical="center" shrinkToFit="1"/>
    </xf>
    <xf numFmtId="0" fontId="34" fillId="2" borderId="16" xfId="0" applyFont="1" applyFill="1" applyBorder="1" applyAlignment="1">
      <alignment horizontal="center" vertical="center" shrinkToFit="1"/>
    </xf>
    <xf numFmtId="0" fontId="35" fillId="2" borderId="129" xfId="0" applyFont="1" applyFill="1" applyBorder="1" applyAlignment="1">
      <alignment horizontal="center" vertical="center"/>
    </xf>
    <xf numFmtId="0" fontId="35" fillId="2" borderId="16" xfId="0" applyFont="1" applyFill="1" applyBorder="1" applyAlignment="1">
      <alignment horizontal="center" vertical="center"/>
    </xf>
    <xf numFmtId="0" fontId="27" fillId="2" borderId="47" xfId="0" applyFont="1" applyFill="1" applyBorder="1" applyAlignment="1">
      <alignment horizontal="center" vertical="center" wrapText="1" shrinkToFit="1"/>
    </xf>
    <xf numFmtId="0" fontId="27" fillId="2" borderId="1" xfId="0" applyFont="1" applyFill="1" applyBorder="1" applyAlignment="1">
      <alignment horizontal="center" vertical="center" wrapText="1" shrinkToFit="1"/>
    </xf>
    <xf numFmtId="14" fontId="27" fillId="2" borderId="136" xfId="0" applyNumberFormat="1" applyFont="1" applyFill="1" applyBorder="1" applyAlignment="1">
      <alignment horizontal="center" vertical="center" wrapText="1" shrinkToFit="1"/>
    </xf>
    <xf numFmtId="14" fontId="27" fillId="2" borderId="22" xfId="0" applyNumberFormat="1" applyFont="1" applyFill="1" applyBorder="1" applyAlignment="1">
      <alignment horizontal="center" vertical="center" wrapText="1" shrinkToFit="1"/>
    </xf>
    <xf numFmtId="174" fontId="27" fillId="2" borderId="73" xfId="0" applyNumberFormat="1" applyFont="1" applyFill="1" applyBorder="1" applyAlignment="1">
      <alignment horizontal="center" vertical="center" wrapText="1" shrinkToFit="1"/>
    </xf>
    <xf numFmtId="174" fontId="27" fillId="2" borderId="71" xfId="0" applyNumberFormat="1" applyFont="1" applyFill="1" applyBorder="1" applyAlignment="1">
      <alignment horizontal="center" vertical="center" wrapText="1" shrinkToFit="1"/>
    </xf>
    <xf numFmtId="171" fontId="27" fillId="2" borderId="135" xfId="0" applyNumberFormat="1" applyFont="1" applyFill="1" applyBorder="1" applyAlignment="1">
      <alignment horizontal="center" vertical="center" wrapText="1"/>
    </xf>
    <xf numFmtId="171" fontId="27" fillId="2" borderId="21" xfId="0" applyNumberFormat="1" applyFont="1" applyFill="1" applyBorder="1" applyAlignment="1">
      <alignment horizontal="center" vertical="center" wrapText="1"/>
    </xf>
    <xf numFmtId="165" fontId="27" fillId="2" borderId="136" xfId="0" applyNumberFormat="1" applyFont="1" applyFill="1" applyBorder="1" applyAlignment="1">
      <alignment horizontal="center" vertical="center" wrapText="1"/>
    </xf>
    <xf numFmtId="165" fontId="27" fillId="2" borderId="22" xfId="0" applyNumberFormat="1" applyFont="1" applyFill="1" applyBorder="1" applyAlignment="1">
      <alignment horizontal="center" vertical="center" wrapText="1"/>
    </xf>
    <xf numFmtId="165" fontId="27" fillId="2" borderId="138" xfId="0" applyNumberFormat="1" applyFont="1" applyFill="1" applyBorder="1" applyAlignment="1">
      <alignment horizontal="center" vertical="center" wrapText="1"/>
    </xf>
    <xf numFmtId="165" fontId="27" fillId="2" borderId="15" xfId="0" applyNumberFormat="1" applyFont="1" applyFill="1" applyBorder="1" applyAlignment="1">
      <alignment horizontal="center" vertical="center"/>
    </xf>
    <xf numFmtId="167" fontId="27" fillId="2" borderId="47" xfId="0" applyNumberFormat="1" applyFont="1" applyFill="1" applyBorder="1" applyAlignment="1">
      <alignment horizontal="center" vertical="center" wrapText="1"/>
    </xf>
    <xf numFmtId="171" fontId="27" fillId="2" borderId="1" xfId="0" applyNumberFormat="1" applyFont="1" applyFill="1" applyBorder="1" applyAlignment="1">
      <alignment horizontal="center" vertical="center" wrapText="1"/>
    </xf>
    <xf numFmtId="171" fontId="27" fillId="2" borderId="47" xfId="0" applyNumberFormat="1" applyFont="1" applyFill="1" applyBorder="1" applyAlignment="1">
      <alignment horizontal="center" vertical="center" wrapText="1"/>
    </xf>
    <xf numFmtId="165" fontId="27" fillId="2" borderId="135" xfId="0" applyNumberFormat="1" applyFont="1" applyFill="1" applyBorder="1" applyAlignment="1">
      <alignment horizontal="center" vertical="center" wrapText="1" shrinkToFit="1"/>
    </xf>
    <xf numFmtId="165" fontId="27" fillId="2" borderId="21" xfId="0" applyNumberFormat="1" applyFont="1" applyFill="1" applyBorder="1" applyAlignment="1">
      <alignment horizontal="center" vertical="center" wrapText="1" shrinkToFit="1"/>
    </xf>
    <xf numFmtId="0" fontId="27" fillId="2" borderId="72" xfId="0" applyFont="1" applyFill="1" applyBorder="1" applyAlignment="1">
      <alignment horizontal="center" vertical="center"/>
    </xf>
    <xf numFmtId="0" fontId="27" fillId="2" borderId="51" xfId="0" applyFont="1" applyFill="1" applyBorder="1" applyAlignment="1">
      <alignment horizontal="center" vertical="center"/>
    </xf>
    <xf numFmtId="0" fontId="27" fillId="2" borderId="71" xfId="0" applyFont="1" applyFill="1" applyBorder="1" applyAlignment="1">
      <alignment horizontal="center" vertical="center"/>
    </xf>
    <xf numFmtId="174" fontId="27" fillId="2" borderId="129" xfId="0" applyNumberFormat="1" applyFont="1" applyFill="1" applyBorder="1" applyAlignment="1">
      <alignment horizontal="center" vertical="center" wrapText="1" shrinkToFit="1"/>
    </xf>
    <xf numFmtId="174" fontId="27" fillId="2" borderId="131" xfId="0" applyNumberFormat="1" applyFont="1" applyFill="1" applyBorder="1" applyAlignment="1">
      <alignment horizontal="center" vertical="center" wrapText="1" shrinkToFit="1"/>
    </xf>
    <xf numFmtId="0" fontId="35" fillId="2" borderId="73" xfId="0" applyFont="1" applyFill="1" applyBorder="1" applyAlignment="1">
      <alignment horizontal="center" vertical="center" wrapText="1"/>
    </xf>
    <xf numFmtId="0" fontId="35" fillId="2" borderId="2" xfId="0" applyFont="1" applyFill="1" applyBorder="1" applyAlignment="1">
      <alignment horizontal="center" vertical="center" wrapText="1"/>
    </xf>
    <xf numFmtId="174" fontId="27" fillId="2" borderId="138" xfId="0" applyNumberFormat="1" applyFont="1" applyFill="1" applyBorder="1" applyAlignment="1">
      <alignment horizontal="center" vertical="center" wrapText="1" shrinkToFit="1"/>
    </xf>
    <xf numFmtId="174" fontId="27" fillId="2" borderId="15" xfId="0" applyNumberFormat="1" applyFont="1" applyFill="1" applyBorder="1" applyAlignment="1">
      <alignment horizontal="center" vertical="center" wrapText="1" shrinkToFit="1"/>
    </xf>
    <xf numFmtId="164" fontId="27" fillId="2" borderId="72" xfId="0" applyNumberFormat="1" applyFont="1" applyFill="1" applyBorder="1" applyAlignment="1">
      <alignment horizontal="center" vertical="center" wrapText="1" shrinkToFit="1"/>
    </xf>
    <xf numFmtId="164" fontId="27" fillId="2" borderId="23" xfId="0" applyNumberFormat="1" applyFont="1" applyFill="1" applyBorder="1" applyAlignment="1">
      <alignment horizontal="center" vertical="center" wrapText="1" shrinkToFit="1"/>
    </xf>
    <xf numFmtId="165" fontId="27" fillId="2" borderId="73" xfId="0" applyNumberFormat="1" applyFont="1" applyFill="1" applyBorder="1" applyAlignment="1">
      <alignment horizontal="center" vertical="center" wrapText="1" shrinkToFit="1"/>
    </xf>
    <xf numFmtId="165" fontId="27" fillId="2" borderId="71" xfId="0" applyNumberFormat="1" applyFont="1" applyFill="1" applyBorder="1" applyAlignment="1">
      <alignment horizontal="center" vertical="center" wrapText="1" shrinkToFit="1"/>
    </xf>
    <xf numFmtId="171" fontId="27" fillId="2" borderId="136" xfId="0" applyNumberFormat="1" applyFont="1" applyFill="1" applyBorder="1" applyAlignment="1">
      <alignment horizontal="center" vertical="center" wrapText="1"/>
    </xf>
    <xf numFmtId="171" fontId="27" fillId="2" borderId="22" xfId="0" applyNumberFormat="1" applyFont="1" applyFill="1" applyBorder="1" applyAlignment="1">
      <alignment horizontal="center" vertical="center" wrapText="1"/>
    </xf>
    <xf numFmtId="0" fontId="27" fillId="2" borderId="2" xfId="0" applyFont="1" applyFill="1" applyBorder="1" applyAlignment="1">
      <alignment horizontal="center" vertical="center" wrapText="1" shrinkToFit="1"/>
    </xf>
    <xf numFmtId="0" fontId="27" fillId="2" borderId="24" xfId="0" applyFont="1" applyFill="1" applyBorder="1" applyAlignment="1">
      <alignment horizontal="center" vertical="center" wrapText="1" shrinkToFit="1"/>
    </xf>
    <xf numFmtId="0" fontId="27" fillId="2" borderId="71" xfId="0" applyFont="1" applyFill="1" applyBorder="1" applyAlignment="1">
      <alignment horizontal="center" vertical="center" shrinkToFit="1"/>
    </xf>
    <xf numFmtId="0" fontId="27" fillId="2" borderId="24" xfId="0" applyFont="1" applyFill="1" applyBorder="1" applyAlignment="1">
      <alignment horizontal="center" vertical="center" shrinkToFit="1"/>
    </xf>
    <xf numFmtId="0" fontId="27" fillId="2" borderId="72" xfId="0" applyFont="1" applyFill="1" applyBorder="1" applyAlignment="1">
      <alignment horizontal="center" vertical="center" shrinkToFit="1"/>
    </xf>
    <xf numFmtId="0" fontId="27" fillId="2" borderId="23" xfId="0" applyFont="1" applyFill="1" applyBorder="1" applyAlignment="1">
      <alignment horizontal="center" vertical="center" shrinkToFit="1"/>
    </xf>
    <xf numFmtId="0" fontId="27" fillId="2" borderId="135" xfId="0" applyFont="1" applyFill="1" applyBorder="1" applyAlignment="1">
      <alignment horizontal="center" vertical="center" wrapText="1" shrinkToFit="1"/>
    </xf>
    <xf numFmtId="0" fontId="27" fillId="2" borderId="21" xfId="0" applyFont="1" applyFill="1" applyBorder="1" applyAlignment="1">
      <alignment horizontal="center" vertical="center" wrapText="1" shrinkToFit="1"/>
    </xf>
    <xf numFmtId="171" fontId="27" fillId="2" borderId="139" xfId="0" applyNumberFormat="1" applyFont="1" applyFill="1" applyBorder="1" applyAlignment="1">
      <alignment horizontal="center" vertical="center" wrapText="1"/>
    </xf>
    <xf numFmtId="171" fontId="27" fillId="2" borderId="68" xfId="0" applyNumberFormat="1" applyFont="1" applyFill="1" applyBorder="1" applyAlignment="1">
      <alignment horizontal="center" vertical="center" wrapText="1"/>
    </xf>
    <xf numFmtId="167" fontId="27" fillId="2" borderId="1" xfId="0" applyNumberFormat="1" applyFont="1" applyFill="1" applyBorder="1" applyAlignment="1">
      <alignment horizontal="center" vertical="center" wrapText="1"/>
    </xf>
    <xf numFmtId="0" fontId="27" fillId="2" borderId="138" xfId="0" applyFont="1" applyFill="1" applyBorder="1" applyAlignment="1">
      <alignment horizontal="center" vertical="center" wrapText="1" shrinkToFit="1"/>
    </xf>
    <xf numFmtId="0" fontId="27" fillId="2" borderId="15" xfId="0" applyFont="1" applyFill="1" applyBorder="1" applyAlignment="1">
      <alignment horizontal="center" vertical="center" wrapText="1" shrinkToFit="1"/>
    </xf>
    <xf numFmtId="14" fontId="27" fillId="2" borderId="47" xfId="0" applyNumberFormat="1" applyFont="1" applyFill="1" applyBorder="1" applyAlignment="1">
      <alignment horizontal="center" vertical="center" wrapText="1" shrinkToFit="1"/>
    </xf>
    <xf numFmtId="14" fontId="27" fillId="2" borderId="1" xfId="0" applyNumberFormat="1" applyFont="1" applyFill="1" applyBorder="1" applyAlignment="1">
      <alignment horizontal="center" vertical="center" wrapText="1" shrinkToFit="1"/>
    </xf>
    <xf numFmtId="0" fontId="27" fillId="2" borderId="73" xfId="0" applyFont="1" applyFill="1" applyBorder="1" applyAlignment="1">
      <alignment horizontal="center" vertical="center" wrapText="1" shrinkToFit="1"/>
    </xf>
    <xf numFmtId="165" fontId="27" fillId="2" borderId="72" xfId="0" applyNumberFormat="1" applyFont="1" applyFill="1" applyBorder="1" applyAlignment="1">
      <alignment horizontal="center" vertical="center"/>
    </xf>
    <xf numFmtId="165" fontId="27" fillId="2" borderId="73" xfId="0" applyNumberFormat="1" applyFont="1" applyFill="1" applyBorder="1" applyAlignment="1">
      <alignment horizontal="center" vertical="center"/>
    </xf>
    <xf numFmtId="165" fontId="27" fillId="2" borderId="71" xfId="0" applyNumberFormat="1" applyFont="1" applyFill="1" applyBorder="1" applyAlignment="1">
      <alignment horizontal="center" vertical="center"/>
    </xf>
    <xf numFmtId="165" fontId="27" fillId="2" borderId="47" xfId="0" applyNumberFormat="1" applyFont="1" applyFill="1" applyBorder="1" applyAlignment="1">
      <alignment horizontal="center" vertical="center" wrapText="1"/>
    </xf>
    <xf numFmtId="165" fontId="27" fillId="2" borderId="1" xfId="0" applyNumberFormat="1" applyFont="1" applyFill="1" applyBorder="1" applyAlignment="1">
      <alignment horizontal="center" vertical="center"/>
    </xf>
    <xf numFmtId="0" fontId="27" fillId="2" borderId="71" xfId="0" applyFont="1" applyFill="1" applyBorder="1" applyAlignment="1">
      <alignment horizontal="center" vertical="center" wrapText="1" shrinkToFit="1"/>
    </xf>
    <xf numFmtId="0" fontId="44" fillId="20" borderId="141" xfId="0" applyFont="1" applyFill="1" applyBorder="1" applyAlignment="1">
      <alignment horizontal="center" vertical="center" textRotation="255" shrinkToFit="1"/>
    </xf>
    <xf numFmtId="0" fontId="44" fillId="20" borderId="120" xfId="0" applyFont="1" applyFill="1" applyBorder="1" applyAlignment="1">
      <alignment horizontal="center" vertical="center" textRotation="255" shrinkToFit="1"/>
    </xf>
    <xf numFmtId="0" fontId="44" fillId="20" borderId="143" xfId="0" applyFont="1" applyFill="1" applyBorder="1" applyAlignment="1">
      <alignment horizontal="center" vertical="center" textRotation="255" shrinkToFit="1"/>
    </xf>
    <xf numFmtId="0" fontId="37" fillId="0" borderId="4" xfId="0" applyFont="1" applyBorder="1" applyAlignment="1">
      <alignment horizontal="center" vertical="center"/>
    </xf>
    <xf numFmtId="0" fontId="37" fillId="0" borderId="70" xfId="0" applyFont="1" applyBorder="1" applyAlignment="1">
      <alignment horizontal="center" vertical="center"/>
    </xf>
    <xf numFmtId="0" fontId="34" fillId="2" borderId="135" xfId="0" applyFont="1" applyFill="1" applyBorder="1" applyAlignment="1">
      <alignment horizontal="center" vertical="center" wrapText="1" shrinkToFit="1"/>
    </xf>
    <xf numFmtId="0" fontId="34" fillId="2" borderId="21" xfId="0" applyFont="1" applyFill="1" applyBorder="1" applyAlignment="1">
      <alignment horizontal="center" vertical="center" shrinkToFit="1"/>
    </xf>
    <xf numFmtId="0" fontId="34" fillId="2" borderId="136" xfId="0" applyFont="1" applyFill="1" applyBorder="1" applyAlignment="1">
      <alignment horizontal="center" vertical="center" wrapText="1" shrinkToFit="1"/>
    </xf>
    <xf numFmtId="0" fontId="34" fillId="2" borderId="22" xfId="0" applyFont="1" applyFill="1" applyBorder="1" applyAlignment="1">
      <alignment horizontal="center" vertical="center" shrinkToFit="1"/>
    </xf>
    <xf numFmtId="0" fontId="35" fillId="2" borderId="136" xfId="0" applyFont="1" applyFill="1" applyBorder="1" applyAlignment="1">
      <alignment horizontal="center" vertical="center"/>
    </xf>
    <xf numFmtId="0" fontId="35" fillId="2" borderId="22" xfId="0" applyFont="1" applyFill="1" applyBorder="1" applyAlignment="1">
      <alignment horizontal="center" vertical="center"/>
    </xf>
    <xf numFmtId="0" fontId="35" fillId="2" borderId="138" xfId="0" applyFont="1" applyFill="1" applyBorder="1" applyAlignment="1">
      <alignment horizontal="center" vertical="center"/>
    </xf>
    <xf numFmtId="0" fontId="35" fillId="2" borderId="15" xfId="0" applyFont="1" applyFill="1" applyBorder="1" applyAlignment="1">
      <alignment horizontal="center" vertical="center"/>
    </xf>
    <xf numFmtId="0" fontId="27" fillId="2" borderId="73" xfId="0" applyFont="1" applyFill="1" applyBorder="1" applyAlignment="1">
      <alignment horizontal="center" vertical="center" shrinkToFit="1"/>
    </xf>
    <xf numFmtId="0" fontId="27" fillId="2" borderId="2" xfId="0" applyFont="1" applyFill="1" applyBorder="1" applyAlignment="1">
      <alignment horizontal="center" vertical="center" shrinkToFit="1"/>
    </xf>
    <xf numFmtId="164" fontId="35" fillId="2" borderId="71" xfId="0" applyNumberFormat="1" applyFont="1" applyFill="1" applyBorder="1" applyAlignment="1">
      <alignment horizontal="center" vertical="center" wrapText="1"/>
    </xf>
    <xf numFmtId="164" fontId="35" fillId="2" borderId="24" xfId="0" applyNumberFormat="1" applyFont="1" applyFill="1" applyBorder="1" applyAlignment="1">
      <alignment horizontal="center" vertical="center" wrapText="1"/>
    </xf>
    <xf numFmtId="164" fontId="35" fillId="2" borderId="73" xfId="0" applyNumberFormat="1" applyFont="1" applyFill="1" applyBorder="1" applyAlignment="1">
      <alignment horizontal="center" vertical="center" wrapText="1"/>
    </xf>
    <xf numFmtId="164" fontId="35" fillId="2" borderId="2" xfId="0" applyNumberFormat="1" applyFont="1" applyFill="1" applyBorder="1" applyAlignment="1">
      <alignment horizontal="center" vertical="center" wrapText="1"/>
    </xf>
    <xf numFmtId="0" fontId="35" fillId="2" borderId="72" xfId="0" applyFont="1" applyFill="1" applyBorder="1" applyAlignment="1">
      <alignment horizontal="center" vertical="center"/>
    </xf>
    <xf numFmtId="0" fontId="35" fillId="2" borderId="73" xfId="0" applyFont="1" applyFill="1" applyBorder="1" applyAlignment="1">
      <alignment horizontal="center" vertical="center"/>
    </xf>
    <xf numFmtId="0" fontId="35" fillId="2" borderId="115" xfId="0" applyFont="1" applyFill="1" applyBorder="1" applyAlignment="1">
      <alignment horizontal="center" vertical="center"/>
    </xf>
    <xf numFmtId="0" fontId="35" fillId="2" borderId="139" xfId="0" applyFont="1" applyFill="1" applyBorder="1" applyAlignment="1">
      <alignment horizontal="center" vertical="center"/>
    </xf>
    <xf numFmtId="0" fontId="27" fillId="2" borderId="140" xfId="0" applyFont="1" applyFill="1" applyBorder="1" applyAlignment="1">
      <alignment horizontal="center" vertical="center" wrapText="1" shrinkToFit="1"/>
    </xf>
    <xf numFmtId="0" fontId="27" fillId="2" borderId="115" xfId="0" applyFont="1" applyFill="1" applyBorder="1" applyAlignment="1">
      <alignment horizontal="center" vertical="center" wrapText="1" shrinkToFit="1"/>
    </xf>
    <xf numFmtId="0" fontId="27" fillId="2" borderId="139" xfId="0" applyFont="1" applyFill="1" applyBorder="1" applyAlignment="1">
      <alignment horizontal="center" vertical="center" wrapText="1" shrinkToFit="1"/>
    </xf>
    <xf numFmtId="0" fontId="27" fillId="2" borderId="47" xfId="0" applyFont="1" applyFill="1" applyBorder="1" applyAlignment="1">
      <alignment horizontal="center" vertical="center" shrinkToFit="1"/>
    </xf>
    <xf numFmtId="0" fontId="27" fillId="2" borderId="1" xfId="0" applyFont="1" applyFill="1" applyBorder="1" applyAlignment="1">
      <alignment horizontal="center" vertical="center" shrinkToFit="1"/>
    </xf>
    <xf numFmtId="0" fontId="14" fillId="0" borderId="140" xfId="0" applyFont="1" applyFill="1" applyBorder="1" applyAlignment="1">
      <alignment horizontal="center" vertical="center" textRotation="255"/>
    </xf>
    <xf numFmtId="0" fontId="14" fillId="0" borderId="141" xfId="0" applyFont="1" applyFill="1" applyBorder="1" applyAlignment="1">
      <alignment horizontal="center" vertical="center" textRotation="255"/>
    </xf>
    <xf numFmtId="0" fontId="14" fillId="0" borderId="99" xfId="0" applyFont="1" applyFill="1" applyBorder="1" applyAlignment="1">
      <alignment horizontal="center" vertical="center" textRotation="255"/>
    </xf>
    <xf numFmtId="0" fontId="14" fillId="0" borderId="120" xfId="0" applyFont="1" applyFill="1" applyBorder="1" applyAlignment="1">
      <alignment horizontal="center" vertical="center" textRotation="255"/>
    </xf>
    <xf numFmtId="0" fontId="14" fillId="0" borderId="142" xfId="0" applyFont="1" applyFill="1" applyBorder="1" applyAlignment="1">
      <alignment horizontal="center" vertical="center" textRotation="255"/>
    </xf>
    <xf numFmtId="0" fontId="14" fillId="0" borderId="143" xfId="0" applyFont="1" applyFill="1" applyBorder="1" applyAlignment="1">
      <alignment horizontal="center" vertical="center" textRotation="255"/>
    </xf>
    <xf numFmtId="170" fontId="13" fillId="0" borderId="150" xfId="0" applyNumberFormat="1" applyFont="1" applyFill="1" applyBorder="1" applyAlignment="1">
      <alignment horizontal="center" vertical="center" shrinkToFit="1"/>
    </xf>
    <xf numFmtId="170" fontId="13" fillId="0" borderId="151" xfId="0" applyNumberFormat="1" applyFont="1" applyFill="1" applyBorder="1" applyAlignment="1">
      <alignment horizontal="center" vertical="center" shrinkToFit="1"/>
    </xf>
    <xf numFmtId="170" fontId="13" fillId="0" borderId="169" xfId="0" applyNumberFormat="1" applyFont="1" applyFill="1" applyBorder="1" applyAlignment="1">
      <alignment horizontal="center" vertical="center" shrinkToFit="1"/>
    </xf>
    <xf numFmtId="170" fontId="13" fillId="0" borderId="170" xfId="0" applyNumberFormat="1" applyFont="1" applyFill="1" applyBorder="1" applyAlignment="1">
      <alignment horizontal="center" vertical="center" shrinkToFit="1"/>
    </xf>
    <xf numFmtId="0" fontId="14" fillId="0" borderId="0" xfId="0" applyFont="1" applyFill="1" applyAlignment="1">
      <alignment horizontal="center" vertical="center"/>
    </xf>
    <xf numFmtId="173" fontId="11" fillId="12" borderId="66" xfId="0" applyNumberFormat="1" applyFont="1" applyFill="1" applyBorder="1" applyAlignment="1">
      <alignment horizontal="center" vertical="center" wrapText="1" shrinkToFit="1"/>
    </xf>
    <xf numFmtId="173" fontId="11" fillId="12" borderId="48" xfId="0" applyNumberFormat="1" applyFont="1" applyFill="1" applyBorder="1" applyAlignment="1">
      <alignment horizontal="center" vertical="center" wrapText="1" shrinkToFit="1"/>
    </xf>
    <xf numFmtId="173" fontId="11" fillId="12" borderId="147" xfId="0" applyNumberFormat="1" applyFont="1" applyFill="1" applyBorder="1" applyAlignment="1">
      <alignment horizontal="center" vertical="center" wrapText="1" shrinkToFit="1"/>
    </xf>
    <xf numFmtId="165" fontId="11" fillId="12" borderId="283" xfId="0" applyNumberFormat="1" applyFont="1" applyFill="1" applyBorder="1" applyAlignment="1">
      <alignment horizontal="center" vertical="center" wrapText="1"/>
    </xf>
    <xf numFmtId="165" fontId="11" fillId="12" borderId="41" xfId="0" applyNumberFormat="1" applyFont="1" applyFill="1" applyBorder="1" applyAlignment="1">
      <alignment horizontal="center" vertical="center" wrapText="1"/>
    </xf>
    <xf numFmtId="165" fontId="11" fillId="12" borderId="97" xfId="0" applyNumberFormat="1" applyFont="1" applyFill="1" applyBorder="1" applyAlignment="1">
      <alignment horizontal="center" vertical="center" wrapText="1"/>
    </xf>
    <xf numFmtId="170" fontId="11" fillId="0" borderId="145" xfId="0" quotePrefix="1" applyNumberFormat="1" applyFont="1" applyFill="1" applyBorder="1" applyAlignment="1">
      <alignment horizontal="center" vertical="center" wrapText="1"/>
    </xf>
    <xf numFmtId="170" fontId="11" fillId="0" borderId="108" xfId="0" applyNumberFormat="1" applyFont="1" applyFill="1" applyBorder="1" applyAlignment="1">
      <alignment horizontal="center" vertical="center" wrapText="1"/>
    </xf>
    <xf numFmtId="170" fontId="11" fillId="0" borderId="101" xfId="0" applyNumberFormat="1" applyFont="1" applyFill="1" applyBorder="1" applyAlignment="1">
      <alignment horizontal="center" vertical="center" wrapText="1"/>
    </xf>
    <xf numFmtId="170" fontId="11" fillId="0" borderId="100" xfId="0" applyNumberFormat="1" applyFont="1" applyFill="1" applyBorder="1" applyAlignment="1">
      <alignment horizontal="center" vertical="center" wrapText="1"/>
    </xf>
    <xf numFmtId="170" fontId="11" fillId="0" borderId="76" xfId="0" quotePrefix="1" applyNumberFormat="1" applyFont="1" applyFill="1" applyBorder="1" applyAlignment="1">
      <alignment horizontal="center" vertical="center" wrapText="1"/>
    </xf>
    <xf numFmtId="170" fontId="11" fillId="0" borderId="144" xfId="0" applyNumberFormat="1" applyFont="1" applyFill="1" applyBorder="1" applyAlignment="1">
      <alignment horizontal="center" vertical="center" wrapText="1"/>
    </xf>
    <xf numFmtId="14" fontId="11" fillId="0" borderId="145" xfId="0" applyNumberFormat="1" applyFont="1" applyFill="1" applyBorder="1" applyAlignment="1">
      <alignment horizontal="left" vertical="center" wrapText="1"/>
    </xf>
    <xf numFmtId="14" fontId="11" fillId="0" borderId="49" xfId="0" applyNumberFormat="1" applyFont="1" applyFill="1" applyBorder="1" applyAlignment="1">
      <alignment horizontal="left" vertical="center" wrapText="1"/>
    </xf>
    <xf numFmtId="14" fontId="11" fillId="0" borderId="108" xfId="0" applyNumberFormat="1" applyFont="1" applyFill="1" applyBorder="1" applyAlignment="1">
      <alignment horizontal="left" vertical="center" wrapText="1"/>
    </xf>
    <xf numFmtId="14" fontId="11" fillId="0" borderId="101" xfId="0" applyNumberFormat="1" applyFont="1" applyFill="1" applyBorder="1" applyAlignment="1">
      <alignment horizontal="left" vertical="center" wrapText="1"/>
    </xf>
    <xf numFmtId="14" fontId="11" fillId="0" borderId="48" xfId="0" applyNumberFormat="1" applyFont="1" applyFill="1" applyBorder="1" applyAlignment="1">
      <alignment horizontal="left" vertical="center" wrapText="1"/>
    </xf>
    <xf numFmtId="14" fontId="11" fillId="0" borderId="100" xfId="0" applyNumberFormat="1" applyFont="1" applyFill="1" applyBorder="1" applyAlignment="1">
      <alignment horizontal="left" vertical="center" wrapText="1"/>
    </xf>
    <xf numFmtId="170" fontId="13" fillId="0" borderId="61" xfId="0" applyNumberFormat="1" applyFont="1" applyFill="1" applyBorder="1" applyAlignment="1">
      <alignment horizontal="center" vertical="center" shrinkToFit="1"/>
    </xf>
    <xf numFmtId="170" fontId="13" fillId="0" borderId="41" xfId="0" applyNumberFormat="1" applyFont="1" applyFill="1" applyBorder="1" applyAlignment="1">
      <alignment horizontal="center" vertical="center" shrinkToFit="1"/>
    </xf>
    <xf numFmtId="170" fontId="13" fillId="0" borderId="97" xfId="0" applyNumberFormat="1" applyFont="1" applyFill="1" applyBorder="1" applyAlignment="1">
      <alignment horizontal="center" vertical="center" shrinkToFit="1"/>
    </xf>
    <xf numFmtId="170" fontId="13" fillId="0" borderId="148" xfId="0" applyNumberFormat="1" applyFont="1" applyFill="1" applyBorder="1" applyAlignment="1">
      <alignment horizontal="center" vertical="center" shrinkToFit="1"/>
    </xf>
    <xf numFmtId="172" fontId="11" fillId="12" borderId="77" xfId="0" applyNumberFormat="1" applyFont="1" applyFill="1" applyBorder="1" applyAlignment="1">
      <alignment horizontal="center" vertical="center" shrinkToFit="1"/>
    </xf>
    <xf numFmtId="172" fontId="11" fillId="12" borderId="149" xfId="0" applyNumberFormat="1" applyFont="1" applyFill="1" applyBorder="1" applyAlignment="1">
      <alignment horizontal="center" vertical="center" shrinkToFit="1"/>
    </xf>
    <xf numFmtId="0" fontId="11" fillId="12" borderId="62" xfId="0" applyFont="1" applyFill="1" applyBorder="1" applyAlignment="1">
      <alignment horizontal="center" vertical="center" wrapText="1" shrinkToFit="1"/>
    </xf>
    <xf numFmtId="0" fontId="11" fillId="12" borderId="65" xfId="0" applyFont="1" applyFill="1" applyBorder="1" applyAlignment="1">
      <alignment horizontal="center" vertical="center" wrapText="1" shrinkToFit="1"/>
    </xf>
    <xf numFmtId="0" fontId="11" fillId="12" borderId="63" xfId="0" applyFont="1" applyFill="1" applyBorder="1" applyAlignment="1">
      <alignment horizontal="center" vertical="center" wrapText="1" shrinkToFit="1"/>
    </xf>
    <xf numFmtId="0" fontId="11" fillId="12" borderId="146" xfId="0" applyFont="1" applyFill="1" applyBorder="1" applyAlignment="1">
      <alignment horizontal="center" vertical="center" wrapText="1" shrinkToFit="1"/>
    </xf>
    <xf numFmtId="0" fontId="11" fillId="12" borderId="66" xfId="0" applyFont="1" applyFill="1" applyBorder="1" applyAlignment="1">
      <alignment horizontal="center" vertical="center" wrapText="1" shrinkToFit="1"/>
    </xf>
    <xf numFmtId="0" fontId="11" fillId="12" borderId="147" xfId="0" applyFont="1" applyFill="1" applyBorder="1" applyAlignment="1">
      <alignment horizontal="center" vertical="center" wrapText="1" shrinkToFit="1"/>
    </xf>
    <xf numFmtId="170" fontId="13" fillId="0" borderId="66" xfId="0" applyNumberFormat="1" applyFont="1" applyFill="1" applyBorder="1" applyAlignment="1">
      <alignment horizontal="center" vertical="center" shrinkToFit="1"/>
    </xf>
    <xf numFmtId="170" fontId="13" fillId="0" borderId="48" xfId="0" applyNumberFormat="1" applyFont="1" applyFill="1" applyBorder="1" applyAlignment="1">
      <alignment horizontal="center" vertical="center" shrinkToFit="1"/>
    </xf>
    <xf numFmtId="170" fontId="13" fillId="0" borderId="147" xfId="0" applyNumberFormat="1" applyFont="1" applyFill="1" applyBorder="1" applyAlignment="1">
      <alignment horizontal="center" vertical="center" shrinkToFit="1"/>
    </xf>
    <xf numFmtId="0" fontId="11" fillId="0" borderId="110" xfId="0" applyFont="1" applyFill="1" applyBorder="1" applyAlignment="1">
      <alignment horizontal="center" vertical="center" wrapText="1"/>
    </xf>
    <xf numFmtId="0" fontId="11" fillId="0" borderId="120" xfId="0" applyFont="1" applyFill="1" applyBorder="1" applyAlignment="1">
      <alignment horizontal="center" vertical="center" wrapText="1"/>
    </xf>
    <xf numFmtId="0" fontId="11" fillId="0" borderId="163" xfId="0" applyFont="1" applyFill="1" applyBorder="1" applyAlignment="1">
      <alignment horizontal="center" vertical="center" wrapText="1"/>
    </xf>
    <xf numFmtId="0" fontId="11" fillId="0" borderId="143" xfId="0" applyFont="1" applyFill="1" applyBorder="1" applyAlignment="1">
      <alignment horizontal="center" vertical="center" wrapText="1"/>
    </xf>
    <xf numFmtId="0" fontId="11" fillId="12" borderId="63" xfId="0" applyFont="1" applyFill="1" applyBorder="1" applyAlignment="1">
      <alignment horizontal="center" vertical="center" wrapText="1"/>
    </xf>
    <xf numFmtId="0" fontId="11" fillId="12" borderId="146" xfId="0" applyFont="1" applyFill="1" applyBorder="1" applyAlignment="1">
      <alignment horizontal="center" vertical="center" wrapText="1"/>
    </xf>
    <xf numFmtId="0" fontId="11" fillId="12" borderId="110" xfId="0" applyFont="1" applyFill="1" applyBorder="1" applyAlignment="1">
      <alignment horizontal="center" vertical="center" wrapText="1"/>
    </xf>
    <xf numFmtId="0" fontId="11" fillId="12" borderId="120" xfId="0" applyFont="1" applyFill="1" applyBorder="1" applyAlignment="1">
      <alignment horizontal="center" vertical="center" wrapText="1"/>
    </xf>
    <xf numFmtId="0" fontId="11" fillId="12" borderId="108" xfId="0" applyFont="1" applyFill="1" applyBorder="1" applyAlignment="1">
      <alignment horizontal="center" vertical="center" wrapText="1"/>
    </xf>
    <xf numFmtId="0" fontId="11" fillId="12" borderId="66" xfId="0" applyFont="1" applyFill="1" applyBorder="1" applyAlignment="1">
      <alignment horizontal="center" vertical="center" wrapText="1"/>
    </xf>
    <xf numFmtId="0" fontId="11" fillId="12" borderId="100" xfId="0" applyFont="1" applyFill="1" applyBorder="1" applyAlignment="1">
      <alignment horizontal="center" vertical="center" wrapText="1"/>
    </xf>
    <xf numFmtId="0" fontId="11" fillId="0" borderId="63" xfId="0" applyFont="1" applyFill="1" applyBorder="1" applyAlignment="1">
      <alignment horizontal="center" vertical="center" wrapText="1"/>
    </xf>
    <xf numFmtId="0" fontId="11" fillId="0" borderId="146" xfId="0" applyFont="1" applyFill="1" applyBorder="1" applyAlignment="1">
      <alignment horizontal="center" vertical="center" wrapText="1"/>
    </xf>
    <xf numFmtId="0" fontId="11" fillId="0" borderId="66" xfId="0" applyFont="1" applyFill="1" applyBorder="1" applyAlignment="1">
      <alignment horizontal="center" vertical="center" wrapText="1"/>
    </xf>
    <xf numFmtId="0" fontId="11" fillId="0" borderId="147" xfId="0" applyFont="1" applyFill="1" applyBorder="1" applyAlignment="1">
      <alignment horizontal="center" vertical="center" wrapText="1"/>
    </xf>
    <xf numFmtId="170" fontId="11" fillId="0" borderId="145" xfId="0" applyNumberFormat="1" applyFont="1" applyFill="1" applyBorder="1" applyAlignment="1">
      <alignment horizontal="center" vertical="center" wrapText="1"/>
    </xf>
    <xf numFmtId="170" fontId="11" fillId="12" borderId="76" xfId="0" applyNumberFormat="1" applyFont="1" applyFill="1" applyBorder="1" applyAlignment="1">
      <alignment horizontal="center" vertical="center" wrapText="1"/>
    </xf>
    <xf numFmtId="170" fontId="11" fillId="12" borderId="144" xfId="0" applyNumberFormat="1" applyFont="1" applyFill="1" applyBorder="1" applyAlignment="1">
      <alignment horizontal="center" vertical="center" wrapText="1"/>
    </xf>
    <xf numFmtId="0" fontId="11" fillId="0" borderId="145" xfId="0" applyFont="1" applyFill="1" applyBorder="1" applyAlignment="1">
      <alignment horizontal="center" vertical="center" wrapText="1"/>
    </xf>
    <xf numFmtId="0" fontId="11" fillId="0" borderId="108" xfId="0" applyFont="1" applyFill="1" applyBorder="1" applyAlignment="1">
      <alignment horizontal="center" vertical="center" wrapText="1"/>
    </xf>
    <xf numFmtId="0" fontId="11" fillId="0" borderId="101" xfId="0" applyFont="1" applyFill="1" applyBorder="1" applyAlignment="1">
      <alignment horizontal="center" vertical="center" wrapText="1"/>
    </xf>
    <xf numFmtId="0" fontId="11" fillId="0" borderId="100" xfId="0" applyFont="1" applyFill="1" applyBorder="1" applyAlignment="1">
      <alignment horizontal="center" vertical="center" wrapText="1"/>
    </xf>
    <xf numFmtId="0" fontId="11" fillId="12" borderId="62" xfId="0" applyFont="1" applyFill="1" applyBorder="1" applyAlignment="1">
      <alignment horizontal="center" vertical="center" wrapText="1"/>
    </xf>
    <xf numFmtId="0" fontId="11" fillId="12" borderId="167" xfId="0" applyFont="1" applyFill="1" applyBorder="1" applyAlignment="1">
      <alignment horizontal="center" vertical="center" wrapText="1"/>
    </xf>
    <xf numFmtId="0" fontId="11" fillId="12" borderId="76" xfId="0" applyFont="1" applyFill="1" applyBorder="1" applyAlignment="1">
      <alignment horizontal="center" vertical="center" wrapText="1"/>
    </xf>
    <xf numFmtId="0" fontId="11" fillId="12" borderId="144" xfId="0" applyFont="1" applyFill="1" applyBorder="1" applyAlignment="1">
      <alignment horizontal="center" vertical="center" wrapText="1"/>
    </xf>
    <xf numFmtId="174" fontId="11" fillId="12" borderId="63" xfId="0" applyNumberFormat="1" applyFont="1" applyFill="1" applyBorder="1" applyAlignment="1">
      <alignment horizontal="center" vertical="center" wrapText="1" shrinkToFit="1"/>
    </xf>
    <xf numFmtId="174" fontId="11" fillId="12" borderId="49" xfId="0" applyNumberFormat="1" applyFont="1" applyFill="1" applyBorder="1" applyAlignment="1">
      <alignment horizontal="center" vertical="center" wrapText="1" shrinkToFit="1"/>
    </xf>
    <xf numFmtId="174" fontId="11" fillId="12" borderId="108" xfId="0" applyNumberFormat="1" applyFont="1" applyFill="1" applyBorder="1" applyAlignment="1">
      <alignment horizontal="center" vertical="center" wrapText="1" shrinkToFit="1"/>
    </xf>
    <xf numFmtId="174" fontId="11" fillId="12" borderId="66" xfId="0" applyNumberFormat="1" applyFont="1" applyFill="1" applyBorder="1" applyAlignment="1">
      <alignment horizontal="center" vertical="center" wrapText="1" shrinkToFit="1"/>
    </xf>
    <xf numFmtId="174" fontId="11" fillId="12" borderId="48" xfId="0" applyNumberFormat="1" applyFont="1" applyFill="1" applyBorder="1" applyAlignment="1">
      <alignment horizontal="center" vertical="center" wrapText="1" shrinkToFit="1"/>
    </xf>
    <xf numFmtId="174" fontId="11" fillId="12" borderId="100" xfId="0" applyNumberFormat="1" applyFont="1" applyFill="1" applyBorder="1" applyAlignment="1">
      <alignment horizontal="center" vertical="center" wrapText="1" shrinkToFit="1"/>
    </xf>
    <xf numFmtId="173" fontId="11" fillId="12" borderId="61" xfId="0" applyNumberFormat="1" applyFont="1" applyFill="1" applyBorder="1" applyAlignment="1">
      <alignment horizontal="center" vertical="center" wrapText="1" shrinkToFit="1"/>
    </xf>
    <xf numFmtId="173" fontId="11" fillId="12" borderId="41" xfId="0" applyNumberFormat="1" applyFont="1" applyFill="1" applyBorder="1" applyAlignment="1">
      <alignment horizontal="center" vertical="center" wrapText="1" shrinkToFit="1"/>
    </xf>
    <xf numFmtId="173" fontId="11" fillId="12" borderId="148" xfId="0" applyNumberFormat="1" applyFont="1" applyFill="1" applyBorder="1" applyAlignment="1">
      <alignment horizontal="center" vertical="center" wrapText="1" shrinkToFit="1"/>
    </xf>
    <xf numFmtId="0" fontId="11" fillId="12" borderId="145" xfId="0" applyFont="1" applyFill="1" applyBorder="1" applyAlignment="1">
      <alignment horizontal="center" vertical="center" wrapText="1"/>
    </xf>
    <xf numFmtId="0" fontId="11" fillId="12" borderId="101" xfId="0" applyFont="1" applyFill="1" applyBorder="1" applyAlignment="1">
      <alignment horizontal="center" vertical="center" wrapText="1"/>
    </xf>
    <xf numFmtId="0" fontId="11" fillId="12" borderId="147" xfId="0" applyFont="1" applyFill="1" applyBorder="1" applyAlignment="1">
      <alignment horizontal="center" vertical="center" wrapText="1"/>
    </xf>
    <xf numFmtId="0" fontId="12" fillId="22" borderId="0" xfId="0" applyFont="1" applyFill="1" applyBorder="1" applyAlignment="1">
      <alignment horizontal="left" vertical="center" wrapText="1" shrinkToFit="1"/>
    </xf>
    <xf numFmtId="0" fontId="12" fillId="22" borderId="120" xfId="0" applyFont="1" applyFill="1" applyBorder="1" applyAlignment="1">
      <alignment horizontal="left" vertical="center" wrapText="1" shrinkToFit="1"/>
    </xf>
    <xf numFmtId="0" fontId="11" fillId="0" borderId="99" xfId="0" applyFont="1" applyFill="1" applyBorder="1" applyAlignment="1">
      <alignment horizontal="center" vertical="center" wrapText="1" shrinkToFit="1"/>
    </xf>
    <xf numFmtId="0" fontId="11" fillId="0" borderId="98" xfId="0" applyFont="1" applyFill="1" applyBorder="1" applyAlignment="1">
      <alignment horizontal="center" vertical="center" wrapText="1" shrinkToFit="1"/>
    </xf>
    <xf numFmtId="0" fontId="11" fillId="0" borderId="101" xfId="0" applyFont="1" applyFill="1" applyBorder="1" applyAlignment="1">
      <alignment horizontal="center" vertical="center" wrapText="1" shrinkToFit="1"/>
    </xf>
    <xf numFmtId="0" fontId="11" fillId="0" borderId="100" xfId="0" applyFont="1" applyFill="1" applyBorder="1" applyAlignment="1">
      <alignment horizontal="center" vertical="center" wrapText="1" shrinkToFit="1"/>
    </xf>
    <xf numFmtId="0" fontId="11" fillId="0" borderId="99" xfId="0" applyFont="1" applyFill="1" applyBorder="1" applyAlignment="1">
      <alignment horizontal="center" vertical="center" wrapText="1"/>
    </xf>
    <xf numFmtId="0" fontId="11" fillId="0" borderId="98" xfId="0" applyFont="1" applyFill="1" applyBorder="1" applyAlignment="1">
      <alignment horizontal="center" vertical="center" wrapText="1"/>
    </xf>
    <xf numFmtId="0" fontId="14" fillId="22" borderId="63" xfId="0" applyFont="1" applyFill="1" applyBorder="1" applyAlignment="1">
      <alignment horizontal="center" vertical="center"/>
    </xf>
    <xf numFmtId="0" fontId="14" fillId="22" borderId="49" xfId="0" applyFont="1" applyFill="1" applyBorder="1" applyAlignment="1">
      <alignment horizontal="center" vertical="center"/>
    </xf>
    <xf numFmtId="0" fontId="12" fillId="22" borderId="49" xfId="0" applyFont="1" applyFill="1" applyBorder="1" applyAlignment="1">
      <alignment horizontal="left" vertical="center" wrapText="1" shrinkToFit="1"/>
    </xf>
    <xf numFmtId="0" fontId="12" fillId="22" borderId="146" xfId="0" applyFont="1" applyFill="1" applyBorder="1" applyAlignment="1">
      <alignment horizontal="left" vertical="center" wrapText="1" shrinkToFit="1"/>
    </xf>
    <xf numFmtId="0" fontId="11" fillId="0" borderId="145" xfId="0" applyFont="1" applyFill="1" applyBorder="1" applyAlignment="1">
      <alignment horizontal="center" vertical="center" wrapText="1" shrinkToFit="1"/>
    </xf>
    <xf numFmtId="0" fontId="11" fillId="0" borderId="108" xfId="0" applyFont="1" applyFill="1" applyBorder="1" applyAlignment="1">
      <alignment horizontal="center" vertical="center" wrapText="1" shrinkToFit="1"/>
    </xf>
    <xf numFmtId="0" fontId="11" fillId="0" borderId="49" xfId="0" applyFont="1" applyFill="1" applyBorder="1" applyAlignment="1">
      <alignment horizontal="center" vertical="center" wrapText="1" shrinkToFit="1"/>
    </xf>
    <xf numFmtId="0" fontId="11" fillId="0" borderId="63" xfId="0" applyFont="1" applyFill="1" applyBorder="1" applyAlignment="1">
      <alignment horizontal="center" vertical="center" wrapText="1" shrinkToFit="1"/>
    </xf>
    <xf numFmtId="0" fontId="11" fillId="0" borderId="66" xfId="0" applyFont="1" applyFill="1" applyBorder="1" applyAlignment="1">
      <alignment horizontal="center" vertical="center" wrapText="1" shrinkToFit="1"/>
    </xf>
    <xf numFmtId="0" fontId="11" fillId="0" borderId="48" xfId="0" applyFont="1" applyFill="1" applyBorder="1" applyAlignment="1">
      <alignment horizontal="center" vertical="center" wrapText="1" shrinkToFit="1"/>
    </xf>
    <xf numFmtId="164" fontId="11" fillId="12" borderId="63" xfId="0" applyNumberFormat="1" applyFont="1" applyFill="1" applyBorder="1" applyAlignment="1">
      <alignment horizontal="center" vertical="center" shrinkToFit="1"/>
    </xf>
    <xf numFmtId="164" fontId="11" fillId="12" borderId="49" xfId="0" applyNumberFormat="1" applyFont="1" applyFill="1" applyBorder="1" applyAlignment="1">
      <alignment horizontal="center" vertical="center" shrinkToFit="1"/>
    </xf>
    <xf numFmtId="164" fontId="11" fillId="12" borderId="146" xfId="0" applyNumberFormat="1" applyFont="1" applyFill="1" applyBorder="1" applyAlignment="1">
      <alignment horizontal="center" vertical="center" shrinkToFit="1"/>
    </xf>
    <xf numFmtId="164" fontId="11" fillId="12" borderId="66" xfId="0" applyNumberFormat="1" applyFont="1" applyFill="1" applyBorder="1" applyAlignment="1">
      <alignment horizontal="center" vertical="center" shrinkToFit="1"/>
    </xf>
    <xf numFmtId="164" fontId="11" fillId="12" borderId="48" xfId="0" applyNumberFormat="1" applyFont="1" applyFill="1" applyBorder="1" applyAlignment="1">
      <alignment horizontal="center" vertical="center" shrinkToFit="1"/>
    </xf>
    <xf numFmtId="164" fontId="11" fillId="12" borderId="147" xfId="0" applyNumberFormat="1" applyFont="1" applyFill="1" applyBorder="1" applyAlignment="1">
      <alignment horizontal="center" vertical="center" shrinkToFit="1"/>
    </xf>
    <xf numFmtId="0" fontId="11" fillId="12" borderId="145" xfId="0" applyFont="1" applyFill="1" applyBorder="1" applyAlignment="1">
      <alignment horizontal="center" vertical="center" wrapText="1" shrinkToFit="1"/>
    </xf>
    <xf numFmtId="0" fontId="11" fillId="12" borderId="108" xfId="0" applyFont="1" applyFill="1" applyBorder="1" applyAlignment="1">
      <alignment horizontal="center" vertical="center" wrapText="1" shrinkToFit="1"/>
    </xf>
    <xf numFmtId="0" fontId="11" fillId="12" borderId="101" xfId="0" applyFont="1" applyFill="1" applyBorder="1" applyAlignment="1">
      <alignment horizontal="center" vertical="center" wrapText="1" shrinkToFit="1"/>
    </xf>
    <xf numFmtId="0" fontId="11" fillId="12" borderId="100" xfId="0" applyFont="1" applyFill="1" applyBorder="1" applyAlignment="1">
      <alignment horizontal="center" vertical="center" wrapText="1" shrinkToFit="1"/>
    </xf>
    <xf numFmtId="14" fontId="11" fillId="0" borderId="146" xfId="0" applyNumberFormat="1" applyFont="1" applyFill="1" applyBorder="1" applyAlignment="1">
      <alignment horizontal="left" vertical="center" wrapText="1"/>
    </xf>
    <xf numFmtId="14" fontId="11" fillId="0" borderId="99" xfId="0" applyNumberFormat="1" applyFont="1" applyFill="1" applyBorder="1" applyAlignment="1">
      <alignment horizontal="left" vertical="center" wrapText="1"/>
    </xf>
    <xf numFmtId="14" fontId="11" fillId="0" borderId="0" xfId="0" applyNumberFormat="1" applyFont="1" applyFill="1" applyBorder="1" applyAlignment="1">
      <alignment horizontal="left" vertical="center" wrapText="1"/>
    </xf>
    <xf numFmtId="14" fontId="11" fillId="0" borderId="120" xfId="0" applyNumberFormat="1" applyFont="1" applyFill="1" applyBorder="1" applyAlignment="1">
      <alignment horizontal="left" vertical="center" wrapText="1"/>
    </xf>
    <xf numFmtId="0" fontId="12" fillId="0" borderId="66" xfId="0" applyFont="1" applyFill="1" applyBorder="1" applyAlignment="1">
      <alignment horizontal="left" vertical="center" shrinkToFit="1"/>
    </xf>
    <xf numFmtId="0" fontId="12" fillId="0" borderId="48" xfId="0" applyFont="1" applyFill="1" applyBorder="1" applyAlignment="1">
      <alignment horizontal="left" vertical="center" shrinkToFit="1"/>
    </xf>
    <xf numFmtId="0" fontId="12" fillId="0" borderId="147" xfId="0" applyFont="1" applyFill="1" applyBorder="1" applyAlignment="1">
      <alignment horizontal="left" vertical="center" shrinkToFit="1"/>
    </xf>
    <xf numFmtId="0" fontId="11" fillId="12" borderId="48" xfId="0" applyFont="1" applyFill="1" applyBorder="1" applyAlignment="1">
      <alignment horizontal="center" vertical="center" wrapText="1" shrinkToFit="1"/>
    </xf>
    <xf numFmtId="0" fontId="11" fillId="12" borderId="65" xfId="0" applyFont="1" applyFill="1" applyBorder="1" applyAlignment="1">
      <alignment horizontal="center" vertical="center" wrapText="1"/>
    </xf>
    <xf numFmtId="14" fontId="11" fillId="0" borderId="147" xfId="0" applyNumberFormat="1" applyFont="1" applyFill="1" applyBorder="1" applyAlignment="1">
      <alignment horizontal="left" vertical="center" wrapText="1"/>
    </xf>
    <xf numFmtId="0" fontId="11" fillId="12" borderId="49" xfId="0" applyFont="1" applyFill="1" applyBorder="1" applyAlignment="1">
      <alignment horizontal="center" vertical="center" wrapText="1" shrinkToFit="1"/>
    </xf>
    <xf numFmtId="0" fontId="12" fillId="0" borderId="163" xfId="0" applyFont="1" applyFill="1" applyBorder="1" applyAlignment="1">
      <alignment horizontal="left" vertical="center" shrinkToFit="1"/>
    </xf>
    <xf numFmtId="0" fontId="12" fillId="0" borderId="50" xfId="0" applyFont="1" applyFill="1" applyBorder="1" applyAlignment="1">
      <alignment horizontal="left" vertical="center" shrinkToFit="1"/>
    </xf>
    <xf numFmtId="0" fontId="12" fillId="0" borderId="143" xfId="0" applyFont="1" applyFill="1" applyBorder="1" applyAlignment="1">
      <alignment horizontal="left" vertical="center" shrinkToFit="1"/>
    </xf>
    <xf numFmtId="170" fontId="11" fillId="0" borderId="76" xfId="0" applyNumberFormat="1" applyFont="1" applyFill="1" applyBorder="1" applyAlignment="1">
      <alignment horizontal="center" vertical="center" wrapText="1"/>
    </xf>
    <xf numFmtId="170" fontId="13" fillId="0" borderId="100" xfId="0" applyNumberFormat="1" applyFont="1" applyFill="1" applyBorder="1" applyAlignment="1">
      <alignment horizontal="center" vertical="center" shrinkToFit="1"/>
    </xf>
    <xf numFmtId="170" fontId="11" fillId="12" borderId="145" xfId="0" applyNumberFormat="1" applyFont="1" applyFill="1" applyBorder="1" applyAlignment="1">
      <alignment horizontal="center" vertical="center" wrapText="1"/>
    </xf>
    <xf numFmtId="170" fontId="11" fillId="12" borderId="108" xfId="0" applyNumberFormat="1" applyFont="1" applyFill="1" applyBorder="1" applyAlignment="1">
      <alignment horizontal="center" vertical="center" wrapText="1"/>
    </xf>
    <xf numFmtId="170" fontId="11" fillId="12" borderId="101" xfId="0" applyNumberFormat="1" applyFont="1" applyFill="1" applyBorder="1" applyAlignment="1">
      <alignment horizontal="center" vertical="center" wrapText="1"/>
    </xf>
    <xf numFmtId="170" fontId="11" fillId="12" borderId="100" xfId="0" applyNumberFormat="1" applyFont="1" applyFill="1" applyBorder="1" applyAlignment="1">
      <alignment horizontal="center" vertical="center" wrapText="1"/>
    </xf>
    <xf numFmtId="0" fontId="11" fillId="12" borderId="98" xfId="0" applyFont="1" applyFill="1" applyBorder="1" applyAlignment="1">
      <alignment horizontal="center" vertical="center" wrapText="1"/>
    </xf>
    <xf numFmtId="0" fontId="11" fillId="12" borderId="142" xfId="0" applyFont="1" applyFill="1" applyBorder="1" applyAlignment="1">
      <alignment horizontal="center" vertical="center" wrapText="1" shrinkToFit="1"/>
    </xf>
    <xf numFmtId="0" fontId="11" fillId="12" borderId="50" xfId="0" applyFont="1" applyFill="1" applyBorder="1" applyAlignment="1">
      <alignment horizontal="center" vertical="center" wrapText="1" shrinkToFit="1"/>
    </xf>
    <xf numFmtId="0" fontId="11" fillId="12" borderId="171" xfId="0" applyFont="1" applyFill="1" applyBorder="1" applyAlignment="1">
      <alignment horizontal="center" vertical="center" wrapText="1" shrinkToFit="1"/>
    </xf>
    <xf numFmtId="170" fontId="13" fillId="0" borderId="45" xfId="0" applyNumberFormat="1" applyFont="1" applyFill="1" applyBorder="1" applyAlignment="1">
      <alignment horizontal="center" vertical="center" shrinkToFit="1"/>
    </xf>
    <xf numFmtId="170" fontId="13" fillId="0" borderId="174" xfId="0" applyNumberFormat="1" applyFont="1" applyFill="1" applyBorder="1" applyAlignment="1">
      <alignment horizontal="center" vertical="center" shrinkToFit="1"/>
    </xf>
    <xf numFmtId="14" fontId="11" fillId="0" borderId="98" xfId="0" applyNumberFormat="1" applyFont="1" applyFill="1" applyBorder="1" applyAlignment="1">
      <alignment horizontal="left" vertical="center" wrapText="1"/>
    </xf>
    <xf numFmtId="14" fontId="11" fillId="0" borderId="142" xfId="0" applyNumberFormat="1" applyFont="1" applyFill="1" applyBorder="1" applyAlignment="1">
      <alignment horizontal="left" vertical="center" wrapText="1"/>
    </xf>
    <xf numFmtId="14" fontId="11" fillId="0" borderId="50" xfId="0" applyNumberFormat="1" applyFont="1" applyFill="1" applyBorder="1" applyAlignment="1">
      <alignment horizontal="left" vertical="center" wrapText="1"/>
    </xf>
    <xf numFmtId="14" fontId="11" fillId="0" borderId="171" xfId="0" applyNumberFormat="1" applyFont="1" applyFill="1" applyBorder="1" applyAlignment="1">
      <alignment horizontal="left" vertical="center" wrapText="1"/>
    </xf>
    <xf numFmtId="172" fontId="11" fillId="12" borderId="166" xfId="0" applyNumberFormat="1" applyFont="1" applyFill="1" applyBorder="1" applyAlignment="1">
      <alignment horizontal="center" vertical="center" shrinkToFit="1"/>
    </xf>
    <xf numFmtId="0" fontId="11" fillId="12" borderId="110" xfId="0" applyFont="1" applyFill="1" applyBorder="1" applyAlignment="1">
      <alignment horizontal="center" vertical="center" wrapText="1" shrinkToFit="1"/>
    </xf>
    <xf numFmtId="0" fontId="11" fillId="12" borderId="120" xfId="0" applyFont="1" applyFill="1" applyBorder="1" applyAlignment="1">
      <alignment horizontal="center" vertical="center" wrapText="1" shrinkToFit="1"/>
    </xf>
    <xf numFmtId="14" fontId="11" fillId="0" borderId="143" xfId="0" applyNumberFormat="1" applyFont="1" applyFill="1" applyBorder="1" applyAlignment="1">
      <alignment horizontal="left" vertical="center" wrapText="1"/>
    </xf>
    <xf numFmtId="0" fontId="11" fillId="12" borderId="0" xfId="0" applyFont="1" applyFill="1" applyBorder="1" applyAlignment="1">
      <alignment horizontal="center" vertical="center" wrapText="1" shrinkToFit="1"/>
    </xf>
    <xf numFmtId="0" fontId="11" fillId="12" borderId="98" xfId="0" applyFont="1" applyFill="1" applyBorder="1" applyAlignment="1">
      <alignment horizontal="center" vertical="center" wrapText="1" shrinkToFit="1"/>
    </xf>
    <xf numFmtId="0" fontId="11" fillId="12" borderId="163" xfId="0" applyFont="1" applyFill="1" applyBorder="1" applyAlignment="1">
      <alignment horizontal="center" vertical="center" wrapText="1" shrinkToFit="1"/>
    </xf>
    <xf numFmtId="0" fontId="11" fillId="12" borderId="173" xfId="0" applyFont="1" applyFill="1" applyBorder="1" applyAlignment="1">
      <alignment horizontal="center" vertical="center" wrapText="1"/>
    </xf>
    <xf numFmtId="170" fontId="13" fillId="0" borderId="155" xfId="0" applyNumberFormat="1" applyFont="1" applyFill="1" applyBorder="1" applyAlignment="1">
      <alignment horizontal="center" vertical="center" shrinkToFit="1"/>
    </xf>
    <xf numFmtId="0" fontId="14" fillId="22" borderId="110" xfId="0" applyFont="1" applyFill="1" applyBorder="1" applyAlignment="1">
      <alignment horizontal="center" vertical="center"/>
    </xf>
    <xf numFmtId="0" fontId="14" fillId="22" borderId="0" xfId="0" applyFont="1" applyFill="1" applyBorder="1" applyAlignment="1">
      <alignment horizontal="center" vertical="center"/>
    </xf>
    <xf numFmtId="0" fontId="12" fillId="0" borderId="110" xfId="0" applyFont="1" applyFill="1" applyBorder="1" applyAlignment="1">
      <alignment horizontal="left" vertical="center" shrinkToFit="1"/>
    </xf>
    <xf numFmtId="0" fontId="12" fillId="0" borderId="0" xfId="0" applyFont="1" applyFill="1" applyBorder="1" applyAlignment="1">
      <alignment horizontal="left" vertical="center" shrinkToFit="1"/>
    </xf>
    <xf numFmtId="0" fontId="12" fillId="0" borderId="120" xfId="0" applyFont="1" applyFill="1" applyBorder="1" applyAlignment="1">
      <alignment horizontal="left" vertical="center" shrinkToFit="1"/>
    </xf>
    <xf numFmtId="173" fontId="11" fillId="0" borderId="61" xfId="0" applyNumberFormat="1" applyFont="1" applyFill="1" applyBorder="1" applyAlignment="1">
      <alignment horizontal="center" vertical="center" wrapText="1" shrinkToFit="1"/>
    </xf>
    <xf numFmtId="173" fontId="11" fillId="0" borderId="41" xfId="0" applyNumberFormat="1" applyFont="1" applyFill="1" applyBorder="1" applyAlignment="1">
      <alignment horizontal="center" vertical="center" wrapText="1" shrinkToFit="1"/>
    </xf>
    <xf numFmtId="173" fontId="11" fillId="0" borderId="148" xfId="0" applyNumberFormat="1" applyFont="1" applyFill="1" applyBorder="1" applyAlignment="1">
      <alignment horizontal="center" vertical="center" wrapText="1" shrinkToFit="1"/>
    </xf>
    <xf numFmtId="164" fontId="11" fillId="12" borderId="110" xfId="0" applyNumberFormat="1" applyFont="1" applyFill="1" applyBorder="1" applyAlignment="1">
      <alignment horizontal="center" vertical="center" shrinkToFit="1"/>
    </xf>
    <xf numFmtId="164" fontId="11" fillId="12" borderId="0" xfId="0" applyNumberFormat="1" applyFont="1" applyFill="1" applyBorder="1" applyAlignment="1">
      <alignment horizontal="center" vertical="center" shrinkToFit="1"/>
    </xf>
    <xf numFmtId="164" fontId="11" fillId="12" borderId="120" xfId="0" applyNumberFormat="1" applyFont="1" applyFill="1" applyBorder="1" applyAlignment="1">
      <alignment horizontal="center" vertical="center" shrinkToFit="1"/>
    </xf>
    <xf numFmtId="165" fontId="11" fillId="12" borderId="145" xfId="0" applyNumberFormat="1" applyFont="1" applyFill="1" applyBorder="1" applyAlignment="1">
      <alignment horizontal="center" vertical="center" wrapText="1"/>
    </xf>
    <xf numFmtId="165" fontId="11" fillId="12" borderId="49" xfId="0" applyNumberFormat="1" applyFont="1" applyFill="1" applyBorder="1" applyAlignment="1">
      <alignment horizontal="center" vertical="center" wrapText="1"/>
    </xf>
    <xf numFmtId="165" fontId="11" fillId="12" borderId="108" xfId="0" applyNumberFormat="1" applyFont="1" applyFill="1" applyBorder="1" applyAlignment="1">
      <alignment horizontal="center" vertical="center" wrapText="1"/>
    </xf>
    <xf numFmtId="165" fontId="11" fillId="12" borderId="349" xfId="0" applyNumberFormat="1" applyFont="1" applyFill="1" applyBorder="1" applyAlignment="1">
      <alignment horizontal="center" vertical="center" wrapText="1"/>
    </xf>
    <xf numFmtId="165" fontId="11" fillId="12" borderId="45" xfId="0" applyNumberFormat="1" applyFont="1" applyFill="1" applyBorder="1" applyAlignment="1">
      <alignment horizontal="center" vertical="center" wrapText="1"/>
    </xf>
    <xf numFmtId="165" fontId="11" fillId="12" borderId="161" xfId="0" applyNumberFormat="1" applyFont="1" applyFill="1" applyBorder="1" applyAlignment="1">
      <alignment horizontal="center" vertical="center" wrapText="1"/>
    </xf>
    <xf numFmtId="170" fontId="11" fillId="12" borderId="99" xfId="0" applyNumberFormat="1" applyFont="1" applyFill="1" applyBorder="1" applyAlignment="1">
      <alignment horizontal="center" vertical="center" wrapText="1"/>
    </xf>
    <xf numFmtId="170" fontId="11" fillId="12" borderId="98" xfId="0" applyNumberFormat="1" applyFont="1" applyFill="1" applyBorder="1" applyAlignment="1">
      <alignment horizontal="center" vertical="center" wrapText="1"/>
    </xf>
    <xf numFmtId="0" fontId="11" fillId="0" borderId="283" xfId="0" applyFont="1" applyFill="1" applyBorder="1" applyAlignment="1">
      <alignment horizontal="center" vertical="center" wrapText="1"/>
    </xf>
    <xf numFmtId="0" fontId="11" fillId="0" borderId="97" xfId="0" applyFont="1" applyFill="1" applyBorder="1" applyAlignment="1">
      <alignment horizontal="center" vertical="center" wrapText="1"/>
    </xf>
    <xf numFmtId="165" fontId="11" fillId="0" borderId="283" xfId="0" applyNumberFormat="1" applyFont="1" applyFill="1" applyBorder="1" applyAlignment="1">
      <alignment horizontal="center" vertical="center" wrapText="1"/>
    </xf>
    <xf numFmtId="165" fontId="11" fillId="0" borderId="41" xfId="0" applyNumberFormat="1" applyFont="1" applyFill="1" applyBorder="1" applyAlignment="1">
      <alignment horizontal="center" vertical="center" wrapText="1"/>
    </xf>
    <xf numFmtId="165" fontId="11" fillId="0" borderId="97" xfId="0" applyNumberFormat="1" applyFont="1" applyFill="1" applyBorder="1" applyAlignment="1">
      <alignment horizontal="center" vertical="center" wrapText="1"/>
    </xf>
    <xf numFmtId="170" fontId="11" fillId="12" borderId="142" xfId="0" applyNumberFormat="1" applyFont="1" applyFill="1" applyBorder="1" applyAlignment="1">
      <alignment horizontal="center" vertical="center" wrapText="1"/>
    </xf>
    <xf numFmtId="170" fontId="11" fillId="12" borderId="171" xfId="0" applyNumberFormat="1" applyFont="1" applyFill="1" applyBorder="1" applyAlignment="1">
      <alignment horizontal="center" vertical="center" wrapText="1"/>
    </xf>
    <xf numFmtId="170" fontId="11" fillId="12" borderId="168" xfId="0" applyNumberFormat="1" applyFont="1" applyFill="1" applyBorder="1" applyAlignment="1">
      <alignment horizontal="center" vertical="center" wrapText="1"/>
    </xf>
    <xf numFmtId="170" fontId="11" fillId="12" borderId="165" xfId="0" applyNumberFormat="1" applyFont="1" applyFill="1" applyBorder="1" applyAlignment="1">
      <alignment horizontal="center" vertical="center" wrapText="1"/>
    </xf>
    <xf numFmtId="170" fontId="13" fillId="0" borderId="287" xfId="0" applyNumberFormat="1" applyFont="1" applyFill="1" applyBorder="1" applyAlignment="1">
      <alignment horizontal="center" vertical="center" shrinkToFit="1"/>
    </xf>
    <xf numFmtId="170" fontId="13" fillId="0" borderId="289" xfId="0" applyNumberFormat="1" applyFont="1" applyFill="1" applyBorder="1" applyAlignment="1">
      <alignment horizontal="center" vertical="center" shrinkToFit="1"/>
    </xf>
    <xf numFmtId="170" fontId="11" fillId="0" borderId="99" xfId="0" applyNumberFormat="1" applyFont="1" applyFill="1" applyBorder="1" applyAlignment="1">
      <alignment horizontal="center" vertical="center" wrapText="1"/>
    </xf>
    <xf numFmtId="170" fontId="11" fillId="0" borderId="98" xfId="0" applyNumberFormat="1" applyFont="1" applyFill="1" applyBorder="1" applyAlignment="1">
      <alignment horizontal="center" vertical="center" wrapText="1"/>
    </xf>
    <xf numFmtId="170" fontId="11" fillId="0" borderId="168" xfId="0" applyNumberFormat="1" applyFont="1" applyFill="1" applyBorder="1" applyAlignment="1">
      <alignment horizontal="center" vertical="center" wrapText="1"/>
    </xf>
    <xf numFmtId="173" fontId="11" fillId="10" borderId="61" xfId="0" applyNumberFormat="1" applyFont="1" applyFill="1" applyBorder="1" applyAlignment="1">
      <alignment horizontal="center" vertical="center" wrapText="1" shrinkToFit="1"/>
    </xf>
    <xf numFmtId="173" fontId="11" fillId="10" borderId="41" xfId="0" applyNumberFormat="1" applyFont="1" applyFill="1" applyBorder="1" applyAlignment="1">
      <alignment horizontal="center" vertical="center" wrapText="1" shrinkToFit="1"/>
    </xf>
    <xf numFmtId="173" fontId="11" fillId="10" borderId="148" xfId="0" applyNumberFormat="1" applyFont="1" applyFill="1" applyBorder="1" applyAlignment="1">
      <alignment horizontal="center" vertical="center" wrapText="1" shrinkToFit="1"/>
    </xf>
    <xf numFmtId="0" fontId="10" fillId="0" borderId="156" xfId="2" applyFont="1" applyFill="1" applyBorder="1" applyAlignment="1">
      <alignment horizontal="center" vertical="center" wrapText="1"/>
    </xf>
    <xf numFmtId="0" fontId="10" fillId="0" borderId="33" xfId="2" applyFont="1" applyFill="1" applyBorder="1" applyAlignment="1">
      <alignment horizontal="center" vertical="center" wrapText="1"/>
    </xf>
    <xf numFmtId="165" fontId="11" fillId="0" borderId="145" xfId="0" applyNumberFormat="1" applyFont="1" applyFill="1" applyBorder="1" applyAlignment="1">
      <alignment horizontal="center" vertical="center" wrapText="1"/>
    </xf>
    <xf numFmtId="165" fontId="11" fillId="0" borderId="49" xfId="0" applyNumberFormat="1" applyFont="1" applyFill="1" applyBorder="1" applyAlignment="1">
      <alignment horizontal="center" vertical="center" wrapText="1"/>
    </xf>
    <xf numFmtId="165" fontId="11" fillId="0" borderId="108" xfId="0" applyNumberFormat="1" applyFont="1" applyFill="1" applyBorder="1" applyAlignment="1">
      <alignment horizontal="center" vertical="center" wrapText="1"/>
    </xf>
    <xf numFmtId="0" fontId="10" fillId="0" borderId="72" xfId="0" applyFont="1" applyFill="1" applyBorder="1" applyAlignment="1">
      <alignment horizontal="center" vertical="center" wrapText="1"/>
    </xf>
    <xf numFmtId="0" fontId="10" fillId="0" borderId="74" xfId="0" applyFont="1" applyFill="1" applyBorder="1" applyAlignment="1">
      <alignment horizontal="center" vertical="center" wrapText="1"/>
    </xf>
    <xf numFmtId="0" fontId="10" fillId="0" borderId="30" xfId="0" applyFont="1" applyFill="1" applyBorder="1" applyAlignment="1">
      <alignment horizontal="center" vertical="center" wrapText="1"/>
    </xf>
    <xf numFmtId="0" fontId="10" fillId="0" borderId="133" xfId="0" applyFont="1" applyFill="1" applyBorder="1" applyAlignment="1">
      <alignment horizontal="center" vertical="center" wrapText="1"/>
    </xf>
    <xf numFmtId="174" fontId="11" fillId="0" borderId="63" xfId="0" applyNumberFormat="1" applyFont="1" applyFill="1" applyBorder="1" applyAlignment="1">
      <alignment horizontal="center" vertical="center" wrapText="1" shrinkToFit="1"/>
    </xf>
    <xf numFmtId="174" fontId="11" fillId="0" borderId="49" xfId="0" applyNumberFormat="1" applyFont="1" applyFill="1" applyBorder="1" applyAlignment="1">
      <alignment horizontal="center" vertical="center" wrapText="1" shrinkToFit="1"/>
    </xf>
    <xf numFmtId="174" fontId="11" fillId="0" borderId="108" xfId="0" applyNumberFormat="1" applyFont="1" applyFill="1" applyBorder="1" applyAlignment="1">
      <alignment horizontal="center" vertical="center" wrapText="1" shrinkToFit="1"/>
    </xf>
    <xf numFmtId="174" fontId="11" fillId="0" borderId="110" xfId="0" applyNumberFormat="1" applyFont="1" applyFill="1" applyBorder="1" applyAlignment="1">
      <alignment horizontal="center" vertical="center" wrapText="1" shrinkToFit="1"/>
    </xf>
    <xf numFmtId="174" fontId="11" fillId="0" borderId="0" xfId="0" applyNumberFormat="1" applyFont="1" applyFill="1" applyBorder="1" applyAlignment="1">
      <alignment horizontal="center" vertical="center" wrapText="1" shrinkToFit="1"/>
    </xf>
    <xf numFmtId="174" fontId="11" fillId="0" borderId="98" xfId="0" applyNumberFormat="1" applyFont="1" applyFill="1" applyBorder="1" applyAlignment="1">
      <alignment horizontal="center" vertical="center" wrapText="1" shrinkToFit="1"/>
    </xf>
    <xf numFmtId="0" fontId="11" fillId="0" borderId="142" xfId="0" applyFont="1" applyFill="1" applyBorder="1" applyAlignment="1">
      <alignment horizontal="center" vertical="center" wrapText="1" shrinkToFit="1"/>
    </xf>
    <xf numFmtId="0" fontId="11" fillId="0" borderId="171" xfId="0" applyFont="1" applyFill="1" applyBorder="1" applyAlignment="1">
      <alignment horizontal="center" vertical="center" wrapText="1" shrinkToFit="1"/>
    </xf>
    <xf numFmtId="164" fontId="11" fillId="0" borderId="63" xfId="0" applyNumberFormat="1" applyFont="1" applyFill="1" applyBorder="1" applyAlignment="1">
      <alignment horizontal="center" vertical="center" shrinkToFit="1"/>
    </xf>
    <xf numFmtId="164" fontId="11" fillId="0" borderId="49" xfId="0" applyNumberFormat="1" applyFont="1" applyFill="1" applyBorder="1" applyAlignment="1">
      <alignment horizontal="center" vertical="center" shrinkToFit="1"/>
    </xf>
    <xf numFmtId="164" fontId="11" fillId="0" borderId="146" xfId="0" applyNumberFormat="1" applyFont="1" applyFill="1" applyBorder="1" applyAlignment="1">
      <alignment horizontal="center" vertical="center" shrinkToFit="1"/>
    </xf>
    <xf numFmtId="164" fontId="11" fillId="0" borderId="66" xfId="0" applyNumberFormat="1" applyFont="1" applyFill="1" applyBorder="1" applyAlignment="1">
      <alignment horizontal="center" vertical="center" shrinkToFit="1"/>
    </xf>
    <xf numFmtId="164" fontId="11" fillId="0" borderId="48" xfId="0" applyNumberFormat="1" applyFont="1" applyFill="1" applyBorder="1" applyAlignment="1">
      <alignment horizontal="center" vertical="center" shrinkToFit="1"/>
    </xf>
    <xf numFmtId="164" fontId="11" fillId="0" borderId="147" xfId="0" applyNumberFormat="1" applyFont="1" applyFill="1" applyBorder="1" applyAlignment="1">
      <alignment horizontal="center" vertical="center" shrinkToFit="1"/>
    </xf>
    <xf numFmtId="174" fontId="11" fillId="0" borderId="66" xfId="0" applyNumberFormat="1" applyFont="1" applyFill="1" applyBorder="1" applyAlignment="1">
      <alignment horizontal="center" vertical="center" wrapText="1" shrinkToFit="1"/>
    </xf>
    <xf numFmtId="174" fontId="11" fillId="0" borderId="48" xfId="0" applyNumberFormat="1" applyFont="1" applyFill="1" applyBorder="1" applyAlignment="1">
      <alignment horizontal="center" vertical="center" wrapText="1" shrinkToFit="1"/>
    </xf>
    <xf numFmtId="174" fontId="11" fillId="0" borderId="100" xfId="0" applyNumberFormat="1" applyFont="1" applyFill="1" applyBorder="1" applyAlignment="1">
      <alignment horizontal="center" vertical="center" wrapText="1" shrinkToFit="1"/>
    </xf>
    <xf numFmtId="0" fontId="11" fillId="0" borderId="146" xfId="0" applyFont="1" applyFill="1" applyBorder="1" applyAlignment="1">
      <alignment horizontal="center" vertical="center" wrapText="1" shrinkToFit="1"/>
    </xf>
    <xf numFmtId="0" fontId="11" fillId="0" borderId="147" xfId="0" applyFont="1" applyFill="1" applyBorder="1" applyAlignment="1">
      <alignment horizontal="center" vertical="center" wrapText="1" shrinkToFit="1"/>
    </xf>
    <xf numFmtId="0" fontId="14" fillId="0" borderId="63" xfId="0" applyFont="1" applyFill="1" applyBorder="1" applyAlignment="1">
      <alignment horizontal="center" vertical="center"/>
    </xf>
    <xf numFmtId="0" fontId="14" fillId="0" borderId="49" xfId="0" applyFont="1" applyFill="1" applyBorder="1" applyAlignment="1">
      <alignment horizontal="center" vertical="center"/>
    </xf>
    <xf numFmtId="0" fontId="11" fillId="0" borderId="110" xfId="0" applyFont="1" applyFill="1" applyBorder="1" applyAlignment="1">
      <alignment horizontal="center" vertical="center" wrapText="1" shrinkToFit="1"/>
    </xf>
    <xf numFmtId="0" fontId="11" fillId="0" borderId="0" xfId="0" applyFont="1" applyFill="1" applyBorder="1" applyAlignment="1">
      <alignment horizontal="center" vertical="center" wrapText="1" shrinkToFit="1"/>
    </xf>
    <xf numFmtId="170" fontId="13" fillId="0" borderId="63" xfId="0" applyNumberFormat="1" applyFont="1" applyFill="1" applyBorder="1" applyAlignment="1">
      <alignment horizontal="center" vertical="center" shrinkToFit="1"/>
    </xf>
    <xf numFmtId="170" fontId="13" fillId="0" borderId="49" xfId="0" applyNumberFormat="1" applyFont="1" applyFill="1" applyBorder="1" applyAlignment="1">
      <alignment horizontal="center" vertical="center" shrinkToFit="1"/>
    </xf>
    <xf numFmtId="0" fontId="14" fillId="0" borderId="110" xfId="0" applyFont="1" applyFill="1" applyBorder="1" applyAlignment="1">
      <alignment horizontal="center" vertical="center"/>
    </xf>
    <xf numFmtId="0" fontId="14" fillId="0" borderId="0" xfId="0" applyFont="1" applyFill="1" applyBorder="1" applyAlignment="1">
      <alignment horizontal="center" vertical="center"/>
    </xf>
    <xf numFmtId="0" fontId="11" fillId="0" borderId="120" xfId="0" applyFont="1" applyFill="1" applyBorder="1" applyAlignment="1">
      <alignment horizontal="center" vertical="center" wrapText="1" shrinkToFit="1"/>
    </xf>
    <xf numFmtId="164" fontId="11" fillId="0" borderId="110" xfId="0" applyNumberFormat="1" applyFont="1" applyFill="1" applyBorder="1" applyAlignment="1">
      <alignment horizontal="center" vertical="center" shrinkToFit="1"/>
    </xf>
    <xf numFmtId="164" fontId="11" fillId="0" borderId="0" xfId="0" applyNumberFormat="1" applyFont="1" applyFill="1" applyBorder="1" applyAlignment="1">
      <alignment horizontal="center" vertical="center" shrinkToFit="1"/>
    </xf>
    <xf numFmtId="164" fontId="11" fillId="0" borderId="120" xfId="0" applyNumberFormat="1" applyFont="1" applyFill="1" applyBorder="1" applyAlignment="1">
      <alignment horizontal="center" vertical="center" shrinkToFit="1"/>
    </xf>
    <xf numFmtId="0" fontId="11" fillId="0" borderId="41" xfId="0" applyFont="1" applyFill="1" applyBorder="1" applyAlignment="1">
      <alignment horizontal="center" vertical="center" wrapText="1"/>
    </xf>
    <xf numFmtId="0" fontId="11" fillId="0" borderId="142" xfId="0" applyFont="1" applyFill="1" applyBorder="1" applyAlignment="1">
      <alignment horizontal="center" vertical="center" wrapText="1"/>
    </xf>
    <xf numFmtId="0" fontId="11" fillId="0" borderId="171" xfId="0" applyFont="1" applyFill="1" applyBorder="1" applyAlignment="1">
      <alignment horizontal="center" vertical="center" wrapText="1"/>
    </xf>
    <xf numFmtId="174" fontId="11" fillId="0" borderId="163" xfId="0" applyNumberFormat="1" applyFont="1" applyFill="1" applyBorder="1" applyAlignment="1">
      <alignment horizontal="center" vertical="center" wrapText="1" shrinkToFit="1"/>
    </xf>
    <xf numFmtId="174" fontId="11" fillId="0" borderId="50" xfId="0" applyNumberFormat="1" applyFont="1" applyFill="1" applyBorder="1" applyAlignment="1">
      <alignment horizontal="center" vertical="center" wrapText="1" shrinkToFit="1"/>
    </xf>
    <xf numFmtId="174" fontId="11" fillId="0" borderId="171" xfId="0" applyNumberFormat="1" applyFont="1" applyFill="1" applyBorder="1" applyAlignment="1">
      <alignment horizontal="center" vertical="center" wrapText="1" shrinkToFit="1"/>
    </xf>
    <xf numFmtId="0" fontId="11" fillId="12" borderId="99" xfId="0" applyFont="1" applyFill="1" applyBorder="1" applyAlignment="1">
      <alignment horizontal="center" vertical="center" wrapText="1" shrinkToFit="1"/>
    </xf>
    <xf numFmtId="174" fontId="11" fillId="12" borderId="110" xfId="0" applyNumberFormat="1" applyFont="1" applyFill="1" applyBorder="1" applyAlignment="1">
      <alignment horizontal="center" vertical="center" wrapText="1" shrinkToFit="1"/>
    </xf>
    <xf numFmtId="174" fontId="11" fillId="12" borderId="0" xfId="0" applyNumberFormat="1" applyFont="1" applyFill="1" applyBorder="1" applyAlignment="1">
      <alignment horizontal="center" vertical="center" wrapText="1" shrinkToFit="1"/>
    </xf>
    <xf numFmtId="174" fontId="11" fillId="12" borderId="98" xfId="0" applyNumberFormat="1" applyFont="1" applyFill="1" applyBorder="1" applyAlignment="1">
      <alignment horizontal="center" vertical="center" wrapText="1" shrinkToFit="1"/>
    </xf>
    <xf numFmtId="0" fontId="11" fillId="12" borderId="162" xfId="0" applyFont="1" applyFill="1" applyBorder="1" applyAlignment="1">
      <alignment horizontal="center" vertical="center" wrapText="1" shrinkToFit="1"/>
    </xf>
    <xf numFmtId="0" fontId="11" fillId="12" borderId="141" xfId="0" applyFont="1" applyFill="1" applyBorder="1" applyAlignment="1">
      <alignment horizontal="center" vertical="center" wrapText="1" shrinkToFit="1"/>
    </xf>
    <xf numFmtId="0" fontId="11" fillId="12" borderId="99" xfId="0" applyFont="1" applyFill="1" applyBorder="1" applyAlignment="1">
      <alignment horizontal="center" vertical="center" wrapText="1"/>
    </xf>
    <xf numFmtId="173" fontId="11" fillId="12" borderId="63" xfId="0" applyNumberFormat="1" applyFont="1" applyFill="1" applyBorder="1" applyAlignment="1">
      <alignment horizontal="center" vertical="center" wrapText="1" shrinkToFit="1"/>
    </xf>
    <xf numFmtId="173" fontId="11" fillId="12" borderId="49" xfId="0" applyNumberFormat="1" applyFont="1" applyFill="1" applyBorder="1" applyAlignment="1">
      <alignment horizontal="center" vertical="center" wrapText="1" shrinkToFit="1"/>
    </xf>
    <xf numFmtId="173" fontId="11" fillId="12" borderId="146" xfId="0" applyNumberFormat="1" applyFont="1" applyFill="1" applyBorder="1" applyAlignment="1">
      <alignment horizontal="center" vertical="center" wrapText="1" shrinkToFit="1"/>
    </xf>
    <xf numFmtId="0" fontId="11" fillId="0" borderId="162" xfId="0" applyFont="1" applyFill="1" applyBorder="1" applyAlignment="1">
      <alignment horizontal="center" vertical="center" wrapText="1"/>
    </xf>
    <xf numFmtId="0" fontId="11" fillId="0" borderId="288" xfId="0" applyFont="1" applyFill="1" applyBorder="1" applyAlignment="1">
      <alignment horizontal="center" vertical="center" wrapText="1"/>
    </xf>
    <xf numFmtId="0" fontId="11" fillId="0" borderId="49" xfId="0" applyFont="1" applyFill="1" applyBorder="1" applyAlignment="1">
      <alignment horizontal="center" vertical="center" wrapText="1"/>
    </xf>
    <xf numFmtId="0" fontId="11" fillId="0" borderId="48" xfId="0" applyFont="1" applyFill="1" applyBorder="1" applyAlignment="1">
      <alignment horizontal="center" vertical="center" wrapText="1"/>
    </xf>
    <xf numFmtId="0" fontId="10" fillId="0" borderId="157" xfId="2" applyFont="1" applyFill="1" applyBorder="1" applyAlignment="1">
      <alignment horizontal="center" vertical="center" wrapText="1"/>
    </xf>
    <xf numFmtId="0" fontId="10" fillId="0" borderId="34" xfId="2" applyFont="1" applyFill="1" applyBorder="1" applyAlignment="1">
      <alignment horizontal="center" vertical="center" wrapText="1"/>
    </xf>
    <xf numFmtId="173" fontId="11" fillId="0" borderId="66" xfId="0" applyNumberFormat="1" applyFont="1" applyFill="1" applyBorder="1" applyAlignment="1">
      <alignment horizontal="center" vertical="center" wrapText="1" shrinkToFit="1"/>
    </xf>
    <xf numFmtId="173" fontId="11" fillId="0" borderId="48" xfId="0" applyNumberFormat="1" applyFont="1" applyFill="1" applyBorder="1" applyAlignment="1">
      <alignment horizontal="center" vertical="center" wrapText="1" shrinkToFit="1"/>
    </xf>
    <xf numFmtId="173" fontId="11" fillId="0" borderId="147" xfId="0" applyNumberFormat="1" applyFont="1" applyFill="1" applyBorder="1" applyAlignment="1">
      <alignment horizontal="center" vertical="center" wrapText="1" shrinkToFit="1"/>
    </xf>
    <xf numFmtId="0" fontId="12" fillId="25" borderId="49" xfId="0" applyFont="1" applyFill="1" applyBorder="1" applyAlignment="1">
      <alignment horizontal="left" vertical="center" shrinkToFit="1"/>
    </xf>
    <xf numFmtId="0" fontId="12" fillId="25" borderId="146" xfId="0" applyFont="1" applyFill="1" applyBorder="1" applyAlignment="1">
      <alignment horizontal="left" vertical="center" shrinkToFit="1"/>
    </xf>
    <xf numFmtId="165" fontId="11" fillId="0" borderId="101" xfId="0" applyNumberFormat="1" applyFont="1" applyFill="1" applyBorder="1" applyAlignment="1">
      <alignment horizontal="center" vertical="center" wrapText="1"/>
    </xf>
    <xf numFmtId="165" fontId="11" fillId="0" borderId="48" xfId="0" applyNumberFormat="1" applyFont="1" applyFill="1" applyBorder="1" applyAlignment="1">
      <alignment horizontal="center" vertical="center" wrapText="1"/>
    </xf>
    <xf numFmtId="165" fontId="11" fillId="0" borderId="100" xfId="0" applyNumberFormat="1" applyFont="1" applyFill="1" applyBorder="1" applyAlignment="1">
      <alignment horizontal="center" vertical="center" wrapText="1"/>
    </xf>
    <xf numFmtId="0" fontId="10" fillId="0" borderId="162" xfId="0" applyFont="1" applyFill="1" applyBorder="1" applyAlignment="1">
      <alignment horizontal="center" vertical="center" wrapText="1"/>
    </xf>
    <xf numFmtId="0" fontId="10" fillId="0" borderId="115" xfId="0" applyFont="1" applyFill="1" applyBorder="1" applyAlignment="1">
      <alignment horizontal="center" vertical="center"/>
    </xf>
    <xf numFmtId="0" fontId="10" fillId="0" borderId="141" xfId="0" applyFont="1" applyFill="1" applyBorder="1" applyAlignment="1">
      <alignment horizontal="center" vertical="center"/>
    </xf>
    <xf numFmtId="0" fontId="10" fillId="0" borderId="163" xfId="0" applyFont="1" applyFill="1" applyBorder="1" applyAlignment="1">
      <alignment horizontal="center" vertical="center"/>
    </xf>
    <xf numFmtId="0" fontId="10" fillId="0" borderId="50" xfId="0" applyFont="1" applyFill="1" applyBorder="1" applyAlignment="1">
      <alignment horizontal="center" vertical="center"/>
    </xf>
    <xf numFmtId="0" fontId="10" fillId="0" borderId="143" xfId="0" applyFont="1" applyFill="1" applyBorder="1" applyAlignment="1">
      <alignment horizontal="center" vertical="center"/>
    </xf>
    <xf numFmtId="173" fontId="11" fillId="10" borderId="63" xfId="0" applyNumberFormat="1" applyFont="1" applyFill="1" applyBorder="1" applyAlignment="1">
      <alignment horizontal="center" vertical="center" wrapText="1" shrinkToFit="1"/>
    </xf>
    <xf numFmtId="173" fontId="11" fillId="10" borderId="49" xfId="0" applyNumberFormat="1" applyFont="1" applyFill="1" applyBorder="1" applyAlignment="1">
      <alignment horizontal="center" vertical="center" wrapText="1" shrinkToFit="1"/>
    </xf>
    <xf numFmtId="173" fontId="11" fillId="10" borderId="146" xfId="0" applyNumberFormat="1" applyFont="1" applyFill="1" applyBorder="1" applyAlignment="1">
      <alignment horizontal="center" vertical="center" wrapText="1" shrinkToFit="1"/>
    </xf>
    <xf numFmtId="0" fontId="11" fillId="0" borderId="50" xfId="0" applyFont="1" applyFill="1" applyBorder="1" applyAlignment="1">
      <alignment horizontal="center" vertical="center" wrapText="1" shrinkToFit="1"/>
    </xf>
    <xf numFmtId="173" fontId="11" fillId="0" borderId="155" xfId="0" applyNumberFormat="1" applyFont="1" applyFill="1" applyBorder="1" applyAlignment="1">
      <alignment horizontal="center" vertical="center" wrapText="1" shrinkToFit="1"/>
    </xf>
    <xf numFmtId="173" fontId="11" fillId="0" borderId="45" xfId="0" applyNumberFormat="1" applyFont="1" applyFill="1" applyBorder="1" applyAlignment="1">
      <alignment horizontal="center" vertical="center" wrapText="1" shrinkToFit="1"/>
    </xf>
    <xf numFmtId="173" fontId="11" fillId="0" borderId="174" xfId="0" applyNumberFormat="1" applyFont="1" applyFill="1" applyBorder="1" applyAlignment="1">
      <alignment horizontal="center" vertical="center" wrapText="1" shrinkToFit="1"/>
    </xf>
    <xf numFmtId="0" fontId="10" fillId="0" borderId="156" xfId="0" applyFont="1" applyFill="1" applyBorder="1" applyAlignment="1">
      <alignment horizontal="center" vertical="center" wrapText="1"/>
    </xf>
    <xf numFmtId="0" fontId="10" fillId="0" borderId="157" xfId="0" applyFont="1" applyFill="1" applyBorder="1" applyAlignment="1">
      <alignment horizontal="center" vertical="center" wrapText="1"/>
    </xf>
    <xf numFmtId="0" fontId="10" fillId="0" borderId="33" xfId="0" applyFont="1" applyFill="1" applyBorder="1" applyAlignment="1">
      <alignment horizontal="center" vertical="center" wrapText="1"/>
    </xf>
    <xf numFmtId="0" fontId="10" fillId="0" borderId="34" xfId="0" applyFont="1" applyFill="1" applyBorder="1" applyAlignment="1">
      <alignment horizontal="center" vertical="center" wrapText="1"/>
    </xf>
    <xf numFmtId="0" fontId="10" fillId="0" borderId="153" xfId="2" applyFont="1" applyFill="1" applyBorder="1" applyAlignment="1">
      <alignment horizontal="center" vertical="center" wrapText="1"/>
    </xf>
    <xf numFmtId="0" fontId="10" fillId="0" borderId="35" xfId="2" applyFont="1" applyFill="1" applyBorder="1" applyAlignment="1">
      <alignment horizontal="center" vertical="center" wrapText="1"/>
    </xf>
    <xf numFmtId="0" fontId="53" fillId="0" borderId="63" xfId="0" applyFont="1" applyFill="1" applyBorder="1" applyAlignment="1">
      <alignment horizontal="center" vertical="center" wrapText="1" shrinkToFit="1"/>
    </xf>
    <xf numFmtId="0" fontId="53" fillId="0" borderId="146" xfId="0" applyFont="1" applyFill="1" applyBorder="1" applyAlignment="1">
      <alignment horizontal="center" vertical="center" wrapText="1" shrinkToFit="1"/>
    </xf>
    <xf numFmtId="0" fontId="53" fillId="0" borderId="66" xfId="0" applyFont="1" applyFill="1" applyBorder="1" applyAlignment="1">
      <alignment horizontal="center" vertical="center" wrapText="1" shrinkToFit="1"/>
    </xf>
    <xf numFmtId="0" fontId="53" fillId="0" borderId="147" xfId="0" applyFont="1" applyFill="1" applyBorder="1" applyAlignment="1">
      <alignment horizontal="center" vertical="center" wrapText="1" shrinkToFit="1"/>
    </xf>
    <xf numFmtId="173" fontId="11" fillId="0" borderId="63" xfId="0" applyNumberFormat="1" applyFont="1" applyFill="1" applyBorder="1" applyAlignment="1">
      <alignment horizontal="center" vertical="center" wrapText="1" shrinkToFit="1"/>
    </xf>
    <xf numFmtId="173" fontId="11" fillId="0" borderId="49" xfId="0" applyNumberFormat="1" applyFont="1" applyFill="1" applyBorder="1" applyAlignment="1">
      <alignment horizontal="center" vertical="center" wrapText="1" shrinkToFit="1"/>
    </xf>
    <xf numFmtId="173" fontId="11" fillId="0" borderId="146" xfId="0" applyNumberFormat="1" applyFont="1" applyFill="1" applyBorder="1" applyAlignment="1">
      <alignment horizontal="center" vertical="center" wrapText="1" shrinkToFit="1"/>
    </xf>
    <xf numFmtId="0" fontId="12" fillId="22" borderId="49" xfId="0" applyFont="1" applyFill="1" applyBorder="1" applyAlignment="1">
      <alignment horizontal="left" vertical="center" shrinkToFit="1"/>
    </xf>
    <xf numFmtId="0" fontId="12" fillId="22" borderId="146" xfId="0" applyFont="1" applyFill="1" applyBorder="1" applyAlignment="1">
      <alignment horizontal="left" vertical="center" shrinkToFit="1"/>
    </xf>
    <xf numFmtId="0" fontId="10" fillId="0" borderId="158" xfId="0" applyFont="1" applyFill="1" applyBorder="1" applyAlignment="1">
      <alignment horizontal="center" vertical="center"/>
    </xf>
    <xf numFmtId="0" fontId="10" fillId="0" borderId="73" xfId="0" applyFont="1" applyFill="1" applyBorder="1" applyAlignment="1">
      <alignment horizontal="center" vertical="center"/>
    </xf>
    <xf numFmtId="0" fontId="10" fillId="0" borderId="74" xfId="0" applyFont="1" applyFill="1" applyBorder="1" applyAlignment="1">
      <alignment horizontal="center" vertical="center"/>
    </xf>
    <xf numFmtId="0" fontId="10" fillId="0" borderId="159" xfId="0" applyFont="1" applyFill="1" applyBorder="1" applyAlignment="1">
      <alignment horizontal="center" vertical="center"/>
    </xf>
    <xf numFmtId="0" fontId="10" fillId="0" borderId="31" xfId="0" applyFont="1" applyFill="1" applyBorder="1" applyAlignment="1">
      <alignment horizontal="center" vertical="center"/>
    </xf>
    <xf numFmtId="0" fontId="10" fillId="0" borderId="133" xfId="0" applyFont="1" applyFill="1" applyBorder="1" applyAlignment="1">
      <alignment horizontal="center" vertical="center"/>
    </xf>
    <xf numFmtId="0" fontId="11" fillId="18" borderId="41" xfId="0" applyFont="1" applyFill="1" applyBorder="1" applyAlignment="1">
      <alignment horizontal="center" vertical="center" wrapText="1"/>
    </xf>
    <xf numFmtId="0" fontId="11" fillId="18" borderId="97" xfId="0" applyFont="1" applyFill="1" applyBorder="1" applyAlignment="1">
      <alignment horizontal="center" vertical="center" wrapText="1"/>
    </xf>
    <xf numFmtId="0" fontId="11" fillId="18" borderId="49" xfId="0" applyFont="1" applyFill="1" applyBorder="1" applyAlignment="1">
      <alignment horizontal="center" vertical="center" wrapText="1"/>
    </xf>
    <xf numFmtId="0" fontId="11" fillId="18" borderId="108" xfId="0" applyFont="1" applyFill="1" applyBorder="1" applyAlignment="1">
      <alignment horizontal="center" vertical="center" wrapText="1"/>
    </xf>
    <xf numFmtId="0" fontId="14" fillId="18" borderId="63" xfId="0" applyFont="1" applyFill="1" applyBorder="1" applyAlignment="1">
      <alignment horizontal="center" vertical="center"/>
    </xf>
    <xf numFmtId="0" fontId="14" fillId="18" borderId="49" xfId="0" applyFont="1" applyFill="1" applyBorder="1" applyAlignment="1">
      <alignment horizontal="center" vertical="center"/>
    </xf>
    <xf numFmtId="0" fontId="12" fillId="0" borderId="49" xfId="0" applyFont="1" applyFill="1" applyBorder="1" applyAlignment="1">
      <alignment horizontal="left" vertical="center" wrapText="1" shrinkToFit="1"/>
    </xf>
    <xf numFmtId="0" fontId="12" fillId="0" borderId="146" xfId="0" applyFont="1" applyFill="1" applyBorder="1" applyAlignment="1">
      <alignment horizontal="left" vertical="center" wrapText="1" shrinkToFit="1"/>
    </xf>
    <xf numFmtId="0" fontId="11" fillId="0" borderId="140" xfId="0" applyFont="1" applyFill="1" applyBorder="1" applyAlignment="1">
      <alignment horizontal="center" vertical="center" wrapText="1" shrinkToFit="1"/>
    </xf>
    <xf numFmtId="0" fontId="11" fillId="0" borderId="288" xfId="0" applyFont="1" applyFill="1" applyBorder="1" applyAlignment="1">
      <alignment horizontal="center" vertical="center" wrapText="1" shrinkToFit="1"/>
    </xf>
    <xf numFmtId="0" fontId="11" fillId="0" borderId="163" xfId="0" applyFont="1" applyFill="1" applyBorder="1" applyAlignment="1">
      <alignment horizontal="center" vertical="center" wrapText="1" shrinkToFit="1"/>
    </xf>
    <xf numFmtId="0" fontId="11" fillId="0" borderId="143" xfId="0" applyFont="1" applyFill="1" applyBorder="1" applyAlignment="1">
      <alignment horizontal="center" vertical="center" wrapText="1" shrinkToFit="1"/>
    </xf>
    <xf numFmtId="0" fontId="12" fillId="0" borderId="49" xfId="0" applyFont="1" applyFill="1" applyBorder="1" applyAlignment="1">
      <alignment horizontal="left" vertical="center" shrinkToFit="1"/>
    </xf>
    <xf numFmtId="0" fontId="12" fillId="0" borderId="146" xfId="0" applyFont="1" applyFill="1" applyBorder="1" applyAlignment="1">
      <alignment horizontal="left" vertical="center" shrinkToFit="1"/>
    </xf>
    <xf numFmtId="174" fontId="11" fillId="10" borderId="63" xfId="0" applyNumberFormat="1" applyFont="1" applyFill="1" applyBorder="1" applyAlignment="1">
      <alignment horizontal="center" vertical="center" wrapText="1" shrinkToFit="1"/>
    </xf>
    <xf numFmtId="174" fontId="11" fillId="10" borderId="49" xfId="0" applyNumberFormat="1" applyFont="1" applyFill="1" applyBorder="1" applyAlignment="1">
      <alignment horizontal="center" vertical="center" wrapText="1" shrinkToFit="1"/>
    </xf>
    <xf numFmtId="174" fontId="11" fillId="10" borderId="108" xfId="0" applyNumberFormat="1" applyFont="1" applyFill="1" applyBorder="1" applyAlignment="1">
      <alignment horizontal="center" vertical="center" wrapText="1" shrinkToFit="1"/>
    </xf>
    <xf numFmtId="174" fontId="11" fillId="10" borderId="66" xfId="0" applyNumberFormat="1" applyFont="1" applyFill="1" applyBorder="1" applyAlignment="1">
      <alignment horizontal="center" vertical="center" wrapText="1" shrinkToFit="1"/>
    </xf>
    <xf numFmtId="174" fontId="11" fillId="10" borderId="48" xfId="0" applyNumberFormat="1" applyFont="1" applyFill="1" applyBorder="1" applyAlignment="1">
      <alignment horizontal="center" vertical="center" wrapText="1" shrinkToFit="1"/>
    </xf>
    <xf numFmtId="174" fontId="11" fillId="10" borderId="100" xfId="0" applyNumberFormat="1" applyFont="1" applyFill="1" applyBorder="1" applyAlignment="1">
      <alignment horizontal="center" vertical="center" wrapText="1" shrinkToFit="1"/>
    </xf>
    <xf numFmtId="0" fontId="12" fillId="18" borderId="49" xfId="0" applyFont="1" applyFill="1" applyBorder="1" applyAlignment="1">
      <alignment horizontal="left" vertical="center" wrapText="1" shrinkToFit="1"/>
    </xf>
    <xf numFmtId="0" fontId="12" fillId="18" borderId="146" xfId="0" applyFont="1" applyFill="1" applyBorder="1" applyAlignment="1">
      <alignment horizontal="left" vertical="center" wrapText="1" shrinkToFit="1"/>
    </xf>
    <xf numFmtId="0" fontId="11" fillId="0" borderId="76" xfId="0" applyFont="1" applyFill="1" applyBorder="1" applyAlignment="1">
      <alignment horizontal="center" vertical="center" wrapText="1"/>
    </xf>
    <xf numFmtId="0" fontId="11" fillId="0" borderId="144" xfId="0" applyFont="1" applyFill="1" applyBorder="1" applyAlignment="1">
      <alignment horizontal="center" vertical="center" wrapText="1"/>
    </xf>
    <xf numFmtId="0" fontId="11" fillId="12" borderId="168" xfId="0" applyFont="1" applyFill="1" applyBorder="1" applyAlignment="1">
      <alignment horizontal="center" vertical="center" wrapText="1"/>
    </xf>
    <xf numFmtId="172" fontId="11" fillId="0" borderId="77" xfId="0" applyNumberFormat="1" applyFont="1" applyFill="1" applyBorder="1" applyAlignment="1">
      <alignment horizontal="center" vertical="center" shrinkToFit="1"/>
    </xf>
    <xf numFmtId="172" fontId="11" fillId="0" borderId="172" xfId="0" applyNumberFormat="1" applyFont="1" applyFill="1" applyBorder="1" applyAlignment="1">
      <alignment horizontal="center" vertical="center" shrinkToFit="1"/>
    </xf>
    <xf numFmtId="0" fontId="10" fillId="0" borderId="153" xfId="0" applyFont="1" applyFill="1" applyBorder="1" applyAlignment="1">
      <alignment horizontal="center" vertical="center" wrapText="1"/>
    </xf>
    <xf numFmtId="0" fontId="10" fillId="0" borderId="35" xfId="0" applyFont="1" applyFill="1" applyBorder="1" applyAlignment="1">
      <alignment horizontal="center" vertical="center" wrapText="1"/>
    </xf>
    <xf numFmtId="170" fontId="11" fillId="0" borderId="165" xfId="0" applyNumberFormat="1" applyFont="1" applyFill="1" applyBorder="1" applyAlignment="1">
      <alignment horizontal="center" vertical="center" wrapText="1"/>
    </xf>
    <xf numFmtId="0" fontId="11" fillId="12" borderId="291" xfId="0" applyFont="1" applyFill="1" applyBorder="1" applyAlignment="1">
      <alignment horizontal="center" vertical="center" wrapText="1"/>
    </xf>
    <xf numFmtId="0" fontId="11" fillId="12" borderId="164" xfId="0" applyFont="1" applyFill="1" applyBorder="1" applyAlignment="1">
      <alignment horizontal="center" vertical="center" wrapText="1"/>
    </xf>
    <xf numFmtId="0" fontId="11" fillId="12" borderId="165" xfId="0" applyFont="1" applyFill="1" applyBorder="1" applyAlignment="1">
      <alignment horizontal="center" vertical="center" wrapText="1"/>
    </xf>
    <xf numFmtId="170" fontId="52" fillId="0" borderId="63" xfId="0" applyNumberFormat="1" applyFont="1" applyFill="1" applyBorder="1" applyAlignment="1">
      <alignment horizontal="center" vertical="center" shrinkToFit="1"/>
    </xf>
    <xf numFmtId="170" fontId="52" fillId="0" borderId="49" xfId="0" applyNumberFormat="1" applyFont="1" applyFill="1" applyBorder="1" applyAlignment="1">
      <alignment horizontal="center" vertical="center" shrinkToFit="1"/>
    </xf>
    <xf numFmtId="0" fontId="52" fillId="0" borderId="41" xfId="0" applyFont="1" applyFill="1" applyBorder="1" applyAlignment="1">
      <alignment horizontal="center" vertical="center" shrinkToFit="1"/>
    </xf>
    <xf numFmtId="0" fontId="52" fillId="0" borderId="97" xfId="0" applyFont="1" applyFill="1" applyBorder="1" applyAlignment="1">
      <alignment horizontal="center" vertical="center" shrinkToFit="1"/>
    </xf>
    <xf numFmtId="0" fontId="11" fillId="0" borderId="62" xfId="0" applyFont="1" applyFill="1" applyBorder="1" applyAlignment="1">
      <alignment horizontal="center" vertical="center" wrapText="1"/>
    </xf>
    <xf numFmtId="0" fontId="11" fillId="0" borderId="167" xfId="0" applyFont="1" applyFill="1" applyBorder="1" applyAlignment="1">
      <alignment horizontal="center" vertical="center" wrapText="1"/>
    </xf>
    <xf numFmtId="172" fontId="11" fillId="12" borderId="172" xfId="0" applyNumberFormat="1" applyFont="1" applyFill="1" applyBorder="1" applyAlignment="1">
      <alignment horizontal="center" vertical="center" shrinkToFit="1"/>
    </xf>
    <xf numFmtId="172" fontId="11" fillId="0" borderId="149" xfId="0" applyNumberFormat="1" applyFont="1" applyFill="1" applyBorder="1" applyAlignment="1">
      <alignment horizontal="center" vertical="center" shrinkToFit="1"/>
    </xf>
    <xf numFmtId="0" fontId="13" fillId="0" borderId="41" xfId="0" applyFont="1" applyFill="1" applyBorder="1" applyAlignment="1">
      <alignment horizontal="center" vertical="center" shrinkToFit="1"/>
    </xf>
    <xf numFmtId="0" fontId="13" fillId="0" borderId="97" xfId="0" applyFont="1" applyFill="1" applyBorder="1" applyAlignment="1">
      <alignment horizontal="center" vertical="center" shrinkToFit="1"/>
    </xf>
    <xf numFmtId="170" fontId="13" fillId="0" borderId="108" xfId="0" applyNumberFormat="1" applyFont="1" applyFill="1" applyBorder="1" applyAlignment="1">
      <alignment horizontal="center" vertical="center" shrinkToFit="1"/>
    </xf>
    <xf numFmtId="0" fontId="11" fillId="12" borderId="167" xfId="0" applyFont="1" applyFill="1" applyBorder="1" applyAlignment="1">
      <alignment horizontal="center" vertical="center" wrapText="1" shrinkToFit="1"/>
    </xf>
    <xf numFmtId="170" fontId="13" fillId="0" borderId="146" xfId="0" applyNumberFormat="1" applyFont="1" applyFill="1" applyBorder="1" applyAlignment="1">
      <alignment horizontal="center" vertical="center" shrinkToFit="1"/>
    </xf>
    <xf numFmtId="172" fontId="11" fillId="0" borderId="166" xfId="0" applyNumberFormat="1" applyFont="1" applyFill="1" applyBorder="1" applyAlignment="1">
      <alignment horizontal="center" vertical="center" shrinkToFit="1"/>
    </xf>
    <xf numFmtId="0" fontId="11" fillId="12" borderId="291" xfId="0" applyFont="1" applyFill="1" applyBorder="1" applyAlignment="1">
      <alignment horizontal="center" vertical="center" wrapText="1" shrinkToFit="1"/>
    </xf>
    <xf numFmtId="0" fontId="11" fillId="0" borderId="168" xfId="0" applyFont="1" applyFill="1" applyBorder="1" applyAlignment="1">
      <alignment horizontal="center" vertical="center" wrapText="1"/>
    </xf>
    <xf numFmtId="14" fontId="11" fillId="0" borderId="140" xfId="0" applyNumberFormat="1" applyFont="1" applyFill="1" applyBorder="1" applyAlignment="1">
      <alignment horizontal="left" vertical="center" wrapText="1"/>
    </xf>
    <xf numFmtId="14" fontId="11" fillId="0" borderId="115" xfId="0" applyNumberFormat="1" applyFont="1" applyFill="1" applyBorder="1" applyAlignment="1">
      <alignment horizontal="left" vertical="center" wrapText="1"/>
    </xf>
    <xf numFmtId="14" fontId="11" fillId="0" borderId="141" xfId="0" applyNumberFormat="1" applyFont="1" applyFill="1" applyBorder="1" applyAlignment="1">
      <alignment horizontal="left" vertical="center" wrapText="1"/>
    </xf>
    <xf numFmtId="170" fontId="13" fillId="0" borderId="154" xfId="0" applyNumberFormat="1" applyFont="1" applyFill="1" applyBorder="1" applyAlignment="1">
      <alignment horizontal="center" vertical="center" shrinkToFit="1"/>
    </xf>
    <xf numFmtId="170" fontId="13" fillId="0" borderId="161" xfId="0" applyNumberFormat="1" applyFont="1" applyFill="1" applyBorder="1" applyAlignment="1">
      <alignment horizontal="center" vertical="center" shrinkToFit="1"/>
    </xf>
    <xf numFmtId="0" fontId="11" fillId="12" borderId="173" xfId="0" applyFont="1" applyFill="1" applyBorder="1" applyAlignment="1">
      <alignment horizontal="center" vertical="center" wrapText="1" shrinkToFit="1"/>
    </xf>
    <xf numFmtId="0" fontId="11" fillId="0" borderId="62" xfId="0" applyFont="1" applyFill="1" applyBorder="1" applyAlignment="1">
      <alignment horizontal="center" vertical="center" wrapText="1" shrinkToFit="1"/>
    </xf>
    <xf numFmtId="0" fontId="11" fillId="0" borderId="65" xfId="0" applyFont="1" applyFill="1" applyBorder="1" applyAlignment="1">
      <alignment horizontal="center" vertical="center" wrapText="1" shrinkToFit="1"/>
    </xf>
    <xf numFmtId="0" fontId="11" fillId="0" borderId="167" xfId="0" applyFont="1" applyFill="1" applyBorder="1" applyAlignment="1">
      <alignment horizontal="center" vertical="center" wrapText="1" shrinkToFit="1"/>
    </xf>
    <xf numFmtId="170" fontId="52" fillId="0" borderId="41" xfId="0" applyNumberFormat="1" applyFont="1" applyFill="1" applyBorder="1" applyAlignment="1">
      <alignment horizontal="center" vertical="center" shrinkToFit="1"/>
    </xf>
    <xf numFmtId="170" fontId="52" fillId="0" borderId="97" xfId="0" applyNumberFormat="1" applyFont="1" applyFill="1" applyBorder="1" applyAlignment="1">
      <alignment horizontal="center" vertical="center" shrinkToFit="1"/>
    </xf>
    <xf numFmtId="170" fontId="13" fillId="0" borderId="346" xfId="0" applyNumberFormat="1" applyFont="1" applyFill="1" applyBorder="1" applyAlignment="1">
      <alignment horizontal="center" vertical="center" shrinkToFit="1"/>
    </xf>
    <xf numFmtId="170" fontId="13" fillId="0" borderId="347" xfId="0" applyNumberFormat="1" applyFont="1" applyFill="1" applyBorder="1" applyAlignment="1">
      <alignment horizontal="center" vertical="center" shrinkToFit="1"/>
    </xf>
    <xf numFmtId="170" fontId="53" fillId="0" borderId="145" xfId="0" applyNumberFormat="1" applyFont="1" applyFill="1" applyBorder="1" applyAlignment="1">
      <alignment horizontal="center" vertical="center" wrapText="1"/>
    </xf>
    <xf numFmtId="170" fontId="53" fillId="0" borderId="108" xfId="0" applyNumberFormat="1" applyFont="1" applyFill="1" applyBorder="1" applyAlignment="1">
      <alignment horizontal="center" vertical="center" wrapText="1"/>
    </xf>
    <xf numFmtId="170" fontId="53" fillId="0" borderId="99" xfId="0" applyNumberFormat="1" applyFont="1" applyFill="1" applyBorder="1" applyAlignment="1">
      <alignment horizontal="center" vertical="center" wrapText="1"/>
    </xf>
    <xf numFmtId="170" fontId="53" fillId="0" borderId="98" xfId="0" applyNumberFormat="1" applyFont="1" applyFill="1" applyBorder="1" applyAlignment="1">
      <alignment horizontal="center" vertical="center" wrapText="1"/>
    </xf>
    <xf numFmtId="170" fontId="13" fillId="0" borderId="278" xfId="0" applyNumberFormat="1" applyFont="1" applyFill="1" applyBorder="1" applyAlignment="1">
      <alignment horizontal="center" vertical="center" shrinkToFit="1"/>
    </xf>
    <xf numFmtId="170" fontId="13" fillId="0" borderId="279" xfId="0" applyNumberFormat="1" applyFont="1" applyFill="1" applyBorder="1" applyAlignment="1">
      <alignment horizontal="center" vertical="center" shrinkToFit="1"/>
    </xf>
    <xf numFmtId="170" fontId="53" fillId="0" borderId="142" xfId="0" applyNumberFormat="1" applyFont="1" applyFill="1" applyBorder="1" applyAlignment="1">
      <alignment horizontal="center" vertical="center" wrapText="1"/>
    </xf>
    <xf numFmtId="170" fontId="53" fillId="0" borderId="171" xfId="0" applyNumberFormat="1" applyFont="1" applyFill="1" applyBorder="1" applyAlignment="1">
      <alignment horizontal="center" vertical="center" wrapText="1"/>
    </xf>
    <xf numFmtId="169" fontId="11" fillId="0" borderId="283" xfId="0" applyNumberFormat="1" applyFont="1" applyFill="1" applyBorder="1" applyAlignment="1">
      <alignment horizontal="center" vertical="center" wrapText="1"/>
    </xf>
    <xf numFmtId="169" fontId="11" fillId="0" borderId="41" xfId="0" applyNumberFormat="1" applyFont="1" applyFill="1" applyBorder="1" applyAlignment="1">
      <alignment horizontal="center" vertical="center" wrapText="1"/>
    </xf>
    <xf numFmtId="169" fontId="11" fillId="0" borderId="97" xfId="0" applyNumberFormat="1" applyFont="1" applyFill="1" applyBorder="1" applyAlignment="1">
      <alignment horizontal="center" vertical="center" wrapText="1"/>
    </xf>
    <xf numFmtId="173" fontId="11" fillId="10" borderId="155" xfId="0" applyNumberFormat="1" applyFont="1" applyFill="1" applyBorder="1" applyAlignment="1">
      <alignment horizontal="center" vertical="center" wrapText="1" shrinkToFit="1"/>
    </xf>
    <xf numFmtId="173" fontId="11" fillId="10" borderId="45" xfId="0" applyNumberFormat="1" applyFont="1" applyFill="1" applyBorder="1" applyAlignment="1">
      <alignment horizontal="center" vertical="center" wrapText="1" shrinkToFit="1"/>
    </xf>
    <xf numFmtId="173" fontId="11" fillId="10" borderId="174" xfId="0" applyNumberFormat="1" applyFont="1" applyFill="1" applyBorder="1" applyAlignment="1">
      <alignment horizontal="center" vertical="center" wrapText="1" shrinkToFit="1"/>
    </xf>
    <xf numFmtId="0" fontId="10" fillId="0" borderId="154" xfId="0" applyFont="1" applyFill="1" applyBorder="1" applyAlignment="1">
      <alignment horizontal="center" vertical="center" wrapText="1"/>
    </xf>
    <xf numFmtId="0" fontId="10" fillId="0" borderId="155" xfId="0" applyFont="1" applyFill="1" applyBorder="1" applyAlignment="1">
      <alignment horizontal="center" vertical="center" wrapText="1"/>
    </xf>
    <xf numFmtId="0" fontId="12" fillId="18" borderId="110" xfId="0" applyFont="1" applyFill="1" applyBorder="1" applyAlignment="1">
      <alignment horizontal="left" vertical="center" shrinkToFit="1"/>
    </xf>
    <xf numFmtId="0" fontId="12" fillId="18" borderId="0" xfId="0" applyFont="1" applyFill="1" applyBorder="1" applyAlignment="1">
      <alignment horizontal="left" vertical="center" shrinkToFit="1"/>
    </xf>
    <xf numFmtId="0" fontId="12" fillId="18" borderId="120" xfId="0" applyFont="1" applyFill="1" applyBorder="1" applyAlignment="1">
      <alignment horizontal="left" vertical="center" shrinkToFit="1"/>
    </xf>
    <xf numFmtId="0" fontId="12" fillId="32" borderId="49" xfId="0" applyFont="1" applyFill="1" applyBorder="1" applyAlignment="1">
      <alignment horizontal="left" vertical="center" shrinkToFit="1"/>
    </xf>
    <xf numFmtId="0" fontId="12" fillId="32" borderId="146" xfId="0" applyFont="1" applyFill="1" applyBorder="1" applyAlignment="1">
      <alignment horizontal="left" vertical="center" shrinkToFit="1"/>
    </xf>
    <xf numFmtId="165" fontId="11" fillId="0" borderId="352" xfId="0" applyNumberFormat="1" applyFont="1" applyFill="1" applyBorder="1" applyAlignment="1">
      <alignment horizontal="center" vertical="center" wrapText="1"/>
    </xf>
    <xf numFmtId="165" fontId="11" fillId="0" borderId="287" xfId="0" applyNumberFormat="1" applyFont="1" applyFill="1" applyBorder="1" applyAlignment="1">
      <alignment horizontal="center" vertical="center" wrapText="1"/>
    </xf>
    <xf numFmtId="165" fontId="11" fillId="0" borderId="160" xfId="0" applyNumberFormat="1" applyFont="1" applyFill="1" applyBorder="1" applyAlignment="1">
      <alignment horizontal="center" vertical="center" wrapText="1"/>
    </xf>
    <xf numFmtId="0" fontId="10" fillId="0" borderId="75" xfId="0" applyFont="1" applyFill="1" applyBorder="1" applyAlignment="1">
      <alignment horizontal="center" vertical="center"/>
    </xf>
    <xf numFmtId="0" fontId="10" fillId="0" borderId="134" xfId="0" applyFont="1" applyFill="1" applyBorder="1" applyAlignment="1">
      <alignment horizontal="center" vertical="center"/>
    </xf>
    <xf numFmtId="0" fontId="11" fillId="0" borderId="141" xfId="0" applyFont="1" applyFill="1" applyBorder="1" applyAlignment="1">
      <alignment horizontal="center" vertical="center" wrapText="1"/>
    </xf>
    <xf numFmtId="0" fontId="14" fillId="22" borderId="162" xfId="0" applyFont="1" applyFill="1" applyBorder="1" applyAlignment="1">
      <alignment horizontal="center" vertical="center"/>
    </xf>
    <xf numFmtId="0" fontId="14" fillId="22" borderId="115" xfId="0" applyFont="1" applyFill="1" applyBorder="1" applyAlignment="1">
      <alignment horizontal="center" vertical="center"/>
    </xf>
    <xf numFmtId="0" fontId="10" fillId="0" borderId="160" xfId="0" applyFont="1" applyFill="1" applyBorder="1" applyAlignment="1">
      <alignment horizontal="center" vertical="center" wrapText="1"/>
    </xf>
    <xf numFmtId="0" fontId="10" fillId="0" borderId="156" xfId="0" applyFont="1" applyFill="1" applyBorder="1" applyAlignment="1">
      <alignment horizontal="center" vertical="center"/>
    </xf>
    <xf numFmtId="0" fontId="10" fillId="0" borderId="161" xfId="0" applyFont="1" applyFill="1" applyBorder="1" applyAlignment="1">
      <alignment horizontal="center" vertical="center"/>
    </xf>
    <xf numFmtId="0" fontId="10" fillId="0" borderId="33" xfId="0" applyFont="1" applyFill="1" applyBorder="1" applyAlignment="1">
      <alignment horizontal="center" vertical="center"/>
    </xf>
    <xf numFmtId="174" fontId="11" fillId="10" borderId="110" xfId="0" applyNumberFormat="1" applyFont="1" applyFill="1" applyBorder="1" applyAlignment="1">
      <alignment horizontal="center" vertical="center" wrapText="1" shrinkToFit="1"/>
    </xf>
    <xf numFmtId="174" fontId="11" fillId="10" borderId="0" xfId="0" applyNumberFormat="1" applyFont="1" applyFill="1" applyBorder="1" applyAlignment="1">
      <alignment horizontal="center" vertical="center" wrapText="1" shrinkToFit="1"/>
    </xf>
    <xf numFmtId="174" fontId="11" fillId="10" borderId="98" xfId="0" applyNumberFormat="1" applyFont="1" applyFill="1" applyBorder="1" applyAlignment="1">
      <alignment horizontal="center" vertical="center" wrapText="1" shrinkToFit="1"/>
    </xf>
    <xf numFmtId="0" fontId="11" fillId="0" borderId="162" xfId="0" applyFont="1" applyFill="1" applyBorder="1" applyAlignment="1">
      <alignment horizontal="center" vertical="center" wrapText="1" shrinkToFit="1"/>
    </xf>
    <xf numFmtId="0" fontId="11" fillId="0" borderId="115" xfId="0" applyFont="1" applyFill="1" applyBorder="1" applyAlignment="1">
      <alignment horizontal="center" vertical="center" wrapText="1" shrinkToFit="1"/>
    </xf>
    <xf numFmtId="0" fontId="11" fillId="0" borderId="0" xfId="0" applyFont="1" applyFill="1" applyBorder="1" applyAlignment="1">
      <alignment horizontal="center" vertical="center" wrapText="1"/>
    </xf>
    <xf numFmtId="170" fontId="14" fillId="0" borderId="0" xfId="0" applyNumberFormat="1" applyFont="1" applyFill="1" applyAlignment="1">
      <alignment horizontal="center" vertical="center"/>
    </xf>
    <xf numFmtId="178" fontId="9" fillId="0" borderId="2" xfId="0" applyNumberFormat="1" applyFont="1" applyFill="1" applyBorder="1" applyAlignment="1">
      <alignment horizontal="center" vertical="center" wrapText="1"/>
    </xf>
    <xf numFmtId="174" fontId="10" fillId="0" borderId="156" xfId="0" applyNumberFormat="1" applyFont="1" applyFill="1" applyBorder="1" applyAlignment="1">
      <alignment horizontal="center" vertical="center" wrapText="1"/>
    </xf>
    <xf numFmtId="174" fontId="10" fillId="0" borderId="154" xfId="0" applyNumberFormat="1" applyFont="1" applyFill="1" applyBorder="1" applyAlignment="1">
      <alignment horizontal="center" vertical="center"/>
    </xf>
    <xf numFmtId="174" fontId="10" fillId="0" borderId="33" xfId="0" applyNumberFormat="1" applyFont="1" applyFill="1" applyBorder="1" applyAlignment="1">
      <alignment horizontal="center" vertical="center"/>
    </xf>
    <xf numFmtId="174" fontId="10" fillId="0" borderId="155" xfId="0" applyNumberFormat="1" applyFont="1" applyFill="1" applyBorder="1" applyAlignment="1">
      <alignment horizontal="center" vertical="center"/>
    </xf>
    <xf numFmtId="0" fontId="9" fillId="0" borderId="2" xfId="0" applyFont="1" applyFill="1" applyBorder="1" applyAlignment="1">
      <alignment horizontal="center" vertical="center"/>
    </xf>
    <xf numFmtId="0" fontId="10" fillId="0" borderId="140" xfId="0" applyFont="1" applyFill="1" applyBorder="1" applyAlignment="1">
      <alignment horizontal="center" vertical="center"/>
    </xf>
    <xf numFmtId="0" fontId="10" fillId="0" borderId="142" xfId="0" applyFont="1" applyFill="1" applyBorder="1" applyAlignment="1">
      <alignment horizontal="center" vertical="center"/>
    </xf>
    <xf numFmtId="0" fontId="8" fillId="0" borderId="0" xfId="0" applyFont="1" applyFill="1" applyBorder="1" applyAlignment="1">
      <alignment horizontal="center" vertical="center"/>
    </xf>
    <xf numFmtId="0" fontId="10" fillId="0" borderId="72" xfId="0" applyFont="1" applyFill="1" applyBorder="1" applyAlignment="1">
      <alignment horizontal="center" vertical="center"/>
    </xf>
    <xf numFmtId="0" fontId="10" fillId="0" borderId="30" xfId="0" applyFont="1" applyFill="1" applyBorder="1" applyAlignment="1">
      <alignment horizontal="center" vertical="center"/>
    </xf>
    <xf numFmtId="0" fontId="10" fillId="0" borderId="161" xfId="2" applyFont="1" applyFill="1" applyBorder="1" applyAlignment="1">
      <alignment horizontal="center" vertical="center" wrapText="1"/>
    </xf>
    <xf numFmtId="0" fontId="10" fillId="0" borderId="33" xfId="2" applyFont="1" applyFill="1" applyBorder="1" applyAlignment="1">
      <alignment horizontal="center" vertical="center"/>
    </xf>
    <xf numFmtId="0" fontId="10" fillId="0" borderId="160" xfId="2" applyFont="1" applyFill="1" applyBorder="1" applyAlignment="1">
      <alignment horizontal="center" vertical="center" wrapText="1"/>
    </xf>
    <xf numFmtId="0" fontId="10" fillId="0" borderId="164" xfId="2" applyFont="1" applyFill="1" applyBorder="1" applyAlignment="1">
      <alignment horizontal="center" vertical="center" wrapText="1"/>
    </xf>
    <xf numFmtId="0" fontId="10" fillId="0" borderId="165" xfId="2" applyFont="1" applyFill="1" applyBorder="1" applyAlignment="1">
      <alignment horizontal="center" vertical="center" wrapText="1"/>
    </xf>
    <xf numFmtId="0" fontId="10" fillId="0" borderId="154" xfId="2" applyFont="1" applyFill="1" applyBorder="1" applyAlignment="1">
      <alignment horizontal="center" vertical="center" wrapText="1"/>
    </xf>
    <xf numFmtId="0" fontId="10" fillId="0" borderId="155" xfId="2" applyFont="1" applyFill="1" applyBorder="1" applyAlignment="1">
      <alignment horizontal="center" vertical="center" wrapText="1"/>
    </xf>
    <xf numFmtId="0" fontId="10" fillId="0" borderId="157" xfId="0" applyFont="1" applyFill="1" applyBorder="1" applyAlignment="1">
      <alignment horizontal="center" vertical="center"/>
    </xf>
    <xf numFmtId="0" fontId="10" fillId="0" borderId="34" xfId="0" applyFont="1" applyFill="1" applyBorder="1" applyAlignment="1">
      <alignment horizontal="center" vertical="center"/>
    </xf>
    <xf numFmtId="14" fontId="10" fillId="0" borderId="0" xfId="0" applyNumberFormat="1" applyFont="1" applyFill="1" applyBorder="1" applyAlignment="1">
      <alignment horizontal="right" vertical="center"/>
    </xf>
    <xf numFmtId="164" fontId="11" fillId="12" borderId="162" xfId="0" applyNumberFormat="1" applyFont="1" applyFill="1" applyBorder="1" applyAlignment="1">
      <alignment horizontal="center" vertical="center" shrinkToFit="1"/>
    </xf>
    <xf numFmtId="164" fontId="11" fillId="12" borderId="115" xfId="0" applyNumberFormat="1" applyFont="1" applyFill="1" applyBorder="1" applyAlignment="1">
      <alignment horizontal="center" vertical="center" shrinkToFit="1"/>
    </xf>
    <xf numFmtId="164" fontId="11" fillId="12" borderId="141" xfId="0" applyNumberFormat="1" applyFont="1" applyFill="1" applyBorder="1" applyAlignment="1">
      <alignment horizontal="center" vertical="center" shrinkToFit="1"/>
    </xf>
    <xf numFmtId="0" fontId="12" fillId="25" borderId="49" xfId="0" applyFont="1" applyFill="1" applyBorder="1" applyAlignment="1">
      <alignment horizontal="left" vertical="center" wrapText="1" shrinkToFit="1"/>
    </xf>
    <xf numFmtId="0" fontId="12" fillId="25" borderId="146" xfId="0" applyFont="1" applyFill="1" applyBorder="1" applyAlignment="1">
      <alignment horizontal="left" vertical="center" wrapText="1" shrinkToFit="1"/>
    </xf>
    <xf numFmtId="164" fontId="11" fillId="0" borderId="163" xfId="0" applyNumberFormat="1" applyFont="1" applyFill="1" applyBorder="1" applyAlignment="1">
      <alignment horizontal="center" vertical="center" shrinkToFit="1"/>
    </xf>
    <xf numFmtId="164" fontId="11" fillId="0" borderId="50" xfId="0" applyNumberFormat="1" applyFont="1" applyFill="1" applyBorder="1" applyAlignment="1">
      <alignment horizontal="center" vertical="center" shrinkToFit="1"/>
    </xf>
    <xf numFmtId="164" fontId="11" fillId="0" borderId="143" xfId="0" applyNumberFormat="1" applyFont="1" applyFill="1" applyBorder="1" applyAlignment="1">
      <alignment horizontal="center" vertical="center" shrinkToFit="1"/>
    </xf>
    <xf numFmtId="174" fontId="11" fillId="10" borderId="163" xfId="0" applyNumberFormat="1" applyFont="1" applyFill="1" applyBorder="1" applyAlignment="1">
      <alignment horizontal="center" vertical="center" wrapText="1" shrinkToFit="1"/>
    </xf>
    <xf numFmtId="174" fontId="11" fillId="10" borderId="50" xfId="0" applyNumberFormat="1" applyFont="1" applyFill="1" applyBorder="1" applyAlignment="1">
      <alignment horizontal="center" vertical="center" wrapText="1" shrinkToFit="1"/>
    </xf>
    <xf numFmtId="174" fontId="11" fillId="10" borderId="171" xfId="0" applyNumberFormat="1" applyFont="1" applyFill="1" applyBorder="1" applyAlignment="1">
      <alignment horizontal="center" vertical="center" wrapText="1" shrinkToFit="1"/>
    </xf>
    <xf numFmtId="0" fontId="11" fillId="0" borderId="45" xfId="0" applyFont="1" applyFill="1" applyBorder="1" applyAlignment="1">
      <alignment horizontal="center" vertical="center" wrapText="1"/>
    </xf>
    <xf numFmtId="0" fontId="11" fillId="0" borderId="161" xfId="0" applyFont="1" applyFill="1" applyBorder="1" applyAlignment="1">
      <alignment horizontal="center" vertical="center" wrapText="1"/>
    </xf>
    <xf numFmtId="0" fontId="11" fillId="12" borderId="140" xfId="0" applyFont="1" applyFill="1" applyBorder="1" applyAlignment="1">
      <alignment horizontal="center" vertical="center" wrapText="1" shrinkToFit="1"/>
    </xf>
    <xf numFmtId="0" fontId="11" fillId="12" borderId="288" xfId="0" applyFont="1" applyFill="1" applyBorder="1" applyAlignment="1">
      <alignment horizontal="center" vertical="center" wrapText="1" shrinkToFit="1"/>
    </xf>
    <xf numFmtId="0" fontId="12" fillId="22" borderId="115" xfId="0" applyFont="1" applyFill="1" applyBorder="1" applyAlignment="1">
      <alignment horizontal="left" vertical="center" wrapText="1" shrinkToFit="1"/>
    </xf>
    <xf numFmtId="0" fontId="12" fillId="22" borderId="141" xfId="0" applyFont="1" applyFill="1" applyBorder="1" applyAlignment="1">
      <alignment horizontal="left" vertical="center" wrapText="1" shrinkToFit="1"/>
    </xf>
    <xf numFmtId="14" fontId="10" fillId="0" borderId="50" xfId="0" applyNumberFormat="1" applyFont="1" applyFill="1" applyBorder="1" applyAlignment="1">
      <alignment horizontal="right" vertical="center"/>
    </xf>
    <xf numFmtId="0" fontId="11" fillId="0" borderId="65" xfId="0" applyFont="1" applyFill="1" applyBorder="1" applyAlignment="1">
      <alignment horizontal="center" vertical="center" wrapText="1"/>
    </xf>
    <xf numFmtId="172" fontId="11" fillId="12" borderId="290" xfId="0" applyNumberFormat="1" applyFont="1" applyFill="1" applyBorder="1" applyAlignment="1">
      <alignment horizontal="center" vertical="center" shrinkToFit="1"/>
    </xf>
    <xf numFmtId="0" fontId="11" fillId="0" borderId="173" xfId="0" applyFont="1" applyFill="1" applyBorder="1" applyAlignment="1">
      <alignment horizontal="center" vertical="center" wrapText="1"/>
    </xf>
    <xf numFmtId="0" fontId="11" fillId="0" borderId="165" xfId="0" applyFont="1" applyFill="1" applyBorder="1" applyAlignment="1">
      <alignment horizontal="center" vertical="center" wrapText="1"/>
    </xf>
    <xf numFmtId="0" fontId="11" fillId="0" borderId="173" xfId="0" applyFont="1" applyFill="1" applyBorder="1" applyAlignment="1">
      <alignment horizontal="center" vertical="center" wrapText="1" shrinkToFit="1"/>
    </xf>
    <xf numFmtId="0" fontId="10" fillId="0" borderId="35" xfId="2" applyFont="1" applyFill="1" applyBorder="1" applyAlignment="1">
      <alignment horizontal="center" vertical="center"/>
    </xf>
    <xf numFmtId="0" fontId="10" fillId="0" borderId="161" xfId="2" applyFont="1" applyFill="1" applyBorder="1" applyAlignment="1">
      <alignment horizontal="center" vertical="center"/>
    </xf>
    <xf numFmtId="170" fontId="11" fillId="0" borderId="164" xfId="0" applyNumberFormat="1" applyFont="1" applyFill="1" applyBorder="1" applyAlignment="1">
      <alignment horizontal="center" vertical="center" wrapText="1"/>
    </xf>
    <xf numFmtId="165" fontId="11" fillId="0" borderId="349" xfId="0" applyNumberFormat="1" applyFont="1" applyFill="1" applyBorder="1" applyAlignment="1">
      <alignment horizontal="center" vertical="center" wrapText="1"/>
    </xf>
    <xf numFmtId="165" fontId="11" fillId="0" borderId="45" xfId="0" applyNumberFormat="1" applyFont="1" applyFill="1" applyBorder="1" applyAlignment="1">
      <alignment horizontal="center" vertical="center" wrapText="1"/>
    </xf>
    <xf numFmtId="165" fontId="11" fillId="0" borderId="161" xfId="0" applyNumberFormat="1" applyFont="1" applyFill="1" applyBorder="1" applyAlignment="1">
      <alignment horizontal="center" vertical="center" wrapText="1"/>
    </xf>
    <xf numFmtId="0" fontId="11" fillId="0" borderId="140" xfId="0" applyFont="1" applyFill="1" applyBorder="1" applyAlignment="1">
      <alignment horizontal="center" vertical="center" wrapText="1"/>
    </xf>
    <xf numFmtId="170" fontId="13" fillId="0" borderId="286" xfId="0" applyNumberFormat="1" applyFont="1" applyFill="1" applyBorder="1" applyAlignment="1">
      <alignment horizontal="center" vertical="center" shrinkToFit="1"/>
    </xf>
    <xf numFmtId="170" fontId="13" fillId="0" borderId="285" xfId="0" applyNumberFormat="1" applyFont="1" applyFill="1" applyBorder="1" applyAlignment="1">
      <alignment horizontal="center" vertical="center" shrinkToFit="1"/>
    </xf>
    <xf numFmtId="14" fontId="11" fillId="0" borderId="288" xfId="0" applyNumberFormat="1" applyFont="1" applyFill="1" applyBorder="1" applyAlignment="1">
      <alignment horizontal="left" vertical="center" wrapText="1"/>
    </xf>
    <xf numFmtId="170" fontId="13" fillId="0" borderId="162" xfId="0" applyNumberFormat="1" applyFont="1" applyFill="1" applyBorder="1" applyAlignment="1">
      <alignment horizontal="center" vertical="center" shrinkToFit="1"/>
    </xf>
    <xf numFmtId="170" fontId="13" fillId="0" borderId="115" xfId="0" applyNumberFormat="1" applyFont="1" applyFill="1" applyBorder="1" applyAlignment="1">
      <alignment horizontal="center" vertical="center" shrinkToFit="1"/>
    </xf>
    <xf numFmtId="0" fontId="13" fillId="0" borderId="287" xfId="0" applyFont="1" applyFill="1" applyBorder="1" applyAlignment="1">
      <alignment horizontal="center" vertical="center" shrinkToFit="1"/>
    </xf>
    <xf numFmtId="0" fontId="13" fillId="0" borderId="160" xfId="0" applyFont="1" applyFill="1" applyBorder="1" applyAlignment="1">
      <alignment horizontal="center" vertical="center" shrinkToFit="1"/>
    </xf>
    <xf numFmtId="170" fontId="13" fillId="0" borderId="76" xfId="0" applyNumberFormat="1" applyFont="1" applyFill="1" applyBorder="1" applyAlignment="1">
      <alignment horizontal="center" vertical="center" wrapText="1"/>
    </xf>
    <xf numFmtId="170" fontId="13" fillId="0" borderId="144" xfId="0" applyNumberFormat="1" applyFont="1" applyFill="1" applyBorder="1" applyAlignment="1">
      <alignment horizontal="center" vertical="center" wrapText="1"/>
    </xf>
    <xf numFmtId="170" fontId="11" fillId="0" borderId="140" xfId="0" applyNumberFormat="1" applyFont="1" applyFill="1" applyBorder="1" applyAlignment="1">
      <alignment horizontal="center" vertical="center" wrapText="1"/>
    </xf>
    <xf numFmtId="170" fontId="11" fillId="0" borderId="288" xfId="0" applyNumberFormat="1" applyFont="1" applyFill="1" applyBorder="1" applyAlignment="1">
      <alignment horizontal="center" vertical="center" wrapText="1"/>
    </xf>
    <xf numFmtId="0" fontId="12" fillId="18" borderId="115" xfId="0" applyFont="1" applyFill="1" applyBorder="1" applyAlignment="1">
      <alignment horizontal="left" vertical="center" shrinkToFit="1"/>
    </xf>
    <xf numFmtId="0" fontId="12" fillId="18" borderId="141" xfId="0" applyFont="1" applyFill="1" applyBorder="1" applyAlignment="1">
      <alignment horizontal="left" vertical="center" shrinkToFit="1"/>
    </xf>
    <xf numFmtId="164" fontId="11" fillId="0" borderId="162" xfId="0" applyNumberFormat="1" applyFont="1" applyFill="1" applyBorder="1" applyAlignment="1">
      <alignment horizontal="center" vertical="center" shrinkToFit="1"/>
    </xf>
    <xf numFmtId="164" fontId="11" fillId="0" borderId="115" xfId="0" applyNumberFormat="1" applyFont="1" applyFill="1" applyBorder="1" applyAlignment="1">
      <alignment horizontal="center" vertical="center" shrinkToFit="1"/>
    </xf>
    <xf numFmtId="164" fontId="11" fillId="0" borderId="141" xfId="0" applyNumberFormat="1" applyFont="1" applyFill="1" applyBorder="1" applyAlignment="1">
      <alignment horizontal="center" vertical="center" shrinkToFit="1"/>
    </xf>
    <xf numFmtId="0" fontId="12" fillId="0" borderId="0" xfId="0" applyFont="1" applyFill="1" applyBorder="1" applyAlignment="1">
      <alignment horizontal="left" vertical="center" wrapText="1" shrinkToFit="1"/>
    </xf>
    <xf numFmtId="0" fontId="12" fillId="0" borderId="120" xfId="0" applyFont="1" applyFill="1" applyBorder="1" applyAlignment="1">
      <alignment horizontal="left" vertical="center" wrapText="1" shrinkToFit="1"/>
    </xf>
    <xf numFmtId="0" fontId="12" fillId="18" borderId="66" xfId="0" applyFont="1" applyFill="1" applyBorder="1" applyAlignment="1">
      <alignment horizontal="left" vertical="center" shrinkToFit="1"/>
    </xf>
    <xf numFmtId="0" fontId="12" fillId="18" borderId="48" xfId="0" applyFont="1" applyFill="1" applyBorder="1" applyAlignment="1">
      <alignment horizontal="left" vertical="center" shrinkToFit="1"/>
    </xf>
    <xf numFmtId="0" fontId="12" fillId="18" borderId="147" xfId="0" applyFont="1" applyFill="1" applyBorder="1" applyAlignment="1">
      <alignment horizontal="left" vertical="center" shrinkToFit="1"/>
    </xf>
    <xf numFmtId="0" fontId="11" fillId="18" borderId="0" xfId="0" applyFont="1" applyFill="1" applyBorder="1" applyAlignment="1">
      <alignment horizontal="center" vertical="center" wrapText="1"/>
    </xf>
    <xf numFmtId="0" fontId="11" fillId="18" borderId="98" xfId="0" applyFont="1" applyFill="1" applyBorder="1" applyAlignment="1">
      <alignment horizontal="center" vertical="center" wrapText="1"/>
    </xf>
    <xf numFmtId="0" fontId="12" fillId="18" borderId="49" xfId="0" applyFont="1" applyFill="1" applyBorder="1" applyAlignment="1">
      <alignment horizontal="left" vertical="center" shrinkToFit="1"/>
    </xf>
    <xf numFmtId="0" fontId="12" fillId="18" borderId="146" xfId="0" applyFont="1" applyFill="1" applyBorder="1" applyAlignment="1">
      <alignment horizontal="left" vertical="center" shrinkToFit="1"/>
    </xf>
    <xf numFmtId="0" fontId="14" fillId="0" borderId="57" xfId="0" applyFont="1" applyFill="1" applyBorder="1" applyAlignment="1">
      <alignment horizontal="center" vertical="center" textRotation="255"/>
    </xf>
    <xf numFmtId="0" fontId="10" fillId="0" borderId="26" xfId="0" applyFont="1" applyFill="1" applyBorder="1" applyAlignment="1">
      <alignment horizontal="center" vertical="center"/>
    </xf>
    <xf numFmtId="0" fontId="10" fillId="0" borderId="3" xfId="0" applyFont="1" applyFill="1" applyBorder="1" applyAlignment="1">
      <alignment horizontal="center" vertical="center"/>
    </xf>
    <xf numFmtId="0" fontId="11" fillId="0" borderId="115" xfId="0" applyFont="1" applyFill="1" applyBorder="1" applyAlignment="1">
      <alignment horizontal="center" vertical="center" wrapText="1"/>
    </xf>
    <xf numFmtId="0" fontId="11" fillId="12" borderId="115" xfId="0" applyFont="1" applyFill="1" applyBorder="1" applyAlignment="1">
      <alignment horizontal="center" vertical="center" wrapText="1" shrinkToFit="1"/>
    </xf>
    <xf numFmtId="0" fontId="11" fillId="0" borderId="141" xfId="0" applyFont="1" applyFill="1" applyBorder="1" applyAlignment="1">
      <alignment horizontal="center" vertical="center" wrapText="1" shrinkToFit="1"/>
    </xf>
    <xf numFmtId="0" fontId="11" fillId="18" borderId="115" xfId="0" applyFont="1" applyFill="1" applyBorder="1" applyAlignment="1">
      <alignment horizontal="center" vertical="center" wrapText="1"/>
    </xf>
    <xf numFmtId="0" fontId="11" fillId="18" borderId="288" xfId="0" applyFont="1" applyFill="1" applyBorder="1" applyAlignment="1">
      <alignment horizontal="center" vertical="center" wrapText="1"/>
    </xf>
    <xf numFmtId="0" fontId="11" fillId="18" borderId="48" xfId="0" applyFont="1" applyFill="1" applyBorder="1" applyAlignment="1">
      <alignment horizontal="center" vertical="center" wrapText="1"/>
    </xf>
    <xf numFmtId="0" fontId="11" fillId="18" borderId="100" xfId="0" applyFont="1" applyFill="1" applyBorder="1" applyAlignment="1">
      <alignment horizontal="center" vertical="center" wrapText="1"/>
    </xf>
    <xf numFmtId="0" fontId="14" fillId="18" borderId="162" xfId="0" applyFont="1" applyFill="1" applyBorder="1" applyAlignment="1">
      <alignment horizontal="center" vertical="center"/>
    </xf>
    <xf numFmtId="0" fontId="14" fillId="18" borderId="115" xfId="0" applyFont="1" applyFill="1" applyBorder="1" applyAlignment="1">
      <alignment horizontal="center" vertical="center"/>
    </xf>
    <xf numFmtId="173" fontId="11" fillId="10" borderId="154" xfId="0" applyNumberFormat="1" applyFont="1" applyFill="1" applyBorder="1" applyAlignment="1">
      <alignment horizontal="center" vertical="center" wrapText="1" shrinkToFit="1"/>
    </xf>
    <xf numFmtId="173" fontId="11" fillId="10" borderId="287" xfId="0" applyNumberFormat="1" applyFont="1" applyFill="1" applyBorder="1" applyAlignment="1">
      <alignment horizontal="center" vertical="center" wrapText="1" shrinkToFit="1"/>
    </xf>
    <xf numFmtId="173" fontId="11" fillId="10" borderId="289" xfId="0" applyNumberFormat="1" applyFont="1" applyFill="1" applyBorder="1" applyAlignment="1">
      <alignment horizontal="center" vertical="center" wrapText="1" shrinkToFit="1"/>
    </xf>
    <xf numFmtId="0" fontId="13" fillId="0" borderId="101" xfId="0" applyFont="1" applyFill="1" applyBorder="1" applyAlignment="1">
      <alignment horizontal="center" vertical="center" wrapText="1" shrinkToFit="1"/>
    </xf>
    <xf numFmtId="0" fontId="13" fillId="0" borderId="48" xfId="0" applyFont="1" applyFill="1" applyBorder="1" applyAlignment="1">
      <alignment horizontal="center" vertical="center" wrapText="1" shrinkToFit="1"/>
    </xf>
    <xf numFmtId="0" fontId="13" fillId="0" borderId="100" xfId="0" applyFont="1" applyFill="1" applyBorder="1" applyAlignment="1">
      <alignment horizontal="center" vertical="center" wrapText="1" shrinkToFit="1"/>
    </xf>
    <xf numFmtId="0" fontId="53" fillId="0" borderId="63" xfId="0" applyFont="1" applyFill="1" applyBorder="1" applyAlignment="1">
      <alignment horizontal="center" vertical="center" wrapText="1"/>
    </xf>
    <xf numFmtId="0" fontId="53" fillId="0" borderId="108" xfId="0" applyFont="1" applyFill="1" applyBorder="1" applyAlignment="1">
      <alignment horizontal="center" vertical="center" wrapText="1"/>
    </xf>
    <xf numFmtId="0" fontId="53" fillId="0" borderId="110" xfId="0" applyFont="1" applyFill="1" applyBorder="1" applyAlignment="1">
      <alignment horizontal="center" vertical="center" wrapText="1"/>
    </xf>
    <xf numFmtId="0" fontId="53" fillId="0" borderId="98" xfId="0" applyFont="1" applyFill="1" applyBorder="1" applyAlignment="1">
      <alignment horizontal="center" vertical="center" wrapText="1"/>
    </xf>
    <xf numFmtId="174" fontId="11" fillId="0" borderId="162" xfId="0" applyNumberFormat="1" applyFont="1" applyFill="1" applyBorder="1" applyAlignment="1">
      <alignment horizontal="center" vertical="center" wrapText="1" shrinkToFit="1"/>
    </xf>
    <xf numFmtId="174" fontId="11" fillId="0" borderId="115" xfId="0" applyNumberFormat="1" applyFont="1" applyFill="1" applyBorder="1" applyAlignment="1">
      <alignment horizontal="center" vertical="center" wrapText="1" shrinkToFit="1"/>
    </xf>
    <xf numFmtId="174" fontId="11" fillId="0" borderId="288" xfId="0" applyNumberFormat="1" applyFont="1" applyFill="1" applyBorder="1" applyAlignment="1">
      <alignment horizontal="center" vertical="center" wrapText="1" shrinkToFit="1"/>
    </xf>
    <xf numFmtId="174" fontId="11" fillId="12" borderId="162" xfId="0" applyNumberFormat="1" applyFont="1" applyFill="1" applyBorder="1" applyAlignment="1">
      <alignment horizontal="center" vertical="center" wrapText="1" shrinkToFit="1"/>
    </xf>
    <xf numFmtId="174" fontId="11" fillId="12" borderId="115" xfId="0" applyNumberFormat="1" applyFont="1" applyFill="1" applyBorder="1" applyAlignment="1">
      <alignment horizontal="center" vertical="center" wrapText="1" shrinkToFit="1"/>
    </xf>
    <xf numFmtId="174" fontId="11" fillId="12" borderId="288" xfId="0" applyNumberFormat="1" applyFont="1" applyFill="1" applyBorder="1" applyAlignment="1">
      <alignment horizontal="center" vertical="center" wrapText="1" shrinkToFit="1"/>
    </xf>
    <xf numFmtId="0" fontId="53" fillId="0" borderId="66" xfId="0" applyFont="1" applyFill="1" applyBorder="1" applyAlignment="1">
      <alignment horizontal="center" vertical="center" wrapText="1"/>
    </xf>
    <xf numFmtId="0" fontId="53" fillId="0" borderId="100" xfId="0" applyFont="1" applyFill="1" applyBorder="1" applyAlignment="1">
      <alignment horizontal="center" vertical="center" wrapText="1"/>
    </xf>
    <xf numFmtId="170" fontId="53" fillId="0" borderId="101" xfId="0" applyNumberFormat="1" applyFont="1" applyFill="1" applyBorder="1" applyAlignment="1">
      <alignment horizontal="center" vertical="center" wrapText="1"/>
    </xf>
    <xf numFmtId="170" fontId="53" fillId="0" borderId="100" xfId="0" applyNumberFormat="1" applyFont="1" applyFill="1" applyBorder="1" applyAlignment="1">
      <alignment horizontal="center" vertical="center" wrapText="1"/>
    </xf>
    <xf numFmtId="165" fontId="11" fillId="12" borderId="101" xfId="0" applyNumberFormat="1" applyFont="1" applyFill="1" applyBorder="1" applyAlignment="1">
      <alignment horizontal="center" vertical="center" wrapText="1"/>
    </xf>
    <xf numFmtId="165" fontId="11" fillId="12" borderId="48" xfId="0" applyNumberFormat="1" applyFont="1" applyFill="1" applyBorder="1" applyAlignment="1">
      <alignment horizontal="center" vertical="center" wrapText="1"/>
    </xf>
    <xf numFmtId="165" fontId="11" fillId="12" borderId="100" xfId="0" applyNumberFormat="1" applyFont="1" applyFill="1" applyBorder="1" applyAlignment="1">
      <alignment horizontal="center" vertical="center" wrapText="1"/>
    </xf>
    <xf numFmtId="0" fontId="11" fillId="12" borderId="162" xfId="0" applyFont="1" applyFill="1" applyBorder="1" applyAlignment="1">
      <alignment horizontal="center" vertical="center" wrapText="1"/>
    </xf>
    <xf numFmtId="0" fontId="11" fillId="12" borderId="288" xfId="0" applyFont="1" applyFill="1" applyBorder="1" applyAlignment="1">
      <alignment horizontal="center" vertical="center" wrapText="1"/>
    </xf>
    <xf numFmtId="170" fontId="11" fillId="12" borderId="164" xfId="0" applyNumberFormat="1" applyFont="1" applyFill="1" applyBorder="1" applyAlignment="1">
      <alignment horizontal="center" vertical="center" wrapText="1"/>
    </xf>
    <xf numFmtId="170" fontId="11" fillId="12" borderId="140" xfId="0" applyNumberFormat="1" applyFont="1" applyFill="1" applyBorder="1" applyAlignment="1">
      <alignment horizontal="center" vertical="center" wrapText="1"/>
    </xf>
    <xf numFmtId="170" fontId="11" fillId="12" borderId="288" xfId="0" applyNumberFormat="1" applyFont="1" applyFill="1" applyBorder="1" applyAlignment="1">
      <alignment horizontal="center" vertical="center" wrapText="1"/>
    </xf>
    <xf numFmtId="170" fontId="11" fillId="0" borderId="168" xfId="0" quotePrefix="1" applyNumberFormat="1" applyFont="1" applyFill="1" applyBorder="1" applyAlignment="1">
      <alignment horizontal="center" vertical="center" wrapText="1"/>
    </xf>
    <xf numFmtId="170" fontId="13" fillId="0" borderId="160" xfId="0" applyNumberFormat="1" applyFont="1" applyFill="1" applyBorder="1" applyAlignment="1">
      <alignment horizontal="center" vertical="center" shrinkToFit="1"/>
    </xf>
    <xf numFmtId="164" fontId="11" fillId="12" borderId="163" xfId="0" applyNumberFormat="1" applyFont="1" applyFill="1" applyBorder="1" applyAlignment="1">
      <alignment horizontal="center" vertical="center" shrinkToFit="1"/>
    </xf>
    <xf numFmtId="164" fontId="11" fillId="12" borderId="50" xfId="0" applyNumberFormat="1" applyFont="1" applyFill="1" applyBorder="1" applyAlignment="1">
      <alignment horizontal="center" vertical="center" shrinkToFit="1"/>
    </xf>
    <xf numFmtId="164" fontId="11" fillId="12" borderId="143" xfId="0" applyNumberFormat="1" applyFont="1" applyFill="1" applyBorder="1" applyAlignment="1">
      <alignment horizontal="center" vertical="center" shrinkToFit="1"/>
    </xf>
    <xf numFmtId="0" fontId="11" fillId="12" borderId="163" xfId="0" applyFont="1" applyFill="1" applyBorder="1" applyAlignment="1">
      <alignment horizontal="center" vertical="center" wrapText="1"/>
    </xf>
    <xf numFmtId="0" fontId="11" fillId="12" borderId="171" xfId="0" applyFont="1" applyFill="1" applyBorder="1" applyAlignment="1">
      <alignment horizontal="center" vertical="center" wrapText="1"/>
    </xf>
    <xf numFmtId="173" fontId="11" fillId="12" borderId="155" xfId="0" applyNumberFormat="1" applyFont="1" applyFill="1" applyBorder="1" applyAlignment="1">
      <alignment horizontal="center" vertical="center" wrapText="1" shrinkToFit="1"/>
    </xf>
    <xf numFmtId="173" fontId="11" fillId="12" borderId="45" xfId="0" applyNumberFormat="1" applyFont="1" applyFill="1" applyBorder="1" applyAlignment="1">
      <alignment horizontal="center" vertical="center" wrapText="1" shrinkToFit="1"/>
    </xf>
    <xf numFmtId="173" fontId="11" fillId="12" borderId="174" xfId="0" applyNumberFormat="1" applyFont="1" applyFill="1" applyBorder="1" applyAlignment="1">
      <alignment horizontal="center" vertical="center" wrapText="1" shrinkToFit="1"/>
    </xf>
    <xf numFmtId="14" fontId="13" fillId="0" borderId="145" xfId="0" applyNumberFormat="1" applyFont="1" applyFill="1" applyBorder="1" applyAlignment="1">
      <alignment horizontal="left" vertical="center" wrapText="1"/>
    </xf>
    <xf numFmtId="14" fontId="13" fillId="0" borderId="49" xfId="0" applyNumberFormat="1" applyFont="1" applyFill="1" applyBorder="1" applyAlignment="1">
      <alignment horizontal="left" vertical="center" wrapText="1"/>
    </xf>
    <xf numFmtId="14" fontId="13" fillId="0" borderId="108" xfId="0" applyNumberFormat="1" applyFont="1" applyFill="1" applyBorder="1" applyAlignment="1">
      <alignment horizontal="left" vertical="center" wrapText="1"/>
    </xf>
    <xf numFmtId="14" fontId="13" fillId="0" borderId="101" xfId="0" applyNumberFormat="1" applyFont="1" applyFill="1" applyBorder="1" applyAlignment="1">
      <alignment horizontal="left" vertical="center" wrapText="1"/>
    </xf>
    <xf numFmtId="14" fontId="13" fillId="0" borderId="48" xfId="0" applyNumberFormat="1" applyFont="1" applyFill="1" applyBorder="1" applyAlignment="1">
      <alignment horizontal="left" vertical="center" wrapText="1"/>
    </xf>
    <xf numFmtId="14" fontId="13" fillId="0" borderId="100" xfId="0" applyNumberFormat="1" applyFont="1" applyFill="1" applyBorder="1" applyAlignment="1">
      <alignment horizontal="left" vertical="center" wrapText="1"/>
    </xf>
    <xf numFmtId="0" fontId="14" fillId="0" borderId="129" xfId="0" applyFont="1" applyFill="1" applyBorder="1" applyAlignment="1">
      <alignment horizontal="center" vertical="center" textRotation="255"/>
    </xf>
    <xf numFmtId="0" fontId="14" fillId="0" borderId="131" xfId="0" applyFont="1" applyFill="1" applyBorder="1" applyAlignment="1">
      <alignment horizontal="center" vertical="center" textRotation="255"/>
    </xf>
    <xf numFmtId="0" fontId="14" fillId="0" borderId="348" xfId="0" applyFont="1" applyFill="1" applyBorder="1" applyAlignment="1">
      <alignment horizontal="center" vertical="center" textRotation="255"/>
    </xf>
    <xf numFmtId="0" fontId="14" fillId="0" borderId="57" xfId="0" applyFont="1" applyFill="1" applyBorder="1" applyAlignment="1">
      <alignment horizontal="center" vertical="center" textRotation="255" wrapText="1"/>
    </xf>
    <xf numFmtId="0" fontId="11" fillId="12" borderId="143" xfId="0" applyFont="1" applyFill="1" applyBorder="1" applyAlignment="1">
      <alignment horizontal="center" vertical="center" wrapText="1" shrinkToFit="1"/>
    </xf>
    <xf numFmtId="174" fontId="11" fillId="12" borderId="163" xfId="0" applyNumberFormat="1" applyFont="1" applyFill="1" applyBorder="1" applyAlignment="1">
      <alignment horizontal="center" vertical="center" wrapText="1" shrinkToFit="1"/>
    </xf>
    <xf numFmtId="174" fontId="11" fillId="12" borderId="50" xfId="0" applyNumberFormat="1" applyFont="1" applyFill="1" applyBorder="1" applyAlignment="1">
      <alignment horizontal="center" vertical="center" wrapText="1" shrinkToFit="1"/>
    </xf>
    <xf numFmtId="174" fontId="11" fillId="12" borderId="171" xfId="0" applyNumberFormat="1" applyFont="1" applyFill="1" applyBorder="1" applyAlignment="1">
      <alignment horizontal="center" vertical="center" wrapText="1" shrinkToFit="1"/>
    </xf>
    <xf numFmtId="173" fontId="11" fillId="12" borderId="154" xfId="0" applyNumberFormat="1" applyFont="1" applyFill="1" applyBorder="1" applyAlignment="1">
      <alignment horizontal="center" vertical="center" wrapText="1" shrinkToFit="1"/>
    </xf>
    <xf numFmtId="173" fontId="11" fillId="12" borderId="287" xfId="0" applyNumberFormat="1" applyFont="1" applyFill="1" applyBorder="1" applyAlignment="1">
      <alignment horizontal="center" vertical="center" wrapText="1" shrinkToFit="1"/>
    </xf>
    <xf numFmtId="173" fontId="11" fillId="12" borderId="289" xfId="0" applyNumberFormat="1" applyFont="1" applyFill="1" applyBorder="1" applyAlignment="1">
      <alignment horizontal="center" vertical="center" wrapText="1" shrinkToFit="1"/>
    </xf>
    <xf numFmtId="0" fontId="54" fillId="0" borderId="63" xfId="0" applyFont="1" applyFill="1" applyBorder="1" applyAlignment="1">
      <alignment horizontal="center" vertical="center"/>
    </xf>
    <xf numFmtId="0" fontId="54" fillId="0" borderId="49" xfId="0" applyFont="1" applyFill="1" applyBorder="1" applyAlignment="1">
      <alignment horizontal="center" vertical="center"/>
    </xf>
    <xf numFmtId="0" fontId="55" fillId="22" borderId="49" xfId="0" applyFont="1" applyFill="1" applyBorder="1" applyAlignment="1">
      <alignment horizontal="left" vertical="center" wrapText="1" shrinkToFit="1"/>
    </xf>
    <xf numFmtId="0" fontId="55" fillId="22" borderId="146" xfId="0" applyFont="1" applyFill="1" applyBorder="1" applyAlignment="1">
      <alignment horizontal="left" vertical="center" wrapText="1" shrinkToFit="1"/>
    </xf>
    <xf numFmtId="0" fontId="5" fillId="23" borderId="9" xfId="0" applyNumberFormat="1" applyFont="1" applyFill="1" applyBorder="1" applyAlignment="1">
      <alignment horizontal="left" vertical="center" shrinkToFit="1"/>
    </xf>
    <xf numFmtId="0" fontId="5" fillId="23" borderId="41" xfId="0" applyNumberFormat="1" applyFont="1" applyFill="1" applyBorder="1" applyAlignment="1">
      <alignment horizontal="left" vertical="center" shrinkToFit="1"/>
    </xf>
    <xf numFmtId="0" fontId="0" fillId="23" borderId="220" xfId="0" applyFont="1" applyFill="1" applyBorder="1" applyAlignment="1">
      <alignment horizontal="left" vertical="center" shrinkToFit="1"/>
    </xf>
    <xf numFmtId="0" fontId="5" fillId="16" borderId="271" xfId="0" applyFont="1" applyFill="1" applyBorder="1" applyAlignment="1">
      <alignment horizontal="center" vertical="center" wrapText="1" shrinkToFit="1"/>
    </xf>
    <xf numFmtId="0" fontId="5" fillId="16" borderId="14" xfId="0" applyFont="1" applyFill="1" applyBorder="1" applyAlignment="1">
      <alignment horizontal="center" vertical="center" wrapText="1" shrinkToFit="1"/>
    </xf>
    <xf numFmtId="0" fontId="5" fillId="16" borderId="13" xfId="0" applyFont="1" applyFill="1" applyBorder="1" applyAlignment="1">
      <alignment horizontal="center" vertical="center" wrapText="1" shrinkToFit="1"/>
    </xf>
    <xf numFmtId="0" fontId="5" fillId="16" borderId="9" xfId="0" applyNumberFormat="1" applyFont="1" applyFill="1" applyBorder="1" applyAlignment="1">
      <alignment horizontal="left" vertical="center" shrinkToFit="1"/>
    </xf>
    <xf numFmtId="0" fontId="0" fillId="16" borderId="41" xfId="0" applyFont="1" applyFill="1" applyBorder="1" applyAlignment="1">
      <alignment horizontal="left" vertical="center" shrinkToFit="1"/>
    </xf>
    <xf numFmtId="0" fontId="0" fillId="16" borderId="69" xfId="0" applyFont="1" applyFill="1" applyBorder="1" applyAlignment="1">
      <alignment horizontal="left" vertical="center" shrinkToFit="1"/>
    </xf>
    <xf numFmtId="0" fontId="5" fillId="16" borderId="41" xfId="0" applyNumberFormat="1" applyFont="1" applyFill="1" applyBorder="1" applyAlignment="1">
      <alignment horizontal="left" vertical="center" shrinkToFit="1"/>
    </xf>
    <xf numFmtId="0" fontId="5" fillId="16" borderId="69" xfId="0" applyNumberFormat="1" applyFont="1" applyFill="1" applyBorder="1" applyAlignment="1">
      <alignment horizontal="left" vertical="center" shrinkToFit="1"/>
    </xf>
    <xf numFmtId="0" fontId="5" fillId="17" borderId="9" xfId="0" applyNumberFormat="1" applyFont="1" applyFill="1" applyBorder="1" applyAlignment="1">
      <alignment horizontal="left" vertical="center" shrinkToFit="1"/>
    </xf>
    <xf numFmtId="0" fontId="5" fillId="17" borderId="41" xfId="0" applyNumberFormat="1" applyFont="1" applyFill="1" applyBorder="1" applyAlignment="1">
      <alignment horizontal="left" vertical="center" shrinkToFit="1"/>
    </xf>
    <xf numFmtId="0" fontId="0" fillId="17" borderId="220" xfId="0" applyFont="1" applyFill="1" applyBorder="1" applyAlignment="1">
      <alignment horizontal="left" vertical="center" shrinkToFit="1"/>
    </xf>
    <xf numFmtId="0" fontId="0" fillId="16" borderId="220" xfId="0" applyFont="1" applyFill="1" applyBorder="1" applyAlignment="1">
      <alignment horizontal="left" vertical="center" shrinkToFit="1"/>
    </xf>
    <xf numFmtId="0" fontId="5" fillId="23" borderId="11" xfId="0" applyFont="1" applyFill="1" applyBorder="1" applyAlignment="1">
      <alignment horizontal="center" vertical="center" wrapText="1" shrinkToFit="1"/>
    </xf>
    <xf numFmtId="0" fontId="5" fillId="23" borderId="12" xfId="0" applyFont="1" applyFill="1" applyBorder="1" applyAlignment="1">
      <alignment horizontal="center" vertical="center" wrapText="1" shrinkToFit="1"/>
    </xf>
    <xf numFmtId="0" fontId="5" fillId="17" borderId="271" xfId="0" applyFont="1" applyFill="1" applyBorder="1" applyAlignment="1">
      <alignment horizontal="center" vertical="center" wrapText="1" shrinkToFit="1"/>
    </xf>
    <xf numFmtId="0" fontId="5" fillId="17" borderId="277" xfId="0" applyFont="1" applyFill="1" applyBorder="1" applyAlignment="1">
      <alignment horizontal="center" vertical="center" wrapText="1" shrinkToFit="1"/>
    </xf>
    <xf numFmtId="0" fontId="5" fillId="17" borderId="14" xfId="0" applyFont="1" applyFill="1" applyBorder="1" applyAlignment="1">
      <alignment horizontal="center" vertical="center" wrapText="1" shrinkToFit="1"/>
    </xf>
    <xf numFmtId="0" fontId="5" fillId="17" borderId="13" xfId="0" applyFont="1" applyFill="1" applyBorder="1" applyAlignment="1">
      <alignment horizontal="center" vertical="center" wrapText="1" shrinkToFit="1"/>
    </xf>
    <xf numFmtId="0" fontId="5" fillId="16" borderId="83" xfId="0" applyNumberFormat="1" applyFont="1" applyFill="1" applyBorder="1" applyAlignment="1">
      <alignment horizontal="left" vertical="center" shrinkToFit="1"/>
    </xf>
    <xf numFmtId="0" fontId="0" fillId="16" borderId="84" xfId="0" applyFont="1" applyFill="1" applyBorder="1" applyAlignment="1">
      <alignment horizontal="left" vertical="center" shrinkToFit="1"/>
    </xf>
    <xf numFmtId="0" fontId="0" fillId="16" borderId="78" xfId="0" applyFont="1" applyFill="1" applyBorder="1" applyAlignment="1">
      <alignment horizontal="left" vertical="center" shrinkToFit="1"/>
    </xf>
    <xf numFmtId="0" fontId="0" fillId="16" borderId="88" xfId="0" applyFont="1" applyFill="1" applyBorder="1" applyAlignment="1">
      <alignment horizontal="left" vertical="center" shrinkToFit="1"/>
    </xf>
    <xf numFmtId="175" fontId="5" fillId="0" borderId="177" xfId="0" applyNumberFormat="1" applyFont="1" applyFill="1" applyBorder="1" applyAlignment="1">
      <alignment horizontal="center" vertical="center"/>
    </xf>
    <xf numFmtId="175" fontId="5" fillId="0" borderId="178" xfId="0" applyNumberFormat="1" applyFont="1" applyFill="1" applyBorder="1" applyAlignment="1">
      <alignment horizontal="center" vertical="center"/>
    </xf>
    <xf numFmtId="175" fontId="5" fillId="0" borderId="179" xfId="0" applyNumberFormat="1" applyFont="1" applyFill="1" applyBorder="1" applyAlignment="1">
      <alignment horizontal="center" vertical="center"/>
    </xf>
    <xf numFmtId="0" fontId="5" fillId="0" borderId="81" xfId="0" applyFont="1" applyFill="1" applyBorder="1" applyAlignment="1">
      <alignment horizontal="center" vertical="center"/>
    </xf>
    <xf numFmtId="0" fontId="5" fillId="17" borderId="14" xfId="0" applyFont="1" applyFill="1" applyBorder="1" applyAlignment="1">
      <alignment horizontal="center" vertical="center" wrapText="1"/>
    </xf>
    <xf numFmtId="0" fontId="5" fillId="17" borderId="284" xfId="0" applyFont="1" applyFill="1" applyBorder="1" applyAlignment="1">
      <alignment horizontal="center" vertical="center" wrapText="1"/>
    </xf>
    <xf numFmtId="0" fontId="5" fillId="17" borderId="13" xfId="0" applyFont="1" applyFill="1" applyBorder="1" applyAlignment="1">
      <alignment horizontal="center" vertical="center" wrapText="1"/>
    </xf>
    <xf numFmtId="175" fontId="5" fillId="0" borderId="182" xfId="0" applyNumberFormat="1" applyFont="1" applyFill="1" applyBorder="1" applyAlignment="1">
      <alignment horizontal="center" vertical="center"/>
    </xf>
    <xf numFmtId="0" fontId="5" fillId="16" borderId="220" xfId="0" applyNumberFormat="1" applyFont="1" applyFill="1" applyBorder="1" applyAlignment="1">
      <alignment horizontal="left" vertical="center" shrinkToFit="1"/>
    </xf>
    <xf numFmtId="0" fontId="5" fillId="0" borderId="180" xfId="0" applyFont="1" applyFill="1" applyBorder="1" applyAlignment="1">
      <alignment horizontal="center" vertical="center"/>
    </xf>
    <xf numFmtId="0" fontId="5" fillId="0" borderId="103" xfId="0" applyFont="1" applyFill="1" applyBorder="1" applyAlignment="1">
      <alignment horizontal="center" vertical="center"/>
    </xf>
    <xf numFmtId="0" fontId="5" fillId="0" borderId="181" xfId="0" applyFont="1" applyFill="1" applyBorder="1" applyAlignment="1">
      <alignment horizontal="center" vertical="center"/>
    </xf>
    <xf numFmtId="0" fontId="5" fillId="0" borderId="132" xfId="0" applyFont="1" applyFill="1" applyBorder="1" applyAlignment="1">
      <alignment horizontal="center" vertical="center"/>
    </xf>
    <xf numFmtId="0" fontId="5" fillId="16" borderId="271" xfId="0" applyFont="1" applyFill="1" applyBorder="1" applyAlignment="1">
      <alignment horizontal="center" vertical="center" wrapText="1"/>
    </xf>
    <xf numFmtId="0" fontId="5" fillId="16" borderId="14" xfId="0" applyFont="1" applyFill="1" applyBorder="1" applyAlignment="1">
      <alignment horizontal="center" vertical="center" wrapText="1"/>
    </xf>
    <xf numFmtId="0" fontId="5" fillId="22" borderId="36" xfId="0" applyFont="1" applyFill="1" applyBorder="1" applyAlignment="1">
      <alignment horizontal="center" vertical="center"/>
    </xf>
    <xf numFmtId="0" fontId="5" fillId="22" borderId="213" xfId="0" applyFont="1" applyFill="1" applyBorder="1" applyAlignment="1">
      <alignment horizontal="center" vertical="center"/>
    </xf>
    <xf numFmtId="0" fontId="5" fillId="22" borderId="9" xfId="0" applyNumberFormat="1" applyFont="1" applyFill="1" applyBorder="1" applyAlignment="1">
      <alignment horizontal="left" vertical="center" shrinkToFit="1"/>
    </xf>
    <xf numFmtId="0" fontId="0" fillId="22" borderId="41" xfId="0" applyFont="1" applyFill="1" applyBorder="1" applyAlignment="1">
      <alignment horizontal="left" vertical="center" shrinkToFit="1"/>
    </xf>
    <xf numFmtId="0" fontId="5" fillId="24" borderId="176" xfId="0" applyFont="1" applyFill="1" applyBorder="1" applyAlignment="1">
      <alignment horizontal="center" vertical="center" wrapText="1" shrinkToFit="1"/>
    </xf>
    <xf numFmtId="0" fontId="5" fillId="24" borderId="11" xfId="0" applyFont="1" applyFill="1" applyBorder="1" applyAlignment="1">
      <alignment horizontal="center" vertical="center" wrapText="1" shrinkToFit="1"/>
    </xf>
    <xf numFmtId="0" fontId="5" fillId="24" borderId="216" xfId="0" applyFont="1" applyFill="1" applyBorder="1" applyAlignment="1">
      <alignment horizontal="center" vertical="center" wrapText="1" shrinkToFit="1"/>
    </xf>
    <xf numFmtId="0" fontId="5" fillId="22" borderId="83" xfId="0" applyNumberFormat="1" applyFont="1" applyFill="1" applyBorder="1" applyAlignment="1">
      <alignment horizontal="left" vertical="center" shrinkToFit="1"/>
    </xf>
    <xf numFmtId="0" fontId="5" fillId="22" borderId="84" xfId="0" applyNumberFormat="1" applyFont="1" applyFill="1" applyBorder="1" applyAlignment="1">
      <alignment horizontal="left" vertical="center" shrinkToFit="1"/>
    </xf>
    <xf numFmtId="0" fontId="5" fillId="22" borderId="78" xfId="0" applyNumberFormat="1" applyFont="1" applyFill="1" applyBorder="1" applyAlignment="1">
      <alignment horizontal="left" vertical="center" shrinkToFit="1"/>
    </xf>
    <xf numFmtId="0" fontId="5" fillId="22" borderId="90" xfId="0" applyNumberFormat="1" applyFont="1" applyFill="1" applyBorder="1" applyAlignment="1">
      <alignment horizontal="left" vertical="center" shrinkToFit="1"/>
    </xf>
    <xf numFmtId="0" fontId="5" fillId="22" borderId="91" xfId="0" applyNumberFormat="1" applyFont="1" applyFill="1" applyBorder="1" applyAlignment="1">
      <alignment horizontal="left" vertical="center" shrinkToFit="1"/>
    </xf>
    <xf numFmtId="0" fontId="5" fillId="0" borderId="237" xfId="0" applyFont="1" applyFill="1" applyBorder="1" applyAlignment="1">
      <alignment horizontal="center" vertical="center"/>
    </xf>
    <xf numFmtId="0" fontId="5" fillId="0" borderId="123" xfId="0" applyFont="1" applyFill="1" applyBorder="1" applyAlignment="1">
      <alignment horizontal="center" vertical="center"/>
    </xf>
    <xf numFmtId="0" fontId="5" fillId="22" borderId="295" xfId="0" applyFont="1" applyFill="1" applyBorder="1" applyAlignment="1">
      <alignment horizontal="center" vertical="center" shrinkToFit="1"/>
    </xf>
    <xf numFmtId="0" fontId="5" fillId="22" borderId="14" xfId="0" applyFont="1" applyFill="1" applyBorder="1" applyAlignment="1">
      <alignment horizontal="center" vertical="center" shrinkToFit="1"/>
    </xf>
    <xf numFmtId="0" fontId="18" fillId="0" borderId="180" xfId="0" applyFont="1" applyFill="1" applyBorder="1" applyAlignment="1">
      <alignment horizontal="center" vertical="center"/>
    </xf>
    <xf numFmtId="0" fontId="18" fillId="0" borderId="103" xfId="0" applyFont="1" applyFill="1" applyBorder="1" applyAlignment="1">
      <alignment horizontal="center" vertical="center"/>
    </xf>
    <xf numFmtId="0" fontId="18" fillId="0" borderId="36" xfId="0" applyFont="1" applyFill="1" applyBorder="1" applyAlignment="1">
      <alignment horizontal="center" vertical="center"/>
    </xf>
    <xf numFmtId="0" fontId="18" fillId="0" borderId="181" xfId="0" applyFont="1" applyFill="1" applyBorder="1" applyAlignment="1">
      <alignment horizontal="center" vertical="center"/>
    </xf>
    <xf numFmtId="0" fontId="18" fillId="0" borderId="132" xfId="0" applyFont="1" applyFill="1" applyBorder="1" applyAlignment="1">
      <alignment horizontal="center" vertical="center"/>
    </xf>
    <xf numFmtId="0" fontId="18" fillId="0" borderId="37" xfId="0" applyFont="1" applyFill="1" applyBorder="1" applyAlignment="1">
      <alignment horizontal="center" vertical="center"/>
    </xf>
    <xf numFmtId="14" fontId="5" fillId="0" borderId="132" xfId="0" applyNumberFormat="1" applyFont="1" applyFill="1" applyBorder="1" applyAlignment="1">
      <alignment horizontal="center" vertical="center"/>
    </xf>
    <xf numFmtId="0" fontId="5" fillId="17" borderId="90" xfId="0" applyNumberFormat="1" applyFont="1" applyFill="1" applyBorder="1" applyAlignment="1">
      <alignment horizontal="left" vertical="center" shrinkToFit="1"/>
    </xf>
    <xf numFmtId="0" fontId="5" fillId="17" borderId="91" xfId="0" applyNumberFormat="1" applyFont="1" applyFill="1" applyBorder="1" applyAlignment="1">
      <alignment horizontal="left" vertical="center" shrinkToFit="1"/>
    </xf>
    <xf numFmtId="0" fontId="0" fillId="17" borderId="218" xfId="0" applyFont="1" applyFill="1" applyBorder="1" applyAlignment="1">
      <alignment horizontal="left" vertical="center" shrinkToFit="1"/>
    </xf>
    <xf numFmtId="0" fontId="5" fillId="22" borderId="41" xfId="0" applyNumberFormat="1" applyFont="1" applyFill="1" applyBorder="1" applyAlignment="1">
      <alignment horizontal="left" vertical="center" shrinkToFit="1"/>
    </xf>
    <xf numFmtId="0" fontId="5" fillId="22" borderId="97" xfId="0" applyNumberFormat="1" applyFont="1" applyFill="1" applyBorder="1" applyAlignment="1">
      <alignment horizontal="left" vertical="center" shrinkToFit="1"/>
    </xf>
    <xf numFmtId="0" fontId="5" fillId="22" borderId="210" xfId="0" applyNumberFormat="1" applyFont="1" applyFill="1" applyBorder="1" applyAlignment="1">
      <alignment horizontal="left" vertical="center" shrinkToFit="1"/>
    </xf>
    <xf numFmtId="0" fontId="5" fillId="22" borderId="42" xfId="0" applyNumberFormat="1" applyFont="1" applyFill="1" applyBorder="1" applyAlignment="1">
      <alignment horizontal="left" vertical="center" shrinkToFit="1"/>
    </xf>
    <xf numFmtId="0" fontId="5" fillId="22" borderId="49" xfId="0" applyNumberFormat="1" applyFont="1" applyFill="1" applyBorder="1" applyAlignment="1">
      <alignment horizontal="left" vertical="center" shrinkToFit="1"/>
    </xf>
    <xf numFmtId="0" fontId="5" fillId="22" borderId="108" xfId="0" applyNumberFormat="1" applyFont="1" applyFill="1" applyBorder="1" applyAlignment="1">
      <alignment horizontal="left" vertical="center" shrinkToFit="1"/>
    </xf>
    <xf numFmtId="0" fontId="5" fillId="0" borderId="15" xfId="0" applyNumberFormat="1" applyFont="1" applyFill="1" applyBorder="1" applyAlignment="1">
      <alignment horizontal="left" vertical="center" shrinkToFit="1"/>
    </xf>
    <xf numFmtId="0" fontId="0" fillId="0" borderId="59" xfId="0" applyFont="1" applyFill="1" applyBorder="1" applyAlignment="1">
      <alignment horizontal="left" vertical="center" shrinkToFit="1"/>
    </xf>
    <xf numFmtId="0" fontId="0" fillId="0" borderId="251" xfId="0" applyFont="1" applyFill="1" applyBorder="1" applyAlignment="1">
      <alignment horizontal="left" vertical="center" shrinkToFit="1"/>
    </xf>
    <xf numFmtId="0" fontId="5" fillId="22" borderId="176" xfId="0" applyFont="1" applyFill="1" applyBorder="1" applyAlignment="1">
      <alignment horizontal="center" vertical="center" shrinkToFit="1"/>
    </xf>
    <xf numFmtId="0" fontId="5" fillId="22" borderId="11" xfId="0" applyFont="1" applyFill="1" applyBorder="1" applyAlignment="1">
      <alignment horizontal="center" vertical="center" shrinkToFit="1"/>
    </xf>
    <xf numFmtId="0" fontId="5" fillId="22" borderId="12" xfId="0" applyFont="1" applyFill="1" applyBorder="1" applyAlignment="1">
      <alignment horizontal="center" vertical="center" shrinkToFit="1"/>
    </xf>
    <xf numFmtId="0" fontId="5" fillId="0" borderId="42" xfId="0" applyNumberFormat="1" applyFont="1" applyFill="1" applyBorder="1" applyAlignment="1">
      <alignment horizontal="left" vertical="center" shrinkToFit="1"/>
    </xf>
    <xf numFmtId="0" fontId="5" fillId="0" borderId="49" xfId="0" applyNumberFormat="1" applyFont="1" applyFill="1" applyBorder="1" applyAlignment="1">
      <alignment horizontal="left" vertical="center" shrinkToFit="1"/>
    </xf>
    <xf numFmtId="0" fontId="5" fillId="0" borderId="257" xfId="0" applyNumberFormat="1" applyFont="1" applyFill="1" applyBorder="1" applyAlignment="1">
      <alignment horizontal="left" vertical="center" shrinkToFit="1"/>
    </xf>
    <xf numFmtId="0" fontId="5" fillId="0" borderId="132" xfId="0" applyNumberFormat="1" applyFont="1" applyFill="1" applyBorder="1" applyAlignment="1">
      <alignment horizontal="left" vertical="center" shrinkToFit="1"/>
    </xf>
    <xf numFmtId="0" fontId="5" fillId="16" borderId="4" xfId="0" applyNumberFormat="1" applyFont="1" applyFill="1" applyBorder="1" applyAlignment="1">
      <alignment horizontal="left" vertical="center" shrinkToFit="1"/>
    </xf>
    <xf numFmtId="0" fontId="0" fillId="16" borderId="60" xfId="0" applyFont="1" applyFill="1" applyBorder="1" applyAlignment="1">
      <alignment horizontal="left" vertical="center" shrinkToFit="1"/>
    </xf>
    <xf numFmtId="0" fontId="0" fillId="16" borderId="246" xfId="0" applyFont="1" applyFill="1" applyBorder="1" applyAlignment="1">
      <alignment horizontal="left" vertical="center" shrinkToFit="1"/>
    </xf>
    <xf numFmtId="0" fontId="5" fillId="22" borderId="79" xfId="0" applyFont="1" applyFill="1" applyBorder="1" applyAlignment="1">
      <alignment horizontal="center" vertical="center" shrinkToFit="1"/>
    </xf>
    <xf numFmtId="0" fontId="5" fillId="22" borderId="109" xfId="0" applyFont="1" applyFill="1" applyBorder="1" applyAlignment="1">
      <alignment horizontal="center" vertical="center" shrinkToFit="1"/>
    </xf>
    <xf numFmtId="0" fontId="5" fillId="22" borderId="106" xfId="0" applyNumberFormat="1" applyFont="1" applyFill="1" applyBorder="1" applyAlignment="1">
      <alignment horizontal="left" vertical="center" shrinkToFit="1"/>
    </xf>
    <xf numFmtId="0" fontId="5" fillId="22" borderId="48" xfId="0" applyNumberFormat="1" applyFont="1" applyFill="1" applyBorder="1" applyAlignment="1">
      <alignment horizontal="left" vertical="center" shrinkToFit="1"/>
    </xf>
    <xf numFmtId="0" fontId="5" fillId="16" borderId="90" xfId="0" applyNumberFormat="1" applyFont="1" applyFill="1" applyBorder="1" applyAlignment="1">
      <alignment horizontal="left" vertical="center" shrinkToFit="1"/>
    </xf>
    <xf numFmtId="0" fontId="5" fillId="16" borderId="91" xfId="0" applyNumberFormat="1" applyFont="1" applyFill="1" applyBorder="1" applyAlignment="1">
      <alignment horizontal="left" vertical="center" shrinkToFit="1"/>
    </xf>
    <xf numFmtId="0" fontId="0" fillId="16" borderId="218" xfId="0" applyFont="1" applyFill="1" applyBorder="1" applyAlignment="1">
      <alignment horizontal="left" vertical="center" shrinkToFit="1"/>
    </xf>
    <xf numFmtId="0" fontId="0" fillId="23" borderId="88" xfId="0" applyFont="1" applyFill="1" applyBorder="1" applyAlignment="1">
      <alignment horizontal="left" vertical="center" shrinkToFit="1"/>
    </xf>
    <xf numFmtId="0" fontId="5" fillId="0" borderId="36" xfId="0" applyFont="1" applyFill="1" applyBorder="1" applyAlignment="1">
      <alignment horizontal="center" vertical="center"/>
    </xf>
    <xf numFmtId="0" fontId="5" fillId="0" borderId="126" xfId="0" applyFont="1" applyFill="1" applyBorder="1" applyAlignment="1">
      <alignment horizontal="center" vertical="center"/>
    </xf>
    <xf numFmtId="0" fontId="5" fillId="0" borderId="213" xfId="0" applyFont="1" applyFill="1" applyBorder="1" applyAlignment="1">
      <alignment horizontal="center" vertical="center"/>
    </xf>
    <xf numFmtId="0" fontId="5" fillId="22" borderId="176" xfId="0" applyFont="1" applyFill="1" applyBorder="1" applyAlignment="1">
      <alignment horizontal="center" vertical="center" wrapText="1"/>
    </xf>
    <xf numFmtId="0" fontId="5" fillId="22" borderId="11" xfId="0" applyFont="1" applyFill="1" applyBorder="1" applyAlignment="1">
      <alignment horizontal="center" vertical="center" wrapText="1"/>
    </xf>
    <xf numFmtId="0" fontId="5" fillId="22" borderId="12" xfId="0" applyFont="1" applyFill="1" applyBorder="1" applyAlignment="1">
      <alignment horizontal="center" vertical="center" wrapText="1"/>
    </xf>
    <xf numFmtId="0" fontId="5" fillId="22" borderId="96" xfId="0" applyFont="1" applyFill="1" applyBorder="1" applyAlignment="1">
      <alignment horizontal="center" vertical="center" shrinkToFit="1"/>
    </xf>
    <xf numFmtId="0" fontId="5" fillId="23" borderId="176" xfId="0" applyFont="1" applyFill="1" applyBorder="1" applyAlignment="1">
      <alignment horizontal="center" vertical="center"/>
    </xf>
    <xf numFmtId="0" fontId="5" fillId="23" borderId="11" xfId="0" applyFont="1" applyFill="1" applyBorder="1" applyAlignment="1">
      <alignment horizontal="center" vertical="center"/>
    </xf>
    <xf numFmtId="0" fontId="5" fillId="22" borderId="221" xfId="0" applyNumberFormat="1" applyFont="1" applyFill="1" applyBorder="1" applyAlignment="1">
      <alignment horizontal="left" vertical="center" shrinkToFit="1"/>
    </xf>
    <xf numFmtId="0" fontId="0" fillId="0" borderId="49" xfId="0" applyFont="1" applyFill="1" applyBorder="1" applyAlignment="1">
      <alignment horizontal="left" vertical="center" shrinkToFit="1"/>
    </xf>
    <xf numFmtId="0" fontId="0" fillId="0" borderId="108" xfId="0" applyFont="1" applyFill="1" applyBorder="1" applyAlignment="1">
      <alignment horizontal="left" vertical="center" shrinkToFit="1"/>
    </xf>
    <xf numFmtId="0" fontId="0" fillId="0" borderId="15" xfId="0" applyFont="1" applyFill="1" applyBorder="1" applyAlignment="1">
      <alignment horizontal="left" vertical="center" shrinkToFit="1"/>
    </xf>
    <xf numFmtId="0" fontId="0" fillId="0" borderId="242" xfId="0" applyFont="1" applyFill="1" applyBorder="1" applyAlignment="1">
      <alignment horizontal="left" vertical="center" shrinkToFit="1"/>
    </xf>
    <xf numFmtId="0" fontId="5" fillId="22" borderId="39" xfId="0" applyNumberFormat="1" applyFont="1" applyFill="1" applyBorder="1" applyAlignment="1">
      <alignment horizontal="left" vertical="center" shrinkToFit="1"/>
    </xf>
    <xf numFmtId="0" fontId="5" fillId="22" borderId="40" xfId="0" applyNumberFormat="1" applyFont="1" applyFill="1" applyBorder="1" applyAlignment="1">
      <alignment horizontal="left" vertical="center" shrinkToFit="1"/>
    </xf>
    <xf numFmtId="0" fontId="5" fillId="22" borderId="128" xfId="0" applyNumberFormat="1" applyFont="1" applyFill="1" applyBorder="1" applyAlignment="1">
      <alignment horizontal="left" vertical="center" shrinkToFit="1"/>
    </xf>
    <xf numFmtId="0" fontId="0" fillId="22" borderId="69" xfId="0" applyFont="1" applyFill="1" applyBorder="1" applyAlignment="1">
      <alignment horizontal="left" vertical="center" shrinkToFit="1"/>
    </xf>
    <xf numFmtId="0" fontId="5" fillId="0" borderId="263" xfId="0" applyFont="1" applyFill="1" applyBorder="1" applyAlignment="1">
      <alignment horizontal="center" vertical="center"/>
    </xf>
    <xf numFmtId="0" fontId="5" fillId="0" borderId="264" xfId="0" applyFont="1" applyFill="1" applyBorder="1" applyAlignment="1">
      <alignment horizontal="center" vertical="center"/>
    </xf>
    <xf numFmtId="0" fontId="5" fillId="0" borderId="0" xfId="0" applyFont="1" applyFill="1" applyBorder="1" applyAlignment="1">
      <alignment horizontal="center" vertical="center"/>
    </xf>
    <xf numFmtId="0" fontId="5" fillId="16" borderId="88" xfId="0" applyNumberFormat="1" applyFont="1" applyFill="1" applyBorder="1" applyAlignment="1">
      <alignment horizontal="left" vertical="center" shrinkToFit="1"/>
    </xf>
    <xf numFmtId="0" fontId="5" fillId="16" borderId="2" xfId="0" applyFont="1" applyFill="1" applyBorder="1" applyAlignment="1">
      <alignment horizontal="center" vertical="center"/>
    </xf>
    <xf numFmtId="0" fontId="34" fillId="29" borderId="0" xfId="0" applyFont="1" applyFill="1" applyBorder="1" applyAlignment="1">
      <alignment horizontal="center" vertical="center"/>
    </xf>
    <xf numFmtId="0" fontId="5" fillId="11" borderId="2" xfId="0" applyFont="1" applyFill="1" applyBorder="1" applyAlignment="1">
      <alignment horizontal="center" vertical="center"/>
    </xf>
    <xf numFmtId="0" fontId="5" fillId="0" borderId="9" xfId="0" applyNumberFormat="1" applyFont="1" applyFill="1" applyBorder="1" applyAlignment="1">
      <alignment horizontal="left" vertical="center" shrinkToFit="1"/>
    </xf>
    <xf numFmtId="0" fontId="5" fillId="0" borderId="41" xfId="0" applyNumberFormat="1" applyFont="1" applyFill="1" applyBorder="1" applyAlignment="1">
      <alignment horizontal="left" vertical="center" shrinkToFit="1"/>
    </xf>
    <xf numFmtId="0" fontId="0" fillId="0" borderId="220" xfId="0" applyFont="1" applyFill="1" applyBorder="1" applyAlignment="1">
      <alignment horizontal="left" vertical="center" shrinkToFit="1"/>
    </xf>
    <xf numFmtId="0" fontId="5" fillId="0" borderId="265" xfId="0" applyFont="1" applyFill="1" applyBorder="1" applyAlignment="1">
      <alignment horizontal="left" vertical="center" shrinkToFit="1"/>
    </xf>
    <xf numFmtId="0" fontId="5" fillId="0" borderId="266" xfId="0" applyFont="1" applyFill="1" applyBorder="1" applyAlignment="1">
      <alignment horizontal="left" vertical="center" shrinkToFit="1"/>
    </xf>
    <xf numFmtId="0" fontId="5" fillId="23" borderId="90" xfId="0" applyNumberFormat="1" applyFont="1" applyFill="1" applyBorder="1" applyAlignment="1">
      <alignment horizontal="left" vertical="center" shrinkToFit="1"/>
    </xf>
    <xf numFmtId="0" fontId="5" fillId="23" borderId="91" xfId="0" applyNumberFormat="1" applyFont="1" applyFill="1" applyBorder="1" applyAlignment="1">
      <alignment horizontal="left" vertical="center" shrinkToFit="1"/>
    </xf>
    <xf numFmtId="0" fontId="0" fillId="23" borderId="218" xfId="0" applyFont="1" applyFill="1" applyBorder="1" applyAlignment="1">
      <alignment horizontal="left" vertical="center" shrinkToFit="1"/>
    </xf>
    <xf numFmtId="0" fontId="5" fillId="0" borderId="58" xfId="0" applyFont="1" applyFill="1" applyBorder="1" applyAlignment="1">
      <alignment horizontal="center" vertical="center"/>
    </xf>
    <xf numFmtId="0" fontId="0" fillId="23" borderId="92" xfId="0" applyFont="1" applyFill="1" applyBorder="1" applyAlignment="1">
      <alignment horizontal="left" vertical="center" shrinkToFit="1"/>
    </xf>
    <xf numFmtId="0" fontId="5" fillId="23" borderId="106" xfId="0" applyNumberFormat="1" applyFont="1" applyFill="1" applyBorder="1" applyAlignment="1">
      <alignment horizontal="left" vertical="center" shrinkToFit="1"/>
    </xf>
    <xf numFmtId="0" fontId="5" fillId="23" borderId="48" xfId="0" applyNumberFormat="1" applyFont="1" applyFill="1" applyBorder="1" applyAlignment="1">
      <alignment horizontal="left" vertical="center" shrinkToFit="1"/>
    </xf>
    <xf numFmtId="0" fontId="0" fillId="23" borderId="222" xfId="0" applyFont="1" applyFill="1" applyBorder="1" applyAlignment="1">
      <alignment horizontal="left" vertical="center" shrinkToFit="1"/>
    </xf>
    <xf numFmtId="0" fontId="5" fillId="17" borderId="106" xfId="0" applyNumberFormat="1" applyFont="1" applyFill="1" applyBorder="1" applyAlignment="1">
      <alignment horizontal="left" vertical="center" shrinkToFit="1"/>
    </xf>
    <xf numFmtId="0" fontId="5" fillId="17" borderId="48" xfId="0" applyNumberFormat="1" applyFont="1" applyFill="1" applyBorder="1" applyAlignment="1">
      <alignment horizontal="left" vertical="center" shrinkToFit="1"/>
    </xf>
    <xf numFmtId="0" fontId="0" fillId="17" borderId="222" xfId="0" applyFont="1" applyFill="1" applyBorder="1" applyAlignment="1">
      <alignment horizontal="left" vertical="center" shrinkToFit="1"/>
    </xf>
    <xf numFmtId="0" fontId="5" fillId="22" borderId="265" xfId="0" applyNumberFormat="1" applyFont="1" applyFill="1" applyBorder="1" applyAlignment="1">
      <alignment horizontal="left" vertical="center" shrinkToFit="1"/>
    </xf>
    <xf numFmtId="0" fontId="5" fillId="22" borderId="266" xfId="0" applyNumberFormat="1" applyFont="1" applyFill="1" applyBorder="1" applyAlignment="1">
      <alignment horizontal="left" vertical="center" shrinkToFit="1"/>
    </xf>
    <xf numFmtId="0" fontId="0" fillId="22" borderId="276" xfId="0" applyFont="1" applyFill="1" applyBorder="1" applyAlignment="1">
      <alignment horizontal="left" vertical="center" shrinkToFit="1"/>
    </xf>
    <xf numFmtId="0" fontId="0" fillId="23" borderId="121" xfId="0" applyFont="1" applyFill="1" applyBorder="1" applyAlignment="1">
      <alignment horizontal="left" vertical="center" shrinkToFit="1"/>
    </xf>
    <xf numFmtId="0" fontId="5" fillId="23" borderId="83" xfId="0" applyNumberFormat="1" applyFont="1" applyFill="1" applyBorder="1" applyAlignment="1">
      <alignment horizontal="left" vertical="center" shrinkToFit="1"/>
    </xf>
    <xf numFmtId="0" fontId="5" fillId="23" borderId="84" xfId="0" applyNumberFormat="1" applyFont="1" applyFill="1" applyBorder="1" applyAlignment="1">
      <alignment horizontal="left" vertical="center" shrinkToFit="1"/>
    </xf>
    <xf numFmtId="0" fontId="0" fillId="23" borderId="219" xfId="0" applyFont="1" applyFill="1" applyBorder="1" applyAlignment="1">
      <alignment horizontal="left" vertical="center" shrinkToFit="1"/>
    </xf>
    <xf numFmtId="0" fontId="5" fillId="17" borderId="83" xfId="0" applyNumberFormat="1" applyFont="1" applyFill="1" applyBorder="1" applyAlignment="1">
      <alignment horizontal="left" vertical="center" shrinkToFit="1"/>
    </xf>
    <xf numFmtId="0" fontId="5" fillId="17" borderId="84" xfId="0" applyNumberFormat="1" applyFont="1" applyFill="1" applyBorder="1" applyAlignment="1">
      <alignment horizontal="left" vertical="center" shrinkToFit="1"/>
    </xf>
    <xf numFmtId="0" fontId="0" fillId="17" borderId="219" xfId="0" applyFont="1" applyFill="1" applyBorder="1" applyAlignment="1">
      <alignment horizontal="left" vertical="center" shrinkToFit="1"/>
    </xf>
    <xf numFmtId="0" fontId="5" fillId="17" borderId="257" xfId="0" applyNumberFormat="1" applyFont="1" applyFill="1" applyBorder="1" applyAlignment="1">
      <alignment horizontal="left" vertical="center" shrinkToFit="1"/>
    </xf>
    <xf numFmtId="0" fontId="5" fillId="17" borderId="132" xfId="0" applyNumberFormat="1" applyFont="1" applyFill="1" applyBorder="1" applyAlignment="1">
      <alignment horizontal="left" vertical="center" shrinkToFit="1"/>
    </xf>
    <xf numFmtId="0" fontId="0" fillId="17" borderId="259" xfId="0" applyFont="1" applyFill="1" applyBorder="1" applyAlignment="1">
      <alignment horizontal="left" vertical="center" shrinkToFit="1"/>
    </xf>
    <xf numFmtId="0" fontId="5" fillId="17" borderId="271" xfId="0" applyFont="1" applyFill="1" applyBorder="1" applyAlignment="1">
      <alignment horizontal="center" vertical="center"/>
    </xf>
    <xf numFmtId="0" fontId="5" fillId="17" borderId="13" xfId="0" applyFont="1" applyFill="1" applyBorder="1" applyAlignment="1">
      <alignment horizontal="center" vertical="center"/>
    </xf>
    <xf numFmtId="0" fontId="5" fillId="16" borderId="271" xfId="0" applyFont="1" applyFill="1" applyBorder="1" applyAlignment="1">
      <alignment horizontal="center" vertical="center" shrinkToFit="1"/>
    </xf>
    <xf numFmtId="0" fontId="5" fillId="16" borderId="14" xfId="0" applyFont="1" applyFill="1" applyBorder="1" applyAlignment="1">
      <alignment horizontal="center" vertical="center" shrinkToFit="1"/>
    </xf>
    <xf numFmtId="0" fontId="5" fillId="16" borderId="13" xfId="0" applyFont="1" applyFill="1" applyBorder="1" applyAlignment="1">
      <alignment horizontal="center" vertical="center" shrinkToFit="1"/>
    </xf>
    <xf numFmtId="0" fontId="5" fillId="23" borderId="271" xfId="0" applyFont="1" applyFill="1" applyBorder="1" applyAlignment="1">
      <alignment horizontal="center" vertical="center" shrinkToFit="1"/>
    </xf>
    <xf numFmtId="0" fontId="5" fillId="23" borderId="14" xfId="0" applyFont="1" applyFill="1" applyBorder="1" applyAlignment="1">
      <alignment horizontal="center" vertical="center" shrinkToFit="1"/>
    </xf>
    <xf numFmtId="0" fontId="5" fillId="23" borderId="13" xfId="0" applyFont="1" applyFill="1" applyBorder="1" applyAlignment="1">
      <alignment horizontal="center" vertical="center" shrinkToFit="1"/>
    </xf>
    <xf numFmtId="0" fontId="5" fillId="11" borderId="9" xfId="0" applyNumberFormat="1" applyFont="1" applyFill="1" applyBorder="1" applyAlignment="1">
      <alignment horizontal="left" vertical="center" shrinkToFit="1"/>
    </xf>
    <xf numFmtId="0" fontId="5" fillId="11" borderId="41" xfId="0" applyNumberFormat="1" applyFont="1" applyFill="1" applyBorder="1" applyAlignment="1">
      <alignment horizontal="left" vertical="center" shrinkToFit="1"/>
    </xf>
    <xf numFmtId="0" fontId="0" fillId="11" borderId="220" xfId="0" applyFont="1" applyFill="1" applyBorder="1" applyAlignment="1">
      <alignment horizontal="left" vertical="center" shrinkToFit="1"/>
    </xf>
    <xf numFmtId="0" fontId="5" fillId="23" borderId="271" xfId="0" applyFont="1" applyFill="1" applyBorder="1" applyAlignment="1">
      <alignment horizontal="center" vertical="center"/>
    </xf>
    <xf numFmtId="0" fontId="5" fillId="23" borderId="277" xfId="0" applyFont="1" applyFill="1" applyBorder="1" applyAlignment="1">
      <alignment horizontal="center" vertical="center"/>
    </xf>
    <xf numFmtId="0" fontId="5" fillId="23" borderId="14" xfId="0" applyFont="1" applyFill="1" applyBorder="1" applyAlignment="1">
      <alignment horizontal="center" vertical="center"/>
    </xf>
    <xf numFmtId="0" fontId="5" fillId="23" borderId="284" xfId="0" applyFont="1" applyFill="1" applyBorder="1" applyAlignment="1">
      <alignment horizontal="center" vertical="center"/>
    </xf>
    <xf numFmtId="0" fontId="5" fillId="23" borderId="13" xfId="0" applyFont="1" applyFill="1" applyBorder="1" applyAlignment="1">
      <alignment horizontal="center" vertical="center"/>
    </xf>
    <xf numFmtId="0" fontId="5" fillId="0" borderId="274" xfId="0" applyFont="1" applyFill="1" applyBorder="1" applyAlignment="1">
      <alignment horizontal="center" vertical="center" wrapText="1" shrinkToFit="1"/>
    </xf>
    <xf numFmtId="175" fontId="26" fillId="0" borderId="182" xfId="0" applyNumberFormat="1" applyFont="1" applyFill="1" applyBorder="1" applyAlignment="1">
      <alignment horizontal="center" vertical="center"/>
    </xf>
    <xf numFmtId="175" fontId="26" fillId="0" borderId="178" xfId="0" applyNumberFormat="1" applyFont="1" applyFill="1" applyBorder="1" applyAlignment="1">
      <alignment horizontal="center" vertical="center"/>
    </xf>
    <xf numFmtId="175" fontId="26" fillId="0" borderId="179" xfId="0" applyNumberFormat="1" applyFont="1" applyFill="1" applyBorder="1" applyAlignment="1">
      <alignment horizontal="center" vertical="center"/>
    </xf>
    <xf numFmtId="175" fontId="26" fillId="0" borderId="177" xfId="0" applyNumberFormat="1" applyFont="1" applyFill="1" applyBorder="1" applyAlignment="1">
      <alignment horizontal="center" vertical="center"/>
    </xf>
    <xf numFmtId="0" fontId="26" fillId="0" borderId="81" xfId="0" applyFont="1" applyFill="1" applyBorder="1" applyAlignment="1">
      <alignment horizontal="center" vertical="center"/>
    </xf>
    <xf numFmtId="0" fontId="26" fillId="0" borderId="0" xfId="0" applyFont="1" applyFill="1" applyAlignment="1">
      <alignment horizontal="center" vertical="center"/>
    </xf>
    <xf numFmtId="170" fontId="26" fillId="0" borderId="0" xfId="0" applyNumberFormat="1" applyFont="1" applyFill="1" applyAlignment="1">
      <alignment horizontal="left" vertical="center"/>
    </xf>
    <xf numFmtId="0" fontId="48" fillId="0" borderId="180" xfId="0" applyFont="1" applyFill="1" applyBorder="1" applyAlignment="1">
      <alignment horizontal="center" vertical="center"/>
    </xf>
    <xf numFmtId="0" fontId="48" fillId="0" borderId="103" xfId="0" applyFont="1" applyFill="1" applyBorder="1" applyAlignment="1">
      <alignment horizontal="center" vertical="center"/>
    </xf>
    <xf numFmtId="0" fontId="48" fillId="0" borderId="36" xfId="0" applyFont="1" applyFill="1" applyBorder="1" applyAlignment="1">
      <alignment horizontal="center" vertical="center"/>
    </xf>
    <xf numFmtId="0" fontId="48" fillId="0" borderId="181" xfId="0" applyFont="1" applyFill="1" applyBorder="1" applyAlignment="1">
      <alignment horizontal="center" vertical="center"/>
    </xf>
    <xf numFmtId="0" fontId="48" fillId="0" borderId="132" xfId="0" applyFont="1" applyFill="1" applyBorder="1" applyAlignment="1">
      <alignment horizontal="center" vertical="center"/>
    </xf>
    <xf numFmtId="0" fontId="48" fillId="0" borderId="37" xfId="0" applyFont="1" applyFill="1" applyBorder="1" applyAlignment="1">
      <alignment horizontal="center" vertical="center"/>
    </xf>
    <xf numFmtId="14" fontId="26" fillId="0" borderId="132" xfId="0" applyNumberFormat="1" applyFont="1" applyFill="1" applyBorder="1" applyAlignment="1">
      <alignment horizontal="center" vertical="center"/>
    </xf>
    <xf numFmtId="0" fontId="26" fillId="0" borderId="180" xfId="0" applyFont="1" applyFill="1" applyBorder="1" applyAlignment="1">
      <alignment horizontal="center" vertical="center"/>
    </xf>
    <xf numFmtId="0" fontId="26" fillId="0" borderId="103" xfId="0" applyFont="1" applyFill="1" applyBorder="1" applyAlignment="1">
      <alignment horizontal="center" vertical="center"/>
    </xf>
    <xf numFmtId="0" fontId="26" fillId="0" borderId="181" xfId="0" applyFont="1" applyFill="1" applyBorder="1" applyAlignment="1">
      <alignment horizontal="center" vertical="center"/>
    </xf>
    <xf numFmtId="0" fontId="26" fillId="0" borderId="132" xfId="0" applyFont="1" applyFill="1" applyBorder="1" applyAlignment="1">
      <alignment horizontal="center" vertical="center"/>
    </xf>
    <xf numFmtId="0" fontId="26" fillId="0" borderId="176" xfId="0" applyFont="1" applyFill="1" applyBorder="1" applyAlignment="1">
      <alignment horizontal="center" vertical="center" wrapText="1"/>
    </xf>
    <xf numFmtId="0" fontId="26" fillId="0" borderId="12" xfId="0" applyFont="1" applyFill="1" applyBorder="1" applyAlignment="1">
      <alignment horizontal="center" vertical="center"/>
    </xf>
    <xf numFmtId="0" fontId="26" fillId="0" borderId="298" xfId="0" applyFont="1" applyFill="1" applyBorder="1" applyAlignment="1">
      <alignment horizontal="center" vertical="center"/>
    </xf>
    <xf numFmtId="0" fontId="26" fillId="0" borderId="300" xfId="0" applyFont="1" applyFill="1" applyBorder="1" applyAlignment="1">
      <alignment horizontal="center" vertical="center"/>
    </xf>
    <xf numFmtId="0" fontId="26" fillId="0" borderId="309" xfId="0" applyFont="1" applyFill="1" applyBorder="1" applyAlignment="1">
      <alignment horizontal="center" vertical="center"/>
    </xf>
    <xf numFmtId="0" fontId="26" fillId="0" borderId="310" xfId="0" applyFont="1" applyFill="1" applyBorder="1" applyAlignment="1">
      <alignment horizontal="center" vertical="center"/>
    </xf>
    <xf numFmtId="0" fontId="26" fillId="0" borderId="299" xfId="0" applyFont="1" applyFill="1" applyBorder="1" applyAlignment="1">
      <alignment horizontal="center" vertical="center"/>
    </xf>
    <xf numFmtId="0" fontId="26" fillId="0" borderId="301" xfId="0" applyFont="1" applyFill="1" applyBorder="1" applyAlignment="1">
      <alignment horizontal="center" vertical="center"/>
    </xf>
    <xf numFmtId="0" fontId="26" fillId="0" borderId="309" xfId="0" applyFont="1" applyFill="1" applyBorder="1" applyAlignment="1">
      <alignment horizontal="center" vertical="center" wrapText="1"/>
    </xf>
    <xf numFmtId="0" fontId="26" fillId="0" borderId="310" xfId="0" applyFont="1" applyFill="1" applyBorder="1" applyAlignment="1">
      <alignment horizontal="center" vertical="center" wrapText="1"/>
    </xf>
    <xf numFmtId="0" fontId="26" fillId="0" borderId="298" xfId="0" applyFont="1" applyFill="1" applyBorder="1" applyAlignment="1">
      <alignment horizontal="center" vertical="center" wrapText="1"/>
    </xf>
    <xf numFmtId="0" fontId="26" fillId="0" borderId="299" xfId="0" applyFont="1" applyFill="1" applyBorder="1" applyAlignment="1">
      <alignment horizontal="center" vertical="center" wrapText="1"/>
    </xf>
    <xf numFmtId="0" fontId="26" fillId="0" borderId="301" xfId="0" applyFont="1" applyFill="1" applyBorder="1" applyAlignment="1">
      <alignment horizontal="center" vertical="center" wrapText="1"/>
    </xf>
    <xf numFmtId="0" fontId="26" fillId="0" borderId="311" xfId="0" applyFont="1" applyFill="1" applyBorder="1" applyAlignment="1">
      <alignment horizontal="center" vertical="center"/>
    </xf>
    <xf numFmtId="0" fontId="26" fillId="0" borderId="85" xfId="0" applyFont="1" applyFill="1" applyBorder="1" applyAlignment="1">
      <alignment horizontal="center" vertical="center"/>
    </xf>
    <xf numFmtId="0" fontId="26" fillId="0" borderId="9" xfId="0" applyNumberFormat="1" applyFont="1" applyFill="1" applyBorder="1" applyAlignment="1">
      <alignment horizontal="left" vertical="center" shrinkToFit="1"/>
    </xf>
    <xf numFmtId="0" fontId="26" fillId="0" borderId="41" xfId="0" applyNumberFormat="1" applyFont="1" applyFill="1" applyBorder="1" applyAlignment="1">
      <alignment horizontal="left" vertical="center" shrinkToFit="1"/>
    </xf>
    <xf numFmtId="0" fontId="26" fillId="0" borderId="220" xfId="0" applyFont="1" applyFill="1" applyBorder="1" applyAlignment="1">
      <alignment horizontal="left" vertical="center" shrinkToFit="1"/>
    </xf>
    <xf numFmtId="0" fontId="26" fillId="22" borderId="84" xfId="0" applyFont="1" applyFill="1" applyBorder="1" applyAlignment="1">
      <alignment horizontal="left" vertical="center"/>
    </xf>
    <xf numFmtId="0" fontId="26" fillId="22" borderId="49" xfId="0" applyFont="1" applyFill="1" applyBorder="1" applyAlignment="1">
      <alignment horizontal="left" vertical="center"/>
    </xf>
    <xf numFmtId="0" fontId="26" fillId="22" borderId="304" xfId="0" applyNumberFormat="1" applyFont="1" applyFill="1" applyBorder="1" applyAlignment="1">
      <alignment horizontal="left" vertical="center" shrinkToFit="1"/>
    </xf>
    <xf numFmtId="0" fontId="26" fillId="22" borderId="262" xfId="0" applyNumberFormat="1" applyFont="1" applyFill="1" applyBorder="1" applyAlignment="1">
      <alignment horizontal="left" vertical="center" shrinkToFit="1"/>
    </xf>
    <xf numFmtId="0" fontId="26" fillId="0" borderId="325" xfId="0" applyFont="1" applyFill="1" applyBorder="1" applyAlignment="1">
      <alignment horizontal="center" vertical="center"/>
    </xf>
    <xf numFmtId="0" fontId="26" fillId="0" borderId="312" xfId="0" applyFont="1" applyFill="1" applyBorder="1" applyAlignment="1">
      <alignment horizontal="center" vertical="center"/>
    </xf>
    <xf numFmtId="0" fontId="26" fillId="17" borderId="271" xfId="0" applyFont="1" applyFill="1" applyBorder="1" applyAlignment="1">
      <alignment horizontal="center" vertical="center" wrapText="1" shrinkToFit="1"/>
    </xf>
    <xf numFmtId="0" fontId="26" fillId="17" borderId="14" xfId="0" applyFont="1" applyFill="1" applyBorder="1" applyAlignment="1">
      <alignment horizontal="center" vertical="center" wrapText="1" shrinkToFit="1"/>
    </xf>
    <xf numFmtId="0" fontId="26" fillId="17" borderId="13" xfId="0" applyFont="1" applyFill="1" applyBorder="1" applyAlignment="1">
      <alignment horizontal="center" vertical="center" wrapText="1" shrinkToFit="1"/>
    </xf>
    <xf numFmtId="0" fontId="26" fillId="0" borderId="271" xfId="0" applyFont="1" applyFill="1" applyBorder="1" applyAlignment="1">
      <alignment horizontal="center" vertical="center"/>
    </xf>
    <xf numFmtId="0" fontId="26" fillId="0" borderId="277" xfId="0" applyFont="1" applyFill="1" applyBorder="1" applyAlignment="1">
      <alignment horizontal="center" vertical="center"/>
    </xf>
    <xf numFmtId="0" fontId="26" fillId="0" borderId="14" xfId="0" applyFont="1" applyFill="1" applyBorder="1" applyAlignment="1">
      <alignment horizontal="center" vertical="center"/>
    </xf>
    <xf numFmtId="0" fontId="26" fillId="0" borderId="13" xfId="0" applyFont="1" applyFill="1" applyBorder="1" applyAlignment="1">
      <alignment horizontal="center" vertical="center"/>
    </xf>
    <xf numFmtId="0" fontId="26" fillId="22" borderId="304" xfId="0" applyNumberFormat="1" applyFont="1" applyFill="1" applyBorder="1" applyAlignment="1">
      <alignment horizontal="center" vertical="center" shrinkToFit="1"/>
    </xf>
    <xf numFmtId="0" fontId="26" fillId="22" borderId="262" xfId="0" applyNumberFormat="1" applyFont="1" applyFill="1" applyBorder="1" applyAlignment="1">
      <alignment horizontal="center" vertical="center" shrinkToFit="1"/>
    </xf>
    <xf numFmtId="0" fontId="26" fillId="22" borderId="212" xfId="0" applyNumberFormat="1" applyFont="1" applyFill="1" applyBorder="1" applyAlignment="1">
      <alignment horizontal="center" vertical="center" shrinkToFit="1"/>
    </xf>
    <xf numFmtId="0" fontId="26" fillId="22" borderId="108" xfId="0" applyNumberFormat="1" applyFont="1" applyFill="1" applyBorder="1" applyAlignment="1">
      <alignment horizontal="center" vertical="center" shrinkToFit="1"/>
    </xf>
    <xf numFmtId="0" fontId="26" fillId="22" borderId="340" xfId="0" applyNumberFormat="1" applyFont="1" applyFill="1" applyBorder="1" applyAlignment="1">
      <alignment horizontal="center" vertical="center" shrinkToFit="1"/>
    </xf>
    <xf numFmtId="0" fontId="26" fillId="22" borderId="98" xfId="0" applyNumberFormat="1" applyFont="1" applyFill="1" applyBorder="1" applyAlignment="1">
      <alignment horizontal="center" vertical="center" shrinkToFit="1"/>
    </xf>
    <xf numFmtId="0" fontId="26" fillId="22" borderId="338" xfId="0" applyNumberFormat="1" applyFont="1" applyFill="1" applyBorder="1" applyAlignment="1">
      <alignment horizontal="center" vertical="center" shrinkToFit="1"/>
    </xf>
    <xf numFmtId="0" fontId="26" fillId="22" borderId="341" xfId="0" applyNumberFormat="1" applyFont="1" applyFill="1" applyBorder="1" applyAlignment="1">
      <alignment horizontal="center" vertical="center" shrinkToFit="1"/>
    </xf>
    <xf numFmtId="0" fontId="26" fillId="22" borderId="339" xfId="0" applyNumberFormat="1" applyFont="1" applyFill="1" applyBorder="1" applyAlignment="1">
      <alignment horizontal="center" vertical="center" shrinkToFit="1"/>
    </xf>
    <xf numFmtId="0" fontId="26" fillId="22" borderId="336" xfId="0" applyNumberFormat="1" applyFont="1" applyFill="1" applyBorder="1" applyAlignment="1">
      <alignment horizontal="center" vertical="center" shrinkToFit="1"/>
    </xf>
    <xf numFmtId="0" fontId="26" fillId="22" borderId="309" xfId="0" applyNumberFormat="1" applyFont="1" applyFill="1" applyBorder="1" applyAlignment="1">
      <alignment horizontal="center" vertical="center" shrinkToFit="1"/>
    </xf>
    <xf numFmtId="0" fontId="26" fillId="22" borderId="324" xfId="0" applyNumberFormat="1" applyFont="1" applyFill="1" applyBorder="1" applyAlignment="1">
      <alignment horizontal="center" vertical="center" shrinkToFit="1"/>
    </xf>
    <xf numFmtId="0" fontId="26" fillId="23" borderId="176" xfId="0" applyFont="1" applyFill="1" applyBorder="1" applyAlignment="1">
      <alignment horizontal="center" vertical="center" wrapText="1" shrinkToFit="1"/>
    </xf>
    <xf numFmtId="0" fontId="26" fillId="23" borderId="11" xfId="0" applyFont="1" applyFill="1" applyBorder="1" applyAlignment="1">
      <alignment horizontal="center" vertical="center" wrapText="1" shrinkToFit="1"/>
    </xf>
    <xf numFmtId="0" fontId="26" fillId="23" borderId="12" xfId="0" applyFont="1" applyFill="1" applyBorder="1" applyAlignment="1">
      <alignment horizontal="center" vertical="center" wrapText="1" shrinkToFit="1"/>
    </xf>
    <xf numFmtId="0" fontId="26" fillId="22" borderId="305" xfId="0" applyNumberFormat="1" applyFont="1" applyFill="1" applyBorder="1" applyAlignment="1">
      <alignment horizontal="center" vertical="center" shrinkToFit="1"/>
    </xf>
    <xf numFmtId="0" fontId="26" fillId="22" borderId="62" xfId="0" applyNumberFormat="1" applyFont="1" applyFill="1" applyBorder="1" applyAlignment="1">
      <alignment horizontal="center" vertical="center" shrinkToFit="1"/>
    </xf>
    <xf numFmtId="0" fontId="26" fillId="22" borderId="312" xfId="0" applyNumberFormat="1" applyFont="1" applyFill="1" applyBorder="1" applyAlignment="1">
      <alignment horizontal="center" vertical="center" shrinkToFit="1"/>
    </xf>
    <xf numFmtId="0" fontId="26" fillId="22" borderId="320" xfId="0" applyNumberFormat="1" applyFont="1" applyFill="1" applyBorder="1" applyAlignment="1">
      <alignment horizontal="center" vertical="center" shrinkToFit="1"/>
    </xf>
    <xf numFmtId="0" fontId="26" fillId="22" borderId="311" xfId="0" applyNumberFormat="1" applyFont="1" applyFill="1" applyBorder="1" applyAlignment="1">
      <alignment horizontal="center" vertical="center" shrinkToFit="1"/>
    </xf>
    <xf numFmtId="0" fontId="26" fillId="22" borderId="319" xfId="0" applyNumberFormat="1" applyFont="1" applyFill="1" applyBorder="1" applyAlignment="1">
      <alignment horizontal="center" vertical="center" shrinkToFit="1"/>
    </xf>
    <xf numFmtId="0" fontId="26" fillId="22" borderId="312" xfId="0" applyNumberFormat="1" applyFont="1" applyFill="1" applyBorder="1" applyAlignment="1">
      <alignment horizontal="center" vertical="center" wrapText="1"/>
    </xf>
    <xf numFmtId="0" fontId="26" fillId="22" borderId="320" xfId="0" applyNumberFormat="1" applyFont="1" applyFill="1" applyBorder="1" applyAlignment="1">
      <alignment horizontal="center" vertical="center" wrapText="1"/>
    </xf>
    <xf numFmtId="0" fontId="26" fillId="22" borderId="311" xfId="0" applyFont="1" applyFill="1" applyBorder="1" applyAlignment="1">
      <alignment horizontal="center" vertical="center"/>
    </xf>
    <xf numFmtId="0" fontId="26" fillId="22" borderId="319" xfId="0" applyFont="1" applyFill="1" applyBorder="1" applyAlignment="1">
      <alignment horizontal="center" vertical="center"/>
    </xf>
    <xf numFmtId="0" fontId="26" fillId="17" borderId="11" xfId="0" applyFont="1" applyFill="1" applyBorder="1" applyAlignment="1">
      <alignment horizontal="center" vertical="center"/>
    </xf>
    <xf numFmtId="0" fontId="26" fillId="17" borderId="12" xfId="0" applyFont="1" applyFill="1" applyBorder="1" applyAlignment="1">
      <alignment horizontal="center" vertical="center"/>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26" fillId="22" borderId="176" xfId="0" applyFont="1" applyFill="1" applyBorder="1" applyAlignment="1">
      <alignment horizontal="center" vertical="center" shrinkToFit="1"/>
    </xf>
    <xf numFmtId="0" fontId="26" fillId="22" borderId="12" xfId="0" applyFont="1" applyFill="1" applyBorder="1" applyAlignment="1">
      <alignment horizontal="center" vertical="center" shrinkToFit="1"/>
    </xf>
    <xf numFmtId="176" fontId="26" fillId="22" borderId="309" xfId="0" applyNumberFormat="1" applyFont="1" applyFill="1" applyBorder="1" applyAlignment="1">
      <alignment horizontal="center" vertical="center" shrinkToFit="1"/>
    </xf>
    <xf numFmtId="176" fontId="26" fillId="22" borderId="324" xfId="0" applyNumberFormat="1" applyFont="1" applyFill="1" applyBorder="1" applyAlignment="1">
      <alignment horizontal="center" vertical="center" shrinkToFit="1"/>
    </xf>
    <xf numFmtId="0" fontId="49" fillId="0" borderId="176" xfId="0" applyFont="1" applyFill="1" applyBorder="1" applyAlignment="1">
      <alignment horizontal="center" vertical="center" wrapText="1"/>
    </xf>
    <xf numFmtId="0" fontId="49" fillId="0" borderId="11" xfId="0" applyFont="1" applyFill="1" applyBorder="1" applyAlignment="1">
      <alignment horizontal="center" vertical="center"/>
    </xf>
    <xf numFmtId="0" fontId="49" fillId="0" borderId="12" xfId="0" applyFont="1" applyFill="1" applyBorder="1" applyAlignment="1">
      <alignment horizontal="center" vertical="center"/>
    </xf>
    <xf numFmtId="0" fontId="26" fillId="23" borderId="176" xfId="0" applyFont="1" applyFill="1" applyBorder="1" applyAlignment="1">
      <alignment horizontal="center" vertical="center" shrinkToFit="1"/>
    </xf>
    <xf numFmtId="0" fontId="26" fillId="23" borderId="11" xfId="0" applyFont="1" applyFill="1" applyBorder="1" applyAlignment="1">
      <alignment horizontal="center" vertical="center" shrinkToFit="1"/>
    </xf>
    <xf numFmtId="0" fontId="26" fillId="23" borderId="12" xfId="0" applyFont="1" applyFill="1" applyBorder="1" applyAlignment="1">
      <alignment horizontal="center" vertical="center" shrinkToFit="1"/>
    </xf>
    <xf numFmtId="0" fontId="26" fillId="23" borderId="271" xfId="0" applyFont="1" applyFill="1" applyBorder="1" applyAlignment="1">
      <alignment horizontal="center" vertical="center" wrapText="1" shrinkToFit="1"/>
    </xf>
    <xf numFmtId="0" fontId="26" fillId="23" borderId="14" xfId="0" applyFont="1" applyFill="1" applyBorder="1" applyAlignment="1">
      <alignment horizontal="center" vertical="center" wrapText="1" shrinkToFit="1"/>
    </xf>
    <xf numFmtId="0" fontId="26" fillId="23" borderId="13" xfId="0" applyFont="1" applyFill="1" applyBorder="1" applyAlignment="1">
      <alignment horizontal="center" vertical="center" wrapText="1" shrinkToFit="1"/>
    </xf>
    <xf numFmtId="0" fontId="26" fillId="22" borderId="11" xfId="0" applyFont="1" applyFill="1" applyBorder="1" applyAlignment="1">
      <alignment horizontal="center" vertical="center" shrinkToFit="1"/>
    </xf>
    <xf numFmtId="170" fontId="51" fillId="0" borderId="0" xfId="0" applyNumberFormat="1" applyFont="1" applyFill="1" applyAlignment="1">
      <alignment horizontal="left" vertical="center"/>
    </xf>
    <xf numFmtId="0" fontId="26" fillId="0" borderId="0" xfId="0" applyFont="1" applyAlignment="1">
      <alignment horizontal="left" vertical="center"/>
    </xf>
    <xf numFmtId="176" fontId="26" fillId="22" borderId="180" xfId="0" applyNumberFormat="1" applyFont="1" applyFill="1" applyBorder="1" applyAlignment="1">
      <alignment horizontal="center" vertical="center" shrinkToFit="1"/>
    </xf>
    <xf numFmtId="176" fontId="26" fillId="22" borderId="126" xfId="0" applyNumberFormat="1" applyFont="1" applyFill="1" applyBorder="1" applyAlignment="1">
      <alignment horizontal="center" vertical="center" shrinkToFit="1"/>
    </xf>
    <xf numFmtId="0" fontId="0" fillId="0" borderId="46" xfId="0" applyFill="1" applyBorder="1" applyAlignment="1">
      <alignment horizontal="left" vertical="center" shrinkToFit="1"/>
    </xf>
    <xf numFmtId="0" fontId="0" fillId="0" borderId="117" xfId="0" applyFont="1" applyFill="1" applyBorder="1" applyAlignment="1">
      <alignment horizontal="left" vertical="center" shrinkToFit="1"/>
    </xf>
    <xf numFmtId="0" fontId="0" fillId="0" borderId="191" xfId="0" applyFont="1" applyFill="1" applyBorder="1" applyAlignment="1">
      <alignment horizontal="left" vertical="center" shrinkToFit="1"/>
    </xf>
    <xf numFmtId="0" fontId="0" fillId="0" borderId="193" xfId="0" applyFont="1" applyFill="1" applyBorder="1" applyAlignment="1">
      <alignment horizontal="center" vertical="center" shrinkToFit="1"/>
    </xf>
    <xf numFmtId="0" fontId="0" fillId="0" borderId="191" xfId="0" applyFont="1" applyFill="1" applyBorder="1" applyAlignment="1">
      <alignment horizontal="center" vertical="center" shrinkToFit="1"/>
    </xf>
    <xf numFmtId="0" fontId="0" fillId="0" borderId="185" xfId="0" applyFont="1" applyFill="1" applyBorder="1" applyAlignment="1">
      <alignment horizontal="center" vertical="center" shrinkToFit="1"/>
    </xf>
    <xf numFmtId="0" fontId="0" fillId="2" borderId="1" xfId="0" applyFill="1" applyBorder="1" applyAlignment="1">
      <alignment horizontal="center" vertical="center" textRotation="255" shrinkToFit="1"/>
    </xf>
    <xf numFmtId="0" fontId="0" fillId="2" borderId="2" xfId="0" applyFill="1" applyBorder="1" applyAlignment="1">
      <alignment horizontal="center" vertical="center" textRotation="255" shrinkToFit="1"/>
    </xf>
    <xf numFmtId="0" fontId="0" fillId="0" borderId="183" xfId="0" applyFont="1" applyFill="1" applyBorder="1" applyAlignment="1">
      <alignment horizontal="center" vertical="center" shrinkToFit="1"/>
    </xf>
    <xf numFmtId="0" fontId="0" fillId="0" borderId="9" xfId="0" applyFill="1" applyBorder="1" applyAlignment="1">
      <alignment horizontal="left" vertical="center" shrinkToFit="1"/>
    </xf>
    <xf numFmtId="0" fontId="0" fillId="0" borderId="41" xfId="0" applyFont="1" applyFill="1" applyBorder="1" applyAlignment="1">
      <alignment horizontal="left" vertical="center" shrinkToFit="1"/>
    </xf>
    <xf numFmtId="0" fontId="0" fillId="0" borderId="190" xfId="0" applyFont="1" applyFill="1" applyBorder="1" applyAlignment="1">
      <alignment horizontal="left" vertical="center" shrinkToFit="1"/>
    </xf>
    <xf numFmtId="0" fontId="0" fillId="0" borderId="184" xfId="0" applyFont="1" applyFill="1" applyBorder="1" applyAlignment="1">
      <alignment horizontal="center" vertical="center" shrinkToFit="1"/>
    </xf>
    <xf numFmtId="0" fontId="0" fillId="0" borderId="190" xfId="0" applyFont="1" applyFill="1" applyBorder="1" applyAlignment="1">
      <alignment horizontal="center" vertical="center" shrinkToFit="1"/>
    </xf>
    <xf numFmtId="0" fontId="0" fillId="18" borderId="9" xfId="0" applyFill="1" applyBorder="1" applyAlignment="1">
      <alignment horizontal="left" vertical="center" shrinkToFit="1"/>
    </xf>
    <xf numFmtId="0" fontId="0" fillId="18" borderId="41" xfId="0" applyFont="1" applyFill="1" applyBorder="1" applyAlignment="1">
      <alignment horizontal="left" vertical="center" shrinkToFit="1"/>
    </xf>
    <xf numFmtId="0" fontId="0" fillId="18" borderId="190" xfId="0" applyFont="1" applyFill="1" applyBorder="1" applyAlignment="1">
      <alignment horizontal="left" vertical="center" shrinkToFit="1"/>
    </xf>
    <xf numFmtId="0" fontId="0" fillId="0" borderId="9" xfId="0" applyFont="1" applyFill="1" applyBorder="1" applyAlignment="1">
      <alignment horizontal="left" vertical="center" shrinkToFit="1"/>
    </xf>
    <xf numFmtId="0" fontId="0" fillId="0" borderId="39" xfId="0" applyFill="1" applyBorder="1" applyAlignment="1">
      <alignment horizontal="left" vertical="center" shrinkToFit="1"/>
    </xf>
    <xf numFmtId="0" fontId="0" fillId="0" borderId="40" xfId="0" applyFont="1" applyFill="1" applyBorder="1" applyAlignment="1">
      <alignment horizontal="left" vertical="center" shrinkToFit="1"/>
    </xf>
    <xf numFmtId="0" fontId="0" fillId="0" borderId="186" xfId="0" applyFont="1" applyFill="1" applyBorder="1" applyAlignment="1">
      <alignment horizontal="left" vertical="center" shrinkToFit="1"/>
    </xf>
    <xf numFmtId="0" fontId="0" fillId="0" borderId="46" xfId="0" applyFont="1" applyFill="1" applyBorder="1" applyAlignment="1">
      <alignment horizontal="left" vertical="center" shrinkToFit="1"/>
    </xf>
    <xf numFmtId="0" fontId="0" fillId="0" borderId="187" xfId="0" applyFont="1" applyFill="1" applyBorder="1" applyAlignment="1">
      <alignment horizontal="center" vertical="center" shrinkToFit="1"/>
    </xf>
    <xf numFmtId="0" fontId="0" fillId="0" borderId="186" xfId="0" applyFont="1" applyFill="1" applyBorder="1" applyAlignment="1">
      <alignment horizontal="center" vertical="center" shrinkToFit="1"/>
    </xf>
    <xf numFmtId="0" fontId="0" fillId="0" borderId="9" xfId="0" applyFill="1" applyBorder="1" applyAlignment="1">
      <alignment horizontal="left" vertical="center"/>
    </xf>
    <xf numFmtId="0" fontId="0" fillId="0" borderId="41" xfId="0" applyFont="1" applyFill="1" applyBorder="1" applyAlignment="1">
      <alignment horizontal="left" vertical="center"/>
    </xf>
    <xf numFmtId="0" fontId="0" fillId="0" borderId="190" xfId="0" applyFont="1" applyFill="1" applyBorder="1" applyAlignment="1">
      <alignment horizontal="left" vertical="center"/>
    </xf>
    <xf numFmtId="0" fontId="0" fillId="9" borderId="183" xfId="0" applyFont="1" applyFill="1" applyBorder="1" applyAlignment="1">
      <alignment horizontal="center" vertical="center" shrinkToFit="1"/>
    </xf>
    <xf numFmtId="0" fontId="0" fillId="9" borderId="184" xfId="0" applyFont="1" applyFill="1" applyBorder="1" applyAlignment="1">
      <alignment horizontal="center" vertical="center" shrinkToFit="1"/>
    </xf>
    <xf numFmtId="0" fontId="0" fillId="9" borderId="190" xfId="0" applyFont="1" applyFill="1" applyBorder="1" applyAlignment="1">
      <alignment horizontal="center" vertical="center" shrinkToFit="1"/>
    </xf>
    <xf numFmtId="0" fontId="0" fillId="0" borderId="69" xfId="0" applyFont="1" applyFill="1" applyBorder="1" applyAlignment="1">
      <alignment horizontal="center" vertical="center" shrinkToFit="1"/>
    </xf>
    <xf numFmtId="0" fontId="0" fillId="2" borderId="3" xfId="0" applyFill="1" applyBorder="1" applyAlignment="1">
      <alignment horizontal="center" vertical="center" textRotation="255" shrinkToFit="1"/>
    </xf>
    <xf numFmtId="0" fontId="0" fillId="2" borderId="6" xfId="0" applyFill="1" applyBorder="1" applyAlignment="1">
      <alignment horizontal="center" vertical="center" textRotation="255" shrinkToFit="1"/>
    </xf>
    <xf numFmtId="0" fontId="0" fillId="0" borderId="41" xfId="0" applyFill="1" applyBorder="1" applyAlignment="1">
      <alignment horizontal="left" vertical="center"/>
    </xf>
    <xf numFmtId="0" fontId="0" fillId="0" borderId="190" xfId="0" applyFill="1" applyBorder="1" applyAlignment="1">
      <alignment horizontal="left" vertical="center"/>
    </xf>
    <xf numFmtId="0" fontId="0" fillId="0" borderId="39" xfId="0" applyFill="1" applyBorder="1" applyAlignment="1">
      <alignment horizontal="left" vertical="center"/>
    </xf>
    <xf numFmtId="0" fontId="0" fillId="0" borderId="40" xfId="0" applyFont="1" applyFill="1" applyBorder="1" applyAlignment="1">
      <alignment horizontal="left" vertical="center"/>
    </xf>
    <xf numFmtId="0" fontId="0" fillId="0" borderId="186" xfId="0" applyFont="1" applyFill="1" applyBorder="1" applyAlignment="1">
      <alignment horizontal="left" vertical="center"/>
    </xf>
    <xf numFmtId="0" fontId="0" fillId="0" borderId="199" xfId="0" applyFont="1" applyFill="1" applyBorder="1" applyAlignment="1">
      <alignment horizontal="center" vertical="center" shrinkToFit="1"/>
    </xf>
    <xf numFmtId="0" fontId="0" fillId="0" borderId="42" xfId="0" applyFont="1" applyFill="1" applyBorder="1" applyAlignment="1">
      <alignment horizontal="left" vertical="center" shrinkToFit="1"/>
    </xf>
    <xf numFmtId="0" fontId="0" fillId="0" borderId="196" xfId="0" applyFont="1" applyFill="1" applyBorder="1" applyAlignment="1">
      <alignment horizontal="left" vertical="center" shrinkToFit="1"/>
    </xf>
    <xf numFmtId="0" fontId="0" fillId="0" borderId="9" xfId="0" applyFont="1" applyFill="1" applyBorder="1" applyAlignment="1">
      <alignment horizontal="left" vertical="center"/>
    </xf>
    <xf numFmtId="0" fontId="0" fillId="0" borderId="124" xfId="0" applyFont="1" applyFill="1" applyBorder="1" applyAlignment="1">
      <alignment horizontal="center" vertical="center" shrinkToFit="1"/>
    </xf>
    <xf numFmtId="0" fontId="0" fillId="0" borderId="188" xfId="0" applyFont="1" applyFill="1" applyBorder="1" applyAlignment="1">
      <alignment horizontal="center" vertical="center" shrinkToFit="1"/>
    </xf>
    <xf numFmtId="0" fontId="0" fillId="0" borderId="46" xfId="0" applyFill="1" applyBorder="1" applyAlignment="1">
      <alignment horizontal="left" vertical="center"/>
    </xf>
    <xf numFmtId="0" fontId="0" fillId="0" borderId="117" xfId="0" applyFill="1" applyBorder="1" applyAlignment="1">
      <alignment horizontal="left" vertical="center"/>
    </xf>
    <xf numFmtId="0" fontId="0" fillId="0" borderId="191" xfId="0" applyFill="1" applyBorder="1" applyAlignment="1">
      <alignment horizontal="left" vertical="center"/>
    </xf>
    <xf numFmtId="0" fontId="0" fillId="0" borderId="175" xfId="0" applyFont="1" applyFill="1" applyBorder="1" applyAlignment="1">
      <alignment horizontal="center" vertical="center" shrinkToFit="1"/>
    </xf>
    <xf numFmtId="0" fontId="0" fillId="0" borderId="195" xfId="0" applyFont="1" applyFill="1" applyBorder="1" applyAlignment="1">
      <alignment horizontal="center" vertical="center" shrinkToFit="1"/>
    </xf>
    <xf numFmtId="0" fontId="0" fillId="0" borderId="196" xfId="0" applyFont="1" applyFill="1" applyBorder="1" applyAlignment="1">
      <alignment horizontal="center" vertical="center" shrinkToFit="1"/>
    </xf>
    <xf numFmtId="0" fontId="0" fillId="9" borderId="187" xfId="0" applyFont="1" applyFill="1" applyBorder="1" applyAlignment="1">
      <alignment horizontal="center" vertical="center" shrinkToFit="1"/>
    </xf>
    <xf numFmtId="0" fontId="0" fillId="9" borderId="186" xfId="0" applyFont="1" applyFill="1" applyBorder="1" applyAlignment="1">
      <alignment horizontal="center" vertical="center" shrinkToFit="1"/>
    </xf>
    <xf numFmtId="14" fontId="3" fillId="0" borderId="0" xfId="0" applyNumberFormat="1" applyFont="1" applyFill="1" applyAlignment="1">
      <alignment horizontal="right" vertical="center"/>
    </xf>
    <xf numFmtId="0" fontId="0" fillId="2" borderId="3" xfId="0" applyFill="1" applyBorder="1" applyAlignment="1">
      <alignment horizontal="center" vertical="center" shrinkToFit="1"/>
    </xf>
    <xf numFmtId="0" fontId="0" fillId="2" borderId="3" xfId="0" applyFont="1" applyFill="1" applyBorder="1" applyAlignment="1">
      <alignment horizontal="center" vertical="center" shrinkToFit="1"/>
    </xf>
    <xf numFmtId="0" fontId="0" fillId="2" borderId="5" xfId="0" applyFont="1" applyFill="1" applyBorder="1" applyAlignment="1">
      <alignment horizontal="center" vertical="center" wrapText="1" shrinkToFit="1"/>
    </xf>
    <xf numFmtId="0" fontId="0" fillId="2" borderId="194" xfId="0" applyFont="1" applyFill="1" applyBorder="1" applyAlignment="1">
      <alignment horizontal="center" vertical="center" wrapText="1" shrinkToFit="1"/>
    </xf>
    <xf numFmtId="0" fontId="0" fillId="2" borderId="8" xfId="0" applyFont="1" applyFill="1" applyBorder="1" applyAlignment="1">
      <alignment horizontal="center" vertical="center" wrapText="1" shrinkToFit="1"/>
    </xf>
    <xf numFmtId="0" fontId="0" fillId="0" borderId="106" xfId="0" applyFill="1" applyBorder="1" applyAlignment="1">
      <alignment horizontal="left" vertical="center"/>
    </xf>
    <xf numFmtId="0" fontId="0" fillId="0" borderId="48" xfId="0" applyFont="1" applyFill="1" applyBorder="1" applyAlignment="1">
      <alignment horizontal="left" vertical="center"/>
    </xf>
    <xf numFmtId="0" fontId="0" fillId="0" borderId="198" xfId="0" applyFont="1" applyFill="1" applyBorder="1" applyAlignment="1">
      <alignment horizontal="left" vertical="center"/>
    </xf>
    <xf numFmtId="0" fontId="0" fillId="0" borderId="42" xfId="0" applyFill="1" applyBorder="1" applyAlignment="1">
      <alignment horizontal="left" vertical="center"/>
    </xf>
    <xf numFmtId="0" fontId="0" fillId="0" borderId="49" xfId="0" applyFont="1" applyFill="1" applyBorder="1" applyAlignment="1">
      <alignment horizontal="left" vertical="center"/>
    </xf>
    <xf numFmtId="0" fontId="0" fillId="0" borderId="196" xfId="0" applyFont="1" applyFill="1" applyBorder="1" applyAlignment="1">
      <alignment horizontal="left" vertical="center"/>
    </xf>
    <xf numFmtId="0" fontId="0" fillId="0" borderId="192" xfId="0" applyFont="1" applyFill="1" applyBorder="1" applyAlignment="1">
      <alignment horizontal="center" vertical="center" shrinkToFit="1"/>
    </xf>
    <xf numFmtId="0" fontId="0" fillId="0" borderId="104" xfId="0" applyFont="1" applyFill="1" applyBorder="1" applyAlignment="1">
      <alignment horizontal="center" vertical="center" shrinkToFit="1"/>
    </xf>
    <xf numFmtId="0" fontId="0" fillId="0" borderId="197" xfId="0" applyFont="1" applyFill="1" applyBorder="1" applyAlignment="1">
      <alignment horizontal="center" vertical="center" shrinkToFit="1"/>
    </xf>
    <xf numFmtId="0" fontId="0" fillId="0" borderId="105" xfId="0" applyFont="1" applyFill="1" applyBorder="1" applyAlignment="1">
      <alignment horizontal="center" vertical="center" shrinkToFit="1"/>
    </xf>
    <xf numFmtId="0" fontId="0" fillId="0" borderId="205" xfId="0" applyFont="1" applyFill="1" applyBorder="1" applyAlignment="1">
      <alignment horizontal="center" vertical="center" shrinkToFit="1"/>
    </xf>
    <xf numFmtId="0" fontId="0" fillId="0" borderId="39" xfId="0" applyFont="1" applyFill="1" applyBorder="1" applyAlignment="1">
      <alignment horizontal="left" vertical="center" shrinkToFit="1"/>
    </xf>
    <xf numFmtId="0" fontId="0" fillId="0" borderId="49" xfId="0" applyFill="1" applyBorder="1" applyAlignment="1">
      <alignment horizontal="left" vertical="center"/>
    </xf>
    <xf numFmtId="0" fontId="0" fillId="0" borderId="196" xfId="0" applyFill="1" applyBorder="1" applyAlignment="1">
      <alignment horizontal="left" vertical="center"/>
    </xf>
    <xf numFmtId="167" fontId="0" fillId="2" borderId="2" xfId="0" applyNumberFormat="1" applyFill="1" applyBorder="1" applyAlignment="1">
      <alignment horizontal="center" vertical="center" textRotation="255" shrinkToFit="1"/>
    </xf>
    <xf numFmtId="0" fontId="0" fillId="11" borderId="184" xfId="0" applyFont="1" applyFill="1" applyBorder="1" applyAlignment="1">
      <alignment horizontal="center" vertical="center" shrinkToFit="1"/>
    </xf>
    <xf numFmtId="0" fontId="0" fillId="11" borderId="190" xfId="0" applyFont="1" applyFill="1" applyBorder="1" applyAlignment="1">
      <alignment horizontal="center" vertical="center" shrinkToFit="1"/>
    </xf>
    <xf numFmtId="0" fontId="0" fillId="11" borderId="183" xfId="0" applyFont="1" applyFill="1" applyBorder="1" applyAlignment="1">
      <alignment horizontal="center" vertical="center" shrinkToFit="1"/>
    </xf>
    <xf numFmtId="0" fontId="3" fillId="0" borderId="201" xfId="0" applyFont="1" applyFill="1" applyBorder="1" applyAlignment="1">
      <alignment horizontal="center" vertical="center" shrinkToFit="1"/>
    </xf>
    <xf numFmtId="0" fontId="0" fillId="11" borderId="9" xfId="0" applyFill="1" applyBorder="1" applyAlignment="1">
      <alignment horizontal="left" vertical="center" shrinkToFit="1"/>
    </xf>
    <xf numFmtId="0" fontId="0" fillId="11" borderId="41" xfId="0" applyFont="1" applyFill="1" applyBorder="1" applyAlignment="1">
      <alignment horizontal="left" vertical="center" shrinkToFit="1"/>
    </xf>
    <xf numFmtId="0" fontId="0" fillId="11" borderId="190" xfId="0" applyFont="1" applyFill="1" applyBorder="1" applyAlignment="1">
      <alignment horizontal="left" vertical="center" shrinkToFit="1"/>
    </xf>
    <xf numFmtId="0" fontId="0" fillId="2" borderId="10" xfId="0" applyFill="1" applyBorder="1" applyAlignment="1">
      <alignment horizontal="center" vertical="center" shrinkToFit="1"/>
    </xf>
    <xf numFmtId="0" fontId="0" fillId="2" borderId="58" xfId="0" applyFont="1" applyFill="1" applyBorder="1" applyAlignment="1">
      <alignment horizontal="center" vertical="center" shrinkToFit="1"/>
    </xf>
    <xf numFmtId="0" fontId="0" fillId="2" borderId="38" xfId="0" applyFont="1" applyFill="1" applyBorder="1" applyAlignment="1">
      <alignment horizontal="center" vertical="center" shrinkToFit="1"/>
    </xf>
    <xf numFmtId="0" fontId="0" fillId="0" borderId="202" xfId="0" applyFill="1" applyBorder="1" applyAlignment="1">
      <alignment horizontal="left" vertical="center" shrinkToFit="1"/>
    </xf>
    <xf numFmtId="0" fontId="0" fillId="0" borderId="183" xfId="0" applyFont="1" applyFill="1" applyBorder="1" applyAlignment="1">
      <alignment horizontal="left" vertical="center" shrinkToFit="1"/>
    </xf>
    <xf numFmtId="0" fontId="0" fillId="0" borderId="203" xfId="0" applyFill="1" applyBorder="1" applyAlignment="1">
      <alignment horizontal="left" vertical="center" shrinkToFit="1"/>
    </xf>
    <xf numFmtId="0" fontId="0" fillId="0" borderId="188" xfId="0" applyFont="1" applyFill="1" applyBorder="1" applyAlignment="1">
      <alignment horizontal="left" vertical="center" shrinkToFit="1"/>
    </xf>
    <xf numFmtId="0" fontId="0" fillId="0" borderId="39" xfId="0" applyFont="1" applyFill="1" applyBorder="1" applyAlignment="1">
      <alignment horizontal="left" vertical="center"/>
    </xf>
    <xf numFmtId="0" fontId="0" fillId="9" borderId="188" xfId="0" applyFont="1" applyFill="1" applyBorder="1" applyAlignment="1">
      <alignment horizontal="center" vertical="center" shrinkToFit="1"/>
    </xf>
    <xf numFmtId="0" fontId="0" fillId="0" borderId="204" xfId="0" applyFont="1" applyFill="1" applyBorder="1" applyAlignment="1">
      <alignment horizontal="center" vertical="center" shrinkToFit="1"/>
    </xf>
    <xf numFmtId="0" fontId="0" fillId="0" borderId="9" xfId="0" applyFill="1" applyBorder="1" applyAlignment="1">
      <alignment horizontal="left" vertical="center" wrapText="1" shrinkToFit="1"/>
    </xf>
    <xf numFmtId="0" fontId="0" fillId="0" borderId="41" xfId="0" applyFont="1" applyFill="1" applyBorder="1" applyAlignment="1">
      <alignment horizontal="left" vertical="center" wrapText="1" shrinkToFit="1"/>
    </xf>
    <xf numFmtId="0" fontId="0" fillId="0" borderId="190" xfId="0" applyFont="1" applyFill="1" applyBorder="1" applyAlignment="1">
      <alignment horizontal="left" vertical="center" wrapText="1" shrinkToFit="1"/>
    </xf>
    <xf numFmtId="0" fontId="0" fillId="0" borderId="189" xfId="0" applyFont="1" applyFill="1" applyBorder="1" applyAlignment="1">
      <alignment horizontal="center" vertical="center" shrinkToFit="1"/>
    </xf>
    <xf numFmtId="0" fontId="0" fillId="0" borderId="201" xfId="0" applyFill="1" applyBorder="1" applyAlignment="1">
      <alignment horizontal="center" vertical="center" shrinkToFit="1"/>
    </xf>
    <xf numFmtId="0" fontId="0" fillId="0" borderId="201" xfId="0" applyFont="1" applyFill="1" applyBorder="1" applyAlignment="1">
      <alignment horizontal="center" vertical="center" shrinkToFit="1"/>
    </xf>
    <xf numFmtId="0" fontId="0" fillId="11" borderId="39" xfId="0" applyFont="1" applyFill="1" applyBorder="1" applyAlignment="1">
      <alignment horizontal="left" vertical="center" shrinkToFit="1"/>
    </xf>
    <xf numFmtId="0" fontId="0" fillId="11" borderId="40" xfId="0" applyFont="1" applyFill="1" applyBorder="1" applyAlignment="1">
      <alignment horizontal="left" vertical="center" shrinkToFit="1"/>
    </xf>
    <xf numFmtId="0" fontId="0" fillId="11" borderId="186" xfId="0" applyFont="1" applyFill="1" applyBorder="1" applyAlignment="1">
      <alignment horizontal="left" vertical="center" shrinkToFit="1"/>
    </xf>
    <xf numFmtId="0" fontId="0" fillId="0" borderId="200" xfId="0" applyFont="1" applyFill="1" applyBorder="1" applyAlignment="1">
      <alignment horizontal="center" vertical="center" shrinkToFit="1"/>
    </xf>
    <xf numFmtId="0" fontId="0" fillId="0" borderId="116" xfId="0" applyFont="1" applyFill="1" applyBorder="1" applyAlignment="1">
      <alignment horizontal="left" vertical="center" shrinkToFit="1"/>
    </xf>
    <xf numFmtId="0" fontId="0" fillId="0" borderId="0" xfId="0" applyFont="1" applyFill="1" applyBorder="1" applyAlignment="1">
      <alignment horizontal="left" vertical="center" shrinkToFit="1"/>
    </xf>
    <xf numFmtId="0" fontId="0" fillId="0" borderId="207" xfId="0" applyFont="1" applyFill="1" applyBorder="1" applyAlignment="1">
      <alignment horizontal="left" vertical="center" shrinkToFit="1"/>
    </xf>
    <xf numFmtId="0" fontId="0" fillId="0" borderId="41" xfId="0" applyFill="1" applyBorder="1" applyAlignment="1">
      <alignment horizontal="left" vertical="center" shrinkToFit="1"/>
    </xf>
    <xf numFmtId="0" fontId="0" fillId="0" borderId="190" xfId="0" applyFill="1" applyBorder="1" applyAlignment="1">
      <alignment horizontal="left" vertical="center" shrinkToFit="1"/>
    </xf>
    <xf numFmtId="0" fontId="0" fillId="2" borderId="2" xfId="0" applyFill="1" applyBorder="1" applyAlignment="1">
      <alignment horizontal="center" vertical="center" textRotation="255" wrapText="1" shrinkToFit="1"/>
    </xf>
    <xf numFmtId="0" fontId="0" fillId="0" borderId="206" xfId="0" applyFont="1" applyFill="1" applyBorder="1" applyAlignment="1">
      <alignment horizontal="center" vertical="center" shrinkToFit="1"/>
    </xf>
    <xf numFmtId="0" fontId="0" fillId="0" borderId="207" xfId="0" applyFont="1" applyFill="1" applyBorder="1" applyAlignment="1">
      <alignment horizontal="center" vertical="center" shrinkToFit="1"/>
    </xf>
    <xf numFmtId="0" fontId="5" fillId="0" borderId="271" xfId="0" applyFont="1" applyFill="1" applyBorder="1" applyAlignment="1">
      <alignment horizontal="center" vertical="center" wrapText="1" shrinkToFit="1"/>
    </xf>
    <xf numFmtId="0" fontId="5" fillId="0" borderId="14" xfId="0" applyFont="1" applyFill="1" applyBorder="1" applyAlignment="1">
      <alignment horizontal="center" vertical="center" wrapText="1" shrinkToFit="1"/>
    </xf>
    <xf numFmtId="0" fontId="5" fillId="0" borderId="13" xfId="0" applyFont="1" applyFill="1" applyBorder="1" applyAlignment="1">
      <alignment horizontal="center" vertical="center" wrapText="1" shrinkToFit="1"/>
    </xf>
    <xf numFmtId="0" fontId="5" fillId="0" borderId="271" xfId="0" applyFont="1" applyFill="1" applyBorder="1" applyAlignment="1">
      <alignment horizontal="center" vertical="center" shrinkToFit="1"/>
    </xf>
    <xf numFmtId="0" fontId="5" fillId="0" borderId="277" xfId="0" applyFont="1" applyFill="1" applyBorder="1" applyAlignment="1">
      <alignment horizontal="center" vertical="center" shrinkToFit="1"/>
    </xf>
    <xf numFmtId="0" fontId="5" fillId="0" borderId="14" xfId="0" applyFont="1" applyFill="1" applyBorder="1" applyAlignment="1">
      <alignment horizontal="center" vertical="center" shrinkToFit="1"/>
    </xf>
    <xf numFmtId="0" fontId="5" fillId="0" borderId="13" xfId="0" applyFont="1" applyFill="1" applyBorder="1" applyAlignment="1">
      <alignment horizontal="center" vertical="center" shrinkToFit="1"/>
    </xf>
    <xf numFmtId="0" fontId="5" fillId="0" borderId="90" xfId="0" applyNumberFormat="1" applyFont="1" applyFill="1" applyBorder="1" applyAlignment="1">
      <alignment horizontal="left" vertical="center" shrinkToFit="1"/>
    </xf>
    <xf numFmtId="0" fontId="5" fillId="0" borderId="91" xfId="0" applyNumberFormat="1" applyFont="1" applyFill="1" applyBorder="1" applyAlignment="1">
      <alignment horizontal="left" vertical="center" shrinkToFit="1"/>
    </xf>
    <xf numFmtId="0" fontId="0" fillId="0" borderId="218" xfId="0" applyFont="1" applyFill="1" applyBorder="1" applyAlignment="1">
      <alignment horizontal="left" vertical="center" shrinkToFit="1"/>
    </xf>
    <xf numFmtId="0" fontId="5" fillId="26" borderId="90" xfId="0" applyNumberFormat="1" applyFont="1" applyFill="1" applyBorder="1" applyAlignment="1">
      <alignment horizontal="left" vertical="center" shrinkToFit="1"/>
    </xf>
    <xf numFmtId="0" fontId="5" fillId="26" borderId="91" xfId="0" applyNumberFormat="1" applyFont="1" applyFill="1" applyBorder="1" applyAlignment="1">
      <alignment horizontal="left" vertical="center" shrinkToFit="1"/>
    </xf>
    <xf numFmtId="0" fontId="0" fillId="26" borderId="218" xfId="0" applyFont="1" applyFill="1" applyBorder="1" applyAlignment="1">
      <alignment horizontal="left" vertical="center" shrinkToFit="1"/>
    </xf>
    <xf numFmtId="0" fontId="5" fillId="0" borderId="220" xfId="0" applyNumberFormat="1" applyFont="1" applyFill="1" applyBorder="1" applyAlignment="1">
      <alignment horizontal="left" vertical="center" shrinkToFit="1"/>
    </xf>
    <xf numFmtId="0" fontId="5" fillId="27" borderId="83" xfId="0" applyNumberFormat="1" applyFont="1" applyFill="1" applyBorder="1" applyAlignment="1">
      <alignment horizontal="left" vertical="center" shrinkToFit="1"/>
    </xf>
    <xf numFmtId="0" fontId="5" fillId="27" borderId="84" xfId="0" applyNumberFormat="1" applyFont="1" applyFill="1" applyBorder="1" applyAlignment="1">
      <alignment horizontal="left" vertical="center" shrinkToFit="1"/>
    </xf>
    <xf numFmtId="0" fontId="0" fillId="27" borderId="219" xfId="0" applyFont="1" applyFill="1" applyBorder="1" applyAlignment="1">
      <alignment horizontal="left" vertical="center" shrinkToFit="1"/>
    </xf>
    <xf numFmtId="0" fontId="0" fillId="0" borderId="91" xfId="0" applyFont="1" applyFill="1" applyBorder="1" applyAlignment="1">
      <alignment horizontal="left" vertical="center" shrinkToFit="1"/>
    </xf>
    <xf numFmtId="0" fontId="5" fillId="0" borderId="176" xfId="0" applyFont="1" applyFill="1" applyBorder="1" applyAlignment="1">
      <alignment horizontal="center" vertical="center" wrapText="1" shrinkToFit="1"/>
    </xf>
    <xf numFmtId="0" fontId="5" fillId="0" borderId="11" xfId="0" applyFont="1" applyFill="1" applyBorder="1" applyAlignment="1">
      <alignment horizontal="center" vertical="center" wrapText="1" shrinkToFit="1"/>
    </xf>
    <xf numFmtId="0" fontId="5" fillId="0" borderId="12" xfId="0" applyFont="1" applyFill="1" applyBorder="1" applyAlignment="1">
      <alignment horizontal="center" vertical="center" wrapText="1" shrinkToFit="1"/>
    </xf>
    <xf numFmtId="0" fontId="5" fillId="0" borderId="265" xfId="0" applyNumberFormat="1" applyFont="1" applyFill="1" applyBorder="1" applyAlignment="1">
      <alignment horizontal="left" vertical="center" shrinkToFit="1"/>
    </xf>
    <xf numFmtId="0" fontId="5" fillId="0" borderId="266" xfId="0" applyNumberFormat="1" applyFont="1" applyFill="1" applyBorder="1" applyAlignment="1">
      <alignment horizontal="left" vertical="center" shrinkToFit="1"/>
    </xf>
    <xf numFmtId="0" fontId="0" fillId="0" borderId="276" xfId="0" applyFont="1" applyFill="1" applyBorder="1" applyAlignment="1">
      <alignment horizontal="left" vertical="center" shrinkToFit="1"/>
    </xf>
    <xf numFmtId="0" fontId="5" fillId="0" borderId="271" xfId="0" applyFont="1" applyFill="1" applyBorder="1" applyAlignment="1">
      <alignment horizontal="center" vertical="center"/>
    </xf>
    <xf numFmtId="0" fontId="5" fillId="0" borderId="14" xfId="0" applyFont="1" applyFill="1" applyBorder="1" applyAlignment="1">
      <alignment horizontal="center" vertical="center"/>
    </xf>
    <xf numFmtId="0" fontId="5" fillId="0" borderId="13" xfId="0" applyFont="1" applyFill="1" applyBorder="1" applyAlignment="1">
      <alignment horizontal="center" vertical="center"/>
    </xf>
    <xf numFmtId="0" fontId="5" fillId="26" borderId="9" xfId="0" applyNumberFormat="1" applyFont="1" applyFill="1" applyBorder="1" applyAlignment="1">
      <alignment horizontal="left" vertical="center" shrinkToFit="1"/>
    </xf>
    <xf numFmtId="0" fontId="5" fillId="26" borderId="41" xfId="0" applyNumberFormat="1" applyFont="1" applyFill="1" applyBorder="1" applyAlignment="1">
      <alignment horizontal="left" vertical="center" shrinkToFit="1"/>
    </xf>
    <xf numFmtId="0" fontId="0" fillId="26" borderId="220" xfId="0" applyFont="1" applyFill="1" applyBorder="1" applyAlignment="1">
      <alignment horizontal="left" vertical="center" shrinkToFit="1"/>
    </xf>
    <xf numFmtId="0" fontId="5" fillId="27" borderId="9" xfId="0" applyNumberFormat="1" applyFont="1" applyFill="1" applyBorder="1" applyAlignment="1">
      <alignment horizontal="left" vertical="center" shrinkToFit="1"/>
    </xf>
    <xf numFmtId="0" fontId="5" fillId="27" borderId="41" xfId="0" applyNumberFormat="1" applyFont="1" applyFill="1" applyBorder="1" applyAlignment="1">
      <alignment horizontal="left" vertical="center" shrinkToFit="1"/>
    </xf>
    <xf numFmtId="0" fontId="0" fillId="27" borderId="220" xfId="0" applyFont="1" applyFill="1" applyBorder="1" applyAlignment="1">
      <alignment horizontal="left" vertical="center" shrinkToFit="1"/>
    </xf>
    <xf numFmtId="0" fontId="5" fillId="0" borderId="83" xfId="0" applyNumberFormat="1" applyFont="1" applyFill="1" applyBorder="1" applyAlignment="1">
      <alignment horizontal="left" vertical="center" shrinkToFit="1"/>
    </xf>
    <xf numFmtId="0" fontId="5" fillId="0" borderId="84" xfId="0" applyNumberFormat="1" applyFont="1" applyFill="1" applyBorder="1" applyAlignment="1">
      <alignment horizontal="left" vertical="center" shrinkToFit="1"/>
    </xf>
    <xf numFmtId="0" fontId="5" fillId="0" borderId="219" xfId="0" applyNumberFormat="1" applyFont="1" applyFill="1" applyBorder="1" applyAlignment="1">
      <alignment horizontal="left" vertical="center" shrinkToFit="1"/>
    </xf>
    <xf numFmtId="0" fontId="5" fillId="26" borderId="83" xfId="0" applyNumberFormat="1" applyFont="1" applyFill="1" applyBorder="1" applyAlignment="1">
      <alignment horizontal="left" vertical="center" shrinkToFit="1"/>
    </xf>
    <xf numFmtId="0" fontId="5" fillId="26" borderId="84" xfId="0" applyNumberFormat="1" applyFont="1" applyFill="1" applyBorder="1" applyAlignment="1">
      <alignment horizontal="left" vertical="center" shrinkToFit="1"/>
    </xf>
    <xf numFmtId="0" fontId="0" fillId="26" borderId="219" xfId="0" applyFont="1" applyFill="1" applyBorder="1" applyAlignment="1">
      <alignment horizontal="left" vertical="center" shrinkToFit="1"/>
    </xf>
    <xf numFmtId="0" fontId="5" fillId="18" borderId="9" xfId="0" applyNumberFormat="1" applyFont="1" applyFill="1" applyBorder="1" applyAlignment="1">
      <alignment horizontal="left" vertical="center" shrinkToFit="1"/>
    </xf>
    <xf numFmtId="0" fontId="5" fillId="18" borderId="41" xfId="0" applyNumberFormat="1" applyFont="1" applyFill="1" applyBorder="1" applyAlignment="1">
      <alignment horizontal="left" vertical="center" shrinkToFit="1"/>
    </xf>
    <xf numFmtId="0" fontId="0" fillId="18" borderId="220" xfId="0" applyFont="1" applyFill="1" applyBorder="1" applyAlignment="1">
      <alignment horizontal="left" vertical="center" shrinkToFit="1"/>
    </xf>
    <xf numFmtId="0" fontId="0" fillId="27" borderId="41" xfId="0" applyFont="1" applyFill="1" applyBorder="1" applyAlignment="1">
      <alignment horizontal="left" vertical="center" shrinkToFit="1"/>
    </xf>
    <xf numFmtId="0" fontId="5" fillId="12" borderId="90" xfId="0" applyNumberFormat="1" applyFont="1" applyFill="1" applyBorder="1" applyAlignment="1">
      <alignment horizontal="left" vertical="center" shrinkToFit="1"/>
    </xf>
    <xf numFmtId="0" fontId="5" fillId="12" borderId="91" xfId="0" applyNumberFormat="1" applyFont="1" applyFill="1" applyBorder="1" applyAlignment="1">
      <alignment horizontal="left" vertical="center" shrinkToFit="1"/>
    </xf>
    <xf numFmtId="0" fontId="0" fillId="12" borderId="218" xfId="0" applyFont="1" applyFill="1" applyBorder="1" applyAlignment="1">
      <alignment horizontal="left" vertical="center" shrinkToFit="1"/>
    </xf>
    <xf numFmtId="0" fontId="0" fillId="0" borderId="219" xfId="0" applyFont="1" applyFill="1" applyBorder="1" applyAlignment="1">
      <alignment horizontal="left" vertical="center" shrinkToFit="1"/>
    </xf>
    <xf numFmtId="0" fontId="5" fillId="27" borderId="220" xfId="0" applyNumberFormat="1" applyFont="1" applyFill="1" applyBorder="1" applyAlignment="1">
      <alignment horizontal="left" vertical="center" shrinkToFit="1"/>
    </xf>
    <xf numFmtId="0" fontId="5" fillId="0" borderId="69" xfId="0" applyNumberFormat="1" applyFont="1" applyFill="1" applyBorder="1" applyAlignment="1">
      <alignment horizontal="left" vertical="center" shrinkToFit="1"/>
    </xf>
    <xf numFmtId="0" fontId="0" fillId="0" borderId="69" xfId="0" applyFont="1" applyFill="1" applyBorder="1" applyAlignment="1">
      <alignment horizontal="left" vertical="center" shrinkToFit="1"/>
    </xf>
    <xf numFmtId="0" fontId="0" fillId="0" borderId="104" xfId="0" applyFont="1" applyFill="1" applyBorder="1" applyAlignment="1">
      <alignment horizontal="left" vertical="center" shrinkToFit="1"/>
    </xf>
    <xf numFmtId="0" fontId="5" fillId="0" borderId="176" xfId="0" applyFont="1" applyFill="1" applyBorder="1" applyAlignment="1">
      <alignment horizontal="center" vertical="center" shrinkToFit="1"/>
    </xf>
    <xf numFmtId="0" fontId="5" fillId="0" borderId="11" xfId="0" applyFont="1" applyFill="1" applyBorder="1" applyAlignment="1">
      <alignment horizontal="center" vertical="center" shrinkToFit="1"/>
    </xf>
    <xf numFmtId="0" fontId="0" fillId="0" borderId="84" xfId="0" applyFont="1" applyFill="1" applyBorder="1" applyAlignment="1">
      <alignment horizontal="left" vertical="center" shrinkToFit="1"/>
    </xf>
    <xf numFmtId="0" fontId="0" fillId="0" borderId="78" xfId="0" applyFont="1" applyFill="1" applyBorder="1" applyAlignment="1">
      <alignment horizontal="left" vertical="center" shrinkToFit="1"/>
    </xf>
    <xf numFmtId="0" fontId="5" fillId="0" borderId="176" xfId="0" applyFont="1" applyFill="1" applyBorder="1" applyAlignment="1">
      <alignment horizontal="center" vertical="center" wrapText="1"/>
    </xf>
    <xf numFmtId="0" fontId="5" fillId="0" borderId="12" xfId="0" applyFont="1" applyFill="1" applyBorder="1" applyAlignment="1">
      <alignment horizontal="center" vertical="center" wrapText="1"/>
    </xf>
    <xf numFmtId="0" fontId="5" fillId="0" borderId="277" xfId="0" applyFont="1" applyFill="1" applyBorder="1" applyAlignment="1">
      <alignment horizontal="center" vertical="center"/>
    </xf>
    <xf numFmtId="0" fontId="5" fillId="0" borderId="274" xfId="0" applyFont="1" applyFill="1" applyBorder="1" applyAlignment="1">
      <alignment horizontal="center" vertical="center"/>
    </xf>
    <xf numFmtId="0" fontId="5" fillId="0" borderId="106" xfId="0" applyNumberFormat="1" applyFont="1" applyFill="1" applyBorder="1" applyAlignment="1">
      <alignment horizontal="left" vertical="center" shrinkToFit="1"/>
    </xf>
    <xf numFmtId="0" fontId="0" fillId="0" borderId="48" xfId="0" applyFont="1" applyFill="1" applyBorder="1" applyAlignment="1">
      <alignment horizontal="left" vertical="center" shrinkToFit="1"/>
    </xf>
    <xf numFmtId="0" fontId="0" fillId="0" borderId="105" xfId="0" applyFont="1" applyFill="1" applyBorder="1" applyAlignment="1">
      <alignment horizontal="left" vertical="center" shrinkToFit="1"/>
    </xf>
    <xf numFmtId="0" fontId="5" fillId="0" borderId="11" xfId="0" applyFont="1" applyFill="1" applyBorder="1" applyAlignment="1">
      <alignment horizontal="center" vertical="center" wrapText="1"/>
    </xf>
    <xf numFmtId="0" fontId="5" fillId="0" borderId="216" xfId="0" applyFont="1" applyFill="1" applyBorder="1" applyAlignment="1">
      <alignment horizontal="center" vertical="center" wrapText="1"/>
    </xf>
    <xf numFmtId="0" fontId="5" fillId="0" borderId="4" xfId="0" applyNumberFormat="1" applyFont="1" applyFill="1" applyBorder="1" applyAlignment="1">
      <alignment horizontal="left" vertical="center" shrinkToFit="1"/>
    </xf>
    <xf numFmtId="0" fontId="0" fillId="0" borderId="60" xfId="0" applyFont="1" applyFill="1" applyBorder="1" applyAlignment="1">
      <alignment horizontal="left" vertical="center" shrinkToFit="1"/>
    </xf>
    <xf numFmtId="0" fontId="0" fillId="0" borderId="246" xfId="0" applyFont="1" applyFill="1" applyBorder="1" applyAlignment="1">
      <alignment horizontal="left" vertical="center" shrinkToFit="1"/>
    </xf>
    <xf numFmtId="0" fontId="5" fillId="0" borderId="211" xfId="0" applyFont="1" applyFill="1" applyBorder="1" applyAlignment="1">
      <alignment horizontal="center" vertical="center" shrinkToFit="1"/>
    </xf>
    <xf numFmtId="0" fontId="5" fillId="0" borderId="12" xfId="0" applyFont="1" applyFill="1" applyBorder="1" applyAlignment="1">
      <alignment horizontal="center" vertical="center" shrinkToFit="1"/>
    </xf>
    <xf numFmtId="0" fontId="5" fillId="0" borderId="237" xfId="0" applyFont="1" applyFill="1" applyBorder="1" applyAlignment="1">
      <alignment horizontal="center" vertical="center" shrinkToFit="1"/>
    </xf>
    <xf numFmtId="0" fontId="5" fillId="0" borderId="217" xfId="0" applyFont="1" applyFill="1" applyBorder="1" applyAlignment="1">
      <alignment horizontal="center" vertical="center" shrinkToFit="1"/>
    </xf>
    <xf numFmtId="0" fontId="5" fillId="0" borderId="10" xfId="0" applyNumberFormat="1" applyFont="1" applyFill="1" applyBorder="1" applyAlignment="1">
      <alignment horizontal="left" vertical="center" shrinkToFit="1"/>
    </xf>
    <xf numFmtId="0" fontId="5" fillId="0" borderId="58" xfId="0" applyNumberFormat="1" applyFont="1" applyFill="1" applyBorder="1" applyAlignment="1">
      <alignment horizontal="left" vertical="center" shrinkToFit="1"/>
    </xf>
    <xf numFmtId="0" fontId="5" fillId="0" borderId="238" xfId="0" applyNumberFormat="1" applyFont="1" applyFill="1" applyBorder="1" applyAlignment="1">
      <alignment horizontal="left" vertical="center" shrinkToFit="1"/>
    </xf>
    <xf numFmtId="0" fontId="5" fillId="0" borderId="48" xfId="0" applyNumberFormat="1" applyFont="1" applyFill="1" applyBorder="1" applyAlignment="1">
      <alignment horizontal="left" vertical="center" shrinkToFit="1"/>
    </xf>
    <xf numFmtId="0" fontId="5" fillId="0" borderId="100" xfId="0" applyNumberFormat="1" applyFont="1" applyFill="1" applyBorder="1" applyAlignment="1">
      <alignment horizontal="left" vertical="center" shrinkToFit="1"/>
    </xf>
    <xf numFmtId="0" fontId="5" fillId="0" borderId="111" xfId="0" applyFont="1" applyFill="1" applyBorder="1" applyAlignment="1">
      <alignment horizontal="center" vertical="center"/>
    </xf>
    <xf numFmtId="0" fontId="5" fillId="0" borderId="96" xfId="0" applyFont="1" applyFill="1" applyBorder="1" applyAlignment="1">
      <alignment horizontal="center" vertical="center"/>
    </xf>
    <xf numFmtId="0" fontId="5" fillId="0" borderId="39" xfId="0" applyNumberFormat="1" applyFont="1" applyFill="1" applyBorder="1" applyAlignment="1">
      <alignment horizontal="left" vertical="center" shrinkToFit="1"/>
    </xf>
    <xf numFmtId="0" fontId="5" fillId="0" borderId="40" xfId="0" applyNumberFormat="1" applyFont="1" applyFill="1" applyBorder="1" applyAlignment="1">
      <alignment horizontal="left" vertical="center" shrinkToFit="1"/>
    </xf>
    <xf numFmtId="0" fontId="5" fillId="0" borderId="221" xfId="0" applyNumberFormat="1" applyFont="1" applyFill="1" applyBorder="1" applyAlignment="1">
      <alignment horizontal="left" vertical="center" shrinkToFit="1"/>
    </xf>
    <xf numFmtId="0" fontId="5" fillId="0" borderId="78" xfId="0" applyNumberFormat="1" applyFont="1" applyFill="1" applyBorder="1" applyAlignment="1">
      <alignment horizontal="left" vertical="center" shrinkToFit="1"/>
    </xf>
    <xf numFmtId="0" fontId="5" fillId="0" borderId="216" xfId="0" applyFont="1" applyFill="1" applyBorder="1" applyAlignment="1">
      <alignment horizontal="center" vertical="center" wrapText="1" shrinkToFit="1"/>
    </xf>
    <xf numFmtId="0" fontId="5" fillId="26" borderId="2" xfId="0" applyFont="1" applyFill="1" applyBorder="1" applyAlignment="1">
      <alignment horizontal="center" vertical="center"/>
    </xf>
    <xf numFmtId="0" fontId="45" fillId="0" borderId="0" xfId="0" applyFont="1" applyFill="1" applyBorder="1" applyAlignment="1">
      <alignment horizontal="center" vertical="center"/>
    </xf>
    <xf numFmtId="0" fontId="5" fillId="28" borderId="2" xfId="0" applyFont="1" applyFill="1" applyBorder="1" applyAlignment="1">
      <alignment horizontal="center" vertical="center"/>
    </xf>
    <xf numFmtId="0" fontId="5" fillId="27" borderId="2" xfId="0" applyFont="1" applyFill="1" applyBorder="1" applyAlignment="1">
      <alignment horizontal="center" vertical="center"/>
    </xf>
    <xf numFmtId="0" fontId="5" fillId="12" borderId="2" xfId="0" applyFont="1" applyFill="1" applyBorder="1" applyAlignment="1">
      <alignment horizontal="center" vertical="center"/>
    </xf>
  </cellXfs>
  <cellStyles count="5">
    <cellStyle name="ハイパーリンク" xfId="1" builtinId="8"/>
    <cellStyle name="標準" xfId="0" builtinId="0"/>
    <cellStyle name="標準 2" xfId="2"/>
    <cellStyle name="標準 3" xfId="3"/>
    <cellStyle name="標準 4" xfId="4"/>
  </cellStyles>
  <dxfs count="331">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ECFF"/>
      <color rgb="FFFFFF99"/>
      <color rgb="FFFFFFCC"/>
      <color rgb="FF99CCFF"/>
      <color rgb="FF66CCFF"/>
      <color rgb="FFFEF4EC"/>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309556</xdr:colOff>
      <xdr:row>0</xdr:row>
      <xdr:rowOff>285755</xdr:rowOff>
    </xdr:from>
    <xdr:to>
      <xdr:col>10</xdr:col>
      <xdr:colOff>357186</xdr:colOff>
      <xdr:row>0</xdr:row>
      <xdr:rowOff>1785937</xdr:rowOff>
    </xdr:to>
    <xdr:sp macro="" textlink="">
      <xdr:nvSpPr>
        <xdr:cNvPr id="4" name="テキスト ボックス 3"/>
        <xdr:cNvSpPr txBox="1"/>
      </xdr:nvSpPr>
      <xdr:spPr>
        <a:xfrm>
          <a:off x="309556" y="285755"/>
          <a:ext cx="7000880" cy="1500182"/>
        </a:xfrm>
        <a:prstGeom prst="rect">
          <a:avLst/>
        </a:prstGeom>
        <a:solidFill>
          <a:schemeClr val="lt1"/>
        </a:solidFill>
        <a:ln w="508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latin typeface="ＭＳ Ｐゴシック" panose="020B0600070205080204" pitchFamily="50" charset="-128"/>
              <a:ea typeface="ＭＳ Ｐゴシック" panose="020B0600070205080204" pitchFamily="50" charset="-128"/>
            </a:rPr>
            <a:t>内容確認を御願いします。</a:t>
          </a:r>
          <a:endParaRPr kumimoji="1" lang="en-US" altLang="ja-JP" sz="3600">
            <a:latin typeface="ＭＳ Ｐゴシック" panose="020B0600070205080204" pitchFamily="50" charset="-128"/>
            <a:ea typeface="ＭＳ Ｐゴシック" panose="020B0600070205080204" pitchFamily="50" charset="-128"/>
          </a:endParaRPr>
        </a:p>
        <a:p>
          <a:r>
            <a:rPr kumimoji="1" lang="ja-JP" altLang="en-US" sz="3600">
              <a:latin typeface="ＭＳ Ｐゴシック" panose="020B0600070205080204" pitchFamily="50" charset="-128"/>
              <a:ea typeface="ＭＳ Ｐゴシック" panose="020B0600070205080204" pitchFamily="50" charset="-128"/>
            </a:rPr>
            <a:t>　山名課長→沖本部長→村上戻り</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7327</xdr:colOff>
      <xdr:row>11</xdr:row>
      <xdr:rowOff>129545</xdr:rowOff>
    </xdr:from>
    <xdr:to>
      <xdr:col>56</xdr:col>
      <xdr:colOff>272143</xdr:colOff>
      <xdr:row>11</xdr:row>
      <xdr:rowOff>129545</xdr:rowOff>
    </xdr:to>
    <xdr:cxnSp macro="">
      <xdr:nvCxnSpPr>
        <xdr:cNvPr id="2" name="直線コネクタ 1"/>
        <xdr:cNvCxnSpPr/>
      </xdr:nvCxnSpPr>
      <xdr:spPr>
        <a:xfrm>
          <a:off x="5178041" y="1463045"/>
          <a:ext cx="890745"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10</xdr:row>
      <xdr:rowOff>134469</xdr:rowOff>
    </xdr:from>
    <xdr:to>
      <xdr:col>48</xdr:col>
      <xdr:colOff>11206</xdr:colOff>
      <xdr:row>10</xdr:row>
      <xdr:rowOff>134469</xdr:rowOff>
    </xdr:to>
    <xdr:cxnSp macro="">
      <xdr:nvCxnSpPr>
        <xdr:cNvPr id="3" name="直線コネクタ 2"/>
        <xdr:cNvCxnSpPr/>
      </xdr:nvCxnSpPr>
      <xdr:spPr>
        <a:xfrm>
          <a:off x="4168588" y="2207557"/>
          <a:ext cx="7070912" cy="0"/>
        </a:xfrm>
        <a:prstGeom prst="line">
          <a:avLst/>
        </a:prstGeom>
        <a:ln w="57150" cmpd="dbl">
          <a:prstDash val="sysDot"/>
          <a:headEnd type="none" w="med" len="med"/>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30</xdr:row>
      <xdr:rowOff>134470</xdr:rowOff>
    </xdr:from>
    <xdr:to>
      <xdr:col>28</xdr:col>
      <xdr:colOff>33618</xdr:colOff>
      <xdr:row>30</xdr:row>
      <xdr:rowOff>134470</xdr:rowOff>
    </xdr:to>
    <xdr:cxnSp macro="">
      <xdr:nvCxnSpPr>
        <xdr:cNvPr id="10" name="直線コネクタ 9"/>
        <xdr:cNvCxnSpPr/>
      </xdr:nvCxnSpPr>
      <xdr:spPr>
        <a:xfrm>
          <a:off x="4168588" y="3440205"/>
          <a:ext cx="974912"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22412</xdr:colOff>
      <xdr:row>119</xdr:row>
      <xdr:rowOff>134471</xdr:rowOff>
    </xdr:from>
    <xdr:to>
      <xdr:col>23</xdr:col>
      <xdr:colOff>212912</xdr:colOff>
      <xdr:row>119</xdr:row>
      <xdr:rowOff>134471</xdr:rowOff>
    </xdr:to>
    <xdr:cxnSp macro="">
      <xdr:nvCxnSpPr>
        <xdr:cNvPr id="24" name="直線コネクタ 23"/>
        <xdr:cNvCxnSpPr/>
      </xdr:nvCxnSpPr>
      <xdr:spPr>
        <a:xfrm>
          <a:off x="4045324" y="8617324"/>
          <a:ext cx="19050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201706</xdr:colOff>
      <xdr:row>40</xdr:row>
      <xdr:rowOff>145676</xdr:rowOff>
    </xdr:from>
    <xdr:to>
      <xdr:col>28</xdr:col>
      <xdr:colOff>201707</xdr:colOff>
      <xdr:row>40</xdr:row>
      <xdr:rowOff>145676</xdr:rowOff>
    </xdr:to>
    <xdr:cxnSp macro="">
      <xdr:nvCxnSpPr>
        <xdr:cNvPr id="25" name="直線コネクタ 24"/>
        <xdr:cNvCxnSpPr/>
      </xdr:nvCxnSpPr>
      <xdr:spPr>
        <a:xfrm>
          <a:off x="4605618" y="3697941"/>
          <a:ext cx="705971"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112059</xdr:colOff>
      <xdr:row>89</xdr:row>
      <xdr:rowOff>134470</xdr:rowOff>
    </xdr:from>
    <xdr:to>
      <xdr:col>39</xdr:col>
      <xdr:colOff>324971</xdr:colOff>
      <xdr:row>89</xdr:row>
      <xdr:rowOff>134470</xdr:rowOff>
    </xdr:to>
    <xdr:cxnSp macro="">
      <xdr:nvCxnSpPr>
        <xdr:cNvPr id="31" name="直線コネクタ 30"/>
        <xdr:cNvCxnSpPr/>
      </xdr:nvCxnSpPr>
      <xdr:spPr>
        <a:xfrm>
          <a:off x="7059706" y="7384676"/>
          <a:ext cx="56029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xdr:colOff>
      <xdr:row>5</xdr:row>
      <xdr:rowOff>123265</xdr:rowOff>
    </xdr:from>
    <xdr:to>
      <xdr:col>30</xdr:col>
      <xdr:colOff>0</xdr:colOff>
      <xdr:row>5</xdr:row>
      <xdr:rowOff>123265</xdr:rowOff>
    </xdr:to>
    <xdr:cxnSp macro="">
      <xdr:nvCxnSpPr>
        <xdr:cNvPr id="32" name="直線コネクタ 31"/>
        <xdr:cNvCxnSpPr/>
      </xdr:nvCxnSpPr>
      <xdr:spPr>
        <a:xfrm>
          <a:off x="2857500" y="1456765"/>
          <a:ext cx="2812676" cy="0"/>
        </a:xfrm>
        <a:prstGeom prst="line">
          <a:avLst/>
        </a:prstGeom>
        <a:ln w="19050">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xdr:colOff>
      <xdr:row>8</xdr:row>
      <xdr:rowOff>123265</xdr:rowOff>
    </xdr:from>
    <xdr:to>
      <xdr:col>30</xdr:col>
      <xdr:colOff>0</xdr:colOff>
      <xdr:row>8</xdr:row>
      <xdr:rowOff>123265</xdr:rowOff>
    </xdr:to>
    <xdr:cxnSp macro="">
      <xdr:nvCxnSpPr>
        <xdr:cNvPr id="33" name="直線コネクタ 32"/>
        <xdr:cNvCxnSpPr/>
      </xdr:nvCxnSpPr>
      <xdr:spPr>
        <a:xfrm>
          <a:off x="2846294" y="2442883"/>
          <a:ext cx="1411941" cy="0"/>
        </a:xfrm>
        <a:prstGeom prst="line">
          <a:avLst/>
        </a:prstGeom>
        <a:ln w="19050">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xdr:colOff>
      <xdr:row>28</xdr:row>
      <xdr:rowOff>134471</xdr:rowOff>
    </xdr:from>
    <xdr:to>
      <xdr:col>26</xdr:col>
      <xdr:colOff>0</xdr:colOff>
      <xdr:row>28</xdr:row>
      <xdr:rowOff>134471</xdr:rowOff>
    </xdr:to>
    <xdr:cxnSp macro="">
      <xdr:nvCxnSpPr>
        <xdr:cNvPr id="37" name="直線コネクタ 36"/>
        <xdr:cNvCxnSpPr/>
      </xdr:nvCxnSpPr>
      <xdr:spPr>
        <a:xfrm>
          <a:off x="2846294" y="3686736"/>
          <a:ext cx="470647" cy="0"/>
        </a:xfrm>
        <a:prstGeom prst="line">
          <a:avLst/>
        </a:prstGeom>
        <a:ln w="19050">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5603</xdr:colOff>
      <xdr:row>72</xdr:row>
      <xdr:rowOff>134470</xdr:rowOff>
    </xdr:from>
    <xdr:to>
      <xdr:col>22</xdr:col>
      <xdr:colOff>198905</xdr:colOff>
      <xdr:row>72</xdr:row>
      <xdr:rowOff>134470</xdr:rowOff>
    </xdr:to>
    <xdr:cxnSp macro="">
      <xdr:nvCxnSpPr>
        <xdr:cNvPr id="38" name="直線コネクタ 37"/>
        <xdr:cNvCxnSpPr/>
      </xdr:nvCxnSpPr>
      <xdr:spPr>
        <a:xfrm>
          <a:off x="2846294" y="5658970"/>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19050</xdr:colOff>
      <xdr:row>72</xdr:row>
      <xdr:rowOff>142875</xdr:rowOff>
    </xdr:from>
    <xdr:to>
      <xdr:col>26</xdr:col>
      <xdr:colOff>212352</xdr:colOff>
      <xdr:row>72</xdr:row>
      <xdr:rowOff>142875</xdr:rowOff>
    </xdr:to>
    <xdr:cxnSp macro="">
      <xdr:nvCxnSpPr>
        <xdr:cNvPr id="39" name="直線コネクタ 38"/>
        <xdr:cNvCxnSpPr/>
      </xdr:nvCxnSpPr>
      <xdr:spPr>
        <a:xfrm>
          <a:off x="3335991" y="5667375"/>
          <a:ext cx="193302"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133350</xdr:colOff>
      <xdr:row>73</xdr:row>
      <xdr:rowOff>133350</xdr:rowOff>
    </xdr:from>
    <xdr:to>
      <xdr:col>25</xdr:col>
      <xdr:colOff>85725</xdr:colOff>
      <xdr:row>73</xdr:row>
      <xdr:rowOff>133350</xdr:rowOff>
    </xdr:to>
    <xdr:cxnSp macro="">
      <xdr:nvCxnSpPr>
        <xdr:cNvPr id="40" name="直線コネクタ 39"/>
        <xdr:cNvCxnSpPr/>
      </xdr:nvCxnSpPr>
      <xdr:spPr>
        <a:xfrm>
          <a:off x="2979644" y="6643968"/>
          <a:ext cx="187699"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44824</xdr:colOff>
      <xdr:row>29</xdr:row>
      <xdr:rowOff>134471</xdr:rowOff>
    </xdr:from>
    <xdr:to>
      <xdr:col>29</xdr:col>
      <xdr:colOff>212911</xdr:colOff>
      <xdr:row>29</xdr:row>
      <xdr:rowOff>134471</xdr:rowOff>
    </xdr:to>
    <xdr:cxnSp macro="">
      <xdr:nvCxnSpPr>
        <xdr:cNvPr id="28" name="直線コネクタ 27"/>
        <xdr:cNvCxnSpPr/>
      </xdr:nvCxnSpPr>
      <xdr:spPr>
        <a:xfrm>
          <a:off x="4684059" y="4672853"/>
          <a:ext cx="874058"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83</xdr:row>
      <xdr:rowOff>134471</xdr:rowOff>
    </xdr:from>
    <xdr:to>
      <xdr:col>32</xdr:col>
      <xdr:colOff>0</xdr:colOff>
      <xdr:row>83</xdr:row>
      <xdr:rowOff>134471</xdr:rowOff>
    </xdr:to>
    <xdr:cxnSp macro="">
      <xdr:nvCxnSpPr>
        <xdr:cNvPr id="42" name="直線コネクタ 41"/>
        <xdr:cNvCxnSpPr/>
      </xdr:nvCxnSpPr>
      <xdr:spPr>
        <a:xfrm>
          <a:off x="5109882" y="6398559"/>
          <a:ext cx="94129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78</xdr:row>
      <xdr:rowOff>134471</xdr:rowOff>
    </xdr:from>
    <xdr:to>
      <xdr:col>32</xdr:col>
      <xdr:colOff>212912</xdr:colOff>
      <xdr:row>78</xdr:row>
      <xdr:rowOff>134471</xdr:rowOff>
    </xdr:to>
    <xdr:cxnSp macro="">
      <xdr:nvCxnSpPr>
        <xdr:cNvPr id="43" name="直線コネクタ 42"/>
        <xdr:cNvCxnSpPr/>
      </xdr:nvCxnSpPr>
      <xdr:spPr>
        <a:xfrm>
          <a:off x="4168588" y="6891618"/>
          <a:ext cx="773206"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179294</xdr:colOff>
      <xdr:row>76</xdr:row>
      <xdr:rowOff>134471</xdr:rowOff>
    </xdr:from>
    <xdr:to>
      <xdr:col>31</xdr:col>
      <xdr:colOff>11206</xdr:colOff>
      <xdr:row>76</xdr:row>
      <xdr:rowOff>134471</xdr:rowOff>
    </xdr:to>
    <xdr:cxnSp macro="">
      <xdr:nvCxnSpPr>
        <xdr:cNvPr id="46" name="直線コネクタ 45"/>
        <xdr:cNvCxnSpPr/>
      </xdr:nvCxnSpPr>
      <xdr:spPr>
        <a:xfrm>
          <a:off x="5289176" y="7138147"/>
          <a:ext cx="537883"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179294</xdr:colOff>
      <xdr:row>79</xdr:row>
      <xdr:rowOff>134471</xdr:rowOff>
    </xdr:from>
    <xdr:to>
      <xdr:col>33</xdr:col>
      <xdr:colOff>0</xdr:colOff>
      <xdr:row>79</xdr:row>
      <xdr:rowOff>134471</xdr:rowOff>
    </xdr:to>
    <xdr:cxnSp macro="">
      <xdr:nvCxnSpPr>
        <xdr:cNvPr id="48" name="直線コネクタ 47"/>
        <xdr:cNvCxnSpPr/>
      </xdr:nvCxnSpPr>
      <xdr:spPr>
        <a:xfrm>
          <a:off x="5289176" y="7631206"/>
          <a:ext cx="99732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22412</xdr:colOff>
      <xdr:row>74</xdr:row>
      <xdr:rowOff>134470</xdr:rowOff>
    </xdr:from>
    <xdr:to>
      <xdr:col>20</xdr:col>
      <xdr:colOff>212912</xdr:colOff>
      <xdr:row>74</xdr:row>
      <xdr:rowOff>134470</xdr:rowOff>
    </xdr:to>
    <xdr:cxnSp macro="">
      <xdr:nvCxnSpPr>
        <xdr:cNvPr id="50" name="直線コネクタ 49"/>
        <xdr:cNvCxnSpPr/>
      </xdr:nvCxnSpPr>
      <xdr:spPr>
        <a:xfrm>
          <a:off x="4168588" y="6645088"/>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33619</xdr:colOff>
      <xdr:row>74</xdr:row>
      <xdr:rowOff>134470</xdr:rowOff>
    </xdr:from>
    <xdr:to>
      <xdr:col>27</xdr:col>
      <xdr:colOff>224119</xdr:colOff>
      <xdr:row>74</xdr:row>
      <xdr:rowOff>134470</xdr:rowOff>
    </xdr:to>
    <xdr:cxnSp macro="">
      <xdr:nvCxnSpPr>
        <xdr:cNvPr id="51" name="直線コネクタ 50"/>
        <xdr:cNvCxnSpPr/>
      </xdr:nvCxnSpPr>
      <xdr:spPr>
        <a:xfrm>
          <a:off x="4908178" y="6645088"/>
          <a:ext cx="19050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44825</xdr:colOff>
      <xdr:row>75</xdr:row>
      <xdr:rowOff>123264</xdr:rowOff>
    </xdr:from>
    <xdr:to>
      <xdr:col>28</xdr:col>
      <xdr:colOff>1</xdr:colOff>
      <xdr:row>75</xdr:row>
      <xdr:rowOff>123264</xdr:rowOff>
    </xdr:to>
    <xdr:cxnSp macro="">
      <xdr:nvCxnSpPr>
        <xdr:cNvPr id="52" name="直線コネクタ 51"/>
        <xdr:cNvCxnSpPr/>
      </xdr:nvCxnSpPr>
      <xdr:spPr>
        <a:xfrm>
          <a:off x="4919384" y="7126940"/>
          <a:ext cx="190499"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25614</xdr:colOff>
      <xdr:row>99</xdr:row>
      <xdr:rowOff>134471</xdr:rowOff>
    </xdr:from>
    <xdr:to>
      <xdr:col>38</xdr:col>
      <xdr:colOff>336177</xdr:colOff>
      <xdr:row>99</xdr:row>
      <xdr:rowOff>134471</xdr:rowOff>
    </xdr:to>
    <xdr:cxnSp macro="">
      <xdr:nvCxnSpPr>
        <xdr:cNvPr id="53" name="直線コネクタ 52"/>
        <xdr:cNvCxnSpPr/>
      </xdr:nvCxnSpPr>
      <xdr:spPr>
        <a:xfrm>
          <a:off x="5931114" y="7384677"/>
          <a:ext cx="135271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78441</xdr:colOff>
      <xdr:row>80</xdr:row>
      <xdr:rowOff>134471</xdr:rowOff>
    </xdr:from>
    <xdr:to>
      <xdr:col>33</xdr:col>
      <xdr:colOff>0</xdr:colOff>
      <xdr:row>80</xdr:row>
      <xdr:rowOff>134471</xdr:rowOff>
    </xdr:to>
    <xdr:cxnSp macro="">
      <xdr:nvCxnSpPr>
        <xdr:cNvPr id="54" name="直線コネクタ 53"/>
        <xdr:cNvCxnSpPr/>
      </xdr:nvCxnSpPr>
      <xdr:spPr>
        <a:xfrm>
          <a:off x="5658970" y="8124265"/>
          <a:ext cx="62753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56030</xdr:colOff>
      <xdr:row>89</xdr:row>
      <xdr:rowOff>134470</xdr:rowOff>
    </xdr:from>
    <xdr:to>
      <xdr:col>32</xdr:col>
      <xdr:colOff>156883</xdr:colOff>
      <xdr:row>89</xdr:row>
      <xdr:rowOff>134470</xdr:rowOff>
    </xdr:to>
    <xdr:cxnSp macro="">
      <xdr:nvCxnSpPr>
        <xdr:cNvPr id="55" name="直線コネクタ 54"/>
        <xdr:cNvCxnSpPr/>
      </xdr:nvCxnSpPr>
      <xdr:spPr>
        <a:xfrm>
          <a:off x="4224618" y="6398558"/>
          <a:ext cx="661147"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11206</xdr:colOff>
      <xdr:row>77</xdr:row>
      <xdr:rowOff>134471</xdr:rowOff>
    </xdr:from>
    <xdr:to>
      <xdr:col>31</xdr:col>
      <xdr:colOff>246530</xdr:colOff>
      <xdr:row>77</xdr:row>
      <xdr:rowOff>134471</xdr:rowOff>
    </xdr:to>
    <xdr:cxnSp macro="">
      <xdr:nvCxnSpPr>
        <xdr:cNvPr id="56" name="直線コネクタ 55"/>
        <xdr:cNvCxnSpPr/>
      </xdr:nvCxnSpPr>
      <xdr:spPr>
        <a:xfrm>
          <a:off x="4459941" y="8617324"/>
          <a:ext cx="23532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246530</xdr:colOff>
      <xdr:row>82</xdr:row>
      <xdr:rowOff>134471</xdr:rowOff>
    </xdr:from>
    <xdr:to>
      <xdr:col>34</xdr:col>
      <xdr:colOff>0</xdr:colOff>
      <xdr:row>82</xdr:row>
      <xdr:rowOff>134471</xdr:rowOff>
    </xdr:to>
    <xdr:cxnSp macro="">
      <xdr:nvCxnSpPr>
        <xdr:cNvPr id="57" name="直線コネクタ 56"/>
        <xdr:cNvCxnSpPr/>
      </xdr:nvCxnSpPr>
      <xdr:spPr>
        <a:xfrm>
          <a:off x="4695265" y="8370795"/>
          <a:ext cx="593911"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179294</xdr:colOff>
      <xdr:row>85</xdr:row>
      <xdr:rowOff>123265</xdr:rowOff>
    </xdr:from>
    <xdr:to>
      <xdr:col>35</xdr:col>
      <xdr:colOff>302559</xdr:colOff>
      <xdr:row>85</xdr:row>
      <xdr:rowOff>123265</xdr:rowOff>
    </xdr:to>
    <xdr:cxnSp macro="">
      <xdr:nvCxnSpPr>
        <xdr:cNvPr id="58" name="直線コネクタ 57"/>
        <xdr:cNvCxnSpPr/>
      </xdr:nvCxnSpPr>
      <xdr:spPr>
        <a:xfrm>
          <a:off x="4661647" y="7373471"/>
          <a:ext cx="137832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0</xdr:colOff>
      <xdr:row>72</xdr:row>
      <xdr:rowOff>0</xdr:rowOff>
    </xdr:from>
    <xdr:to>
      <xdr:col>36</xdr:col>
      <xdr:colOff>212911</xdr:colOff>
      <xdr:row>72</xdr:row>
      <xdr:rowOff>0</xdr:rowOff>
    </xdr:to>
    <xdr:cxnSp macro="">
      <xdr:nvCxnSpPr>
        <xdr:cNvPr id="59" name="直線コネクタ 58"/>
        <xdr:cNvCxnSpPr/>
      </xdr:nvCxnSpPr>
      <xdr:spPr>
        <a:xfrm>
          <a:off x="5569324" y="5524500"/>
          <a:ext cx="493058"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22413</xdr:colOff>
      <xdr:row>36</xdr:row>
      <xdr:rowOff>134470</xdr:rowOff>
    </xdr:from>
    <xdr:to>
      <xdr:col>39</xdr:col>
      <xdr:colOff>246529</xdr:colOff>
      <xdr:row>36</xdr:row>
      <xdr:rowOff>134470</xdr:rowOff>
    </xdr:to>
    <xdr:cxnSp macro="">
      <xdr:nvCxnSpPr>
        <xdr:cNvPr id="60" name="直線コネクタ 59"/>
        <xdr:cNvCxnSpPr/>
      </xdr:nvCxnSpPr>
      <xdr:spPr>
        <a:xfrm>
          <a:off x="5311589" y="5165911"/>
          <a:ext cx="1624852"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30</xdr:row>
      <xdr:rowOff>123265</xdr:rowOff>
    </xdr:from>
    <xdr:to>
      <xdr:col>32</xdr:col>
      <xdr:colOff>257735</xdr:colOff>
      <xdr:row>30</xdr:row>
      <xdr:rowOff>123265</xdr:rowOff>
    </xdr:to>
    <xdr:cxnSp macro="">
      <xdr:nvCxnSpPr>
        <xdr:cNvPr id="61" name="直線コネクタ 60"/>
        <xdr:cNvCxnSpPr/>
      </xdr:nvCxnSpPr>
      <xdr:spPr>
        <a:xfrm>
          <a:off x="4168588" y="3675530"/>
          <a:ext cx="818029" cy="0"/>
        </a:xfrm>
        <a:prstGeom prst="line">
          <a:avLst/>
        </a:prstGeom>
        <a:ln w="19050">
          <a:solidFill>
            <a:schemeClr val="tx1"/>
          </a:solidFill>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44824</xdr:colOff>
      <xdr:row>84</xdr:row>
      <xdr:rowOff>134471</xdr:rowOff>
    </xdr:from>
    <xdr:to>
      <xdr:col>34</xdr:col>
      <xdr:colOff>268941</xdr:colOff>
      <xdr:row>84</xdr:row>
      <xdr:rowOff>134471</xdr:rowOff>
    </xdr:to>
    <xdr:cxnSp macro="">
      <xdr:nvCxnSpPr>
        <xdr:cNvPr id="63" name="直線コネクタ 62"/>
        <xdr:cNvCxnSpPr/>
      </xdr:nvCxnSpPr>
      <xdr:spPr>
        <a:xfrm>
          <a:off x="5602942" y="6398559"/>
          <a:ext cx="224117"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179294</xdr:colOff>
      <xdr:row>81</xdr:row>
      <xdr:rowOff>134471</xdr:rowOff>
    </xdr:from>
    <xdr:to>
      <xdr:col>30</xdr:col>
      <xdr:colOff>0</xdr:colOff>
      <xdr:row>81</xdr:row>
      <xdr:rowOff>134471</xdr:rowOff>
    </xdr:to>
    <xdr:cxnSp macro="">
      <xdr:nvCxnSpPr>
        <xdr:cNvPr id="64" name="直線コネクタ 63"/>
        <xdr:cNvCxnSpPr/>
      </xdr:nvCxnSpPr>
      <xdr:spPr>
        <a:xfrm>
          <a:off x="4168588" y="7877736"/>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246531</xdr:colOff>
      <xdr:row>81</xdr:row>
      <xdr:rowOff>134470</xdr:rowOff>
    </xdr:from>
    <xdr:to>
      <xdr:col>35</xdr:col>
      <xdr:colOff>257735</xdr:colOff>
      <xdr:row>81</xdr:row>
      <xdr:rowOff>134470</xdr:rowOff>
    </xdr:to>
    <xdr:cxnSp macro="">
      <xdr:nvCxnSpPr>
        <xdr:cNvPr id="65" name="直線コネクタ 64"/>
        <xdr:cNvCxnSpPr/>
      </xdr:nvCxnSpPr>
      <xdr:spPr>
        <a:xfrm>
          <a:off x="5535707" y="7877735"/>
          <a:ext cx="291352"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145677</xdr:colOff>
      <xdr:row>98</xdr:row>
      <xdr:rowOff>123265</xdr:rowOff>
    </xdr:from>
    <xdr:to>
      <xdr:col>36</xdr:col>
      <xdr:colOff>0</xdr:colOff>
      <xdr:row>98</xdr:row>
      <xdr:rowOff>123265</xdr:rowOff>
    </xdr:to>
    <xdr:cxnSp macro="">
      <xdr:nvCxnSpPr>
        <xdr:cNvPr id="70" name="直線コネクタ 69"/>
        <xdr:cNvCxnSpPr/>
      </xdr:nvCxnSpPr>
      <xdr:spPr>
        <a:xfrm>
          <a:off x="5569324" y="8606118"/>
          <a:ext cx="481852"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22412</xdr:colOff>
      <xdr:row>98</xdr:row>
      <xdr:rowOff>123266</xdr:rowOff>
    </xdr:from>
    <xdr:to>
      <xdr:col>42</xdr:col>
      <xdr:colOff>108857</xdr:colOff>
      <xdr:row>98</xdr:row>
      <xdr:rowOff>123266</xdr:rowOff>
    </xdr:to>
    <xdr:cxnSp macro="">
      <xdr:nvCxnSpPr>
        <xdr:cNvPr id="71" name="直線コネクタ 70"/>
        <xdr:cNvCxnSpPr/>
      </xdr:nvCxnSpPr>
      <xdr:spPr>
        <a:xfrm>
          <a:off x="5397233" y="8559695"/>
          <a:ext cx="630731"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224118</xdr:colOff>
      <xdr:row>86</xdr:row>
      <xdr:rowOff>134471</xdr:rowOff>
    </xdr:from>
    <xdr:to>
      <xdr:col>37</xdr:col>
      <xdr:colOff>302559</xdr:colOff>
      <xdr:row>86</xdr:row>
      <xdr:rowOff>134471</xdr:rowOff>
    </xdr:to>
    <xdr:cxnSp macro="">
      <xdr:nvCxnSpPr>
        <xdr:cNvPr id="68" name="直線コネクタ 67"/>
        <xdr:cNvCxnSpPr/>
      </xdr:nvCxnSpPr>
      <xdr:spPr>
        <a:xfrm>
          <a:off x="5647765" y="8124265"/>
          <a:ext cx="1019735"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201705</xdr:colOff>
      <xdr:row>87</xdr:row>
      <xdr:rowOff>134471</xdr:rowOff>
    </xdr:from>
    <xdr:to>
      <xdr:col>37</xdr:col>
      <xdr:colOff>280146</xdr:colOff>
      <xdr:row>87</xdr:row>
      <xdr:rowOff>134471</xdr:rowOff>
    </xdr:to>
    <xdr:cxnSp macro="">
      <xdr:nvCxnSpPr>
        <xdr:cNvPr id="69" name="直線コネクタ 68"/>
        <xdr:cNvCxnSpPr/>
      </xdr:nvCxnSpPr>
      <xdr:spPr>
        <a:xfrm>
          <a:off x="5625352" y="8863853"/>
          <a:ext cx="1019735"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31</xdr:row>
      <xdr:rowOff>123265</xdr:rowOff>
    </xdr:from>
    <xdr:to>
      <xdr:col>35</xdr:col>
      <xdr:colOff>123265</xdr:colOff>
      <xdr:row>31</xdr:row>
      <xdr:rowOff>123265</xdr:rowOff>
    </xdr:to>
    <xdr:cxnSp macro="">
      <xdr:nvCxnSpPr>
        <xdr:cNvPr id="62" name="直線コネクタ 61"/>
        <xdr:cNvCxnSpPr/>
      </xdr:nvCxnSpPr>
      <xdr:spPr>
        <a:xfrm>
          <a:off x="5558118" y="4661647"/>
          <a:ext cx="470647"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11207</xdr:colOff>
      <xdr:row>123</xdr:row>
      <xdr:rowOff>134472</xdr:rowOff>
    </xdr:from>
    <xdr:to>
      <xdr:col>39</xdr:col>
      <xdr:colOff>302559</xdr:colOff>
      <xdr:row>123</xdr:row>
      <xdr:rowOff>134472</xdr:rowOff>
    </xdr:to>
    <xdr:cxnSp macro="">
      <xdr:nvCxnSpPr>
        <xdr:cNvPr id="73" name="直線コネクタ 72"/>
        <xdr:cNvCxnSpPr/>
      </xdr:nvCxnSpPr>
      <xdr:spPr>
        <a:xfrm>
          <a:off x="7306236" y="7631207"/>
          <a:ext cx="291352"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11207</xdr:colOff>
      <xdr:row>88</xdr:row>
      <xdr:rowOff>134472</xdr:rowOff>
    </xdr:from>
    <xdr:to>
      <xdr:col>39</xdr:col>
      <xdr:colOff>302559</xdr:colOff>
      <xdr:row>88</xdr:row>
      <xdr:rowOff>134472</xdr:rowOff>
    </xdr:to>
    <xdr:cxnSp macro="">
      <xdr:nvCxnSpPr>
        <xdr:cNvPr id="79" name="直線コネクタ 78"/>
        <xdr:cNvCxnSpPr/>
      </xdr:nvCxnSpPr>
      <xdr:spPr>
        <a:xfrm>
          <a:off x="6746743" y="6856401"/>
          <a:ext cx="262777"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212912</xdr:colOff>
      <xdr:row>91</xdr:row>
      <xdr:rowOff>134472</xdr:rowOff>
    </xdr:from>
    <xdr:to>
      <xdr:col>40</xdr:col>
      <xdr:colOff>187699</xdr:colOff>
      <xdr:row>91</xdr:row>
      <xdr:rowOff>134472</xdr:rowOff>
    </xdr:to>
    <xdr:cxnSp macro="">
      <xdr:nvCxnSpPr>
        <xdr:cNvPr id="85" name="直線コネクタ 84"/>
        <xdr:cNvCxnSpPr/>
      </xdr:nvCxnSpPr>
      <xdr:spPr>
        <a:xfrm>
          <a:off x="6622677" y="7384678"/>
          <a:ext cx="535081"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33618</xdr:colOff>
      <xdr:row>90</xdr:row>
      <xdr:rowOff>134472</xdr:rowOff>
    </xdr:from>
    <xdr:to>
      <xdr:col>40</xdr:col>
      <xdr:colOff>8405</xdr:colOff>
      <xdr:row>90</xdr:row>
      <xdr:rowOff>134472</xdr:rowOff>
    </xdr:to>
    <xdr:cxnSp macro="">
      <xdr:nvCxnSpPr>
        <xdr:cNvPr id="80" name="直線コネクタ 79"/>
        <xdr:cNvCxnSpPr/>
      </xdr:nvCxnSpPr>
      <xdr:spPr>
        <a:xfrm>
          <a:off x="6443383" y="7384678"/>
          <a:ext cx="535081"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44823</xdr:colOff>
      <xdr:row>32</xdr:row>
      <xdr:rowOff>134470</xdr:rowOff>
    </xdr:from>
    <xdr:to>
      <xdr:col>41</xdr:col>
      <xdr:colOff>257735</xdr:colOff>
      <xdr:row>32</xdr:row>
      <xdr:rowOff>134470</xdr:rowOff>
    </xdr:to>
    <xdr:cxnSp macro="">
      <xdr:nvCxnSpPr>
        <xdr:cNvPr id="86" name="直線コネクタ 85"/>
        <xdr:cNvCxnSpPr/>
      </xdr:nvCxnSpPr>
      <xdr:spPr>
        <a:xfrm>
          <a:off x="7014882" y="4426323"/>
          <a:ext cx="493059"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78440</xdr:colOff>
      <xdr:row>97</xdr:row>
      <xdr:rowOff>156882</xdr:rowOff>
    </xdr:from>
    <xdr:to>
      <xdr:col>31</xdr:col>
      <xdr:colOff>11206</xdr:colOff>
      <xdr:row>97</xdr:row>
      <xdr:rowOff>156882</xdr:rowOff>
    </xdr:to>
    <xdr:cxnSp macro="">
      <xdr:nvCxnSpPr>
        <xdr:cNvPr id="88" name="直線コネクタ 87"/>
        <xdr:cNvCxnSpPr/>
      </xdr:nvCxnSpPr>
      <xdr:spPr>
        <a:xfrm>
          <a:off x="4168588" y="6174441"/>
          <a:ext cx="291353"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22412</xdr:colOff>
      <xdr:row>93</xdr:row>
      <xdr:rowOff>123264</xdr:rowOff>
    </xdr:from>
    <xdr:to>
      <xdr:col>42</xdr:col>
      <xdr:colOff>0</xdr:colOff>
      <xdr:row>93</xdr:row>
      <xdr:rowOff>123264</xdr:rowOff>
    </xdr:to>
    <xdr:cxnSp macro="">
      <xdr:nvCxnSpPr>
        <xdr:cNvPr id="89" name="直線コネクタ 88"/>
        <xdr:cNvCxnSpPr/>
      </xdr:nvCxnSpPr>
      <xdr:spPr>
        <a:xfrm>
          <a:off x="5397233" y="8314764"/>
          <a:ext cx="52187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92</xdr:row>
      <xdr:rowOff>108857</xdr:rowOff>
    </xdr:from>
    <xdr:to>
      <xdr:col>40</xdr:col>
      <xdr:colOff>95250</xdr:colOff>
      <xdr:row>92</xdr:row>
      <xdr:rowOff>108857</xdr:rowOff>
    </xdr:to>
    <xdr:cxnSp macro="">
      <xdr:nvCxnSpPr>
        <xdr:cNvPr id="67" name="直線コネクタ 66"/>
        <xdr:cNvCxnSpPr/>
      </xdr:nvCxnSpPr>
      <xdr:spPr>
        <a:xfrm>
          <a:off x="6463393" y="7075714"/>
          <a:ext cx="639536"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252</xdr:row>
      <xdr:rowOff>136071</xdr:rowOff>
    </xdr:from>
    <xdr:to>
      <xdr:col>40</xdr:col>
      <xdr:colOff>257735</xdr:colOff>
      <xdr:row>252</xdr:row>
      <xdr:rowOff>136071</xdr:rowOff>
    </xdr:to>
    <xdr:cxnSp macro="">
      <xdr:nvCxnSpPr>
        <xdr:cNvPr id="90" name="直線コネクタ 89"/>
        <xdr:cNvCxnSpPr/>
      </xdr:nvCxnSpPr>
      <xdr:spPr>
        <a:xfrm>
          <a:off x="6573051" y="6400159"/>
          <a:ext cx="654743"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212911</xdr:colOff>
      <xdr:row>101</xdr:row>
      <xdr:rowOff>123265</xdr:rowOff>
    </xdr:from>
    <xdr:to>
      <xdr:col>43</xdr:col>
      <xdr:colOff>156881</xdr:colOff>
      <xdr:row>101</xdr:row>
      <xdr:rowOff>123265</xdr:rowOff>
    </xdr:to>
    <xdr:cxnSp macro="">
      <xdr:nvCxnSpPr>
        <xdr:cNvPr id="91" name="直線コネクタ 90"/>
        <xdr:cNvCxnSpPr/>
      </xdr:nvCxnSpPr>
      <xdr:spPr>
        <a:xfrm>
          <a:off x="7463117" y="7866530"/>
          <a:ext cx="50426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44823</xdr:colOff>
      <xdr:row>94</xdr:row>
      <xdr:rowOff>145677</xdr:rowOff>
    </xdr:from>
    <xdr:to>
      <xdr:col>41</xdr:col>
      <xdr:colOff>268940</xdr:colOff>
      <xdr:row>94</xdr:row>
      <xdr:rowOff>145677</xdr:rowOff>
    </xdr:to>
    <xdr:cxnSp macro="">
      <xdr:nvCxnSpPr>
        <xdr:cNvPr id="87" name="直線コネクタ 86"/>
        <xdr:cNvCxnSpPr/>
      </xdr:nvCxnSpPr>
      <xdr:spPr>
        <a:xfrm>
          <a:off x="7014882" y="8135471"/>
          <a:ext cx="50426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33617</xdr:colOff>
      <xdr:row>95</xdr:row>
      <xdr:rowOff>134470</xdr:rowOff>
    </xdr:from>
    <xdr:to>
      <xdr:col>41</xdr:col>
      <xdr:colOff>257734</xdr:colOff>
      <xdr:row>95</xdr:row>
      <xdr:rowOff>134470</xdr:rowOff>
    </xdr:to>
    <xdr:cxnSp macro="">
      <xdr:nvCxnSpPr>
        <xdr:cNvPr id="92" name="直線コネクタ 91"/>
        <xdr:cNvCxnSpPr/>
      </xdr:nvCxnSpPr>
      <xdr:spPr>
        <a:xfrm>
          <a:off x="7003676" y="8370794"/>
          <a:ext cx="50426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156882</xdr:colOff>
      <xdr:row>96</xdr:row>
      <xdr:rowOff>134471</xdr:rowOff>
    </xdr:from>
    <xdr:to>
      <xdr:col>42</xdr:col>
      <xdr:colOff>100852</xdr:colOff>
      <xdr:row>96</xdr:row>
      <xdr:rowOff>134471</xdr:rowOff>
    </xdr:to>
    <xdr:cxnSp macro="">
      <xdr:nvCxnSpPr>
        <xdr:cNvPr id="93" name="直線コネクタ 92"/>
        <xdr:cNvCxnSpPr/>
      </xdr:nvCxnSpPr>
      <xdr:spPr>
        <a:xfrm>
          <a:off x="5531703" y="8815828"/>
          <a:ext cx="488256"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201706</xdr:colOff>
      <xdr:row>100</xdr:row>
      <xdr:rowOff>134471</xdr:rowOff>
    </xdr:from>
    <xdr:to>
      <xdr:col>43</xdr:col>
      <xdr:colOff>145676</xdr:colOff>
      <xdr:row>100</xdr:row>
      <xdr:rowOff>134471</xdr:rowOff>
    </xdr:to>
    <xdr:cxnSp macro="">
      <xdr:nvCxnSpPr>
        <xdr:cNvPr id="94" name="直線コネクタ 93"/>
        <xdr:cNvCxnSpPr/>
      </xdr:nvCxnSpPr>
      <xdr:spPr>
        <a:xfrm>
          <a:off x="7451912" y="8863853"/>
          <a:ext cx="504264"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27215</xdr:colOff>
      <xdr:row>108</xdr:row>
      <xdr:rowOff>149678</xdr:rowOff>
    </xdr:from>
    <xdr:to>
      <xdr:col>41</xdr:col>
      <xdr:colOff>251332</xdr:colOff>
      <xdr:row>108</xdr:row>
      <xdr:rowOff>149678</xdr:rowOff>
    </xdr:to>
    <xdr:cxnSp macro="">
      <xdr:nvCxnSpPr>
        <xdr:cNvPr id="95" name="直線コネクタ 94"/>
        <xdr:cNvCxnSpPr/>
      </xdr:nvCxnSpPr>
      <xdr:spPr>
        <a:xfrm>
          <a:off x="7034894" y="8341178"/>
          <a:ext cx="496259"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40822</xdr:colOff>
      <xdr:row>158</xdr:row>
      <xdr:rowOff>122464</xdr:rowOff>
    </xdr:from>
    <xdr:to>
      <xdr:col>41</xdr:col>
      <xdr:colOff>256936</xdr:colOff>
      <xdr:row>158</xdr:row>
      <xdr:rowOff>122464</xdr:rowOff>
    </xdr:to>
    <xdr:cxnSp macro="">
      <xdr:nvCxnSpPr>
        <xdr:cNvPr id="96" name="直線コネクタ 95"/>
        <xdr:cNvCxnSpPr/>
      </xdr:nvCxnSpPr>
      <xdr:spPr>
        <a:xfrm>
          <a:off x="7048501" y="9538607"/>
          <a:ext cx="488256"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231320</xdr:colOff>
      <xdr:row>104</xdr:row>
      <xdr:rowOff>108857</xdr:rowOff>
    </xdr:from>
    <xdr:to>
      <xdr:col>42</xdr:col>
      <xdr:colOff>0</xdr:colOff>
      <xdr:row>104</xdr:row>
      <xdr:rowOff>108857</xdr:rowOff>
    </xdr:to>
    <xdr:cxnSp macro="">
      <xdr:nvCxnSpPr>
        <xdr:cNvPr id="99" name="直線コネクタ 98"/>
        <xdr:cNvCxnSpPr/>
      </xdr:nvCxnSpPr>
      <xdr:spPr>
        <a:xfrm>
          <a:off x="5333999" y="8545286"/>
          <a:ext cx="585108"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27215</xdr:colOff>
      <xdr:row>105</xdr:row>
      <xdr:rowOff>136072</xdr:rowOff>
    </xdr:from>
    <xdr:to>
      <xdr:col>45</xdr:col>
      <xdr:colOff>244928</xdr:colOff>
      <xdr:row>105</xdr:row>
      <xdr:rowOff>136072</xdr:rowOff>
    </xdr:to>
    <xdr:cxnSp macro="">
      <xdr:nvCxnSpPr>
        <xdr:cNvPr id="100" name="直線コネクタ 99"/>
        <xdr:cNvCxnSpPr/>
      </xdr:nvCxnSpPr>
      <xdr:spPr>
        <a:xfrm>
          <a:off x="4599215" y="5633358"/>
          <a:ext cx="10341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40822</xdr:colOff>
      <xdr:row>33</xdr:row>
      <xdr:rowOff>136072</xdr:rowOff>
    </xdr:from>
    <xdr:to>
      <xdr:col>45</xdr:col>
      <xdr:colOff>246530</xdr:colOff>
      <xdr:row>33</xdr:row>
      <xdr:rowOff>136072</xdr:rowOff>
    </xdr:to>
    <xdr:cxnSp macro="">
      <xdr:nvCxnSpPr>
        <xdr:cNvPr id="101" name="直線コネクタ 100"/>
        <xdr:cNvCxnSpPr/>
      </xdr:nvCxnSpPr>
      <xdr:spPr>
        <a:xfrm>
          <a:off x="5687786" y="4898572"/>
          <a:ext cx="129428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13608</xdr:colOff>
      <xdr:row>103</xdr:row>
      <xdr:rowOff>136072</xdr:rowOff>
    </xdr:from>
    <xdr:to>
      <xdr:col>45</xdr:col>
      <xdr:colOff>156883</xdr:colOff>
      <xdr:row>103</xdr:row>
      <xdr:rowOff>136072</xdr:rowOff>
    </xdr:to>
    <xdr:cxnSp macro="">
      <xdr:nvCxnSpPr>
        <xdr:cNvPr id="102" name="直線コネクタ 101"/>
        <xdr:cNvCxnSpPr/>
      </xdr:nvCxnSpPr>
      <xdr:spPr>
        <a:xfrm>
          <a:off x="4462343" y="5660572"/>
          <a:ext cx="70356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136072</xdr:colOff>
      <xdr:row>102</xdr:row>
      <xdr:rowOff>136072</xdr:rowOff>
    </xdr:from>
    <xdr:to>
      <xdr:col>43</xdr:col>
      <xdr:colOff>80042</xdr:colOff>
      <xdr:row>102</xdr:row>
      <xdr:rowOff>136072</xdr:rowOff>
    </xdr:to>
    <xdr:cxnSp macro="">
      <xdr:nvCxnSpPr>
        <xdr:cNvPr id="103" name="直線コネクタ 102"/>
        <xdr:cNvCxnSpPr/>
      </xdr:nvCxnSpPr>
      <xdr:spPr>
        <a:xfrm>
          <a:off x="5783036" y="7592786"/>
          <a:ext cx="48825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151281</xdr:colOff>
      <xdr:row>108</xdr:row>
      <xdr:rowOff>148078</xdr:rowOff>
    </xdr:from>
    <xdr:to>
      <xdr:col>47</xdr:col>
      <xdr:colOff>264138</xdr:colOff>
      <xdr:row>108</xdr:row>
      <xdr:rowOff>148078</xdr:rowOff>
    </xdr:to>
    <xdr:cxnSp macro="">
      <xdr:nvCxnSpPr>
        <xdr:cNvPr id="108" name="直線コネクタ 107"/>
        <xdr:cNvCxnSpPr/>
      </xdr:nvCxnSpPr>
      <xdr:spPr>
        <a:xfrm>
          <a:off x="5811852" y="5781435"/>
          <a:ext cx="3850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252</xdr:row>
      <xdr:rowOff>134471</xdr:rowOff>
    </xdr:from>
    <xdr:to>
      <xdr:col>47</xdr:col>
      <xdr:colOff>227318</xdr:colOff>
      <xdr:row>252</xdr:row>
      <xdr:rowOff>134471</xdr:rowOff>
    </xdr:to>
    <xdr:cxnSp macro="">
      <xdr:nvCxnSpPr>
        <xdr:cNvPr id="109" name="直線コネクタ 108"/>
        <xdr:cNvCxnSpPr/>
      </xdr:nvCxnSpPr>
      <xdr:spPr>
        <a:xfrm>
          <a:off x="5457265" y="7138147"/>
          <a:ext cx="33937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11206</xdr:colOff>
      <xdr:row>123</xdr:row>
      <xdr:rowOff>134471</xdr:rowOff>
    </xdr:from>
    <xdr:to>
      <xdr:col>53</xdr:col>
      <xdr:colOff>227319</xdr:colOff>
      <xdr:row>123</xdr:row>
      <xdr:rowOff>134471</xdr:rowOff>
    </xdr:to>
    <xdr:cxnSp macro="">
      <xdr:nvCxnSpPr>
        <xdr:cNvPr id="110" name="直線コネクタ 109"/>
        <xdr:cNvCxnSpPr/>
      </xdr:nvCxnSpPr>
      <xdr:spPr>
        <a:xfrm>
          <a:off x="8662147" y="6891618"/>
          <a:ext cx="49626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35</xdr:row>
      <xdr:rowOff>123265</xdr:rowOff>
    </xdr:from>
    <xdr:to>
      <xdr:col>49</xdr:col>
      <xdr:colOff>176893</xdr:colOff>
      <xdr:row>35</xdr:row>
      <xdr:rowOff>123265</xdr:rowOff>
    </xdr:to>
    <xdr:cxnSp macro="">
      <xdr:nvCxnSpPr>
        <xdr:cNvPr id="111" name="直線コネクタ 110"/>
        <xdr:cNvCxnSpPr/>
      </xdr:nvCxnSpPr>
      <xdr:spPr>
        <a:xfrm>
          <a:off x="4572000" y="2640586"/>
          <a:ext cx="489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14</xdr:row>
      <xdr:rowOff>153681</xdr:rowOff>
    </xdr:from>
    <xdr:to>
      <xdr:col>95</xdr:col>
      <xdr:colOff>95250</xdr:colOff>
      <xdr:row>14</xdr:row>
      <xdr:rowOff>153681</xdr:rowOff>
    </xdr:to>
    <xdr:cxnSp macro="">
      <xdr:nvCxnSpPr>
        <xdr:cNvPr id="104" name="直線コネクタ 103"/>
        <xdr:cNvCxnSpPr/>
      </xdr:nvCxnSpPr>
      <xdr:spPr>
        <a:xfrm>
          <a:off x="7075714" y="1487181"/>
          <a:ext cx="1455965"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13</xdr:row>
      <xdr:rowOff>140072</xdr:rowOff>
    </xdr:from>
    <xdr:to>
      <xdr:col>81</xdr:col>
      <xdr:colOff>13608</xdr:colOff>
      <xdr:row>13</xdr:row>
      <xdr:rowOff>140072</xdr:rowOff>
    </xdr:to>
    <xdr:cxnSp macro="">
      <xdr:nvCxnSpPr>
        <xdr:cNvPr id="112" name="直線コネクタ 111"/>
        <xdr:cNvCxnSpPr/>
      </xdr:nvCxnSpPr>
      <xdr:spPr>
        <a:xfrm>
          <a:off x="5402036" y="1718501"/>
          <a:ext cx="4708072"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54429</xdr:colOff>
      <xdr:row>107</xdr:row>
      <xdr:rowOff>136072</xdr:rowOff>
    </xdr:from>
    <xdr:to>
      <xdr:col>46</xdr:col>
      <xdr:colOff>217715</xdr:colOff>
      <xdr:row>107</xdr:row>
      <xdr:rowOff>136072</xdr:rowOff>
    </xdr:to>
    <xdr:cxnSp macro="">
      <xdr:nvCxnSpPr>
        <xdr:cNvPr id="116" name="直線コネクタ 115"/>
        <xdr:cNvCxnSpPr/>
      </xdr:nvCxnSpPr>
      <xdr:spPr>
        <a:xfrm>
          <a:off x="5715000" y="5769429"/>
          <a:ext cx="1632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0</xdr:colOff>
      <xdr:row>28</xdr:row>
      <xdr:rowOff>0</xdr:rowOff>
    </xdr:from>
    <xdr:to>
      <xdr:col>110</xdr:col>
      <xdr:colOff>11206</xdr:colOff>
      <xdr:row>28</xdr:row>
      <xdr:rowOff>0</xdr:rowOff>
    </xdr:to>
    <xdr:cxnSp macro="">
      <xdr:nvCxnSpPr>
        <xdr:cNvPr id="115" name="直線コネクタ 114"/>
        <xdr:cNvCxnSpPr/>
      </xdr:nvCxnSpPr>
      <xdr:spPr>
        <a:xfrm>
          <a:off x="16546286" y="2558143"/>
          <a:ext cx="4909777"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14568</xdr:colOff>
      <xdr:row>106</xdr:row>
      <xdr:rowOff>130548</xdr:rowOff>
    </xdr:from>
    <xdr:to>
      <xdr:col>45</xdr:col>
      <xdr:colOff>269901</xdr:colOff>
      <xdr:row>106</xdr:row>
      <xdr:rowOff>130548</xdr:rowOff>
    </xdr:to>
    <xdr:cxnSp macro="">
      <xdr:nvCxnSpPr>
        <xdr:cNvPr id="113" name="直線コネクタ 112"/>
        <xdr:cNvCxnSpPr/>
      </xdr:nvCxnSpPr>
      <xdr:spPr>
        <a:xfrm>
          <a:off x="5314950" y="6148107"/>
          <a:ext cx="25533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14</xdr:row>
      <xdr:rowOff>212912</xdr:rowOff>
    </xdr:from>
    <xdr:to>
      <xdr:col>48</xdr:col>
      <xdr:colOff>0</xdr:colOff>
      <xdr:row>14</xdr:row>
      <xdr:rowOff>212912</xdr:rowOff>
    </xdr:to>
    <xdr:cxnSp macro="">
      <xdr:nvCxnSpPr>
        <xdr:cNvPr id="119" name="直線コネクタ 118"/>
        <xdr:cNvCxnSpPr/>
      </xdr:nvCxnSpPr>
      <xdr:spPr>
        <a:xfrm>
          <a:off x="4572000" y="2281198"/>
          <a:ext cx="1632857"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38100</xdr:colOff>
      <xdr:row>14</xdr:row>
      <xdr:rowOff>114300</xdr:rowOff>
    </xdr:from>
    <xdr:to>
      <xdr:col>54</xdr:col>
      <xdr:colOff>123825</xdr:colOff>
      <xdr:row>14</xdr:row>
      <xdr:rowOff>200025</xdr:rowOff>
    </xdr:to>
    <xdr:sp macro="" textlink="">
      <xdr:nvSpPr>
        <xdr:cNvPr id="110350" name="楕円 5"/>
        <xdr:cNvSpPr>
          <a:spLocks noChangeArrowheads="1"/>
        </xdr:cNvSpPr>
      </xdr:nvSpPr>
      <xdr:spPr bwMode="auto">
        <a:xfrm>
          <a:off x="8296275" y="2200275"/>
          <a:ext cx="85725" cy="85725"/>
        </a:xfrm>
        <a:prstGeom prst="ellipse">
          <a:avLst/>
        </a:prstGeom>
        <a:solidFill>
          <a:srgbClr val="090000"/>
        </a:solidFill>
        <a:ln w="9525" algn="ctr">
          <a:solidFill>
            <a:srgbClr val="4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18</xdr:col>
      <xdr:colOff>0</xdr:colOff>
      <xdr:row>39</xdr:row>
      <xdr:rowOff>136072</xdr:rowOff>
    </xdr:from>
    <xdr:to>
      <xdr:col>58</xdr:col>
      <xdr:colOff>81643</xdr:colOff>
      <xdr:row>39</xdr:row>
      <xdr:rowOff>136072</xdr:rowOff>
    </xdr:to>
    <xdr:cxnSp macro="">
      <xdr:nvCxnSpPr>
        <xdr:cNvPr id="124" name="直線コネクタ 123"/>
        <xdr:cNvCxnSpPr/>
      </xdr:nvCxnSpPr>
      <xdr:spPr>
        <a:xfrm>
          <a:off x="5170714" y="2966358"/>
          <a:ext cx="13335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38</xdr:row>
      <xdr:rowOff>136071</xdr:rowOff>
    </xdr:from>
    <xdr:to>
      <xdr:col>51</xdr:col>
      <xdr:colOff>54428</xdr:colOff>
      <xdr:row>38</xdr:row>
      <xdr:rowOff>136071</xdr:rowOff>
    </xdr:to>
    <xdr:cxnSp macro="">
      <xdr:nvCxnSpPr>
        <xdr:cNvPr id="125" name="直線コネクタ 124"/>
        <xdr:cNvCxnSpPr/>
      </xdr:nvCxnSpPr>
      <xdr:spPr>
        <a:xfrm>
          <a:off x="4572000" y="3388178"/>
          <a:ext cx="99332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35</xdr:row>
      <xdr:rowOff>212912</xdr:rowOff>
    </xdr:from>
    <xdr:to>
      <xdr:col>48</xdr:col>
      <xdr:colOff>0</xdr:colOff>
      <xdr:row>35</xdr:row>
      <xdr:rowOff>212912</xdr:rowOff>
    </xdr:to>
    <xdr:cxnSp macro="">
      <xdr:nvCxnSpPr>
        <xdr:cNvPr id="133" name="直線コネクタ 132"/>
        <xdr:cNvCxnSpPr/>
      </xdr:nvCxnSpPr>
      <xdr:spPr>
        <a:xfrm>
          <a:off x="4572000" y="2281198"/>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36</xdr:row>
      <xdr:rowOff>148078</xdr:rowOff>
    </xdr:from>
    <xdr:to>
      <xdr:col>49</xdr:col>
      <xdr:colOff>176893</xdr:colOff>
      <xdr:row>36</xdr:row>
      <xdr:rowOff>148078</xdr:rowOff>
    </xdr:to>
    <xdr:cxnSp macro="">
      <xdr:nvCxnSpPr>
        <xdr:cNvPr id="136" name="直線コネクタ 135"/>
        <xdr:cNvCxnSpPr/>
      </xdr:nvCxnSpPr>
      <xdr:spPr>
        <a:xfrm>
          <a:off x="4572000" y="2910328"/>
          <a:ext cx="489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34</xdr:row>
      <xdr:rowOff>212912</xdr:rowOff>
    </xdr:from>
    <xdr:to>
      <xdr:col>48</xdr:col>
      <xdr:colOff>0</xdr:colOff>
      <xdr:row>34</xdr:row>
      <xdr:rowOff>212912</xdr:rowOff>
    </xdr:to>
    <xdr:cxnSp macro="">
      <xdr:nvCxnSpPr>
        <xdr:cNvPr id="142" name="直線コネクタ 141"/>
        <xdr:cNvCxnSpPr/>
      </xdr:nvCxnSpPr>
      <xdr:spPr>
        <a:xfrm>
          <a:off x="4459941" y="3160059"/>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37</xdr:row>
      <xdr:rowOff>122464</xdr:rowOff>
    </xdr:from>
    <xdr:to>
      <xdr:col>50</xdr:col>
      <xdr:colOff>123264</xdr:colOff>
      <xdr:row>37</xdr:row>
      <xdr:rowOff>122464</xdr:rowOff>
    </xdr:to>
    <xdr:cxnSp macro="">
      <xdr:nvCxnSpPr>
        <xdr:cNvPr id="143" name="直線コネクタ 142"/>
        <xdr:cNvCxnSpPr/>
      </xdr:nvCxnSpPr>
      <xdr:spPr>
        <a:xfrm>
          <a:off x="4459941" y="2643788"/>
          <a:ext cx="75079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125</xdr:row>
      <xdr:rowOff>136069</xdr:rowOff>
    </xdr:from>
    <xdr:to>
      <xdr:col>51</xdr:col>
      <xdr:colOff>68036</xdr:colOff>
      <xdr:row>125</xdr:row>
      <xdr:rowOff>136069</xdr:rowOff>
    </xdr:to>
    <xdr:cxnSp macro="">
      <xdr:nvCxnSpPr>
        <xdr:cNvPr id="140" name="直線コネクタ 139"/>
        <xdr:cNvCxnSpPr/>
      </xdr:nvCxnSpPr>
      <xdr:spPr>
        <a:xfrm>
          <a:off x="4572000" y="6327319"/>
          <a:ext cx="10069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0</xdr:colOff>
      <xdr:row>118</xdr:row>
      <xdr:rowOff>136071</xdr:rowOff>
    </xdr:from>
    <xdr:to>
      <xdr:col>48</xdr:col>
      <xdr:colOff>258536</xdr:colOff>
      <xdr:row>118</xdr:row>
      <xdr:rowOff>136071</xdr:rowOff>
    </xdr:to>
    <xdr:cxnSp macro="">
      <xdr:nvCxnSpPr>
        <xdr:cNvPr id="146" name="直線コネクタ 145"/>
        <xdr:cNvCxnSpPr/>
      </xdr:nvCxnSpPr>
      <xdr:spPr>
        <a:xfrm>
          <a:off x="6245679" y="6640285"/>
          <a:ext cx="4626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0</xdr:colOff>
      <xdr:row>117</xdr:row>
      <xdr:rowOff>136071</xdr:rowOff>
    </xdr:from>
    <xdr:to>
      <xdr:col>48</xdr:col>
      <xdr:colOff>272143</xdr:colOff>
      <xdr:row>117</xdr:row>
      <xdr:rowOff>136071</xdr:rowOff>
    </xdr:to>
    <xdr:cxnSp macro="">
      <xdr:nvCxnSpPr>
        <xdr:cNvPr id="147" name="直線コネクタ 146"/>
        <xdr:cNvCxnSpPr/>
      </xdr:nvCxnSpPr>
      <xdr:spPr>
        <a:xfrm>
          <a:off x="6027964" y="6395357"/>
          <a:ext cx="6939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128</xdr:row>
      <xdr:rowOff>136071</xdr:rowOff>
    </xdr:from>
    <xdr:to>
      <xdr:col>45</xdr:col>
      <xdr:colOff>262535</xdr:colOff>
      <xdr:row>128</xdr:row>
      <xdr:rowOff>136071</xdr:rowOff>
    </xdr:to>
    <xdr:cxnSp macro="">
      <xdr:nvCxnSpPr>
        <xdr:cNvPr id="131" name="直線コネクタ 130"/>
        <xdr:cNvCxnSpPr/>
      </xdr:nvCxnSpPr>
      <xdr:spPr>
        <a:xfrm>
          <a:off x="4572000" y="94433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27214</xdr:colOff>
      <xdr:row>128</xdr:row>
      <xdr:rowOff>136071</xdr:rowOff>
    </xdr:from>
    <xdr:to>
      <xdr:col>54</xdr:col>
      <xdr:colOff>0</xdr:colOff>
      <xdr:row>128</xdr:row>
      <xdr:rowOff>136071</xdr:rowOff>
    </xdr:to>
    <xdr:cxnSp macro="">
      <xdr:nvCxnSpPr>
        <xdr:cNvPr id="138" name="直線コネクタ 137"/>
        <xdr:cNvCxnSpPr/>
      </xdr:nvCxnSpPr>
      <xdr:spPr>
        <a:xfrm>
          <a:off x="7728857" y="9443357"/>
          <a:ext cx="598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13608</xdr:colOff>
      <xdr:row>134</xdr:row>
      <xdr:rowOff>136071</xdr:rowOff>
    </xdr:from>
    <xdr:to>
      <xdr:col>56</xdr:col>
      <xdr:colOff>299357</xdr:colOff>
      <xdr:row>134</xdr:row>
      <xdr:rowOff>136071</xdr:rowOff>
    </xdr:to>
    <xdr:cxnSp macro="">
      <xdr:nvCxnSpPr>
        <xdr:cNvPr id="150" name="直線コネクタ 149"/>
        <xdr:cNvCxnSpPr/>
      </xdr:nvCxnSpPr>
      <xdr:spPr>
        <a:xfrm>
          <a:off x="6218465" y="7864928"/>
          <a:ext cx="153760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0</xdr:colOff>
      <xdr:row>139</xdr:row>
      <xdr:rowOff>149678</xdr:rowOff>
    </xdr:from>
    <xdr:to>
      <xdr:col>58</xdr:col>
      <xdr:colOff>299358</xdr:colOff>
      <xdr:row>139</xdr:row>
      <xdr:rowOff>149678</xdr:rowOff>
    </xdr:to>
    <xdr:cxnSp macro="">
      <xdr:nvCxnSpPr>
        <xdr:cNvPr id="132" name="直線コネクタ 131"/>
        <xdr:cNvCxnSpPr/>
      </xdr:nvCxnSpPr>
      <xdr:spPr>
        <a:xfrm>
          <a:off x="6109607" y="6164035"/>
          <a:ext cx="6123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0</xdr:colOff>
      <xdr:row>121</xdr:row>
      <xdr:rowOff>136071</xdr:rowOff>
    </xdr:from>
    <xdr:to>
      <xdr:col>49</xdr:col>
      <xdr:colOff>272143</xdr:colOff>
      <xdr:row>121</xdr:row>
      <xdr:rowOff>136071</xdr:rowOff>
    </xdr:to>
    <xdr:cxnSp macro="">
      <xdr:nvCxnSpPr>
        <xdr:cNvPr id="153" name="直線コネクタ 152"/>
        <xdr:cNvCxnSpPr/>
      </xdr:nvCxnSpPr>
      <xdr:spPr>
        <a:xfrm>
          <a:off x="6245679" y="5905500"/>
          <a:ext cx="7892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120</xdr:row>
      <xdr:rowOff>136072</xdr:rowOff>
    </xdr:from>
    <xdr:to>
      <xdr:col>49</xdr:col>
      <xdr:colOff>163286</xdr:colOff>
      <xdr:row>120</xdr:row>
      <xdr:rowOff>136072</xdr:rowOff>
    </xdr:to>
    <xdr:cxnSp macro="">
      <xdr:nvCxnSpPr>
        <xdr:cNvPr id="154" name="直線コネクタ 153"/>
        <xdr:cNvCxnSpPr/>
      </xdr:nvCxnSpPr>
      <xdr:spPr>
        <a:xfrm>
          <a:off x="4572000" y="5592536"/>
          <a:ext cx="4762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27215</xdr:colOff>
      <xdr:row>137</xdr:row>
      <xdr:rowOff>149678</xdr:rowOff>
    </xdr:from>
    <xdr:to>
      <xdr:col>52</xdr:col>
      <xdr:colOff>273744</xdr:colOff>
      <xdr:row>137</xdr:row>
      <xdr:rowOff>149678</xdr:rowOff>
    </xdr:to>
    <xdr:cxnSp macro="">
      <xdr:nvCxnSpPr>
        <xdr:cNvPr id="155" name="直線コネクタ 154"/>
        <xdr:cNvCxnSpPr/>
      </xdr:nvCxnSpPr>
      <xdr:spPr>
        <a:xfrm>
          <a:off x="7728858" y="6408964"/>
          <a:ext cx="2465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27215</xdr:colOff>
      <xdr:row>127</xdr:row>
      <xdr:rowOff>136072</xdr:rowOff>
    </xdr:from>
    <xdr:to>
      <xdr:col>53</xdr:col>
      <xdr:colOff>54430</xdr:colOff>
      <xdr:row>127</xdr:row>
      <xdr:rowOff>136072</xdr:rowOff>
    </xdr:to>
    <xdr:cxnSp macro="">
      <xdr:nvCxnSpPr>
        <xdr:cNvPr id="156" name="直線コネクタ 155"/>
        <xdr:cNvCxnSpPr/>
      </xdr:nvCxnSpPr>
      <xdr:spPr>
        <a:xfrm>
          <a:off x="7728858" y="6885215"/>
          <a:ext cx="340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49627</xdr:colOff>
      <xdr:row>119</xdr:row>
      <xdr:rowOff>136071</xdr:rowOff>
    </xdr:from>
    <xdr:to>
      <xdr:col>49</xdr:col>
      <xdr:colOff>89647</xdr:colOff>
      <xdr:row>119</xdr:row>
      <xdr:rowOff>136071</xdr:rowOff>
    </xdr:to>
    <xdr:cxnSp macro="">
      <xdr:nvCxnSpPr>
        <xdr:cNvPr id="157" name="直線コネクタ 156"/>
        <xdr:cNvCxnSpPr/>
      </xdr:nvCxnSpPr>
      <xdr:spPr>
        <a:xfrm>
          <a:off x="4509568" y="5369218"/>
          <a:ext cx="3537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27214</xdr:colOff>
      <xdr:row>122</xdr:row>
      <xdr:rowOff>122465</xdr:rowOff>
    </xdr:from>
    <xdr:to>
      <xdr:col>49</xdr:col>
      <xdr:colOff>280147</xdr:colOff>
      <xdr:row>122</xdr:row>
      <xdr:rowOff>122465</xdr:rowOff>
    </xdr:to>
    <xdr:cxnSp macro="">
      <xdr:nvCxnSpPr>
        <xdr:cNvPr id="141" name="直線コネクタ 140"/>
        <xdr:cNvCxnSpPr/>
      </xdr:nvCxnSpPr>
      <xdr:spPr>
        <a:xfrm>
          <a:off x="6477000" y="6558644"/>
          <a:ext cx="56589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40821</xdr:colOff>
      <xdr:row>129</xdr:row>
      <xdr:rowOff>136071</xdr:rowOff>
    </xdr:from>
    <xdr:to>
      <xdr:col>55</xdr:col>
      <xdr:colOff>285750</xdr:colOff>
      <xdr:row>129</xdr:row>
      <xdr:rowOff>136071</xdr:rowOff>
    </xdr:to>
    <xdr:cxnSp macro="">
      <xdr:nvCxnSpPr>
        <xdr:cNvPr id="152" name="直線コネクタ 151"/>
        <xdr:cNvCxnSpPr/>
      </xdr:nvCxnSpPr>
      <xdr:spPr>
        <a:xfrm>
          <a:off x="7742464" y="11225892"/>
          <a:ext cx="11838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133</xdr:row>
      <xdr:rowOff>136071</xdr:rowOff>
    </xdr:from>
    <xdr:to>
      <xdr:col>45</xdr:col>
      <xdr:colOff>262535</xdr:colOff>
      <xdr:row>133</xdr:row>
      <xdr:rowOff>136071</xdr:rowOff>
    </xdr:to>
    <xdr:cxnSp macro="">
      <xdr:nvCxnSpPr>
        <xdr:cNvPr id="118" name="直線コネクタ 117"/>
        <xdr:cNvCxnSpPr/>
      </xdr:nvCxnSpPr>
      <xdr:spPr>
        <a:xfrm>
          <a:off x="4572000" y="9756321"/>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40822</xdr:colOff>
      <xdr:row>133</xdr:row>
      <xdr:rowOff>136071</xdr:rowOff>
    </xdr:from>
    <xdr:to>
      <xdr:col>56</xdr:col>
      <xdr:colOff>285750</xdr:colOff>
      <xdr:row>133</xdr:row>
      <xdr:rowOff>136071</xdr:rowOff>
    </xdr:to>
    <xdr:cxnSp macro="">
      <xdr:nvCxnSpPr>
        <xdr:cNvPr id="121" name="直線コネクタ 120"/>
        <xdr:cNvCxnSpPr/>
      </xdr:nvCxnSpPr>
      <xdr:spPr>
        <a:xfrm>
          <a:off x="6177643" y="8776607"/>
          <a:ext cx="118382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136070</xdr:colOff>
      <xdr:row>131</xdr:row>
      <xdr:rowOff>136071</xdr:rowOff>
    </xdr:from>
    <xdr:to>
      <xdr:col>52</xdr:col>
      <xdr:colOff>95250</xdr:colOff>
      <xdr:row>131</xdr:row>
      <xdr:rowOff>136071</xdr:rowOff>
    </xdr:to>
    <xdr:cxnSp macro="">
      <xdr:nvCxnSpPr>
        <xdr:cNvPr id="122" name="直線コネクタ 121"/>
        <xdr:cNvCxnSpPr/>
      </xdr:nvCxnSpPr>
      <xdr:spPr>
        <a:xfrm>
          <a:off x="5333999" y="7551964"/>
          <a:ext cx="5851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95250</xdr:colOff>
      <xdr:row>131</xdr:row>
      <xdr:rowOff>136073</xdr:rowOff>
    </xdr:from>
    <xdr:to>
      <xdr:col>56</xdr:col>
      <xdr:colOff>217715</xdr:colOff>
      <xdr:row>131</xdr:row>
      <xdr:rowOff>136073</xdr:rowOff>
    </xdr:to>
    <xdr:cxnSp macro="">
      <xdr:nvCxnSpPr>
        <xdr:cNvPr id="123" name="直線コネクタ 122"/>
        <xdr:cNvCxnSpPr/>
      </xdr:nvCxnSpPr>
      <xdr:spPr>
        <a:xfrm>
          <a:off x="6858000" y="7551966"/>
          <a:ext cx="435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41</xdr:row>
      <xdr:rowOff>136070</xdr:rowOff>
    </xdr:from>
    <xdr:to>
      <xdr:col>66</xdr:col>
      <xdr:colOff>40821</xdr:colOff>
      <xdr:row>41</xdr:row>
      <xdr:rowOff>136070</xdr:rowOff>
    </xdr:to>
    <xdr:cxnSp macro="">
      <xdr:nvCxnSpPr>
        <xdr:cNvPr id="126" name="直線コネクタ 125"/>
        <xdr:cNvCxnSpPr/>
      </xdr:nvCxnSpPr>
      <xdr:spPr>
        <a:xfrm>
          <a:off x="5170714" y="3347356"/>
          <a:ext cx="191860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27214</xdr:colOff>
      <xdr:row>126</xdr:row>
      <xdr:rowOff>136071</xdr:rowOff>
    </xdr:from>
    <xdr:to>
      <xdr:col>51</xdr:col>
      <xdr:colOff>190500</xdr:colOff>
      <xdr:row>126</xdr:row>
      <xdr:rowOff>136071</xdr:rowOff>
    </xdr:to>
    <xdr:cxnSp macro="">
      <xdr:nvCxnSpPr>
        <xdr:cNvPr id="127" name="直線コネクタ 126"/>
        <xdr:cNvCxnSpPr/>
      </xdr:nvCxnSpPr>
      <xdr:spPr>
        <a:xfrm>
          <a:off x="5225143" y="6327321"/>
          <a:ext cx="4762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162</xdr:col>
      <xdr:colOff>101495</xdr:colOff>
      <xdr:row>3</xdr:row>
      <xdr:rowOff>4804</xdr:rowOff>
    </xdr:from>
    <xdr:to>
      <xdr:col>162</xdr:col>
      <xdr:colOff>120900</xdr:colOff>
      <xdr:row>351</xdr:row>
      <xdr:rowOff>161526</xdr:rowOff>
    </xdr:to>
    <xdr:cxnSp macro="">
      <xdr:nvCxnSpPr>
        <xdr:cNvPr id="7" name="直線コネクタ 6"/>
        <xdr:cNvCxnSpPr/>
      </xdr:nvCxnSpPr>
      <xdr:spPr bwMode="auto">
        <a:xfrm flipH="1">
          <a:off x="8456281" y="603518"/>
          <a:ext cx="19405" cy="9831401"/>
        </a:xfrm>
        <a:prstGeom prst="line">
          <a:avLst/>
        </a:prstGeom>
        <a:solidFill>
          <a:srgbClr val="090000"/>
        </a:solidFill>
        <a:ln w="38100" cap="flat" cmpd="sng" algn="ctr">
          <a:solidFill>
            <a:srgbClr val="0070C0"/>
          </a:solidFill>
          <a:prstDash val="sysDash"/>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50</xdr:col>
      <xdr:colOff>217714</xdr:colOff>
      <xdr:row>41</xdr:row>
      <xdr:rowOff>149679</xdr:rowOff>
    </xdr:from>
    <xdr:to>
      <xdr:col>51</xdr:col>
      <xdr:colOff>176893</xdr:colOff>
      <xdr:row>41</xdr:row>
      <xdr:rowOff>149679</xdr:rowOff>
    </xdr:to>
    <xdr:cxnSp macro="">
      <xdr:nvCxnSpPr>
        <xdr:cNvPr id="129" name="直線コネクタ 128"/>
        <xdr:cNvCxnSpPr/>
      </xdr:nvCxnSpPr>
      <xdr:spPr>
        <a:xfrm>
          <a:off x="5415643" y="3891643"/>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130</xdr:row>
      <xdr:rowOff>136071</xdr:rowOff>
    </xdr:from>
    <xdr:to>
      <xdr:col>45</xdr:col>
      <xdr:colOff>262535</xdr:colOff>
      <xdr:row>130</xdr:row>
      <xdr:rowOff>136071</xdr:rowOff>
    </xdr:to>
    <xdr:cxnSp macro="">
      <xdr:nvCxnSpPr>
        <xdr:cNvPr id="128" name="直線コネクタ 127"/>
        <xdr:cNvCxnSpPr/>
      </xdr:nvCxnSpPr>
      <xdr:spPr>
        <a:xfrm>
          <a:off x="4572000" y="7796892"/>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27214</xdr:colOff>
      <xdr:row>130</xdr:row>
      <xdr:rowOff>136071</xdr:rowOff>
    </xdr:from>
    <xdr:to>
      <xdr:col>55</xdr:col>
      <xdr:colOff>299357</xdr:colOff>
      <xdr:row>130</xdr:row>
      <xdr:rowOff>136071</xdr:rowOff>
    </xdr:to>
    <xdr:cxnSp macro="">
      <xdr:nvCxnSpPr>
        <xdr:cNvPr id="130" name="直線コネクタ 129"/>
        <xdr:cNvCxnSpPr/>
      </xdr:nvCxnSpPr>
      <xdr:spPr>
        <a:xfrm>
          <a:off x="5851071" y="8286750"/>
          <a:ext cx="1211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0</xdr:colOff>
      <xdr:row>40</xdr:row>
      <xdr:rowOff>149678</xdr:rowOff>
    </xdr:from>
    <xdr:to>
      <xdr:col>66</xdr:col>
      <xdr:colOff>54429</xdr:colOff>
      <xdr:row>40</xdr:row>
      <xdr:rowOff>149678</xdr:rowOff>
    </xdr:to>
    <xdr:cxnSp macro="">
      <xdr:nvCxnSpPr>
        <xdr:cNvPr id="134" name="直線コネクタ 133"/>
        <xdr:cNvCxnSpPr/>
      </xdr:nvCxnSpPr>
      <xdr:spPr>
        <a:xfrm>
          <a:off x="6109607" y="3605892"/>
          <a:ext cx="9933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15</xdr:row>
      <xdr:rowOff>208107</xdr:rowOff>
    </xdr:from>
    <xdr:to>
      <xdr:col>112</xdr:col>
      <xdr:colOff>285750</xdr:colOff>
      <xdr:row>15</xdr:row>
      <xdr:rowOff>208107</xdr:rowOff>
    </xdr:to>
    <xdr:cxnSp macro="">
      <xdr:nvCxnSpPr>
        <xdr:cNvPr id="151" name="直線コネクタ 150"/>
        <xdr:cNvCxnSpPr/>
      </xdr:nvCxnSpPr>
      <xdr:spPr>
        <a:xfrm>
          <a:off x="6504214" y="1296678"/>
          <a:ext cx="1755322"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15</xdr:row>
      <xdr:rowOff>231321</xdr:rowOff>
    </xdr:from>
    <xdr:to>
      <xdr:col>75</xdr:col>
      <xdr:colOff>258536</xdr:colOff>
      <xdr:row>15</xdr:row>
      <xdr:rowOff>231321</xdr:rowOff>
    </xdr:to>
    <xdr:cxnSp macro="">
      <xdr:nvCxnSpPr>
        <xdr:cNvPr id="158" name="直線コネクタ 157"/>
        <xdr:cNvCxnSpPr/>
      </xdr:nvCxnSpPr>
      <xdr:spPr>
        <a:xfrm>
          <a:off x="5402036" y="2054678"/>
          <a:ext cx="3075214"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136070</xdr:colOff>
      <xdr:row>140</xdr:row>
      <xdr:rowOff>136071</xdr:rowOff>
    </xdr:from>
    <xdr:to>
      <xdr:col>59</xdr:col>
      <xdr:colOff>0</xdr:colOff>
      <xdr:row>140</xdr:row>
      <xdr:rowOff>136071</xdr:rowOff>
    </xdr:to>
    <xdr:cxnSp macro="">
      <xdr:nvCxnSpPr>
        <xdr:cNvPr id="120" name="直線コネクタ 119"/>
        <xdr:cNvCxnSpPr/>
      </xdr:nvCxnSpPr>
      <xdr:spPr>
        <a:xfrm>
          <a:off x="5619749" y="6885214"/>
          <a:ext cx="11157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95250</xdr:colOff>
      <xdr:row>132</xdr:row>
      <xdr:rowOff>136071</xdr:rowOff>
    </xdr:from>
    <xdr:to>
      <xdr:col>56</xdr:col>
      <xdr:colOff>217715</xdr:colOff>
      <xdr:row>132</xdr:row>
      <xdr:rowOff>136071</xdr:rowOff>
    </xdr:to>
    <xdr:cxnSp macro="">
      <xdr:nvCxnSpPr>
        <xdr:cNvPr id="135" name="直線コネクタ 134"/>
        <xdr:cNvCxnSpPr/>
      </xdr:nvCxnSpPr>
      <xdr:spPr>
        <a:xfrm>
          <a:off x="5578929" y="6885214"/>
          <a:ext cx="435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136071</xdr:colOff>
      <xdr:row>135</xdr:row>
      <xdr:rowOff>136071</xdr:rowOff>
    </xdr:from>
    <xdr:to>
      <xdr:col>57</xdr:col>
      <xdr:colOff>190500</xdr:colOff>
      <xdr:row>135</xdr:row>
      <xdr:rowOff>136071</xdr:rowOff>
    </xdr:to>
    <xdr:cxnSp macro="">
      <xdr:nvCxnSpPr>
        <xdr:cNvPr id="139" name="直線コネクタ 138"/>
        <xdr:cNvCxnSpPr/>
      </xdr:nvCxnSpPr>
      <xdr:spPr>
        <a:xfrm>
          <a:off x="5619750" y="8844642"/>
          <a:ext cx="6803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176893</xdr:colOff>
      <xdr:row>136</xdr:row>
      <xdr:rowOff>136072</xdr:rowOff>
    </xdr:from>
    <xdr:to>
      <xdr:col>58</xdr:col>
      <xdr:colOff>81643</xdr:colOff>
      <xdr:row>136</xdr:row>
      <xdr:rowOff>136072</xdr:rowOff>
    </xdr:to>
    <xdr:cxnSp macro="">
      <xdr:nvCxnSpPr>
        <xdr:cNvPr id="145" name="直線コネクタ 144"/>
        <xdr:cNvCxnSpPr/>
      </xdr:nvCxnSpPr>
      <xdr:spPr>
        <a:xfrm>
          <a:off x="5973536" y="6395358"/>
          <a:ext cx="530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136071</xdr:colOff>
      <xdr:row>137</xdr:row>
      <xdr:rowOff>136071</xdr:rowOff>
    </xdr:from>
    <xdr:to>
      <xdr:col>58</xdr:col>
      <xdr:colOff>68036</xdr:colOff>
      <xdr:row>137</xdr:row>
      <xdr:rowOff>136071</xdr:rowOff>
    </xdr:to>
    <xdr:cxnSp macro="">
      <xdr:nvCxnSpPr>
        <xdr:cNvPr id="159" name="直線コネクタ 158"/>
        <xdr:cNvCxnSpPr/>
      </xdr:nvCxnSpPr>
      <xdr:spPr>
        <a:xfrm>
          <a:off x="5932714" y="5905500"/>
          <a:ext cx="5578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280148</xdr:colOff>
      <xdr:row>42</xdr:row>
      <xdr:rowOff>127267</xdr:rowOff>
    </xdr:from>
    <xdr:to>
      <xdr:col>73</xdr:col>
      <xdr:colOff>285750</xdr:colOff>
      <xdr:row>42</xdr:row>
      <xdr:rowOff>127267</xdr:rowOff>
    </xdr:to>
    <xdr:cxnSp macro="">
      <xdr:nvCxnSpPr>
        <xdr:cNvPr id="160" name="直線コネクタ 159"/>
        <xdr:cNvCxnSpPr/>
      </xdr:nvCxnSpPr>
      <xdr:spPr>
        <a:xfrm>
          <a:off x="5995148" y="2576553"/>
          <a:ext cx="188338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108857</xdr:colOff>
      <xdr:row>138</xdr:row>
      <xdr:rowOff>122465</xdr:rowOff>
    </xdr:from>
    <xdr:to>
      <xdr:col>58</xdr:col>
      <xdr:colOff>40822</xdr:colOff>
      <xdr:row>138</xdr:row>
      <xdr:rowOff>122465</xdr:rowOff>
    </xdr:to>
    <xdr:cxnSp macro="">
      <xdr:nvCxnSpPr>
        <xdr:cNvPr id="161" name="直線コネクタ 160"/>
        <xdr:cNvCxnSpPr/>
      </xdr:nvCxnSpPr>
      <xdr:spPr>
        <a:xfrm>
          <a:off x="5905500" y="6626679"/>
          <a:ext cx="5578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144</xdr:row>
      <xdr:rowOff>136072</xdr:rowOff>
    </xdr:from>
    <xdr:to>
      <xdr:col>61</xdr:col>
      <xdr:colOff>0</xdr:colOff>
      <xdr:row>144</xdr:row>
      <xdr:rowOff>136072</xdr:rowOff>
    </xdr:to>
    <xdr:cxnSp macro="">
      <xdr:nvCxnSpPr>
        <xdr:cNvPr id="170" name="直線コネクタ 169"/>
        <xdr:cNvCxnSpPr/>
      </xdr:nvCxnSpPr>
      <xdr:spPr>
        <a:xfrm>
          <a:off x="6449786" y="5415643"/>
          <a:ext cx="911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141</xdr:row>
      <xdr:rowOff>136071</xdr:rowOff>
    </xdr:from>
    <xdr:to>
      <xdr:col>59</xdr:col>
      <xdr:colOff>299358</xdr:colOff>
      <xdr:row>141</xdr:row>
      <xdr:rowOff>136071</xdr:rowOff>
    </xdr:to>
    <xdr:cxnSp macro="">
      <xdr:nvCxnSpPr>
        <xdr:cNvPr id="171" name="直線コネクタ 170"/>
        <xdr:cNvCxnSpPr/>
      </xdr:nvCxnSpPr>
      <xdr:spPr>
        <a:xfrm>
          <a:off x="6449786" y="7375071"/>
          <a:ext cx="5851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145</xdr:row>
      <xdr:rowOff>136070</xdr:rowOff>
    </xdr:from>
    <xdr:to>
      <xdr:col>62</xdr:col>
      <xdr:colOff>0</xdr:colOff>
      <xdr:row>145</xdr:row>
      <xdr:rowOff>136070</xdr:rowOff>
    </xdr:to>
    <xdr:cxnSp macro="">
      <xdr:nvCxnSpPr>
        <xdr:cNvPr id="172" name="直線コネクタ 171"/>
        <xdr:cNvCxnSpPr/>
      </xdr:nvCxnSpPr>
      <xdr:spPr>
        <a:xfrm>
          <a:off x="5170714" y="6041570"/>
          <a:ext cx="6259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143</xdr:row>
      <xdr:rowOff>136071</xdr:rowOff>
    </xdr:from>
    <xdr:to>
      <xdr:col>60</xdr:col>
      <xdr:colOff>285750</xdr:colOff>
      <xdr:row>143</xdr:row>
      <xdr:rowOff>136071</xdr:rowOff>
    </xdr:to>
    <xdr:cxnSp macro="">
      <xdr:nvCxnSpPr>
        <xdr:cNvPr id="168" name="直線コネクタ 167"/>
        <xdr:cNvCxnSpPr/>
      </xdr:nvCxnSpPr>
      <xdr:spPr>
        <a:xfrm>
          <a:off x="6449786" y="4925785"/>
          <a:ext cx="88446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142</xdr:row>
      <xdr:rowOff>136071</xdr:rowOff>
    </xdr:from>
    <xdr:to>
      <xdr:col>60</xdr:col>
      <xdr:colOff>231321</xdr:colOff>
      <xdr:row>142</xdr:row>
      <xdr:rowOff>136071</xdr:rowOff>
    </xdr:to>
    <xdr:cxnSp macro="">
      <xdr:nvCxnSpPr>
        <xdr:cNvPr id="169" name="直線コネクタ 168"/>
        <xdr:cNvCxnSpPr/>
      </xdr:nvCxnSpPr>
      <xdr:spPr>
        <a:xfrm>
          <a:off x="6449786" y="4925785"/>
          <a:ext cx="83003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217714</xdr:colOff>
      <xdr:row>47</xdr:row>
      <xdr:rowOff>149679</xdr:rowOff>
    </xdr:from>
    <xdr:to>
      <xdr:col>51</xdr:col>
      <xdr:colOff>176893</xdr:colOff>
      <xdr:row>47</xdr:row>
      <xdr:rowOff>149679</xdr:rowOff>
    </xdr:to>
    <xdr:cxnSp macro="">
      <xdr:nvCxnSpPr>
        <xdr:cNvPr id="174" name="直線コネクタ 173"/>
        <xdr:cNvCxnSpPr/>
      </xdr:nvCxnSpPr>
      <xdr:spPr>
        <a:xfrm>
          <a:off x="5170714" y="3224893"/>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146</xdr:row>
      <xdr:rowOff>134471</xdr:rowOff>
    </xdr:from>
    <xdr:to>
      <xdr:col>61</xdr:col>
      <xdr:colOff>299357</xdr:colOff>
      <xdr:row>146</xdr:row>
      <xdr:rowOff>134471</xdr:rowOff>
    </xdr:to>
    <xdr:cxnSp macro="">
      <xdr:nvCxnSpPr>
        <xdr:cNvPr id="164" name="直線コネクタ 163"/>
        <xdr:cNvCxnSpPr/>
      </xdr:nvCxnSpPr>
      <xdr:spPr>
        <a:xfrm>
          <a:off x="5170714" y="6284900"/>
          <a:ext cx="6123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122465</xdr:colOff>
      <xdr:row>147</xdr:row>
      <xdr:rowOff>136072</xdr:rowOff>
    </xdr:from>
    <xdr:to>
      <xdr:col>62</xdr:col>
      <xdr:colOff>81644</xdr:colOff>
      <xdr:row>147</xdr:row>
      <xdr:rowOff>136072</xdr:rowOff>
    </xdr:to>
    <xdr:cxnSp macro="">
      <xdr:nvCxnSpPr>
        <xdr:cNvPr id="166" name="直線コネクタ 165"/>
        <xdr:cNvCxnSpPr/>
      </xdr:nvCxnSpPr>
      <xdr:spPr>
        <a:xfrm>
          <a:off x="7170965" y="6395358"/>
          <a:ext cx="5851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163286</xdr:colOff>
      <xdr:row>154</xdr:row>
      <xdr:rowOff>149679</xdr:rowOff>
    </xdr:from>
    <xdr:to>
      <xdr:col>65</xdr:col>
      <xdr:colOff>299358</xdr:colOff>
      <xdr:row>154</xdr:row>
      <xdr:rowOff>149679</xdr:rowOff>
    </xdr:to>
    <xdr:cxnSp macro="">
      <xdr:nvCxnSpPr>
        <xdr:cNvPr id="175" name="直線コネクタ 174"/>
        <xdr:cNvCxnSpPr/>
      </xdr:nvCxnSpPr>
      <xdr:spPr>
        <a:xfrm>
          <a:off x="7524750" y="7388679"/>
          <a:ext cx="13879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168</xdr:row>
      <xdr:rowOff>136071</xdr:rowOff>
    </xdr:from>
    <xdr:to>
      <xdr:col>45</xdr:col>
      <xdr:colOff>262535</xdr:colOff>
      <xdr:row>168</xdr:row>
      <xdr:rowOff>136071</xdr:rowOff>
    </xdr:to>
    <xdr:cxnSp macro="">
      <xdr:nvCxnSpPr>
        <xdr:cNvPr id="137" name="直線コネクタ 136"/>
        <xdr:cNvCxnSpPr/>
      </xdr:nvCxnSpPr>
      <xdr:spPr>
        <a:xfrm>
          <a:off x="5170714" y="87357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168</xdr:row>
      <xdr:rowOff>136071</xdr:rowOff>
    </xdr:from>
    <xdr:to>
      <xdr:col>45</xdr:col>
      <xdr:colOff>262535</xdr:colOff>
      <xdr:row>168</xdr:row>
      <xdr:rowOff>136071</xdr:rowOff>
    </xdr:to>
    <xdr:cxnSp macro="">
      <xdr:nvCxnSpPr>
        <xdr:cNvPr id="149" name="直線コネクタ 148"/>
        <xdr:cNvCxnSpPr/>
      </xdr:nvCxnSpPr>
      <xdr:spPr>
        <a:xfrm>
          <a:off x="5170714" y="87357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148</xdr:row>
      <xdr:rowOff>136071</xdr:rowOff>
    </xdr:from>
    <xdr:to>
      <xdr:col>45</xdr:col>
      <xdr:colOff>262535</xdr:colOff>
      <xdr:row>148</xdr:row>
      <xdr:rowOff>136071</xdr:rowOff>
    </xdr:to>
    <xdr:cxnSp macro="">
      <xdr:nvCxnSpPr>
        <xdr:cNvPr id="179" name="直線コネクタ 178"/>
        <xdr:cNvCxnSpPr/>
      </xdr:nvCxnSpPr>
      <xdr:spPr>
        <a:xfrm>
          <a:off x="5170714" y="87357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148</xdr:row>
      <xdr:rowOff>136071</xdr:rowOff>
    </xdr:from>
    <xdr:to>
      <xdr:col>45</xdr:col>
      <xdr:colOff>262535</xdr:colOff>
      <xdr:row>148</xdr:row>
      <xdr:rowOff>136071</xdr:rowOff>
    </xdr:to>
    <xdr:cxnSp macro="">
      <xdr:nvCxnSpPr>
        <xdr:cNvPr id="180" name="直線コネクタ 179"/>
        <xdr:cNvCxnSpPr/>
      </xdr:nvCxnSpPr>
      <xdr:spPr>
        <a:xfrm>
          <a:off x="5170714" y="87357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166</xdr:row>
      <xdr:rowOff>136071</xdr:rowOff>
    </xdr:from>
    <xdr:to>
      <xdr:col>45</xdr:col>
      <xdr:colOff>262535</xdr:colOff>
      <xdr:row>166</xdr:row>
      <xdr:rowOff>136071</xdr:rowOff>
    </xdr:to>
    <xdr:cxnSp macro="">
      <xdr:nvCxnSpPr>
        <xdr:cNvPr id="181" name="直線コネクタ 180"/>
        <xdr:cNvCxnSpPr/>
      </xdr:nvCxnSpPr>
      <xdr:spPr>
        <a:xfrm>
          <a:off x="5170714" y="87357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166</xdr:row>
      <xdr:rowOff>136071</xdr:rowOff>
    </xdr:from>
    <xdr:to>
      <xdr:col>45</xdr:col>
      <xdr:colOff>262535</xdr:colOff>
      <xdr:row>166</xdr:row>
      <xdr:rowOff>136071</xdr:rowOff>
    </xdr:to>
    <xdr:cxnSp macro="">
      <xdr:nvCxnSpPr>
        <xdr:cNvPr id="182" name="直線コネクタ 181"/>
        <xdr:cNvCxnSpPr/>
      </xdr:nvCxnSpPr>
      <xdr:spPr>
        <a:xfrm>
          <a:off x="5170714" y="87357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231322</xdr:colOff>
      <xdr:row>148</xdr:row>
      <xdr:rowOff>122464</xdr:rowOff>
    </xdr:from>
    <xdr:to>
      <xdr:col>63</xdr:col>
      <xdr:colOff>190502</xdr:colOff>
      <xdr:row>148</xdr:row>
      <xdr:rowOff>122464</xdr:rowOff>
    </xdr:to>
    <xdr:cxnSp macro="">
      <xdr:nvCxnSpPr>
        <xdr:cNvPr id="184" name="直線コネクタ 183"/>
        <xdr:cNvCxnSpPr/>
      </xdr:nvCxnSpPr>
      <xdr:spPr>
        <a:xfrm>
          <a:off x="5715001" y="7252607"/>
          <a:ext cx="5851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190500</xdr:colOff>
      <xdr:row>166</xdr:row>
      <xdr:rowOff>136071</xdr:rowOff>
    </xdr:from>
    <xdr:to>
      <xdr:col>62</xdr:col>
      <xdr:colOff>149678</xdr:colOff>
      <xdr:row>166</xdr:row>
      <xdr:rowOff>136071</xdr:rowOff>
    </xdr:to>
    <xdr:cxnSp macro="">
      <xdr:nvCxnSpPr>
        <xdr:cNvPr id="185" name="直線コネクタ 184"/>
        <xdr:cNvCxnSpPr/>
      </xdr:nvCxnSpPr>
      <xdr:spPr>
        <a:xfrm>
          <a:off x="5674179" y="7756071"/>
          <a:ext cx="2721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231322</xdr:colOff>
      <xdr:row>151</xdr:row>
      <xdr:rowOff>149679</xdr:rowOff>
    </xdr:from>
    <xdr:to>
      <xdr:col>65</xdr:col>
      <xdr:colOff>299358</xdr:colOff>
      <xdr:row>151</xdr:row>
      <xdr:rowOff>149679</xdr:rowOff>
    </xdr:to>
    <xdr:cxnSp macro="">
      <xdr:nvCxnSpPr>
        <xdr:cNvPr id="187" name="直線コネクタ 186"/>
        <xdr:cNvCxnSpPr/>
      </xdr:nvCxnSpPr>
      <xdr:spPr>
        <a:xfrm>
          <a:off x="6340929" y="8994322"/>
          <a:ext cx="6939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204107</xdr:colOff>
      <xdr:row>150</xdr:row>
      <xdr:rowOff>149679</xdr:rowOff>
    </xdr:from>
    <xdr:to>
      <xdr:col>64</xdr:col>
      <xdr:colOff>272144</xdr:colOff>
      <xdr:row>150</xdr:row>
      <xdr:rowOff>149679</xdr:rowOff>
    </xdr:to>
    <xdr:cxnSp macro="">
      <xdr:nvCxnSpPr>
        <xdr:cNvPr id="189" name="直線コネクタ 188"/>
        <xdr:cNvCxnSpPr/>
      </xdr:nvCxnSpPr>
      <xdr:spPr>
        <a:xfrm>
          <a:off x="6000750" y="8259536"/>
          <a:ext cx="6939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108858</xdr:colOff>
      <xdr:row>166</xdr:row>
      <xdr:rowOff>138473</xdr:rowOff>
    </xdr:from>
    <xdr:to>
      <xdr:col>73</xdr:col>
      <xdr:colOff>113659</xdr:colOff>
      <xdr:row>166</xdr:row>
      <xdr:rowOff>138473</xdr:rowOff>
    </xdr:to>
    <xdr:cxnSp macro="">
      <xdr:nvCxnSpPr>
        <xdr:cNvPr id="190" name="直線コネクタ 189"/>
        <xdr:cNvCxnSpPr/>
      </xdr:nvCxnSpPr>
      <xdr:spPr>
        <a:xfrm>
          <a:off x="7388679" y="3812402"/>
          <a:ext cx="31776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13607</xdr:colOff>
      <xdr:row>157</xdr:row>
      <xdr:rowOff>136071</xdr:rowOff>
    </xdr:from>
    <xdr:to>
      <xdr:col>66</xdr:col>
      <xdr:colOff>299357</xdr:colOff>
      <xdr:row>157</xdr:row>
      <xdr:rowOff>136071</xdr:rowOff>
    </xdr:to>
    <xdr:cxnSp macro="">
      <xdr:nvCxnSpPr>
        <xdr:cNvPr id="191" name="直線コネクタ 190"/>
        <xdr:cNvCxnSpPr/>
      </xdr:nvCxnSpPr>
      <xdr:spPr>
        <a:xfrm>
          <a:off x="6123214" y="7266214"/>
          <a:ext cx="12246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40822</xdr:colOff>
      <xdr:row>149</xdr:row>
      <xdr:rowOff>136072</xdr:rowOff>
    </xdr:from>
    <xdr:to>
      <xdr:col>64</xdr:col>
      <xdr:colOff>272142</xdr:colOff>
      <xdr:row>149</xdr:row>
      <xdr:rowOff>136072</xdr:rowOff>
    </xdr:to>
    <xdr:cxnSp macro="">
      <xdr:nvCxnSpPr>
        <xdr:cNvPr id="192" name="直線コネクタ 191"/>
        <xdr:cNvCxnSpPr/>
      </xdr:nvCxnSpPr>
      <xdr:spPr>
        <a:xfrm>
          <a:off x="6150429" y="8735786"/>
          <a:ext cx="54428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13609</xdr:colOff>
      <xdr:row>12</xdr:row>
      <xdr:rowOff>204107</xdr:rowOff>
    </xdr:from>
    <xdr:to>
      <xdr:col>66</xdr:col>
      <xdr:colOff>285751</xdr:colOff>
      <xdr:row>12</xdr:row>
      <xdr:rowOff>204107</xdr:rowOff>
    </xdr:to>
    <xdr:cxnSp macro="">
      <xdr:nvCxnSpPr>
        <xdr:cNvPr id="188" name="直線コネクタ 187"/>
        <xdr:cNvCxnSpPr/>
      </xdr:nvCxnSpPr>
      <xdr:spPr>
        <a:xfrm>
          <a:off x="6636285" y="2165136"/>
          <a:ext cx="585907"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13607</xdr:colOff>
      <xdr:row>152</xdr:row>
      <xdr:rowOff>149679</xdr:rowOff>
    </xdr:from>
    <xdr:to>
      <xdr:col>65</xdr:col>
      <xdr:colOff>299358</xdr:colOff>
      <xdr:row>152</xdr:row>
      <xdr:rowOff>149679</xdr:rowOff>
    </xdr:to>
    <xdr:cxnSp macro="">
      <xdr:nvCxnSpPr>
        <xdr:cNvPr id="195" name="直線コネクタ 194"/>
        <xdr:cNvCxnSpPr/>
      </xdr:nvCxnSpPr>
      <xdr:spPr>
        <a:xfrm>
          <a:off x="6749143" y="6300108"/>
          <a:ext cx="28575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27214</xdr:colOff>
      <xdr:row>155</xdr:row>
      <xdr:rowOff>149679</xdr:rowOff>
    </xdr:from>
    <xdr:to>
      <xdr:col>67</xdr:col>
      <xdr:colOff>0</xdr:colOff>
      <xdr:row>155</xdr:row>
      <xdr:rowOff>149679</xdr:rowOff>
    </xdr:to>
    <xdr:cxnSp macro="">
      <xdr:nvCxnSpPr>
        <xdr:cNvPr id="196" name="直線コネクタ 195"/>
        <xdr:cNvCxnSpPr/>
      </xdr:nvCxnSpPr>
      <xdr:spPr>
        <a:xfrm>
          <a:off x="6762750" y="7769679"/>
          <a:ext cx="598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165</xdr:row>
      <xdr:rowOff>136071</xdr:rowOff>
    </xdr:from>
    <xdr:to>
      <xdr:col>45</xdr:col>
      <xdr:colOff>262535</xdr:colOff>
      <xdr:row>165</xdr:row>
      <xdr:rowOff>136071</xdr:rowOff>
    </xdr:to>
    <xdr:cxnSp macro="">
      <xdr:nvCxnSpPr>
        <xdr:cNvPr id="167" name="直線コネクタ 166"/>
        <xdr:cNvCxnSpPr/>
      </xdr:nvCxnSpPr>
      <xdr:spPr>
        <a:xfrm>
          <a:off x="5170714" y="9470571"/>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165</xdr:row>
      <xdr:rowOff>136071</xdr:rowOff>
    </xdr:from>
    <xdr:to>
      <xdr:col>45</xdr:col>
      <xdr:colOff>262535</xdr:colOff>
      <xdr:row>165</xdr:row>
      <xdr:rowOff>136071</xdr:rowOff>
    </xdr:to>
    <xdr:cxnSp macro="">
      <xdr:nvCxnSpPr>
        <xdr:cNvPr id="173" name="直線コネクタ 172"/>
        <xdr:cNvCxnSpPr/>
      </xdr:nvCxnSpPr>
      <xdr:spPr>
        <a:xfrm>
          <a:off x="5170714" y="9470571"/>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158563</xdr:colOff>
      <xdr:row>183</xdr:row>
      <xdr:rowOff>125667</xdr:rowOff>
    </xdr:from>
    <xdr:to>
      <xdr:col>72</xdr:col>
      <xdr:colOff>291353</xdr:colOff>
      <xdr:row>183</xdr:row>
      <xdr:rowOff>125667</xdr:rowOff>
    </xdr:to>
    <xdr:cxnSp macro="">
      <xdr:nvCxnSpPr>
        <xdr:cNvPr id="183" name="直線コネクタ 182"/>
        <xdr:cNvCxnSpPr/>
      </xdr:nvCxnSpPr>
      <xdr:spPr>
        <a:xfrm>
          <a:off x="6377828" y="4305461"/>
          <a:ext cx="107408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181</xdr:row>
      <xdr:rowOff>136071</xdr:rowOff>
    </xdr:from>
    <xdr:to>
      <xdr:col>45</xdr:col>
      <xdr:colOff>262535</xdr:colOff>
      <xdr:row>181</xdr:row>
      <xdr:rowOff>136071</xdr:rowOff>
    </xdr:to>
    <xdr:cxnSp macro="">
      <xdr:nvCxnSpPr>
        <xdr:cNvPr id="193" name="直線コネクタ 192"/>
        <xdr:cNvCxnSpPr/>
      </xdr:nvCxnSpPr>
      <xdr:spPr>
        <a:xfrm>
          <a:off x="5053853" y="976192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181</xdr:row>
      <xdr:rowOff>136071</xdr:rowOff>
    </xdr:from>
    <xdr:to>
      <xdr:col>45</xdr:col>
      <xdr:colOff>262535</xdr:colOff>
      <xdr:row>181</xdr:row>
      <xdr:rowOff>136071</xdr:rowOff>
    </xdr:to>
    <xdr:cxnSp macro="">
      <xdr:nvCxnSpPr>
        <xdr:cNvPr id="197" name="直線コネクタ 196"/>
        <xdr:cNvCxnSpPr/>
      </xdr:nvCxnSpPr>
      <xdr:spPr>
        <a:xfrm>
          <a:off x="5053853" y="976192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54428</xdr:colOff>
      <xdr:row>162</xdr:row>
      <xdr:rowOff>136071</xdr:rowOff>
    </xdr:from>
    <xdr:to>
      <xdr:col>70</xdr:col>
      <xdr:colOff>204107</xdr:colOff>
      <xdr:row>162</xdr:row>
      <xdr:rowOff>136071</xdr:rowOff>
    </xdr:to>
    <xdr:cxnSp macro="">
      <xdr:nvCxnSpPr>
        <xdr:cNvPr id="200" name="直線コネクタ 199"/>
        <xdr:cNvCxnSpPr/>
      </xdr:nvCxnSpPr>
      <xdr:spPr>
        <a:xfrm>
          <a:off x="6395357" y="5347607"/>
          <a:ext cx="4626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163286</xdr:colOff>
      <xdr:row>153</xdr:row>
      <xdr:rowOff>136071</xdr:rowOff>
    </xdr:from>
    <xdr:to>
      <xdr:col>65</xdr:col>
      <xdr:colOff>285750</xdr:colOff>
      <xdr:row>153</xdr:row>
      <xdr:rowOff>136071</xdr:rowOff>
    </xdr:to>
    <xdr:cxnSp macro="">
      <xdr:nvCxnSpPr>
        <xdr:cNvPr id="201" name="直線コネクタ 200"/>
        <xdr:cNvCxnSpPr/>
      </xdr:nvCxnSpPr>
      <xdr:spPr>
        <a:xfrm>
          <a:off x="6585857" y="6286500"/>
          <a:ext cx="435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231321</xdr:colOff>
      <xdr:row>164</xdr:row>
      <xdr:rowOff>136071</xdr:rowOff>
    </xdr:from>
    <xdr:to>
      <xdr:col>71</xdr:col>
      <xdr:colOff>272144</xdr:colOff>
      <xdr:row>164</xdr:row>
      <xdr:rowOff>136071</xdr:rowOff>
    </xdr:to>
    <xdr:cxnSp macro="">
      <xdr:nvCxnSpPr>
        <xdr:cNvPr id="202" name="直線コネクタ 201"/>
        <xdr:cNvCxnSpPr/>
      </xdr:nvCxnSpPr>
      <xdr:spPr>
        <a:xfrm>
          <a:off x="6885214" y="6327321"/>
          <a:ext cx="3537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13607</xdr:colOff>
      <xdr:row>47</xdr:row>
      <xdr:rowOff>136071</xdr:rowOff>
    </xdr:from>
    <xdr:to>
      <xdr:col>75</xdr:col>
      <xdr:colOff>0</xdr:colOff>
      <xdr:row>47</xdr:row>
      <xdr:rowOff>136071</xdr:rowOff>
    </xdr:to>
    <xdr:cxnSp macro="">
      <xdr:nvCxnSpPr>
        <xdr:cNvPr id="176" name="直線コネクタ 175"/>
        <xdr:cNvCxnSpPr/>
      </xdr:nvCxnSpPr>
      <xdr:spPr>
        <a:xfrm>
          <a:off x="6667500" y="3837214"/>
          <a:ext cx="15512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160</xdr:row>
      <xdr:rowOff>136071</xdr:rowOff>
    </xdr:from>
    <xdr:to>
      <xdr:col>45</xdr:col>
      <xdr:colOff>262535</xdr:colOff>
      <xdr:row>160</xdr:row>
      <xdr:rowOff>136071</xdr:rowOff>
    </xdr:to>
    <xdr:cxnSp macro="">
      <xdr:nvCxnSpPr>
        <xdr:cNvPr id="177" name="直線コネクタ 176"/>
        <xdr:cNvCxnSpPr/>
      </xdr:nvCxnSpPr>
      <xdr:spPr>
        <a:xfrm>
          <a:off x="5402036" y="80010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160</xdr:row>
      <xdr:rowOff>136071</xdr:rowOff>
    </xdr:from>
    <xdr:to>
      <xdr:col>45</xdr:col>
      <xdr:colOff>262535</xdr:colOff>
      <xdr:row>160</xdr:row>
      <xdr:rowOff>136071</xdr:rowOff>
    </xdr:to>
    <xdr:cxnSp macro="">
      <xdr:nvCxnSpPr>
        <xdr:cNvPr id="203" name="直線コネクタ 202"/>
        <xdr:cNvCxnSpPr/>
      </xdr:nvCxnSpPr>
      <xdr:spPr>
        <a:xfrm>
          <a:off x="5402036" y="80010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159</xdr:row>
      <xdr:rowOff>136071</xdr:rowOff>
    </xdr:from>
    <xdr:to>
      <xdr:col>45</xdr:col>
      <xdr:colOff>262535</xdr:colOff>
      <xdr:row>159</xdr:row>
      <xdr:rowOff>136071</xdr:rowOff>
    </xdr:to>
    <xdr:cxnSp macro="">
      <xdr:nvCxnSpPr>
        <xdr:cNvPr id="204" name="直線コネクタ 203"/>
        <xdr:cNvCxnSpPr/>
      </xdr:nvCxnSpPr>
      <xdr:spPr>
        <a:xfrm>
          <a:off x="5402036" y="80010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159</xdr:row>
      <xdr:rowOff>136071</xdr:rowOff>
    </xdr:from>
    <xdr:to>
      <xdr:col>45</xdr:col>
      <xdr:colOff>262535</xdr:colOff>
      <xdr:row>159</xdr:row>
      <xdr:rowOff>136071</xdr:rowOff>
    </xdr:to>
    <xdr:cxnSp macro="">
      <xdr:nvCxnSpPr>
        <xdr:cNvPr id="206" name="直線コネクタ 205"/>
        <xdr:cNvCxnSpPr/>
      </xdr:nvCxnSpPr>
      <xdr:spPr>
        <a:xfrm>
          <a:off x="5402036" y="80010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163</xdr:row>
      <xdr:rowOff>136071</xdr:rowOff>
    </xdr:from>
    <xdr:to>
      <xdr:col>45</xdr:col>
      <xdr:colOff>262535</xdr:colOff>
      <xdr:row>163</xdr:row>
      <xdr:rowOff>136071</xdr:rowOff>
    </xdr:to>
    <xdr:cxnSp macro="">
      <xdr:nvCxnSpPr>
        <xdr:cNvPr id="207" name="直線コネクタ 206"/>
        <xdr:cNvCxnSpPr/>
      </xdr:nvCxnSpPr>
      <xdr:spPr>
        <a:xfrm>
          <a:off x="5402036" y="84908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163</xdr:row>
      <xdr:rowOff>136071</xdr:rowOff>
    </xdr:from>
    <xdr:to>
      <xdr:col>45</xdr:col>
      <xdr:colOff>262535</xdr:colOff>
      <xdr:row>163</xdr:row>
      <xdr:rowOff>136071</xdr:rowOff>
    </xdr:to>
    <xdr:cxnSp macro="">
      <xdr:nvCxnSpPr>
        <xdr:cNvPr id="208" name="直線コネクタ 207"/>
        <xdr:cNvCxnSpPr/>
      </xdr:nvCxnSpPr>
      <xdr:spPr>
        <a:xfrm>
          <a:off x="5402036" y="84908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54428</xdr:colOff>
      <xdr:row>163</xdr:row>
      <xdr:rowOff>136071</xdr:rowOff>
    </xdr:from>
    <xdr:to>
      <xdr:col>70</xdr:col>
      <xdr:colOff>190500</xdr:colOff>
      <xdr:row>163</xdr:row>
      <xdr:rowOff>136071</xdr:rowOff>
    </xdr:to>
    <xdr:cxnSp macro="">
      <xdr:nvCxnSpPr>
        <xdr:cNvPr id="209" name="直線コネクタ 208"/>
        <xdr:cNvCxnSpPr/>
      </xdr:nvCxnSpPr>
      <xdr:spPr>
        <a:xfrm>
          <a:off x="6395357" y="5973535"/>
          <a:ext cx="449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204908</xdr:colOff>
      <xdr:row>174</xdr:row>
      <xdr:rowOff>125667</xdr:rowOff>
    </xdr:from>
    <xdr:to>
      <xdr:col>71</xdr:col>
      <xdr:colOff>117661</xdr:colOff>
      <xdr:row>174</xdr:row>
      <xdr:rowOff>125667</xdr:rowOff>
    </xdr:to>
    <xdr:cxnSp macro="">
      <xdr:nvCxnSpPr>
        <xdr:cNvPr id="198" name="直線コネクタ 197"/>
        <xdr:cNvCxnSpPr/>
      </xdr:nvCxnSpPr>
      <xdr:spPr>
        <a:xfrm>
          <a:off x="6424173" y="4551991"/>
          <a:ext cx="54028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27214</xdr:colOff>
      <xdr:row>174</xdr:row>
      <xdr:rowOff>122464</xdr:rowOff>
    </xdr:from>
    <xdr:to>
      <xdr:col>78</xdr:col>
      <xdr:colOff>76039</xdr:colOff>
      <xdr:row>174</xdr:row>
      <xdr:rowOff>122464</xdr:rowOff>
    </xdr:to>
    <xdr:cxnSp macro="">
      <xdr:nvCxnSpPr>
        <xdr:cNvPr id="205" name="直線コネクタ 204"/>
        <xdr:cNvCxnSpPr/>
      </xdr:nvCxnSpPr>
      <xdr:spPr>
        <a:xfrm>
          <a:off x="6994071" y="5265964"/>
          <a:ext cx="36178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0</xdr:colOff>
      <xdr:row>72</xdr:row>
      <xdr:rowOff>0</xdr:rowOff>
    </xdr:from>
    <xdr:to>
      <xdr:col>68</xdr:col>
      <xdr:colOff>176895</xdr:colOff>
      <xdr:row>72</xdr:row>
      <xdr:rowOff>0</xdr:rowOff>
    </xdr:to>
    <xdr:cxnSp macro="">
      <xdr:nvCxnSpPr>
        <xdr:cNvPr id="211" name="直線コネクタ 210"/>
        <xdr:cNvCxnSpPr/>
      </xdr:nvCxnSpPr>
      <xdr:spPr>
        <a:xfrm>
          <a:off x="5715000" y="4612821"/>
          <a:ext cx="48985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40822</xdr:colOff>
      <xdr:row>159</xdr:row>
      <xdr:rowOff>136072</xdr:rowOff>
    </xdr:from>
    <xdr:to>
      <xdr:col>69</xdr:col>
      <xdr:colOff>27215</xdr:colOff>
      <xdr:row>159</xdr:row>
      <xdr:rowOff>136072</xdr:rowOff>
    </xdr:to>
    <xdr:cxnSp macro="">
      <xdr:nvCxnSpPr>
        <xdr:cNvPr id="212" name="直線コネクタ 211"/>
        <xdr:cNvCxnSpPr/>
      </xdr:nvCxnSpPr>
      <xdr:spPr>
        <a:xfrm>
          <a:off x="6068786" y="4748893"/>
          <a:ext cx="29935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45</xdr:row>
      <xdr:rowOff>136071</xdr:rowOff>
    </xdr:from>
    <xdr:to>
      <xdr:col>45</xdr:col>
      <xdr:colOff>262535</xdr:colOff>
      <xdr:row>45</xdr:row>
      <xdr:rowOff>136071</xdr:rowOff>
    </xdr:to>
    <xdr:cxnSp macro="">
      <xdr:nvCxnSpPr>
        <xdr:cNvPr id="214" name="直線コネクタ 213"/>
        <xdr:cNvCxnSpPr/>
      </xdr:nvCxnSpPr>
      <xdr:spPr>
        <a:xfrm>
          <a:off x="5402036" y="8177892"/>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45</xdr:row>
      <xdr:rowOff>136071</xdr:rowOff>
    </xdr:from>
    <xdr:to>
      <xdr:col>45</xdr:col>
      <xdr:colOff>262535</xdr:colOff>
      <xdr:row>45</xdr:row>
      <xdr:rowOff>136071</xdr:rowOff>
    </xdr:to>
    <xdr:cxnSp macro="">
      <xdr:nvCxnSpPr>
        <xdr:cNvPr id="215" name="直線コネクタ 214"/>
        <xdr:cNvCxnSpPr/>
      </xdr:nvCxnSpPr>
      <xdr:spPr>
        <a:xfrm>
          <a:off x="5402036" y="8177892"/>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122465</xdr:colOff>
      <xdr:row>161</xdr:row>
      <xdr:rowOff>136072</xdr:rowOff>
    </xdr:from>
    <xdr:to>
      <xdr:col>69</xdr:col>
      <xdr:colOff>122465</xdr:colOff>
      <xdr:row>161</xdr:row>
      <xdr:rowOff>136072</xdr:rowOff>
    </xdr:to>
    <xdr:cxnSp macro="">
      <xdr:nvCxnSpPr>
        <xdr:cNvPr id="216" name="直線コネクタ 215"/>
        <xdr:cNvCxnSpPr/>
      </xdr:nvCxnSpPr>
      <xdr:spPr>
        <a:xfrm>
          <a:off x="6150429" y="5238751"/>
          <a:ext cx="3129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13606</xdr:colOff>
      <xdr:row>45</xdr:row>
      <xdr:rowOff>136072</xdr:rowOff>
    </xdr:from>
    <xdr:to>
      <xdr:col>83</xdr:col>
      <xdr:colOff>40821</xdr:colOff>
      <xdr:row>45</xdr:row>
      <xdr:rowOff>136072</xdr:rowOff>
    </xdr:to>
    <xdr:cxnSp macro="">
      <xdr:nvCxnSpPr>
        <xdr:cNvPr id="217" name="直線コネクタ 216"/>
        <xdr:cNvCxnSpPr/>
      </xdr:nvCxnSpPr>
      <xdr:spPr>
        <a:xfrm>
          <a:off x="7402285" y="2830286"/>
          <a:ext cx="12790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13607</xdr:colOff>
      <xdr:row>160</xdr:row>
      <xdr:rowOff>183296</xdr:rowOff>
    </xdr:from>
    <xdr:to>
      <xdr:col>69</xdr:col>
      <xdr:colOff>44024</xdr:colOff>
      <xdr:row>160</xdr:row>
      <xdr:rowOff>183296</xdr:rowOff>
    </xdr:to>
    <xdr:cxnSp macro="">
      <xdr:nvCxnSpPr>
        <xdr:cNvPr id="210" name="直線コネクタ 209"/>
        <xdr:cNvCxnSpPr/>
      </xdr:nvCxnSpPr>
      <xdr:spPr>
        <a:xfrm>
          <a:off x="6041571" y="3367367"/>
          <a:ext cx="34338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22412</xdr:colOff>
      <xdr:row>43</xdr:row>
      <xdr:rowOff>124866</xdr:rowOff>
    </xdr:from>
    <xdr:to>
      <xdr:col>74</xdr:col>
      <xdr:colOff>308164</xdr:colOff>
      <xdr:row>43</xdr:row>
      <xdr:rowOff>124866</xdr:rowOff>
    </xdr:to>
    <xdr:cxnSp macro="">
      <xdr:nvCxnSpPr>
        <xdr:cNvPr id="194" name="直線コネクタ 193"/>
        <xdr:cNvCxnSpPr/>
      </xdr:nvCxnSpPr>
      <xdr:spPr>
        <a:xfrm>
          <a:off x="6555441" y="3072013"/>
          <a:ext cx="154081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179294</xdr:colOff>
      <xdr:row>53</xdr:row>
      <xdr:rowOff>133350</xdr:rowOff>
    </xdr:from>
    <xdr:to>
      <xdr:col>25</xdr:col>
      <xdr:colOff>215714</xdr:colOff>
      <xdr:row>53</xdr:row>
      <xdr:rowOff>133350</xdr:rowOff>
    </xdr:to>
    <xdr:cxnSp macro="">
      <xdr:nvCxnSpPr>
        <xdr:cNvPr id="224" name="直線コネクタ 223"/>
        <xdr:cNvCxnSpPr/>
      </xdr:nvCxnSpPr>
      <xdr:spPr>
        <a:xfrm>
          <a:off x="5402036" y="4120243"/>
          <a:ext cx="0"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228600</xdr:colOff>
      <xdr:row>52</xdr:row>
      <xdr:rowOff>142875</xdr:rowOff>
    </xdr:from>
    <xdr:to>
      <xdr:col>26</xdr:col>
      <xdr:colOff>206189</xdr:colOff>
      <xdr:row>52</xdr:row>
      <xdr:rowOff>142875</xdr:rowOff>
    </xdr:to>
    <xdr:cxnSp macro="">
      <xdr:nvCxnSpPr>
        <xdr:cNvPr id="225" name="直線コネクタ 224"/>
        <xdr:cNvCxnSpPr/>
      </xdr:nvCxnSpPr>
      <xdr:spPr>
        <a:xfrm>
          <a:off x="5402036" y="3884839"/>
          <a:ext cx="0"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33618</xdr:colOff>
      <xdr:row>383</xdr:row>
      <xdr:rowOff>212913</xdr:rowOff>
    </xdr:from>
    <xdr:to>
      <xdr:col>65</xdr:col>
      <xdr:colOff>145677</xdr:colOff>
      <xdr:row>383</xdr:row>
      <xdr:rowOff>212913</xdr:rowOff>
    </xdr:to>
    <xdr:cxnSp macro="">
      <xdr:nvCxnSpPr>
        <xdr:cNvPr id="226" name="直線コネクタ 225"/>
        <xdr:cNvCxnSpPr/>
      </xdr:nvCxnSpPr>
      <xdr:spPr>
        <a:xfrm>
          <a:off x="5311589" y="7844119"/>
          <a:ext cx="425823"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156883</xdr:colOff>
      <xdr:row>388</xdr:row>
      <xdr:rowOff>224117</xdr:rowOff>
    </xdr:from>
    <xdr:to>
      <xdr:col>66</xdr:col>
      <xdr:colOff>257735</xdr:colOff>
      <xdr:row>388</xdr:row>
      <xdr:rowOff>224117</xdr:rowOff>
    </xdr:to>
    <xdr:cxnSp macro="">
      <xdr:nvCxnSpPr>
        <xdr:cNvPr id="227" name="直線コネクタ 226"/>
        <xdr:cNvCxnSpPr/>
      </xdr:nvCxnSpPr>
      <xdr:spPr>
        <a:xfrm>
          <a:off x="5748618" y="8796617"/>
          <a:ext cx="414617"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22412</xdr:colOff>
      <xdr:row>386</xdr:row>
      <xdr:rowOff>235323</xdr:rowOff>
    </xdr:from>
    <xdr:to>
      <xdr:col>68</xdr:col>
      <xdr:colOff>291353</xdr:colOff>
      <xdr:row>386</xdr:row>
      <xdr:rowOff>235323</xdr:rowOff>
    </xdr:to>
    <xdr:cxnSp macro="">
      <xdr:nvCxnSpPr>
        <xdr:cNvPr id="228" name="直線コネクタ 227"/>
        <xdr:cNvCxnSpPr/>
      </xdr:nvCxnSpPr>
      <xdr:spPr>
        <a:xfrm>
          <a:off x="6241677" y="8180294"/>
          <a:ext cx="582705"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33617</xdr:colOff>
      <xdr:row>387</xdr:row>
      <xdr:rowOff>224118</xdr:rowOff>
    </xdr:from>
    <xdr:to>
      <xdr:col>74</xdr:col>
      <xdr:colOff>302558</xdr:colOff>
      <xdr:row>387</xdr:row>
      <xdr:rowOff>224118</xdr:rowOff>
    </xdr:to>
    <xdr:cxnSp macro="">
      <xdr:nvCxnSpPr>
        <xdr:cNvPr id="229" name="直線コネクタ 228"/>
        <xdr:cNvCxnSpPr/>
      </xdr:nvCxnSpPr>
      <xdr:spPr>
        <a:xfrm>
          <a:off x="7507941" y="8482853"/>
          <a:ext cx="1210235"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11206</xdr:colOff>
      <xdr:row>386</xdr:row>
      <xdr:rowOff>235323</xdr:rowOff>
    </xdr:from>
    <xdr:to>
      <xdr:col>75</xdr:col>
      <xdr:colOff>302559</xdr:colOff>
      <xdr:row>386</xdr:row>
      <xdr:rowOff>235323</xdr:rowOff>
    </xdr:to>
    <xdr:cxnSp macro="">
      <xdr:nvCxnSpPr>
        <xdr:cNvPr id="230" name="直線コネクタ 229"/>
        <xdr:cNvCxnSpPr/>
      </xdr:nvCxnSpPr>
      <xdr:spPr>
        <a:xfrm>
          <a:off x="8740588" y="8180294"/>
          <a:ext cx="291353"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73</xdr:col>
      <xdr:colOff>65313</xdr:colOff>
      <xdr:row>181</xdr:row>
      <xdr:rowOff>133350</xdr:rowOff>
    </xdr:from>
    <xdr:to>
      <xdr:col>73</xdr:col>
      <xdr:colOff>258535</xdr:colOff>
      <xdr:row>181</xdr:row>
      <xdr:rowOff>133350</xdr:rowOff>
    </xdr:to>
    <xdr:cxnSp macro="">
      <xdr:nvCxnSpPr>
        <xdr:cNvPr id="240" name="直線コネクタ 239"/>
        <xdr:cNvCxnSpPr/>
      </xdr:nvCxnSpPr>
      <xdr:spPr>
        <a:xfrm>
          <a:off x="7658099" y="4542064"/>
          <a:ext cx="1932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46</xdr:row>
      <xdr:rowOff>136071</xdr:rowOff>
    </xdr:from>
    <xdr:to>
      <xdr:col>45</xdr:col>
      <xdr:colOff>262535</xdr:colOff>
      <xdr:row>46</xdr:row>
      <xdr:rowOff>136071</xdr:rowOff>
    </xdr:to>
    <xdr:cxnSp macro="">
      <xdr:nvCxnSpPr>
        <xdr:cNvPr id="241" name="直線コネクタ 240"/>
        <xdr:cNvCxnSpPr/>
      </xdr:nvCxnSpPr>
      <xdr:spPr>
        <a:xfrm>
          <a:off x="5277971" y="62881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46</xdr:row>
      <xdr:rowOff>136071</xdr:rowOff>
    </xdr:from>
    <xdr:to>
      <xdr:col>45</xdr:col>
      <xdr:colOff>262535</xdr:colOff>
      <xdr:row>46</xdr:row>
      <xdr:rowOff>136071</xdr:rowOff>
    </xdr:to>
    <xdr:cxnSp macro="">
      <xdr:nvCxnSpPr>
        <xdr:cNvPr id="242" name="直線コネクタ 241"/>
        <xdr:cNvCxnSpPr/>
      </xdr:nvCxnSpPr>
      <xdr:spPr>
        <a:xfrm>
          <a:off x="5277971" y="62881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173</xdr:row>
      <xdr:rowOff>136071</xdr:rowOff>
    </xdr:from>
    <xdr:to>
      <xdr:col>45</xdr:col>
      <xdr:colOff>262535</xdr:colOff>
      <xdr:row>173</xdr:row>
      <xdr:rowOff>136071</xdr:rowOff>
    </xdr:to>
    <xdr:cxnSp macro="">
      <xdr:nvCxnSpPr>
        <xdr:cNvPr id="219" name="直線コネクタ 218"/>
        <xdr:cNvCxnSpPr/>
      </xdr:nvCxnSpPr>
      <xdr:spPr>
        <a:xfrm>
          <a:off x="5277971" y="62881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173</xdr:row>
      <xdr:rowOff>136071</xdr:rowOff>
    </xdr:from>
    <xdr:to>
      <xdr:col>45</xdr:col>
      <xdr:colOff>262535</xdr:colOff>
      <xdr:row>173</xdr:row>
      <xdr:rowOff>136071</xdr:rowOff>
    </xdr:to>
    <xdr:cxnSp macro="">
      <xdr:nvCxnSpPr>
        <xdr:cNvPr id="220" name="直線コネクタ 219"/>
        <xdr:cNvCxnSpPr/>
      </xdr:nvCxnSpPr>
      <xdr:spPr>
        <a:xfrm>
          <a:off x="5277971" y="62881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108858</xdr:colOff>
      <xdr:row>183</xdr:row>
      <xdr:rowOff>149679</xdr:rowOff>
    </xdr:from>
    <xdr:to>
      <xdr:col>82</xdr:col>
      <xdr:colOff>258536</xdr:colOff>
      <xdr:row>183</xdr:row>
      <xdr:rowOff>149679</xdr:rowOff>
    </xdr:to>
    <xdr:cxnSp macro="">
      <xdr:nvCxnSpPr>
        <xdr:cNvPr id="239" name="直線コネクタ 238"/>
        <xdr:cNvCxnSpPr/>
      </xdr:nvCxnSpPr>
      <xdr:spPr>
        <a:xfrm>
          <a:off x="8436429" y="3333750"/>
          <a:ext cx="149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231321</xdr:colOff>
      <xdr:row>181</xdr:row>
      <xdr:rowOff>149678</xdr:rowOff>
    </xdr:from>
    <xdr:to>
      <xdr:col>80</xdr:col>
      <xdr:colOff>123824</xdr:colOff>
      <xdr:row>181</xdr:row>
      <xdr:rowOff>149678</xdr:rowOff>
    </xdr:to>
    <xdr:cxnSp macro="">
      <xdr:nvCxnSpPr>
        <xdr:cNvPr id="221" name="直線コネクタ 220"/>
        <xdr:cNvCxnSpPr/>
      </xdr:nvCxnSpPr>
      <xdr:spPr>
        <a:xfrm>
          <a:off x="9497785" y="3823607"/>
          <a:ext cx="20546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176</xdr:row>
      <xdr:rowOff>136071</xdr:rowOff>
    </xdr:from>
    <xdr:to>
      <xdr:col>45</xdr:col>
      <xdr:colOff>262535</xdr:colOff>
      <xdr:row>176</xdr:row>
      <xdr:rowOff>136071</xdr:rowOff>
    </xdr:to>
    <xdr:cxnSp macro="">
      <xdr:nvCxnSpPr>
        <xdr:cNvPr id="223" name="直線コネクタ 222"/>
        <xdr:cNvCxnSpPr/>
      </xdr:nvCxnSpPr>
      <xdr:spPr>
        <a:xfrm>
          <a:off x="5402036" y="60143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176</xdr:row>
      <xdr:rowOff>136071</xdr:rowOff>
    </xdr:from>
    <xdr:to>
      <xdr:col>45</xdr:col>
      <xdr:colOff>262535</xdr:colOff>
      <xdr:row>176</xdr:row>
      <xdr:rowOff>136071</xdr:rowOff>
    </xdr:to>
    <xdr:cxnSp macro="">
      <xdr:nvCxnSpPr>
        <xdr:cNvPr id="232" name="直線コネクタ 231"/>
        <xdr:cNvCxnSpPr/>
      </xdr:nvCxnSpPr>
      <xdr:spPr>
        <a:xfrm>
          <a:off x="5402036" y="60143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80</xdr:col>
      <xdr:colOff>13607</xdr:colOff>
      <xdr:row>46</xdr:row>
      <xdr:rowOff>136071</xdr:rowOff>
    </xdr:from>
    <xdr:to>
      <xdr:col>85</xdr:col>
      <xdr:colOff>299357</xdr:colOff>
      <xdr:row>46</xdr:row>
      <xdr:rowOff>136071</xdr:rowOff>
    </xdr:to>
    <xdr:cxnSp macro="">
      <xdr:nvCxnSpPr>
        <xdr:cNvPr id="235" name="直線コネクタ 234"/>
        <xdr:cNvCxnSpPr/>
      </xdr:nvCxnSpPr>
      <xdr:spPr>
        <a:xfrm>
          <a:off x="9797143" y="3565071"/>
          <a:ext cx="1850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95251</xdr:colOff>
      <xdr:row>167</xdr:row>
      <xdr:rowOff>136072</xdr:rowOff>
    </xdr:from>
    <xdr:to>
      <xdr:col>73</xdr:col>
      <xdr:colOff>100052</xdr:colOff>
      <xdr:row>167</xdr:row>
      <xdr:rowOff>136072</xdr:rowOff>
    </xdr:to>
    <xdr:cxnSp macro="">
      <xdr:nvCxnSpPr>
        <xdr:cNvPr id="237" name="直線コネクタ 236"/>
        <xdr:cNvCxnSpPr/>
      </xdr:nvCxnSpPr>
      <xdr:spPr>
        <a:xfrm>
          <a:off x="7375072" y="4054929"/>
          <a:ext cx="31776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108858</xdr:colOff>
      <xdr:row>167</xdr:row>
      <xdr:rowOff>138473</xdr:rowOff>
    </xdr:from>
    <xdr:to>
      <xdr:col>73</xdr:col>
      <xdr:colOff>113659</xdr:colOff>
      <xdr:row>167</xdr:row>
      <xdr:rowOff>138473</xdr:rowOff>
    </xdr:to>
    <xdr:cxnSp macro="">
      <xdr:nvCxnSpPr>
        <xdr:cNvPr id="243" name="直線コネクタ 242"/>
        <xdr:cNvCxnSpPr/>
      </xdr:nvCxnSpPr>
      <xdr:spPr>
        <a:xfrm>
          <a:off x="7388679" y="3812402"/>
          <a:ext cx="31776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108858</xdr:colOff>
      <xdr:row>168</xdr:row>
      <xdr:rowOff>136071</xdr:rowOff>
    </xdr:from>
    <xdr:to>
      <xdr:col>73</xdr:col>
      <xdr:colOff>113659</xdr:colOff>
      <xdr:row>168</xdr:row>
      <xdr:rowOff>136071</xdr:rowOff>
    </xdr:to>
    <xdr:cxnSp macro="">
      <xdr:nvCxnSpPr>
        <xdr:cNvPr id="244" name="直線コネクタ 243"/>
        <xdr:cNvCxnSpPr/>
      </xdr:nvCxnSpPr>
      <xdr:spPr>
        <a:xfrm>
          <a:off x="7388679" y="4299857"/>
          <a:ext cx="31776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171</xdr:row>
      <xdr:rowOff>136071</xdr:rowOff>
    </xdr:from>
    <xdr:to>
      <xdr:col>45</xdr:col>
      <xdr:colOff>262535</xdr:colOff>
      <xdr:row>171</xdr:row>
      <xdr:rowOff>136071</xdr:rowOff>
    </xdr:to>
    <xdr:cxnSp macro="">
      <xdr:nvCxnSpPr>
        <xdr:cNvPr id="222" name="直線コネクタ 221"/>
        <xdr:cNvCxnSpPr/>
      </xdr:nvCxnSpPr>
      <xdr:spPr>
        <a:xfrm>
          <a:off x="5402036" y="6749142"/>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171</xdr:row>
      <xdr:rowOff>136071</xdr:rowOff>
    </xdr:from>
    <xdr:to>
      <xdr:col>45</xdr:col>
      <xdr:colOff>262535</xdr:colOff>
      <xdr:row>171</xdr:row>
      <xdr:rowOff>136071</xdr:rowOff>
    </xdr:to>
    <xdr:cxnSp macro="">
      <xdr:nvCxnSpPr>
        <xdr:cNvPr id="233" name="直線コネクタ 232"/>
        <xdr:cNvCxnSpPr/>
      </xdr:nvCxnSpPr>
      <xdr:spPr>
        <a:xfrm>
          <a:off x="5402036" y="6749142"/>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178</xdr:row>
      <xdr:rowOff>136071</xdr:rowOff>
    </xdr:from>
    <xdr:to>
      <xdr:col>45</xdr:col>
      <xdr:colOff>262535</xdr:colOff>
      <xdr:row>178</xdr:row>
      <xdr:rowOff>136071</xdr:rowOff>
    </xdr:to>
    <xdr:cxnSp macro="">
      <xdr:nvCxnSpPr>
        <xdr:cNvPr id="234" name="直線コネクタ 233"/>
        <xdr:cNvCxnSpPr/>
      </xdr:nvCxnSpPr>
      <xdr:spPr>
        <a:xfrm>
          <a:off x="5402036" y="6994071"/>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178</xdr:row>
      <xdr:rowOff>136071</xdr:rowOff>
    </xdr:from>
    <xdr:to>
      <xdr:col>45</xdr:col>
      <xdr:colOff>262535</xdr:colOff>
      <xdr:row>178</xdr:row>
      <xdr:rowOff>136071</xdr:rowOff>
    </xdr:to>
    <xdr:cxnSp macro="">
      <xdr:nvCxnSpPr>
        <xdr:cNvPr id="236" name="直線コネクタ 235"/>
        <xdr:cNvCxnSpPr/>
      </xdr:nvCxnSpPr>
      <xdr:spPr>
        <a:xfrm>
          <a:off x="5402036" y="6994071"/>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149679</xdr:colOff>
      <xdr:row>169</xdr:row>
      <xdr:rowOff>149679</xdr:rowOff>
    </xdr:from>
    <xdr:to>
      <xdr:col>76</xdr:col>
      <xdr:colOff>125187</xdr:colOff>
      <xdr:row>169</xdr:row>
      <xdr:rowOff>149679</xdr:rowOff>
    </xdr:to>
    <xdr:cxnSp macro="">
      <xdr:nvCxnSpPr>
        <xdr:cNvPr id="245" name="直線コネクタ 244"/>
        <xdr:cNvCxnSpPr/>
      </xdr:nvCxnSpPr>
      <xdr:spPr>
        <a:xfrm>
          <a:off x="8368393" y="4558393"/>
          <a:ext cx="28847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244929</xdr:colOff>
      <xdr:row>173</xdr:row>
      <xdr:rowOff>136071</xdr:rowOff>
    </xdr:from>
    <xdr:to>
      <xdr:col>77</xdr:col>
      <xdr:colOff>217714</xdr:colOff>
      <xdr:row>173</xdr:row>
      <xdr:rowOff>136071</xdr:rowOff>
    </xdr:to>
    <xdr:cxnSp macro="">
      <xdr:nvCxnSpPr>
        <xdr:cNvPr id="199" name="直線コネクタ 198"/>
        <xdr:cNvCxnSpPr/>
      </xdr:nvCxnSpPr>
      <xdr:spPr>
        <a:xfrm>
          <a:off x="8463643" y="4789714"/>
          <a:ext cx="598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272142</xdr:colOff>
      <xdr:row>350</xdr:row>
      <xdr:rowOff>163285</xdr:rowOff>
    </xdr:from>
    <xdr:to>
      <xdr:col>74</xdr:col>
      <xdr:colOff>40822</xdr:colOff>
      <xdr:row>350</xdr:row>
      <xdr:rowOff>163285</xdr:rowOff>
    </xdr:to>
    <xdr:cxnSp macro="">
      <xdr:nvCxnSpPr>
        <xdr:cNvPr id="249" name="直線コネクタ 248"/>
        <xdr:cNvCxnSpPr/>
      </xdr:nvCxnSpPr>
      <xdr:spPr>
        <a:xfrm>
          <a:off x="5987142" y="7633606"/>
          <a:ext cx="39460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244929</xdr:colOff>
      <xdr:row>172</xdr:row>
      <xdr:rowOff>136072</xdr:rowOff>
    </xdr:from>
    <xdr:to>
      <xdr:col>77</xdr:col>
      <xdr:colOff>217714</xdr:colOff>
      <xdr:row>172</xdr:row>
      <xdr:rowOff>136072</xdr:rowOff>
    </xdr:to>
    <xdr:cxnSp macro="">
      <xdr:nvCxnSpPr>
        <xdr:cNvPr id="218" name="直線コネクタ 217"/>
        <xdr:cNvCxnSpPr/>
      </xdr:nvCxnSpPr>
      <xdr:spPr>
        <a:xfrm>
          <a:off x="8463643" y="5279572"/>
          <a:ext cx="598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217714</xdr:colOff>
      <xdr:row>44</xdr:row>
      <xdr:rowOff>149679</xdr:rowOff>
    </xdr:from>
    <xdr:to>
      <xdr:col>51</xdr:col>
      <xdr:colOff>176893</xdr:colOff>
      <xdr:row>44</xdr:row>
      <xdr:rowOff>149679</xdr:rowOff>
    </xdr:to>
    <xdr:cxnSp macro="">
      <xdr:nvCxnSpPr>
        <xdr:cNvPr id="231" name="直線コネクタ 230"/>
        <xdr:cNvCxnSpPr/>
      </xdr:nvCxnSpPr>
      <xdr:spPr>
        <a:xfrm>
          <a:off x="5402036" y="3088822"/>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136072</xdr:colOff>
      <xdr:row>44</xdr:row>
      <xdr:rowOff>136071</xdr:rowOff>
    </xdr:from>
    <xdr:to>
      <xdr:col>76</xdr:col>
      <xdr:colOff>68035</xdr:colOff>
      <xdr:row>44</xdr:row>
      <xdr:rowOff>136071</xdr:rowOff>
    </xdr:to>
    <xdr:cxnSp macro="">
      <xdr:nvCxnSpPr>
        <xdr:cNvPr id="248" name="直線コネクタ 247"/>
        <xdr:cNvCxnSpPr/>
      </xdr:nvCxnSpPr>
      <xdr:spPr>
        <a:xfrm>
          <a:off x="8354786" y="3320142"/>
          <a:ext cx="2449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47</xdr:row>
      <xdr:rowOff>138472</xdr:rowOff>
    </xdr:from>
    <xdr:to>
      <xdr:col>90</xdr:col>
      <xdr:colOff>0</xdr:colOff>
      <xdr:row>47</xdr:row>
      <xdr:rowOff>138472</xdr:rowOff>
    </xdr:to>
    <xdr:cxnSp macro="">
      <xdr:nvCxnSpPr>
        <xdr:cNvPr id="252" name="直線コネクタ 251"/>
        <xdr:cNvCxnSpPr/>
      </xdr:nvCxnSpPr>
      <xdr:spPr>
        <a:xfrm>
          <a:off x="7075714" y="2655793"/>
          <a:ext cx="18777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161</xdr:col>
      <xdr:colOff>67396</xdr:colOff>
      <xdr:row>1</xdr:row>
      <xdr:rowOff>83243</xdr:rowOff>
    </xdr:from>
    <xdr:to>
      <xdr:col>163</xdr:col>
      <xdr:colOff>210510</xdr:colOff>
      <xdr:row>2</xdr:row>
      <xdr:rowOff>206932</xdr:rowOff>
    </xdr:to>
    <xdr:sp macro="" textlink="">
      <xdr:nvSpPr>
        <xdr:cNvPr id="15" name="テキスト ボックス 14"/>
        <xdr:cNvSpPr txBox="1"/>
      </xdr:nvSpPr>
      <xdr:spPr>
        <a:xfrm>
          <a:off x="8054789" y="260136"/>
          <a:ext cx="877900" cy="300582"/>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300"/>
            </a:lnSpc>
          </a:pPr>
          <a:r>
            <a:rPr kumimoji="1" lang="en-US" altLang="ja-JP" sz="1100" b="1">
              <a:latin typeface="ＭＳ Ｐ明朝" panose="02020600040205080304" pitchFamily="18" charset="-128"/>
              <a:ea typeface="ＭＳ Ｐ明朝" panose="02020600040205080304" pitchFamily="18" charset="-128"/>
            </a:rPr>
            <a:t>11/2</a:t>
          </a:r>
          <a:r>
            <a:rPr kumimoji="1" lang="ja-JP" altLang="en-US" sz="1100" b="1">
              <a:latin typeface="ＭＳ Ｐ明朝" panose="02020600040205080304" pitchFamily="18" charset="-128"/>
              <a:ea typeface="ＭＳ Ｐ明朝" panose="02020600040205080304" pitchFamily="18" charset="-128"/>
            </a:rPr>
            <a:t>月</a:t>
          </a:r>
          <a:r>
            <a:rPr kumimoji="1" lang="en-US" altLang="ja-JP" sz="1100" b="1">
              <a:latin typeface="ＭＳ Ｐ明朝" panose="02020600040205080304" pitchFamily="18" charset="-128"/>
              <a:ea typeface="ＭＳ Ｐ明朝" panose="02020600040205080304" pitchFamily="18" charset="-128"/>
            </a:rPr>
            <a:t>)</a:t>
          </a:r>
          <a:endParaRPr kumimoji="1" lang="ja-JP" altLang="en-US" sz="1100" b="1">
            <a:latin typeface="ＭＳ Ｐ明朝" panose="02020600040205080304" pitchFamily="18" charset="-128"/>
            <a:ea typeface="ＭＳ Ｐ明朝" panose="02020600040205080304" pitchFamily="18" charset="-128"/>
          </a:endParaRPr>
        </a:p>
      </xdr:txBody>
    </xdr:sp>
    <xdr:clientData/>
  </xdr:twoCellAnchor>
  <xdr:twoCellAnchor>
    <xdr:from>
      <xdr:col>77</xdr:col>
      <xdr:colOff>68036</xdr:colOff>
      <xdr:row>171</xdr:row>
      <xdr:rowOff>136072</xdr:rowOff>
    </xdr:from>
    <xdr:to>
      <xdr:col>77</xdr:col>
      <xdr:colOff>247652</xdr:colOff>
      <xdr:row>171</xdr:row>
      <xdr:rowOff>136072</xdr:rowOff>
    </xdr:to>
    <xdr:cxnSp macro="">
      <xdr:nvCxnSpPr>
        <xdr:cNvPr id="254" name="直線コネクタ 253"/>
        <xdr:cNvCxnSpPr/>
      </xdr:nvCxnSpPr>
      <xdr:spPr>
        <a:xfrm>
          <a:off x="7034893" y="6259286"/>
          <a:ext cx="17961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180</xdr:row>
      <xdr:rowOff>136071</xdr:rowOff>
    </xdr:from>
    <xdr:to>
      <xdr:col>45</xdr:col>
      <xdr:colOff>262535</xdr:colOff>
      <xdr:row>180</xdr:row>
      <xdr:rowOff>136071</xdr:rowOff>
    </xdr:to>
    <xdr:cxnSp macro="">
      <xdr:nvCxnSpPr>
        <xdr:cNvPr id="247" name="直線コネクタ 246"/>
        <xdr:cNvCxnSpPr/>
      </xdr:nvCxnSpPr>
      <xdr:spPr>
        <a:xfrm>
          <a:off x="5402036" y="650421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180</xdr:row>
      <xdr:rowOff>136071</xdr:rowOff>
    </xdr:from>
    <xdr:to>
      <xdr:col>45</xdr:col>
      <xdr:colOff>262535</xdr:colOff>
      <xdr:row>180</xdr:row>
      <xdr:rowOff>136071</xdr:rowOff>
    </xdr:to>
    <xdr:cxnSp macro="">
      <xdr:nvCxnSpPr>
        <xdr:cNvPr id="255" name="直線コネクタ 254"/>
        <xdr:cNvCxnSpPr/>
      </xdr:nvCxnSpPr>
      <xdr:spPr>
        <a:xfrm>
          <a:off x="5402036" y="650421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177</xdr:row>
      <xdr:rowOff>136071</xdr:rowOff>
    </xdr:from>
    <xdr:to>
      <xdr:col>45</xdr:col>
      <xdr:colOff>262535</xdr:colOff>
      <xdr:row>177</xdr:row>
      <xdr:rowOff>136071</xdr:rowOff>
    </xdr:to>
    <xdr:cxnSp macro="">
      <xdr:nvCxnSpPr>
        <xdr:cNvPr id="256" name="直線コネクタ 255"/>
        <xdr:cNvCxnSpPr/>
      </xdr:nvCxnSpPr>
      <xdr:spPr>
        <a:xfrm>
          <a:off x="5402036" y="478971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177</xdr:row>
      <xdr:rowOff>136071</xdr:rowOff>
    </xdr:from>
    <xdr:to>
      <xdr:col>45</xdr:col>
      <xdr:colOff>262535</xdr:colOff>
      <xdr:row>177</xdr:row>
      <xdr:rowOff>136071</xdr:rowOff>
    </xdr:to>
    <xdr:cxnSp macro="">
      <xdr:nvCxnSpPr>
        <xdr:cNvPr id="257" name="直線コネクタ 256"/>
        <xdr:cNvCxnSpPr/>
      </xdr:nvCxnSpPr>
      <xdr:spPr>
        <a:xfrm>
          <a:off x="5402036" y="478971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217715</xdr:colOff>
      <xdr:row>177</xdr:row>
      <xdr:rowOff>149678</xdr:rowOff>
    </xdr:from>
    <xdr:to>
      <xdr:col>80</xdr:col>
      <xdr:colOff>40822</xdr:colOff>
      <xdr:row>177</xdr:row>
      <xdr:rowOff>149678</xdr:rowOff>
    </xdr:to>
    <xdr:cxnSp macro="">
      <xdr:nvCxnSpPr>
        <xdr:cNvPr id="259" name="直線コネクタ 258"/>
        <xdr:cNvCxnSpPr/>
      </xdr:nvCxnSpPr>
      <xdr:spPr>
        <a:xfrm>
          <a:off x="9171215" y="4558392"/>
          <a:ext cx="449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13607</xdr:colOff>
      <xdr:row>184</xdr:row>
      <xdr:rowOff>149679</xdr:rowOff>
    </xdr:from>
    <xdr:to>
      <xdr:col>79</xdr:col>
      <xdr:colOff>299357</xdr:colOff>
      <xdr:row>184</xdr:row>
      <xdr:rowOff>149679</xdr:rowOff>
    </xdr:to>
    <xdr:cxnSp macro="">
      <xdr:nvCxnSpPr>
        <xdr:cNvPr id="258" name="直線コネクタ 257"/>
        <xdr:cNvCxnSpPr/>
      </xdr:nvCxnSpPr>
      <xdr:spPr>
        <a:xfrm>
          <a:off x="8967107" y="4068536"/>
          <a:ext cx="598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27213</xdr:colOff>
      <xdr:row>176</xdr:row>
      <xdr:rowOff>136070</xdr:rowOff>
    </xdr:from>
    <xdr:to>
      <xdr:col>79</xdr:col>
      <xdr:colOff>146957</xdr:colOff>
      <xdr:row>176</xdr:row>
      <xdr:rowOff>136070</xdr:rowOff>
    </xdr:to>
    <xdr:cxnSp macro="">
      <xdr:nvCxnSpPr>
        <xdr:cNvPr id="263" name="直線コネクタ 262"/>
        <xdr:cNvCxnSpPr/>
      </xdr:nvCxnSpPr>
      <xdr:spPr>
        <a:xfrm>
          <a:off x="8980713" y="4054927"/>
          <a:ext cx="4327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163286</xdr:colOff>
      <xdr:row>175</xdr:row>
      <xdr:rowOff>136071</xdr:rowOff>
    </xdr:from>
    <xdr:to>
      <xdr:col>78</xdr:col>
      <xdr:colOff>257175</xdr:colOff>
      <xdr:row>175</xdr:row>
      <xdr:rowOff>136071</xdr:rowOff>
    </xdr:to>
    <xdr:cxnSp macro="">
      <xdr:nvCxnSpPr>
        <xdr:cNvPr id="264" name="直線コネクタ 263"/>
        <xdr:cNvCxnSpPr/>
      </xdr:nvCxnSpPr>
      <xdr:spPr>
        <a:xfrm>
          <a:off x="7049861" y="5822496"/>
          <a:ext cx="4082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170</xdr:row>
      <xdr:rowOff>136071</xdr:rowOff>
    </xdr:from>
    <xdr:to>
      <xdr:col>45</xdr:col>
      <xdr:colOff>262535</xdr:colOff>
      <xdr:row>170</xdr:row>
      <xdr:rowOff>136071</xdr:rowOff>
    </xdr:to>
    <xdr:cxnSp macro="">
      <xdr:nvCxnSpPr>
        <xdr:cNvPr id="251" name="直線コネクタ 250"/>
        <xdr:cNvCxnSpPr/>
      </xdr:nvCxnSpPr>
      <xdr:spPr>
        <a:xfrm>
          <a:off x="5402036" y="405492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170</xdr:row>
      <xdr:rowOff>136071</xdr:rowOff>
    </xdr:from>
    <xdr:to>
      <xdr:col>45</xdr:col>
      <xdr:colOff>262535</xdr:colOff>
      <xdr:row>170</xdr:row>
      <xdr:rowOff>136071</xdr:rowOff>
    </xdr:to>
    <xdr:cxnSp macro="">
      <xdr:nvCxnSpPr>
        <xdr:cNvPr id="260" name="直線コネクタ 259"/>
        <xdr:cNvCxnSpPr/>
      </xdr:nvCxnSpPr>
      <xdr:spPr>
        <a:xfrm>
          <a:off x="5402036" y="405492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68036</xdr:colOff>
      <xdr:row>170</xdr:row>
      <xdr:rowOff>136072</xdr:rowOff>
    </xdr:from>
    <xdr:to>
      <xdr:col>77</xdr:col>
      <xdr:colOff>247652</xdr:colOff>
      <xdr:row>170</xdr:row>
      <xdr:rowOff>136072</xdr:rowOff>
    </xdr:to>
    <xdr:cxnSp macro="">
      <xdr:nvCxnSpPr>
        <xdr:cNvPr id="262" name="直線コネクタ 261"/>
        <xdr:cNvCxnSpPr/>
      </xdr:nvCxnSpPr>
      <xdr:spPr>
        <a:xfrm>
          <a:off x="7034893" y="4054929"/>
          <a:ext cx="17961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182</xdr:row>
      <xdr:rowOff>136071</xdr:rowOff>
    </xdr:from>
    <xdr:to>
      <xdr:col>45</xdr:col>
      <xdr:colOff>262535</xdr:colOff>
      <xdr:row>182</xdr:row>
      <xdr:rowOff>136071</xdr:rowOff>
    </xdr:to>
    <xdr:cxnSp macro="">
      <xdr:nvCxnSpPr>
        <xdr:cNvPr id="266" name="直線コネクタ 265"/>
        <xdr:cNvCxnSpPr/>
      </xdr:nvCxnSpPr>
      <xdr:spPr>
        <a:xfrm>
          <a:off x="5402036" y="77288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182</xdr:row>
      <xdr:rowOff>136071</xdr:rowOff>
    </xdr:from>
    <xdr:to>
      <xdr:col>45</xdr:col>
      <xdr:colOff>262535</xdr:colOff>
      <xdr:row>182</xdr:row>
      <xdr:rowOff>136071</xdr:rowOff>
    </xdr:to>
    <xdr:cxnSp macro="">
      <xdr:nvCxnSpPr>
        <xdr:cNvPr id="267" name="直線コネクタ 266"/>
        <xdr:cNvCxnSpPr/>
      </xdr:nvCxnSpPr>
      <xdr:spPr>
        <a:xfrm>
          <a:off x="5402036" y="772885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149678</xdr:colOff>
      <xdr:row>180</xdr:row>
      <xdr:rowOff>136071</xdr:rowOff>
    </xdr:from>
    <xdr:to>
      <xdr:col>79</xdr:col>
      <xdr:colOff>285750</xdr:colOff>
      <xdr:row>180</xdr:row>
      <xdr:rowOff>136071</xdr:rowOff>
    </xdr:to>
    <xdr:cxnSp macro="">
      <xdr:nvCxnSpPr>
        <xdr:cNvPr id="250" name="直線コネクタ 249"/>
        <xdr:cNvCxnSpPr/>
      </xdr:nvCxnSpPr>
      <xdr:spPr>
        <a:xfrm>
          <a:off x="9103178" y="6014357"/>
          <a:ext cx="449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13607</xdr:colOff>
      <xdr:row>179</xdr:row>
      <xdr:rowOff>149678</xdr:rowOff>
    </xdr:from>
    <xdr:to>
      <xdr:col>79</xdr:col>
      <xdr:colOff>299357</xdr:colOff>
      <xdr:row>179</xdr:row>
      <xdr:rowOff>149678</xdr:rowOff>
    </xdr:to>
    <xdr:cxnSp macro="">
      <xdr:nvCxnSpPr>
        <xdr:cNvPr id="268" name="直線コネクタ 267"/>
        <xdr:cNvCxnSpPr/>
      </xdr:nvCxnSpPr>
      <xdr:spPr>
        <a:xfrm>
          <a:off x="7089321" y="4313464"/>
          <a:ext cx="59871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108856</xdr:colOff>
      <xdr:row>182</xdr:row>
      <xdr:rowOff>136072</xdr:rowOff>
    </xdr:from>
    <xdr:to>
      <xdr:col>80</xdr:col>
      <xdr:colOff>136071</xdr:colOff>
      <xdr:row>182</xdr:row>
      <xdr:rowOff>136072</xdr:rowOff>
    </xdr:to>
    <xdr:cxnSp macro="">
      <xdr:nvCxnSpPr>
        <xdr:cNvPr id="269" name="直線コネクタ 268"/>
        <xdr:cNvCxnSpPr/>
      </xdr:nvCxnSpPr>
      <xdr:spPr>
        <a:xfrm>
          <a:off x="7497535" y="30262286"/>
          <a:ext cx="340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0</xdr:colOff>
      <xdr:row>185</xdr:row>
      <xdr:rowOff>149679</xdr:rowOff>
    </xdr:from>
    <xdr:to>
      <xdr:col>83</xdr:col>
      <xdr:colOff>95250</xdr:colOff>
      <xdr:row>185</xdr:row>
      <xdr:rowOff>149679</xdr:rowOff>
    </xdr:to>
    <xdr:cxnSp macro="">
      <xdr:nvCxnSpPr>
        <xdr:cNvPr id="271" name="直線コネクタ 270"/>
        <xdr:cNvCxnSpPr/>
      </xdr:nvCxnSpPr>
      <xdr:spPr>
        <a:xfrm>
          <a:off x="8327571" y="3823608"/>
          <a:ext cx="40821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27215</xdr:colOff>
      <xdr:row>186</xdr:row>
      <xdr:rowOff>136071</xdr:rowOff>
    </xdr:from>
    <xdr:to>
      <xdr:col>84</xdr:col>
      <xdr:colOff>68036</xdr:colOff>
      <xdr:row>186</xdr:row>
      <xdr:rowOff>136071</xdr:rowOff>
    </xdr:to>
    <xdr:cxnSp macro="">
      <xdr:nvCxnSpPr>
        <xdr:cNvPr id="272" name="直線コネクタ 271"/>
        <xdr:cNvCxnSpPr/>
      </xdr:nvCxnSpPr>
      <xdr:spPr>
        <a:xfrm>
          <a:off x="8354786" y="3565071"/>
          <a:ext cx="666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27215</xdr:colOff>
      <xdr:row>182</xdr:row>
      <xdr:rowOff>149679</xdr:rowOff>
    </xdr:from>
    <xdr:to>
      <xdr:col>82</xdr:col>
      <xdr:colOff>190500</xdr:colOff>
      <xdr:row>182</xdr:row>
      <xdr:rowOff>149679</xdr:rowOff>
    </xdr:to>
    <xdr:cxnSp macro="">
      <xdr:nvCxnSpPr>
        <xdr:cNvPr id="273" name="直線コネクタ 272"/>
        <xdr:cNvCxnSpPr/>
      </xdr:nvCxnSpPr>
      <xdr:spPr>
        <a:xfrm>
          <a:off x="8354786" y="4626429"/>
          <a:ext cx="163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176894</xdr:colOff>
      <xdr:row>184</xdr:row>
      <xdr:rowOff>149679</xdr:rowOff>
    </xdr:from>
    <xdr:to>
      <xdr:col>83</xdr:col>
      <xdr:colOff>13607</xdr:colOff>
      <xdr:row>184</xdr:row>
      <xdr:rowOff>149679</xdr:rowOff>
    </xdr:to>
    <xdr:cxnSp macro="">
      <xdr:nvCxnSpPr>
        <xdr:cNvPr id="275" name="直線コネクタ 274"/>
        <xdr:cNvCxnSpPr/>
      </xdr:nvCxnSpPr>
      <xdr:spPr>
        <a:xfrm>
          <a:off x="8504465" y="3578679"/>
          <a:ext cx="149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188</xdr:row>
      <xdr:rowOff>136071</xdr:rowOff>
    </xdr:from>
    <xdr:to>
      <xdr:col>40</xdr:col>
      <xdr:colOff>257735</xdr:colOff>
      <xdr:row>188</xdr:row>
      <xdr:rowOff>136071</xdr:rowOff>
    </xdr:to>
    <xdr:cxnSp macro="">
      <xdr:nvCxnSpPr>
        <xdr:cNvPr id="253" name="直線コネクタ 252"/>
        <xdr:cNvCxnSpPr/>
      </xdr:nvCxnSpPr>
      <xdr:spPr>
        <a:xfrm>
          <a:off x="7075714" y="454478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188</xdr:row>
      <xdr:rowOff>134471</xdr:rowOff>
    </xdr:from>
    <xdr:to>
      <xdr:col>47</xdr:col>
      <xdr:colOff>227318</xdr:colOff>
      <xdr:row>188</xdr:row>
      <xdr:rowOff>134471</xdr:rowOff>
    </xdr:to>
    <xdr:cxnSp macro="">
      <xdr:nvCxnSpPr>
        <xdr:cNvPr id="261" name="直線コネクタ 260"/>
        <xdr:cNvCxnSpPr/>
      </xdr:nvCxnSpPr>
      <xdr:spPr>
        <a:xfrm>
          <a:off x="7075714" y="454318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193</xdr:row>
      <xdr:rowOff>136071</xdr:rowOff>
    </xdr:from>
    <xdr:to>
      <xdr:col>40</xdr:col>
      <xdr:colOff>257735</xdr:colOff>
      <xdr:row>193</xdr:row>
      <xdr:rowOff>136071</xdr:rowOff>
    </xdr:to>
    <xdr:cxnSp macro="">
      <xdr:nvCxnSpPr>
        <xdr:cNvPr id="276" name="直線コネクタ 275"/>
        <xdr:cNvCxnSpPr/>
      </xdr:nvCxnSpPr>
      <xdr:spPr>
        <a:xfrm>
          <a:off x="7075714" y="5769428"/>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193</xdr:row>
      <xdr:rowOff>134471</xdr:rowOff>
    </xdr:from>
    <xdr:to>
      <xdr:col>47</xdr:col>
      <xdr:colOff>227318</xdr:colOff>
      <xdr:row>193</xdr:row>
      <xdr:rowOff>134471</xdr:rowOff>
    </xdr:to>
    <xdr:cxnSp macro="">
      <xdr:nvCxnSpPr>
        <xdr:cNvPr id="277" name="直線コネクタ 276"/>
        <xdr:cNvCxnSpPr/>
      </xdr:nvCxnSpPr>
      <xdr:spPr>
        <a:xfrm>
          <a:off x="7075714" y="576782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22412</xdr:colOff>
      <xdr:row>48</xdr:row>
      <xdr:rowOff>134471</xdr:rowOff>
    </xdr:from>
    <xdr:to>
      <xdr:col>95</xdr:col>
      <xdr:colOff>54428</xdr:colOff>
      <xdr:row>48</xdr:row>
      <xdr:rowOff>134471</xdr:rowOff>
    </xdr:to>
    <xdr:cxnSp macro="">
      <xdr:nvCxnSpPr>
        <xdr:cNvPr id="270" name="直線コネクタ 269"/>
        <xdr:cNvCxnSpPr/>
      </xdr:nvCxnSpPr>
      <xdr:spPr>
        <a:xfrm>
          <a:off x="7098126" y="2692614"/>
          <a:ext cx="139273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22413</xdr:colOff>
      <xdr:row>187</xdr:row>
      <xdr:rowOff>123265</xdr:rowOff>
    </xdr:from>
    <xdr:to>
      <xdr:col>85</xdr:col>
      <xdr:colOff>40822</xdr:colOff>
      <xdr:row>187</xdr:row>
      <xdr:rowOff>123265</xdr:rowOff>
    </xdr:to>
    <xdr:cxnSp macro="">
      <xdr:nvCxnSpPr>
        <xdr:cNvPr id="279" name="直線コネクタ 278"/>
        <xdr:cNvCxnSpPr/>
      </xdr:nvCxnSpPr>
      <xdr:spPr>
        <a:xfrm>
          <a:off x="8662949" y="3307336"/>
          <a:ext cx="64433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83</xdr:col>
      <xdr:colOff>217714</xdr:colOff>
      <xdr:row>188</xdr:row>
      <xdr:rowOff>149679</xdr:rowOff>
    </xdr:from>
    <xdr:to>
      <xdr:col>85</xdr:col>
      <xdr:colOff>146475</xdr:colOff>
      <xdr:row>188</xdr:row>
      <xdr:rowOff>149679</xdr:rowOff>
    </xdr:to>
    <xdr:cxnSp macro="">
      <xdr:nvCxnSpPr>
        <xdr:cNvPr id="284" name="直線コネクタ 283"/>
        <xdr:cNvCxnSpPr/>
      </xdr:nvCxnSpPr>
      <xdr:spPr>
        <a:xfrm>
          <a:off x="8858250" y="3578679"/>
          <a:ext cx="55468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229</xdr:row>
      <xdr:rowOff>136071</xdr:rowOff>
    </xdr:from>
    <xdr:to>
      <xdr:col>40</xdr:col>
      <xdr:colOff>257735</xdr:colOff>
      <xdr:row>229</xdr:row>
      <xdr:rowOff>136071</xdr:rowOff>
    </xdr:to>
    <xdr:cxnSp macro="">
      <xdr:nvCxnSpPr>
        <xdr:cNvPr id="278" name="直線コネクタ 277"/>
        <xdr:cNvCxnSpPr/>
      </xdr:nvCxnSpPr>
      <xdr:spPr>
        <a:xfrm>
          <a:off x="7075714" y="5524500"/>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229</xdr:row>
      <xdr:rowOff>134471</xdr:rowOff>
    </xdr:from>
    <xdr:to>
      <xdr:col>47</xdr:col>
      <xdr:colOff>227318</xdr:colOff>
      <xdr:row>229</xdr:row>
      <xdr:rowOff>134471</xdr:rowOff>
    </xdr:to>
    <xdr:cxnSp macro="">
      <xdr:nvCxnSpPr>
        <xdr:cNvPr id="280" name="直線コネクタ 279"/>
        <xdr:cNvCxnSpPr/>
      </xdr:nvCxnSpPr>
      <xdr:spPr>
        <a:xfrm>
          <a:off x="7075714" y="55229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189</xdr:row>
      <xdr:rowOff>136071</xdr:rowOff>
    </xdr:from>
    <xdr:to>
      <xdr:col>40</xdr:col>
      <xdr:colOff>257735</xdr:colOff>
      <xdr:row>189</xdr:row>
      <xdr:rowOff>136071</xdr:rowOff>
    </xdr:to>
    <xdr:cxnSp macro="">
      <xdr:nvCxnSpPr>
        <xdr:cNvPr id="282" name="直線コネクタ 281"/>
        <xdr:cNvCxnSpPr/>
      </xdr:nvCxnSpPr>
      <xdr:spPr>
        <a:xfrm>
          <a:off x="7075714" y="5279571"/>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189</xdr:row>
      <xdr:rowOff>134471</xdr:rowOff>
    </xdr:from>
    <xdr:to>
      <xdr:col>47</xdr:col>
      <xdr:colOff>227318</xdr:colOff>
      <xdr:row>189</xdr:row>
      <xdr:rowOff>134471</xdr:rowOff>
    </xdr:to>
    <xdr:cxnSp macro="">
      <xdr:nvCxnSpPr>
        <xdr:cNvPr id="283" name="直線コネクタ 282"/>
        <xdr:cNvCxnSpPr/>
      </xdr:nvCxnSpPr>
      <xdr:spPr>
        <a:xfrm>
          <a:off x="7075714" y="5277971"/>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190</xdr:row>
      <xdr:rowOff>136071</xdr:rowOff>
    </xdr:from>
    <xdr:to>
      <xdr:col>40</xdr:col>
      <xdr:colOff>257735</xdr:colOff>
      <xdr:row>190</xdr:row>
      <xdr:rowOff>136071</xdr:rowOff>
    </xdr:to>
    <xdr:cxnSp macro="">
      <xdr:nvCxnSpPr>
        <xdr:cNvPr id="285" name="直線コネクタ 284"/>
        <xdr:cNvCxnSpPr/>
      </xdr:nvCxnSpPr>
      <xdr:spPr>
        <a:xfrm>
          <a:off x="7075714" y="5524500"/>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190</xdr:row>
      <xdr:rowOff>134471</xdr:rowOff>
    </xdr:from>
    <xdr:to>
      <xdr:col>47</xdr:col>
      <xdr:colOff>227318</xdr:colOff>
      <xdr:row>190</xdr:row>
      <xdr:rowOff>134471</xdr:rowOff>
    </xdr:to>
    <xdr:cxnSp macro="">
      <xdr:nvCxnSpPr>
        <xdr:cNvPr id="286" name="直線コネクタ 285"/>
        <xdr:cNvCxnSpPr/>
      </xdr:nvCxnSpPr>
      <xdr:spPr>
        <a:xfrm>
          <a:off x="7075714" y="55229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191</xdr:row>
      <xdr:rowOff>136071</xdr:rowOff>
    </xdr:from>
    <xdr:to>
      <xdr:col>40</xdr:col>
      <xdr:colOff>257735</xdr:colOff>
      <xdr:row>191</xdr:row>
      <xdr:rowOff>136071</xdr:rowOff>
    </xdr:to>
    <xdr:cxnSp macro="">
      <xdr:nvCxnSpPr>
        <xdr:cNvPr id="287" name="直線コネクタ 286"/>
        <xdr:cNvCxnSpPr/>
      </xdr:nvCxnSpPr>
      <xdr:spPr>
        <a:xfrm>
          <a:off x="7075714" y="5769428"/>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191</xdr:row>
      <xdr:rowOff>134471</xdr:rowOff>
    </xdr:from>
    <xdr:to>
      <xdr:col>47</xdr:col>
      <xdr:colOff>227318</xdr:colOff>
      <xdr:row>191</xdr:row>
      <xdr:rowOff>134471</xdr:rowOff>
    </xdr:to>
    <xdr:cxnSp macro="">
      <xdr:nvCxnSpPr>
        <xdr:cNvPr id="288" name="直線コネクタ 287"/>
        <xdr:cNvCxnSpPr/>
      </xdr:nvCxnSpPr>
      <xdr:spPr>
        <a:xfrm>
          <a:off x="7075714" y="576782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149680</xdr:colOff>
      <xdr:row>189</xdr:row>
      <xdr:rowOff>149679</xdr:rowOff>
    </xdr:from>
    <xdr:to>
      <xdr:col>88</xdr:col>
      <xdr:colOff>258536</xdr:colOff>
      <xdr:row>189</xdr:row>
      <xdr:rowOff>149679</xdr:rowOff>
    </xdr:to>
    <xdr:cxnSp macro="">
      <xdr:nvCxnSpPr>
        <xdr:cNvPr id="291" name="直線コネクタ 290"/>
        <xdr:cNvCxnSpPr/>
      </xdr:nvCxnSpPr>
      <xdr:spPr>
        <a:xfrm>
          <a:off x="7851323" y="4136572"/>
          <a:ext cx="73478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217714</xdr:colOff>
      <xdr:row>191</xdr:row>
      <xdr:rowOff>136071</xdr:rowOff>
    </xdr:from>
    <xdr:to>
      <xdr:col>90</xdr:col>
      <xdr:colOff>244929</xdr:colOff>
      <xdr:row>191</xdr:row>
      <xdr:rowOff>136071</xdr:rowOff>
    </xdr:to>
    <xdr:cxnSp macro="">
      <xdr:nvCxnSpPr>
        <xdr:cNvPr id="274" name="直線コネクタ 273"/>
        <xdr:cNvCxnSpPr/>
      </xdr:nvCxnSpPr>
      <xdr:spPr>
        <a:xfrm>
          <a:off x="7919357" y="3673928"/>
          <a:ext cx="12790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0</xdr:colOff>
      <xdr:row>72</xdr:row>
      <xdr:rowOff>0</xdr:rowOff>
    </xdr:from>
    <xdr:to>
      <xdr:col>98</xdr:col>
      <xdr:colOff>122464</xdr:colOff>
      <xdr:row>72</xdr:row>
      <xdr:rowOff>0</xdr:rowOff>
    </xdr:to>
    <xdr:cxnSp macro="">
      <xdr:nvCxnSpPr>
        <xdr:cNvPr id="299" name="直線コネクタ 298"/>
        <xdr:cNvCxnSpPr/>
      </xdr:nvCxnSpPr>
      <xdr:spPr>
        <a:xfrm>
          <a:off x="12464143" y="3252107"/>
          <a:ext cx="666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21</xdr:row>
      <xdr:rowOff>190500</xdr:rowOff>
    </xdr:from>
    <xdr:to>
      <xdr:col>114</xdr:col>
      <xdr:colOff>13607</xdr:colOff>
      <xdr:row>21</xdr:row>
      <xdr:rowOff>190500</xdr:rowOff>
    </xdr:to>
    <xdr:cxnSp macro="">
      <xdr:nvCxnSpPr>
        <xdr:cNvPr id="300" name="直線コネクタ 299"/>
        <xdr:cNvCxnSpPr/>
      </xdr:nvCxnSpPr>
      <xdr:spPr>
        <a:xfrm>
          <a:off x="6504214" y="2013857"/>
          <a:ext cx="3279322"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176893</xdr:colOff>
      <xdr:row>45</xdr:row>
      <xdr:rowOff>136071</xdr:rowOff>
    </xdr:from>
    <xdr:to>
      <xdr:col>87</xdr:col>
      <xdr:colOff>27214</xdr:colOff>
      <xdr:row>45</xdr:row>
      <xdr:rowOff>136071</xdr:rowOff>
    </xdr:to>
    <xdr:cxnSp macro="">
      <xdr:nvCxnSpPr>
        <xdr:cNvPr id="281" name="直線コネクタ 280"/>
        <xdr:cNvCxnSpPr/>
      </xdr:nvCxnSpPr>
      <xdr:spPr>
        <a:xfrm>
          <a:off x="7878536" y="3143250"/>
          <a:ext cx="163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40822</xdr:colOff>
      <xdr:row>190</xdr:row>
      <xdr:rowOff>149679</xdr:rowOff>
    </xdr:from>
    <xdr:to>
      <xdr:col>89</xdr:col>
      <xdr:colOff>299357</xdr:colOff>
      <xdr:row>190</xdr:row>
      <xdr:rowOff>149679</xdr:rowOff>
    </xdr:to>
    <xdr:cxnSp macro="">
      <xdr:nvCxnSpPr>
        <xdr:cNvPr id="294" name="直線コネクタ 293"/>
        <xdr:cNvCxnSpPr/>
      </xdr:nvCxnSpPr>
      <xdr:spPr>
        <a:xfrm>
          <a:off x="8055429" y="3442608"/>
          <a:ext cx="88446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176894</xdr:colOff>
      <xdr:row>46</xdr:row>
      <xdr:rowOff>136071</xdr:rowOff>
    </xdr:from>
    <xdr:to>
      <xdr:col>88</xdr:col>
      <xdr:colOff>13608</xdr:colOff>
      <xdr:row>46</xdr:row>
      <xdr:rowOff>136071</xdr:rowOff>
    </xdr:to>
    <xdr:cxnSp macro="">
      <xdr:nvCxnSpPr>
        <xdr:cNvPr id="293" name="直線コネクタ 292"/>
        <xdr:cNvCxnSpPr/>
      </xdr:nvCxnSpPr>
      <xdr:spPr>
        <a:xfrm>
          <a:off x="8191501" y="2898321"/>
          <a:ext cx="149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27214</xdr:colOff>
      <xdr:row>49</xdr:row>
      <xdr:rowOff>149679</xdr:rowOff>
    </xdr:from>
    <xdr:to>
      <xdr:col>95</xdr:col>
      <xdr:colOff>204107</xdr:colOff>
      <xdr:row>49</xdr:row>
      <xdr:rowOff>149679</xdr:rowOff>
    </xdr:to>
    <xdr:cxnSp macro="">
      <xdr:nvCxnSpPr>
        <xdr:cNvPr id="297" name="直線コネクタ 296"/>
        <xdr:cNvCxnSpPr/>
      </xdr:nvCxnSpPr>
      <xdr:spPr>
        <a:xfrm>
          <a:off x="7102928" y="2952750"/>
          <a:ext cx="15376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244928</xdr:colOff>
      <xdr:row>192</xdr:row>
      <xdr:rowOff>122464</xdr:rowOff>
    </xdr:from>
    <xdr:to>
      <xdr:col>91</xdr:col>
      <xdr:colOff>108857</xdr:colOff>
      <xdr:row>192</xdr:row>
      <xdr:rowOff>122464</xdr:rowOff>
    </xdr:to>
    <xdr:cxnSp macro="">
      <xdr:nvCxnSpPr>
        <xdr:cNvPr id="289" name="直線コネクタ 288"/>
        <xdr:cNvCxnSpPr/>
      </xdr:nvCxnSpPr>
      <xdr:spPr>
        <a:xfrm>
          <a:off x="8259535" y="3660321"/>
          <a:ext cx="10749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193</xdr:row>
      <xdr:rowOff>149678</xdr:rowOff>
    </xdr:from>
    <xdr:to>
      <xdr:col>91</xdr:col>
      <xdr:colOff>13607</xdr:colOff>
      <xdr:row>193</xdr:row>
      <xdr:rowOff>149678</xdr:rowOff>
    </xdr:to>
    <xdr:cxnSp macro="">
      <xdr:nvCxnSpPr>
        <xdr:cNvPr id="301" name="直線コネクタ 300"/>
        <xdr:cNvCxnSpPr/>
      </xdr:nvCxnSpPr>
      <xdr:spPr>
        <a:xfrm>
          <a:off x="7075714" y="4667249"/>
          <a:ext cx="285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95</xdr:col>
      <xdr:colOff>27214</xdr:colOff>
      <xdr:row>197</xdr:row>
      <xdr:rowOff>136072</xdr:rowOff>
    </xdr:from>
    <xdr:to>
      <xdr:col>96</xdr:col>
      <xdr:colOff>0</xdr:colOff>
      <xdr:row>197</xdr:row>
      <xdr:rowOff>136072</xdr:rowOff>
    </xdr:to>
    <xdr:cxnSp macro="">
      <xdr:nvCxnSpPr>
        <xdr:cNvPr id="307" name="直線コネクタ 306"/>
        <xdr:cNvCxnSpPr/>
      </xdr:nvCxnSpPr>
      <xdr:spPr>
        <a:xfrm>
          <a:off x="8463643" y="4163786"/>
          <a:ext cx="2449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20</xdr:row>
      <xdr:rowOff>204107</xdr:rowOff>
    </xdr:from>
    <xdr:to>
      <xdr:col>113</xdr:col>
      <xdr:colOff>231323</xdr:colOff>
      <xdr:row>20</xdr:row>
      <xdr:rowOff>204107</xdr:rowOff>
    </xdr:to>
    <xdr:cxnSp macro="">
      <xdr:nvCxnSpPr>
        <xdr:cNvPr id="298" name="直線コネクタ 297"/>
        <xdr:cNvCxnSpPr/>
      </xdr:nvCxnSpPr>
      <xdr:spPr>
        <a:xfrm>
          <a:off x="6504214" y="1782536"/>
          <a:ext cx="4857752"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56</xdr:row>
      <xdr:rowOff>149679</xdr:rowOff>
    </xdr:from>
    <xdr:to>
      <xdr:col>113</xdr:col>
      <xdr:colOff>40821</xdr:colOff>
      <xdr:row>56</xdr:row>
      <xdr:rowOff>149679</xdr:rowOff>
    </xdr:to>
    <xdr:cxnSp macro="">
      <xdr:nvCxnSpPr>
        <xdr:cNvPr id="265" name="直線コネクタ 264"/>
        <xdr:cNvCxnSpPr/>
      </xdr:nvCxnSpPr>
      <xdr:spPr>
        <a:xfrm>
          <a:off x="6504214" y="3197679"/>
          <a:ext cx="18777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91</xdr:col>
      <xdr:colOff>13607</xdr:colOff>
      <xdr:row>199</xdr:row>
      <xdr:rowOff>149678</xdr:rowOff>
    </xdr:from>
    <xdr:to>
      <xdr:col>92</xdr:col>
      <xdr:colOff>136071</xdr:colOff>
      <xdr:row>199</xdr:row>
      <xdr:rowOff>149678</xdr:rowOff>
    </xdr:to>
    <xdr:cxnSp macro="">
      <xdr:nvCxnSpPr>
        <xdr:cNvPr id="303" name="直線コネクタ 302"/>
        <xdr:cNvCxnSpPr/>
      </xdr:nvCxnSpPr>
      <xdr:spPr>
        <a:xfrm>
          <a:off x="9239250" y="6136821"/>
          <a:ext cx="39460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88</xdr:col>
      <xdr:colOff>190500</xdr:colOff>
      <xdr:row>350</xdr:row>
      <xdr:rowOff>122465</xdr:rowOff>
    </xdr:from>
    <xdr:to>
      <xdr:col>89</xdr:col>
      <xdr:colOff>163286</xdr:colOff>
      <xdr:row>350</xdr:row>
      <xdr:rowOff>122465</xdr:rowOff>
    </xdr:to>
    <xdr:cxnSp macro="">
      <xdr:nvCxnSpPr>
        <xdr:cNvPr id="310" name="直線コネクタ 309"/>
        <xdr:cNvCxnSpPr/>
      </xdr:nvCxnSpPr>
      <xdr:spPr>
        <a:xfrm>
          <a:off x="8831036" y="7946572"/>
          <a:ext cx="285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231322</xdr:colOff>
      <xdr:row>199</xdr:row>
      <xdr:rowOff>136072</xdr:rowOff>
    </xdr:from>
    <xdr:to>
      <xdr:col>97</xdr:col>
      <xdr:colOff>108858</xdr:colOff>
      <xdr:row>199</xdr:row>
      <xdr:rowOff>136072</xdr:rowOff>
    </xdr:to>
    <xdr:cxnSp macro="">
      <xdr:nvCxnSpPr>
        <xdr:cNvPr id="292" name="直線コネクタ 291"/>
        <xdr:cNvCxnSpPr/>
      </xdr:nvCxnSpPr>
      <xdr:spPr>
        <a:xfrm>
          <a:off x="8939893" y="3429001"/>
          <a:ext cx="1496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231321</xdr:colOff>
      <xdr:row>196</xdr:row>
      <xdr:rowOff>136071</xdr:rowOff>
    </xdr:from>
    <xdr:to>
      <xdr:col>93</xdr:col>
      <xdr:colOff>244928</xdr:colOff>
      <xdr:row>196</xdr:row>
      <xdr:rowOff>136071</xdr:rowOff>
    </xdr:to>
    <xdr:cxnSp macro="">
      <xdr:nvCxnSpPr>
        <xdr:cNvPr id="302" name="直線コネクタ 301"/>
        <xdr:cNvCxnSpPr/>
      </xdr:nvCxnSpPr>
      <xdr:spPr>
        <a:xfrm>
          <a:off x="7851321" y="5388428"/>
          <a:ext cx="285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122464</xdr:colOff>
      <xdr:row>193</xdr:row>
      <xdr:rowOff>149678</xdr:rowOff>
    </xdr:from>
    <xdr:to>
      <xdr:col>93</xdr:col>
      <xdr:colOff>0</xdr:colOff>
      <xdr:row>193</xdr:row>
      <xdr:rowOff>149678</xdr:rowOff>
    </xdr:to>
    <xdr:cxnSp macro="">
      <xdr:nvCxnSpPr>
        <xdr:cNvPr id="306" name="直線コネクタ 305"/>
        <xdr:cNvCxnSpPr/>
      </xdr:nvCxnSpPr>
      <xdr:spPr>
        <a:xfrm>
          <a:off x="7742464" y="4667249"/>
          <a:ext cx="1496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149679</xdr:colOff>
      <xdr:row>195</xdr:row>
      <xdr:rowOff>149678</xdr:rowOff>
    </xdr:from>
    <xdr:to>
      <xdr:col>93</xdr:col>
      <xdr:colOff>204107</xdr:colOff>
      <xdr:row>195</xdr:row>
      <xdr:rowOff>149678</xdr:rowOff>
    </xdr:to>
    <xdr:cxnSp macro="">
      <xdr:nvCxnSpPr>
        <xdr:cNvPr id="309" name="直線コネクタ 308"/>
        <xdr:cNvCxnSpPr/>
      </xdr:nvCxnSpPr>
      <xdr:spPr>
        <a:xfrm>
          <a:off x="7769679" y="3932464"/>
          <a:ext cx="326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95</xdr:col>
      <xdr:colOff>108857</xdr:colOff>
      <xdr:row>196</xdr:row>
      <xdr:rowOff>149680</xdr:rowOff>
    </xdr:from>
    <xdr:to>
      <xdr:col>95</xdr:col>
      <xdr:colOff>258536</xdr:colOff>
      <xdr:row>196</xdr:row>
      <xdr:rowOff>149680</xdr:rowOff>
    </xdr:to>
    <xdr:cxnSp macro="">
      <xdr:nvCxnSpPr>
        <xdr:cNvPr id="311" name="直線コネクタ 310"/>
        <xdr:cNvCxnSpPr/>
      </xdr:nvCxnSpPr>
      <xdr:spPr>
        <a:xfrm>
          <a:off x="8545286" y="5402037"/>
          <a:ext cx="1496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27214</xdr:colOff>
      <xdr:row>350</xdr:row>
      <xdr:rowOff>163286</xdr:rowOff>
    </xdr:from>
    <xdr:to>
      <xdr:col>98</xdr:col>
      <xdr:colOff>244928</xdr:colOff>
      <xdr:row>350</xdr:row>
      <xdr:rowOff>163286</xdr:rowOff>
    </xdr:to>
    <xdr:cxnSp macro="">
      <xdr:nvCxnSpPr>
        <xdr:cNvPr id="312" name="直線コネクタ 311"/>
        <xdr:cNvCxnSpPr/>
      </xdr:nvCxnSpPr>
      <xdr:spPr>
        <a:xfrm>
          <a:off x="7075714" y="8967107"/>
          <a:ext cx="489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163286</xdr:colOff>
      <xdr:row>194</xdr:row>
      <xdr:rowOff>122464</xdr:rowOff>
    </xdr:from>
    <xdr:to>
      <xdr:col>93</xdr:col>
      <xdr:colOff>258536</xdr:colOff>
      <xdr:row>194</xdr:row>
      <xdr:rowOff>122464</xdr:rowOff>
    </xdr:to>
    <xdr:cxnSp macro="">
      <xdr:nvCxnSpPr>
        <xdr:cNvPr id="290" name="直線コネクタ 289"/>
        <xdr:cNvCxnSpPr/>
      </xdr:nvCxnSpPr>
      <xdr:spPr>
        <a:xfrm>
          <a:off x="7783286" y="3660321"/>
          <a:ext cx="3673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94</xdr:col>
      <xdr:colOff>231321</xdr:colOff>
      <xdr:row>198</xdr:row>
      <xdr:rowOff>149679</xdr:rowOff>
    </xdr:from>
    <xdr:to>
      <xdr:col>96</xdr:col>
      <xdr:colOff>176893</xdr:colOff>
      <xdr:row>198</xdr:row>
      <xdr:rowOff>149679</xdr:rowOff>
    </xdr:to>
    <xdr:cxnSp macro="">
      <xdr:nvCxnSpPr>
        <xdr:cNvPr id="295" name="直線コネクタ 294"/>
        <xdr:cNvCxnSpPr/>
      </xdr:nvCxnSpPr>
      <xdr:spPr>
        <a:xfrm>
          <a:off x="8395607" y="3932465"/>
          <a:ext cx="489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60</xdr:row>
      <xdr:rowOff>149679</xdr:rowOff>
    </xdr:from>
    <xdr:to>
      <xdr:col>122</xdr:col>
      <xdr:colOff>0</xdr:colOff>
      <xdr:row>60</xdr:row>
      <xdr:rowOff>149679</xdr:rowOff>
    </xdr:to>
    <xdr:cxnSp macro="">
      <xdr:nvCxnSpPr>
        <xdr:cNvPr id="304" name="直線コネクタ 303"/>
        <xdr:cNvCxnSpPr/>
      </xdr:nvCxnSpPr>
      <xdr:spPr>
        <a:xfrm>
          <a:off x="6504214" y="1973036"/>
          <a:ext cx="2939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190500</xdr:colOff>
      <xdr:row>200</xdr:row>
      <xdr:rowOff>136071</xdr:rowOff>
    </xdr:from>
    <xdr:to>
      <xdr:col>98</xdr:col>
      <xdr:colOff>95250</xdr:colOff>
      <xdr:row>200</xdr:row>
      <xdr:rowOff>136071</xdr:rowOff>
    </xdr:to>
    <xdr:cxnSp macro="">
      <xdr:nvCxnSpPr>
        <xdr:cNvPr id="316" name="直線コネクタ 315"/>
        <xdr:cNvCxnSpPr/>
      </xdr:nvCxnSpPr>
      <xdr:spPr>
        <a:xfrm>
          <a:off x="8899071" y="4163785"/>
          <a:ext cx="449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95250</xdr:colOff>
      <xdr:row>221</xdr:row>
      <xdr:rowOff>136071</xdr:rowOff>
    </xdr:from>
    <xdr:to>
      <xdr:col>99</xdr:col>
      <xdr:colOff>258536</xdr:colOff>
      <xdr:row>221</xdr:row>
      <xdr:rowOff>136071</xdr:rowOff>
    </xdr:to>
    <xdr:cxnSp macro="">
      <xdr:nvCxnSpPr>
        <xdr:cNvPr id="296" name="直線コネクタ 295"/>
        <xdr:cNvCxnSpPr/>
      </xdr:nvCxnSpPr>
      <xdr:spPr>
        <a:xfrm>
          <a:off x="6871607" y="3918857"/>
          <a:ext cx="7075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81643</xdr:colOff>
      <xdr:row>203</xdr:row>
      <xdr:rowOff>136071</xdr:rowOff>
    </xdr:from>
    <xdr:to>
      <xdr:col>101</xdr:col>
      <xdr:colOff>258535</xdr:colOff>
      <xdr:row>203</xdr:row>
      <xdr:rowOff>136071</xdr:rowOff>
    </xdr:to>
    <xdr:cxnSp macro="">
      <xdr:nvCxnSpPr>
        <xdr:cNvPr id="317" name="直線コネクタ 316"/>
        <xdr:cNvCxnSpPr/>
      </xdr:nvCxnSpPr>
      <xdr:spPr>
        <a:xfrm>
          <a:off x="6858000" y="4898571"/>
          <a:ext cx="126546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272142</xdr:colOff>
      <xdr:row>350</xdr:row>
      <xdr:rowOff>163285</xdr:rowOff>
    </xdr:from>
    <xdr:to>
      <xdr:col>74</xdr:col>
      <xdr:colOff>40822</xdr:colOff>
      <xdr:row>350</xdr:row>
      <xdr:rowOff>163285</xdr:rowOff>
    </xdr:to>
    <xdr:cxnSp macro="">
      <xdr:nvCxnSpPr>
        <xdr:cNvPr id="305" name="直線コネクタ 304"/>
        <xdr:cNvCxnSpPr/>
      </xdr:nvCxnSpPr>
      <xdr:spPr>
        <a:xfrm>
          <a:off x="6504214" y="8477249"/>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88</xdr:col>
      <xdr:colOff>190500</xdr:colOff>
      <xdr:row>350</xdr:row>
      <xdr:rowOff>122465</xdr:rowOff>
    </xdr:from>
    <xdr:to>
      <xdr:col>89</xdr:col>
      <xdr:colOff>163286</xdr:colOff>
      <xdr:row>350</xdr:row>
      <xdr:rowOff>122465</xdr:rowOff>
    </xdr:to>
    <xdr:cxnSp macro="">
      <xdr:nvCxnSpPr>
        <xdr:cNvPr id="318" name="直線コネクタ 317"/>
        <xdr:cNvCxnSpPr/>
      </xdr:nvCxnSpPr>
      <xdr:spPr>
        <a:xfrm>
          <a:off x="6504214" y="8436429"/>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13607</xdr:colOff>
      <xdr:row>23</xdr:row>
      <xdr:rowOff>136072</xdr:rowOff>
    </xdr:from>
    <xdr:to>
      <xdr:col>104</xdr:col>
      <xdr:colOff>0</xdr:colOff>
      <xdr:row>23</xdr:row>
      <xdr:rowOff>136072</xdr:rowOff>
    </xdr:to>
    <xdr:cxnSp macro="">
      <xdr:nvCxnSpPr>
        <xdr:cNvPr id="322" name="直線コネクタ 321"/>
        <xdr:cNvCxnSpPr/>
      </xdr:nvCxnSpPr>
      <xdr:spPr>
        <a:xfrm>
          <a:off x="7606393" y="2449286"/>
          <a:ext cx="1074964"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204107</xdr:colOff>
      <xdr:row>213</xdr:row>
      <xdr:rowOff>122464</xdr:rowOff>
    </xdr:from>
    <xdr:to>
      <xdr:col>103</xdr:col>
      <xdr:colOff>258536</xdr:colOff>
      <xdr:row>213</xdr:row>
      <xdr:rowOff>122464</xdr:rowOff>
    </xdr:to>
    <xdr:cxnSp macro="">
      <xdr:nvCxnSpPr>
        <xdr:cNvPr id="323" name="直線コネクタ 322"/>
        <xdr:cNvCxnSpPr/>
      </xdr:nvCxnSpPr>
      <xdr:spPr>
        <a:xfrm>
          <a:off x="7524750" y="4640035"/>
          <a:ext cx="11430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231321</xdr:colOff>
      <xdr:row>248</xdr:row>
      <xdr:rowOff>136071</xdr:rowOff>
    </xdr:from>
    <xdr:to>
      <xdr:col>102</xdr:col>
      <xdr:colOff>258536</xdr:colOff>
      <xdr:row>248</xdr:row>
      <xdr:rowOff>136071</xdr:rowOff>
    </xdr:to>
    <xdr:cxnSp macro="">
      <xdr:nvCxnSpPr>
        <xdr:cNvPr id="324" name="直線コネクタ 323"/>
        <xdr:cNvCxnSpPr/>
      </xdr:nvCxnSpPr>
      <xdr:spPr>
        <a:xfrm>
          <a:off x="8096250" y="4163785"/>
          <a:ext cx="2993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163286</xdr:colOff>
      <xdr:row>201</xdr:row>
      <xdr:rowOff>136071</xdr:rowOff>
    </xdr:from>
    <xdr:to>
      <xdr:col>100</xdr:col>
      <xdr:colOff>244928</xdr:colOff>
      <xdr:row>201</xdr:row>
      <xdr:rowOff>136071</xdr:rowOff>
    </xdr:to>
    <xdr:cxnSp macro="">
      <xdr:nvCxnSpPr>
        <xdr:cNvPr id="325" name="直線コネクタ 324"/>
        <xdr:cNvCxnSpPr/>
      </xdr:nvCxnSpPr>
      <xdr:spPr>
        <a:xfrm>
          <a:off x="7211786" y="4408714"/>
          <a:ext cx="6259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176893</xdr:colOff>
      <xdr:row>205</xdr:row>
      <xdr:rowOff>136071</xdr:rowOff>
    </xdr:from>
    <xdr:to>
      <xdr:col>100</xdr:col>
      <xdr:colOff>258535</xdr:colOff>
      <xdr:row>205</xdr:row>
      <xdr:rowOff>136071</xdr:rowOff>
    </xdr:to>
    <xdr:cxnSp macro="">
      <xdr:nvCxnSpPr>
        <xdr:cNvPr id="326" name="直線コネクタ 325"/>
        <xdr:cNvCxnSpPr/>
      </xdr:nvCxnSpPr>
      <xdr:spPr>
        <a:xfrm>
          <a:off x="7225393" y="4408714"/>
          <a:ext cx="6259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184702</xdr:colOff>
      <xdr:row>382</xdr:row>
      <xdr:rowOff>136663</xdr:rowOff>
    </xdr:from>
    <xdr:to>
      <xdr:col>6</xdr:col>
      <xdr:colOff>165652</xdr:colOff>
      <xdr:row>382</xdr:row>
      <xdr:rowOff>136663</xdr:rowOff>
    </xdr:to>
    <xdr:cxnSp macro="">
      <xdr:nvCxnSpPr>
        <xdr:cNvPr id="327" name="直線コネクタ 326"/>
        <xdr:cNvCxnSpPr/>
      </xdr:nvCxnSpPr>
      <xdr:spPr>
        <a:xfrm>
          <a:off x="2412724" y="16809554"/>
          <a:ext cx="461341" cy="0"/>
        </a:xfrm>
        <a:prstGeom prst="line">
          <a:avLst/>
        </a:prstGeom>
        <a:ln w="25400">
          <a:solidFill>
            <a:schemeClr val="tx1"/>
          </a:solidFill>
          <a:prstDash val="sysDash"/>
          <a:headEnd type="oval"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194227</xdr:colOff>
      <xdr:row>386</xdr:row>
      <xdr:rowOff>128381</xdr:rowOff>
    </xdr:from>
    <xdr:to>
      <xdr:col>6</xdr:col>
      <xdr:colOff>165652</xdr:colOff>
      <xdr:row>386</xdr:row>
      <xdr:rowOff>128381</xdr:rowOff>
    </xdr:to>
    <xdr:cxnSp macro="">
      <xdr:nvCxnSpPr>
        <xdr:cNvPr id="328" name="直線コネクタ 327"/>
        <xdr:cNvCxnSpPr/>
      </xdr:nvCxnSpPr>
      <xdr:spPr>
        <a:xfrm>
          <a:off x="2422249" y="17281664"/>
          <a:ext cx="451816" cy="0"/>
        </a:xfrm>
        <a:prstGeom prst="line">
          <a:avLst/>
        </a:prstGeom>
        <a:ln w="31750" cmpd="dbl">
          <a:solidFill>
            <a:schemeClr val="tx1"/>
          </a:solidFill>
          <a:prstDash val="sysDash"/>
          <a:headEnd type="oval"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136071</xdr:colOff>
      <xdr:row>207</xdr:row>
      <xdr:rowOff>136071</xdr:rowOff>
    </xdr:from>
    <xdr:to>
      <xdr:col>103</xdr:col>
      <xdr:colOff>244928</xdr:colOff>
      <xdr:row>207</xdr:row>
      <xdr:rowOff>136071</xdr:rowOff>
    </xdr:to>
    <xdr:cxnSp macro="">
      <xdr:nvCxnSpPr>
        <xdr:cNvPr id="329" name="直線コネクタ 328"/>
        <xdr:cNvCxnSpPr/>
      </xdr:nvCxnSpPr>
      <xdr:spPr>
        <a:xfrm>
          <a:off x="7728857" y="6123214"/>
          <a:ext cx="925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40821</xdr:colOff>
      <xdr:row>202</xdr:row>
      <xdr:rowOff>136071</xdr:rowOff>
    </xdr:from>
    <xdr:to>
      <xdr:col>101</xdr:col>
      <xdr:colOff>54428</xdr:colOff>
      <xdr:row>202</xdr:row>
      <xdr:rowOff>136071</xdr:rowOff>
    </xdr:to>
    <xdr:cxnSp macro="">
      <xdr:nvCxnSpPr>
        <xdr:cNvPr id="330" name="直線コネクタ 329"/>
        <xdr:cNvCxnSpPr/>
      </xdr:nvCxnSpPr>
      <xdr:spPr>
        <a:xfrm>
          <a:off x="7361464" y="5633357"/>
          <a:ext cx="5578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13607</xdr:colOff>
      <xdr:row>7</xdr:row>
      <xdr:rowOff>190500</xdr:rowOff>
    </xdr:from>
    <xdr:to>
      <xdr:col>110</xdr:col>
      <xdr:colOff>258537</xdr:colOff>
      <xdr:row>7</xdr:row>
      <xdr:rowOff>190500</xdr:rowOff>
    </xdr:to>
    <xdr:cxnSp macro="">
      <xdr:nvCxnSpPr>
        <xdr:cNvPr id="321" name="直線コネクタ 320"/>
        <xdr:cNvCxnSpPr/>
      </xdr:nvCxnSpPr>
      <xdr:spPr>
        <a:xfrm>
          <a:off x="7334250" y="1279071"/>
          <a:ext cx="3238501"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40821</xdr:colOff>
      <xdr:row>222</xdr:row>
      <xdr:rowOff>149680</xdr:rowOff>
    </xdr:from>
    <xdr:to>
      <xdr:col>101</xdr:col>
      <xdr:colOff>-1</xdr:colOff>
      <xdr:row>222</xdr:row>
      <xdr:rowOff>149680</xdr:rowOff>
    </xdr:to>
    <xdr:cxnSp macro="">
      <xdr:nvCxnSpPr>
        <xdr:cNvPr id="331" name="直線コネクタ 330"/>
        <xdr:cNvCxnSpPr/>
      </xdr:nvCxnSpPr>
      <xdr:spPr>
        <a:xfrm>
          <a:off x="7633607" y="8096251"/>
          <a:ext cx="23132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-1</xdr:colOff>
      <xdr:row>204</xdr:row>
      <xdr:rowOff>136072</xdr:rowOff>
    </xdr:from>
    <xdr:to>
      <xdr:col>104</xdr:col>
      <xdr:colOff>108856</xdr:colOff>
      <xdr:row>204</xdr:row>
      <xdr:rowOff>136072</xdr:rowOff>
    </xdr:to>
    <xdr:cxnSp macro="">
      <xdr:nvCxnSpPr>
        <xdr:cNvPr id="335" name="直線コネクタ 334"/>
        <xdr:cNvCxnSpPr/>
      </xdr:nvCxnSpPr>
      <xdr:spPr>
        <a:xfrm>
          <a:off x="7864928" y="5878286"/>
          <a:ext cx="925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95250</xdr:colOff>
      <xdr:row>206</xdr:row>
      <xdr:rowOff>136071</xdr:rowOff>
    </xdr:from>
    <xdr:to>
      <xdr:col>103</xdr:col>
      <xdr:colOff>244928</xdr:colOff>
      <xdr:row>206</xdr:row>
      <xdr:rowOff>136071</xdr:rowOff>
    </xdr:to>
    <xdr:cxnSp macro="">
      <xdr:nvCxnSpPr>
        <xdr:cNvPr id="336" name="直線コネクタ 335"/>
        <xdr:cNvCxnSpPr/>
      </xdr:nvCxnSpPr>
      <xdr:spPr>
        <a:xfrm>
          <a:off x="7960179" y="4898571"/>
          <a:ext cx="69396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0</xdr:colOff>
      <xdr:row>28</xdr:row>
      <xdr:rowOff>0</xdr:rowOff>
    </xdr:from>
    <xdr:to>
      <xdr:col>108</xdr:col>
      <xdr:colOff>258535</xdr:colOff>
      <xdr:row>28</xdr:row>
      <xdr:rowOff>0</xdr:rowOff>
    </xdr:to>
    <xdr:cxnSp macro="">
      <xdr:nvCxnSpPr>
        <xdr:cNvPr id="338" name="直線コネクタ 337"/>
        <xdr:cNvCxnSpPr/>
      </xdr:nvCxnSpPr>
      <xdr:spPr>
        <a:xfrm>
          <a:off x="8953500" y="3292929"/>
          <a:ext cx="1074964"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103</xdr:col>
      <xdr:colOff>272142</xdr:colOff>
      <xdr:row>208</xdr:row>
      <xdr:rowOff>149678</xdr:rowOff>
    </xdr:from>
    <xdr:to>
      <xdr:col>105</xdr:col>
      <xdr:colOff>244927</xdr:colOff>
      <xdr:row>208</xdr:row>
      <xdr:rowOff>149678</xdr:rowOff>
    </xdr:to>
    <xdr:cxnSp macro="">
      <xdr:nvCxnSpPr>
        <xdr:cNvPr id="337" name="直線コネクタ 336"/>
        <xdr:cNvCxnSpPr/>
      </xdr:nvCxnSpPr>
      <xdr:spPr>
        <a:xfrm>
          <a:off x="7048499" y="4667249"/>
          <a:ext cx="5170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27215</xdr:colOff>
      <xdr:row>209</xdr:row>
      <xdr:rowOff>149678</xdr:rowOff>
    </xdr:from>
    <xdr:to>
      <xdr:col>106</xdr:col>
      <xdr:colOff>0</xdr:colOff>
      <xdr:row>209</xdr:row>
      <xdr:rowOff>149678</xdr:rowOff>
    </xdr:to>
    <xdr:cxnSp macro="">
      <xdr:nvCxnSpPr>
        <xdr:cNvPr id="341" name="直線コネクタ 340"/>
        <xdr:cNvCxnSpPr/>
      </xdr:nvCxnSpPr>
      <xdr:spPr>
        <a:xfrm>
          <a:off x="7075715" y="4912178"/>
          <a:ext cx="5170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54429</xdr:colOff>
      <xdr:row>210</xdr:row>
      <xdr:rowOff>149678</xdr:rowOff>
    </xdr:from>
    <xdr:to>
      <xdr:col>107</xdr:col>
      <xdr:colOff>136071</xdr:colOff>
      <xdr:row>210</xdr:row>
      <xdr:rowOff>149678</xdr:rowOff>
    </xdr:to>
    <xdr:cxnSp macro="">
      <xdr:nvCxnSpPr>
        <xdr:cNvPr id="342" name="直線コネクタ 341"/>
        <xdr:cNvCxnSpPr/>
      </xdr:nvCxnSpPr>
      <xdr:spPr>
        <a:xfrm>
          <a:off x="7375072" y="4177392"/>
          <a:ext cx="6259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0</xdr:colOff>
      <xdr:row>50</xdr:row>
      <xdr:rowOff>136071</xdr:rowOff>
    </xdr:from>
    <xdr:to>
      <xdr:col>110</xdr:col>
      <xdr:colOff>258536</xdr:colOff>
      <xdr:row>50</xdr:row>
      <xdr:rowOff>136071</xdr:rowOff>
    </xdr:to>
    <xdr:cxnSp macro="">
      <xdr:nvCxnSpPr>
        <xdr:cNvPr id="343" name="直線コネクタ 342"/>
        <xdr:cNvCxnSpPr/>
      </xdr:nvCxnSpPr>
      <xdr:spPr>
        <a:xfrm>
          <a:off x="7320643" y="7347857"/>
          <a:ext cx="16192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106</xdr:col>
      <xdr:colOff>108857</xdr:colOff>
      <xdr:row>211</xdr:row>
      <xdr:rowOff>149679</xdr:rowOff>
    </xdr:from>
    <xdr:to>
      <xdr:col>108</xdr:col>
      <xdr:colOff>1</xdr:colOff>
      <xdr:row>211</xdr:row>
      <xdr:rowOff>149679</xdr:rowOff>
    </xdr:to>
    <xdr:cxnSp macro="">
      <xdr:nvCxnSpPr>
        <xdr:cNvPr id="313" name="直線コネクタ 312"/>
        <xdr:cNvCxnSpPr/>
      </xdr:nvCxnSpPr>
      <xdr:spPr>
        <a:xfrm>
          <a:off x="7701643" y="7116536"/>
          <a:ext cx="435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0</xdr:colOff>
      <xdr:row>350</xdr:row>
      <xdr:rowOff>272143</xdr:rowOff>
    </xdr:from>
    <xdr:to>
      <xdr:col>106</xdr:col>
      <xdr:colOff>204107</xdr:colOff>
      <xdr:row>350</xdr:row>
      <xdr:rowOff>272143</xdr:rowOff>
    </xdr:to>
    <xdr:cxnSp macro="">
      <xdr:nvCxnSpPr>
        <xdr:cNvPr id="332" name="直線コネクタ 331"/>
        <xdr:cNvCxnSpPr/>
      </xdr:nvCxnSpPr>
      <xdr:spPr>
        <a:xfrm>
          <a:off x="7320643" y="8586107"/>
          <a:ext cx="7483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350</xdr:row>
      <xdr:rowOff>190501</xdr:rowOff>
    </xdr:from>
    <xdr:to>
      <xdr:col>144</xdr:col>
      <xdr:colOff>13607</xdr:colOff>
      <xdr:row>350</xdr:row>
      <xdr:rowOff>190501</xdr:rowOff>
    </xdr:to>
    <xdr:cxnSp macro="">
      <xdr:nvCxnSpPr>
        <xdr:cNvPr id="351" name="直線コネクタ 350"/>
        <xdr:cNvCxnSpPr/>
      </xdr:nvCxnSpPr>
      <xdr:spPr>
        <a:xfrm>
          <a:off x="6504214" y="9116787"/>
          <a:ext cx="6626679" cy="0"/>
        </a:xfrm>
        <a:prstGeom prst="line">
          <a:avLst/>
        </a:prstGeom>
        <a:ln w="31750">
          <a:solidFill>
            <a:schemeClr val="tx1"/>
          </a:solidFill>
          <a:prstDash val="sysDash"/>
          <a:headEnd type="oval"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61</xdr:row>
      <xdr:rowOff>149679</xdr:rowOff>
    </xdr:from>
    <xdr:to>
      <xdr:col>121</xdr:col>
      <xdr:colOff>272143</xdr:colOff>
      <xdr:row>61</xdr:row>
      <xdr:rowOff>149679</xdr:rowOff>
    </xdr:to>
    <xdr:cxnSp macro="">
      <xdr:nvCxnSpPr>
        <xdr:cNvPr id="347" name="直線コネクタ 346"/>
        <xdr:cNvCxnSpPr/>
      </xdr:nvCxnSpPr>
      <xdr:spPr>
        <a:xfrm>
          <a:off x="6504214" y="2217965"/>
          <a:ext cx="6395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27215</xdr:colOff>
      <xdr:row>58</xdr:row>
      <xdr:rowOff>122464</xdr:rowOff>
    </xdr:from>
    <xdr:to>
      <xdr:col>114</xdr:col>
      <xdr:colOff>27214</xdr:colOff>
      <xdr:row>58</xdr:row>
      <xdr:rowOff>122464</xdr:rowOff>
    </xdr:to>
    <xdr:cxnSp macro="">
      <xdr:nvCxnSpPr>
        <xdr:cNvPr id="349" name="直線コネクタ 348"/>
        <xdr:cNvCxnSpPr/>
      </xdr:nvCxnSpPr>
      <xdr:spPr>
        <a:xfrm>
          <a:off x="8164286" y="7089321"/>
          <a:ext cx="1632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106</xdr:col>
      <xdr:colOff>108857</xdr:colOff>
      <xdr:row>218</xdr:row>
      <xdr:rowOff>149679</xdr:rowOff>
    </xdr:from>
    <xdr:to>
      <xdr:col>107</xdr:col>
      <xdr:colOff>81642</xdr:colOff>
      <xdr:row>218</xdr:row>
      <xdr:rowOff>149679</xdr:rowOff>
    </xdr:to>
    <xdr:cxnSp macro="">
      <xdr:nvCxnSpPr>
        <xdr:cNvPr id="353" name="直線コネクタ 352"/>
        <xdr:cNvCxnSpPr/>
      </xdr:nvCxnSpPr>
      <xdr:spPr>
        <a:xfrm>
          <a:off x="7701643" y="6381750"/>
          <a:ext cx="2449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0</xdr:colOff>
      <xdr:row>72</xdr:row>
      <xdr:rowOff>0</xdr:rowOff>
    </xdr:from>
    <xdr:to>
      <xdr:col>118</xdr:col>
      <xdr:colOff>13608</xdr:colOff>
      <xdr:row>72</xdr:row>
      <xdr:rowOff>0</xdr:rowOff>
    </xdr:to>
    <xdr:cxnSp macro="">
      <xdr:nvCxnSpPr>
        <xdr:cNvPr id="354" name="直線コネクタ 353"/>
        <xdr:cNvCxnSpPr/>
      </xdr:nvCxnSpPr>
      <xdr:spPr>
        <a:xfrm>
          <a:off x="9769929" y="4027714"/>
          <a:ext cx="1102179"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40822</xdr:colOff>
      <xdr:row>21</xdr:row>
      <xdr:rowOff>190500</xdr:rowOff>
    </xdr:from>
    <xdr:to>
      <xdr:col>134</xdr:col>
      <xdr:colOff>358589</xdr:colOff>
      <xdr:row>21</xdr:row>
      <xdr:rowOff>190500</xdr:rowOff>
    </xdr:to>
    <xdr:cxnSp macro="">
      <xdr:nvCxnSpPr>
        <xdr:cNvPr id="357" name="直線コネクタ 356"/>
        <xdr:cNvCxnSpPr/>
      </xdr:nvCxnSpPr>
      <xdr:spPr>
        <a:xfrm>
          <a:off x="6428175" y="1770529"/>
          <a:ext cx="7713649"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13607</xdr:colOff>
      <xdr:row>16</xdr:row>
      <xdr:rowOff>136071</xdr:rowOff>
    </xdr:from>
    <xdr:to>
      <xdr:col>114</xdr:col>
      <xdr:colOff>176893</xdr:colOff>
      <xdr:row>16</xdr:row>
      <xdr:rowOff>136071</xdr:rowOff>
    </xdr:to>
    <xdr:cxnSp macro="">
      <xdr:nvCxnSpPr>
        <xdr:cNvPr id="358" name="直線コネクタ 357"/>
        <xdr:cNvCxnSpPr/>
      </xdr:nvCxnSpPr>
      <xdr:spPr>
        <a:xfrm>
          <a:off x="6517821" y="2204357"/>
          <a:ext cx="2367643"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xdr:row>
      <xdr:rowOff>190500</xdr:rowOff>
    </xdr:from>
    <xdr:to>
      <xdr:col>104</xdr:col>
      <xdr:colOff>0</xdr:colOff>
      <xdr:row>22</xdr:row>
      <xdr:rowOff>190500</xdr:rowOff>
    </xdr:to>
    <xdr:cxnSp macro="">
      <xdr:nvCxnSpPr>
        <xdr:cNvPr id="360" name="直線コネクタ 359"/>
        <xdr:cNvCxnSpPr/>
      </xdr:nvCxnSpPr>
      <xdr:spPr>
        <a:xfrm>
          <a:off x="6504214" y="2993571"/>
          <a:ext cx="544286"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xdr:row>
      <xdr:rowOff>163285</xdr:rowOff>
    </xdr:from>
    <xdr:to>
      <xdr:col>114</xdr:col>
      <xdr:colOff>176893</xdr:colOff>
      <xdr:row>22</xdr:row>
      <xdr:rowOff>163285</xdr:rowOff>
    </xdr:to>
    <xdr:cxnSp macro="">
      <xdr:nvCxnSpPr>
        <xdr:cNvPr id="361" name="直線コネクタ 360"/>
        <xdr:cNvCxnSpPr/>
      </xdr:nvCxnSpPr>
      <xdr:spPr>
        <a:xfrm>
          <a:off x="6504214" y="1741714"/>
          <a:ext cx="2381250"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107</xdr:col>
      <xdr:colOff>122464</xdr:colOff>
      <xdr:row>226</xdr:row>
      <xdr:rowOff>149677</xdr:rowOff>
    </xdr:from>
    <xdr:to>
      <xdr:col>110</xdr:col>
      <xdr:colOff>0</xdr:colOff>
      <xdr:row>226</xdr:row>
      <xdr:rowOff>149677</xdr:rowOff>
    </xdr:to>
    <xdr:cxnSp macro="">
      <xdr:nvCxnSpPr>
        <xdr:cNvPr id="308" name="直線コネクタ 307"/>
        <xdr:cNvCxnSpPr/>
      </xdr:nvCxnSpPr>
      <xdr:spPr>
        <a:xfrm>
          <a:off x="7987393" y="6381748"/>
          <a:ext cx="69396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54428</xdr:colOff>
      <xdr:row>213</xdr:row>
      <xdr:rowOff>136072</xdr:rowOff>
    </xdr:from>
    <xdr:to>
      <xdr:col>109</xdr:col>
      <xdr:colOff>54428</xdr:colOff>
      <xdr:row>213</xdr:row>
      <xdr:rowOff>136072</xdr:rowOff>
    </xdr:to>
    <xdr:cxnSp macro="">
      <xdr:nvCxnSpPr>
        <xdr:cNvPr id="319" name="直線コネクタ 318"/>
        <xdr:cNvCxnSpPr/>
      </xdr:nvCxnSpPr>
      <xdr:spPr>
        <a:xfrm>
          <a:off x="8191499" y="5143501"/>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107</xdr:col>
      <xdr:colOff>149678</xdr:colOff>
      <xdr:row>212</xdr:row>
      <xdr:rowOff>136072</xdr:rowOff>
    </xdr:from>
    <xdr:to>
      <xdr:col>109</xdr:col>
      <xdr:colOff>40822</xdr:colOff>
      <xdr:row>212</xdr:row>
      <xdr:rowOff>136072</xdr:rowOff>
    </xdr:to>
    <xdr:cxnSp macro="">
      <xdr:nvCxnSpPr>
        <xdr:cNvPr id="356" name="直線コネクタ 355"/>
        <xdr:cNvCxnSpPr/>
      </xdr:nvCxnSpPr>
      <xdr:spPr>
        <a:xfrm>
          <a:off x="8014607" y="4898572"/>
          <a:ext cx="435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272142</xdr:colOff>
      <xdr:row>216</xdr:row>
      <xdr:rowOff>136072</xdr:rowOff>
    </xdr:from>
    <xdr:to>
      <xdr:col>109</xdr:col>
      <xdr:colOff>272142</xdr:colOff>
      <xdr:row>216</xdr:row>
      <xdr:rowOff>136072</xdr:rowOff>
    </xdr:to>
    <xdr:cxnSp macro="">
      <xdr:nvCxnSpPr>
        <xdr:cNvPr id="362" name="直線コネクタ 361"/>
        <xdr:cNvCxnSpPr/>
      </xdr:nvCxnSpPr>
      <xdr:spPr>
        <a:xfrm>
          <a:off x="6776356" y="40413215"/>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27214</xdr:colOff>
      <xdr:row>214</xdr:row>
      <xdr:rowOff>149678</xdr:rowOff>
    </xdr:from>
    <xdr:to>
      <xdr:col>109</xdr:col>
      <xdr:colOff>27214</xdr:colOff>
      <xdr:row>214</xdr:row>
      <xdr:rowOff>149678</xdr:rowOff>
    </xdr:to>
    <xdr:cxnSp macro="">
      <xdr:nvCxnSpPr>
        <xdr:cNvPr id="364" name="直線コネクタ 363"/>
        <xdr:cNvCxnSpPr/>
      </xdr:nvCxnSpPr>
      <xdr:spPr>
        <a:xfrm>
          <a:off x="8164285" y="5646964"/>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244929</xdr:colOff>
      <xdr:row>215</xdr:row>
      <xdr:rowOff>136071</xdr:rowOff>
    </xdr:from>
    <xdr:to>
      <xdr:col>109</xdr:col>
      <xdr:colOff>244929</xdr:colOff>
      <xdr:row>215</xdr:row>
      <xdr:rowOff>136071</xdr:rowOff>
    </xdr:to>
    <xdr:cxnSp macro="">
      <xdr:nvCxnSpPr>
        <xdr:cNvPr id="366" name="直線コネクタ 365"/>
        <xdr:cNvCxnSpPr/>
      </xdr:nvCxnSpPr>
      <xdr:spPr>
        <a:xfrm>
          <a:off x="8382000" y="6123214"/>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122465</xdr:colOff>
      <xdr:row>218</xdr:row>
      <xdr:rowOff>149679</xdr:rowOff>
    </xdr:from>
    <xdr:to>
      <xdr:col>112</xdr:col>
      <xdr:colOff>13607</xdr:colOff>
      <xdr:row>218</xdr:row>
      <xdr:rowOff>149679</xdr:rowOff>
    </xdr:to>
    <xdr:cxnSp macro="">
      <xdr:nvCxnSpPr>
        <xdr:cNvPr id="367" name="直線コネクタ 366"/>
        <xdr:cNvCxnSpPr/>
      </xdr:nvCxnSpPr>
      <xdr:spPr>
        <a:xfrm>
          <a:off x="6898822" y="5646965"/>
          <a:ext cx="707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149679</xdr:colOff>
      <xdr:row>219</xdr:row>
      <xdr:rowOff>136071</xdr:rowOff>
    </xdr:from>
    <xdr:to>
      <xdr:col>112</xdr:col>
      <xdr:colOff>54428</xdr:colOff>
      <xdr:row>219</xdr:row>
      <xdr:rowOff>136071</xdr:rowOff>
    </xdr:to>
    <xdr:cxnSp macro="">
      <xdr:nvCxnSpPr>
        <xdr:cNvPr id="334" name="直線コネクタ 333"/>
        <xdr:cNvCxnSpPr/>
      </xdr:nvCxnSpPr>
      <xdr:spPr>
        <a:xfrm>
          <a:off x="6926036" y="5633357"/>
          <a:ext cx="7211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81643</xdr:colOff>
      <xdr:row>251</xdr:row>
      <xdr:rowOff>149679</xdr:rowOff>
    </xdr:from>
    <xdr:to>
      <xdr:col>110</xdr:col>
      <xdr:colOff>81643</xdr:colOff>
      <xdr:row>251</xdr:row>
      <xdr:rowOff>149679</xdr:rowOff>
    </xdr:to>
    <xdr:cxnSp macro="">
      <xdr:nvCxnSpPr>
        <xdr:cNvPr id="368" name="直線コネクタ 367"/>
        <xdr:cNvCxnSpPr/>
      </xdr:nvCxnSpPr>
      <xdr:spPr>
        <a:xfrm>
          <a:off x="6858000" y="40916679"/>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272142</xdr:colOff>
      <xdr:row>217</xdr:row>
      <xdr:rowOff>149678</xdr:rowOff>
    </xdr:from>
    <xdr:to>
      <xdr:col>112</xdr:col>
      <xdr:colOff>-1</xdr:colOff>
      <xdr:row>217</xdr:row>
      <xdr:rowOff>149678</xdr:rowOff>
    </xdr:to>
    <xdr:cxnSp macro="">
      <xdr:nvCxnSpPr>
        <xdr:cNvPr id="314" name="直線コネクタ 313"/>
        <xdr:cNvCxnSpPr/>
      </xdr:nvCxnSpPr>
      <xdr:spPr>
        <a:xfrm>
          <a:off x="7320642" y="6136821"/>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136070</xdr:colOff>
      <xdr:row>226</xdr:row>
      <xdr:rowOff>136071</xdr:rowOff>
    </xdr:from>
    <xdr:to>
      <xdr:col>114</xdr:col>
      <xdr:colOff>108857</xdr:colOff>
      <xdr:row>226</xdr:row>
      <xdr:rowOff>136071</xdr:rowOff>
    </xdr:to>
    <xdr:cxnSp macro="">
      <xdr:nvCxnSpPr>
        <xdr:cNvPr id="365" name="直線コネクタ 364"/>
        <xdr:cNvCxnSpPr/>
      </xdr:nvCxnSpPr>
      <xdr:spPr>
        <a:xfrm>
          <a:off x="8477249" y="5878285"/>
          <a:ext cx="340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xdr:colOff>
      <xdr:row>222</xdr:row>
      <xdr:rowOff>149679</xdr:rowOff>
    </xdr:from>
    <xdr:to>
      <xdr:col>114</xdr:col>
      <xdr:colOff>0</xdr:colOff>
      <xdr:row>222</xdr:row>
      <xdr:rowOff>149679</xdr:rowOff>
    </xdr:to>
    <xdr:cxnSp macro="">
      <xdr:nvCxnSpPr>
        <xdr:cNvPr id="369" name="直線コネクタ 368"/>
        <xdr:cNvCxnSpPr/>
      </xdr:nvCxnSpPr>
      <xdr:spPr>
        <a:xfrm>
          <a:off x="8341178" y="6381750"/>
          <a:ext cx="3673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40821</xdr:colOff>
      <xdr:row>57</xdr:row>
      <xdr:rowOff>136071</xdr:rowOff>
    </xdr:from>
    <xdr:to>
      <xdr:col>112</xdr:col>
      <xdr:colOff>68035</xdr:colOff>
      <xdr:row>57</xdr:row>
      <xdr:rowOff>136071</xdr:rowOff>
    </xdr:to>
    <xdr:cxnSp macro="">
      <xdr:nvCxnSpPr>
        <xdr:cNvPr id="370" name="直線コネクタ 369"/>
        <xdr:cNvCxnSpPr/>
      </xdr:nvCxnSpPr>
      <xdr:spPr>
        <a:xfrm>
          <a:off x="7361464" y="4898571"/>
          <a:ext cx="2993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136071</xdr:colOff>
      <xdr:row>223</xdr:row>
      <xdr:rowOff>136071</xdr:rowOff>
    </xdr:from>
    <xdr:to>
      <xdr:col>113</xdr:col>
      <xdr:colOff>340178</xdr:colOff>
      <xdr:row>223</xdr:row>
      <xdr:rowOff>136071</xdr:rowOff>
    </xdr:to>
    <xdr:cxnSp macro="">
      <xdr:nvCxnSpPr>
        <xdr:cNvPr id="371" name="直線コネクタ 370"/>
        <xdr:cNvCxnSpPr/>
      </xdr:nvCxnSpPr>
      <xdr:spPr>
        <a:xfrm>
          <a:off x="8109857" y="5388428"/>
          <a:ext cx="5715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353785</xdr:colOff>
      <xdr:row>220</xdr:row>
      <xdr:rowOff>136071</xdr:rowOff>
    </xdr:from>
    <xdr:to>
      <xdr:col>113</xdr:col>
      <xdr:colOff>353785</xdr:colOff>
      <xdr:row>220</xdr:row>
      <xdr:rowOff>136071</xdr:rowOff>
    </xdr:to>
    <xdr:cxnSp macro="">
      <xdr:nvCxnSpPr>
        <xdr:cNvPr id="380" name="直線コネクタ 379"/>
        <xdr:cNvCxnSpPr/>
      </xdr:nvCxnSpPr>
      <xdr:spPr>
        <a:xfrm>
          <a:off x="8327571" y="7347857"/>
          <a:ext cx="3673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13607</xdr:colOff>
      <xdr:row>225</xdr:row>
      <xdr:rowOff>149678</xdr:rowOff>
    </xdr:from>
    <xdr:to>
      <xdr:col>113</xdr:col>
      <xdr:colOff>353786</xdr:colOff>
      <xdr:row>225</xdr:row>
      <xdr:rowOff>149678</xdr:rowOff>
    </xdr:to>
    <xdr:cxnSp macro="">
      <xdr:nvCxnSpPr>
        <xdr:cNvPr id="381" name="直線コネクタ 380"/>
        <xdr:cNvCxnSpPr/>
      </xdr:nvCxnSpPr>
      <xdr:spPr>
        <a:xfrm>
          <a:off x="8354786" y="6136821"/>
          <a:ext cx="340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13608</xdr:colOff>
      <xdr:row>224</xdr:row>
      <xdr:rowOff>136071</xdr:rowOff>
    </xdr:from>
    <xdr:to>
      <xdr:col>113</xdr:col>
      <xdr:colOff>353787</xdr:colOff>
      <xdr:row>224</xdr:row>
      <xdr:rowOff>136071</xdr:rowOff>
    </xdr:to>
    <xdr:cxnSp macro="">
      <xdr:nvCxnSpPr>
        <xdr:cNvPr id="382" name="直線コネクタ 381"/>
        <xdr:cNvCxnSpPr/>
      </xdr:nvCxnSpPr>
      <xdr:spPr>
        <a:xfrm>
          <a:off x="8354787" y="5878285"/>
          <a:ext cx="340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230</xdr:row>
      <xdr:rowOff>136071</xdr:rowOff>
    </xdr:from>
    <xdr:to>
      <xdr:col>116</xdr:col>
      <xdr:colOff>353786</xdr:colOff>
      <xdr:row>230</xdr:row>
      <xdr:rowOff>136071</xdr:rowOff>
    </xdr:to>
    <xdr:cxnSp macro="">
      <xdr:nvCxnSpPr>
        <xdr:cNvPr id="383" name="直線コネクタ 382"/>
        <xdr:cNvCxnSpPr/>
      </xdr:nvCxnSpPr>
      <xdr:spPr>
        <a:xfrm>
          <a:off x="6504214" y="4408714"/>
          <a:ext cx="10885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233</xdr:row>
      <xdr:rowOff>136072</xdr:rowOff>
    </xdr:from>
    <xdr:to>
      <xdr:col>117</xdr:col>
      <xdr:colOff>81643</xdr:colOff>
      <xdr:row>233</xdr:row>
      <xdr:rowOff>136072</xdr:rowOff>
    </xdr:to>
    <xdr:cxnSp macro="">
      <xdr:nvCxnSpPr>
        <xdr:cNvPr id="355" name="直線コネクタ 354"/>
        <xdr:cNvCxnSpPr/>
      </xdr:nvCxnSpPr>
      <xdr:spPr>
        <a:xfrm>
          <a:off x="6504214" y="4898572"/>
          <a:ext cx="11838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190500</xdr:colOff>
      <xdr:row>259</xdr:row>
      <xdr:rowOff>149679</xdr:rowOff>
    </xdr:from>
    <xdr:to>
      <xdr:col>116</xdr:col>
      <xdr:colOff>68036</xdr:colOff>
      <xdr:row>259</xdr:row>
      <xdr:rowOff>149679</xdr:rowOff>
    </xdr:to>
    <xdr:cxnSp macro="">
      <xdr:nvCxnSpPr>
        <xdr:cNvPr id="359" name="直線コネクタ 358"/>
        <xdr:cNvCxnSpPr/>
      </xdr:nvCxnSpPr>
      <xdr:spPr>
        <a:xfrm>
          <a:off x="6694714" y="5402036"/>
          <a:ext cx="6123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258536</xdr:colOff>
      <xdr:row>259</xdr:row>
      <xdr:rowOff>149680</xdr:rowOff>
    </xdr:from>
    <xdr:to>
      <xdr:col>120</xdr:col>
      <xdr:colOff>163287</xdr:colOff>
      <xdr:row>259</xdr:row>
      <xdr:rowOff>149680</xdr:rowOff>
    </xdr:to>
    <xdr:cxnSp macro="">
      <xdr:nvCxnSpPr>
        <xdr:cNvPr id="363" name="直線コネクタ 362"/>
        <xdr:cNvCxnSpPr/>
      </xdr:nvCxnSpPr>
      <xdr:spPr>
        <a:xfrm>
          <a:off x="8599715" y="5646966"/>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312964</xdr:colOff>
      <xdr:row>221</xdr:row>
      <xdr:rowOff>136072</xdr:rowOff>
    </xdr:from>
    <xdr:to>
      <xdr:col>114</xdr:col>
      <xdr:colOff>108859</xdr:colOff>
      <xdr:row>221</xdr:row>
      <xdr:rowOff>136072</xdr:rowOff>
    </xdr:to>
    <xdr:cxnSp macro="">
      <xdr:nvCxnSpPr>
        <xdr:cNvPr id="384" name="直線コネクタ 383"/>
        <xdr:cNvCxnSpPr/>
      </xdr:nvCxnSpPr>
      <xdr:spPr>
        <a:xfrm>
          <a:off x="8654143" y="6368143"/>
          <a:ext cx="1632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xdr:colOff>
      <xdr:row>227</xdr:row>
      <xdr:rowOff>136071</xdr:rowOff>
    </xdr:from>
    <xdr:to>
      <xdr:col>115</xdr:col>
      <xdr:colOff>13607</xdr:colOff>
      <xdr:row>227</xdr:row>
      <xdr:rowOff>136071</xdr:rowOff>
    </xdr:to>
    <xdr:cxnSp macro="">
      <xdr:nvCxnSpPr>
        <xdr:cNvPr id="385" name="直線コネクタ 384"/>
        <xdr:cNvCxnSpPr/>
      </xdr:nvCxnSpPr>
      <xdr:spPr>
        <a:xfrm>
          <a:off x="6504215" y="4163785"/>
          <a:ext cx="38099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81643</xdr:colOff>
      <xdr:row>239</xdr:row>
      <xdr:rowOff>149678</xdr:rowOff>
    </xdr:from>
    <xdr:to>
      <xdr:col>117</xdr:col>
      <xdr:colOff>285750</xdr:colOff>
      <xdr:row>239</xdr:row>
      <xdr:rowOff>149678</xdr:rowOff>
    </xdr:to>
    <xdr:cxnSp macro="">
      <xdr:nvCxnSpPr>
        <xdr:cNvPr id="386" name="直線コネクタ 385"/>
        <xdr:cNvCxnSpPr/>
      </xdr:nvCxnSpPr>
      <xdr:spPr>
        <a:xfrm>
          <a:off x="6953250" y="4177392"/>
          <a:ext cx="9388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163285</xdr:colOff>
      <xdr:row>232</xdr:row>
      <xdr:rowOff>122464</xdr:rowOff>
    </xdr:from>
    <xdr:to>
      <xdr:col>117</xdr:col>
      <xdr:colOff>108857</xdr:colOff>
      <xdr:row>232</xdr:row>
      <xdr:rowOff>122464</xdr:rowOff>
    </xdr:to>
    <xdr:cxnSp macro="">
      <xdr:nvCxnSpPr>
        <xdr:cNvPr id="387" name="直線コネクタ 386"/>
        <xdr:cNvCxnSpPr/>
      </xdr:nvCxnSpPr>
      <xdr:spPr>
        <a:xfrm>
          <a:off x="6667499" y="5619750"/>
          <a:ext cx="104775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136072</xdr:colOff>
      <xdr:row>59</xdr:row>
      <xdr:rowOff>136071</xdr:rowOff>
    </xdr:from>
    <xdr:to>
      <xdr:col>121</xdr:col>
      <xdr:colOff>0</xdr:colOff>
      <xdr:row>59</xdr:row>
      <xdr:rowOff>136071</xdr:rowOff>
    </xdr:to>
    <xdr:cxnSp macro="">
      <xdr:nvCxnSpPr>
        <xdr:cNvPr id="389" name="直線コネクタ 388"/>
        <xdr:cNvCxnSpPr/>
      </xdr:nvCxnSpPr>
      <xdr:spPr>
        <a:xfrm>
          <a:off x="7007679" y="1959428"/>
          <a:ext cx="2068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xdr:colOff>
      <xdr:row>228</xdr:row>
      <xdr:rowOff>136071</xdr:rowOff>
    </xdr:from>
    <xdr:to>
      <xdr:col>115</xdr:col>
      <xdr:colOff>13607</xdr:colOff>
      <xdr:row>228</xdr:row>
      <xdr:rowOff>136071</xdr:rowOff>
    </xdr:to>
    <xdr:cxnSp macro="">
      <xdr:nvCxnSpPr>
        <xdr:cNvPr id="393" name="直線コネクタ 392"/>
        <xdr:cNvCxnSpPr/>
      </xdr:nvCxnSpPr>
      <xdr:spPr>
        <a:xfrm>
          <a:off x="6504214" y="4163785"/>
          <a:ext cx="3810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xdr:colOff>
      <xdr:row>236</xdr:row>
      <xdr:rowOff>136071</xdr:rowOff>
    </xdr:from>
    <xdr:to>
      <xdr:col>115</xdr:col>
      <xdr:colOff>13607</xdr:colOff>
      <xdr:row>236</xdr:row>
      <xdr:rowOff>136071</xdr:rowOff>
    </xdr:to>
    <xdr:cxnSp macro="">
      <xdr:nvCxnSpPr>
        <xdr:cNvPr id="394" name="直線コネクタ 393"/>
        <xdr:cNvCxnSpPr/>
      </xdr:nvCxnSpPr>
      <xdr:spPr>
        <a:xfrm>
          <a:off x="6504214" y="4408714"/>
          <a:ext cx="3810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258537</xdr:colOff>
      <xdr:row>270</xdr:row>
      <xdr:rowOff>136071</xdr:rowOff>
    </xdr:from>
    <xdr:to>
      <xdr:col>115</xdr:col>
      <xdr:colOff>272144</xdr:colOff>
      <xdr:row>270</xdr:row>
      <xdr:rowOff>136071</xdr:rowOff>
    </xdr:to>
    <xdr:cxnSp macro="">
      <xdr:nvCxnSpPr>
        <xdr:cNvPr id="395" name="直線コネクタ 394"/>
        <xdr:cNvCxnSpPr/>
      </xdr:nvCxnSpPr>
      <xdr:spPr>
        <a:xfrm>
          <a:off x="6762751" y="4898571"/>
          <a:ext cx="3810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217714</xdr:colOff>
      <xdr:row>234</xdr:row>
      <xdr:rowOff>149678</xdr:rowOff>
    </xdr:from>
    <xdr:to>
      <xdr:col>117</xdr:col>
      <xdr:colOff>299357</xdr:colOff>
      <xdr:row>234</xdr:row>
      <xdr:rowOff>149678</xdr:rowOff>
    </xdr:to>
    <xdr:cxnSp macro="">
      <xdr:nvCxnSpPr>
        <xdr:cNvPr id="396" name="直線コネクタ 395"/>
        <xdr:cNvCxnSpPr/>
      </xdr:nvCxnSpPr>
      <xdr:spPr>
        <a:xfrm>
          <a:off x="7089321" y="6381749"/>
          <a:ext cx="816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326572</xdr:colOff>
      <xdr:row>237</xdr:row>
      <xdr:rowOff>149679</xdr:rowOff>
    </xdr:from>
    <xdr:to>
      <xdr:col>119</xdr:col>
      <xdr:colOff>136071</xdr:colOff>
      <xdr:row>237</xdr:row>
      <xdr:rowOff>149679</xdr:rowOff>
    </xdr:to>
    <xdr:cxnSp macro="">
      <xdr:nvCxnSpPr>
        <xdr:cNvPr id="388" name="直線コネクタ 387"/>
        <xdr:cNvCxnSpPr/>
      </xdr:nvCxnSpPr>
      <xdr:spPr>
        <a:xfrm>
          <a:off x="7565572" y="3442608"/>
          <a:ext cx="911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13608</xdr:colOff>
      <xdr:row>19</xdr:row>
      <xdr:rowOff>136071</xdr:rowOff>
    </xdr:from>
    <xdr:to>
      <xdr:col>130</xdr:col>
      <xdr:colOff>13607</xdr:colOff>
      <xdr:row>19</xdr:row>
      <xdr:rowOff>136071</xdr:rowOff>
    </xdr:to>
    <xdr:cxnSp macro="">
      <xdr:nvCxnSpPr>
        <xdr:cNvPr id="392" name="直線コネクタ 391"/>
        <xdr:cNvCxnSpPr/>
      </xdr:nvCxnSpPr>
      <xdr:spPr>
        <a:xfrm>
          <a:off x="10191751" y="2694214"/>
          <a:ext cx="220435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217714</xdr:colOff>
      <xdr:row>18</xdr:row>
      <xdr:rowOff>136071</xdr:rowOff>
    </xdr:from>
    <xdr:to>
      <xdr:col>129</xdr:col>
      <xdr:colOff>353785</xdr:colOff>
      <xdr:row>18</xdr:row>
      <xdr:rowOff>136071</xdr:rowOff>
    </xdr:to>
    <xdr:cxnSp macro="">
      <xdr:nvCxnSpPr>
        <xdr:cNvPr id="397" name="直線コネクタ 396"/>
        <xdr:cNvCxnSpPr/>
      </xdr:nvCxnSpPr>
      <xdr:spPr>
        <a:xfrm>
          <a:off x="7089321" y="2449285"/>
          <a:ext cx="5279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258536</xdr:colOff>
      <xdr:row>242</xdr:row>
      <xdr:rowOff>136072</xdr:rowOff>
    </xdr:from>
    <xdr:to>
      <xdr:col>120</xdr:col>
      <xdr:colOff>0</xdr:colOff>
      <xdr:row>242</xdr:row>
      <xdr:rowOff>136072</xdr:rowOff>
    </xdr:to>
    <xdr:cxnSp macro="">
      <xdr:nvCxnSpPr>
        <xdr:cNvPr id="390" name="直線コネクタ 389"/>
        <xdr:cNvCxnSpPr/>
      </xdr:nvCxnSpPr>
      <xdr:spPr>
        <a:xfrm>
          <a:off x="7130143" y="4408715"/>
          <a:ext cx="15784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326572</xdr:colOff>
      <xdr:row>240</xdr:row>
      <xdr:rowOff>149679</xdr:rowOff>
    </xdr:from>
    <xdr:to>
      <xdr:col>119</xdr:col>
      <xdr:colOff>0</xdr:colOff>
      <xdr:row>240</xdr:row>
      <xdr:rowOff>149679</xdr:rowOff>
    </xdr:to>
    <xdr:cxnSp macro="">
      <xdr:nvCxnSpPr>
        <xdr:cNvPr id="391" name="直線コネクタ 390"/>
        <xdr:cNvCxnSpPr/>
      </xdr:nvCxnSpPr>
      <xdr:spPr>
        <a:xfrm>
          <a:off x="7565572" y="6871608"/>
          <a:ext cx="77560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190499</xdr:colOff>
      <xdr:row>238</xdr:row>
      <xdr:rowOff>136071</xdr:rowOff>
    </xdr:from>
    <xdr:to>
      <xdr:col>119</xdr:col>
      <xdr:colOff>13607</xdr:colOff>
      <xdr:row>238</xdr:row>
      <xdr:rowOff>136071</xdr:rowOff>
    </xdr:to>
    <xdr:cxnSp macro="">
      <xdr:nvCxnSpPr>
        <xdr:cNvPr id="398" name="直線コネクタ 397"/>
        <xdr:cNvCxnSpPr/>
      </xdr:nvCxnSpPr>
      <xdr:spPr>
        <a:xfrm>
          <a:off x="7429499" y="4653642"/>
          <a:ext cx="9252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68037</xdr:colOff>
      <xdr:row>229</xdr:row>
      <xdr:rowOff>122464</xdr:rowOff>
    </xdr:from>
    <xdr:to>
      <xdr:col>116</xdr:col>
      <xdr:colOff>81644</xdr:colOff>
      <xdr:row>229</xdr:row>
      <xdr:rowOff>122464</xdr:rowOff>
    </xdr:to>
    <xdr:cxnSp macro="">
      <xdr:nvCxnSpPr>
        <xdr:cNvPr id="399" name="直線コネクタ 398"/>
        <xdr:cNvCxnSpPr/>
      </xdr:nvCxnSpPr>
      <xdr:spPr>
        <a:xfrm>
          <a:off x="6939644" y="7824107"/>
          <a:ext cx="3810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13607</xdr:colOff>
      <xdr:row>58</xdr:row>
      <xdr:rowOff>122465</xdr:rowOff>
    </xdr:from>
    <xdr:to>
      <xdr:col>118</xdr:col>
      <xdr:colOff>326571</xdr:colOff>
      <xdr:row>58</xdr:row>
      <xdr:rowOff>122465</xdr:rowOff>
    </xdr:to>
    <xdr:cxnSp macro="">
      <xdr:nvCxnSpPr>
        <xdr:cNvPr id="400" name="直線コネクタ 399"/>
        <xdr:cNvCxnSpPr/>
      </xdr:nvCxnSpPr>
      <xdr:spPr>
        <a:xfrm>
          <a:off x="7252607" y="2190751"/>
          <a:ext cx="1047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23</xdr:row>
      <xdr:rowOff>200025</xdr:rowOff>
    </xdr:from>
    <xdr:to>
      <xdr:col>135</xdr:col>
      <xdr:colOff>0</xdr:colOff>
      <xdr:row>23</xdr:row>
      <xdr:rowOff>200025</xdr:rowOff>
    </xdr:to>
    <xdr:cxnSp macro="">
      <xdr:nvCxnSpPr>
        <xdr:cNvPr id="340" name="直線コネクタ 339"/>
        <xdr:cNvCxnSpPr/>
      </xdr:nvCxnSpPr>
      <xdr:spPr>
        <a:xfrm>
          <a:off x="6504214" y="1533525"/>
          <a:ext cx="33065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xdr:row>
      <xdr:rowOff>217714</xdr:rowOff>
    </xdr:from>
    <xdr:to>
      <xdr:col>135</xdr:col>
      <xdr:colOff>13607</xdr:colOff>
      <xdr:row>22</xdr:row>
      <xdr:rowOff>217714</xdr:rowOff>
    </xdr:to>
    <xdr:cxnSp macro="">
      <xdr:nvCxnSpPr>
        <xdr:cNvPr id="344" name="直線コネクタ 343"/>
        <xdr:cNvCxnSpPr/>
      </xdr:nvCxnSpPr>
      <xdr:spPr>
        <a:xfrm>
          <a:off x="6504214" y="1306285"/>
          <a:ext cx="3320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272143</xdr:colOff>
      <xdr:row>22</xdr:row>
      <xdr:rowOff>190500</xdr:rowOff>
    </xdr:from>
    <xdr:to>
      <xdr:col>122</xdr:col>
      <xdr:colOff>312963</xdr:colOff>
      <xdr:row>22</xdr:row>
      <xdr:rowOff>190500</xdr:rowOff>
    </xdr:to>
    <xdr:cxnSp macro="">
      <xdr:nvCxnSpPr>
        <xdr:cNvPr id="345" name="直線コネクタ 344"/>
        <xdr:cNvCxnSpPr/>
      </xdr:nvCxnSpPr>
      <xdr:spPr>
        <a:xfrm>
          <a:off x="7143750" y="1524000"/>
          <a:ext cx="261257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163286</xdr:colOff>
      <xdr:row>62</xdr:row>
      <xdr:rowOff>136072</xdr:rowOff>
    </xdr:from>
    <xdr:to>
      <xdr:col>120</xdr:col>
      <xdr:colOff>0</xdr:colOff>
      <xdr:row>62</xdr:row>
      <xdr:rowOff>136072</xdr:rowOff>
    </xdr:to>
    <xdr:cxnSp macro="">
      <xdr:nvCxnSpPr>
        <xdr:cNvPr id="339" name="直線コネクタ 338"/>
        <xdr:cNvCxnSpPr/>
      </xdr:nvCxnSpPr>
      <xdr:spPr>
        <a:xfrm>
          <a:off x="7402286" y="2449286"/>
          <a:ext cx="1306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272143</xdr:colOff>
      <xdr:row>235</xdr:row>
      <xdr:rowOff>122464</xdr:rowOff>
    </xdr:from>
    <xdr:to>
      <xdr:col>117</xdr:col>
      <xdr:colOff>299359</xdr:colOff>
      <xdr:row>235</xdr:row>
      <xdr:rowOff>122464</xdr:rowOff>
    </xdr:to>
    <xdr:cxnSp macro="">
      <xdr:nvCxnSpPr>
        <xdr:cNvPr id="348" name="直線コネクタ 347"/>
        <xdr:cNvCxnSpPr/>
      </xdr:nvCxnSpPr>
      <xdr:spPr>
        <a:xfrm>
          <a:off x="7511143" y="5864678"/>
          <a:ext cx="39460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272143</xdr:colOff>
      <xdr:row>231</xdr:row>
      <xdr:rowOff>136072</xdr:rowOff>
    </xdr:from>
    <xdr:to>
      <xdr:col>117</xdr:col>
      <xdr:colOff>299359</xdr:colOff>
      <xdr:row>231</xdr:row>
      <xdr:rowOff>136072</xdr:rowOff>
    </xdr:to>
    <xdr:cxnSp macro="">
      <xdr:nvCxnSpPr>
        <xdr:cNvPr id="350" name="直線コネクタ 349"/>
        <xdr:cNvCxnSpPr/>
      </xdr:nvCxnSpPr>
      <xdr:spPr>
        <a:xfrm>
          <a:off x="7511143" y="5388429"/>
          <a:ext cx="39460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0</xdr:colOff>
      <xdr:row>236</xdr:row>
      <xdr:rowOff>136071</xdr:rowOff>
    </xdr:from>
    <xdr:to>
      <xdr:col>118</xdr:col>
      <xdr:colOff>299357</xdr:colOff>
      <xdr:row>236</xdr:row>
      <xdr:rowOff>136071</xdr:rowOff>
    </xdr:to>
    <xdr:cxnSp macro="">
      <xdr:nvCxnSpPr>
        <xdr:cNvPr id="352" name="直線コネクタ 351"/>
        <xdr:cNvCxnSpPr/>
      </xdr:nvCxnSpPr>
      <xdr:spPr>
        <a:xfrm>
          <a:off x="7973786" y="5143500"/>
          <a:ext cx="2993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54428</xdr:colOff>
      <xdr:row>241</xdr:row>
      <xdr:rowOff>149680</xdr:rowOff>
    </xdr:from>
    <xdr:to>
      <xdr:col>119</xdr:col>
      <xdr:colOff>353785</xdr:colOff>
      <xdr:row>241</xdr:row>
      <xdr:rowOff>149680</xdr:rowOff>
    </xdr:to>
    <xdr:cxnSp macro="">
      <xdr:nvCxnSpPr>
        <xdr:cNvPr id="373" name="直線コネクタ 372"/>
        <xdr:cNvCxnSpPr/>
      </xdr:nvCxnSpPr>
      <xdr:spPr>
        <a:xfrm>
          <a:off x="8028214" y="4667251"/>
          <a:ext cx="666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353786</xdr:colOff>
      <xdr:row>62</xdr:row>
      <xdr:rowOff>136072</xdr:rowOff>
    </xdr:from>
    <xdr:to>
      <xdr:col>128</xdr:col>
      <xdr:colOff>326572</xdr:colOff>
      <xdr:row>62</xdr:row>
      <xdr:rowOff>136072</xdr:rowOff>
    </xdr:to>
    <xdr:cxnSp macro="">
      <xdr:nvCxnSpPr>
        <xdr:cNvPr id="372" name="直線コネクタ 371"/>
        <xdr:cNvCxnSpPr/>
      </xdr:nvCxnSpPr>
      <xdr:spPr>
        <a:xfrm>
          <a:off x="8327572" y="1959429"/>
          <a:ext cx="14423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27214</xdr:colOff>
      <xdr:row>244</xdr:row>
      <xdr:rowOff>136072</xdr:rowOff>
    </xdr:from>
    <xdr:to>
      <xdr:col>119</xdr:col>
      <xdr:colOff>353786</xdr:colOff>
      <xdr:row>244</xdr:row>
      <xdr:rowOff>136072</xdr:rowOff>
    </xdr:to>
    <xdr:cxnSp macro="">
      <xdr:nvCxnSpPr>
        <xdr:cNvPr id="375" name="直線コネクタ 374"/>
        <xdr:cNvCxnSpPr/>
      </xdr:nvCxnSpPr>
      <xdr:spPr>
        <a:xfrm>
          <a:off x="8368393" y="4898572"/>
          <a:ext cx="3265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149678</xdr:colOff>
      <xdr:row>243</xdr:row>
      <xdr:rowOff>136072</xdr:rowOff>
    </xdr:from>
    <xdr:to>
      <xdr:col>119</xdr:col>
      <xdr:colOff>353786</xdr:colOff>
      <xdr:row>243</xdr:row>
      <xdr:rowOff>136072</xdr:rowOff>
    </xdr:to>
    <xdr:cxnSp macro="">
      <xdr:nvCxnSpPr>
        <xdr:cNvPr id="374" name="直線コネクタ 373"/>
        <xdr:cNvCxnSpPr/>
      </xdr:nvCxnSpPr>
      <xdr:spPr>
        <a:xfrm>
          <a:off x="8490857" y="5143501"/>
          <a:ext cx="2041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40821</xdr:colOff>
      <xdr:row>259</xdr:row>
      <xdr:rowOff>149678</xdr:rowOff>
    </xdr:from>
    <xdr:to>
      <xdr:col>128</xdr:col>
      <xdr:colOff>312964</xdr:colOff>
      <xdr:row>259</xdr:row>
      <xdr:rowOff>149678</xdr:rowOff>
    </xdr:to>
    <xdr:cxnSp macro="">
      <xdr:nvCxnSpPr>
        <xdr:cNvPr id="376" name="直線コネクタ 375"/>
        <xdr:cNvCxnSpPr/>
      </xdr:nvCxnSpPr>
      <xdr:spPr>
        <a:xfrm>
          <a:off x="9484178" y="4422321"/>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163285</xdr:colOff>
      <xdr:row>248</xdr:row>
      <xdr:rowOff>136072</xdr:rowOff>
    </xdr:from>
    <xdr:to>
      <xdr:col>124</xdr:col>
      <xdr:colOff>0</xdr:colOff>
      <xdr:row>248</xdr:row>
      <xdr:rowOff>136072</xdr:rowOff>
    </xdr:to>
    <xdr:cxnSp macro="">
      <xdr:nvCxnSpPr>
        <xdr:cNvPr id="377" name="直線コネクタ 376"/>
        <xdr:cNvCxnSpPr/>
      </xdr:nvCxnSpPr>
      <xdr:spPr>
        <a:xfrm>
          <a:off x="7034892" y="3184072"/>
          <a:ext cx="93889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312964</xdr:colOff>
      <xdr:row>253</xdr:row>
      <xdr:rowOff>136071</xdr:rowOff>
    </xdr:from>
    <xdr:to>
      <xdr:col>124</xdr:col>
      <xdr:colOff>149679</xdr:colOff>
      <xdr:row>253</xdr:row>
      <xdr:rowOff>136071</xdr:rowOff>
    </xdr:to>
    <xdr:cxnSp macro="">
      <xdr:nvCxnSpPr>
        <xdr:cNvPr id="379" name="直線コネクタ 378"/>
        <xdr:cNvCxnSpPr/>
      </xdr:nvCxnSpPr>
      <xdr:spPr>
        <a:xfrm>
          <a:off x="7551964" y="5633357"/>
          <a:ext cx="57150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0</xdr:colOff>
      <xdr:row>247</xdr:row>
      <xdr:rowOff>136072</xdr:rowOff>
    </xdr:from>
    <xdr:to>
      <xdr:col>124</xdr:col>
      <xdr:colOff>0</xdr:colOff>
      <xdr:row>247</xdr:row>
      <xdr:rowOff>136072</xdr:rowOff>
    </xdr:to>
    <xdr:cxnSp macro="">
      <xdr:nvCxnSpPr>
        <xdr:cNvPr id="401" name="直線コネクタ 400"/>
        <xdr:cNvCxnSpPr/>
      </xdr:nvCxnSpPr>
      <xdr:spPr>
        <a:xfrm>
          <a:off x="6871607" y="2939143"/>
          <a:ext cx="1102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258536</xdr:colOff>
      <xdr:row>245</xdr:row>
      <xdr:rowOff>136070</xdr:rowOff>
    </xdr:from>
    <xdr:to>
      <xdr:col>121</xdr:col>
      <xdr:colOff>176893</xdr:colOff>
      <xdr:row>245</xdr:row>
      <xdr:rowOff>136070</xdr:rowOff>
    </xdr:to>
    <xdr:cxnSp macro="">
      <xdr:nvCxnSpPr>
        <xdr:cNvPr id="402" name="直線コネクタ 401"/>
        <xdr:cNvCxnSpPr/>
      </xdr:nvCxnSpPr>
      <xdr:spPr>
        <a:xfrm>
          <a:off x="8967107" y="4408713"/>
          <a:ext cx="285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13608</xdr:colOff>
      <xdr:row>249</xdr:row>
      <xdr:rowOff>136072</xdr:rowOff>
    </xdr:from>
    <xdr:to>
      <xdr:col>124</xdr:col>
      <xdr:colOff>0</xdr:colOff>
      <xdr:row>249</xdr:row>
      <xdr:rowOff>136072</xdr:rowOff>
    </xdr:to>
    <xdr:cxnSp macro="">
      <xdr:nvCxnSpPr>
        <xdr:cNvPr id="405" name="直線コネクタ 404"/>
        <xdr:cNvCxnSpPr/>
      </xdr:nvCxnSpPr>
      <xdr:spPr>
        <a:xfrm>
          <a:off x="6885215" y="3184072"/>
          <a:ext cx="1088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21</xdr:row>
      <xdr:rowOff>190501</xdr:rowOff>
    </xdr:from>
    <xdr:to>
      <xdr:col>173</xdr:col>
      <xdr:colOff>312964</xdr:colOff>
      <xdr:row>21</xdr:row>
      <xdr:rowOff>190501</xdr:rowOff>
    </xdr:to>
    <xdr:cxnSp macro="">
      <xdr:nvCxnSpPr>
        <xdr:cNvPr id="403" name="直線コネクタ 402"/>
        <xdr:cNvCxnSpPr/>
      </xdr:nvCxnSpPr>
      <xdr:spPr>
        <a:xfrm>
          <a:off x="6150429" y="1279072"/>
          <a:ext cx="6558642" cy="0"/>
        </a:xfrm>
        <a:prstGeom prst="line">
          <a:avLst/>
        </a:prstGeom>
        <a:ln w="44450" cmpd="dbl">
          <a:solidFill>
            <a:schemeClr val="tx1"/>
          </a:solidFill>
          <a:prstDash val="sysDash"/>
          <a:headEnd type="oval"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299358</xdr:colOff>
      <xdr:row>61</xdr:row>
      <xdr:rowOff>136072</xdr:rowOff>
    </xdr:from>
    <xdr:to>
      <xdr:col>125</xdr:col>
      <xdr:colOff>353786</xdr:colOff>
      <xdr:row>61</xdr:row>
      <xdr:rowOff>136072</xdr:rowOff>
    </xdr:to>
    <xdr:cxnSp macro="">
      <xdr:nvCxnSpPr>
        <xdr:cNvPr id="407" name="直線コネクタ 406"/>
        <xdr:cNvCxnSpPr/>
      </xdr:nvCxnSpPr>
      <xdr:spPr>
        <a:xfrm>
          <a:off x="8273144" y="2449286"/>
          <a:ext cx="42182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204107</xdr:colOff>
      <xdr:row>254</xdr:row>
      <xdr:rowOff>136071</xdr:rowOff>
    </xdr:from>
    <xdr:to>
      <xdr:col>124</xdr:col>
      <xdr:colOff>340178</xdr:colOff>
      <xdr:row>254</xdr:row>
      <xdr:rowOff>136071</xdr:rowOff>
    </xdr:to>
    <xdr:cxnSp macro="">
      <xdr:nvCxnSpPr>
        <xdr:cNvPr id="404" name="直線コネクタ 403"/>
        <xdr:cNvCxnSpPr/>
      </xdr:nvCxnSpPr>
      <xdr:spPr>
        <a:xfrm>
          <a:off x="7443107" y="3673928"/>
          <a:ext cx="870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190500</xdr:colOff>
      <xdr:row>246</xdr:row>
      <xdr:rowOff>136072</xdr:rowOff>
    </xdr:from>
    <xdr:to>
      <xdr:col>123</xdr:col>
      <xdr:colOff>258535</xdr:colOff>
      <xdr:row>246</xdr:row>
      <xdr:rowOff>136072</xdr:rowOff>
    </xdr:to>
    <xdr:cxnSp macro="">
      <xdr:nvCxnSpPr>
        <xdr:cNvPr id="406" name="直線コネクタ 405"/>
        <xdr:cNvCxnSpPr/>
      </xdr:nvCxnSpPr>
      <xdr:spPr>
        <a:xfrm>
          <a:off x="7429500" y="2694215"/>
          <a:ext cx="43542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204107</xdr:colOff>
      <xdr:row>250</xdr:row>
      <xdr:rowOff>136071</xdr:rowOff>
    </xdr:from>
    <xdr:to>
      <xdr:col>124</xdr:col>
      <xdr:colOff>122465</xdr:colOff>
      <xdr:row>250</xdr:row>
      <xdr:rowOff>136071</xdr:rowOff>
    </xdr:to>
    <xdr:cxnSp macro="">
      <xdr:nvCxnSpPr>
        <xdr:cNvPr id="408" name="直線コネクタ 407"/>
        <xdr:cNvCxnSpPr/>
      </xdr:nvCxnSpPr>
      <xdr:spPr>
        <a:xfrm>
          <a:off x="7443107" y="3429000"/>
          <a:ext cx="65314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123</xdr:col>
      <xdr:colOff>190500</xdr:colOff>
      <xdr:row>251</xdr:row>
      <xdr:rowOff>136071</xdr:rowOff>
    </xdr:from>
    <xdr:to>
      <xdr:col>125</xdr:col>
      <xdr:colOff>54428</xdr:colOff>
      <xdr:row>251</xdr:row>
      <xdr:rowOff>136071</xdr:rowOff>
    </xdr:to>
    <xdr:cxnSp macro="">
      <xdr:nvCxnSpPr>
        <xdr:cNvPr id="409" name="直線コネクタ 408"/>
        <xdr:cNvCxnSpPr/>
      </xdr:nvCxnSpPr>
      <xdr:spPr>
        <a:xfrm>
          <a:off x="7796893" y="2939142"/>
          <a:ext cx="598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257</xdr:row>
      <xdr:rowOff>136072</xdr:rowOff>
    </xdr:from>
    <xdr:to>
      <xdr:col>128</xdr:col>
      <xdr:colOff>285750</xdr:colOff>
      <xdr:row>257</xdr:row>
      <xdr:rowOff>136072</xdr:rowOff>
    </xdr:to>
    <xdr:cxnSp macro="">
      <xdr:nvCxnSpPr>
        <xdr:cNvPr id="410" name="直線コネクタ 409"/>
        <xdr:cNvCxnSpPr/>
      </xdr:nvCxnSpPr>
      <xdr:spPr>
        <a:xfrm>
          <a:off x="6504214" y="3184072"/>
          <a:ext cx="10205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258</xdr:row>
      <xdr:rowOff>136072</xdr:rowOff>
    </xdr:from>
    <xdr:to>
      <xdr:col>129</xdr:col>
      <xdr:colOff>108857</xdr:colOff>
      <xdr:row>258</xdr:row>
      <xdr:rowOff>136072</xdr:rowOff>
    </xdr:to>
    <xdr:cxnSp macro="">
      <xdr:nvCxnSpPr>
        <xdr:cNvPr id="411" name="直線コネクタ 410"/>
        <xdr:cNvCxnSpPr/>
      </xdr:nvCxnSpPr>
      <xdr:spPr>
        <a:xfrm>
          <a:off x="6504214" y="2694215"/>
          <a:ext cx="1211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123</xdr:col>
      <xdr:colOff>299357</xdr:colOff>
      <xdr:row>255</xdr:row>
      <xdr:rowOff>149678</xdr:rowOff>
    </xdr:from>
    <xdr:to>
      <xdr:col>128</xdr:col>
      <xdr:colOff>40822</xdr:colOff>
      <xdr:row>255</xdr:row>
      <xdr:rowOff>149678</xdr:rowOff>
    </xdr:to>
    <xdr:cxnSp macro="">
      <xdr:nvCxnSpPr>
        <xdr:cNvPr id="413" name="直線コネクタ 412"/>
        <xdr:cNvCxnSpPr/>
      </xdr:nvCxnSpPr>
      <xdr:spPr>
        <a:xfrm>
          <a:off x="7905750" y="2707821"/>
          <a:ext cx="1578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123</xdr:col>
      <xdr:colOff>312964</xdr:colOff>
      <xdr:row>252</xdr:row>
      <xdr:rowOff>136071</xdr:rowOff>
    </xdr:from>
    <xdr:to>
      <xdr:col>124</xdr:col>
      <xdr:colOff>244929</xdr:colOff>
      <xdr:row>252</xdr:row>
      <xdr:rowOff>136071</xdr:rowOff>
    </xdr:to>
    <xdr:cxnSp macro="">
      <xdr:nvCxnSpPr>
        <xdr:cNvPr id="414" name="直線コネクタ 413"/>
        <xdr:cNvCxnSpPr/>
      </xdr:nvCxnSpPr>
      <xdr:spPr>
        <a:xfrm>
          <a:off x="7919357" y="2939142"/>
          <a:ext cx="29935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26</xdr:row>
      <xdr:rowOff>122464</xdr:rowOff>
    </xdr:from>
    <xdr:to>
      <xdr:col>162</xdr:col>
      <xdr:colOff>340178</xdr:colOff>
      <xdr:row>26</xdr:row>
      <xdr:rowOff>122464</xdr:rowOff>
    </xdr:to>
    <xdr:cxnSp macro="">
      <xdr:nvCxnSpPr>
        <xdr:cNvPr id="378" name="直線コネクタ 377"/>
        <xdr:cNvCxnSpPr/>
      </xdr:nvCxnSpPr>
      <xdr:spPr>
        <a:xfrm>
          <a:off x="6150429" y="1945821"/>
          <a:ext cx="2544535" cy="0"/>
        </a:xfrm>
        <a:prstGeom prst="line">
          <a:avLst/>
        </a:prstGeom>
        <a:ln w="31750">
          <a:solidFill>
            <a:schemeClr val="tx1"/>
          </a:solidFill>
          <a:prstDash val="sysDash"/>
          <a:headEnd type="oval"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285750</xdr:colOff>
      <xdr:row>64</xdr:row>
      <xdr:rowOff>149679</xdr:rowOff>
    </xdr:from>
    <xdr:to>
      <xdr:col>150</xdr:col>
      <xdr:colOff>0</xdr:colOff>
      <xdr:row>64</xdr:row>
      <xdr:rowOff>149679</xdr:rowOff>
    </xdr:to>
    <xdr:cxnSp macro="">
      <xdr:nvCxnSpPr>
        <xdr:cNvPr id="418" name="直線コネクタ 417"/>
        <xdr:cNvCxnSpPr/>
      </xdr:nvCxnSpPr>
      <xdr:spPr>
        <a:xfrm>
          <a:off x="7170964" y="2952750"/>
          <a:ext cx="11838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123</xdr:col>
      <xdr:colOff>312964</xdr:colOff>
      <xdr:row>256</xdr:row>
      <xdr:rowOff>149678</xdr:rowOff>
    </xdr:from>
    <xdr:to>
      <xdr:col>128</xdr:col>
      <xdr:colOff>54429</xdr:colOff>
      <xdr:row>256</xdr:row>
      <xdr:rowOff>149678</xdr:rowOff>
    </xdr:to>
    <xdr:cxnSp macro="">
      <xdr:nvCxnSpPr>
        <xdr:cNvPr id="415" name="直線コネクタ 414"/>
        <xdr:cNvCxnSpPr/>
      </xdr:nvCxnSpPr>
      <xdr:spPr>
        <a:xfrm>
          <a:off x="7919357" y="2462892"/>
          <a:ext cx="157842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72</xdr:row>
      <xdr:rowOff>0</xdr:rowOff>
    </xdr:from>
    <xdr:to>
      <xdr:col>128</xdr:col>
      <xdr:colOff>40822</xdr:colOff>
      <xdr:row>72</xdr:row>
      <xdr:rowOff>0</xdr:rowOff>
    </xdr:to>
    <xdr:cxnSp macro="">
      <xdr:nvCxnSpPr>
        <xdr:cNvPr id="422" name="直線コネクタ 421"/>
        <xdr:cNvCxnSpPr/>
      </xdr:nvCxnSpPr>
      <xdr:spPr>
        <a:xfrm>
          <a:off x="6504214" y="2313214"/>
          <a:ext cx="7756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127</xdr:col>
      <xdr:colOff>0</xdr:colOff>
      <xdr:row>72</xdr:row>
      <xdr:rowOff>0</xdr:rowOff>
    </xdr:from>
    <xdr:to>
      <xdr:col>129</xdr:col>
      <xdr:colOff>40822</xdr:colOff>
      <xdr:row>72</xdr:row>
      <xdr:rowOff>0</xdr:rowOff>
    </xdr:to>
    <xdr:cxnSp macro="">
      <xdr:nvCxnSpPr>
        <xdr:cNvPr id="423" name="直線コネクタ 422"/>
        <xdr:cNvCxnSpPr/>
      </xdr:nvCxnSpPr>
      <xdr:spPr>
        <a:xfrm>
          <a:off x="6871607" y="2313214"/>
          <a:ext cx="7756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126</xdr:col>
      <xdr:colOff>68036</xdr:colOff>
      <xdr:row>254</xdr:row>
      <xdr:rowOff>149679</xdr:rowOff>
    </xdr:from>
    <xdr:to>
      <xdr:col>128</xdr:col>
      <xdr:colOff>1</xdr:colOff>
      <xdr:row>254</xdr:row>
      <xdr:rowOff>149679</xdr:rowOff>
    </xdr:to>
    <xdr:cxnSp macro="">
      <xdr:nvCxnSpPr>
        <xdr:cNvPr id="424" name="直線コネクタ 423"/>
        <xdr:cNvCxnSpPr/>
      </xdr:nvCxnSpPr>
      <xdr:spPr>
        <a:xfrm>
          <a:off x="6572250" y="2462893"/>
          <a:ext cx="66675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68035</xdr:colOff>
      <xdr:row>261</xdr:row>
      <xdr:rowOff>136071</xdr:rowOff>
    </xdr:from>
    <xdr:to>
      <xdr:col>130</xdr:col>
      <xdr:colOff>0</xdr:colOff>
      <xdr:row>261</xdr:row>
      <xdr:rowOff>136071</xdr:rowOff>
    </xdr:to>
    <xdr:cxnSp macro="">
      <xdr:nvCxnSpPr>
        <xdr:cNvPr id="419" name="直線コネクタ 418"/>
        <xdr:cNvCxnSpPr/>
      </xdr:nvCxnSpPr>
      <xdr:spPr>
        <a:xfrm>
          <a:off x="7307035" y="4163785"/>
          <a:ext cx="66675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127</xdr:col>
      <xdr:colOff>340178</xdr:colOff>
      <xdr:row>270</xdr:row>
      <xdr:rowOff>136071</xdr:rowOff>
    </xdr:from>
    <xdr:to>
      <xdr:col>128</xdr:col>
      <xdr:colOff>244928</xdr:colOff>
      <xdr:row>270</xdr:row>
      <xdr:rowOff>136071</xdr:rowOff>
    </xdr:to>
    <xdr:cxnSp macro="">
      <xdr:nvCxnSpPr>
        <xdr:cNvPr id="420" name="直線コネクタ 419"/>
        <xdr:cNvCxnSpPr/>
      </xdr:nvCxnSpPr>
      <xdr:spPr>
        <a:xfrm>
          <a:off x="7211785" y="3429000"/>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163286</xdr:colOff>
      <xdr:row>274</xdr:row>
      <xdr:rowOff>136072</xdr:rowOff>
    </xdr:from>
    <xdr:to>
      <xdr:col>120</xdr:col>
      <xdr:colOff>0</xdr:colOff>
      <xdr:row>274</xdr:row>
      <xdr:rowOff>136072</xdr:rowOff>
    </xdr:to>
    <xdr:cxnSp macro="">
      <xdr:nvCxnSpPr>
        <xdr:cNvPr id="426" name="直線コネクタ 425"/>
        <xdr:cNvCxnSpPr/>
      </xdr:nvCxnSpPr>
      <xdr:spPr>
        <a:xfrm>
          <a:off x="6504214" y="220435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190500</xdr:colOff>
      <xdr:row>262</xdr:row>
      <xdr:rowOff>136072</xdr:rowOff>
    </xdr:from>
    <xdr:to>
      <xdr:col>130</xdr:col>
      <xdr:colOff>108857</xdr:colOff>
      <xdr:row>262</xdr:row>
      <xdr:rowOff>136072</xdr:rowOff>
    </xdr:to>
    <xdr:cxnSp macro="">
      <xdr:nvCxnSpPr>
        <xdr:cNvPr id="430" name="直線コネクタ 429"/>
        <xdr:cNvCxnSpPr/>
      </xdr:nvCxnSpPr>
      <xdr:spPr>
        <a:xfrm>
          <a:off x="7429500" y="3429001"/>
          <a:ext cx="653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68035</xdr:colOff>
      <xdr:row>263</xdr:row>
      <xdr:rowOff>136071</xdr:rowOff>
    </xdr:from>
    <xdr:to>
      <xdr:col>129</xdr:col>
      <xdr:colOff>272143</xdr:colOff>
      <xdr:row>263</xdr:row>
      <xdr:rowOff>136071</xdr:rowOff>
    </xdr:to>
    <xdr:cxnSp macro="">
      <xdr:nvCxnSpPr>
        <xdr:cNvPr id="421" name="直線コネクタ 420"/>
        <xdr:cNvCxnSpPr/>
      </xdr:nvCxnSpPr>
      <xdr:spPr>
        <a:xfrm>
          <a:off x="7307035" y="3429000"/>
          <a:ext cx="57150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40821</xdr:colOff>
      <xdr:row>260</xdr:row>
      <xdr:rowOff>149678</xdr:rowOff>
    </xdr:from>
    <xdr:to>
      <xdr:col>128</xdr:col>
      <xdr:colOff>312964</xdr:colOff>
      <xdr:row>260</xdr:row>
      <xdr:rowOff>149678</xdr:rowOff>
    </xdr:to>
    <xdr:cxnSp macro="">
      <xdr:nvCxnSpPr>
        <xdr:cNvPr id="412" name="直線コネクタ 411"/>
        <xdr:cNvCxnSpPr/>
      </xdr:nvCxnSpPr>
      <xdr:spPr>
        <a:xfrm>
          <a:off x="7279821" y="2952749"/>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129</xdr:col>
      <xdr:colOff>272143</xdr:colOff>
      <xdr:row>269</xdr:row>
      <xdr:rowOff>136072</xdr:rowOff>
    </xdr:from>
    <xdr:to>
      <xdr:col>131</xdr:col>
      <xdr:colOff>326571</xdr:colOff>
      <xdr:row>269</xdr:row>
      <xdr:rowOff>136072</xdr:rowOff>
    </xdr:to>
    <xdr:cxnSp macro="">
      <xdr:nvCxnSpPr>
        <xdr:cNvPr id="425" name="直線コネクタ 424"/>
        <xdr:cNvCxnSpPr/>
      </xdr:nvCxnSpPr>
      <xdr:spPr>
        <a:xfrm>
          <a:off x="7878536" y="2939143"/>
          <a:ext cx="7892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133</xdr:col>
      <xdr:colOff>81643</xdr:colOff>
      <xdr:row>266</xdr:row>
      <xdr:rowOff>136072</xdr:rowOff>
    </xdr:from>
    <xdr:to>
      <xdr:col>133</xdr:col>
      <xdr:colOff>353786</xdr:colOff>
      <xdr:row>266</xdr:row>
      <xdr:rowOff>136072</xdr:rowOff>
    </xdr:to>
    <xdr:cxnSp macro="">
      <xdr:nvCxnSpPr>
        <xdr:cNvPr id="428" name="直線コネクタ 427"/>
        <xdr:cNvCxnSpPr/>
      </xdr:nvCxnSpPr>
      <xdr:spPr>
        <a:xfrm>
          <a:off x="6953250" y="3918858"/>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163286</xdr:colOff>
      <xdr:row>63</xdr:row>
      <xdr:rowOff>136072</xdr:rowOff>
    </xdr:from>
    <xdr:to>
      <xdr:col>120</xdr:col>
      <xdr:colOff>0</xdr:colOff>
      <xdr:row>63</xdr:row>
      <xdr:rowOff>136072</xdr:rowOff>
    </xdr:to>
    <xdr:cxnSp macro="">
      <xdr:nvCxnSpPr>
        <xdr:cNvPr id="433" name="直線コネクタ 432"/>
        <xdr:cNvCxnSpPr/>
      </xdr:nvCxnSpPr>
      <xdr:spPr>
        <a:xfrm>
          <a:off x="6504214" y="220435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204107</xdr:colOff>
      <xdr:row>63</xdr:row>
      <xdr:rowOff>136072</xdr:rowOff>
    </xdr:from>
    <xdr:to>
      <xdr:col>131</xdr:col>
      <xdr:colOff>353786</xdr:colOff>
      <xdr:row>63</xdr:row>
      <xdr:rowOff>136072</xdr:rowOff>
    </xdr:to>
    <xdr:cxnSp macro="">
      <xdr:nvCxnSpPr>
        <xdr:cNvPr id="434" name="直線コネクタ 433"/>
        <xdr:cNvCxnSpPr/>
      </xdr:nvCxnSpPr>
      <xdr:spPr>
        <a:xfrm>
          <a:off x="7443107" y="2204358"/>
          <a:ext cx="125185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134</xdr:col>
      <xdr:colOff>13607</xdr:colOff>
      <xdr:row>268</xdr:row>
      <xdr:rowOff>136071</xdr:rowOff>
    </xdr:from>
    <xdr:to>
      <xdr:col>135</xdr:col>
      <xdr:colOff>68036</xdr:colOff>
      <xdr:row>268</xdr:row>
      <xdr:rowOff>136071</xdr:rowOff>
    </xdr:to>
    <xdr:cxnSp macro="">
      <xdr:nvCxnSpPr>
        <xdr:cNvPr id="437" name="直線コネクタ 436"/>
        <xdr:cNvCxnSpPr/>
      </xdr:nvCxnSpPr>
      <xdr:spPr>
        <a:xfrm>
          <a:off x="7252607" y="3673928"/>
          <a:ext cx="4218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163286</xdr:colOff>
      <xdr:row>67</xdr:row>
      <xdr:rowOff>136072</xdr:rowOff>
    </xdr:from>
    <xdr:to>
      <xdr:col>120</xdr:col>
      <xdr:colOff>0</xdr:colOff>
      <xdr:row>67</xdr:row>
      <xdr:rowOff>136072</xdr:rowOff>
    </xdr:to>
    <xdr:cxnSp macro="">
      <xdr:nvCxnSpPr>
        <xdr:cNvPr id="429" name="直線コネクタ 428"/>
        <xdr:cNvCxnSpPr/>
      </xdr:nvCxnSpPr>
      <xdr:spPr>
        <a:xfrm>
          <a:off x="6504214" y="220435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67</xdr:row>
      <xdr:rowOff>149679</xdr:rowOff>
    </xdr:from>
    <xdr:to>
      <xdr:col>142</xdr:col>
      <xdr:colOff>0</xdr:colOff>
      <xdr:row>67</xdr:row>
      <xdr:rowOff>149679</xdr:rowOff>
    </xdr:to>
    <xdr:cxnSp macro="">
      <xdr:nvCxnSpPr>
        <xdr:cNvPr id="435" name="直線コネクタ 434"/>
        <xdr:cNvCxnSpPr/>
      </xdr:nvCxnSpPr>
      <xdr:spPr>
        <a:xfrm>
          <a:off x="6504214" y="3197679"/>
          <a:ext cx="14695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131</xdr:col>
      <xdr:colOff>27214</xdr:colOff>
      <xdr:row>263</xdr:row>
      <xdr:rowOff>149679</xdr:rowOff>
    </xdr:from>
    <xdr:to>
      <xdr:col>131</xdr:col>
      <xdr:colOff>190500</xdr:colOff>
      <xdr:row>263</xdr:row>
      <xdr:rowOff>149679</xdr:rowOff>
    </xdr:to>
    <xdr:cxnSp macro="">
      <xdr:nvCxnSpPr>
        <xdr:cNvPr id="416" name="直線コネクタ 415"/>
        <xdr:cNvCxnSpPr/>
      </xdr:nvCxnSpPr>
      <xdr:spPr>
        <a:xfrm>
          <a:off x="8368393" y="3197679"/>
          <a:ext cx="1632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133</xdr:col>
      <xdr:colOff>217715</xdr:colOff>
      <xdr:row>267</xdr:row>
      <xdr:rowOff>136072</xdr:rowOff>
    </xdr:from>
    <xdr:to>
      <xdr:col>135</xdr:col>
      <xdr:colOff>54428</xdr:colOff>
      <xdr:row>267</xdr:row>
      <xdr:rowOff>136072</xdr:rowOff>
    </xdr:to>
    <xdr:cxnSp macro="">
      <xdr:nvCxnSpPr>
        <xdr:cNvPr id="427" name="直線コネクタ 426"/>
        <xdr:cNvCxnSpPr/>
      </xdr:nvCxnSpPr>
      <xdr:spPr>
        <a:xfrm>
          <a:off x="7089322" y="3429001"/>
          <a:ext cx="57149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66</xdr:row>
      <xdr:rowOff>149679</xdr:rowOff>
    </xdr:from>
    <xdr:to>
      <xdr:col>151</xdr:col>
      <xdr:colOff>217715</xdr:colOff>
      <xdr:row>66</xdr:row>
      <xdr:rowOff>149679</xdr:rowOff>
    </xdr:to>
    <xdr:cxnSp macro="">
      <xdr:nvCxnSpPr>
        <xdr:cNvPr id="438" name="直線コネクタ 437"/>
        <xdr:cNvCxnSpPr/>
      </xdr:nvCxnSpPr>
      <xdr:spPr>
        <a:xfrm>
          <a:off x="6150429" y="2462893"/>
          <a:ext cx="58510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131</xdr:col>
      <xdr:colOff>27214</xdr:colOff>
      <xdr:row>264</xdr:row>
      <xdr:rowOff>149679</xdr:rowOff>
    </xdr:from>
    <xdr:to>
      <xdr:col>132</xdr:col>
      <xdr:colOff>68036</xdr:colOff>
      <xdr:row>264</xdr:row>
      <xdr:rowOff>149679</xdr:rowOff>
    </xdr:to>
    <xdr:cxnSp macro="">
      <xdr:nvCxnSpPr>
        <xdr:cNvPr id="439" name="直線コネクタ 438"/>
        <xdr:cNvCxnSpPr/>
      </xdr:nvCxnSpPr>
      <xdr:spPr>
        <a:xfrm>
          <a:off x="8368393" y="3197679"/>
          <a:ext cx="4082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132</xdr:col>
      <xdr:colOff>1</xdr:colOff>
      <xdr:row>265</xdr:row>
      <xdr:rowOff>136072</xdr:rowOff>
    </xdr:from>
    <xdr:to>
      <xdr:col>132</xdr:col>
      <xdr:colOff>163287</xdr:colOff>
      <xdr:row>265</xdr:row>
      <xdr:rowOff>136072</xdr:rowOff>
    </xdr:to>
    <xdr:cxnSp macro="">
      <xdr:nvCxnSpPr>
        <xdr:cNvPr id="440" name="直線コネクタ 439"/>
        <xdr:cNvCxnSpPr/>
      </xdr:nvCxnSpPr>
      <xdr:spPr>
        <a:xfrm>
          <a:off x="8708572" y="4163786"/>
          <a:ext cx="1632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xdr:row>
      <xdr:rowOff>163286</xdr:rowOff>
    </xdr:from>
    <xdr:to>
      <xdr:col>196</xdr:col>
      <xdr:colOff>122464</xdr:colOff>
      <xdr:row>22</xdr:row>
      <xdr:rowOff>163286</xdr:rowOff>
    </xdr:to>
    <xdr:cxnSp macro="">
      <xdr:nvCxnSpPr>
        <xdr:cNvPr id="436" name="直線コネクタ 435"/>
        <xdr:cNvCxnSpPr/>
      </xdr:nvCxnSpPr>
      <xdr:spPr>
        <a:xfrm>
          <a:off x="6150429" y="1496786"/>
          <a:ext cx="14818178"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136</xdr:col>
      <xdr:colOff>272142</xdr:colOff>
      <xdr:row>273</xdr:row>
      <xdr:rowOff>136071</xdr:rowOff>
    </xdr:from>
    <xdr:to>
      <xdr:col>138</xdr:col>
      <xdr:colOff>231322</xdr:colOff>
      <xdr:row>273</xdr:row>
      <xdr:rowOff>136071</xdr:rowOff>
    </xdr:to>
    <xdr:cxnSp macro="">
      <xdr:nvCxnSpPr>
        <xdr:cNvPr id="444" name="直線コネクタ 443"/>
        <xdr:cNvCxnSpPr/>
      </xdr:nvCxnSpPr>
      <xdr:spPr>
        <a:xfrm>
          <a:off x="8245928" y="4163785"/>
          <a:ext cx="6939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163286</xdr:colOff>
      <xdr:row>65</xdr:row>
      <xdr:rowOff>136072</xdr:rowOff>
    </xdr:from>
    <xdr:to>
      <xdr:col>120</xdr:col>
      <xdr:colOff>0</xdr:colOff>
      <xdr:row>65</xdr:row>
      <xdr:rowOff>136072</xdr:rowOff>
    </xdr:to>
    <xdr:cxnSp macro="">
      <xdr:nvCxnSpPr>
        <xdr:cNvPr id="443" name="直線コネクタ 442"/>
        <xdr:cNvCxnSpPr/>
      </xdr:nvCxnSpPr>
      <xdr:spPr>
        <a:xfrm>
          <a:off x="6504214" y="2449286"/>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135</xdr:col>
      <xdr:colOff>27214</xdr:colOff>
      <xdr:row>65</xdr:row>
      <xdr:rowOff>136072</xdr:rowOff>
    </xdr:from>
    <xdr:to>
      <xdr:col>138</xdr:col>
      <xdr:colOff>0</xdr:colOff>
      <xdr:row>65</xdr:row>
      <xdr:rowOff>136072</xdr:rowOff>
    </xdr:to>
    <xdr:cxnSp macro="">
      <xdr:nvCxnSpPr>
        <xdr:cNvPr id="445" name="直線コネクタ 444"/>
        <xdr:cNvCxnSpPr/>
      </xdr:nvCxnSpPr>
      <xdr:spPr>
        <a:xfrm>
          <a:off x="7633607" y="2204358"/>
          <a:ext cx="107496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134</xdr:col>
      <xdr:colOff>299357</xdr:colOff>
      <xdr:row>271</xdr:row>
      <xdr:rowOff>136072</xdr:rowOff>
    </xdr:from>
    <xdr:to>
      <xdr:col>138</xdr:col>
      <xdr:colOff>0</xdr:colOff>
      <xdr:row>271</xdr:row>
      <xdr:rowOff>136072</xdr:rowOff>
    </xdr:to>
    <xdr:cxnSp macro="">
      <xdr:nvCxnSpPr>
        <xdr:cNvPr id="446" name="直線コネクタ 445"/>
        <xdr:cNvCxnSpPr/>
      </xdr:nvCxnSpPr>
      <xdr:spPr>
        <a:xfrm>
          <a:off x="7538357" y="4408715"/>
          <a:ext cx="11702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136</xdr:col>
      <xdr:colOff>136071</xdr:colOff>
      <xdr:row>284</xdr:row>
      <xdr:rowOff>122463</xdr:rowOff>
    </xdr:from>
    <xdr:to>
      <xdr:col>137</xdr:col>
      <xdr:colOff>217714</xdr:colOff>
      <xdr:row>284</xdr:row>
      <xdr:rowOff>122463</xdr:rowOff>
    </xdr:to>
    <xdr:cxnSp macro="">
      <xdr:nvCxnSpPr>
        <xdr:cNvPr id="447" name="直線コネクタ 446"/>
        <xdr:cNvCxnSpPr/>
      </xdr:nvCxnSpPr>
      <xdr:spPr>
        <a:xfrm>
          <a:off x="8109857" y="5374820"/>
          <a:ext cx="449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278</xdr:row>
      <xdr:rowOff>149679</xdr:rowOff>
    </xdr:from>
    <xdr:to>
      <xdr:col>141</xdr:col>
      <xdr:colOff>0</xdr:colOff>
      <xdr:row>278</xdr:row>
      <xdr:rowOff>149679</xdr:rowOff>
    </xdr:to>
    <xdr:cxnSp macro="">
      <xdr:nvCxnSpPr>
        <xdr:cNvPr id="448" name="直線コネクタ 447"/>
        <xdr:cNvCxnSpPr/>
      </xdr:nvCxnSpPr>
      <xdr:spPr>
        <a:xfrm>
          <a:off x="6504214" y="4177393"/>
          <a:ext cx="110217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136</xdr:col>
      <xdr:colOff>-1</xdr:colOff>
      <xdr:row>300</xdr:row>
      <xdr:rowOff>149679</xdr:rowOff>
    </xdr:from>
    <xdr:to>
      <xdr:col>137</xdr:col>
      <xdr:colOff>54428</xdr:colOff>
      <xdr:row>300</xdr:row>
      <xdr:rowOff>149679</xdr:rowOff>
    </xdr:to>
    <xdr:cxnSp macro="">
      <xdr:nvCxnSpPr>
        <xdr:cNvPr id="449" name="直線コネクタ 448"/>
        <xdr:cNvCxnSpPr/>
      </xdr:nvCxnSpPr>
      <xdr:spPr>
        <a:xfrm>
          <a:off x="7973785" y="3687536"/>
          <a:ext cx="4218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24</xdr:row>
      <xdr:rowOff>136071</xdr:rowOff>
    </xdr:from>
    <xdr:to>
      <xdr:col>147</xdr:col>
      <xdr:colOff>190500</xdr:colOff>
      <xdr:row>24</xdr:row>
      <xdr:rowOff>136071</xdr:rowOff>
    </xdr:to>
    <xdr:cxnSp macro="">
      <xdr:nvCxnSpPr>
        <xdr:cNvPr id="451" name="直線コネクタ 450"/>
        <xdr:cNvCxnSpPr/>
      </xdr:nvCxnSpPr>
      <xdr:spPr>
        <a:xfrm>
          <a:off x="6150429" y="2204357"/>
          <a:ext cx="1292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136</xdr:col>
      <xdr:colOff>27214</xdr:colOff>
      <xdr:row>272</xdr:row>
      <xdr:rowOff>149678</xdr:rowOff>
    </xdr:from>
    <xdr:to>
      <xdr:col>137</xdr:col>
      <xdr:colOff>13607</xdr:colOff>
      <xdr:row>272</xdr:row>
      <xdr:rowOff>149678</xdr:rowOff>
    </xdr:to>
    <xdr:cxnSp macro="">
      <xdr:nvCxnSpPr>
        <xdr:cNvPr id="453" name="直線コネクタ 452"/>
        <xdr:cNvCxnSpPr/>
      </xdr:nvCxnSpPr>
      <xdr:spPr>
        <a:xfrm>
          <a:off x="8001000" y="3932464"/>
          <a:ext cx="3537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136</xdr:col>
      <xdr:colOff>95250</xdr:colOff>
      <xdr:row>269</xdr:row>
      <xdr:rowOff>122465</xdr:rowOff>
    </xdr:from>
    <xdr:to>
      <xdr:col>136</xdr:col>
      <xdr:colOff>312965</xdr:colOff>
      <xdr:row>269</xdr:row>
      <xdr:rowOff>122465</xdr:rowOff>
    </xdr:to>
    <xdr:cxnSp macro="">
      <xdr:nvCxnSpPr>
        <xdr:cNvPr id="456" name="直線コネクタ 455"/>
        <xdr:cNvCxnSpPr/>
      </xdr:nvCxnSpPr>
      <xdr:spPr>
        <a:xfrm>
          <a:off x="8069036" y="3415394"/>
          <a:ext cx="21771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0</xdr:colOff>
      <xdr:row>72</xdr:row>
      <xdr:rowOff>0</xdr:rowOff>
    </xdr:from>
    <xdr:to>
      <xdr:col>170</xdr:col>
      <xdr:colOff>84046</xdr:colOff>
      <xdr:row>72</xdr:row>
      <xdr:rowOff>0</xdr:rowOff>
    </xdr:to>
    <xdr:cxnSp macro="">
      <xdr:nvCxnSpPr>
        <xdr:cNvPr id="441" name="直線コネクタ 440"/>
        <xdr:cNvCxnSpPr/>
      </xdr:nvCxnSpPr>
      <xdr:spPr>
        <a:xfrm>
          <a:off x="12382500" y="2803071"/>
          <a:ext cx="8792617"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162</xdr:col>
      <xdr:colOff>329046</xdr:colOff>
      <xdr:row>24</xdr:row>
      <xdr:rowOff>163286</xdr:rowOff>
    </xdr:from>
    <xdr:to>
      <xdr:col>196</xdr:col>
      <xdr:colOff>155864</xdr:colOff>
      <xdr:row>24</xdr:row>
      <xdr:rowOff>163286</xdr:rowOff>
    </xdr:to>
    <xdr:cxnSp macro="">
      <xdr:nvCxnSpPr>
        <xdr:cNvPr id="452" name="直線コネクタ 451"/>
        <xdr:cNvCxnSpPr/>
      </xdr:nvCxnSpPr>
      <xdr:spPr>
        <a:xfrm>
          <a:off x="8641773" y="1721922"/>
          <a:ext cx="12192000"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136</xdr:col>
      <xdr:colOff>326572</xdr:colOff>
      <xdr:row>71</xdr:row>
      <xdr:rowOff>136071</xdr:rowOff>
    </xdr:from>
    <xdr:to>
      <xdr:col>140</xdr:col>
      <xdr:colOff>176893</xdr:colOff>
      <xdr:row>71</xdr:row>
      <xdr:rowOff>136071</xdr:rowOff>
    </xdr:to>
    <xdr:cxnSp macro="">
      <xdr:nvCxnSpPr>
        <xdr:cNvPr id="457" name="直線コネクタ 456"/>
        <xdr:cNvCxnSpPr/>
      </xdr:nvCxnSpPr>
      <xdr:spPr>
        <a:xfrm>
          <a:off x="8300358" y="2449285"/>
          <a:ext cx="131989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139</xdr:col>
      <xdr:colOff>54429</xdr:colOff>
      <xdr:row>303</xdr:row>
      <xdr:rowOff>136071</xdr:rowOff>
    </xdr:from>
    <xdr:to>
      <xdr:col>140</xdr:col>
      <xdr:colOff>353786</xdr:colOff>
      <xdr:row>303</xdr:row>
      <xdr:rowOff>136071</xdr:rowOff>
    </xdr:to>
    <xdr:cxnSp macro="">
      <xdr:nvCxnSpPr>
        <xdr:cNvPr id="454" name="直線コネクタ 453"/>
        <xdr:cNvCxnSpPr/>
      </xdr:nvCxnSpPr>
      <xdr:spPr>
        <a:xfrm>
          <a:off x="6926036" y="4653642"/>
          <a:ext cx="666750"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137</xdr:col>
      <xdr:colOff>27214</xdr:colOff>
      <xdr:row>270</xdr:row>
      <xdr:rowOff>149678</xdr:rowOff>
    </xdr:from>
    <xdr:to>
      <xdr:col>137</xdr:col>
      <xdr:colOff>244929</xdr:colOff>
      <xdr:row>270</xdr:row>
      <xdr:rowOff>149678</xdr:rowOff>
    </xdr:to>
    <xdr:cxnSp macro="">
      <xdr:nvCxnSpPr>
        <xdr:cNvPr id="455" name="直線コネクタ 454"/>
        <xdr:cNvCxnSpPr/>
      </xdr:nvCxnSpPr>
      <xdr:spPr>
        <a:xfrm>
          <a:off x="8368393" y="3442607"/>
          <a:ext cx="21771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138</xdr:col>
      <xdr:colOff>136071</xdr:colOff>
      <xdr:row>274</xdr:row>
      <xdr:rowOff>136071</xdr:rowOff>
    </xdr:from>
    <xdr:to>
      <xdr:col>139</xdr:col>
      <xdr:colOff>353785</xdr:colOff>
      <xdr:row>274</xdr:row>
      <xdr:rowOff>136071</xdr:rowOff>
    </xdr:to>
    <xdr:cxnSp macro="">
      <xdr:nvCxnSpPr>
        <xdr:cNvPr id="458" name="直線コネクタ 457"/>
        <xdr:cNvCxnSpPr/>
      </xdr:nvCxnSpPr>
      <xdr:spPr>
        <a:xfrm>
          <a:off x="8844642" y="4898571"/>
          <a:ext cx="58510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138</xdr:col>
      <xdr:colOff>244929</xdr:colOff>
      <xdr:row>284</xdr:row>
      <xdr:rowOff>136072</xdr:rowOff>
    </xdr:from>
    <xdr:to>
      <xdr:col>141</xdr:col>
      <xdr:colOff>176893</xdr:colOff>
      <xdr:row>284</xdr:row>
      <xdr:rowOff>136072</xdr:rowOff>
    </xdr:to>
    <xdr:cxnSp macro="">
      <xdr:nvCxnSpPr>
        <xdr:cNvPr id="460" name="直線コネクタ 459"/>
        <xdr:cNvCxnSpPr/>
      </xdr:nvCxnSpPr>
      <xdr:spPr>
        <a:xfrm>
          <a:off x="6395358" y="4163786"/>
          <a:ext cx="1034142"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139</xdr:col>
      <xdr:colOff>217714</xdr:colOff>
      <xdr:row>275</xdr:row>
      <xdr:rowOff>136071</xdr:rowOff>
    </xdr:from>
    <xdr:to>
      <xdr:col>140</xdr:col>
      <xdr:colOff>340179</xdr:colOff>
      <xdr:row>275</xdr:row>
      <xdr:rowOff>136071</xdr:rowOff>
    </xdr:to>
    <xdr:cxnSp macro="">
      <xdr:nvCxnSpPr>
        <xdr:cNvPr id="431" name="直線コネクタ 430"/>
        <xdr:cNvCxnSpPr/>
      </xdr:nvCxnSpPr>
      <xdr:spPr>
        <a:xfrm>
          <a:off x="7089321" y="4898571"/>
          <a:ext cx="48985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139</xdr:col>
      <xdr:colOff>136072</xdr:colOff>
      <xdr:row>311</xdr:row>
      <xdr:rowOff>136072</xdr:rowOff>
    </xdr:from>
    <xdr:to>
      <xdr:col>139</xdr:col>
      <xdr:colOff>353786</xdr:colOff>
      <xdr:row>311</xdr:row>
      <xdr:rowOff>136072</xdr:rowOff>
    </xdr:to>
    <xdr:cxnSp macro="">
      <xdr:nvCxnSpPr>
        <xdr:cNvPr id="461" name="直線コネクタ 460"/>
        <xdr:cNvCxnSpPr/>
      </xdr:nvCxnSpPr>
      <xdr:spPr>
        <a:xfrm>
          <a:off x="7007679" y="5388429"/>
          <a:ext cx="21771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139</xdr:col>
      <xdr:colOff>217714</xdr:colOff>
      <xdr:row>276</xdr:row>
      <xdr:rowOff>136071</xdr:rowOff>
    </xdr:from>
    <xdr:to>
      <xdr:col>141</xdr:col>
      <xdr:colOff>54428</xdr:colOff>
      <xdr:row>276</xdr:row>
      <xdr:rowOff>136071</xdr:rowOff>
    </xdr:to>
    <xdr:cxnSp macro="">
      <xdr:nvCxnSpPr>
        <xdr:cNvPr id="459" name="直線コネクタ 458"/>
        <xdr:cNvCxnSpPr/>
      </xdr:nvCxnSpPr>
      <xdr:spPr>
        <a:xfrm>
          <a:off x="7089321" y="4653642"/>
          <a:ext cx="5715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25</xdr:row>
      <xdr:rowOff>136072</xdr:rowOff>
    </xdr:from>
    <xdr:to>
      <xdr:col>147</xdr:col>
      <xdr:colOff>190500</xdr:colOff>
      <xdr:row>25</xdr:row>
      <xdr:rowOff>136072</xdr:rowOff>
    </xdr:to>
    <xdr:cxnSp macro="">
      <xdr:nvCxnSpPr>
        <xdr:cNvPr id="463" name="直線コネクタ 462"/>
        <xdr:cNvCxnSpPr/>
      </xdr:nvCxnSpPr>
      <xdr:spPr>
        <a:xfrm>
          <a:off x="6150429" y="2449286"/>
          <a:ext cx="1292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27</xdr:row>
      <xdr:rowOff>149679</xdr:rowOff>
    </xdr:from>
    <xdr:to>
      <xdr:col>162</xdr:col>
      <xdr:colOff>353785</xdr:colOff>
      <xdr:row>27</xdr:row>
      <xdr:rowOff>149679</xdr:rowOff>
    </xdr:to>
    <xdr:cxnSp macro="">
      <xdr:nvCxnSpPr>
        <xdr:cNvPr id="465" name="直線コネクタ 464"/>
        <xdr:cNvCxnSpPr/>
      </xdr:nvCxnSpPr>
      <xdr:spPr>
        <a:xfrm>
          <a:off x="6150429" y="2217965"/>
          <a:ext cx="25581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139</xdr:col>
      <xdr:colOff>81643</xdr:colOff>
      <xdr:row>277</xdr:row>
      <xdr:rowOff>149678</xdr:rowOff>
    </xdr:from>
    <xdr:to>
      <xdr:col>141</xdr:col>
      <xdr:colOff>108858</xdr:colOff>
      <xdr:row>277</xdr:row>
      <xdr:rowOff>149678</xdr:rowOff>
    </xdr:to>
    <xdr:cxnSp macro="">
      <xdr:nvCxnSpPr>
        <xdr:cNvPr id="432" name="直線コネクタ 431"/>
        <xdr:cNvCxnSpPr/>
      </xdr:nvCxnSpPr>
      <xdr:spPr>
        <a:xfrm>
          <a:off x="6953250" y="5157107"/>
          <a:ext cx="76200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163285</xdr:colOff>
      <xdr:row>283</xdr:row>
      <xdr:rowOff>136072</xdr:rowOff>
    </xdr:from>
    <xdr:to>
      <xdr:col>143</xdr:col>
      <xdr:colOff>13607</xdr:colOff>
      <xdr:row>283</xdr:row>
      <xdr:rowOff>136072</xdr:rowOff>
    </xdr:to>
    <xdr:cxnSp macro="">
      <xdr:nvCxnSpPr>
        <xdr:cNvPr id="464" name="直線コネクタ 463"/>
        <xdr:cNvCxnSpPr/>
      </xdr:nvCxnSpPr>
      <xdr:spPr>
        <a:xfrm>
          <a:off x="7048499" y="5388429"/>
          <a:ext cx="95250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217714</xdr:colOff>
      <xdr:row>296</xdr:row>
      <xdr:rowOff>149679</xdr:rowOff>
    </xdr:from>
    <xdr:to>
      <xdr:col>141</xdr:col>
      <xdr:colOff>122464</xdr:colOff>
      <xdr:row>296</xdr:row>
      <xdr:rowOff>149679</xdr:rowOff>
    </xdr:to>
    <xdr:cxnSp macro="">
      <xdr:nvCxnSpPr>
        <xdr:cNvPr id="466" name="直線コネクタ 465"/>
        <xdr:cNvCxnSpPr/>
      </xdr:nvCxnSpPr>
      <xdr:spPr>
        <a:xfrm>
          <a:off x="7102928" y="5891893"/>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192985</xdr:colOff>
      <xdr:row>384</xdr:row>
      <xdr:rowOff>120098</xdr:rowOff>
    </xdr:from>
    <xdr:to>
      <xdr:col>6</xdr:col>
      <xdr:colOff>173935</xdr:colOff>
      <xdr:row>384</xdr:row>
      <xdr:rowOff>120098</xdr:rowOff>
    </xdr:to>
    <xdr:cxnSp macro="">
      <xdr:nvCxnSpPr>
        <xdr:cNvPr id="467" name="直線コネクタ 466"/>
        <xdr:cNvCxnSpPr/>
      </xdr:nvCxnSpPr>
      <xdr:spPr>
        <a:xfrm>
          <a:off x="2421007" y="17033185"/>
          <a:ext cx="461341" cy="0"/>
        </a:xfrm>
        <a:prstGeom prst="line">
          <a:avLst/>
        </a:prstGeom>
        <a:ln w="25400">
          <a:solidFill>
            <a:srgbClr val="FF0000"/>
          </a:solidFill>
          <a:prstDash val="sysDash"/>
          <a:headEnd type="oval"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190</xdr:col>
      <xdr:colOff>40817</xdr:colOff>
      <xdr:row>68</xdr:row>
      <xdr:rowOff>231321</xdr:rowOff>
    </xdr:from>
    <xdr:to>
      <xdr:col>197</xdr:col>
      <xdr:colOff>323631</xdr:colOff>
      <xdr:row>323</xdr:row>
      <xdr:rowOff>95247</xdr:rowOff>
    </xdr:to>
    <xdr:pic>
      <xdr:nvPicPr>
        <xdr:cNvPr id="471" name="図 4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82603" y="2544535"/>
          <a:ext cx="2854564" cy="2068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141</xdr:col>
      <xdr:colOff>108857</xdr:colOff>
      <xdr:row>281</xdr:row>
      <xdr:rowOff>149678</xdr:rowOff>
    </xdr:from>
    <xdr:to>
      <xdr:col>143</xdr:col>
      <xdr:colOff>326572</xdr:colOff>
      <xdr:row>281</xdr:row>
      <xdr:rowOff>149678</xdr:rowOff>
    </xdr:to>
    <xdr:cxnSp macro="">
      <xdr:nvCxnSpPr>
        <xdr:cNvPr id="462" name="直線コネクタ 461"/>
        <xdr:cNvCxnSpPr/>
      </xdr:nvCxnSpPr>
      <xdr:spPr>
        <a:xfrm>
          <a:off x="7361464" y="5646964"/>
          <a:ext cx="952501"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141</xdr:col>
      <xdr:colOff>299357</xdr:colOff>
      <xdr:row>280</xdr:row>
      <xdr:rowOff>136071</xdr:rowOff>
    </xdr:from>
    <xdr:to>
      <xdr:col>143</xdr:col>
      <xdr:colOff>272143</xdr:colOff>
      <xdr:row>280</xdr:row>
      <xdr:rowOff>136071</xdr:rowOff>
    </xdr:to>
    <xdr:cxnSp macro="">
      <xdr:nvCxnSpPr>
        <xdr:cNvPr id="468" name="直線コネクタ 467"/>
        <xdr:cNvCxnSpPr/>
      </xdr:nvCxnSpPr>
      <xdr:spPr>
        <a:xfrm>
          <a:off x="7551964" y="5878285"/>
          <a:ext cx="707572"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142</xdr:col>
      <xdr:colOff>95250</xdr:colOff>
      <xdr:row>279</xdr:row>
      <xdr:rowOff>122465</xdr:rowOff>
    </xdr:from>
    <xdr:to>
      <xdr:col>144</xdr:col>
      <xdr:colOff>0</xdr:colOff>
      <xdr:row>279</xdr:row>
      <xdr:rowOff>122465</xdr:rowOff>
    </xdr:to>
    <xdr:cxnSp macro="">
      <xdr:nvCxnSpPr>
        <xdr:cNvPr id="469" name="直線コネクタ 468"/>
        <xdr:cNvCxnSpPr/>
      </xdr:nvCxnSpPr>
      <xdr:spPr>
        <a:xfrm>
          <a:off x="7715250" y="5864679"/>
          <a:ext cx="639536"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176893</xdr:colOff>
      <xdr:row>303</xdr:row>
      <xdr:rowOff>163286</xdr:rowOff>
    </xdr:from>
    <xdr:to>
      <xdr:col>144</xdr:col>
      <xdr:colOff>340178</xdr:colOff>
      <xdr:row>303</xdr:row>
      <xdr:rowOff>163286</xdr:rowOff>
    </xdr:to>
    <xdr:cxnSp macro="">
      <xdr:nvCxnSpPr>
        <xdr:cNvPr id="470" name="直線コネクタ 469"/>
        <xdr:cNvCxnSpPr/>
      </xdr:nvCxnSpPr>
      <xdr:spPr>
        <a:xfrm>
          <a:off x="8531679" y="5660572"/>
          <a:ext cx="16328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142</xdr:col>
      <xdr:colOff>95250</xdr:colOff>
      <xdr:row>282</xdr:row>
      <xdr:rowOff>122465</xdr:rowOff>
    </xdr:from>
    <xdr:to>
      <xdr:col>143</xdr:col>
      <xdr:colOff>231321</xdr:colOff>
      <xdr:row>282</xdr:row>
      <xdr:rowOff>122465</xdr:rowOff>
    </xdr:to>
    <xdr:cxnSp macro="">
      <xdr:nvCxnSpPr>
        <xdr:cNvPr id="472" name="直線コネクタ 471"/>
        <xdr:cNvCxnSpPr/>
      </xdr:nvCxnSpPr>
      <xdr:spPr>
        <a:xfrm>
          <a:off x="7715250" y="6599465"/>
          <a:ext cx="50346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142</xdr:col>
      <xdr:colOff>81643</xdr:colOff>
      <xdr:row>285</xdr:row>
      <xdr:rowOff>122465</xdr:rowOff>
    </xdr:from>
    <xdr:to>
      <xdr:col>144</xdr:col>
      <xdr:colOff>244928</xdr:colOff>
      <xdr:row>285</xdr:row>
      <xdr:rowOff>122465</xdr:rowOff>
    </xdr:to>
    <xdr:cxnSp macro="">
      <xdr:nvCxnSpPr>
        <xdr:cNvPr id="474" name="直線コネクタ 473"/>
        <xdr:cNvCxnSpPr/>
      </xdr:nvCxnSpPr>
      <xdr:spPr>
        <a:xfrm>
          <a:off x="7701643" y="5374822"/>
          <a:ext cx="8980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142</xdr:col>
      <xdr:colOff>244929</xdr:colOff>
      <xdr:row>286</xdr:row>
      <xdr:rowOff>149680</xdr:rowOff>
    </xdr:from>
    <xdr:to>
      <xdr:col>144</xdr:col>
      <xdr:colOff>353785</xdr:colOff>
      <xdr:row>286</xdr:row>
      <xdr:rowOff>149680</xdr:rowOff>
    </xdr:to>
    <xdr:cxnSp macro="">
      <xdr:nvCxnSpPr>
        <xdr:cNvPr id="473" name="直線コネクタ 472"/>
        <xdr:cNvCxnSpPr/>
      </xdr:nvCxnSpPr>
      <xdr:spPr>
        <a:xfrm>
          <a:off x="7864929" y="6381751"/>
          <a:ext cx="8436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143</xdr:col>
      <xdr:colOff>244928</xdr:colOff>
      <xdr:row>288</xdr:row>
      <xdr:rowOff>122465</xdr:rowOff>
    </xdr:from>
    <xdr:to>
      <xdr:col>145</xdr:col>
      <xdr:colOff>149678</xdr:colOff>
      <xdr:row>288</xdr:row>
      <xdr:rowOff>122465</xdr:rowOff>
    </xdr:to>
    <xdr:cxnSp macro="">
      <xdr:nvCxnSpPr>
        <xdr:cNvPr id="475" name="直線コネクタ 474"/>
        <xdr:cNvCxnSpPr/>
      </xdr:nvCxnSpPr>
      <xdr:spPr>
        <a:xfrm>
          <a:off x="8232321" y="5864679"/>
          <a:ext cx="639536"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122464</xdr:colOff>
      <xdr:row>289</xdr:row>
      <xdr:rowOff>136071</xdr:rowOff>
    </xdr:from>
    <xdr:to>
      <xdr:col>145</xdr:col>
      <xdr:colOff>95249</xdr:colOff>
      <xdr:row>289</xdr:row>
      <xdr:rowOff>136071</xdr:rowOff>
    </xdr:to>
    <xdr:cxnSp macro="">
      <xdr:nvCxnSpPr>
        <xdr:cNvPr id="477" name="直線コネクタ 476"/>
        <xdr:cNvCxnSpPr/>
      </xdr:nvCxnSpPr>
      <xdr:spPr>
        <a:xfrm>
          <a:off x="8477250" y="8817428"/>
          <a:ext cx="34017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163285</xdr:colOff>
      <xdr:row>311</xdr:row>
      <xdr:rowOff>136071</xdr:rowOff>
    </xdr:from>
    <xdr:to>
      <xdr:col>146</xdr:col>
      <xdr:colOff>68036</xdr:colOff>
      <xdr:row>311</xdr:row>
      <xdr:rowOff>136071</xdr:rowOff>
    </xdr:to>
    <xdr:cxnSp macro="">
      <xdr:nvCxnSpPr>
        <xdr:cNvPr id="476" name="直線コネクタ 475"/>
        <xdr:cNvCxnSpPr/>
      </xdr:nvCxnSpPr>
      <xdr:spPr>
        <a:xfrm>
          <a:off x="8518071" y="6858000"/>
          <a:ext cx="639536"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122464</xdr:colOff>
      <xdr:row>292</xdr:row>
      <xdr:rowOff>136071</xdr:rowOff>
    </xdr:from>
    <xdr:to>
      <xdr:col>145</xdr:col>
      <xdr:colOff>95249</xdr:colOff>
      <xdr:row>292</xdr:row>
      <xdr:rowOff>136071</xdr:rowOff>
    </xdr:to>
    <xdr:cxnSp macro="">
      <xdr:nvCxnSpPr>
        <xdr:cNvPr id="478" name="直線コネクタ 477"/>
        <xdr:cNvCxnSpPr/>
      </xdr:nvCxnSpPr>
      <xdr:spPr>
        <a:xfrm>
          <a:off x="8477250" y="6613071"/>
          <a:ext cx="340178"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122464</xdr:colOff>
      <xdr:row>287</xdr:row>
      <xdr:rowOff>136071</xdr:rowOff>
    </xdr:from>
    <xdr:to>
      <xdr:col>145</xdr:col>
      <xdr:colOff>95249</xdr:colOff>
      <xdr:row>287</xdr:row>
      <xdr:rowOff>136071</xdr:rowOff>
    </xdr:to>
    <xdr:cxnSp macro="">
      <xdr:nvCxnSpPr>
        <xdr:cNvPr id="479" name="直線コネクタ 478"/>
        <xdr:cNvCxnSpPr/>
      </xdr:nvCxnSpPr>
      <xdr:spPr>
        <a:xfrm>
          <a:off x="8477250" y="6613071"/>
          <a:ext cx="340178"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204107</xdr:colOff>
      <xdr:row>291</xdr:row>
      <xdr:rowOff>136072</xdr:rowOff>
    </xdr:from>
    <xdr:to>
      <xdr:col>146</xdr:col>
      <xdr:colOff>190500</xdr:colOff>
      <xdr:row>291</xdr:row>
      <xdr:rowOff>136072</xdr:rowOff>
    </xdr:to>
    <xdr:cxnSp macro="">
      <xdr:nvCxnSpPr>
        <xdr:cNvPr id="480" name="直線コネクタ 479"/>
        <xdr:cNvCxnSpPr/>
      </xdr:nvCxnSpPr>
      <xdr:spPr>
        <a:xfrm>
          <a:off x="8558893" y="7102929"/>
          <a:ext cx="72117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145</xdr:col>
      <xdr:colOff>40822</xdr:colOff>
      <xdr:row>327</xdr:row>
      <xdr:rowOff>136072</xdr:rowOff>
    </xdr:from>
    <xdr:to>
      <xdr:col>146</xdr:col>
      <xdr:colOff>312966</xdr:colOff>
      <xdr:row>327</xdr:row>
      <xdr:rowOff>136072</xdr:rowOff>
    </xdr:to>
    <xdr:cxnSp macro="">
      <xdr:nvCxnSpPr>
        <xdr:cNvPr id="482" name="直線コネクタ 481"/>
        <xdr:cNvCxnSpPr/>
      </xdr:nvCxnSpPr>
      <xdr:spPr>
        <a:xfrm>
          <a:off x="8763001" y="8082643"/>
          <a:ext cx="6395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190500</xdr:colOff>
      <xdr:row>296</xdr:row>
      <xdr:rowOff>149679</xdr:rowOff>
    </xdr:from>
    <xdr:to>
      <xdr:col>145</xdr:col>
      <xdr:colOff>95250</xdr:colOff>
      <xdr:row>296</xdr:row>
      <xdr:rowOff>149679</xdr:rowOff>
    </xdr:to>
    <xdr:cxnSp macro="">
      <xdr:nvCxnSpPr>
        <xdr:cNvPr id="483" name="直線コネクタ 482"/>
        <xdr:cNvCxnSpPr/>
      </xdr:nvCxnSpPr>
      <xdr:spPr>
        <a:xfrm>
          <a:off x="8545286" y="5891893"/>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68035</xdr:colOff>
      <xdr:row>284</xdr:row>
      <xdr:rowOff>122465</xdr:rowOff>
    </xdr:from>
    <xdr:to>
      <xdr:col>144</xdr:col>
      <xdr:colOff>244928</xdr:colOff>
      <xdr:row>284</xdr:row>
      <xdr:rowOff>122465</xdr:rowOff>
    </xdr:to>
    <xdr:cxnSp macro="">
      <xdr:nvCxnSpPr>
        <xdr:cNvPr id="484" name="直線コネクタ 483"/>
        <xdr:cNvCxnSpPr/>
      </xdr:nvCxnSpPr>
      <xdr:spPr>
        <a:xfrm>
          <a:off x="8422821" y="5374822"/>
          <a:ext cx="17689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145</xdr:col>
      <xdr:colOff>326572</xdr:colOff>
      <xdr:row>317</xdr:row>
      <xdr:rowOff>136072</xdr:rowOff>
    </xdr:from>
    <xdr:to>
      <xdr:col>146</xdr:col>
      <xdr:colOff>285749</xdr:colOff>
      <xdr:row>317</xdr:row>
      <xdr:rowOff>136072</xdr:rowOff>
    </xdr:to>
    <xdr:cxnSp macro="">
      <xdr:nvCxnSpPr>
        <xdr:cNvPr id="485" name="直線コネクタ 484"/>
        <xdr:cNvCxnSpPr/>
      </xdr:nvCxnSpPr>
      <xdr:spPr>
        <a:xfrm>
          <a:off x="6844393" y="7837715"/>
          <a:ext cx="32657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158</xdr:col>
      <xdr:colOff>27215</xdr:colOff>
      <xdr:row>317</xdr:row>
      <xdr:rowOff>149678</xdr:rowOff>
    </xdr:from>
    <xdr:to>
      <xdr:col>158</xdr:col>
      <xdr:colOff>353786</xdr:colOff>
      <xdr:row>317</xdr:row>
      <xdr:rowOff>149678</xdr:rowOff>
    </xdr:to>
    <xdr:cxnSp macro="">
      <xdr:nvCxnSpPr>
        <xdr:cNvPr id="486" name="直線コネクタ 485"/>
        <xdr:cNvCxnSpPr/>
      </xdr:nvCxnSpPr>
      <xdr:spPr>
        <a:xfrm>
          <a:off x="9116786" y="5402035"/>
          <a:ext cx="326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258535</xdr:colOff>
      <xdr:row>325</xdr:row>
      <xdr:rowOff>149678</xdr:rowOff>
    </xdr:from>
    <xdr:to>
      <xdr:col>145</xdr:col>
      <xdr:colOff>40820</xdr:colOff>
      <xdr:row>325</xdr:row>
      <xdr:rowOff>149678</xdr:rowOff>
    </xdr:to>
    <xdr:cxnSp macro="">
      <xdr:nvCxnSpPr>
        <xdr:cNvPr id="488" name="直線コネクタ 487"/>
        <xdr:cNvCxnSpPr/>
      </xdr:nvCxnSpPr>
      <xdr:spPr>
        <a:xfrm>
          <a:off x="8613321" y="7361464"/>
          <a:ext cx="14967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145</xdr:col>
      <xdr:colOff>340179</xdr:colOff>
      <xdr:row>293</xdr:row>
      <xdr:rowOff>136072</xdr:rowOff>
    </xdr:from>
    <xdr:to>
      <xdr:col>147</xdr:col>
      <xdr:colOff>163286</xdr:colOff>
      <xdr:row>293</xdr:row>
      <xdr:rowOff>136072</xdr:rowOff>
    </xdr:to>
    <xdr:cxnSp macro="">
      <xdr:nvCxnSpPr>
        <xdr:cNvPr id="450" name="直線コネクタ 449"/>
        <xdr:cNvCxnSpPr/>
      </xdr:nvCxnSpPr>
      <xdr:spPr>
        <a:xfrm>
          <a:off x="6858000" y="6368143"/>
          <a:ext cx="55789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353786</xdr:colOff>
      <xdr:row>299</xdr:row>
      <xdr:rowOff>149679</xdr:rowOff>
    </xdr:from>
    <xdr:to>
      <xdr:col>147</xdr:col>
      <xdr:colOff>340179</xdr:colOff>
      <xdr:row>299</xdr:row>
      <xdr:rowOff>149679</xdr:rowOff>
    </xdr:to>
    <xdr:cxnSp macro="">
      <xdr:nvCxnSpPr>
        <xdr:cNvPr id="487" name="直線コネクタ 486"/>
        <xdr:cNvCxnSpPr/>
      </xdr:nvCxnSpPr>
      <xdr:spPr>
        <a:xfrm>
          <a:off x="7239000" y="7116536"/>
          <a:ext cx="353786"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157</xdr:col>
      <xdr:colOff>190500</xdr:colOff>
      <xdr:row>69</xdr:row>
      <xdr:rowOff>122463</xdr:rowOff>
    </xdr:from>
    <xdr:to>
      <xdr:col>162</xdr:col>
      <xdr:colOff>340178</xdr:colOff>
      <xdr:row>69</xdr:row>
      <xdr:rowOff>122463</xdr:rowOff>
    </xdr:to>
    <xdr:cxnSp macro="">
      <xdr:nvCxnSpPr>
        <xdr:cNvPr id="490" name="直線コネクタ 489"/>
        <xdr:cNvCxnSpPr/>
      </xdr:nvCxnSpPr>
      <xdr:spPr>
        <a:xfrm>
          <a:off x="6708321" y="2680606"/>
          <a:ext cx="19866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149679</xdr:colOff>
      <xdr:row>326</xdr:row>
      <xdr:rowOff>136071</xdr:rowOff>
    </xdr:from>
    <xdr:to>
      <xdr:col>147</xdr:col>
      <xdr:colOff>340179</xdr:colOff>
      <xdr:row>326</xdr:row>
      <xdr:rowOff>136071</xdr:rowOff>
    </xdr:to>
    <xdr:cxnSp macro="">
      <xdr:nvCxnSpPr>
        <xdr:cNvPr id="491" name="直線コネクタ 490"/>
        <xdr:cNvCxnSpPr/>
      </xdr:nvCxnSpPr>
      <xdr:spPr>
        <a:xfrm>
          <a:off x="7034893" y="6613071"/>
          <a:ext cx="55789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147</xdr:col>
      <xdr:colOff>13607</xdr:colOff>
      <xdr:row>295</xdr:row>
      <xdr:rowOff>149679</xdr:rowOff>
    </xdr:from>
    <xdr:to>
      <xdr:col>150</xdr:col>
      <xdr:colOff>0</xdr:colOff>
      <xdr:row>295</xdr:row>
      <xdr:rowOff>149679</xdr:rowOff>
    </xdr:to>
    <xdr:cxnSp macro="">
      <xdr:nvCxnSpPr>
        <xdr:cNvPr id="492" name="直線コネクタ 491"/>
        <xdr:cNvCxnSpPr/>
      </xdr:nvCxnSpPr>
      <xdr:spPr>
        <a:xfrm>
          <a:off x="7266214" y="5891893"/>
          <a:ext cx="1088572"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147</xdr:col>
      <xdr:colOff>68035</xdr:colOff>
      <xdr:row>294</xdr:row>
      <xdr:rowOff>136071</xdr:rowOff>
    </xdr:from>
    <xdr:to>
      <xdr:col>149</xdr:col>
      <xdr:colOff>13607</xdr:colOff>
      <xdr:row>294</xdr:row>
      <xdr:rowOff>136071</xdr:rowOff>
    </xdr:to>
    <xdr:cxnSp macro="">
      <xdr:nvCxnSpPr>
        <xdr:cNvPr id="493" name="直線コネクタ 492"/>
        <xdr:cNvCxnSpPr/>
      </xdr:nvCxnSpPr>
      <xdr:spPr>
        <a:xfrm>
          <a:off x="7320642" y="5633357"/>
          <a:ext cx="68035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147</xdr:col>
      <xdr:colOff>40822</xdr:colOff>
      <xdr:row>310</xdr:row>
      <xdr:rowOff>136072</xdr:rowOff>
    </xdr:from>
    <xdr:to>
      <xdr:col>148</xdr:col>
      <xdr:colOff>326572</xdr:colOff>
      <xdr:row>310</xdr:row>
      <xdr:rowOff>136072</xdr:rowOff>
    </xdr:to>
    <xdr:cxnSp macro="">
      <xdr:nvCxnSpPr>
        <xdr:cNvPr id="494" name="直線コネクタ 493"/>
        <xdr:cNvCxnSpPr/>
      </xdr:nvCxnSpPr>
      <xdr:spPr>
        <a:xfrm>
          <a:off x="7293429" y="7592786"/>
          <a:ext cx="65314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13607</xdr:colOff>
      <xdr:row>308</xdr:row>
      <xdr:rowOff>149679</xdr:rowOff>
    </xdr:from>
    <xdr:to>
      <xdr:col>149</xdr:col>
      <xdr:colOff>353784</xdr:colOff>
      <xdr:row>308</xdr:row>
      <xdr:rowOff>149679</xdr:rowOff>
    </xdr:to>
    <xdr:cxnSp macro="">
      <xdr:nvCxnSpPr>
        <xdr:cNvPr id="495" name="直線コネクタ 494"/>
        <xdr:cNvCxnSpPr/>
      </xdr:nvCxnSpPr>
      <xdr:spPr>
        <a:xfrm>
          <a:off x="8001000" y="7851322"/>
          <a:ext cx="340177"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54428</xdr:colOff>
      <xdr:row>297</xdr:row>
      <xdr:rowOff>136072</xdr:rowOff>
    </xdr:from>
    <xdr:to>
      <xdr:col>149</xdr:col>
      <xdr:colOff>217714</xdr:colOff>
      <xdr:row>297</xdr:row>
      <xdr:rowOff>136072</xdr:rowOff>
    </xdr:to>
    <xdr:cxnSp macro="">
      <xdr:nvCxnSpPr>
        <xdr:cNvPr id="496" name="直線コネクタ 495"/>
        <xdr:cNvCxnSpPr/>
      </xdr:nvCxnSpPr>
      <xdr:spPr>
        <a:xfrm>
          <a:off x="7674428" y="5878286"/>
          <a:ext cx="530679"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13607</xdr:colOff>
      <xdr:row>298</xdr:row>
      <xdr:rowOff>122464</xdr:rowOff>
    </xdr:from>
    <xdr:to>
      <xdr:col>149</xdr:col>
      <xdr:colOff>353784</xdr:colOff>
      <xdr:row>298</xdr:row>
      <xdr:rowOff>122464</xdr:rowOff>
    </xdr:to>
    <xdr:cxnSp macro="">
      <xdr:nvCxnSpPr>
        <xdr:cNvPr id="497" name="直線コネクタ 496"/>
        <xdr:cNvCxnSpPr/>
      </xdr:nvCxnSpPr>
      <xdr:spPr>
        <a:xfrm>
          <a:off x="7633607" y="8313964"/>
          <a:ext cx="707570"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155</xdr:col>
      <xdr:colOff>0</xdr:colOff>
      <xdr:row>310</xdr:row>
      <xdr:rowOff>136071</xdr:rowOff>
    </xdr:from>
    <xdr:to>
      <xdr:col>155</xdr:col>
      <xdr:colOff>163285</xdr:colOff>
      <xdr:row>310</xdr:row>
      <xdr:rowOff>136071</xdr:rowOff>
    </xdr:to>
    <xdr:cxnSp macro="">
      <xdr:nvCxnSpPr>
        <xdr:cNvPr id="442" name="直線コネクタ 441"/>
        <xdr:cNvCxnSpPr/>
      </xdr:nvCxnSpPr>
      <xdr:spPr>
        <a:xfrm>
          <a:off x="7987393" y="3184071"/>
          <a:ext cx="16328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305</xdr:row>
      <xdr:rowOff>136071</xdr:rowOff>
    </xdr:from>
    <xdr:to>
      <xdr:col>151</xdr:col>
      <xdr:colOff>353786</xdr:colOff>
      <xdr:row>305</xdr:row>
      <xdr:rowOff>136071</xdr:rowOff>
    </xdr:to>
    <xdr:cxnSp macro="">
      <xdr:nvCxnSpPr>
        <xdr:cNvPr id="501" name="直線コネクタ 500"/>
        <xdr:cNvCxnSpPr/>
      </xdr:nvCxnSpPr>
      <xdr:spPr>
        <a:xfrm>
          <a:off x="6150429" y="4898571"/>
          <a:ext cx="72117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95250</xdr:colOff>
      <xdr:row>301</xdr:row>
      <xdr:rowOff>122465</xdr:rowOff>
    </xdr:from>
    <xdr:to>
      <xdr:col>150</xdr:col>
      <xdr:colOff>326571</xdr:colOff>
      <xdr:row>301</xdr:row>
      <xdr:rowOff>122465</xdr:rowOff>
    </xdr:to>
    <xdr:cxnSp macro="">
      <xdr:nvCxnSpPr>
        <xdr:cNvPr id="502" name="直線コネクタ 501"/>
        <xdr:cNvCxnSpPr/>
      </xdr:nvCxnSpPr>
      <xdr:spPr>
        <a:xfrm>
          <a:off x="7715250" y="7579179"/>
          <a:ext cx="966107"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190500</xdr:colOff>
      <xdr:row>307</xdr:row>
      <xdr:rowOff>149680</xdr:rowOff>
    </xdr:from>
    <xdr:to>
      <xdr:col>149</xdr:col>
      <xdr:colOff>353786</xdr:colOff>
      <xdr:row>307</xdr:row>
      <xdr:rowOff>149680</xdr:rowOff>
    </xdr:to>
    <xdr:cxnSp macro="">
      <xdr:nvCxnSpPr>
        <xdr:cNvPr id="489" name="直線コネクタ 488"/>
        <xdr:cNvCxnSpPr/>
      </xdr:nvCxnSpPr>
      <xdr:spPr>
        <a:xfrm>
          <a:off x="7810500" y="5402037"/>
          <a:ext cx="530679"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217715</xdr:colOff>
      <xdr:row>308</xdr:row>
      <xdr:rowOff>136071</xdr:rowOff>
    </xdr:from>
    <xdr:to>
      <xdr:col>153</xdr:col>
      <xdr:colOff>353784</xdr:colOff>
      <xdr:row>308</xdr:row>
      <xdr:rowOff>136071</xdr:rowOff>
    </xdr:to>
    <xdr:cxnSp macro="">
      <xdr:nvCxnSpPr>
        <xdr:cNvPr id="499" name="直線コネクタ 498"/>
        <xdr:cNvCxnSpPr/>
      </xdr:nvCxnSpPr>
      <xdr:spPr>
        <a:xfrm>
          <a:off x="9674679" y="6123214"/>
          <a:ext cx="136069"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150</xdr:col>
      <xdr:colOff>231321</xdr:colOff>
      <xdr:row>324</xdr:row>
      <xdr:rowOff>136072</xdr:rowOff>
    </xdr:from>
    <xdr:to>
      <xdr:col>151</xdr:col>
      <xdr:colOff>272141</xdr:colOff>
      <xdr:row>324</xdr:row>
      <xdr:rowOff>136072</xdr:rowOff>
    </xdr:to>
    <xdr:cxnSp macro="">
      <xdr:nvCxnSpPr>
        <xdr:cNvPr id="500" name="直線コネクタ 499"/>
        <xdr:cNvCxnSpPr/>
      </xdr:nvCxnSpPr>
      <xdr:spPr>
        <a:xfrm>
          <a:off x="6381750" y="5633358"/>
          <a:ext cx="40821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95250</xdr:colOff>
      <xdr:row>302</xdr:row>
      <xdr:rowOff>136071</xdr:rowOff>
    </xdr:from>
    <xdr:to>
      <xdr:col>150</xdr:col>
      <xdr:colOff>217714</xdr:colOff>
      <xdr:row>302</xdr:row>
      <xdr:rowOff>136071</xdr:rowOff>
    </xdr:to>
    <xdr:cxnSp macro="">
      <xdr:nvCxnSpPr>
        <xdr:cNvPr id="498" name="直線コネクタ 497"/>
        <xdr:cNvCxnSpPr/>
      </xdr:nvCxnSpPr>
      <xdr:spPr>
        <a:xfrm>
          <a:off x="8082643" y="6123214"/>
          <a:ext cx="48985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95251</xdr:colOff>
      <xdr:row>307</xdr:row>
      <xdr:rowOff>136071</xdr:rowOff>
    </xdr:from>
    <xdr:to>
      <xdr:col>153</xdr:col>
      <xdr:colOff>95250</xdr:colOff>
      <xdr:row>307</xdr:row>
      <xdr:rowOff>136071</xdr:rowOff>
    </xdr:to>
    <xdr:cxnSp macro="">
      <xdr:nvCxnSpPr>
        <xdr:cNvPr id="481" name="直線コネクタ 480"/>
        <xdr:cNvCxnSpPr/>
      </xdr:nvCxnSpPr>
      <xdr:spPr>
        <a:xfrm>
          <a:off x="6613072" y="4653642"/>
          <a:ext cx="73478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217715</xdr:colOff>
      <xdr:row>65</xdr:row>
      <xdr:rowOff>136072</xdr:rowOff>
    </xdr:from>
    <xdr:to>
      <xdr:col>158</xdr:col>
      <xdr:colOff>299358</xdr:colOff>
      <xdr:row>65</xdr:row>
      <xdr:rowOff>136072</xdr:rowOff>
    </xdr:to>
    <xdr:cxnSp macro="">
      <xdr:nvCxnSpPr>
        <xdr:cNvPr id="504" name="直線コネクタ 503"/>
        <xdr:cNvCxnSpPr/>
      </xdr:nvCxnSpPr>
      <xdr:spPr>
        <a:xfrm>
          <a:off x="6735536" y="2939143"/>
          <a:ext cx="265339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149680</xdr:colOff>
      <xdr:row>69</xdr:row>
      <xdr:rowOff>122465</xdr:rowOff>
    </xdr:from>
    <xdr:to>
      <xdr:col>153</xdr:col>
      <xdr:colOff>54430</xdr:colOff>
      <xdr:row>69</xdr:row>
      <xdr:rowOff>122465</xdr:rowOff>
    </xdr:to>
    <xdr:cxnSp macro="">
      <xdr:nvCxnSpPr>
        <xdr:cNvPr id="505" name="直線コネクタ 504"/>
        <xdr:cNvCxnSpPr/>
      </xdr:nvCxnSpPr>
      <xdr:spPr>
        <a:xfrm>
          <a:off x="7034894" y="2925536"/>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164</xdr:col>
      <xdr:colOff>353786</xdr:colOff>
      <xdr:row>26</xdr:row>
      <xdr:rowOff>149679</xdr:rowOff>
    </xdr:from>
    <xdr:to>
      <xdr:col>179</xdr:col>
      <xdr:colOff>0</xdr:colOff>
      <xdr:row>26</xdr:row>
      <xdr:rowOff>149679</xdr:rowOff>
    </xdr:to>
    <xdr:cxnSp macro="">
      <xdr:nvCxnSpPr>
        <xdr:cNvPr id="503" name="直線コネクタ 502"/>
        <xdr:cNvCxnSpPr/>
      </xdr:nvCxnSpPr>
      <xdr:spPr>
        <a:xfrm>
          <a:off x="9443357" y="1973036"/>
          <a:ext cx="5157107"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176893</xdr:colOff>
      <xdr:row>304</xdr:row>
      <xdr:rowOff>136071</xdr:rowOff>
    </xdr:from>
    <xdr:to>
      <xdr:col>153</xdr:col>
      <xdr:colOff>54427</xdr:colOff>
      <xdr:row>304</xdr:row>
      <xdr:rowOff>136071</xdr:rowOff>
    </xdr:to>
    <xdr:cxnSp macro="">
      <xdr:nvCxnSpPr>
        <xdr:cNvPr id="506" name="直線コネクタ 505"/>
        <xdr:cNvCxnSpPr/>
      </xdr:nvCxnSpPr>
      <xdr:spPr>
        <a:xfrm>
          <a:off x="7062107" y="4898571"/>
          <a:ext cx="24492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176893</xdr:colOff>
      <xdr:row>317</xdr:row>
      <xdr:rowOff>136072</xdr:rowOff>
    </xdr:from>
    <xdr:to>
      <xdr:col>153</xdr:col>
      <xdr:colOff>54427</xdr:colOff>
      <xdr:row>317</xdr:row>
      <xdr:rowOff>136072</xdr:rowOff>
    </xdr:to>
    <xdr:cxnSp macro="">
      <xdr:nvCxnSpPr>
        <xdr:cNvPr id="509" name="直線コネクタ 508"/>
        <xdr:cNvCxnSpPr/>
      </xdr:nvCxnSpPr>
      <xdr:spPr>
        <a:xfrm>
          <a:off x="7062107" y="5143501"/>
          <a:ext cx="24492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155</xdr:col>
      <xdr:colOff>108857</xdr:colOff>
      <xdr:row>324</xdr:row>
      <xdr:rowOff>136072</xdr:rowOff>
    </xdr:from>
    <xdr:to>
      <xdr:col>155</xdr:col>
      <xdr:colOff>326570</xdr:colOff>
      <xdr:row>324</xdr:row>
      <xdr:rowOff>136072</xdr:rowOff>
    </xdr:to>
    <xdr:cxnSp macro="">
      <xdr:nvCxnSpPr>
        <xdr:cNvPr id="510" name="直線コネクタ 509"/>
        <xdr:cNvCxnSpPr/>
      </xdr:nvCxnSpPr>
      <xdr:spPr>
        <a:xfrm>
          <a:off x="8096250" y="5388429"/>
          <a:ext cx="21771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285750</xdr:colOff>
      <xdr:row>326</xdr:row>
      <xdr:rowOff>136072</xdr:rowOff>
    </xdr:from>
    <xdr:to>
      <xdr:col>153</xdr:col>
      <xdr:colOff>326569</xdr:colOff>
      <xdr:row>326</xdr:row>
      <xdr:rowOff>136072</xdr:rowOff>
    </xdr:to>
    <xdr:cxnSp macro="">
      <xdr:nvCxnSpPr>
        <xdr:cNvPr id="511" name="直線コネクタ 510"/>
        <xdr:cNvCxnSpPr/>
      </xdr:nvCxnSpPr>
      <xdr:spPr>
        <a:xfrm>
          <a:off x="7170964" y="5878286"/>
          <a:ext cx="408212"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13607</xdr:colOff>
      <xdr:row>303</xdr:row>
      <xdr:rowOff>122465</xdr:rowOff>
    </xdr:from>
    <xdr:to>
      <xdr:col>152</xdr:col>
      <xdr:colOff>163285</xdr:colOff>
      <xdr:row>303</xdr:row>
      <xdr:rowOff>122465</xdr:rowOff>
    </xdr:to>
    <xdr:cxnSp macro="">
      <xdr:nvCxnSpPr>
        <xdr:cNvPr id="512" name="直線コネクタ 511"/>
        <xdr:cNvCxnSpPr/>
      </xdr:nvCxnSpPr>
      <xdr:spPr>
        <a:xfrm>
          <a:off x="6898821" y="3660322"/>
          <a:ext cx="14967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217714</xdr:colOff>
      <xdr:row>309</xdr:row>
      <xdr:rowOff>136071</xdr:rowOff>
    </xdr:from>
    <xdr:to>
      <xdr:col>155</xdr:col>
      <xdr:colOff>353783</xdr:colOff>
      <xdr:row>309</xdr:row>
      <xdr:rowOff>136071</xdr:rowOff>
    </xdr:to>
    <xdr:cxnSp macro="">
      <xdr:nvCxnSpPr>
        <xdr:cNvPr id="513" name="直線コネクタ 512"/>
        <xdr:cNvCxnSpPr/>
      </xdr:nvCxnSpPr>
      <xdr:spPr>
        <a:xfrm>
          <a:off x="7470321" y="4898571"/>
          <a:ext cx="87085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13607</xdr:colOff>
      <xdr:row>306</xdr:row>
      <xdr:rowOff>149679</xdr:rowOff>
    </xdr:from>
    <xdr:to>
      <xdr:col>149</xdr:col>
      <xdr:colOff>353784</xdr:colOff>
      <xdr:row>306</xdr:row>
      <xdr:rowOff>149679</xdr:rowOff>
    </xdr:to>
    <xdr:cxnSp macro="">
      <xdr:nvCxnSpPr>
        <xdr:cNvPr id="514" name="直線コネクタ 513"/>
        <xdr:cNvCxnSpPr/>
      </xdr:nvCxnSpPr>
      <xdr:spPr>
        <a:xfrm>
          <a:off x="6150429" y="4422322"/>
          <a:ext cx="0"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231322</xdr:colOff>
      <xdr:row>306</xdr:row>
      <xdr:rowOff>149678</xdr:rowOff>
    </xdr:from>
    <xdr:to>
      <xdr:col>152</xdr:col>
      <xdr:colOff>367391</xdr:colOff>
      <xdr:row>306</xdr:row>
      <xdr:rowOff>149678</xdr:rowOff>
    </xdr:to>
    <xdr:cxnSp macro="">
      <xdr:nvCxnSpPr>
        <xdr:cNvPr id="515" name="直線コネクタ 514"/>
        <xdr:cNvCxnSpPr/>
      </xdr:nvCxnSpPr>
      <xdr:spPr>
        <a:xfrm>
          <a:off x="7116536" y="4177392"/>
          <a:ext cx="136069"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180</xdr:col>
      <xdr:colOff>54429</xdr:colOff>
      <xdr:row>26</xdr:row>
      <xdr:rowOff>149680</xdr:rowOff>
    </xdr:from>
    <xdr:to>
      <xdr:col>196</xdr:col>
      <xdr:colOff>54428</xdr:colOff>
      <xdr:row>26</xdr:row>
      <xdr:rowOff>149680</xdr:rowOff>
    </xdr:to>
    <xdr:cxnSp macro="">
      <xdr:nvCxnSpPr>
        <xdr:cNvPr id="508" name="直線コネクタ 507"/>
        <xdr:cNvCxnSpPr/>
      </xdr:nvCxnSpPr>
      <xdr:spPr>
        <a:xfrm>
          <a:off x="15022286" y="1973037"/>
          <a:ext cx="5878285"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27214</xdr:colOff>
      <xdr:row>314</xdr:row>
      <xdr:rowOff>149678</xdr:rowOff>
    </xdr:from>
    <xdr:to>
      <xdr:col>155</xdr:col>
      <xdr:colOff>367389</xdr:colOff>
      <xdr:row>314</xdr:row>
      <xdr:rowOff>149678</xdr:rowOff>
    </xdr:to>
    <xdr:cxnSp macro="">
      <xdr:nvCxnSpPr>
        <xdr:cNvPr id="520" name="直線コネクタ 519"/>
        <xdr:cNvCxnSpPr/>
      </xdr:nvCxnSpPr>
      <xdr:spPr>
        <a:xfrm>
          <a:off x="7279821" y="3687535"/>
          <a:ext cx="107496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299357</xdr:colOff>
      <xdr:row>312</xdr:row>
      <xdr:rowOff>149679</xdr:rowOff>
    </xdr:from>
    <xdr:to>
      <xdr:col>154</xdr:col>
      <xdr:colOff>176891</xdr:colOff>
      <xdr:row>312</xdr:row>
      <xdr:rowOff>149679</xdr:rowOff>
    </xdr:to>
    <xdr:cxnSp macro="">
      <xdr:nvCxnSpPr>
        <xdr:cNvPr id="507" name="直線コネクタ 506"/>
        <xdr:cNvCxnSpPr/>
      </xdr:nvCxnSpPr>
      <xdr:spPr>
        <a:xfrm>
          <a:off x="7551964" y="7116536"/>
          <a:ext cx="244927"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154</xdr:col>
      <xdr:colOff>285750</xdr:colOff>
      <xdr:row>313</xdr:row>
      <xdr:rowOff>149678</xdr:rowOff>
    </xdr:from>
    <xdr:to>
      <xdr:col>155</xdr:col>
      <xdr:colOff>353784</xdr:colOff>
      <xdr:row>313</xdr:row>
      <xdr:rowOff>149678</xdr:rowOff>
    </xdr:to>
    <xdr:cxnSp macro="">
      <xdr:nvCxnSpPr>
        <xdr:cNvPr id="517" name="直線コネクタ 516"/>
        <xdr:cNvCxnSpPr/>
      </xdr:nvCxnSpPr>
      <xdr:spPr>
        <a:xfrm>
          <a:off x="7905750" y="3932464"/>
          <a:ext cx="435427"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155</xdr:col>
      <xdr:colOff>272143</xdr:colOff>
      <xdr:row>315</xdr:row>
      <xdr:rowOff>136071</xdr:rowOff>
    </xdr:from>
    <xdr:to>
      <xdr:col>157</xdr:col>
      <xdr:colOff>176891</xdr:colOff>
      <xdr:row>315</xdr:row>
      <xdr:rowOff>136071</xdr:rowOff>
    </xdr:to>
    <xdr:cxnSp macro="">
      <xdr:nvCxnSpPr>
        <xdr:cNvPr id="516" name="直線コネクタ 515"/>
        <xdr:cNvCxnSpPr/>
      </xdr:nvCxnSpPr>
      <xdr:spPr>
        <a:xfrm>
          <a:off x="8259536" y="4163785"/>
          <a:ext cx="639534"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158</xdr:col>
      <xdr:colOff>204107</xdr:colOff>
      <xdr:row>314</xdr:row>
      <xdr:rowOff>136072</xdr:rowOff>
    </xdr:from>
    <xdr:to>
      <xdr:col>159</xdr:col>
      <xdr:colOff>176890</xdr:colOff>
      <xdr:row>314</xdr:row>
      <xdr:rowOff>136072</xdr:rowOff>
    </xdr:to>
    <xdr:cxnSp macro="">
      <xdr:nvCxnSpPr>
        <xdr:cNvPr id="519" name="直線コネクタ 518"/>
        <xdr:cNvCxnSpPr/>
      </xdr:nvCxnSpPr>
      <xdr:spPr>
        <a:xfrm>
          <a:off x="9293678" y="2939143"/>
          <a:ext cx="34017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172</xdr:col>
      <xdr:colOff>136072</xdr:colOff>
      <xdr:row>324</xdr:row>
      <xdr:rowOff>149678</xdr:rowOff>
    </xdr:from>
    <xdr:to>
      <xdr:col>172</xdr:col>
      <xdr:colOff>353785</xdr:colOff>
      <xdr:row>324</xdr:row>
      <xdr:rowOff>149678</xdr:rowOff>
    </xdr:to>
    <xdr:cxnSp macro="">
      <xdr:nvCxnSpPr>
        <xdr:cNvPr id="521" name="直線コネクタ 520"/>
        <xdr:cNvCxnSpPr/>
      </xdr:nvCxnSpPr>
      <xdr:spPr>
        <a:xfrm>
          <a:off x="14369143" y="3932464"/>
          <a:ext cx="21771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172</xdr:col>
      <xdr:colOff>136072</xdr:colOff>
      <xdr:row>325</xdr:row>
      <xdr:rowOff>136071</xdr:rowOff>
    </xdr:from>
    <xdr:to>
      <xdr:col>172</xdr:col>
      <xdr:colOff>353785</xdr:colOff>
      <xdr:row>325</xdr:row>
      <xdr:rowOff>136071</xdr:rowOff>
    </xdr:to>
    <xdr:cxnSp macro="">
      <xdr:nvCxnSpPr>
        <xdr:cNvPr id="522" name="直線コネクタ 521"/>
        <xdr:cNvCxnSpPr/>
      </xdr:nvCxnSpPr>
      <xdr:spPr>
        <a:xfrm>
          <a:off x="14369143" y="4163785"/>
          <a:ext cx="21771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157</xdr:col>
      <xdr:colOff>40821</xdr:colOff>
      <xdr:row>68</xdr:row>
      <xdr:rowOff>149678</xdr:rowOff>
    </xdr:from>
    <xdr:to>
      <xdr:col>162</xdr:col>
      <xdr:colOff>0</xdr:colOff>
      <xdr:row>68</xdr:row>
      <xdr:rowOff>149678</xdr:rowOff>
    </xdr:to>
    <xdr:cxnSp macro="">
      <xdr:nvCxnSpPr>
        <xdr:cNvPr id="523" name="直線コネクタ 522"/>
        <xdr:cNvCxnSpPr/>
      </xdr:nvCxnSpPr>
      <xdr:spPr>
        <a:xfrm>
          <a:off x="8763000" y="5157107"/>
          <a:ext cx="1796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158</xdr:col>
      <xdr:colOff>149679</xdr:colOff>
      <xdr:row>70</xdr:row>
      <xdr:rowOff>136070</xdr:rowOff>
    </xdr:from>
    <xdr:to>
      <xdr:col>160</xdr:col>
      <xdr:colOff>81643</xdr:colOff>
      <xdr:row>70</xdr:row>
      <xdr:rowOff>136070</xdr:rowOff>
    </xdr:to>
    <xdr:cxnSp macro="">
      <xdr:nvCxnSpPr>
        <xdr:cNvPr id="518" name="直線コネクタ 517"/>
        <xdr:cNvCxnSpPr/>
      </xdr:nvCxnSpPr>
      <xdr:spPr>
        <a:xfrm>
          <a:off x="7034893" y="2694213"/>
          <a:ext cx="666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149680</xdr:colOff>
      <xdr:row>70</xdr:row>
      <xdr:rowOff>122465</xdr:rowOff>
    </xdr:from>
    <xdr:to>
      <xdr:col>153</xdr:col>
      <xdr:colOff>54430</xdr:colOff>
      <xdr:row>70</xdr:row>
      <xdr:rowOff>122465</xdr:rowOff>
    </xdr:to>
    <xdr:cxnSp macro="">
      <xdr:nvCxnSpPr>
        <xdr:cNvPr id="524" name="直線コネクタ 523"/>
        <xdr:cNvCxnSpPr/>
      </xdr:nvCxnSpPr>
      <xdr:spPr>
        <a:xfrm>
          <a:off x="6150429" y="2680608"/>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157</xdr:col>
      <xdr:colOff>285750</xdr:colOff>
      <xdr:row>316</xdr:row>
      <xdr:rowOff>136071</xdr:rowOff>
    </xdr:from>
    <xdr:to>
      <xdr:col>158</xdr:col>
      <xdr:colOff>54426</xdr:colOff>
      <xdr:row>316</xdr:row>
      <xdr:rowOff>136071</xdr:rowOff>
    </xdr:to>
    <xdr:cxnSp macro="">
      <xdr:nvCxnSpPr>
        <xdr:cNvPr id="526" name="直線コネクタ 525"/>
        <xdr:cNvCxnSpPr/>
      </xdr:nvCxnSpPr>
      <xdr:spPr>
        <a:xfrm>
          <a:off x="6803571" y="6613071"/>
          <a:ext cx="136069"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157</xdr:col>
      <xdr:colOff>272143</xdr:colOff>
      <xdr:row>318</xdr:row>
      <xdr:rowOff>136070</xdr:rowOff>
    </xdr:from>
    <xdr:to>
      <xdr:col>161</xdr:col>
      <xdr:colOff>13607</xdr:colOff>
      <xdr:row>318</xdr:row>
      <xdr:rowOff>136070</xdr:rowOff>
    </xdr:to>
    <xdr:cxnSp macro="">
      <xdr:nvCxnSpPr>
        <xdr:cNvPr id="527" name="直線コネクタ 526"/>
        <xdr:cNvCxnSpPr/>
      </xdr:nvCxnSpPr>
      <xdr:spPr>
        <a:xfrm>
          <a:off x="6789964" y="3428999"/>
          <a:ext cx="121103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161</xdr:col>
      <xdr:colOff>27214</xdr:colOff>
      <xdr:row>322</xdr:row>
      <xdr:rowOff>149678</xdr:rowOff>
    </xdr:from>
    <xdr:to>
      <xdr:col>162</xdr:col>
      <xdr:colOff>176893</xdr:colOff>
      <xdr:row>322</xdr:row>
      <xdr:rowOff>149678</xdr:rowOff>
    </xdr:to>
    <xdr:cxnSp macro="">
      <xdr:nvCxnSpPr>
        <xdr:cNvPr id="528" name="直線コネクタ 527"/>
        <xdr:cNvCxnSpPr/>
      </xdr:nvCxnSpPr>
      <xdr:spPr>
        <a:xfrm>
          <a:off x="8014607" y="4422321"/>
          <a:ext cx="517072"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186</xdr:col>
      <xdr:colOff>27215</xdr:colOff>
      <xdr:row>330</xdr:row>
      <xdr:rowOff>136072</xdr:rowOff>
    </xdr:from>
    <xdr:to>
      <xdr:col>192</xdr:col>
      <xdr:colOff>0</xdr:colOff>
      <xdr:row>330</xdr:row>
      <xdr:rowOff>136072</xdr:rowOff>
    </xdr:to>
    <xdr:cxnSp macro="">
      <xdr:nvCxnSpPr>
        <xdr:cNvPr id="529" name="直線コネクタ 528"/>
        <xdr:cNvCxnSpPr/>
      </xdr:nvCxnSpPr>
      <xdr:spPr>
        <a:xfrm>
          <a:off x="17199429" y="6368143"/>
          <a:ext cx="21771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186</xdr:col>
      <xdr:colOff>13608</xdr:colOff>
      <xdr:row>331</xdr:row>
      <xdr:rowOff>136072</xdr:rowOff>
    </xdr:from>
    <xdr:to>
      <xdr:col>191</xdr:col>
      <xdr:colOff>353785</xdr:colOff>
      <xdr:row>331</xdr:row>
      <xdr:rowOff>136072</xdr:rowOff>
    </xdr:to>
    <xdr:cxnSp macro="">
      <xdr:nvCxnSpPr>
        <xdr:cNvPr id="530" name="直線コネクタ 529"/>
        <xdr:cNvCxnSpPr/>
      </xdr:nvCxnSpPr>
      <xdr:spPr>
        <a:xfrm>
          <a:off x="17185822" y="6613072"/>
          <a:ext cx="21771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159</xdr:col>
      <xdr:colOff>81643</xdr:colOff>
      <xdr:row>321</xdr:row>
      <xdr:rowOff>136071</xdr:rowOff>
    </xdr:from>
    <xdr:to>
      <xdr:col>160</xdr:col>
      <xdr:colOff>176893</xdr:colOff>
      <xdr:row>321</xdr:row>
      <xdr:rowOff>136071</xdr:rowOff>
    </xdr:to>
    <xdr:cxnSp macro="">
      <xdr:nvCxnSpPr>
        <xdr:cNvPr id="525" name="直線コネクタ 524"/>
        <xdr:cNvCxnSpPr/>
      </xdr:nvCxnSpPr>
      <xdr:spPr>
        <a:xfrm>
          <a:off x="7334250" y="3918857"/>
          <a:ext cx="46264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164</xdr:col>
      <xdr:colOff>176894</xdr:colOff>
      <xdr:row>70</xdr:row>
      <xdr:rowOff>149680</xdr:rowOff>
    </xdr:from>
    <xdr:to>
      <xdr:col>164</xdr:col>
      <xdr:colOff>340179</xdr:colOff>
      <xdr:row>70</xdr:row>
      <xdr:rowOff>149680</xdr:rowOff>
    </xdr:to>
    <xdr:cxnSp macro="">
      <xdr:nvCxnSpPr>
        <xdr:cNvPr id="531" name="直線コネクタ 530"/>
        <xdr:cNvCxnSpPr/>
      </xdr:nvCxnSpPr>
      <xdr:spPr>
        <a:xfrm>
          <a:off x="9266465" y="2707823"/>
          <a:ext cx="16328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168</xdr:col>
      <xdr:colOff>13608</xdr:colOff>
      <xdr:row>329</xdr:row>
      <xdr:rowOff>136072</xdr:rowOff>
    </xdr:from>
    <xdr:to>
      <xdr:col>175</xdr:col>
      <xdr:colOff>0</xdr:colOff>
      <xdr:row>329</xdr:row>
      <xdr:rowOff>136072</xdr:rowOff>
    </xdr:to>
    <xdr:cxnSp macro="">
      <xdr:nvCxnSpPr>
        <xdr:cNvPr id="532" name="直線コネクタ 531"/>
        <xdr:cNvCxnSpPr/>
      </xdr:nvCxnSpPr>
      <xdr:spPr>
        <a:xfrm>
          <a:off x="10572751" y="6123215"/>
          <a:ext cx="255814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160</xdr:col>
      <xdr:colOff>108857</xdr:colOff>
      <xdr:row>320</xdr:row>
      <xdr:rowOff>136072</xdr:rowOff>
    </xdr:from>
    <xdr:to>
      <xdr:col>162</xdr:col>
      <xdr:colOff>272143</xdr:colOff>
      <xdr:row>320</xdr:row>
      <xdr:rowOff>136072</xdr:rowOff>
    </xdr:to>
    <xdr:cxnSp macro="">
      <xdr:nvCxnSpPr>
        <xdr:cNvPr id="533" name="直線コネクタ 532"/>
        <xdr:cNvCxnSpPr/>
      </xdr:nvCxnSpPr>
      <xdr:spPr>
        <a:xfrm>
          <a:off x="7728857" y="3918858"/>
          <a:ext cx="8980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160</xdr:col>
      <xdr:colOff>217714</xdr:colOff>
      <xdr:row>319</xdr:row>
      <xdr:rowOff>136072</xdr:rowOff>
    </xdr:from>
    <xdr:to>
      <xdr:col>161</xdr:col>
      <xdr:colOff>15208</xdr:colOff>
      <xdr:row>319</xdr:row>
      <xdr:rowOff>136072</xdr:rowOff>
    </xdr:to>
    <xdr:cxnSp macro="">
      <xdr:nvCxnSpPr>
        <xdr:cNvPr id="534" name="直線コネクタ 533"/>
        <xdr:cNvCxnSpPr/>
      </xdr:nvCxnSpPr>
      <xdr:spPr>
        <a:xfrm>
          <a:off x="7837714" y="4163786"/>
          <a:ext cx="1648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160</xdr:col>
      <xdr:colOff>54429</xdr:colOff>
      <xdr:row>323</xdr:row>
      <xdr:rowOff>136072</xdr:rowOff>
    </xdr:from>
    <xdr:to>
      <xdr:col>160</xdr:col>
      <xdr:colOff>341780</xdr:colOff>
      <xdr:row>323</xdr:row>
      <xdr:rowOff>136072</xdr:rowOff>
    </xdr:to>
    <xdr:cxnSp macro="">
      <xdr:nvCxnSpPr>
        <xdr:cNvPr id="535" name="直線コネクタ 534"/>
        <xdr:cNvCxnSpPr/>
      </xdr:nvCxnSpPr>
      <xdr:spPr>
        <a:xfrm>
          <a:off x="7674429" y="4653643"/>
          <a:ext cx="28735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165</xdr:col>
      <xdr:colOff>68036</xdr:colOff>
      <xdr:row>323</xdr:row>
      <xdr:rowOff>149679</xdr:rowOff>
    </xdr:from>
    <xdr:to>
      <xdr:col>165</xdr:col>
      <xdr:colOff>355387</xdr:colOff>
      <xdr:row>323</xdr:row>
      <xdr:rowOff>149679</xdr:rowOff>
    </xdr:to>
    <xdr:cxnSp macro="">
      <xdr:nvCxnSpPr>
        <xdr:cNvPr id="536" name="直線コネクタ 535"/>
        <xdr:cNvCxnSpPr/>
      </xdr:nvCxnSpPr>
      <xdr:spPr>
        <a:xfrm>
          <a:off x="9525000" y="4667250"/>
          <a:ext cx="28735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162</xdr:col>
      <xdr:colOff>190500</xdr:colOff>
      <xdr:row>321</xdr:row>
      <xdr:rowOff>149678</xdr:rowOff>
    </xdr:from>
    <xdr:to>
      <xdr:col>163</xdr:col>
      <xdr:colOff>40821</xdr:colOff>
      <xdr:row>321</xdr:row>
      <xdr:rowOff>149678</xdr:rowOff>
    </xdr:to>
    <xdr:cxnSp macro="">
      <xdr:nvCxnSpPr>
        <xdr:cNvPr id="537" name="直線コネクタ 536"/>
        <xdr:cNvCxnSpPr/>
      </xdr:nvCxnSpPr>
      <xdr:spPr>
        <a:xfrm>
          <a:off x="8545286" y="3932464"/>
          <a:ext cx="217714"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164</xdr:col>
      <xdr:colOff>149679</xdr:colOff>
      <xdr:row>322</xdr:row>
      <xdr:rowOff>149679</xdr:rowOff>
    </xdr:from>
    <xdr:to>
      <xdr:col>164</xdr:col>
      <xdr:colOff>353786</xdr:colOff>
      <xdr:row>322</xdr:row>
      <xdr:rowOff>149679</xdr:rowOff>
    </xdr:to>
    <xdr:cxnSp macro="">
      <xdr:nvCxnSpPr>
        <xdr:cNvPr id="538" name="直線コネクタ 537"/>
        <xdr:cNvCxnSpPr/>
      </xdr:nvCxnSpPr>
      <xdr:spPr>
        <a:xfrm>
          <a:off x="9239250" y="3687536"/>
          <a:ext cx="204107"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39</xdr:col>
      <xdr:colOff>0</xdr:colOff>
      <xdr:row>39</xdr:row>
      <xdr:rowOff>0</xdr:rowOff>
    </xdr:from>
    <xdr:to>
      <xdr:col>40</xdr:col>
      <xdr:colOff>212911</xdr:colOff>
      <xdr:row>39</xdr:row>
      <xdr:rowOff>0</xdr:rowOff>
    </xdr:to>
    <xdr:cxnSp macro="">
      <xdr:nvCxnSpPr>
        <xdr:cNvPr id="28" name="直線コネクタ 27"/>
        <xdr:cNvCxnSpPr/>
      </xdr:nvCxnSpPr>
      <xdr:spPr>
        <a:xfrm>
          <a:off x="6076950" y="38195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339149</xdr:colOff>
      <xdr:row>36</xdr:row>
      <xdr:rowOff>190500</xdr:rowOff>
    </xdr:from>
    <xdr:to>
      <xdr:col>152</xdr:col>
      <xdr:colOff>339149</xdr:colOff>
      <xdr:row>68</xdr:row>
      <xdr:rowOff>0</xdr:rowOff>
    </xdr:to>
    <xdr:cxnSp macro="">
      <xdr:nvCxnSpPr>
        <xdr:cNvPr id="97" name="直線コネクタ 96"/>
        <xdr:cNvCxnSpPr/>
      </xdr:nvCxnSpPr>
      <xdr:spPr bwMode="auto">
        <a:xfrm flipV="1">
          <a:off x="15094240" y="14564591"/>
          <a:ext cx="0" cy="6113318"/>
        </a:xfrm>
        <a:prstGeom prst="line">
          <a:avLst/>
        </a:prstGeom>
        <a:solidFill>
          <a:srgbClr val="090000"/>
        </a:solidFill>
        <a:ln w="38100" cap="flat" cmpd="sng" algn="ctr">
          <a:solidFill>
            <a:srgbClr val="0070C0"/>
          </a:solidFill>
          <a:prstDash val="sysDash"/>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71</xdr:col>
      <xdr:colOff>0</xdr:colOff>
      <xdr:row>39</xdr:row>
      <xdr:rowOff>0</xdr:rowOff>
    </xdr:from>
    <xdr:to>
      <xdr:col>72</xdr:col>
      <xdr:colOff>176895</xdr:colOff>
      <xdr:row>39</xdr:row>
      <xdr:rowOff>0</xdr:rowOff>
    </xdr:to>
    <xdr:cxnSp macro="">
      <xdr:nvCxnSpPr>
        <xdr:cNvPr id="154" name="直線コネクタ 153"/>
        <xdr:cNvCxnSpPr/>
      </xdr:nvCxnSpPr>
      <xdr:spPr>
        <a:xfrm>
          <a:off x="6076950" y="38195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33618</xdr:colOff>
      <xdr:row>107</xdr:row>
      <xdr:rowOff>212913</xdr:rowOff>
    </xdr:from>
    <xdr:to>
      <xdr:col>69</xdr:col>
      <xdr:colOff>145677</xdr:colOff>
      <xdr:row>107</xdr:row>
      <xdr:rowOff>212913</xdr:rowOff>
    </xdr:to>
    <xdr:cxnSp macro="">
      <xdr:nvCxnSpPr>
        <xdr:cNvPr id="164" name="直線コネクタ 163"/>
        <xdr:cNvCxnSpPr/>
      </xdr:nvCxnSpPr>
      <xdr:spPr>
        <a:xfrm>
          <a:off x="6076950" y="18348513"/>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156883</xdr:colOff>
      <xdr:row>112</xdr:row>
      <xdr:rowOff>224117</xdr:rowOff>
    </xdr:from>
    <xdr:to>
      <xdr:col>70</xdr:col>
      <xdr:colOff>257735</xdr:colOff>
      <xdr:row>112</xdr:row>
      <xdr:rowOff>224117</xdr:rowOff>
    </xdr:to>
    <xdr:cxnSp macro="">
      <xdr:nvCxnSpPr>
        <xdr:cNvPr id="165" name="直線コネクタ 164"/>
        <xdr:cNvCxnSpPr/>
      </xdr:nvCxnSpPr>
      <xdr:spPr>
        <a:xfrm>
          <a:off x="6076950" y="19016942"/>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22412</xdr:colOff>
      <xdr:row>110</xdr:row>
      <xdr:rowOff>235323</xdr:rowOff>
    </xdr:from>
    <xdr:to>
      <xdr:col>72</xdr:col>
      <xdr:colOff>291353</xdr:colOff>
      <xdr:row>110</xdr:row>
      <xdr:rowOff>235323</xdr:rowOff>
    </xdr:to>
    <xdr:cxnSp macro="">
      <xdr:nvCxnSpPr>
        <xdr:cNvPr id="166" name="直線コネクタ 165"/>
        <xdr:cNvCxnSpPr/>
      </xdr:nvCxnSpPr>
      <xdr:spPr>
        <a:xfrm>
          <a:off x="6076950" y="18780498"/>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33617</xdr:colOff>
      <xdr:row>111</xdr:row>
      <xdr:rowOff>224118</xdr:rowOff>
    </xdr:from>
    <xdr:to>
      <xdr:col>78</xdr:col>
      <xdr:colOff>302558</xdr:colOff>
      <xdr:row>111</xdr:row>
      <xdr:rowOff>224118</xdr:rowOff>
    </xdr:to>
    <xdr:cxnSp macro="">
      <xdr:nvCxnSpPr>
        <xdr:cNvPr id="167" name="直線コネクタ 166"/>
        <xdr:cNvCxnSpPr/>
      </xdr:nvCxnSpPr>
      <xdr:spPr>
        <a:xfrm>
          <a:off x="6076950" y="18816918"/>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11206</xdr:colOff>
      <xdr:row>110</xdr:row>
      <xdr:rowOff>235323</xdr:rowOff>
    </xdr:from>
    <xdr:to>
      <xdr:col>79</xdr:col>
      <xdr:colOff>302559</xdr:colOff>
      <xdr:row>110</xdr:row>
      <xdr:rowOff>235323</xdr:rowOff>
    </xdr:to>
    <xdr:cxnSp macro="">
      <xdr:nvCxnSpPr>
        <xdr:cNvPr id="168" name="直線コネクタ 167"/>
        <xdr:cNvCxnSpPr/>
      </xdr:nvCxnSpPr>
      <xdr:spPr>
        <a:xfrm>
          <a:off x="6076950" y="18780498"/>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299357</xdr:colOff>
      <xdr:row>1</xdr:row>
      <xdr:rowOff>81642</xdr:rowOff>
    </xdr:from>
    <xdr:to>
      <xdr:col>153</xdr:col>
      <xdr:colOff>340178</xdr:colOff>
      <xdr:row>2</xdr:row>
      <xdr:rowOff>173184</xdr:rowOff>
    </xdr:to>
    <xdr:sp macro="" textlink="">
      <xdr:nvSpPr>
        <xdr:cNvPr id="193" name="テキスト ボックス 192"/>
        <xdr:cNvSpPr txBox="1"/>
      </xdr:nvSpPr>
      <xdr:spPr>
        <a:xfrm>
          <a:off x="7490732" y="253092"/>
          <a:ext cx="783771" cy="272517"/>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300"/>
            </a:lnSpc>
          </a:pPr>
          <a:r>
            <a:rPr kumimoji="1" lang="en-US" altLang="ja-JP" sz="1100" b="1">
              <a:latin typeface="ＭＳ Ｐ明朝" panose="02020600040205080304" pitchFamily="18" charset="-128"/>
              <a:ea typeface="ＭＳ Ｐ明朝" panose="02020600040205080304" pitchFamily="18" charset="-128"/>
            </a:rPr>
            <a:t>8/24(</a:t>
          </a:r>
          <a:r>
            <a:rPr kumimoji="1" lang="ja-JP" altLang="en-US" sz="1100" b="1">
              <a:latin typeface="ＭＳ Ｐ明朝" panose="02020600040205080304" pitchFamily="18" charset="-128"/>
              <a:ea typeface="ＭＳ Ｐ明朝" panose="02020600040205080304" pitchFamily="18" charset="-128"/>
            </a:rPr>
            <a:t>月</a:t>
          </a:r>
          <a:r>
            <a:rPr kumimoji="1" lang="en-US" altLang="ja-JP" sz="1100" b="1">
              <a:latin typeface="ＭＳ Ｐ明朝" panose="02020600040205080304" pitchFamily="18" charset="-128"/>
              <a:ea typeface="ＭＳ Ｐ明朝" panose="02020600040205080304" pitchFamily="18" charset="-128"/>
            </a:rPr>
            <a:t>)</a:t>
          </a:r>
          <a:endParaRPr kumimoji="1" lang="ja-JP" altLang="en-US" sz="1100" b="1">
            <a:latin typeface="ＭＳ Ｐ明朝" panose="02020600040205080304" pitchFamily="18" charset="-128"/>
            <a:ea typeface="ＭＳ Ｐ明朝" panose="02020600040205080304" pitchFamily="18" charset="-128"/>
          </a:endParaRPr>
        </a:p>
      </xdr:txBody>
    </xdr:sp>
    <xdr:clientData/>
  </xdr:twoCellAnchor>
  <xdr:twoCellAnchor>
    <xdr:from>
      <xdr:col>100</xdr:col>
      <xdr:colOff>0</xdr:colOff>
      <xdr:row>39</xdr:row>
      <xdr:rowOff>0</xdr:rowOff>
    </xdr:from>
    <xdr:to>
      <xdr:col>102</xdr:col>
      <xdr:colOff>122464</xdr:colOff>
      <xdr:row>39</xdr:row>
      <xdr:rowOff>0</xdr:rowOff>
    </xdr:to>
    <xdr:cxnSp macro="">
      <xdr:nvCxnSpPr>
        <xdr:cNvPr id="232" name="直線コネクタ 231"/>
        <xdr:cNvCxnSpPr/>
      </xdr:nvCxnSpPr>
      <xdr:spPr>
        <a:xfrm>
          <a:off x="6076950" y="38195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6</xdr:row>
      <xdr:rowOff>190500</xdr:rowOff>
    </xdr:from>
    <xdr:to>
      <xdr:col>118</xdr:col>
      <xdr:colOff>13607</xdr:colOff>
      <xdr:row>6</xdr:row>
      <xdr:rowOff>190500</xdr:rowOff>
    </xdr:to>
    <xdr:cxnSp macro="">
      <xdr:nvCxnSpPr>
        <xdr:cNvPr id="233" name="直線コネクタ 232"/>
        <xdr:cNvCxnSpPr/>
      </xdr:nvCxnSpPr>
      <xdr:spPr>
        <a:xfrm>
          <a:off x="6076950" y="128587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13607</xdr:colOff>
      <xdr:row>8</xdr:row>
      <xdr:rowOff>136072</xdr:rowOff>
    </xdr:from>
    <xdr:to>
      <xdr:col>108</xdr:col>
      <xdr:colOff>0</xdr:colOff>
      <xdr:row>8</xdr:row>
      <xdr:rowOff>136072</xdr:rowOff>
    </xdr:to>
    <xdr:cxnSp macro="">
      <xdr:nvCxnSpPr>
        <xdr:cNvPr id="259" name="直線コネクタ 258"/>
        <xdr:cNvCxnSpPr/>
      </xdr:nvCxnSpPr>
      <xdr:spPr>
        <a:xfrm>
          <a:off x="6076950" y="1726747"/>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0</xdr:colOff>
      <xdr:row>39</xdr:row>
      <xdr:rowOff>0</xdr:rowOff>
    </xdr:from>
    <xdr:to>
      <xdr:col>122</xdr:col>
      <xdr:colOff>13608</xdr:colOff>
      <xdr:row>39</xdr:row>
      <xdr:rowOff>0</xdr:rowOff>
    </xdr:to>
    <xdr:cxnSp macro="">
      <xdr:nvCxnSpPr>
        <xdr:cNvPr id="283" name="直線コネクタ 282"/>
        <xdr:cNvCxnSpPr/>
      </xdr:nvCxnSpPr>
      <xdr:spPr>
        <a:xfrm>
          <a:off x="6076950" y="3819525"/>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40822</xdr:colOff>
      <xdr:row>6</xdr:row>
      <xdr:rowOff>190500</xdr:rowOff>
    </xdr:from>
    <xdr:to>
      <xdr:col>138</xdr:col>
      <xdr:colOff>358589</xdr:colOff>
      <xdr:row>6</xdr:row>
      <xdr:rowOff>190500</xdr:rowOff>
    </xdr:to>
    <xdr:cxnSp macro="">
      <xdr:nvCxnSpPr>
        <xdr:cNvPr id="284" name="直線コネクタ 283"/>
        <xdr:cNvCxnSpPr/>
      </xdr:nvCxnSpPr>
      <xdr:spPr>
        <a:xfrm>
          <a:off x="6076950" y="128587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7</xdr:row>
      <xdr:rowOff>190500</xdr:rowOff>
    </xdr:from>
    <xdr:to>
      <xdr:col>108</xdr:col>
      <xdr:colOff>0</xdr:colOff>
      <xdr:row>7</xdr:row>
      <xdr:rowOff>190500</xdr:rowOff>
    </xdr:to>
    <xdr:cxnSp macro="">
      <xdr:nvCxnSpPr>
        <xdr:cNvPr id="286" name="直線コネクタ 285"/>
        <xdr:cNvCxnSpPr/>
      </xdr:nvCxnSpPr>
      <xdr:spPr>
        <a:xfrm>
          <a:off x="6076950" y="1533525"/>
          <a:ext cx="0"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7</xdr:row>
      <xdr:rowOff>163285</xdr:rowOff>
    </xdr:from>
    <xdr:to>
      <xdr:col>118</xdr:col>
      <xdr:colOff>176893</xdr:colOff>
      <xdr:row>7</xdr:row>
      <xdr:rowOff>163285</xdr:rowOff>
    </xdr:to>
    <xdr:cxnSp macro="">
      <xdr:nvCxnSpPr>
        <xdr:cNvPr id="287" name="直線コネクタ 286"/>
        <xdr:cNvCxnSpPr/>
      </xdr:nvCxnSpPr>
      <xdr:spPr>
        <a:xfrm>
          <a:off x="6076950" y="1506310"/>
          <a:ext cx="0"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8</xdr:row>
      <xdr:rowOff>200025</xdr:rowOff>
    </xdr:from>
    <xdr:to>
      <xdr:col>139</xdr:col>
      <xdr:colOff>0</xdr:colOff>
      <xdr:row>8</xdr:row>
      <xdr:rowOff>200025</xdr:rowOff>
    </xdr:to>
    <xdr:cxnSp macro="">
      <xdr:nvCxnSpPr>
        <xdr:cNvPr id="326" name="直線コネクタ 325"/>
        <xdr:cNvCxnSpPr/>
      </xdr:nvCxnSpPr>
      <xdr:spPr>
        <a:xfrm>
          <a:off x="6076950" y="1790700"/>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7</xdr:row>
      <xdr:rowOff>217714</xdr:rowOff>
    </xdr:from>
    <xdr:to>
      <xdr:col>139</xdr:col>
      <xdr:colOff>13607</xdr:colOff>
      <xdr:row>7</xdr:row>
      <xdr:rowOff>217714</xdr:rowOff>
    </xdr:to>
    <xdr:cxnSp macro="">
      <xdr:nvCxnSpPr>
        <xdr:cNvPr id="327" name="直線コネクタ 326"/>
        <xdr:cNvCxnSpPr/>
      </xdr:nvCxnSpPr>
      <xdr:spPr>
        <a:xfrm>
          <a:off x="6076950" y="1560739"/>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272143</xdr:colOff>
      <xdr:row>7</xdr:row>
      <xdr:rowOff>190500</xdr:rowOff>
    </xdr:from>
    <xdr:to>
      <xdr:col>126</xdr:col>
      <xdr:colOff>312963</xdr:colOff>
      <xdr:row>7</xdr:row>
      <xdr:rowOff>190500</xdr:rowOff>
    </xdr:to>
    <xdr:cxnSp macro="">
      <xdr:nvCxnSpPr>
        <xdr:cNvPr id="328" name="直線コネクタ 327"/>
        <xdr:cNvCxnSpPr/>
      </xdr:nvCxnSpPr>
      <xdr:spPr>
        <a:xfrm>
          <a:off x="6076950" y="15335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6</xdr:row>
      <xdr:rowOff>190501</xdr:rowOff>
    </xdr:from>
    <xdr:to>
      <xdr:col>183</xdr:col>
      <xdr:colOff>258535</xdr:colOff>
      <xdr:row>6</xdr:row>
      <xdr:rowOff>190501</xdr:rowOff>
    </xdr:to>
    <xdr:cxnSp macro="">
      <xdr:nvCxnSpPr>
        <xdr:cNvPr id="343" name="直線コネクタ 342"/>
        <xdr:cNvCxnSpPr/>
      </xdr:nvCxnSpPr>
      <xdr:spPr>
        <a:xfrm>
          <a:off x="6076950" y="1285876"/>
          <a:ext cx="13260160" cy="0"/>
        </a:xfrm>
        <a:prstGeom prst="line">
          <a:avLst/>
        </a:prstGeom>
        <a:ln w="44450" cmpd="dbl">
          <a:solidFill>
            <a:schemeClr val="tx1"/>
          </a:solidFill>
          <a:prstDash val="sysDash"/>
          <a:headEnd type="oval"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160</xdr:col>
      <xdr:colOff>13607</xdr:colOff>
      <xdr:row>68</xdr:row>
      <xdr:rowOff>136071</xdr:rowOff>
    </xdr:from>
    <xdr:to>
      <xdr:col>178</xdr:col>
      <xdr:colOff>13607</xdr:colOff>
      <xdr:row>68</xdr:row>
      <xdr:rowOff>136071</xdr:rowOff>
    </xdr:to>
    <xdr:cxnSp macro="">
      <xdr:nvCxnSpPr>
        <xdr:cNvPr id="354" name="直線コネクタ 353"/>
        <xdr:cNvCxnSpPr/>
      </xdr:nvCxnSpPr>
      <xdr:spPr>
        <a:xfrm>
          <a:off x="10548257" y="8908596"/>
          <a:ext cx="6686550" cy="0"/>
        </a:xfrm>
        <a:prstGeom prst="line">
          <a:avLst/>
        </a:prstGeom>
        <a:ln w="31750">
          <a:solidFill>
            <a:schemeClr val="tx1"/>
          </a:solidFill>
          <a:prstDash val="sysDash"/>
          <a:headEnd type="oval"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150</xdr:col>
      <xdr:colOff>285750</xdr:colOff>
      <xdr:row>41</xdr:row>
      <xdr:rowOff>149679</xdr:rowOff>
    </xdr:from>
    <xdr:to>
      <xdr:col>154</xdr:col>
      <xdr:colOff>0</xdr:colOff>
      <xdr:row>41</xdr:row>
      <xdr:rowOff>149679</xdr:rowOff>
    </xdr:to>
    <xdr:cxnSp macro="">
      <xdr:nvCxnSpPr>
        <xdr:cNvPr id="355" name="直線コネクタ 354"/>
        <xdr:cNvCxnSpPr/>
      </xdr:nvCxnSpPr>
      <xdr:spPr>
        <a:xfrm>
          <a:off x="7105650" y="2978604"/>
          <a:ext cx="12001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39</xdr:row>
      <xdr:rowOff>0</xdr:rowOff>
    </xdr:from>
    <xdr:to>
      <xdr:col>132</xdr:col>
      <xdr:colOff>40822</xdr:colOff>
      <xdr:row>39</xdr:row>
      <xdr:rowOff>0</xdr:rowOff>
    </xdr:to>
    <xdr:cxnSp macro="">
      <xdr:nvCxnSpPr>
        <xdr:cNvPr id="357" name="直線コネクタ 356"/>
        <xdr:cNvCxnSpPr/>
      </xdr:nvCxnSpPr>
      <xdr:spPr>
        <a:xfrm>
          <a:off x="6076950" y="38195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131</xdr:col>
      <xdr:colOff>0</xdr:colOff>
      <xdr:row>39</xdr:row>
      <xdr:rowOff>0</xdr:rowOff>
    </xdr:from>
    <xdr:to>
      <xdr:col>133</xdr:col>
      <xdr:colOff>40822</xdr:colOff>
      <xdr:row>39</xdr:row>
      <xdr:rowOff>0</xdr:rowOff>
    </xdr:to>
    <xdr:cxnSp macro="">
      <xdr:nvCxnSpPr>
        <xdr:cNvPr id="358" name="直線コネクタ 357"/>
        <xdr:cNvCxnSpPr/>
      </xdr:nvCxnSpPr>
      <xdr:spPr>
        <a:xfrm>
          <a:off x="6076950" y="38195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163286</xdr:colOff>
      <xdr:row>42</xdr:row>
      <xdr:rowOff>136072</xdr:rowOff>
    </xdr:from>
    <xdr:to>
      <xdr:col>124</xdr:col>
      <xdr:colOff>0</xdr:colOff>
      <xdr:row>42</xdr:row>
      <xdr:rowOff>136072</xdr:rowOff>
    </xdr:to>
    <xdr:cxnSp macro="">
      <xdr:nvCxnSpPr>
        <xdr:cNvPr id="371" name="直線コネクタ 370"/>
        <xdr:cNvCxnSpPr/>
      </xdr:nvCxnSpPr>
      <xdr:spPr>
        <a:xfrm>
          <a:off x="6076950" y="321264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42</xdr:row>
      <xdr:rowOff>149679</xdr:rowOff>
    </xdr:from>
    <xdr:to>
      <xdr:col>146</xdr:col>
      <xdr:colOff>0</xdr:colOff>
      <xdr:row>42</xdr:row>
      <xdr:rowOff>149679</xdr:rowOff>
    </xdr:to>
    <xdr:cxnSp macro="">
      <xdr:nvCxnSpPr>
        <xdr:cNvPr id="372" name="直線コネクタ 371"/>
        <xdr:cNvCxnSpPr/>
      </xdr:nvCxnSpPr>
      <xdr:spPr>
        <a:xfrm>
          <a:off x="6076950" y="322625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0</xdr:colOff>
      <xdr:row>40</xdr:row>
      <xdr:rowOff>149679</xdr:rowOff>
    </xdr:from>
    <xdr:to>
      <xdr:col>151</xdr:col>
      <xdr:colOff>149679</xdr:colOff>
      <xdr:row>40</xdr:row>
      <xdr:rowOff>149679</xdr:rowOff>
    </xdr:to>
    <xdr:cxnSp macro="">
      <xdr:nvCxnSpPr>
        <xdr:cNvPr id="375" name="直線コネクタ 374"/>
        <xdr:cNvCxnSpPr/>
      </xdr:nvCxnSpPr>
      <xdr:spPr>
        <a:xfrm>
          <a:off x="6076950" y="2730954"/>
          <a:ext cx="126410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158</xdr:col>
      <xdr:colOff>1</xdr:colOff>
      <xdr:row>7</xdr:row>
      <xdr:rowOff>163286</xdr:rowOff>
    </xdr:from>
    <xdr:to>
      <xdr:col>181</xdr:col>
      <xdr:colOff>340178</xdr:colOff>
      <xdr:row>7</xdr:row>
      <xdr:rowOff>163286</xdr:rowOff>
    </xdr:to>
    <xdr:cxnSp macro="">
      <xdr:nvCxnSpPr>
        <xdr:cNvPr id="378" name="直線コネクタ 377"/>
        <xdr:cNvCxnSpPr/>
      </xdr:nvCxnSpPr>
      <xdr:spPr>
        <a:xfrm>
          <a:off x="14205858" y="1496786"/>
          <a:ext cx="8790213"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163286</xdr:colOff>
      <xdr:row>44</xdr:row>
      <xdr:rowOff>136072</xdr:rowOff>
    </xdr:from>
    <xdr:to>
      <xdr:col>124</xdr:col>
      <xdr:colOff>0</xdr:colOff>
      <xdr:row>44</xdr:row>
      <xdr:rowOff>136072</xdr:rowOff>
    </xdr:to>
    <xdr:cxnSp macro="">
      <xdr:nvCxnSpPr>
        <xdr:cNvPr id="380" name="直線コネクタ 379"/>
        <xdr:cNvCxnSpPr/>
      </xdr:nvCxnSpPr>
      <xdr:spPr>
        <a:xfrm>
          <a:off x="6076950" y="370794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139</xdr:col>
      <xdr:colOff>27214</xdr:colOff>
      <xdr:row>44</xdr:row>
      <xdr:rowOff>136072</xdr:rowOff>
    </xdr:from>
    <xdr:to>
      <xdr:col>142</xdr:col>
      <xdr:colOff>0</xdr:colOff>
      <xdr:row>44</xdr:row>
      <xdr:rowOff>136072</xdr:rowOff>
    </xdr:to>
    <xdr:cxnSp macro="">
      <xdr:nvCxnSpPr>
        <xdr:cNvPr id="381" name="直線コネクタ 380"/>
        <xdr:cNvCxnSpPr/>
      </xdr:nvCxnSpPr>
      <xdr:spPr>
        <a:xfrm>
          <a:off x="6076950" y="370794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-1</xdr:colOff>
      <xdr:row>67</xdr:row>
      <xdr:rowOff>149679</xdr:rowOff>
    </xdr:from>
    <xdr:to>
      <xdr:col>141</xdr:col>
      <xdr:colOff>54428</xdr:colOff>
      <xdr:row>67</xdr:row>
      <xdr:rowOff>149679</xdr:rowOff>
    </xdr:to>
    <xdr:cxnSp macro="">
      <xdr:nvCxnSpPr>
        <xdr:cNvPr id="385" name="直線コネクタ 384"/>
        <xdr:cNvCxnSpPr/>
      </xdr:nvCxnSpPr>
      <xdr:spPr>
        <a:xfrm>
          <a:off x="6076950" y="867455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0</xdr:colOff>
      <xdr:row>39</xdr:row>
      <xdr:rowOff>0</xdr:rowOff>
    </xdr:from>
    <xdr:to>
      <xdr:col>174</xdr:col>
      <xdr:colOff>84046</xdr:colOff>
      <xdr:row>39</xdr:row>
      <xdr:rowOff>0</xdr:rowOff>
    </xdr:to>
    <xdr:cxnSp macro="">
      <xdr:nvCxnSpPr>
        <xdr:cNvPr id="389" name="直線コネクタ 388"/>
        <xdr:cNvCxnSpPr/>
      </xdr:nvCxnSpPr>
      <xdr:spPr>
        <a:xfrm>
          <a:off x="7562850" y="3819525"/>
          <a:ext cx="8256496"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326572</xdr:colOff>
      <xdr:row>43</xdr:row>
      <xdr:rowOff>136071</xdr:rowOff>
    </xdr:from>
    <xdr:to>
      <xdr:col>144</xdr:col>
      <xdr:colOff>176893</xdr:colOff>
      <xdr:row>43</xdr:row>
      <xdr:rowOff>136071</xdr:rowOff>
    </xdr:to>
    <xdr:cxnSp macro="">
      <xdr:nvCxnSpPr>
        <xdr:cNvPr id="391" name="直線コネクタ 390"/>
        <xdr:cNvCxnSpPr/>
      </xdr:nvCxnSpPr>
      <xdr:spPr>
        <a:xfrm>
          <a:off x="6076950" y="3460296"/>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143</xdr:col>
      <xdr:colOff>54429</xdr:colOff>
      <xdr:row>65</xdr:row>
      <xdr:rowOff>136071</xdr:rowOff>
    </xdr:from>
    <xdr:to>
      <xdr:col>144</xdr:col>
      <xdr:colOff>353786</xdr:colOff>
      <xdr:row>65</xdr:row>
      <xdr:rowOff>136071</xdr:rowOff>
    </xdr:to>
    <xdr:cxnSp macro="">
      <xdr:nvCxnSpPr>
        <xdr:cNvPr id="392" name="直線コネクタ 391"/>
        <xdr:cNvCxnSpPr/>
      </xdr:nvCxnSpPr>
      <xdr:spPr>
        <a:xfrm>
          <a:off x="6076950" y="7917996"/>
          <a:ext cx="0"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143</xdr:col>
      <xdr:colOff>136072</xdr:colOff>
      <xdr:row>50</xdr:row>
      <xdr:rowOff>136072</xdr:rowOff>
    </xdr:from>
    <xdr:to>
      <xdr:col>143</xdr:col>
      <xdr:colOff>353786</xdr:colOff>
      <xdr:row>50</xdr:row>
      <xdr:rowOff>136072</xdr:rowOff>
    </xdr:to>
    <xdr:cxnSp macro="">
      <xdr:nvCxnSpPr>
        <xdr:cNvPr id="397" name="直線コネクタ 396"/>
        <xdr:cNvCxnSpPr/>
      </xdr:nvCxnSpPr>
      <xdr:spPr>
        <a:xfrm>
          <a:off x="6076950" y="469854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217714</xdr:colOff>
      <xdr:row>49</xdr:row>
      <xdr:rowOff>149679</xdr:rowOff>
    </xdr:from>
    <xdr:to>
      <xdr:col>145</xdr:col>
      <xdr:colOff>122464</xdr:colOff>
      <xdr:row>49</xdr:row>
      <xdr:rowOff>149679</xdr:rowOff>
    </xdr:to>
    <xdr:cxnSp macro="">
      <xdr:nvCxnSpPr>
        <xdr:cNvPr id="403" name="直線コネクタ 402"/>
        <xdr:cNvCxnSpPr/>
      </xdr:nvCxnSpPr>
      <xdr:spPr>
        <a:xfrm>
          <a:off x="6076950" y="446450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176893</xdr:colOff>
      <xdr:row>65</xdr:row>
      <xdr:rowOff>163286</xdr:rowOff>
    </xdr:from>
    <xdr:to>
      <xdr:col>148</xdr:col>
      <xdr:colOff>340178</xdr:colOff>
      <xdr:row>65</xdr:row>
      <xdr:rowOff>163286</xdr:rowOff>
    </xdr:to>
    <xdr:cxnSp macro="">
      <xdr:nvCxnSpPr>
        <xdr:cNvPr id="409" name="直線コネクタ 408"/>
        <xdr:cNvCxnSpPr/>
      </xdr:nvCxnSpPr>
      <xdr:spPr>
        <a:xfrm>
          <a:off x="6253843" y="7945211"/>
          <a:ext cx="16328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163285</xdr:colOff>
      <xdr:row>50</xdr:row>
      <xdr:rowOff>136071</xdr:rowOff>
    </xdr:from>
    <xdr:to>
      <xdr:col>150</xdr:col>
      <xdr:colOff>68036</xdr:colOff>
      <xdr:row>50</xdr:row>
      <xdr:rowOff>136071</xdr:rowOff>
    </xdr:to>
    <xdr:cxnSp macro="">
      <xdr:nvCxnSpPr>
        <xdr:cNvPr id="415" name="直線コネクタ 414"/>
        <xdr:cNvCxnSpPr/>
      </xdr:nvCxnSpPr>
      <xdr:spPr>
        <a:xfrm>
          <a:off x="6240235" y="4698546"/>
          <a:ext cx="647701"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122464</xdr:colOff>
      <xdr:row>47</xdr:row>
      <xdr:rowOff>136071</xdr:rowOff>
    </xdr:from>
    <xdr:to>
      <xdr:col>149</xdr:col>
      <xdr:colOff>95249</xdr:colOff>
      <xdr:row>47</xdr:row>
      <xdr:rowOff>136071</xdr:rowOff>
    </xdr:to>
    <xdr:cxnSp macro="">
      <xdr:nvCxnSpPr>
        <xdr:cNvPr id="416" name="直線コネクタ 415"/>
        <xdr:cNvCxnSpPr/>
      </xdr:nvCxnSpPr>
      <xdr:spPr>
        <a:xfrm>
          <a:off x="6199414" y="4203246"/>
          <a:ext cx="344260"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204107</xdr:colOff>
      <xdr:row>45</xdr:row>
      <xdr:rowOff>136072</xdr:rowOff>
    </xdr:from>
    <xdr:to>
      <xdr:col>150</xdr:col>
      <xdr:colOff>190500</xdr:colOff>
      <xdr:row>45</xdr:row>
      <xdr:rowOff>136072</xdr:rowOff>
    </xdr:to>
    <xdr:cxnSp macro="">
      <xdr:nvCxnSpPr>
        <xdr:cNvPr id="418" name="直線コネクタ 417"/>
        <xdr:cNvCxnSpPr/>
      </xdr:nvCxnSpPr>
      <xdr:spPr>
        <a:xfrm>
          <a:off x="6281057" y="3955597"/>
          <a:ext cx="72934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13606</xdr:colOff>
      <xdr:row>66</xdr:row>
      <xdr:rowOff>136071</xdr:rowOff>
    </xdr:from>
    <xdr:to>
      <xdr:col>150</xdr:col>
      <xdr:colOff>68036</xdr:colOff>
      <xdr:row>66</xdr:row>
      <xdr:rowOff>136071</xdr:rowOff>
    </xdr:to>
    <xdr:cxnSp macro="">
      <xdr:nvCxnSpPr>
        <xdr:cNvPr id="419" name="直線コネクタ 418"/>
        <xdr:cNvCxnSpPr/>
      </xdr:nvCxnSpPr>
      <xdr:spPr>
        <a:xfrm>
          <a:off x="6462031" y="8165646"/>
          <a:ext cx="425905"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40822</xdr:colOff>
      <xdr:row>61</xdr:row>
      <xdr:rowOff>136072</xdr:rowOff>
    </xdr:from>
    <xdr:to>
      <xdr:col>150</xdr:col>
      <xdr:colOff>312966</xdr:colOff>
      <xdr:row>61</xdr:row>
      <xdr:rowOff>136072</xdr:rowOff>
    </xdr:to>
    <xdr:cxnSp macro="">
      <xdr:nvCxnSpPr>
        <xdr:cNvPr id="420" name="直線コネクタ 419"/>
        <xdr:cNvCxnSpPr/>
      </xdr:nvCxnSpPr>
      <xdr:spPr>
        <a:xfrm>
          <a:off x="6489247" y="7422697"/>
          <a:ext cx="64361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190500</xdr:colOff>
      <xdr:row>49</xdr:row>
      <xdr:rowOff>149679</xdr:rowOff>
    </xdr:from>
    <xdr:to>
      <xdr:col>149</xdr:col>
      <xdr:colOff>95250</xdr:colOff>
      <xdr:row>49</xdr:row>
      <xdr:rowOff>149679</xdr:rowOff>
    </xdr:to>
    <xdr:cxnSp macro="">
      <xdr:nvCxnSpPr>
        <xdr:cNvPr id="421" name="直線コネクタ 420"/>
        <xdr:cNvCxnSpPr/>
      </xdr:nvCxnSpPr>
      <xdr:spPr>
        <a:xfrm>
          <a:off x="6267450" y="4464504"/>
          <a:ext cx="27622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326572</xdr:colOff>
      <xdr:row>62</xdr:row>
      <xdr:rowOff>136072</xdr:rowOff>
    </xdr:from>
    <xdr:to>
      <xdr:col>150</xdr:col>
      <xdr:colOff>285749</xdr:colOff>
      <xdr:row>62</xdr:row>
      <xdr:rowOff>136072</xdr:rowOff>
    </xdr:to>
    <xdr:cxnSp macro="">
      <xdr:nvCxnSpPr>
        <xdr:cNvPr id="423" name="直線コネクタ 422"/>
        <xdr:cNvCxnSpPr/>
      </xdr:nvCxnSpPr>
      <xdr:spPr>
        <a:xfrm>
          <a:off x="6774997" y="7670347"/>
          <a:ext cx="33065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165</xdr:col>
      <xdr:colOff>27214</xdr:colOff>
      <xdr:row>62</xdr:row>
      <xdr:rowOff>163285</xdr:rowOff>
    </xdr:from>
    <xdr:to>
      <xdr:col>165</xdr:col>
      <xdr:colOff>353785</xdr:colOff>
      <xdr:row>62</xdr:row>
      <xdr:rowOff>163285</xdr:rowOff>
    </xdr:to>
    <xdr:cxnSp macro="">
      <xdr:nvCxnSpPr>
        <xdr:cNvPr id="424" name="直線コネクタ 423"/>
        <xdr:cNvCxnSpPr/>
      </xdr:nvCxnSpPr>
      <xdr:spPr>
        <a:xfrm>
          <a:off x="12419239" y="7697560"/>
          <a:ext cx="326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258535</xdr:colOff>
      <xdr:row>59</xdr:row>
      <xdr:rowOff>149678</xdr:rowOff>
    </xdr:from>
    <xdr:to>
      <xdr:col>149</xdr:col>
      <xdr:colOff>40820</xdr:colOff>
      <xdr:row>59</xdr:row>
      <xdr:rowOff>149678</xdr:rowOff>
    </xdr:to>
    <xdr:cxnSp macro="">
      <xdr:nvCxnSpPr>
        <xdr:cNvPr id="425" name="直線コネクタ 424"/>
        <xdr:cNvCxnSpPr/>
      </xdr:nvCxnSpPr>
      <xdr:spPr>
        <a:xfrm>
          <a:off x="6335485" y="7188653"/>
          <a:ext cx="15376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149</xdr:col>
      <xdr:colOff>340179</xdr:colOff>
      <xdr:row>48</xdr:row>
      <xdr:rowOff>136072</xdr:rowOff>
    </xdr:from>
    <xdr:to>
      <xdr:col>151</xdr:col>
      <xdr:colOff>163286</xdr:colOff>
      <xdr:row>48</xdr:row>
      <xdr:rowOff>136072</xdr:rowOff>
    </xdr:to>
    <xdr:cxnSp macro="">
      <xdr:nvCxnSpPr>
        <xdr:cNvPr id="426" name="直線コネクタ 425"/>
        <xdr:cNvCxnSpPr/>
      </xdr:nvCxnSpPr>
      <xdr:spPr>
        <a:xfrm>
          <a:off x="6788604" y="4946197"/>
          <a:ext cx="566057"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150</xdr:col>
      <xdr:colOff>353786</xdr:colOff>
      <xdr:row>54</xdr:row>
      <xdr:rowOff>149679</xdr:rowOff>
    </xdr:from>
    <xdr:to>
      <xdr:col>151</xdr:col>
      <xdr:colOff>340179</xdr:colOff>
      <xdr:row>54</xdr:row>
      <xdr:rowOff>149679</xdr:rowOff>
    </xdr:to>
    <xdr:cxnSp macro="">
      <xdr:nvCxnSpPr>
        <xdr:cNvPr id="427" name="直線コネクタ 426"/>
        <xdr:cNvCxnSpPr/>
      </xdr:nvCxnSpPr>
      <xdr:spPr>
        <a:xfrm>
          <a:off x="7173686" y="5702754"/>
          <a:ext cx="35786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160</xdr:col>
      <xdr:colOff>0</xdr:colOff>
      <xdr:row>70</xdr:row>
      <xdr:rowOff>136071</xdr:rowOff>
    </xdr:from>
    <xdr:to>
      <xdr:col>166</xdr:col>
      <xdr:colOff>0</xdr:colOff>
      <xdr:row>70</xdr:row>
      <xdr:rowOff>136071</xdr:rowOff>
    </xdr:to>
    <xdr:cxnSp macro="">
      <xdr:nvCxnSpPr>
        <xdr:cNvPr id="429" name="直線コネクタ 428"/>
        <xdr:cNvCxnSpPr/>
      </xdr:nvCxnSpPr>
      <xdr:spPr>
        <a:xfrm>
          <a:off x="10534650" y="9403896"/>
          <a:ext cx="22288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150</xdr:col>
      <xdr:colOff>149679</xdr:colOff>
      <xdr:row>64</xdr:row>
      <xdr:rowOff>136071</xdr:rowOff>
    </xdr:from>
    <xdr:to>
      <xdr:col>151</xdr:col>
      <xdr:colOff>340179</xdr:colOff>
      <xdr:row>64</xdr:row>
      <xdr:rowOff>136071</xdr:rowOff>
    </xdr:to>
    <xdr:cxnSp macro="">
      <xdr:nvCxnSpPr>
        <xdr:cNvPr id="430" name="直線コネクタ 429"/>
        <xdr:cNvCxnSpPr/>
      </xdr:nvCxnSpPr>
      <xdr:spPr>
        <a:xfrm>
          <a:off x="6969579" y="5193846"/>
          <a:ext cx="56197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13607</xdr:colOff>
      <xdr:row>52</xdr:row>
      <xdr:rowOff>149679</xdr:rowOff>
    </xdr:from>
    <xdr:to>
      <xdr:col>152</xdr:col>
      <xdr:colOff>312964</xdr:colOff>
      <xdr:row>52</xdr:row>
      <xdr:rowOff>149679</xdr:rowOff>
    </xdr:to>
    <xdr:cxnSp macro="">
      <xdr:nvCxnSpPr>
        <xdr:cNvPr id="431" name="直線コネクタ 430"/>
        <xdr:cNvCxnSpPr/>
      </xdr:nvCxnSpPr>
      <xdr:spPr>
        <a:xfrm>
          <a:off x="15988393" y="12260036"/>
          <a:ext cx="666750"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68035</xdr:colOff>
      <xdr:row>51</xdr:row>
      <xdr:rowOff>136071</xdr:rowOff>
    </xdr:from>
    <xdr:to>
      <xdr:col>152</xdr:col>
      <xdr:colOff>54428</xdr:colOff>
      <xdr:row>51</xdr:row>
      <xdr:rowOff>136071</xdr:rowOff>
    </xdr:to>
    <xdr:cxnSp macro="">
      <xdr:nvCxnSpPr>
        <xdr:cNvPr id="432" name="直線コネクタ 431"/>
        <xdr:cNvCxnSpPr/>
      </xdr:nvCxnSpPr>
      <xdr:spPr>
        <a:xfrm>
          <a:off x="7259410" y="5936796"/>
          <a:ext cx="35786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40822</xdr:colOff>
      <xdr:row>53</xdr:row>
      <xdr:rowOff>136072</xdr:rowOff>
    </xdr:from>
    <xdr:to>
      <xdr:col>152</xdr:col>
      <xdr:colOff>326572</xdr:colOff>
      <xdr:row>53</xdr:row>
      <xdr:rowOff>136072</xdr:rowOff>
    </xdr:to>
    <xdr:cxnSp macro="">
      <xdr:nvCxnSpPr>
        <xdr:cNvPr id="433" name="直線コネクタ 432"/>
        <xdr:cNvCxnSpPr/>
      </xdr:nvCxnSpPr>
      <xdr:spPr>
        <a:xfrm>
          <a:off x="7232197" y="6184447"/>
          <a:ext cx="65722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13607</xdr:colOff>
      <xdr:row>55</xdr:row>
      <xdr:rowOff>149679</xdr:rowOff>
    </xdr:from>
    <xdr:to>
      <xdr:col>153</xdr:col>
      <xdr:colOff>353784</xdr:colOff>
      <xdr:row>55</xdr:row>
      <xdr:rowOff>149679</xdr:rowOff>
    </xdr:to>
    <xdr:cxnSp macro="">
      <xdr:nvCxnSpPr>
        <xdr:cNvPr id="434" name="直線コネクタ 433"/>
        <xdr:cNvCxnSpPr/>
      </xdr:nvCxnSpPr>
      <xdr:spPr>
        <a:xfrm>
          <a:off x="7947932" y="6445704"/>
          <a:ext cx="340177"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54428</xdr:colOff>
      <xdr:row>56</xdr:row>
      <xdr:rowOff>136072</xdr:rowOff>
    </xdr:from>
    <xdr:to>
      <xdr:col>153</xdr:col>
      <xdr:colOff>340178</xdr:colOff>
      <xdr:row>56</xdr:row>
      <xdr:rowOff>136072</xdr:rowOff>
    </xdr:to>
    <xdr:cxnSp macro="">
      <xdr:nvCxnSpPr>
        <xdr:cNvPr id="435" name="直線コネクタ 434"/>
        <xdr:cNvCxnSpPr/>
      </xdr:nvCxnSpPr>
      <xdr:spPr>
        <a:xfrm>
          <a:off x="7617278" y="6679747"/>
          <a:ext cx="657225"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152</xdr:col>
      <xdr:colOff>13607</xdr:colOff>
      <xdr:row>57</xdr:row>
      <xdr:rowOff>122464</xdr:rowOff>
    </xdr:from>
    <xdr:to>
      <xdr:col>153</xdr:col>
      <xdr:colOff>353784</xdr:colOff>
      <xdr:row>57</xdr:row>
      <xdr:rowOff>122464</xdr:rowOff>
    </xdr:to>
    <xdr:cxnSp macro="">
      <xdr:nvCxnSpPr>
        <xdr:cNvPr id="436" name="直線コネクタ 435"/>
        <xdr:cNvCxnSpPr/>
      </xdr:nvCxnSpPr>
      <xdr:spPr>
        <a:xfrm>
          <a:off x="7576457" y="6913789"/>
          <a:ext cx="711652"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153</xdr:col>
      <xdr:colOff>217714</xdr:colOff>
      <xdr:row>59</xdr:row>
      <xdr:rowOff>149678</xdr:rowOff>
    </xdr:from>
    <xdr:to>
      <xdr:col>153</xdr:col>
      <xdr:colOff>367391</xdr:colOff>
      <xdr:row>59</xdr:row>
      <xdr:rowOff>149678</xdr:rowOff>
    </xdr:to>
    <xdr:cxnSp macro="">
      <xdr:nvCxnSpPr>
        <xdr:cNvPr id="437" name="直線コネクタ 436"/>
        <xdr:cNvCxnSpPr/>
      </xdr:nvCxnSpPr>
      <xdr:spPr>
        <a:xfrm>
          <a:off x="8152039" y="7188653"/>
          <a:ext cx="14967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158</xdr:col>
      <xdr:colOff>231322</xdr:colOff>
      <xdr:row>53</xdr:row>
      <xdr:rowOff>136071</xdr:rowOff>
    </xdr:from>
    <xdr:to>
      <xdr:col>159</xdr:col>
      <xdr:colOff>27214</xdr:colOff>
      <xdr:row>53</xdr:row>
      <xdr:rowOff>136071</xdr:rowOff>
    </xdr:to>
    <xdr:cxnSp macro="">
      <xdr:nvCxnSpPr>
        <xdr:cNvPr id="438" name="直線コネクタ 437"/>
        <xdr:cNvCxnSpPr/>
      </xdr:nvCxnSpPr>
      <xdr:spPr>
        <a:xfrm>
          <a:off x="10023022" y="6184446"/>
          <a:ext cx="167367"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158</xdr:col>
      <xdr:colOff>123700</xdr:colOff>
      <xdr:row>25</xdr:row>
      <xdr:rowOff>105144</xdr:rowOff>
    </xdr:from>
    <xdr:to>
      <xdr:col>165</xdr:col>
      <xdr:colOff>175655</xdr:colOff>
      <xdr:row>33</xdr:row>
      <xdr:rowOff>48869</xdr:rowOff>
    </xdr:to>
    <xdr:pic>
      <xdr:nvPicPr>
        <xdr:cNvPr id="439" name="図 43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60882" y="6270417"/>
          <a:ext cx="2597728" cy="188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143</xdr:col>
      <xdr:colOff>217714</xdr:colOff>
      <xdr:row>14</xdr:row>
      <xdr:rowOff>136071</xdr:rowOff>
    </xdr:from>
    <xdr:to>
      <xdr:col>144</xdr:col>
      <xdr:colOff>340179</xdr:colOff>
      <xdr:row>14</xdr:row>
      <xdr:rowOff>136071</xdr:rowOff>
    </xdr:to>
    <xdr:cxnSp macro="">
      <xdr:nvCxnSpPr>
        <xdr:cNvPr id="523" name="直線コネクタ 522"/>
        <xdr:cNvCxnSpPr/>
      </xdr:nvCxnSpPr>
      <xdr:spPr>
        <a:xfrm>
          <a:off x="50509714" y="53149500"/>
          <a:ext cx="489858"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143</xdr:col>
      <xdr:colOff>217714</xdr:colOff>
      <xdr:row>17</xdr:row>
      <xdr:rowOff>136071</xdr:rowOff>
    </xdr:from>
    <xdr:to>
      <xdr:col>145</xdr:col>
      <xdr:colOff>54428</xdr:colOff>
      <xdr:row>17</xdr:row>
      <xdr:rowOff>136071</xdr:rowOff>
    </xdr:to>
    <xdr:cxnSp macro="">
      <xdr:nvCxnSpPr>
        <xdr:cNvPr id="525" name="直線コネクタ 524"/>
        <xdr:cNvCxnSpPr/>
      </xdr:nvCxnSpPr>
      <xdr:spPr>
        <a:xfrm>
          <a:off x="50509714" y="53149500"/>
          <a:ext cx="5715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163286</xdr:colOff>
      <xdr:row>5</xdr:row>
      <xdr:rowOff>136072</xdr:rowOff>
    </xdr:from>
    <xdr:to>
      <xdr:col>124</xdr:col>
      <xdr:colOff>0</xdr:colOff>
      <xdr:row>5</xdr:row>
      <xdr:rowOff>136072</xdr:rowOff>
    </xdr:to>
    <xdr:cxnSp macro="">
      <xdr:nvCxnSpPr>
        <xdr:cNvPr id="527" name="直線コネクタ 526"/>
        <xdr:cNvCxnSpPr/>
      </xdr:nvCxnSpPr>
      <xdr:spPr>
        <a:xfrm>
          <a:off x="42005250" y="52904572"/>
          <a:ext cx="130628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142</xdr:col>
      <xdr:colOff>136071</xdr:colOff>
      <xdr:row>5</xdr:row>
      <xdr:rowOff>136071</xdr:rowOff>
    </xdr:from>
    <xdr:to>
      <xdr:col>143</xdr:col>
      <xdr:colOff>353785</xdr:colOff>
      <xdr:row>5</xdr:row>
      <xdr:rowOff>136071</xdr:rowOff>
    </xdr:to>
    <xdr:cxnSp macro="">
      <xdr:nvCxnSpPr>
        <xdr:cNvPr id="528" name="直線コネクタ 527"/>
        <xdr:cNvCxnSpPr/>
      </xdr:nvCxnSpPr>
      <xdr:spPr>
        <a:xfrm>
          <a:off x="50060678" y="52904571"/>
          <a:ext cx="58510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138</xdr:col>
      <xdr:colOff>13607</xdr:colOff>
      <xdr:row>9</xdr:row>
      <xdr:rowOff>136071</xdr:rowOff>
    </xdr:from>
    <xdr:to>
      <xdr:col>139</xdr:col>
      <xdr:colOff>68036</xdr:colOff>
      <xdr:row>9</xdr:row>
      <xdr:rowOff>136071</xdr:rowOff>
    </xdr:to>
    <xdr:cxnSp macro="">
      <xdr:nvCxnSpPr>
        <xdr:cNvPr id="531" name="直線コネクタ 530"/>
        <xdr:cNvCxnSpPr/>
      </xdr:nvCxnSpPr>
      <xdr:spPr>
        <a:xfrm>
          <a:off x="48468643" y="51924857"/>
          <a:ext cx="42182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137</xdr:col>
      <xdr:colOff>217715</xdr:colOff>
      <xdr:row>11</xdr:row>
      <xdr:rowOff>136072</xdr:rowOff>
    </xdr:from>
    <xdr:to>
      <xdr:col>139</xdr:col>
      <xdr:colOff>54428</xdr:colOff>
      <xdr:row>11</xdr:row>
      <xdr:rowOff>136072</xdr:rowOff>
    </xdr:to>
    <xdr:cxnSp macro="">
      <xdr:nvCxnSpPr>
        <xdr:cNvPr id="533" name="直線コネクタ 532"/>
        <xdr:cNvCxnSpPr/>
      </xdr:nvCxnSpPr>
      <xdr:spPr>
        <a:xfrm>
          <a:off x="48305358" y="51679929"/>
          <a:ext cx="57149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149679</xdr:colOff>
      <xdr:row>10</xdr:row>
      <xdr:rowOff>149678</xdr:rowOff>
    </xdr:from>
    <xdr:to>
      <xdr:col>97</xdr:col>
      <xdr:colOff>204107</xdr:colOff>
      <xdr:row>10</xdr:row>
      <xdr:rowOff>149678</xdr:rowOff>
    </xdr:to>
    <xdr:cxnSp macro="">
      <xdr:nvCxnSpPr>
        <xdr:cNvPr id="535" name="直線コネクタ 534"/>
        <xdr:cNvCxnSpPr/>
      </xdr:nvCxnSpPr>
      <xdr:spPr>
        <a:xfrm>
          <a:off x="34698215" y="34058678"/>
          <a:ext cx="32657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163285</xdr:colOff>
      <xdr:row>16</xdr:row>
      <xdr:rowOff>122464</xdr:rowOff>
    </xdr:from>
    <xdr:to>
      <xdr:col>121</xdr:col>
      <xdr:colOff>108857</xdr:colOff>
      <xdr:row>16</xdr:row>
      <xdr:rowOff>122464</xdr:rowOff>
    </xdr:to>
    <xdr:cxnSp macro="">
      <xdr:nvCxnSpPr>
        <xdr:cNvPr id="537" name="直線コネクタ 536"/>
        <xdr:cNvCxnSpPr/>
      </xdr:nvCxnSpPr>
      <xdr:spPr>
        <a:xfrm>
          <a:off x="41270464" y="43093821"/>
          <a:ext cx="10477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95250</xdr:colOff>
      <xdr:row>12</xdr:row>
      <xdr:rowOff>122465</xdr:rowOff>
    </xdr:from>
    <xdr:to>
      <xdr:col>148</xdr:col>
      <xdr:colOff>0</xdr:colOff>
      <xdr:row>12</xdr:row>
      <xdr:rowOff>122465</xdr:rowOff>
    </xdr:to>
    <xdr:cxnSp macro="">
      <xdr:nvCxnSpPr>
        <xdr:cNvPr id="538" name="直線コネクタ 537"/>
        <xdr:cNvCxnSpPr/>
      </xdr:nvCxnSpPr>
      <xdr:spPr>
        <a:xfrm>
          <a:off x="44919900" y="55205540"/>
          <a:ext cx="647700"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81643</xdr:colOff>
      <xdr:row>13</xdr:row>
      <xdr:rowOff>122465</xdr:rowOff>
    </xdr:from>
    <xdr:to>
      <xdr:col>148</xdr:col>
      <xdr:colOff>244928</xdr:colOff>
      <xdr:row>13</xdr:row>
      <xdr:rowOff>122465</xdr:rowOff>
    </xdr:to>
    <xdr:cxnSp macro="">
      <xdr:nvCxnSpPr>
        <xdr:cNvPr id="539" name="直線コネクタ 538"/>
        <xdr:cNvCxnSpPr/>
      </xdr:nvCxnSpPr>
      <xdr:spPr>
        <a:xfrm>
          <a:off x="44906293" y="56691440"/>
          <a:ext cx="90623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190500</xdr:colOff>
      <xdr:row>25</xdr:row>
      <xdr:rowOff>136071</xdr:rowOff>
    </xdr:from>
    <xdr:to>
      <xdr:col>102</xdr:col>
      <xdr:colOff>95250</xdr:colOff>
      <xdr:row>25</xdr:row>
      <xdr:rowOff>136071</xdr:rowOff>
    </xdr:to>
    <xdr:cxnSp macro="">
      <xdr:nvCxnSpPr>
        <xdr:cNvPr id="540" name="直線コネクタ 539"/>
        <xdr:cNvCxnSpPr/>
      </xdr:nvCxnSpPr>
      <xdr:spPr>
        <a:xfrm>
          <a:off x="29070300" y="35654796"/>
          <a:ext cx="45720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108857</xdr:colOff>
      <xdr:row>24</xdr:row>
      <xdr:rowOff>149679</xdr:rowOff>
    </xdr:from>
    <xdr:to>
      <xdr:col>111</xdr:col>
      <xdr:colOff>81642</xdr:colOff>
      <xdr:row>24</xdr:row>
      <xdr:rowOff>149679</xdr:rowOff>
    </xdr:to>
    <xdr:cxnSp macro="">
      <xdr:nvCxnSpPr>
        <xdr:cNvPr id="541" name="直線コネクタ 540"/>
        <xdr:cNvCxnSpPr/>
      </xdr:nvCxnSpPr>
      <xdr:spPr>
        <a:xfrm>
          <a:off x="31750907" y="40126104"/>
          <a:ext cx="24901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122465</xdr:colOff>
      <xdr:row>24</xdr:row>
      <xdr:rowOff>149679</xdr:rowOff>
    </xdr:from>
    <xdr:to>
      <xdr:col>116</xdr:col>
      <xdr:colOff>13607</xdr:colOff>
      <xdr:row>24</xdr:row>
      <xdr:rowOff>149679</xdr:rowOff>
    </xdr:to>
    <xdr:cxnSp macro="">
      <xdr:nvCxnSpPr>
        <xdr:cNvPr id="542" name="直線コネクタ 541"/>
        <xdr:cNvCxnSpPr/>
      </xdr:nvCxnSpPr>
      <xdr:spPr>
        <a:xfrm>
          <a:off x="32688440" y="40126104"/>
          <a:ext cx="100556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127</xdr:col>
      <xdr:colOff>312964</xdr:colOff>
      <xdr:row>26</xdr:row>
      <xdr:rowOff>149678</xdr:rowOff>
    </xdr:from>
    <xdr:to>
      <xdr:col>132</xdr:col>
      <xdr:colOff>54429</xdr:colOff>
      <xdr:row>26</xdr:row>
      <xdr:rowOff>149678</xdr:rowOff>
    </xdr:to>
    <xdr:cxnSp macro="">
      <xdr:nvCxnSpPr>
        <xdr:cNvPr id="543" name="直線コネクタ 542"/>
        <xdr:cNvCxnSpPr/>
      </xdr:nvCxnSpPr>
      <xdr:spPr>
        <a:xfrm>
          <a:off x="38079589" y="49536803"/>
          <a:ext cx="159884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126</xdr:col>
      <xdr:colOff>190500</xdr:colOff>
      <xdr:row>27</xdr:row>
      <xdr:rowOff>136072</xdr:rowOff>
    </xdr:from>
    <xdr:to>
      <xdr:col>127</xdr:col>
      <xdr:colOff>258535</xdr:colOff>
      <xdr:row>27</xdr:row>
      <xdr:rowOff>136072</xdr:rowOff>
    </xdr:to>
    <xdr:cxnSp macro="">
      <xdr:nvCxnSpPr>
        <xdr:cNvPr id="544" name="直線コネクタ 543"/>
        <xdr:cNvCxnSpPr/>
      </xdr:nvCxnSpPr>
      <xdr:spPr>
        <a:xfrm>
          <a:off x="37585650" y="47046697"/>
          <a:ext cx="43951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27214</xdr:colOff>
      <xdr:row>19</xdr:row>
      <xdr:rowOff>149678</xdr:rowOff>
    </xdr:from>
    <xdr:to>
      <xdr:col>141</xdr:col>
      <xdr:colOff>13607</xdr:colOff>
      <xdr:row>19</xdr:row>
      <xdr:rowOff>149678</xdr:rowOff>
    </xdr:to>
    <xdr:cxnSp macro="">
      <xdr:nvCxnSpPr>
        <xdr:cNvPr id="545" name="直線コネクタ 544"/>
        <xdr:cNvCxnSpPr/>
      </xdr:nvCxnSpPr>
      <xdr:spPr>
        <a:xfrm>
          <a:off x="42623014" y="53499203"/>
          <a:ext cx="35786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272142</xdr:colOff>
      <xdr:row>28</xdr:row>
      <xdr:rowOff>136071</xdr:rowOff>
    </xdr:from>
    <xdr:to>
      <xdr:col>142</xdr:col>
      <xdr:colOff>231322</xdr:colOff>
      <xdr:row>28</xdr:row>
      <xdr:rowOff>136071</xdr:rowOff>
    </xdr:to>
    <xdr:cxnSp macro="">
      <xdr:nvCxnSpPr>
        <xdr:cNvPr id="546" name="直線コネクタ 545"/>
        <xdr:cNvCxnSpPr/>
      </xdr:nvCxnSpPr>
      <xdr:spPr>
        <a:xfrm>
          <a:off x="42867942" y="53733246"/>
          <a:ext cx="70213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143</xdr:col>
      <xdr:colOff>81643</xdr:colOff>
      <xdr:row>22</xdr:row>
      <xdr:rowOff>149678</xdr:rowOff>
    </xdr:from>
    <xdr:to>
      <xdr:col>145</xdr:col>
      <xdr:colOff>108858</xdr:colOff>
      <xdr:row>22</xdr:row>
      <xdr:rowOff>149678</xdr:rowOff>
    </xdr:to>
    <xdr:cxnSp macro="">
      <xdr:nvCxnSpPr>
        <xdr:cNvPr id="547" name="直線コネクタ 546"/>
        <xdr:cNvCxnSpPr/>
      </xdr:nvCxnSpPr>
      <xdr:spPr>
        <a:xfrm>
          <a:off x="43791868" y="54737453"/>
          <a:ext cx="7701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145</xdr:col>
      <xdr:colOff>299357</xdr:colOff>
      <xdr:row>29</xdr:row>
      <xdr:rowOff>136071</xdr:rowOff>
    </xdr:from>
    <xdr:to>
      <xdr:col>147</xdr:col>
      <xdr:colOff>272143</xdr:colOff>
      <xdr:row>29</xdr:row>
      <xdr:rowOff>136071</xdr:rowOff>
    </xdr:to>
    <xdr:cxnSp macro="">
      <xdr:nvCxnSpPr>
        <xdr:cNvPr id="548" name="直線コネクタ 547"/>
        <xdr:cNvCxnSpPr/>
      </xdr:nvCxnSpPr>
      <xdr:spPr>
        <a:xfrm>
          <a:off x="44752532" y="55466796"/>
          <a:ext cx="715736"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95250</xdr:colOff>
      <xdr:row>18</xdr:row>
      <xdr:rowOff>122465</xdr:rowOff>
    </xdr:from>
    <xdr:to>
      <xdr:col>147</xdr:col>
      <xdr:colOff>231321</xdr:colOff>
      <xdr:row>18</xdr:row>
      <xdr:rowOff>122465</xdr:rowOff>
    </xdr:to>
    <xdr:cxnSp macro="">
      <xdr:nvCxnSpPr>
        <xdr:cNvPr id="549" name="直線コネクタ 548"/>
        <xdr:cNvCxnSpPr/>
      </xdr:nvCxnSpPr>
      <xdr:spPr>
        <a:xfrm>
          <a:off x="44919900" y="55948490"/>
          <a:ext cx="50754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144</xdr:col>
      <xdr:colOff>163285</xdr:colOff>
      <xdr:row>20</xdr:row>
      <xdr:rowOff>136072</xdr:rowOff>
    </xdr:from>
    <xdr:to>
      <xdr:col>147</xdr:col>
      <xdr:colOff>13607</xdr:colOff>
      <xdr:row>20</xdr:row>
      <xdr:rowOff>136072</xdr:rowOff>
    </xdr:to>
    <xdr:cxnSp macro="">
      <xdr:nvCxnSpPr>
        <xdr:cNvPr id="550" name="直線コネクタ 549"/>
        <xdr:cNvCxnSpPr/>
      </xdr:nvCxnSpPr>
      <xdr:spPr>
        <a:xfrm>
          <a:off x="44244985" y="56209747"/>
          <a:ext cx="96474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140</xdr:col>
      <xdr:colOff>136071</xdr:colOff>
      <xdr:row>30</xdr:row>
      <xdr:rowOff>122463</xdr:rowOff>
    </xdr:from>
    <xdr:to>
      <xdr:col>141</xdr:col>
      <xdr:colOff>217714</xdr:colOff>
      <xdr:row>30</xdr:row>
      <xdr:rowOff>122463</xdr:rowOff>
    </xdr:to>
    <xdr:cxnSp macro="">
      <xdr:nvCxnSpPr>
        <xdr:cNvPr id="551" name="直線コネクタ 550"/>
        <xdr:cNvCxnSpPr/>
      </xdr:nvCxnSpPr>
      <xdr:spPr>
        <a:xfrm>
          <a:off x="42731871" y="56443788"/>
          <a:ext cx="45311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142</xdr:col>
      <xdr:colOff>244929</xdr:colOff>
      <xdr:row>30</xdr:row>
      <xdr:rowOff>136072</xdr:rowOff>
    </xdr:from>
    <xdr:to>
      <xdr:col>145</xdr:col>
      <xdr:colOff>176893</xdr:colOff>
      <xdr:row>30</xdr:row>
      <xdr:rowOff>136072</xdr:rowOff>
    </xdr:to>
    <xdr:cxnSp macro="">
      <xdr:nvCxnSpPr>
        <xdr:cNvPr id="552" name="直線コネクタ 551"/>
        <xdr:cNvCxnSpPr/>
      </xdr:nvCxnSpPr>
      <xdr:spPr>
        <a:xfrm>
          <a:off x="43583679" y="56457397"/>
          <a:ext cx="1046389"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68035</xdr:colOff>
      <xdr:row>30</xdr:row>
      <xdr:rowOff>122465</xdr:rowOff>
    </xdr:from>
    <xdr:to>
      <xdr:col>148</xdr:col>
      <xdr:colOff>244928</xdr:colOff>
      <xdr:row>30</xdr:row>
      <xdr:rowOff>122465</xdr:rowOff>
    </xdr:to>
    <xdr:cxnSp macro="">
      <xdr:nvCxnSpPr>
        <xdr:cNvPr id="553" name="直線コネクタ 552"/>
        <xdr:cNvCxnSpPr/>
      </xdr:nvCxnSpPr>
      <xdr:spPr>
        <a:xfrm>
          <a:off x="45635635" y="56443790"/>
          <a:ext cx="176893"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146</xdr:col>
      <xdr:colOff>244929</xdr:colOff>
      <xdr:row>31</xdr:row>
      <xdr:rowOff>149680</xdr:rowOff>
    </xdr:from>
    <xdr:to>
      <xdr:col>148</xdr:col>
      <xdr:colOff>353785</xdr:colOff>
      <xdr:row>31</xdr:row>
      <xdr:rowOff>149680</xdr:rowOff>
    </xdr:to>
    <xdr:cxnSp macro="">
      <xdr:nvCxnSpPr>
        <xdr:cNvPr id="554" name="直線コネクタ 553"/>
        <xdr:cNvCxnSpPr/>
      </xdr:nvCxnSpPr>
      <xdr:spPr>
        <a:xfrm>
          <a:off x="45069579" y="56966305"/>
          <a:ext cx="851806"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147</xdr:col>
      <xdr:colOff>244928</xdr:colOff>
      <xdr:row>32</xdr:row>
      <xdr:rowOff>122465</xdr:rowOff>
    </xdr:from>
    <xdr:to>
      <xdr:col>149</xdr:col>
      <xdr:colOff>149678</xdr:colOff>
      <xdr:row>32</xdr:row>
      <xdr:rowOff>122465</xdr:rowOff>
    </xdr:to>
    <xdr:cxnSp macro="">
      <xdr:nvCxnSpPr>
        <xdr:cNvPr id="555" name="直線コネクタ 554"/>
        <xdr:cNvCxnSpPr/>
      </xdr:nvCxnSpPr>
      <xdr:spPr>
        <a:xfrm>
          <a:off x="45441053" y="57434390"/>
          <a:ext cx="647700"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122464</xdr:colOff>
      <xdr:row>23</xdr:row>
      <xdr:rowOff>136071</xdr:rowOff>
    </xdr:from>
    <xdr:to>
      <xdr:col>149</xdr:col>
      <xdr:colOff>95249</xdr:colOff>
      <xdr:row>23</xdr:row>
      <xdr:rowOff>136071</xdr:rowOff>
    </xdr:to>
    <xdr:cxnSp macro="">
      <xdr:nvCxnSpPr>
        <xdr:cNvPr id="556" name="直線コネクタ 555"/>
        <xdr:cNvCxnSpPr/>
      </xdr:nvCxnSpPr>
      <xdr:spPr>
        <a:xfrm>
          <a:off x="45690064" y="57695646"/>
          <a:ext cx="344260" cy="0"/>
        </a:xfrm>
        <a:prstGeom prst="line">
          <a:avLst/>
        </a:prstGeom>
        <a:ln w="31750">
          <a:solidFill>
            <a:srgbClr val="FF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148</xdr:col>
      <xdr:colOff>122464</xdr:colOff>
      <xdr:row>21</xdr:row>
      <xdr:rowOff>136071</xdr:rowOff>
    </xdr:from>
    <xdr:to>
      <xdr:col>149</xdr:col>
      <xdr:colOff>95249</xdr:colOff>
      <xdr:row>21</xdr:row>
      <xdr:rowOff>136071</xdr:rowOff>
    </xdr:to>
    <xdr:cxnSp macro="">
      <xdr:nvCxnSpPr>
        <xdr:cNvPr id="557" name="直線コネクタ 556"/>
        <xdr:cNvCxnSpPr/>
      </xdr:nvCxnSpPr>
      <xdr:spPr>
        <a:xfrm>
          <a:off x="45690064" y="57200346"/>
          <a:ext cx="344260" cy="0"/>
        </a:xfrm>
        <a:prstGeom prst="line">
          <a:avLst/>
        </a:prstGeom>
        <a:ln w="31750">
          <a:solidFill>
            <a:sysClr val="windowText" lastClr="00000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151</xdr:col>
      <xdr:colOff>259773</xdr:colOff>
      <xdr:row>35</xdr:row>
      <xdr:rowOff>86592</xdr:rowOff>
    </xdr:from>
    <xdr:to>
      <xdr:col>153</xdr:col>
      <xdr:colOff>300594</xdr:colOff>
      <xdr:row>36</xdr:row>
      <xdr:rowOff>178134</xdr:rowOff>
    </xdr:to>
    <xdr:sp macro="" textlink="">
      <xdr:nvSpPr>
        <xdr:cNvPr id="456" name="テキスト ボックス 455"/>
        <xdr:cNvSpPr txBox="1"/>
      </xdr:nvSpPr>
      <xdr:spPr>
        <a:xfrm>
          <a:off x="14651182" y="11274137"/>
          <a:ext cx="768185" cy="264724"/>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300"/>
            </a:lnSpc>
          </a:pPr>
          <a:r>
            <a:rPr kumimoji="1" lang="en-US" altLang="ja-JP" sz="1100" b="1">
              <a:latin typeface="ＭＳ Ｐ明朝" panose="02020600040205080304" pitchFamily="18" charset="-128"/>
              <a:ea typeface="ＭＳ Ｐ明朝" panose="02020600040205080304" pitchFamily="18" charset="-128"/>
            </a:rPr>
            <a:t>8/24(</a:t>
          </a:r>
          <a:r>
            <a:rPr kumimoji="1" lang="ja-JP" altLang="en-US" sz="1100" b="1">
              <a:latin typeface="ＭＳ Ｐ明朝" panose="02020600040205080304" pitchFamily="18" charset="-128"/>
              <a:ea typeface="ＭＳ Ｐ明朝" panose="02020600040205080304" pitchFamily="18" charset="-128"/>
            </a:rPr>
            <a:t>月</a:t>
          </a:r>
          <a:r>
            <a:rPr kumimoji="1" lang="en-US" altLang="ja-JP" sz="1100" b="1">
              <a:latin typeface="ＭＳ Ｐ明朝" panose="02020600040205080304" pitchFamily="18" charset="-128"/>
              <a:ea typeface="ＭＳ Ｐ明朝" panose="02020600040205080304" pitchFamily="18" charset="-128"/>
            </a:rPr>
            <a:t>)</a:t>
          </a:r>
          <a:endParaRPr kumimoji="1" lang="ja-JP" altLang="en-US" sz="1100" b="1">
            <a:latin typeface="ＭＳ Ｐ明朝" panose="02020600040205080304" pitchFamily="18" charset="-128"/>
            <a:ea typeface="ＭＳ Ｐ明朝" panose="02020600040205080304" pitchFamily="18" charset="-128"/>
          </a:endParaRPr>
        </a:p>
      </xdr:txBody>
    </xdr:sp>
    <xdr:clientData/>
  </xdr:twoCellAnchor>
  <xdr:twoCellAnchor>
    <xdr:from>
      <xdr:col>152</xdr:col>
      <xdr:colOff>329045</xdr:colOff>
      <xdr:row>2</xdr:row>
      <xdr:rowOff>190500</xdr:rowOff>
    </xdr:from>
    <xdr:to>
      <xdr:col>152</xdr:col>
      <xdr:colOff>329045</xdr:colOff>
      <xdr:row>33</xdr:row>
      <xdr:rowOff>0</xdr:rowOff>
    </xdr:to>
    <xdr:cxnSp macro="">
      <xdr:nvCxnSpPr>
        <xdr:cNvPr id="461" name="直線コネクタ 460"/>
        <xdr:cNvCxnSpPr/>
      </xdr:nvCxnSpPr>
      <xdr:spPr bwMode="auto">
        <a:xfrm flipV="1">
          <a:off x="15084136" y="536864"/>
          <a:ext cx="0" cy="8763000"/>
        </a:xfrm>
        <a:prstGeom prst="line">
          <a:avLst/>
        </a:prstGeom>
        <a:solidFill>
          <a:srgbClr val="090000"/>
        </a:solidFill>
        <a:ln w="38100" cap="flat" cmpd="sng" algn="ctr">
          <a:solidFill>
            <a:srgbClr val="0070C0"/>
          </a:solidFill>
          <a:prstDash val="sysDash"/>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155</xdr:col>
      <xdr:colOff>138546</xdr:colOff>
      <xdr:row>60</xdr:row>
      <xdr:rowOff>1</xdr:rowOff>
    </xdr:from>
    <xdr:to>
      <xdr:col>162</xdr:col>
      <xdr:colOff>190501</xdr:colOff>
      <xdr:row>67</xdr:row>
      <xdr:rowOff>186179</xdr:rowOff>
    </xdr:to>
    <xdr:pic>
      <xdr:nvPicPr>
        <xdr:cNvPr id="443" name="図 44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984682" y="14512637"/>
          <a:ext cx="2597728" cy="188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160</xdr:col>
      <xdr:colOff>13607</xdr:colOff>
      <xdr:row>39</xdr:row>
      <xdr:rowOff>136070</xdr:rowOff>
    </xdr:from>
    <xdr:to>
      <xdr:col>174</xdr:col>
      <xdr:colOff>340179</xdr:colOff>
      <xdr:row>39</xdr:row>
      <xdr:rowOff>136070</xdr:rowOff>
    </xdr:to>
    <xdr:cxnSp macro="">
      <xdr:nvCxnSpPr>
        <xdr:cNvPr id="444" name="直線コネクタ 443"/>
        <xdr:cNvCxnSpPr/>
      </xdr:nvCxnSpPr>
      <xdr:spPr>
        <a:xfrm>
          <a:off x="19743964" y="9661070"/>
          <a:ext cx="547007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7327</xdr:colOff>
      <xdr:row>11</xdr:row>
      <xdr:rowOff>129545</xdr:rowOff>
    </xdr:from>
    <xdr:to>
      <xdr:col>56</xdr:col>
      <xdr:colOff>272143</xdr:colOff>
      <xdr:row>11</xdr:row>
      <xdr:rowOff>129545</xdr:rowOff>
    </xdr:to>
    <xdr:cxnSp macro="">
      <xdr:nvCxnSpPr>
        <xdr:cNvPr id="2" name="直線コネクタ 1"/>
        <xdr:cNvCxnSpPr/>
      </xdr:nvCxnSpPr>
      <xdr:spPr>
        <a:xfrm>
          <a:off x="6419850" y="1095375"/>
          <a:ext cx="0"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10</xdr:row>
      <xdr:rowOff>134469</xdr:rowOff>
    </xdr:from>
    <xdr:to>
      <xdr:col>48</xdr:col>
      <xdr:colOff>11206</xdr:colOff>
      <xdr:row>10</xdr:row>
      <xdr:rowOff>134469</xdr:rowOff>
    </xdr:to>
    <xdr:cxnSp macro="">
      <xdr:nvCxnSpPr>
        <xdr:cNvPr id="3" name="直線コネクタ 2"/>
        <xdr:cNvCxnSpPr/>
      </xdr:nvCxnSpPr>
      <xdr:spPr>
        <a:xfrm>
          <a:off x="6419850" y="1095375"/>
          <a:ext cx="0" cy="0"/>
        </a:xfrm>
        <a:prstGeom prst="line">
          <a:avLst/>
        </a:prstGeom>
        <a:ln w="57150" cmpd="dbl">
          <a:prstDash val="sysDot"/>
          <a:headEnd type="none" w="med" len="med"/>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27</xdr:row>
      <xdr:rowOff>134470</xdr:rowOff>
    </xdr:from>
    <xdr:to>
      <xdr:col>28</xdr:col>
      <xdr:colOff>33618</xdr:colOff>
      <xdr:row>27</xdr:row>
      <xdr:rowOff>134470</xdr:rowOff>
    </xdr:to>
    <xdr:cxnSp macro="">
      <xdr:nvCxnSpPr>
        <xdr:cNvPr id="4" name="直線コネクタ 3"/>
        <xdr:cNvCxnSpPr/>
      </xdr:nvCxnSpPr>
      <xdr:spPr>
        <a:xfrm>
          <a:off x="6419850" y="1838325"/>
          <a:ext cx="0"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22412</xdr:colOff>
      <xdr:row>107</xdr:row>
      <xdr:rowOff>134471</xdr:rowOff>
    </xdr:from>
    <xdr:to>
      <xdr:col>23</xdr:col>
      <xdr:colOff>212912</xdr:colOff>
      <xdr:row>107</xdr:row>
      <xdr:rowOff>134471</xdr:rowOff>
    </xdr:to>
    <xdr:cxnSp macro="">
      <xdr:nvCxnSpPr>
        <xdr:cNvPr id="5" name="直線コネクタ 4"/>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201706</xdr:colOff>
      <xdr:row>37</xdr:row>
      <xdr:rowOff>145676</xdr:rowOff>
    </xdr:from>
    <xdr:to>
      <xdr:col>28</xdr:col>
      <xdr:colOff>201707</xdr:colOff>
      <xdr:row>37</xdr:row>
      <xdr:rowOff>145676</xdr:rowOff>
    </xdr:to>
    <xdr:cxnSp macro="">
      <xdr:nvCxnSpPr>
        <xdr:cNvPr id="6" name="直線コネクタ 5"/>
        <xdr:cNvCxnSpPr/>
      </xdr:nvCxnSpPr>
      <xdr:spPr>
        <a:xfrm>
          <a:off x="6419850" y="1838325"/>
          <a:ext cx="0"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112059</xdr:colOff>
      <xdr:row>77</xdr:row>
      <xdr:rowOff>134470</xdr:rowOff>
    </xdr:from>
    <xdr:to>
      <xdr:col>39</xdr:col>
      <xdr:colOff>324971</xdr:colOff>
      <xdr:row>77</xdr:row>
      <xdr:rowOff>134470</xdr:rowOff>
    </xdr:to>
    <xdr:cxnSp macro="">
      <xdr:nvCxnSpPr>
        <xdr:cNvPr id="7" name="直線コネクタ 6"/>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xdr:colOff>
      <xdr:row>5</xdr:row>
      <xdr:rowOff>123265</xdr:rowOff>
    </xdr:from>
    <xdr:to>
      <xdr:col>30</xdr:col>
      <xdr:colOff>0</xdr:colOff>
      <xdr:row>5</xdr:row>
      <xdr:rowOff>123265</xdr:rowOff>
    </xdr:to>
    <xdr:cxnSp macro="">
      <xdr:nvCxnSpPr>
        <xdr:cNvPr id="8" name="直線コネクタ 7"/>
        <xdr:cNvCxnSpPr/>
      </xdr:nvCxnSpPr>
      <xdr:spPr>
        <a:xfrm>
          <a:off x="6419850" y="1095375"/>
          <a:ext cx="0" cy="0"/>
        </a:xfrm>
        <a:prstGeom prst="line">
          <a:avLst/>
        </a:prstGeom>
        <a:ln w="19050">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xdr:colOff>
      <xdr:row>8</xdr:row>
      <xdr:rowOff>123265</xdr:rowOff>
    </xdr:from>
    <xdr:to>
      <xdr:col>30</xdr:col>
      <xdr:colOff>0</xdr:colOff>
      <xdr:row>8</xdr:row>
      <xdr:rowOff>123265</xdr:rowOff>
    </xdr:to>
    <xdr:cxnSp macro="">
      <xdr:nvCxnSpPr>
        <xdr:cNvPr id="9" name="直線コネクタ 8"/>
        <xdr:cNvCxnSpPr/>
      </xdr:nvCxnSpPr>
      <xdr:spPr>
        <a:xfrm>
          <a:off x="6419850" y="1095375"/>
          <a:ext cx="0" cy="0"/>
        </a:xfrm>
        <a:prstGeom prst="line">
          <a:avLst/>
        </a:prstGeom>
        <a:ln w="19050">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xdr:colOff>
      <xdr:row>25</xdr:row>
      <xdr:rowOff>134471</xdr:rowOff>
    </xdr:from>
    <xdr:to>
      <xdr:col>26</xdr:col>
      <xdr:colOff>0</xdr:colOff>
      <xdr:row>25</xdr:row>
      <xdr:rowOff>134471</xdr:rowOff>
    </xdr:to>
    <xdr:cxnSp macro="">
      <xdr:nvCxnSpPr>
        <xdr:cNvPr id="10" name="直線コネクタ 9"/>
        <xdr:cNvCxnSpPr/>
      </xdr:nvCxnSpPr>
      <xdr:spPr>
        <a:xfrm>
          <a:off x="6419850" y="1838325"/>
          <a:ext cx="0" cy="0"/>
        </a:xfrm>
        <a:prstGeom prst="line">
          <a:avLst/>
        </a:prstGeom>
        <a:ln w="19050">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5603</xdr:colOff>
      <xdr:row>60</xdr:row>
      <xdr:rowOff>134470</xdr:rowOff>
    </xdr:from>
    <xdr:to>
      <xdr:col>22</xdr:col>
      <xdr:colOff>198905</xdr:colOff>
      <xdr:row>60</xdr:row>
      <xdr:rowOff>134470</xdr:rowOff>
    </xdr:to>
    <xdr:cxnSp macro="">
      <xdr:nvCxnSpPr>
        <xdr:cNvPr id="11" name="直線コネクタ 10"/>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19050</xdr:colOff>
      <xdr:row>60</xdr:row>
      <xdr:rowOff>142875</xdr:rowOff>
    </xdr:from>
    <xdr:to>
      <xdr:col>26</xdr:col>
      <xdr:colOff>212352</xdr:colOff>
      <xdr:row>60</xdr:row>
      <xdr:rowOff>142875</xdr:rowOff>
    </xdr:to>
    <xdr:cxnSp macro="">
      <xdr:nvCxnSpPr>
        <xdr:cNvPr id="12" name="直線コネクタ 11"/>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133350</xdr:colOff>
      <xdr:row>61</xdr:row>
      <xdr:rowOff>133350</xdr:rowOff>
    </xdr:from>
    <xdr:to>
      <xdr:col>25</xdr:col>
      <xdr:colOff>85725</xdr:colOff>
      <xdr:row>61</xdr:row>
      <xdr:rowOff>133350</xdr:rowOff>
    </xdr:to>
    <xdr:cxnSp macro="">
      <xdr:nvCxnSpPr>
        <xdr:cNvPr id="13" name="直線コネクタ 12"/>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44824</xdr:colOff>
      <xdr:row>26</xdr:row>
      <xdr:rowOff>134471</xdr:rowOff>
    </xdr:from>
    <xdr:to>
      <xdr:col>29</xdr:col>
      <xdr:colOff>212911</xdr:colOff>
      <xdr:row>26</xdr:row>
      <xdr:rowOff>134471</xdr:rowOff>
    </xdr:to>
    <xdr:cxnSp macro="">
      <xdr:nvCxnSpPr>
        <xdr:cNvPr id="14" name="直線コネクタ 13"/>
        <xdr:cNvCxnSpPr/>
      </xdr:nvCxnSpPr>
      <xdr:spPr>
        <a:xfrm>
          <a:off x="6419850" y="18383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71</xdr:row>
      <xdr:rowOff>134471</xdr:rowOff>
    </xdr:from>
    <xdr:to>
      <xdr:col>32</xdr:col>
      <xdr:colOff>0</xdr:colOff>
      <xdr:row>71</xdr:row>
      <xdr:rowOff>134471</xdr:rowOff>
    </xdr:to>
    <xdr:cxnSp macro="">
      <xdr:nvCxnSpPr>
        <xdr:cNvPr id="15" name="直線コネクタ 14"/>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66</xdr:row>
      <xdr:rowOff>134471</xdr:rowOff>
    </xdr:from>
    <xdr:to>
      <xdr:col>32</xdr:col>
      <xdr:colOff>212912</xdr:colOff>
      <xdr:row>66</xdr:row>
      <xdr:rowOff>134471</xdr:rowOff>
    </xdr:to>
    <xdr:cxnSp macro="">
      <xdr:nvCxnSpPr>
        <xdr:cNvPr id="16" name="直線コネクタ 15"/>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179294</xdr:colOff>
      <xdr:row>64</xdr:row>
      <xdr:rowOff>134471</xdr:rowOff>
    </xdr:from>
    <xdr:to>
      <xdr:col>31</xdr:col>
      <xdr:colOff>11206</xdr:colOff>
      <xdr:row>64</xdr:row>
      <xdr:rowOff>134471</xdr:rowOff>
    </xdr:to>
    <xdr:cxnSp macro="">
      <xdr:nvCxnSpPr>
        <xdr:cNvPr id="17" name="直線コネクタ 16"/>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179294</xdr:colOff>
      <xdr:row>67</xdr:row>
      <xdr:rowOff>134471</xdr:rowOff>
    </xdr:from>
    <xdr:to>
      <xdr:col>33</xdr:col>
      <xdr:colOff>0</xdr:colOff>
      <xdr:row>67</xdr:row>
      <xdr:rowOff>134471</xdr:rowOff>
    </xdr:to>
    <xdr:cxnSp macro="">
      <xdr:nvCxnSpPr>
        <xdr:cNvPr id="18" name="直線コネクタ 17"/>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22412</xdr:colOff>
      <xdr:row>62</xdr:row>
      <xdr:rowOff>134470</xdr:rowOff>
    </xdr:from>
    <xdr:to>
      <xdr:col>20</xdr:col>
      <xdr:colOff>212912</xdr:colOff>
      <xdr:row>62</xdr:row>
      <xdr:rowOff>134470</xdr:rowOff>
    </xdr:to>
    <xdr:cxnSp macro="">
      <xdr:nvCxnSpPr>
        <xdr:cNvPr id="19" name="直線コネクタ 18"/>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33619</xdr:colOff>
      <xdr:row>62</xdr:row>
      <xdr:rowOff>134470</xdr:rowOff>
    </xdr:from>
    <xdr:to>
      <xdr:col>27</xdr:col>
      <xdr:colOff>224119</xdr:colOff>
      <xdr:row>62</xdr:row>
      <xdr:rowOff>134470</xdr:rowOff>
    </xdr:to>
    <xdr:cxnSp macro="">
      <xdr:nvCxnSpPr>
        <xdr:cNvPr id="20" name="直線コネクタ 19"/>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44825</xdr:colOff>
      <xdr:row>63</xdr:row>
      <xdr:rowOff>123264</xdr:rowOff>
    </xdr:from>
    <xdr:to>
      <xdr:col>28</xdr:col>
      <xdr:colOff>1</xdr:colOff>
      <xdr:row>63</xdr:row>
      <xdr:rowOff>123264</xdr:rowOff>
    </xdr:to>
    <xdr:cxnSp macro="">
      <xdr:nvCxnSpPr>
        <xdr:cNvPr id="21" name="直線コネクタ 20"/>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25614</xdr:colOff>
      <xdr:row>87</xdr:row>
      <xdr:rowOff>134471</xdr:rowOff>
    </xdr:from>
    <xdr:to>
      <xdr:col>38</xdr:col>
      <xdr:colOff>336177</xdr:colOff>
      <xdr:row>87</xdr:row>
      <xdr:rowOff>134471</xdr:rowOff>
    </xdr:to>
    <xdr:cxnSp macro="">
      <xdr:nvCxnSpPr>
        <xdr:cNvPr id="22" name="直線コネクタ 21"/>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78441</xdr:colOff>
      <xdr:row>68</xdr:row>
      <xdr:rowOff>134471</xdr:rowOff>
    </xdr:from>
    <xdr:to>
      <xdr:col>33</xdr:col>
      <xdr:colOff>0</xdr:colOff>
      <xdr:row>68</xdr:row>
      <xdr:rowOff>134471</xdr:rowOff>
    </xdr:to>
    <xdr:cxnSp macro="">
      <xdr:nvCxnSpPr>
        <xdr:cNvPr id="23" name="直線コネクタ 22"/>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56030</xdr:colOff>
      <xdr:row>77</xdr:row>
      <xdr:rowOff>134470</xdr:rowOff>
    </xdr:from>
    <xdr:to>
      <xdr:col>32</xdr:col>
      <xdr:colOff>156883</xdr:colOff>
      <xdr:row>77</xdr:row>
      <xdr:rowOff>134470</xdr:rowOff>
    </xdr:to>
    <xdr:cxnSp macro="">
      <xdr:nvCxnSpPr>
        <xdr:cNvPr id="24" name="直線コネクタ 23"/>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11206</xdr:colOff>
      <xdr:row>65</xdr:row>
      <xdr:rowOff>134471</xdr:rowOff>
    </xdr:from>
    <xdr:to>
      <xdr:col>31</xdr:col>
      <xdr:colOff>246530</xdr:colOff>
      <xdr:row>65</xdr:row>
      <xdr:rowOff>134471</xdr:rowOff>
    </xdr:to>
    <xdr:cxnSp macro="">
      <xdr:nvCxnSpPr>
        <xdr:cNvPr id="25" name="直線コネクタ 24"/>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246530</xdr:colOff>
      <xdr:row>70</xdr:row>
      <xdr:rowOff>134471</xdr:rowOff>
    </xdr:from>
    <xdr:to>
      <xdr:col>34</xdr:col>
      <xdr:colOff>0</xdr:colOff>
      <xdr:row>70</xdr:row>
      <xdr:rowOff>134471</xdr:rowOff>
    </xdr:to>
    <xdr:cxnSp macro="">
      <xdr:nvCxnSpPr>
        <xdr:cNvPr id="26" name="直線コネクタ 25"/>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179294</xdr:colOff>
      <xdr:row>73</xdr:row>
      <xdr:rowOff>123265</xdr:rowOff>
    </xdr:from>
    <xdr:to>
      <xdr:col>35</xdr:col>
      <xdr:colOff>302559</xdr:colOff>
      <xdr:row>73</xdr:row>
      <xdr:rowOff>123265</xdr:rowOff>
    </xdr:to>
    <xdr:cxnSp macro="">
      <xdr:nvCxnSpPr>
        <xdr:cNvPr id="27" name="直線コネクタ 26"/>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0</xdr:colOff>
      <xdr:row>60</xdr:row>
      <xdr:rowOff>0</xdr:rowOff>
    </xdr:from>
    <xdr:to>
      <xdr:col>36</xdr:col>
      <xdr:colOff>212911</xdr:colOff>
      <xdr:row>60</xdr:row>
      <xdr:rowOff>0</xdr:rowOff>
    </xdr:to>
    <xdr:cxnSp macro="">
      <xdr:nvCxnSpPr>
        <xdr:cNvPr id="28" name="直線コネクタ 27"/>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22413</xdr:colOff>
      <xdr:row>33</xdr:row>
      <xdr:rowOff>134470</xdr:rowOff>
    </xdr:from>
    <xdr:to>
      <xdr:col>39</xdr:col>
      <xdr:colOff>246529</xdr:colOff>
      <xdr:row>33</xdr:row>
      <xdr:rowOff>134470</xdr:rowOff>
    </xdr:to>
    <xdr:cxnSp macro="">
      <xdr:nvCxnSpPr>
        <xdr:cNvPr id="29" name="直線コネクタ 28"/>
        <xdr:cNvCxnSpPr/>
      </xdr:nvCxnSpPr>
      <xdr:spPr>
        <a:xfrm>
          <a:off x="6419850" y="18383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27</xdr:row>
      <xdr:rowOff>123265</xdr:rowOff>
    </xdr:from>
    <xdr:to>
      <xdr:col>32</xdr:col>
      <xdr:colOff>257735</xdr:colOff>
      <xdr:row>27</xdr:row>
      <xdr:rowOff>123265</xdr:rowOff>
    </xdr:to>
    <xdr:cxnSp macro="">
      <xdr:nvCxnSpPr>
        <xdr:cNvPr id="30" name="直線コネクタ 29"/>
        <xdr:cNvCxnSpPr/>
      </xdr:nvCxnSpPr>
      <xdr:spPr>
        <a:xfrm>
          <a:off x="6419850" y="1838325"/>
          <a:ext cx="0" cy="0"/>
        </a:xfrm>
        <a:prstGeom prst="line">
          <a:avLst/>
        </a:prstGeom>
        <a:ln w="19050">
          <a:solidFill>
            <a:schemeClr val="tx1"/>
          </a:solidFill>
          <a:prstDash val="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44824</xdr:colOff>
      <xdr:row>72</xdr:row>
      <xdr:rowOff>134471</xdr:rowOff>
    </xdr:from>
    <xdr:to>
      <xdr:col>34</xdr:col>
      <xdr:colOff>268941</xdr:colOff>
      <xdr:row>72</xdr:row>
      <xdr:rowOff>134471</xdr:rowOff>
    </xdr:to>
    <xdr:cxnSp macro="">
      <xdr:nvCxnSpPr>
        <xdr:cNvPr id="31" name="直線コネクタ 30"/>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179294</xdr:colOff>
      <xdr:row>69</xdr:row>
      <xdr:rowOff>134471</xdr:rowOff>
    </xdr:from>
    <xdr:to>
      <xdr:col>30</xdr:col>
      <xdr:colOff>0</xdr:colOff>
      <xdr:row>69</xdr:row>
      <xdr:rowOff>134471</xdr:rowOff>
    </xdr:to>
    <xdr:cxnSp macro="">
      <xdr:nvCxnSpPr>
        <xdr:cNvPr id="32" name="直線コネクタ 31"/>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246531</xdr:colOff>
      <xdr:row>69</xdr:row>
      <xdr:rowOff>134470</xdr:rowOff>
    </xdr:from>
    <xdr:to>
      <xdr:col>35</xdr:col>
      <xdr:colOff>257735</xdr:colOff>
      <xdr:row>69</xdr:row>
      <xdr:rowOff>134470</xdr:rowOff>
    </xdr:to>
    <xdr:cxnSp macro="">
      <xdr:nvCxnSpPr>
        <xdr:cNvPr id="33" name="直線コネクタ 32"/>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145677</xdr:colOff>
      <xdr:row>86</xdr:row>
      <xdr:rowOff>123265</xdr:rowOff>
    </xdr:from>
    <xdr:to>
      <xdr:col>36</xdr:col>
      <xdr:colOff>0</xdr:colOff>
      <xdr:row>86</xdr:row>
      <xdr:rowOff>123265</xdr:rowOff>
    </xdr:to>
    <xdr:cxnSp macro="">
      <xdr:nvCxnSpPr>
        <xdr:cNvPr id="34" name="直線コネクタ 33"/>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22412</xdr:colOff>
      <xdr:row>86</xdr:row>
      <xdr:rowOff>123266</xdr:rowOff>
    </xdr:from>
    <xdr:to>
      <xdr:col>42</xdr:col>
      <xdr:colOff>108857</xdr:colOff>
      <xdr:row>86</xdr:row>
      <xdr:rowOff>123266</xdr:rowOff>
    </xdr:to>
    <xdr:cxnSp macro="">
      <xdr:nvCxnSpPr>
        <xdr:cNvPr id="35" name="直線コネクタ 34"/>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224118</xdr:colOff>
      <xdr:row>74</xdr:row>
      <xdr:rowOff>134471</xdr:rowOff>
    </xdr:from>
    <xdr:to>
      <xdr:col>37</xdr:col>
      <xdr:colOff>302559</xdr:colOff>
      <xdr:row>74</xdr:row>
      <xdr:rowOff>134471</xdr:rowOff>
    </xdr:to>
    <xdr:cxnSp macro="">
      <xdr:nvCxnSpPr>
        <xdr:cNvPr id="36" name="直線コネクタ 35"/>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201705</xdr:colOff>
      <xdr:row>75</xdr:row>
      <xdr:rowOff>134471</xdr:rowOff>
    </xdr:from>
    <xdr:to>
      <xdr:col>37</xdr:col>
      <xdr:colOff>280146</xdr:colOff>
      <xdr:row>75</xdr:row>
      <xdr:rowOff>134471</xdr:rowOff>
    </xdr:to>
    <xdr:cxnSp macro="">
      <xdr:nvCxnSpPr>
        <xdr:cNvPr id="37" name="直線コネクタ 36"/>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0</xdr:colOff>
      <xdr:row>28</xdr:row>
      <xdr:rowOff>123265</xdr:rowOff>
    </xdr:from>
    <xdr:to>
      <xdr:col>35</xdr:col>
      <xdr:colOff>123265</xdr:colOff>
      <xdr:row>28</xdr:row>
      <xdr:rowOff>123265</xdr:rowOff>
    </xdr:to>
    <xdr:cxnSp macro="">
      <xdr:nvCxnSpPr>
        <xdr:cNvPr id="38" name="直線コネクタ 37"/>
        <xdr:cNvCxnSpPr/>
      </xdr:nvCxnSpPr>
      <xdr:spPr>
        <a:xfrm>
          <a:off x="6419850" y="18383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11207</xdr:colOff>
      <xdr:row>111</xdr:row>
      <xdr:rowOff>134472</xdr:rowOff>
    </xdr:from>
    <xdr:to>
      <xdr:col>39</xdr:col>
      <xdr:colOff>302559</xdr:colOff>
      <xdr:row>111</xdr:row>
      <xdr:rowOff>134472</xdr:rowOff>
    </xdr:to>
    <xdr:cxnSp macro="">
      <xdr:nvCxnSpPr>
        <xdr:cNvPr id="39" name="直線コネクタ 38"/>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11207</xdr:colOff>
      <xdr:row>76</xdr:row>
      <xdr:rowOff>134472</xdr:rowOff>
    </xdr:from>
    <xdr:to>
      <xdr:col>39</xdr:col>
      <xdr:colOff>302559</xdr:colOff>
      <xdr:row>76</xdr:row>
      <xdr:rowOff>134472</xdr:rowOff>
    </xdr:to>
    <xdr:cxnSp macro="">
      <xdr:nvCxnSpPr>
        <xdr:cNvPr id="40" name="直線コネクタ 39"/>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212912</xdr:colOff>
      <xdr:row>79</xdr:row>
      <xdr:rowOff>134472</xdr:rowOff>
    </xdr:from>
    <xdr:to>
      <xdr:col>40</xdr:col>
      <xdr:colOff>187699</xdr:colOff>
      <xdr:row>79</xdr:row>
      <xdr:rowOff>134472</xdr:rowOff>
    </xdr:to>
    <xdr:cxnSp macro="">
      <xdr:nvCxnSpPr>
        <xdr:cNvPr id="41" name="直線コネクタ 40"/>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33618</xdr:colOff>
      <xdr:row>78</xdr:row>
      <xdr:rowOff>134472</xdr:rowOff>
    </xdr:from>
    <xdr:to>
      <xdr:col>40</xdr:col>
      <xdr:colOff>8405</xdr:colOff>
      <xdr:row>78</xdr:row>
      <xdr:rowOff>134472</xdr:rowOff>
    </xdr:to>
    <xdr:cxnSp macro="">
      <xdr:nvCxnSpPr>
        <xdr:cNvPr id="42" name="直線コネクタ 41"/>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44823</xdr:colOff>
      <xdr:row>29</xdr:row>
      <xdr:rowOff>134470</xdr:rowOff>
    </xdr:from>
    <xdr:to>
      <xdr:col>41</xdr:col>
      <xdr:colOff>257735</xdr:colOff>
      <xdr:row>29</xdr:row>
      <xdr:rowOff>134470</xdr:rowOff>
    </xdr:to>
    <xdr:cxnSp macro="">
      <xdr:nvCxnSpPr>
        <xdr:cNvPr id="43" name="直線コネクタ 42"/>
        <xdr:cNvCxnSpPr/>
      </xdr:nvCxnSpPr>
      <xdr:spPr>
        <a:xfrm>
          <a:off x="6419850" y="18383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78440</xdr:colOff>
      <xdr:row>85</xdr:row>
      <xdr:rowOff>156882</xdr:rowOff>
    </xdr:from>
    <xdr:to>
      <xdr:col>31</xdr:col>
      <xdr:colOff>11206</xdr:colOff>
      <xdr:row>85</xdr:row>
      <xdr:rowOff>156882</xdr:rowOff>
    </xdr:to>
    <xdr:cxnSp macro="">
      <xdr:nvCxnSpPr>
        <xdr:cNvPr id="44" name="直線コネクタ 43"/>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22412</xdr:colOff>
      <xdr:row>81</xdr:row>
      <xdr:rowOff>123264</xdr:rowOff>
    </xdr:from>
    <xdr:to>
      <xdr:col>42</xdr:col>
      <xdr:colOff>0</xdr:colOff>
      <xdr:row>81</xdr:row>
      <xdr:rowOff>123264</xdr:rowOff>
    </xdr:to>
    <xdr:cxnSp macro="">
      <xdr:nvCxnSpPr>
        <xdr:cNvPr id="45" name="直線コネクタ 44"/>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80</xdr:row>
      <xdr:rowOff>108857</xdr:rowOff>
    </xdr:from>
    <xdr:to>
      <xdr:col>40</xdr:col>
      <xdr:colOff>95250</xdr:colOff>
      <xdr:row>80</xdr:row>
      <xdr:rowOff>108857</xdr:rowOff>
    </xdr:to>
    <xdr:cxnSp macro="">
      <xdr:nvCxnSpPr>
        <xdr:cNvPr id="46" name="直線コネクタ 45"/>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263</xdr:row>
      <xdr:rowOff>136071</xdr:rowOff>
    </xdr:from>
    <xdr:to>
      <xdr:col>40</xdr:col>
      <xdr:colOff>257735</xdr:colOff>
      <xdr:row>263</xdr:row>
      <xdr:rowOff>136071</xdr:rowOff>
    </xdr:to>
    <xdr:cxnSp macro="">
      <xdr:nvCxnSpPr>
        <xdr:cNvPr id="47" name="直線コネクタ 46"/>
        <xdr:cNvCxnSpPr/>
      </xdr:nvCxnSpPr>
      <xdr:spPr>
        <a:xfrm>
          <a:off x="6419850" y="5689146"/>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212911</xdr:colOff>
      <xdr:row>89</xdr:row>
      <xdr:rowOff>123265</xdr:rowOff>
    </xdr:from>
    <xdr:to>
      <xdr:col>43</xdr:col>
      <xdr:colOff>156881</xdr:colOff>
      <xdr:row>89</xdr:row>
      <xdr:rowOff>123265</xdr:rowOff>
    </xdr:to>
    <xdr:cxnSp macro="">
      <xdr:nvCxnSpPr>
        <xdr:cNvPr id="48" name="直線コネクタ 47"/>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44823</xdr:colOff>
      <xdr:row>82</xdr:row>
      <xdr:rowOff>145677</xdr:rowOff>
    </xdr:from>
    <xdr:to>
      <xdr:col>41</xdr:col>
      <xdr:colOff>268940</xdr:colOff>
      <xdr:row>82</xdr:row>
      <xdr:rowOff>145677</xdr:rowOff>
    </xdr:to>
    <xdr:cxnSp macro="">
      <xdr:nvCxnSpPr>
        <xdr:cNvPr id="49" name="直線コネクタ 48"/>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33617</xdr:colOff>
      <xdr:row>83</xdr:row>
      <xdr:rowOff>134470</xdr:rowOff>
    </xdr:from>
    <xdr:to>
      <xdr:col>41</xdr:col>
      <xdr:colOff>257734</xdr:colOff>
      <xdr:row>83</xdr:row>
      <xdr:rowOff>134470</xdr:rowOff>
    </xdr:to>
    <xdr:cxnSp macro="">
      <xdr:nvCxnSpPr>
        <xdr:cNvPr id="50" name="直線コネクタ 49"/>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156882</xdr:colOff>
      <xdr:row>84</xdr:row>
      <xdr:rowOff>134471</xdr:rowOff>
    </xdr:from>
    <xdr:to>
      <xdr:col>42</xdr:col>
      <xdr:colOff>100852</xdr:colOff>
      <xdr:row>84</xdr:row>
      <xdr:rowOff>134471</xdr:rowOff>
    </xdr:to>
    <xdr:cxnSp macro="">
      <xdr:nvCxnSpPr>
        <xdr:cNvPr id="51" name="直線コネクタ 50"/>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201706</xdr:colOff>
      <xdr:row>88</xdr:row>
      <xdr:rowOff>134471</xdr:rowOff>
    </xdr:from>
    <xdr:to>
      <xdr:col>43</xdr:col>
      <xdr:colOff>145676</xdr:colOff>
      <xdr:row>88</xdr:row>
      <xdr:rowOff>134471</xdr:rowOff>
    </xdr:to>
    <xdr:cxnSp macro="">
      <xdr:nvCxnSpPr>
        <xdr:cNvPr id="52" name="直線コネクタ 51"/>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27215</xdr:colOff>
      <xdr:row>96</xdr:row>
      <xdr:rowOff>149678</xdr:rowOff>
    </xdr:from>
    <xdr:to>
      <xdr:col>41</xdr:col>
      <xdr:colOff>251332</xdr:colOff>
      <xdr:row>96</xdr:row>
      <xdr:rowOff>149678</xdr:rowOff>
    </xdr:to>
    <xdr:cxnSp macro="">
      <xdr:nvCxnSpPr>
        <xdr:cNvPr id="53" name="直線コネクタ 52"/>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40822</xdr:colOff>
      <xdr:row>146</xdr:row>
      <xdr:rowOff>122464</xdr:rowOff>
    </xdr:from>
    <xdr:to>
      <xdr:col>41</xdr:col>
      <xdr:colOff>256936</xdr:colOff>
      <xdr:row>146</xdr:row>
      <xdr:rowOff>122464</xdr:rowOff>
    </xdr:to>
    <xdr:cxnSp macro="">
      <xdr:nvCxnSpPr>
        <xdr:cNvPr id="54" name="直線コネクタ 53"/>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231320</xdr:colOff>
      <xdr:row>92</xdr:row>
      <xdr:rowOff>108857</xdr:rowOff>
    </xdr:from>
    <xdr:to>
      <xdr:col>42</xdr:col>
      <xdr:colOff>0</xdr:colOff>
      <xdr:row>92</xdr:row>
      <xdr:rowOff>108857</xdr:rowOff>
    </xdr:to>
    <xdr:cxnSp macro="">
      <xdr:nvCxnSpPr>
        <xdr:cNvPr id="55" name="直線コネクタ 54"/>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27215</xdr:colOff>
      <xdr:row>93</xdr:row>
      <xdr:rowOff>136072</xdr:rowOff>
    </xdr:from>
    <xdr:to>
      <xdr:col>45</xdr:col>
      <xdr:colOff>244928</xdr:colOff>
      <xdr:row>93</xdr:row>
      <xdr:rowOff>136072</xdr:rowOff>
    </xdr:to>
    <xdr:cxnSp macro="">
      <xdr:nvCxnSpPr>
        <xdr:cNvPr id="56" name="直線コネクタ 5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40822</xdr:colOff>
      <xdr:row>30</xdr:row>
      <xdr:rowOff>136072</xdr:rowOff>
    </xdr:from>
    <xdr:to>
      <xdr:col>45</xdr:col>
      <xdr:colOff>246530</xdr:colOff>
      <xdr:row>30</xdr:row>
      <xdr:rowOff>136072</xdr:rowOff>
    </xdr:to>
    <xdr:cxnSp macro="">
      <xdr:nvCxnSpPr>
        <xdr:cNvPr id="57" name="直線コネクタ 56"/>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13608</xdr:colOff>
      <xdr:row>91</xdr:row>
      <xdr:rowOff>136072</xdr:rowOff>
    </xdr:from>
    <xdr:to>
      <xdr:col>45</xdr:col>
      <xdr:colOff>156883</xdr:colOff>
      <xdr:row>91</xdr:row>
      <xdr:rowOff>136072</xdr:rowOff>
    </xdr:to>
    <xdr:cxnSp macro="">
      <xdr:nvCxnSpPr>
        <xdr:cNvPr id="58" name="直線コネクタ 5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136072</xdr:colOff>
      <xdr:row>90</xdr:row>
      <xdr:rowOff>136072</xdr:rowOff>
    </xdr:from>
    <xdr:to>
      <xdr:col>43</xdr:col>
      <xdr:colOff>80042</xdr:colOff>
      <xdr:row>90</xdr:row>
      <xdr:rowOff>136072</xdr:rowOff>
    </xdr:to>
    <xdr:cxnSp macro="">
      <xdr:nvCxnSpPr>
        <xdr:cNvPr id="59" name="直線コネクタ 5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151281</xdr:colOff>
      <xdr:row>96</xdr:row>
      <xdr:rowOff>148078</xdr:rowOff>
    </xdr:from>
    <xdr:to>
      <xdr:col>47</xdr:col>
      <xdr:colOff>264138</xdr:colOff>
      <xdr:row>96</xdr:row>
      <xdr:rowOff>148078</xdr:rowOff>
    </xdr:to>
    <xdr:cxnSp macro="">
      <xdr:nvCxnSpPr>
        <xdr:cNvPr id="60" name="直線コネクタ 5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263</xdr:row>
      <xdr:rowOff>134471</xdr:rowOff>
    </xdr:from>
    <xdr:to>
      <xdr:col>47</xdr:col>
      <xdr:colOff>227318</xdr:colOff>
      <xdr:row>263</xdr:row>
      <xdr:rowOff>134471</xdr:rowOff>
    </xdr:to>
    <xdr:cxnSp macro="">
      <xdr:nvCxnSpPr>
        <xdr:cNvPr id="61" name="直線コネクタ 60"/>
        <xdr:cNvCxnSpPr/>
      </xdr:nvCxnSpPr>
      <xdr:spPr>
        <a:xfrm>
          <a:off x="6419850" y="5687546"/>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11206</xdr:colOff>
      <xdr:row>111</xdr:row>
      <xdr:rowOff>134471</xdr:rowOff>
    </xdr:from>
    <xdr:to>
      <xdr:col>53</xdr:col>
      <xdr:colOff>227319</xdr:colOff>
      <xdr:row>111</xdr:row>
      <xdr:rowOff>134471</xdr:rowOff>
    </xdr:to>
    <xdr:cxnSp macro="">
      <xdr:nvCxnSpPr>
        <xdr:cNvPr id="62" name="直線コネクタ 6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32</xdr:row>
      <xdr:rowOff>123265</xdr:rowOff>
    </xdr:from>
    <xdr:to>
      <xdr:col>49</xdr:col>
      <xdr:colOff>176893</xdr:colOff>
      <xdr:row>32</xdr:row>
      <xdr:rowOff>123265</xdr:rowOff>
    </xdr:to>
    <xdr:cxnSp macro="">
      <xdr:nvCxnSpPr>
        <xdr:cNvPr id="63" name="直線コネクタ 62"/>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14</xdr:row>
      <xdr:rowOff>153681</xdr:rowOff>
    </xdr:from>
    <xdr:to>
      <xdr:col>95</xdr:col>
      <xdr:colOff>95250</xdr:colOff>
      <xdr:row>14</xdr:row>
      <xdr:rowOff>153681</xdr:rowOff>
    </xdr:to>
    <xdr:cxnSp macro="">
      <xdr:nvCxnSpPr>
        <xdr:cNvPr id="64" name="直線コネクタ 63"/>
        <xdr:cNvCxnSpPr/>
      </xdr:nvCxnSpPr>
      <xdr:spPr>
        <a:xfrm>
          <a:off x="6419850" y="1095375"/>
          <a:ext cx="0"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13</xdr:row>
      <xdr:rowOff>140072</xdr:rowOff>
    </xdr:from>
    <xdr:to>
      <xdr:col>81</xdr:col>
      <xdr:colOff>13608</xdr:colOff>
      <xdr:row>13</xdr:row>
      <xdr:rowOff>140072</xdr:rowOff>
    </xdr:to>
    <xdr:cxnSp macro="">
      <xdr:nvCxnSpPr>
        <xdr:cNvPr id="65" name="直線コネクタ 64"/>
        <xdr:cNvCxnSpPr/>
      </xdr:nvCxnSpPr>
      <xdr:spPr>
        <a:xfrm>
          <a:off x="6419850" y="1095375"/>
          <a:ext cx="0"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54429</xdr:colOff>
      <xdr:row>95</xdr:row>
      <xdr:rowOff>136072</xdr:rowOff>
    </xdr:from>
    <xdr:to>
      <xdr:col>46</xdr:col>
      <xdr:colOff>217715</xdr:colOff>
      <xdr:row>95</xdr:row>
      <xdr:rowOff>136072</xdr:rowOff>
    </xdr:to>
    <xdr:cxnSp macro="">
      <xdr:nvCxnSpPr>
        <xdr:cNvPr id="66" name="直線コネクタ 6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92</xdr:col>
      <xdr:colOff>0</xdr:colOff>
      <xdr:row>25</xdr:row>
      <xdr:rowOff>0</xdr:rowOff>
    </xdr:from>
    <xdr:to>
      <xdr:col>110</xdr:col>
      <xdr:colOff>11206</xdr:colOff>
      <xdr:row>25</xdr:row>
      <xdr:rowOff>0</xdr:rowOff>
    </xdr:to>
    <xdr:cxnSp macro="">
      <xdr:nvCxnSpPr>
        <xdr:cNvPr id="67" name="直線コネクタ 66"/>
        <xdr:cNvCxnSpPr/>
      </xdr:nvCxnSpPr>
      <xdr:spPr>
        <a:xfrm>
          <a:off x="6419850" y="1838325"/>
          <a:ext cx="0"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14568</xdr:colOff>
      <xdr:row>94</xdr:row>
      <xdr:rowOff>130548</xdr:rowOff>
    </xdr:from>
    <xdr:to>
      <xdr:col>45</xdr:col>
      <xdr:colOff>269901</xdr:colOff>
      <xdr:row>94</xdr:row>
      <xdr:rowOff>130548</xdr:rowOff>
    </xdr:to>
    <xdr:cxnSp macro="">
      <xdr:nvCxnSpPr>
        <xdr:cNvPr id="68" name="直線コネクタ 6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14</xdr:row>
      <xdr:rowOff>212912</xdr:rowOff>
    </xdr:from>
    <xdr:to>
      <xdr:col>48</xdr:col>
      <xdr:colOff>0</xdr:colOff>
      <xdr:row>14</xdr:row>
      <xdr:rowOff>212912</xdr:rowOff>
    </xdr:to>
    <xdr:cxnSp macro="">
      <xdr:nvCxnSpPr>
        <xdr:cNvPr id="69" name="直線コネクタ 68"/>
        <xdr:cNvCxnSpPr/>
      </xdr:nvCxnSpPr>
      <xdr:spPr>
        <a:xfrm>
          <a:off x="6419850" y="109537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38100</xdr:colOff>
      <xdr:row>14</xdr:row>
      <xdr:rowOff>114300</xdr:rowOff>
    </xdr:from>
    <xdr:to>
      <xdr:col>54</xdr:col>
      <xdr:colOff>123825</xdr:colOff>
      <xdr:row>14</xdr:row>
      <xdr:rowOff>200025</xdr:rowOff>
    </xdr:to>
    <xdr:sp macro="" textlink="">
      <xdr:nvSpPr>
        <xdr:cNvPr id="70" name="楕円 5"/>
        <xdr:cNvSpPr>
          <a:spLocks noChangeArrowheads="1"/>
        </xdr:cNvSpPr>
      </xdr:nvSpPr>
      <xdr:spPr bwMode="auto">
        <a:xfrm>
          <a:off x="6419850" y="1095375"/>
          <a:ext cx="0" cy="0"/>
        </a:xfrm>
        <a:prstGeom prst="ellipse">
          <a:avLst/>
        </a:prstGeom>
        <a:solidFill>
          <a:srgbClr val="090000"/>
        </a:solidFill>
        <a:ln w="9525" algn="ctr">
          <a:solidFill>
            <a:srgbClr val="400000"/>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18</xdr:col>
      <xdr:colOff>0</xdr:colOff>
      <xdr:row>36</xdr:row>
      <xdr:rowOff>136072</xdr:rowOff>
    </xdr:from>
    <xdr:to>
      <xdr:col>58</xdr:col>
      <xdr:colOff>81643</xdr:colOff>
      <xdr:row>36</xdr:row>
      <xdr:rowOff>136072</xdr:rowOff>
    </xdr:to>
    <xdr:cxnSp macro="">
      <xdr:nvCxnSpPr>
        <xdr:cNvPr id="71" name="直線コネクタ 70"/>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35</xdr:row>
      <xdr:rowOff>136071</xdr:rowOff>
    </xdr:from>
    <xdr:to>
      <xdr:col>51</xdr:col>
      <xdr:colOff>54428</xdr:colOff>
      <xdr:row>35</xdr:row>
      <xdr:rowOff>136071</xdr:rowOff>
    </xdr:to>
    <xdr:cxnSp macro="">
      <xdr:nvCxnSpPr>
        <xdr:cNvPr id="72" name="直線コネクタ 71"/>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32</xdr:row>
      <xdr:rowOff>212912</xdr:rowOff>
    </xdr:from>
    <xdr:to>
      <xdr:col>48</xdr:col>
      <xdr:colOff>0</xdr:colOff>
      <xdr:row>32</xdr:row>
      <xdr:rowOff>212912</xdr:rowOff>
    </xdr:to>
    <xdr:cxnSp macro="">
      <xdr:nvCxnSpPr>
        <xdr:cNvPr id="73" name="直線コネクタ 72"/>
        <xdr:cNvCxnSpPr/>
      </xdr:nvCxnSpPr>
      <xdr:spPr>
        <a:xfrm>
          <a:off x="6419850" y="183832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33</xdr:row>
      <xdr:rowOff>148078</xdr:rowOff>
    </xdr:from>
    <xdr:to>
      <xdr:col>49</xdr:col>
      <xdr:colOff>176893</xdr:colOff>
      <xdr:row>33</xdr:row>
      <xdr:rowOff>148078</xdr:rowOff>
    </xdr:to>
    <xdr:cxnSp macro="">
      <xdr:nvCxnSpPr>
        <xdr:cNvPr id="74" name="直線コネクタ 73"/>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31</xdr:row>
      <xdr:rowOff>212912</xdr:rowOff>
    </xdr:from>
    <xdr:to>
      <xdr:col>48</xdr:col>
      <xdr:colOff>0</xdr:colOff>
      <xdr:row>31</xdr:row>
      <xdr:rowOff>212912</xdr:rowOff>
    </xdr:to>
    <xdr:cxnSp macro="">
      <xdr:nvCxnSpPr>
        <xdr:cNvPr id="75" name="直線コネクタ 74"/>
        <xdr:cNvCxnSpPr/>
      </xdr:nvCxnSpPr>
      <xdr:spPr>
        <a:xfrm>
          <a:off x="6419850" y="183832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34</xdr:row>
      <xdr:rowOff>122464</xdr:rowOff>
    </xdr:from>
    <xdr:to>
      <xdr:col>50</xdr:col>
      <xdr:colOff>123264</xdr:colOff>
      <xdr:row>34</xdr:row>
      <xdr:rowOff>122464</xdr:rowOff>
    </xdr:to>
    <xdr:cxnSp macro="">
      <xdr:nvCxnSpPr>
        <xdr:cNvPr id="76" name="直線コネクタ 75"/>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113</xdr:row>
      <xdr:rowOff>136069</xdr:rowOff>
    </xdr:from>
    <xdr:to>
      <xdr:col>51</xdr:col>
      <xdr:colOff>68036</xdr:colOff>
      <xdr:row>113</xdr:row>
      <xdr:rowOff>136069</xdr:rowOff>
    </xdr:to>
    <xdr:cxnSp macro="">
      <xdr:nvCxnSpPr>
        <xdr:cNvPr id="77" name="直線コネクタ 7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0</xdr:colOff>
      <xdr:row>106</xdr:row>
      <xdr:rowOff>136071</xdr:rowOff>
    </xdr:from>
    <xdr:to>
      <xdr:col>48</xdr:col>
      <xdr:colOff>258536</xdr:colOff>
      <xdr:row>106</xdr:row>
      <xdr:rowOff>136071</xdr:rowOff>
    </xdr:to>
    <xdr:cxnSp macro="">
      <xdr:nvCxnSpPr>
        <xdr:cNvPr id="78" name="直線コネクタ 7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0</xdr:colOff>
      <xdr:row>105</xdr:row>
      <xdr:rowOff>136071</xdr:rowOff>
    </xdr:from>
    <xdr:to>
      <xdr:col>48</xdr:col>
      <xdr:colOff>272143</xdr:colOff>
      <xdr:row>105</xdr:row>
      <xdr:rowOff>136071</xdr:rowOff>
    </xdr:to>
    <xdr:cxnSp macro="">
      <xdr:nvCxnSpPr>
        <xdr:cNvPr id="79" name="直線コネクタ 7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116</xdr:row>
      <xdr:rowOff>136071</xdr:rowOff>
    </xdr:from>
    <xdr:to>
      <xdr:col>45</xdr:col>
      <xdr:colOff>262535</xdr:colOff>
      <xdr:row>116</xdr:row>
      <xdr:rowOff>136071</xdr:rowOff>
    </xdr:to>
    <xdr:cxnSp macro="">
      <xdr:nvCxnSpPr>
        <xdr:cNvPr id="80" name="直線コネクタ 7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27214</xdr:colOff>
      <xdr:row>116</xdr:row>
      <xdr:rowOff>136071</xdr:rowOff>
    </xdr:from>
    <xdr:to>
      <xdr:col>54</xdr:col>
      <xdr:colOff>0</xdr:colOff>
      <xdr:row>116</xdr:row>
      <xdr:rowOff>136071</xdr:rowOff>
    </xdr:to>
    <xdr:cxnSp macro="">
      <xdr:nvCxnSpPr>
        <xdr:cNvPr id="81" name="直線コネクタ 8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13608</xdr:colOff>
      <xdr:row>122</xdr:row>
      <xdr:rowOff>136071</xdr:rowOff>
    </xdr:from>
    <xdr:to>
      <xdr:col>56</xdr:col>
      <xdr:colOff>299357</xdr:colOff>
      <xdr:row>122</xdr:row>
      <xdr:rowOff>136071</xdr:rowOff>
    </xdr:to>
    <xdr:cxnSp macro="">
      <xdr:nvCxnSpPr>
        <xdr:cNvPr id="82" name="直線コネクタ 8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0</xdr:colOff>
      <xdr:row>127</xdr:row>
      <xdr:rowOff>149678</xdr:rowOff>
    </xdr:from>
    <xdr:to>
      <xdr:col>58</xdr:col>
      <xdr:colOff>299358</xdr:colOff>
      <xdr:row>127</xdr:row>
      <xdr:rowOff>149678</xdr:rowOff>
    </xdr:to>
    <xdr:cxnSp macro="">
      <xdr:nvCxnSpPr>
        <xdr:cNvPr id="83" name="直線コネクタ 8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0</xdr:colOff>
      <xdr:row>109</xdr:row>
      <xdr:rowOff>136071</xdr:rowOff>
    </xdr:from>
    <xdr:to>
      <xdr:col>49</xdr:col>
      <xdr:colOff>272143</xdr:colOff>
      <xdr:row>109</xdr:row>
      <xdr:rowOff>136071</xdr:rowOff>
    </xdr:to>
    <xdr:cxnSp macro="">
      <xdr:nvCxnSpPr>
        <xdr:cNvPr id="84" name="直線コネクタ 8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108</xdr:row>
      <xdr:rowOff>136072</xdr:rowOff>
    </xdr:from>
    <xdr:to>
      <xdr:col>49</xdr:col>
      <xdr:colOff>163286</xdr:colOff>
      <xdr:row>108</xdr:row>
      <xdr:rowOff>136072</xdr:rowOff>
    </xdr:to>
    <xdr:cxnSp macro="">
      <xdr:nvCxnSpPr>
        <xdr:cNvPr id="85" name="直線コネクタ 8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27215</xdr:colOff>
      <xdr:row>125</xdr:row>
      <xdr:rowOff>149678</xdr:rowOff>
    </xdr:from>
    <xdr:to>
      <xdr:col>52</xdr:col>
      <xdr:colOff>273744</xdr:colOff>
      <xdr:row>125</xdr:row>
      <xdr:rowOff>149678</xdr:rowOff>
    </xdr:to>
    <xdr:cxnSp macro="">
      <xdr:nvCxnSpPr>
        <xdr:cNvPr id="86" name="直線コネクタ 8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27215</xdr:colOff>
      <xdr:row>115</xdr:row>
      <xdr:rowOff>136072</xdr:rowOff>
    </xdr:from>
    <xdr:to>
      <xdr:col>53</xdr:col>
      <xdr:colOff>54430</xdr:colOff>
      <xdr:row>115</xdr:row>
      <xdr:rowOff>136072</xdr:rowOff>
    </xdr:to>
    <xdr:cxnSp macro="">
      <xdr:nvCxnSpPr>
        <xdr:cNvPr id="87" name="直線コネクタ 8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49627</xdr:colOff>
      <xdr:row>107</xdr:row>
      <xdr:rowOff>136071</xdr:rowOff>
    </xdr:from>
    <xdr:to>
      <xdr:col>49</xdr:col>
      <xdr:colOff>89647</xdr:colOff>
      <xdr:row>107</xdr:row>
      <xdr:rowOff>136071</xdr:rowOff>
    </xdr:to>
    <xdr:cxnSp macro="">
      <xdr:nvCxnSpPr>
        <xdr:cNvPr id="88" name="直線コネクタ 8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27214</xdr:colOff>
      <xdr:row>110</xdr:row>
      <xdr:rowOff>122465</xdr:rowOff>
    </xdr:from>
    <xdr:to>
      <xdr:col>49</xdr:col>
      <xdr:colOff>280147</xdr:colOff>
      <xdr:row>110</xdr:row>
      <xdr:rowOff>122465</xdr:rowOff>
    </xdr:to>
    <xdr:cxnSp macro="">
      <xdr:nvCxnSpPr>
        <xdr:cNvPr id="89" name="直線コネクタ 8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40821</xdr:colOff>
      <xdr:row>117</xdr:row>
      <xdr:rowOff>136071</xdr:rowOff>
    </xdr:from>
    <xdr:to>
      <xdr:col>55</xdr:col>
      <xdr:colOff>285750</xdr:colOff>
      <xdr:row>117</xdr:row>
      <xdr:rowOff>136071</xdr:rowOff>
    </xdr:to>
    <xdr:cxnSp macro="">
      <xdr:nvCxnSpPr>
        <xdr:cNvPr id="90" name="直線コネクタ 8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121</xdr:row>
      <xdr:rowOff>136071</xdr:rowOff>
    </xdr:from>
    <xdr:to>
      <xdr:col>45</xdr:col>
      <xdr:colOff>262535</xdr:colOff>
      <xdr:row>121</xdr:row>
      <xdr:rowOff>136071</xdr:rowOff>
    </xdr:to>
    <xdr:cxnSp macro="">
      <xdr:nvCxnSpPr>
        <xdr:cNvPr id="91" name="直線コネクタ 9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40822</xdr:colOff>
      <xdr:row>121</xdr:row>
      <xdr:rowOff>136071</xdr:rowOff>
    </xdr:from>
    <xdr:to>
      <xdr:col>56</xdr:col>
      <xdr:colOff>285750</xdr:colOff>
      <xdr:row>121</xdr:row>
      <xdr:rowOff>136071</xdr:rowOff>
    </xdr:to>
    <xdr:cxnSp macro="">
      <xdr:nvCxnSpPr>
        <xdr:cNvPr id="92" name="直線コネクタ 9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136070</xdr:colOff>
      <xdr:row>119</xdr:row>
      <xdr:rowOff>136071</xdr:rowOff>
    </xdr:from>
    <xdr:to>
      <xdr:col>52</xdr:col>
      <xdr:colOff>95250</xdr:colOff>
      <xdr:row>119</xdr:row>
      <xdr:rowOff>136071</xdr:rowOff>
    </xdr:to>
    <xdr:cxnSp macro="">
      <xdr:nvCxnSpPr>
        <xdr:cNvPr id="93" name="直線コネクタ 9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95250</xdr:colOff>
      <xdr:row>119</xdr:row>
      <xdr:rowOff>136073</xdr:rowOff>
    </xdr:from>
    <xdr:to>
      <xdr:col>56</xdr:col>
      <xdr:colOff>217715</xdr:colOff>
      <xdr:row>119</xdr:row>
      <xdr:rowOff>136073</xdr:rowOff>
    </xdr:to>
    <xdr:cxnSp macro="">
      <xdr:nvCxnSpPr>
        <xdr:cNvPr id="94" name="直線コネクタ 9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38</xdr:row>
      <xdr:rowOff>136070</xdr:rowOff>
    </xdr:from>
    <xdr:to>
      <xdr:col>66</xdr:col>
      <xdr:colOff>40821</xdr:colOff>
      <xdr:row>38</xdr:row>
      <xdr:rowOff>136070</xdr:rowOff>
    </xdr:to>
    <xdr:cxnSp macro="">
      <xdr:nvCxnSpPr>
        <xdr:cNvPr id="95" name="直線コネクタ 94"/>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27214</xdr:colOff>
      <xdr:row>114</xdr:row>
      <xdr:rowOff>136071</xdr:rowOff>
    </xdr:from>
    <xdr:to>
      <xdr:col>51</xdr:col>
      <xdr:colOff>190500</xdr:colOff>
      <xdr:row>114</xdr:row>
      <xdr:rowOff>136071</xdr:rowOff>
    </xdr:to>
    <xdr:cxnSp macro="">
      <xdr:nvCxnSpPr>
        <xdr:cNvPr id="96" name="直線コネクタ 9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2983</xdr:colOff>
      <xdr:row>2</xdr:row>
      <xdr:rowOff>46148</xdr:rowOff>
    </xdr:from>
    <xdr:to>
      <xdr:col>124</xdr:col>
      <xdr:colOff>2983</xdr:colOff>
      <xdr:row>268</xdr:row>
      <xdr:rowOff>0</xdr:rowOff>
    </xdr:to>
    <xdr:cxnSp macro="">
      <xdr:nvCxnSpPr>
        <xdr:cNvPr id="97" name="直線コネクタ 96"/>
        <xdr:cNvCxnSpPr/>
      </xdr:nvCxnSpPr>
      <xdr:spPr bwMode="auto">
        <a:xfrm>
          <a:off x="7908733" y="398573"/>
          <a:ext cx="0" cy="7692606"/>
        </a:xfrm>
        <a:prstGeom prst="line">
          <a:avLst/>
        </a:prstGeom>
        <a:solidFill>
          <a:srgbClr val="090000"/>
        </a:solidFill>
        <a:ln w="38100" cap="flat" cmpd="sng" algn="ctr">
          <a:solidFill>
            <a:srgbClr val="0070C0"/>
          </a:solidFill>
          <a:prstDash val="sysDash"/>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50</xdr:col>
      <xdr:colOff>217714</xdr:colOff>
      <xdr:row>38</xdr:row>
      <xdr:rowOff>149679</xdr:rowOff>
    </xdr:from>
    <xdr:to>
      <xdr:col>51</xdr:col>
      <xdr:colOff>176893</xdr:colOff>
      <xdr:row>38</xdr:row>
      <xdr:rowOff>149679</xdr:rowOff>
    </xdr:to>
    <xdr:cxnSp macro="">
      <xdr:nvCxnSpPr>
        <xdr:cNvPr id="98" name="直線コネクタ 97"/>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118</xdr:row>
      <xdr:rowOff>136071</xdr:rowOff>
    </xdr:from>
    <xdr:to>
      <xdr:col>45</xdr:col>
      <xdr:colOff>262535</xdr:colOff>
      <xdr:row>118</xdr:row>
      <xdr:rowOff>136071</xdr:rowOff>
    </xdr:to>
    <xdr:cxnSp macro="">
      <xdr:nvCxnSpPr>
        <xdr:cNvPr id="99" name="直線コネクタ 9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52</xdr:col>
      <xdr:colOff>27214</xdr:colOff>
      <xdr:row>118</xdr:row>
      <xdr:rowOff>136071</xdr:rowOff>
    </xdr:from>
    <xdr:to>
      <xdr:col>55</xdr:col>
      <xdr:colOff>299357</xdr:colOff>
      <xdr:row>118</xdr:row>
      <xdr:rowOff>136071</xdr:rowOff>
    </xdr:to>
    <xdr:cxnSp macro="">
      <xdr:nvCxnSpPr>
        <xdr:cNvPr id="100" name="直線コネクタ 9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0</xdr:colOff>
      <xdr:row>37</xdr:row>
      <xdr:rowOff>149678</xdr:rowOff>
    </xdr:from>
    <xdr:to>
      <xdr:col>66</xdr:col>
      <xdr:colOff>54429</xdr:colOff>
      <xdr:row>37</xdr:row>
      <xdr:rowOff>149678</xdr:rowOff>
    </xdr:to>
    <xdr:cxnSp macro="">
      <xdr:nvCxnSpPr>
        <xdr:cNvPr id="101" name="直線コネクタ 100"/>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15</xdr:row>
      <xdr:rowOff>208107</xdr:rowOff>
    </xdr:from>
    <xdr:to>
      <xdr:col>112</xdr:col>
      <xdr:colOff>285750</xdr:colOff>
      <xdr:row>15</xdr:row>
      <xdr:rowOff>208107</xdr:rowOff>
    </xdr:to>
    <xdr:cxnSp macro="">
      <xdr:nvCxnSpPr>
        <xdr:cNvPr id="102" name="直線コネクタ 101"/>
        <xdr:cNvCxnSpPr/>
      </xdr:nvCxnSpPr>
      <xdr:spPr>
        <a:xfrm>
          <a:off x="6419850" y="1095375"/>
          <a:ext cx="0"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15</xdr:row>
      <xdr:rowOff>231321</xdr:rowOff>
    </xdr:from>
    <xdr:to>
      <xdr:col>75</xdr:col>
      <xdr:colOff>258536</xdr:colOff>
      <xdr:row>15</xdr:row>
      <xdr:rowOff>231321</xdr:rowOff>
    </xdr:to>
    <xdr:cxnSp macro="">
      <xdr:nvCxnSpPr>
        <xdr:cNvPr id="103" name="直線コネクタ 102"/>
        <xdr:cNvCxnSpPr/>
      </xdr:nvCxnSpPr>
      <xdr:spPr>
        <a:xfrm>
          <a:off x="6419850" y="109537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136070</xdr:colOff>
      <xdr:row>128</xdr:row>
      <xdr:rowOff>136071</xdr:rowOff>
    </xdr:from>
    <xdr:to>
      <xdr:col>59</xdr:col>
      <xdr:colOff>0</xdr:colOff>
      <xdr:row>128</xdr:row>
      <xdr:rowOff>136071</xdr:rowOff>
    </xdr:to>
    <xdr:cxnSp macro="">
      <xdr:nvCxnSpPr>
        <xdr:cNvPr id="104" name="直線コネクタ 10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95250</xdr:colOff>
      <xdr:row>120</xdr:row>
      <xdr:rowOff>136071</xdr:rowOff>
    </xdr:from>
    <xdr:to>
      <xdr:col>56</xdr:col>
      <xdr:colOff>217715</xdr:colOff>
      <xdr:row>120</xdr:row>
      <xdr:rowOff>136071</xdr:rowOff>
    </xdr:to>
    <xdr:cxnSp macro="">
      <xdr:nvCxnSpPr>
        <xdr:cNvPr id="105" name="直線コネクタ 10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55</xdr:col>
      <xdr:colOff>136071</xdr:colOff>
      <xdr:row>123</xdr:row>
      <xdr:rowOff>136071</xdr:rowOff>
    </xdr:from>
    <xdr:to>
      <xdr:col>57</xdr:col>
      <xdr:colOff>190500</xdr:colOff>
      <xdr:row>123</xdr:row>
      <xdr:rowOff>136071</xdr:rowOff>
    </xdr:to>
    <xdr:cxnSp macro="">
      <xdr:nvCxnSpPr>
        <xdr:cNvPr id="106" name="直線コネクタ 10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176893</xdr:colOff>
      <xdr:row>124</xdr:row>
      <xdr:rowOff>136072</xdr:rowOff>
    </xdr:from>
    <xdr:to>
      <xdr:col>58</xdr:col>
      <xdr:colOff>81643</xdr:colOff>
      <xdr:row>124</xdr:row>
      <xdr:rowOff>136072</xdr:rowOff>
    </xdr:to>
    <xdr:cxnSp macro="">
      <xdr:nvCxnSpPr>
        <xdr:cNvPr id="107" name="直線コネクタ 10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136071</xdr:colOff>
      <xdr:row>125</xdr:row>
      <xdr:rowOff>136071</xdr:rowOff>
    </xdr:from>
    <xdr:to>
      <xdr:col>58</xdr:col>
      <xdr:colOff>68036</xdr:colOff>
      <xdr:row>125</xdr:row>
      <xdr:rowOff>136071</xdr:rowOff>
    </xdr:to>
    <xdr:cxnSp macro="">
      <xdr:nvCxnSpPr>
        <xdr:cNvPr id="108" name="直線コネクタ 10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280148</xdr:colOff>
      <xdr:row>39</xdr:row>
      <xdr:rowOff>127267</xdr:rowOff>
    </xdr:from>
    <xdr:to>
      <xdr:col>73</xdr:col>
      <xdr:colOff>285750</xdr:colOff>
      <xdr:row>39</xdr:row>
      <xdr:rowOff>127267</xdr:rowOff>
    </xdr:to>
    <xdr:cxnSp macro="">
      <xdr:nvCxnSpPr>
        <xdr:cNvPr id="109" name="直線コネクタ 108"/>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56</xdr:col>
      <xdr:colOff>108857</xdr:colOff>
      <xdr:row>126</xdr:row>
      <xdr:rowOff>122465</xdr:rowOff>
    </xdr:from>
    <xdr:to>
      <xdr:col>58</xdr:col>
      <xdr:colOff>40822</xdr:colOff>
      <xdr:row>126</xdr:row>
      <xdr:rowOff>122465</xdr:rowOff>
    </xdr:to>
    <xdr:cxnSp macro="">
      <xdr:nvCxnSpPr>
        <xdr:cNvPr id="110" name="直線コネクタ 10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132</xdr:row>
      <xdr:rowOff>136072</xdr:rowOff>
    </xdr:from>
    <xdr:to>
      <xdr:col>61</xdr:col>
      <xdr:colOff>0</xdr:colOff>
      <xdr:row>132</xdr:row>
      <xdr:rowOff>136072</xdr:rowOff>
    </xdr:to>
    <xdr:cxnSp macro="">
      <xdr:nvCxnSpPr>
        <xdr:cNvPr id="111" name="直線コネクタ 11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129</xdr:row>
      <xdr:rowOff>136071</xdr:rowOff>
    </xdr:from>
    <xdr:to>
      <xdr:col>59</xdr:col>
      <xdr:colOff>299358</xdr:colOff>
      <xdr:row>129</xdr:row>
      <xdr:rowOff>136071</xdr:rowOff>
    </xdr:to>
    <xdr:cxnSp macro="">
      <xdr:nvCxnSpPr>
        <xdr:cNvPr id="112" name="直線コネクタ 11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133</xdr:row>
      <xdr:rowOff>136070</xdr:rowOff>
    </xdr:from>
    <xdr:to>
      <xdr:col>62</xdr:col>
      <xdr:colOff>0</xdr:colOff>
      <xdr:row>133</xdr:row>
      <xdr:rowOff>136070</xdr:rowOff>
    </xdr:to>
    <xdr:cxnSp macro="">
      <xdr:nvCxnSpPr>
        <xdr:cNvPr id="113" name="直線コネクタ 11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131</xdr:row>
      <xdr:rowOff>136071</xdr:rowOff>
    </xdr:from>
    <xdr:to>
      <xdr:col>60</xdr:col>
      <xdr:colOff>285750</xdr:colOff>
      <xdr:row>131</xdr:row>
      <xdr:rowOff>136071</xdr:rowOff>
    </xdr:to>
    <xdr:cxnSp macro="">
      <xdr:nvCxnSpPr>
        <xdr:cNvPr id="114" name="直線コネクタ 11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58</xdr:col>
      <xdr:colOff>27215</xdr:colOff>
      <xdr:row>130</xdr:row>
      <xdr:rowOff>136071</xdr:rowOff>
    </xdr:from>
    <xdr:to>
      <xdr:col>60</xdr:col>
      <xdr:colOff>231321</xdr:colOff>
      <xdr:row>130</xdr:row>
      <xdr:rowOff>136071</xdr:rowOff>
    </xdr:to>
    <xdr:cxnSp macro="">
      <xdr:nvCxnSpPr>
        <xdr:cNvPr id="115" name="直線コネクタ 11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217714</xdr:colOff>
      <xdr:row>44</xdr:row>
      <xdr:rowOff>149679</xdr:rowOff>
    </xdr:from>
    <xdr:to>
      <xdr:col>51</xdr:col>
      <xdr:colOff>176893</xdr:colOff>
      <xdr:row>44</xdr:row>
      <xdr:rowOff>149679</xdr:rowOff>
    </xdr:to>
    <xdr:cxnSp macro="">
      <xdr:nvCxnSpPr>
        <xdr:cNvPr id="116" name="直線コネクタ 115"/>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134</xdr:row>
      <xdr:rowOff>134471</xdr:rowOff>
    </xdr:from>
    <xdr:to>
      <xdr:col>61</xdr:col>
      <xdr:colOff>299357</xdr:colOff>
      <xdr:row>134</xdr:row>
      <xdr:rowOff>134471</xdr:rowOff>
    </xdr:to>
    <xdr:cxnSp macro="">
      <xdr:nvCxnSpPr>
        <xdr:cNvPr id="117" name="直線コネクタ 11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122465</xdr:colOff>
      <xdr:row>135</xdr:row>
      <xdr:rowOff>136072</xdr:rowOff>
    </xdr:from>
    <xdr:to>
      <xdr:col>62</xdr:col>
      <xdr:colOff>81644</xdr:colOff>
      <xdr:row>135</xdr:row>
      <xdr:rowOff>136072</xdr:rowOff>
    </xdr:to>
    <xdr:cxnSp macro="">
      <xdr:nvCxnSpPr>
        <xdr:cNvPr id="118" name="直線コネクタ 11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163286</xdr:colOff>
      <xdr:row>142</xdr:row>
      <xdr:rowOff>149679</xdr:rowOff>
    </xdr:from>
    <xdr:to>
      <xdr:col>65</xdr:col>
      <xdr:colOff>299358</xdr:colOff>
      <xdr:row>142</xdr:row>
      <xdr:rowOff>149679</xdr:rowOff>
    </xdr:to>
    <xdr:cxnSp macro="">
      <xdr:nvCxnSpPr>
        <xdr:cNvPr id="119" name="直線コネクタ 11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156</xdr:row>
      <xdr:rowOff>136071</xdr:rowOff>
    </xdr:from>
    <xdr:to>
      <xdr:col>45</xdr:col>
      <xdr:colOff>262535</xdr:colOff>
      <xdr:row>156</xdr:row>
      <xdr:rowOff>136071</xdr:rowOff>
    </xdr:to>
    <xdr:cxnSp macro="">
      <xdr:nvCxnSpPr>
        <xdr:cNvPr id="120" name="直線コネクタ 11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156</xdr:row>
      <xdr:rowOff>136071</xdr:rowOff>
    </xdr:from>
    <xdr:to>
      <xdr:col>45</xdr:col>
      <xdr:colOff>262535</xdr:colOff>
      <xdr:row>156</xdr:row>
      <xdr:rowOff>136071</xdr:rowOff>
    </xdr:to>
    <xdr:cxnSp macro="">
      <xdr:nvCxnSpPr>
        <xdr:cNvPr id="121" name="直線コネクタ 12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136</xdr:row>
      <xdr:rowOff>136071</xdr:rowOff>
    </xdr:from>
    <xdr:to>
      <xdr:col>45</xdr:col>
      <xdr:colOff>262535</xdr:colOff>
      <xdr:row>136</xdr:row>
      <xdr:rowOff>136071</xdr:rowOff>
    </xdr:to>
    <xdr:cxnSp macro="">
      <xdr:nvCxnSpPr>
        <xdr:cNvPr id="122" name="直線コネクタ 12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136</xdr:row>
      <xdr:rowOff>136071</xdr:rowOff>
    </xdr:from>
    <xdr:to>
      <xdr:col>45</xdr:col>
      <xdr:colOff>262535</xdr:colOff>
      <xdr:row>136</xdr:row>
      <xdr:rowOff>136071</xdr:rowOff>
    </xdr:to>
    <xdr:cxnSp macro="">
      <xdr:nvCxnSpPr>
        <xdr:cNvPr id="123" name="直線コネクタ 12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154</xdr:row>
      <xdr:rowOff>136071</xdr:rowOff>
    </xdr:from>
    <xdr:to>
      <xdr:col>45</xdr:col>
      <xdr:colOff>262535</xdr:colOff>
      <xdr:row>154</xdr:row>
      <xdr:rowOff>136071</xdr:rowOff>
    </xdr:to>
    <xdr:cxnSp macro="">
      <xdr:nvCxnSpPr>
        <xdr:cNvPr id="124" name="直線コネクタ 12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154</xdr:row>
      <xdr:rowOff>136071</xdr:rowOff>
    </xdr:from>
    <xdr:to>
      <xdr:col>45</xdr:col>
      <xdr:colOff>262535</xdr:colOff>
      <xdr:row>154</xdr:row>
      <xdr:rowOff>136071</xdr:rowOff>
    </xdr:to>
    <xdr:cxnSp macro="">
      <xdr:nvCxnSpPr>
        <xdr:cNvPr id="125" name="直線コネクタ 12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231322</xdr:colOff>
      <xdr:row>136</xdr:row>
      <xdr:rowOff>122464</xdr:rowOff>
    </xdr:from>
    <xdr:to>
      <xdr:col>63</xdr:col>
      <xdr:colOff>190502</xdr:colOff>
      <xdr:row>136</xdr:row>
      <xdr:rowOff>122464</xdr:rowOff>
    </xdr:to>
    <xdr:cxnSp macro="">
      <xdr:nvCxnSpPr>
        <xdr:cNvPr id="126" name="直線コネクタ 12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190500</xdr:colOff>
      <xdr:row>154</xdr:row>
      <xdr:rowOff>136071</xdr:rowOff>
    </xdr:from>
    <xdr:to>
      <xdr:col>62</xdr:col>
      <xdr:colOff>149678</xdr:colOff>
      <xdr:row>154</xdr:row>
      <xdr:rowOff>136071</xdr:rowOff>
    </xdr:to>
    <xdr:cxnSp macro="">
      <xdr:nvCxnSpPr>
        <xdr:cNvPr id="127" name="直線コネクタ 12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231322</xdr:colOff>
      <xdr:row>139</xdr:row>
      <xdr:rowOff>149679</xdr:rowOff>
    </xdr:from>
    <xdr:to>
      <xdr:col>65</xdr:col>
      <xdr:colOff>299358</xdr:colOff>
      <xdr:row>139</xdr:row>
      <xdr:rowOff>149679</xdr:rowOff>
    </xdr:to>
    <xdr:cxnSp macro="">
      <xdr:nvCxnSpPr>
        <xdr:cNvPr id="128" name="直線コネクタ 12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62</xdr:col>
      <xdr:colOff>204107</xdr:colOff>
      <xdr:row>138</xdr:row>
      <xdr:rowOff>149679</xdr:rowOff>
    </xdr:from>
    <xdr:to>
      <xdr:col>64</xdr:col>
      <xdr:colOff>272144</xdr:colOff>
      <xdr:row>138</xdr:row>
      <xdr:rowOff>149679</xdr:rowOff>
    </xdr:to>
    <xdr:cxnSp macro="">
      <xdr:nvCxnSpPr>
        <xdr:cNvPr id="129" name="直線コネクタ 12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108858</xdr:colOff>
      <xdr:row>154</xdr:row>
      <xdr:rowOff>138473</xdr:rowOff>
    </xdr:from>
    <xdr:to>
      <xdr:col>73</xdr:col>
      <xdr:colOff>113659</xdr:colOff>
      <xdr:row>154</xdr:row>
      <xdr:rowOff>138473</xdr:rowOff>
    </xdr:to>
    <xdr:cxnSp macro="">
      <xdr:nvCxnSpPr>
        <xdr:cNvPr id="130" name="直線コネクタ 12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13607</xdr:colOff>
      <xdr:row>145</xdr:row>
      <xdr:rowOff>136071</xdr:rowOff>
    </xdr:from>
    <xdr:to>
      <xdr:col>66</xdr:col>
      <xdr:colOff>299357</xdr:colOff>
      <xdr:row>145</xdr:row>
      <xdr:rowOff>136071</xdr:rowOff>
    </xdr:to>
    <xdr:cxnSp macro="">
      <xdr:nvCxnSpPr>
        <xdr:cNvPr id="131" name="直線コネクタ 13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40822</xdr:colOff>
      <xdr:row>137</xdr:row>
      <xdr:rowOff>136072</xdr:rowOff>
    </xdr:from>
    <xdr:to>
      <xdr:col>64</xdr:col>
      <xdr:colOff>272142</xdr:colOff>
      <xdr:row>137</xdr:row>
      <xdr:rowOff>136072</xdr:rowOff>
    </xdr:to>
    <xdr:cxnSp macro="">
      <xdr:nvCxnSpPr>
        <xdr:cNvPr id="132" name="直線コネクタ 13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13609</xdr:colOff>
      <xdr:row>12</xdr:row>
      <xdr:rowOff>204107</xdr:rowOff>
    </xdr:from>
    <xdr:to>
      <xdr:col>66</xdr:col>
      <xdr:colOff>285751</xdr:colOff>
      <xdr:row>12</xdr:row>
      <xdr:rowOff>204107</xdr:rowOff>
    </xdr:to>
    <xdr:cxnSp macro="">
      <xdr:nvCxnSpPr>
        <xdr:cNvPr id="133" name="直線コネクタ 132"/>
        <xdr:cNvCxnSpPr/>
      </xdr:nvCxnSpPr>
      <xdr:spPr>
        <a:xfrm>
          <a:off x="6419850" y="109537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13607</xdr:colOff>
      <xdr:row>140</xdr:row>
      <xdr:rowOff>149679</xdr:rowOff>
    </xdr:from>
    <xdr:to>
      <xdr:col>65</xdr:col>
      <xdr:colOff>299358</xdr:colOff>
      <xdr:row>140</xdr:row>
      <xdr:rowOff>149679</xdr:rowOff>
    </xdr:to>
    <xdr:cxnSp macro="">
      <xdr:nvCxnSpPr>
        <xdr:cNvPr id="134" name="直線コネクタ 13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27214</xdr:colOff>
      <xdr:row>143</xdr:row>
      <xdr:rowOff>149679</xdr:rowOff>
    </xdr:from>
    <xdr:to>
      <xdr:col>67</xdr:col>
      <xdr:colOff>0</xdr:colOff>
      <xdr:row>143</xdr:row>
      <xdr:rowOff>149679</xdr:rowOff>
    </xdr:to>
    <xdr:cxnSp macro="">
      <xdr:nvCxnSpPr>
        <xdr:cNvPr id="135" name="直線コネクタ 13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153</xdr:row>
      <xdr:rowOff>136071</xdr:rowOff>
    </xdr:from>
    <xdr:to>
      <xdr:col>45</xdr:col>
      <xdr:colOff>262535</xdr:colOff>
      <xdr:row>153</xdr:row>
      <xdr:rowOff>136071</xdr:rowOff>
    </xdr:to>
    <xdr:cxnSp macro="">
      <xdr:nvCxnSpPr>
        <xdr:cNvPr id="136" name="直線コネクタ 13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153</xdr:row>
      <xdr:rowOff>136071</xdr:rowOff>
    </xdr:from>
    <xdr:to>
      <xdr:col>45</xdr:col>
      <xdr:colOff>262535</xdr:colOff>
      <xdr:row>153</xdr:row>
      <xdr:rowOff>136071</xdr:rowOff>
    </xdr:to>
    <xdr:cxnSp macro="">
      <xdr:nvCxnSpPr>
        <xdr:cNvPr id="137" name="直線コネクタ 13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158563</xdr:colOff>
      <xdr:row>171</xdr:row>
      <xdr:rowOff>125667</xdr:rowOff>
    </xdr:from>
    <xdr:to>
      <xdr:col>72</xdr:col>
      <xdr:colOff>291353</xdr:colOff>
      <xdr:row>171</xdr:row>
      <xdr:rowOff>125667</xdr:rowOff>
    </xdr:to>
    <xdr:cxnSp macro="">
      <xdr:nvCxnSpPr>
        <xdr:cNvPr id="138" name="直線コネクタ 13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169</xdr:row>
      <xdr:rowOff>136071</xdr:rowOff>
    </xdr:from>
    <xdr:to>
      <xdr:col>45</xdr:col>
      <xdr:colOff>262535</xdr:colOff>
      <xdr:row>169</xdr:row>
      <xdr:rowOff>136071</xdr:rowOff>
    </xdr:to>
    <xdr:cxnSp macro="">
      <xdr:nvCxnSpPr>
        <xdr:cNvPr id="139" name="直線コネクタ 13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169</xdr:row>
      <xdr:rowOff>136071</xdr:rowOff>
    </xdr:from>
    <xdr:to>
      <xdr:col>45</xdr:col>
      <xdr:colOff>262535</xdr:colOff>
      <xdr:row>169</xdr:row>
      <xdr:rowOff>136071</xdr:rowOff>
    </xdr:to>
    <xdr:cxnSp macro="">
      <xdr:nvCxnSpPr>
        <xdr:cNvPr id="140" name="直線コネクタ 13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54428</xdr:colOff>
      <xdr:row>150</xdr:row>
      <xdr:rowOff>136071</xdr:rowOff>
    </xdr:from>
    <xdr:to>
      <xdr:col>70</xdr:col>
      <xdr:colOff>204107</xdr:colOff>
      <xdr:row>150</xdr:row>
      <xdr:rowOff>136071</xdr:rowOff>
    </xdr:to>
    <xdr:cxnSp macro="">
      <xdr:nvCxnSpPr>
        <xdr:cNvPr id="141" name="直線コネクタ 14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163286</xdr:colOff>
      <xdr:row>141</xdr:row>
      <xdr:rowOff>136071</xdr:rowOff>
    </xdr:from>
    <xdr:to>
      <xdr:col>65</xdr:col>
      <xdr:colOff>285750</xdr:colOff>
      <xdr:row>141</xdr:row>
      <xdr:rowOff>136071</xdr:rowOff>
    </xdr:to>
    <xdr:cxnSp macro="">
      <xdr:nvCxnSpPr>
        <xdr:cNvPr id="142" name="直線コネクタ 14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231321</xdr:colOff>
      <xdr:row>152</xdr:row>
      <xdr:rowOff>136071</xdr:rowOff>
    </xdr:from>
    <xdr:to>
      <xdr:col>71</xdr:col>
      <xdr:colOff>272144</xdr:colOff>
      <xdr:row>152</xdr:row>
      <xdr:rowOff>136071</xdr:rowOff>
    </xdr:to>
    <xdr:cxnSp macro="">
      <xdr:nvCxnSpPr>
        <xdr:cNvPr id="143" name="直線コネクタ 14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13607</xdr:colOff>
      <xdr:row>44</xdr:row>
      <xdr:rowOff>136071</xdr:rowOff>
    </xdr:from>
    <xdr:to>
      <xdr:col>75</xdr:col>
      <xdr:colOff>0</xdr:colOff>
      <xdr:row>44</xdr:row>
      <xdr:rowOff>136071</xdr:rowOff>
    </xdr:to>
    <xdr:cxnSp macro="">
      <xdr:nvCxnSpPr>
        <xdr:cNvPr id="144" name="直線コネクタ 143"/>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148</xdr:row>
      <xdr:rowOff>136071</xdr:rowOff>
    </xdr:from>
    <xdr:to>
      <xdr:col>45</xdr:col>
      <xdr:colOff>262535</xdr:colOff>
      <xdr:row>148</xdr:row>
      <xdr:rowOff>136071</xdr:rowOff>
    </xdr:to>
    <xdr:cxnSp macro="">
      <xdr:nvCxnSpPr>
        <xdr:cNvPr id="145" name="直線コネクタ 14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148</xdr:row>
      <xdr:rowOff>136071</xdr:rowOff>
    </xdr:from>
    <xdr:to>
      <xdr:col>45</xdr:col>
      <xdr:colOff>262535</xdr:colOff>
      <xdr:row>148</xdr:row>
      <xdr:rowOff>136071</xdr:rowOff>
    </xdr:to>
    <xdr:cxnSp macro="">
      <xdr:nvCxnSpPr>
        <xdr:cNvPr id="146" name="直線コネクタ 14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147</xdr:row>
      <xdr:rowOff>136071</xdr:rowOff>
    </xdr:from>
    <xdr:to>
      <xdr:col>45</xdr:col>
      <xdr:colOff>262535</xdr:colOff>
      <xdr:row>147</xdr:row>
      <xdr:rowOff>136071</xdr:rowOff>
    </xdr:to>
    <xdr:cxnSp macro="">
      <xdr:nvCxnSpPr>
        <xdr:cNvPr id="147" name="直線コネクタ 14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147</xdr:row>
      <xdr:rowOff>136071</xdr:rowOff>
    </xdr:from>
    <xdr:to>
      <xdr:col>45</xdr:col>
      <xdr:colOff>262535</xdr:colOff>
      <xdr:row>147</xdr:row>
      <xdr:rowOff>136071</xdr:rowOff>
    </xdr:to>
    <xdr:cxnSp macro="">
      <xdr:nvCxnSpPr>
        <xdr:cNvPr id="148" name="直線コネクタ 14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151</xdr:row>
      <xdr:rowOff>136071</xdr:rowOff>
    </xdr:from>
    <xdr:to>
      <xdr:col>45</xdr:col>
      <xdr:colOff>262535</xdr:colOff>
      <xdr:row>151</xdr:row>
      <xdr:rowOff>136071</xdr:rowOff>
    </xdr:to>
    <xdr:cxnSp macro="">
      <xdr:nvCxnSpPr>
        <xdr:cNvPr id="149" name="直線コネクタ 14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151</xdr:row>
      <xdr:rowOff>136071</xdr:rowOff>
    </xdr:from>
    <xdr:to>
      <xdr:col>45</xdr:col>
      <xdr:colOff>262535</xdr:colOff>
      <xdr:row>151</xdr:row>
      <xdr:rowOff>136071</xdr:rowOff>
    </xdr:to>
    <xdr:cxnSp macro="">
      <xdr:nvCxnSpPr>
        <xdr:cNvPr id="150" name="直線コネクタ 14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54428</xdr:colOff>
      <xdr:row>151</xdr:row>
      <xdr:rowOff>136071</xdr:rowOff>
    </xdr:from>
    <xdr:to>
      <xdr:col>70</xdr:col>
      <xdr:colOff>190500</xdr:colOff>
      <xdr:row>151</xdr:row>
      <xdr:rowOff>136071</xdr:rowOff>
    </xdr:to>
    <xdr:cxnSp macro="">
      <xdr:nvCxnSpPr>
        <xdr:cNvPr id="151" name="直線コネクタ 15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69</xdr:col>
      <xdr:colOff>204908</xdr:colOff>
      <xdr:row>162</xdr:row>
      <xdr:rowOff>125667</xdr:rowOff>
    </xdr:from>
    <xdr:to>
      <xdr:col>71</xdr:col>
      <xdr:colOff>117661</xdr:colOff>
      <xdr:row>162</xdr:row>
      <xdr:rowOff>125667</xdr:rowOff>
    </xdr:to>
    <xdr:cxnSp macro="">
      <xdr:nvCxnSpPr>
        <xdr:cNvPr id="152" name="直線コネクタ 15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27214</xdr:colOff>
      <xdr:row>162</xdr:row>
      <xdr:rowOff>122464</xdr:rowOff>
    </xdr:from>
    <xdr:to>
      <xdr:col>78</xdr:col>
      <xdr:colOff>76039</xdr:colOff>
      <xdr:row>162</xdr:row>
      <xdr:rowOff>122464</xdr:rowOff>
    </xdr:to>
    <xdr:cxnSp macro="">
      <xdr:nvCxnSpPr>
        <xdr:cNvPr id="153" name="直線コネクタ 15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0</xdr:colOff>
      <xdr:row>60</xdr:row>
      <xdr:rowOff>0</xdr:rowOff>
    </xdr:from>
    <xdr:to>
      <xdr:col>68</xdr:col>
      <xdr:colOff>176895</xdr:colOff>
      <xdr:row>60</xdr:row>
      <xdr:rowOff>0</xdr:rowOff>
    </xdr:to>
    <xdr:cxnSp macro="">
      <xdr:nvCxnSpPr>
        <xdr:cNvPr id="154" name="直線コネクタ 15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40822</xdr:colOff>
      <xdr:row>147</xdr:row>
      <xdr:rowOff>136072</xdr:rowOff>
    </xdr:from>
    <xdr:to>
      <xdr:col>69</xdr:col>
      <xdr:colOff>27215</xdr:colOff>
      <xdr:row>147</xdr:row>
      <xdr:rowOff>136072</xdr:rowOff>
    </xdr:to>
    <xdr:cxnSp macro="">
      <xdr:nvCxnSpPr>
        <xdr:cNvPr id="155" name="直線コネクタ 15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42</xdr:row>
      <xdr:rowOff>136071</xdr:rowOff>
    </xdr:from>
    <xdr:to>
      <xdr:col>45</xdr:col>
      <xdr:colOff>262535</xdr:colOff>
      <xdr:row>42</xdr:row>
      <xdr:rowOff>136071</xdr:rowOff>
    </xdr:to>
    <xdr:cxnSp macro="">
      <xdr:nvCxnSpPr>
        <xdr:cNvPr id="156" name="直線コネクタ 155"/>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42</xdr:row>
      <xdr:rowOff>136071</xdr:rowOff>
    </xdr:from>
    <xdr:to>
      <xdr:col>45</xdr:col>
      <xdr:colOff>262535</xdr:colOff>
      <xdr:row>42</xdr:row>
      <xdr:rowOff>136071</xdr:rowOff>
    </xdr:to>
    <xdr:cxnSp macro="">
      <xdr:nvCxnSpPr>
        <xdr:cNvPr id="157" name="直線コネクタ 156"/>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122465</xdr:colOff>
      <xdr:row>149</xdr:row>
      <xdr:rowOff>136072</xdr:rowOff>
    </xdr:from>
    <xdr:to>
      <xdr:col>69</xdr:col>
      <xdr:colOff>122465</xdr:colOff>
      <xdr:row>149</xdr:row>
      <xdr:rowOff>136072</xdr:rowOff>
    </xdr:to>
    <xdr:cxnSp macro="">
      <xdr:nvCxnSpPr>
        <xdr:cNvPr id="158" name="直線コネクタ 15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13606</xdr:colOff>
      <xdr:row>42</xdr:row>
      <xdr:rowOff>136072</xdr:rowOff>
    </xdr:from>
    <xdr:to>
      <xdr:col>83</xdr:col>
      <xdr:colOff>40821</xdr:colOff>
      <xdr:row>42</xdr:row>
      <xdr:rowOff>136072</xdr:rowOff>
    </xdr:to>
    <xdr:cxnSp macro="">
      <xdr:nvCxnSpPr>
        <xdr:cNvPr id="159" name="直線コネクタ 158"/>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13607</xdr:colOff>
      <xdr:row>148</xdr:row>
      <xdr:rowOff>183296</xdr:rowOff>
    </xdr:from>
    <xdr:to>
      <xdr:col>69</xdr:col>
      <xdr:colOff>44024</xdr:colOff>
      <xdr:row>148</xdr:row>
      <xdr:rowOff>183296</xdr:rowOff>
    </xdr:to>
    <xdr:cxnSp macro="">
      <xdr:nvCxnSpPr>
        <xdr:cNvPr id="160" name="直線コネクタ 15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70</xdr:col>
      <xdr:colOff>22412</xdr:colOff>
      <xdr:row>40</xdr:row>
      <xdr:rowOff>124866</xdr:rowOff>
    </xdr:from>
    <xdr:to>
      <xdr:col>74</xdr:col>
      <xdr:colOff>308164</xdr:colOff>
      <xdr:row>40</xdr:row>
      <xdr:rowOff>124866</xdr:rowOff>
    </xdr:to>
    <xdr:cxnSp macro="">
      <xdr:nvCxnSpPr>
        <xdr:cNvPr id="161" name="直線コネクタ 160"/>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179294</xdr:colOff>
      <xdr:row>50</xdr:row>
      <xdr:rowOff>133350</xdr:rowOff>
    </xdr:from>
    <xdr:to>
      <xdr:col>25</xdr:col>
      <xdr:colOff>215714</xdr:colOff>
      <xdr:row>50</xdr:row>
      <xdr:rowOff>133350</xdr:rowOff>
    </xdr:to>
    <xdr:cxnSp macro="">
      <xdr:nvCxnSpPr>
        <xdr:cNvPr id="162" name="直線コネクタ 161"/>
        <xdr:cNvCxnSpPr/>
      </xdr:nvCxnSpPr>
      <xdr:spPr>
        <a:xfrm>
          <a:off x="6419850" y="1838325"/>
          <a:ext cx="0"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228600</xdr:colOff>
      <xdr:row>49</xdr:row>
      <xdr:rowOff>142875</xdr:rowOff>
    </xdr:from>
    <xdr:to>
      <xdr:col>26</xdr:col>
      <xdr:colOff>206189</xdr:colOff>
      <xdr:row>49</xdr:row>
      <xdr:rowOff>142875</xdr:rowOff>
    </xdr:to>
    <xdr:cxnSp macro="">
      <xdr:nvCxnSpPr>
        <xdr:cNvPr id="163" name="直線コネクタ 162"/>
        <xdr:cNvCxnSpPr/>
      </xdr:nvCxnSpPr>
      <xdr:spPr>
        <a:xfrm>
          <a:off x="6419850" y="1838325"/>
          <a:ext cx="0" cy="0"/>
        </a:xfrm>
        <a:prstGeom prst="line">
          <a:avLst/>
        </a:prstGeom>
        <a:ln w="19050">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73</xdr:col>
      <xdr:colOff>65313</xdr:colOff>
      <xdr:row>169</xdr:row>
      <xdr:rowOff>133350</xdr:rowOff>
    </xdr:from>
    <xdr:to>
      <xdr:col>73</xdr:col>
      <xdr:colOff>258535</xdr:colOff>
      <xdr:row>169</xdr:row>
      <xdr:rowOff>133350</xdr:rowOff>
    </xdr:to>
    <xdr:cxnSp macro="">
      <xdr:nvCxnSpPr>
        <xdr:cNvPr id="169" name="直線コネクタ 16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43</xdr:row>
      <xdr:rowOff>136071</xdr:rowOff>
    </xdr:from>
    <xdr:to>
      <xdr:col>45</xdr:col>
      <xdr:colOff>262535</xdr:colOff>
      <xdr:row>43</xdr:row>
      <xdr:rowOff>136071</xdr:rowOff>
    </xdr:to>
    <xdr:cxnSp macro="">
      <xdr:nvCxnSpPr>
        <xdr:cNvPr id="170" name="直線コネクタ 169"/>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43</xdr:row>
      <xdr:rowOff>136071</xdr:rowOff>
    </xdr:from>
    <xdr:to>
      <xdr:col>45</xdr:col>
      <xdr:colOff>262535</xdr:colOff>
      <xdr:row>43</xdr:row>
      <xdr:rowOff>136071</xdr:rowOff>
    </xdr:to>
    <xdr:cxnSp macro="">
      <xdr:nvCxnSpPr>
        <xdr:cNvPr id="171" name="直線コネクタ 170"/>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161</xdr:row>
      <xdr:rowOff>136071</xdr:rowOff>
    </xdr:from>
    <xdr:to>
      <xdr:col>45</xdr:col>
      <xdr:colOff>262535</xdr:colOff>
      <xdr:row>161</xdr:row>
      <xdr:rowOff>136071</xdr:rowOff>
    </xdr:to>
    <xdr:cxnSp macro="">
      <xdr:nvCxnSpPr>
        <xdr:cNvPr id="172" name="直線コネクタ 17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161</xdr:row>
      <xdr:rowOff>136071</xdr:rowOff>
    </xdr:from>
    <xdr:to>
      <xdr:col>45</xdr:col>
      <xdr:colOff>262535</xdr:colOff>
      <xdr:row>161</xdr:row>
      <xdr:rowOff>136071</xdr:rowOff>
    </xdr:to>
    <xdr:cxnSp macro="">
      <xdr:nvCxnSpPr>
        <xdr:cNvPr id="173" name="直線コネクタ 17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108858</xdr:colOff>
      <xdr:row>171</xdr:row>
      <xdr:rowOff>149679</xdr:rowOff>
    </xdr:from>
    <xdr:to>
      <xdr:col>82</xdr:col>
      <xdr:colOff>258536</xdr:colOff>
      <xdr:row>171</xdr:row>
      <xdr:rowOff>149679</xdr:rowOff>
    </xdr:to>
    <xdr:cxnSp macro="">
      <xdr:nvCxnSpPr>
        <xdr:cNvPr id="174" name="直線コネクタ 17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231321</xdr:colOff>
      <xdr:row>169</xdr:row>
      <xdr:rowOff>149678</xdr:rowOff>
    </xdr:from>
    <xdr:to>
      <xdr:col>80</xdr:col>
      <xdr:colOff>123824</xdr:colOff>
      <xdr:row>169</xdr:row>
      <xdr:rowOff>149678</xdr:rowOff>
    </xdr:to>
    <xdr:cxnSp macro="">
      <xdr:nvCxnSpPr>
        <xdr:cNvPr id="175" name="直線コネクタ 17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164</xdr:row>
      <xdr:rowOff>136071</xdr:rowOff>
    </xdr:from>
    <xdr:to>
      <xdr:col>45</xdr:col>
      <xdr:colOff>262535</xdr:colOff>
      <xdr:row>164</xdr:row>
      <xdr:rowOff>136071</xdr:rowOff>
    </xdr:to>
    <xdr:cxnSp macro="">
      <xdr:nvCxnSpPr>
        <xdr:cNvPr id="176" name="直線コネクタ 17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164</xdr:row>
      <xdr:rowOff>136071</xdr:rowOff>
    </xdr:from>
    <xdr:to>
      <xdr:col>45</xdr:col>
      <xdr:colOff>262535</xdr:colOff>
      <xdr:row>164</xdr:row>
      <xdr:rowOff>136071</xdr:rowOff>
    </xdr:to>
    <xdr:cxnSp macro="">
      <xdr:nvCxnSpPr>
        <xdr:cNvPr id="177" name="直線コネクタ 17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80</xdr:col>
      <xdr:colOff>13607</xdr:colOff>
      <xdr:row>43</xdr:row>
      <xdr:rowOff>136071</xdr:rowOff>
    </xdr:from>
    <xdr:to>
      <xdr:col>85</xdr:col>
      <xdr:colOff>299357</xdr:colOff>
      <xdr:row>43</xdr:row>
      <xdr:rowOff>136071</xdr:rowOff>
    </xdr:to>
    <xdr:cxnSp macro="">
      <xdr:nvCxnSpPr>
        <xdr:cNvPr id="178" name="直線コネクタ 177"/>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95251</xdr:colOff>
      <xdr:row>155</xdr:row>
      <xdr:rowOff>136072</xdr:rowOff>
    </xdr:from>
    <xdr:to>
      <xdr:col>73</xdr:col>
      <xdr:colOff>100052</xdr:colOff>
      <xdr:row>155</xdr:row>
      <xdr:rowOff>136072</xdr:rowOff>
    </xdr:to>
    <xdr:cxnSp macro="">
      <xdr:nvCxnSpPr>
        <xdr:cNvPr id="179" name="直線コネクタ 17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108858</xdr:colOff>
      <xdr:row>155</xdr:row>
      <xdr:rowOff>138473</xdr:rowOff>
    </xdr:from>
    <xdr:to>
      <xdr:col>73</xdr:col>
      <xdr:colOff>113659</xdr:colOff>
      <xdr:row>155</xdr:row>
      <xdr:rowOff>138473</xdr:rowOff>
    </xdr:to>
    <xdr:cxnSp macro="">
      <xdr:nvCxnSpPr>
        <xdr:cNvPr id="180" name="直線コネクタ 17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72</xdr:col>
      <xdr:colOff>108858</xdr:colOff>
      <xdr:row>156</xdr:row>
      <xdr:rowOff>136071</xdr:rowOff>
    </xdr:from>
    <xdr:to>
      <xdr:col>73</xdr:col>
      <xdr:colOff>113659</xdr:colOff>
      <xdr:row>156</xdr:row>
      <xdr:rowOff>136071</xdr:rowOff>
    </xdr:to>
    <xdr:cxnSp macro="">
      <xdr:nvCxnSpPr>
        <xdr:cNvPr id="181" name="直線コネクタ 18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159</xdr:row>
      <xdr:rowOff>136071</xdr:rowOff>
    </xdr:from>
    <xdr:to>
      <xdr:col>45</xdr:col>
      <xdr:colOff>262535</xdr:colOff>
      <xdr:row>159</xdr:row>
      <xdr:rowOff>136071</xdr:rowOff>
    </xdr:to>
    <xdr:cxnSp macro="">
      <xdr:nvCxnSpPr>
        <xdr:cNvPr id="182" name="直線コネクタ 18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159</xdr:row>
      <xdr:rowOff>136071</xdr:rowOff>
    </xdr:from>
    <xdr:to>
      <xdr:col>45</xdr:col>
      <xdr:colOff>262535</xdr:colOff>
      <xdr:row>159</xdr:row>
      <xdr:rowOff>136071</xdr:rowOff>
    </xdr:to>
    <xdr:cxnSp macro="">
      <xdr:nvCxnSpPr>
        <xdr:cNvPr id="183" name="直線コネクタ 18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166</xdr:row>
      <xdr:rowOff>136071</xdr:rowOff>
    </xdr:from>
    <xdr:to>
      <xdr:col>45</xdr:col>
      <xdr:colOff>262535</xdr:colOff>
      <xdr:row>166</xdr:row>
      <xdr:rowOff>136071</xdr:rowOff>
    </xdr:to>
    <xdr:cxnSp macro="">
      <xdr:nvCxnSpPr>
        <xdr:cNvPr id="184" name="直線コネクタ 18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166</xdr:row>
      <xdr:rowOff>136071</xdr:rowOff>
    </xdr:from>
    <xdr:to>
      <xdr:col>45</xdr:col>
      <xdr:colOff>262535</xdr:colOff>
      <xdr:row>166</xdr:row>
      <xdr:rowOff>136071</xdr:rowOff>
    </xdr:to>
    <xdr:cxnSp macro="">
      <xdr:nvCxnSpPr>
        <xdr:cNvPr id="185" name="直線コネクタ 18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149679</xdr:colOff>
      <xdr:row>157</xdr:row>
      <xdr:rowOff>149679</xdr:rowOff>
    </xdr:from>
    <xdr:to>
      <xdr:col>76</xdr:col>
      <xdr:colOff>125187</xdr:colOff>
      <xdr:row>157</xdr:row>
      <xdr:rowOff>149679</xdr:rowOff>
    </xdr:to>
    <xdr:cxnSp macro="">
      <xdr:nvCxnSpPr>
        <xdr:cNvPr id="186" name="直線コネクタ 18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244929</xdr:colOff>
      <xdr:row>161</xdr:row>
      <xdr:rowOff>136071</xdr:rowOff>
    </xdr:from>
    <xdr:to>
      <xdr:col>77</xdr:col>
      <xdr:colOff>217714</xdr:colOff>
      <xdr:row>161</xdr:row>
      <xdr:rowOff>136071</xdr:rowOff>
    </xdr:to>
    <xdr:cxnSp macro="">
      <xdr:nvCxnSpPr>
        <xdr:cNvPr id="187" name="直線コネクタ 18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244929</xdr:colOff>
      <xdr:row>160</xdr:row>
      <xdr:rowOff>136072</xdr:rowOff>
    </xdr:from>
    <xdr:to>
      <xdr:col>77</xdr:col>
      <xdr:colOff>217714</xdr:colOff>
      <xdr:row>160</xdr:row>
      <xdr:rowOff>136072</xdr:rowOff>
    </xdr:to>
    <xdr:cxnSp macro="">
      <xdr:nvCxnSpPr>
        <xdr:cNvPr id="189" name="直線コネクタ 18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217714</xdr:colOff>
      <xdr:row>41</xdr:row>
      <xdr:rowOff>149679</xdr:rowOff>
    </xdr:from>
    <xdr:to>
      <xdr:col>51</xdr:col>
      <xdr:colOff>176893</xdr:colOff>
      <xdr:row>41</xdr:row>
      <xdr:rowOff>149679</xdr:rowOff>
    </xdr:to>
    <xdr:cxnSp macro="">
      <xdr:nvCxnSpPr>
        <xdr:cNvPr id="190" name="直線コネクタ 189"/>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136072</xdr:colOff>
      <xdr:row>41</xdr:row>
      <xdr:rowOff>136071</xdr:rowOff>
    </xdr:from>
    <xdr:to>
      <xdr:col>76</xdr:col>
      <xdr:colOff>68035</xdr:colOff>
      <xdr:row>41</xdr:row>
      <xdr:rowOff>136071</xdr:rowOff>
    </xdr:to>
    <xdr:cxnSp macro="">
      <xdr:nvCxnSpPr>
        <xdr:cNvPr id="191" name="直線コネクタ 190"/>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44</xdr:row>
      <xdr:rowOff>138472</xdr:rowOff>
    </xdr:from>
    <xdr:to>
      <xdr:col>90</xdr:col>
      <xdr:colOff>0</xdr:colOff>
      <xdr:row>44</xdr:row>
      <xdr:rowOff>138472</xdr:rowOff>
    </xdr:to>
    <xdr:cxnSp macro="">
      <xdr:nvCxnSpPr>
        <xdr:cNvPr id="192" name="直線コネクタ 191"/>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316674</xdr:colOff>
      <xdr:row>1</xdr:row>
      <xdr:rowOff>40821</xdr:rowOff>
    </xdr:from>
    <xdr:to>
      <xdr:col>125</xdr:col>
      <xdr:colOff>40820</xdr:colOff>
      <xdr:row>2</xdr:row>
      <xdr:rowOff>159575</xdr:rowOff>
    </xdr:to>
    <xdr:sp macro="" textlink="">
      <xdr:nvSpPr>
        <xdr:cNvPr id="193" name="テキスト ボックス 192"/>
        <xdr:cNvSpPr txBox="1"/>
      </xdr:nvSpPr>
      <xdr:spPr>
        <a:xfrm>
          <a:off x="7479474" y="212271"/>
          <a:ext cx="838571" cy="299729"/>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300"/>
            </a:lnSpc>
          </a:pPr>
          <a:r>
            <a:rPr kumimoji="1" lang="en-US" altLang="ja-JP" sz="1100" b="1">
              <a:latin typeface="ＭＳ Ｐ明朝" panose="02020600040205080304" pitchFamily="18" charset="-128"/>
              <a:ea typeface="ＭＳ Ｐ明朝" panose="02020600040205080304" pitchFamily="18" charset="-128"/>
            </a:rPr>
            <a:t>4/20(</a:t>
          </a:r>
          <a:r>
            <a:rPr kumimoji="1" lang="ja-JP" altLang="en-US" sz="1100" b="1">
              <a:latin typeface="ＭＳ Ｐ明朝" panose="02020600040205080304" pitchFamily="18" charset="-128"/>
              <a:ea typeface="ＭＳ Ｐ明朝" panose="02020600040205080304" pitchFamily="18" charset="-128"/>
            </a:rPr>
            <a:t>月</a:t>
          </a:r>
          <a:r>
            <a:rPr kumimoji="1" lang="en-US" altLang="ja-JP" sz="1100" b="1">
              <a:latin typeface="ＭＳ Ｐ明朝" panose="02020600040205080304" pitchFamily="18" charset="-128"/>
              <a:ea typeface="ＭＳ Ｐ明朝" panose="02020600040205080304" pitchFamily="18" charset="-128"/>
            </a:rPr>
            <a:t>)</a:t>
          </a:r>
          <a:endParaRPr kumimoji="1" lang="ja-JP" altLang="en-US" sz="1100" b="1">
            <a:latin typeface="ＭＳ Ｐ明朝" panose="02020600040205080304" pitchFamily="18" charset="-128"/>
            <a:ea typeface="ＭＳ Ｐ明朝" panose="02020600040205080304" pitchFamily="18" charset="-128"/>
          </a:endParaRPr>
        </a:p>
      </xdr:txBody>
    </xdr:sp>
    <xdr:clientData/>
  </xdr:twoCellAnchor>
  <xdr:twoCellAnchor>
    <xdr:from>
      <xdr:col>77</xdr:col>
      <xdr:colOff>68036</xdr:colOff>
      <xdr:row>159</xdr:row>
      <xdr:rowOff>136072</xdr:rowOff>
    </xdr:from>
    <xdr:to>
      <xdr:col>77</xdr:col>
      <xdr:colOff>247652</xdr:colOff>
      <xdr:row>159</xdr:row>
      <xdr:rowOff>136072</xdr:rowOff>
    </xdr:to>
    <xdr:cxnSp macro="">
      <xdr:nvCxnSpPr>
        <xdr:cNvPr id="194" name="直線コネクタ 19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168</xdr:row>
      <xdr:rowOff>136071</xdr:rowOff>
    </xdr:from>
    <xdr:to>
      <xdr:col>45</xdr:col>
      <xdr:colOff>262535</xdr:colOff>
      <xdr:row>168</xdr:row>
      <xdr:rowOff>136071</xdr:rowOff>
    </xdr:to>
    <xdr:cxnSp macro="">
      <xdr:nvCxnSpPr>
        <xdr:cNvPr id="195" name="直線コネクタ 19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168</xdr:row>
      <xdr:rowOff>136071</xdr:rowOff>
    </xdr:from>
    <xdr:to>
      <xdr:col>45</xdr:col>
      <xdr:colOff>262535</xdr:colOff>
      <xdr:row>168</xdr:row>
      <xdr:rowOff>136071</xdr:rowOff>
    </xdr:to>
    <xdr:cxnSp macro="">
      <xdr:nvCxnSpPr>
        <xdr:cNvPr id="196" name="直線コネクタ 19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165</xdr:row>
      <xdr:rowOff>136071</xdr:rowOff>
    </xdr:from>
    <xdr:to>
      <xdr:col>45</xdr:col>
      <xdr:colOff>262535</xdr:colOff>
      <xdr:row>165</xdr:row>
      <xdr:rowOff>136071</xdr:rowOff>
    </xdr:to>
    <xdr:cxnSp macro="">
      <xdr:nvCxnSpPr>
        <xdr:cNvPr id="197" name="直線コネクタ 19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165</xdr:row>
      <xdr:rowOff>136071</xdr:rowOff>
    </xdr:from>
    <xdr:to>
      <xdr:col>45</xdr:col>
      <xdr:colOff>262535</xdr:colOff>
      <xdr:row>165</xdr:row>
      <xdr:rowOff>136071</xdr:rowOff>
    </xdr:to>
    <xdr:cxnSp macro="">
      <xdr:nvCxnSpPr>
        <xdr:cNvPr id="198" name="直線コネクタ 19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217715</xdr:colOff>
      <xdr:row>165</xdr:row>
      <xdr:rowOff>149678</xdr:rowOff>
    </xdr:from>
    <xdr:to>
      <xdr:col>80</xdr:col>
      <xdr:colOff>40822</xdr:colOff>
      <xdr:row>165</xdr:row>
      <xdr:rowOff>149678</xdr:rowOff>
    </xdr:to>
    <xdr:cxnSp macro="">
      <xdr:nvCxnSpPr>
        <xdr:cNvPr id="199" name="直線コネクタ 19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13607</xdr:colOff>
      <xdr:row>172</xdr:row>
      <xdr:rowOff>149679</xdr:rowOff>
    </xdr:from>
    <xdr:to>
      <xdr:col>79</xdr:col>
      <xdr:colOff>299357</xdr:colOff>
      <xdr:row>172</xdr:row>
      <xdr:rowOff>149679</xdr:rowOff>
    </xdr:to>
    <xdr:cxnSp macro="">
      <xdr:nvCxnSpPr>
        <xdr:cNvPr id="200" name="直線コネクタ 19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27213</xdr:colOff>
      <xdr:row>164</xdr:row>
      <xdr:rowOff>136070</xdr:rowOff>
    </xdr:from>
    <xdr:to>
      <xdr:col>79</xdr:col>
      <xdr:colOff>146957</xdr:colOff>
      <xdr:row>164</xdr:row>
      <xdr:rowOff>136070</xdr:rowOff>
    </xdr:to>
    <xdr:cxnSp macro="">
      <xdr:nvCxnSpPr>
        <xdr:cNvPr id="201" name="直線コネクタ 20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163286</xdr:colOff>
      <xdr:row>163</xdr:row>
      <xdr:rowOff>136071</xdr:rowOff>
    </xdr:from>
    <xdr:to>
      <xdr:col>78</xdr:col>
      <xdr:colOff>257175</xdr:colOff>
      <xdr:row>163</xdr:row>
      <xdr:rowOff>136071</xdr:rowOff>
    </xdr:to>
    <xdr:cxnSp macro="">
      <xdr:nvCxnSpPr>
        <xdr:cNvPr id="202" name="直線コネクタ 20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158</xdr:row>
      <xdr:rowOff>136071</xdr:rowOff>
    </xdr:from>
    <xdr:to>
      <xdr:col>45</xdr:col>
      <xdr:colOff>262535</xdr:colOff>
      <xdr:row>158</xdr:row>
      <xdr:rowOff>136071</xdr:rowOff>
    </xdr:to>
    <xdr:cxnSp macro="">
      <xdr:nvCxnSpPr>
        <xdr:cNvPr id="203" name="直線コネクタ 20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158</xdr:row>
      <xdr:rowOff>136071</xdr:rowOff>
    </xdr:from>
    <xdr:to>
      <xdr:col>45</xdr:col>
      <xdr:colOff>262535</xdr:colOff>
      <xdr:row>158</xdr:row>
      <xdr:rowOff>136071</xdr:rowOff>
    </xdr:to>
    <xdr:cxnSp macro="">
      <xdr:nvCxnSpPr>
        <xdr:cNvPr id="204" name="直線コネクタ 20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77</xdr:col>
      <xdr:colOff>68036</xdr:colOff>
      <xdr:row>158</xdr:row>
      <xdr:rowOff>136072</xdr:rowOff>
    </xdr:from>
    <xdr:to>
      <xdr:col>77</xdr:col>
      <xdr:colOff>247652</xdr:colOff>
      <xdr:row>158</xdr:row>
      <xdr:rowOff>136072</xdr:rowOff>
    </xdr:to>
    <xdr:cxnSp macro="">
      <xdr:nvCxnSpPr>
        <xdr:cNvPr id="205" name="直線コネクタ 20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170</xdr:row>
      <xdr:rowOff>136071</xdr:rowOff>
    </xdr:from>
    <xdr:to>
      <xdr:col>45</xdr:col>
      <xdr:colOff>262535</xdr:colOff>
      <xdr:row>170</xdr:row>
      <xdr:rowOff>136071</xdr:rowOff>
    </xdr:to>
    <xdr:cxnSp macro="">
      <xdr:nvCxnSpPr>
        <xdr:cNvPr id="206" name="直線コネクタ 20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45</xdr:col>
      <xdr:colOff>0</xdr:colOff>
      <xdr:row>170</xdr:row>
      <xdr:rowOff>136071</xdr:rowOff>
    </xdr:from>
    <xdr:to>
      <xdr:col>45</xdr:col>
      <xdr:colOff>262535</xdr:colOff>
      <xdr:row>170</xdr:row>
      <xdr:rowOff>136071</xdr:rowOff>
    </xdr:to>
    <xdr:cxnSp macro="">
      <xdr:nvCxnSpPr>
        <xdr:cNvPr id="207" name="直線コネクタ 20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149678</xdr:colOff>
      <xdr:row>168</xdr:row>
      <xdr:rowOff>136071</xdr:rowOff>
    </xdr:from>
    <xdr:to>
      <xdr:col>79</xdr:col>
      <xdr:colOff>285750</xdr:colOff>
      <xdr:row>168</xdr:row>
      <xdr:rowOff>136071</xdr:rowOff>
    </xdr:to>
    <xdr:cxnSp macro="">
      <xdr:nvCxnSpPr>
        <xdr:cNvPr id="208" name="直線コネクタ 20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78</xdr:col>
      <xdr:colOff>13607</xdr:colOff>
      <xdr:row>167</xdr:row>
      <xdr:rowOff>149678</xdr:rowOff>
    </xdr:from>
    <xdr:to>
      <xdr:col>79</xdr:col>
      <xdr:colOff>299357</xdr:colOff>
      <xdr:row>167</xdr:row>
      <xdr:rowOff>149678</xdr:rowOff>
    </xdr:to>
    <xdr:cxnSp macro="">
      <xdr:nvCxnSpPr>
        <xdr:cNvPr id="209" name="直線コネクタ 20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79</xdr:col>
      <xdr:colOff>108856</xdr:colOff>
      <xdr:row>170</xdr:row>
      <xdr:rowOff>136072</xdr:rowOff>
    </xdr:from>
    <xdr:to>
      <xdr:col>80</xdr:col>
      <xdr:colOff>136071</xdr:colOff>
      <xdr:row>170</xdr:row>
      <xdr:rowOff>136072</xdr:rowOff>
    </xdr:to>
    <xdr:cxnSp macro="">
      <xdr:nvCxnSpPr>
        <xdr:cNvPr id="210" name="直線コネクタ 20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0</xdr:colOff>
      <xdr:row>173</xdr:row>
      <xdr:rowOff>149679</xdr:rowOff>
    </xdr:from>
    <xdr:to>
      <xdr:col>83</xdr:col>
      <xdr:colOff>95250</xdr:colOff>
      <xdr:row>173</xdr:row>
      <xdr:rowOff>149679</xdr:rowOff>
    </xdr:to>
    <xdr:cxnSp macro="">
      <xdr:nvCxnSpPr>
        <xdr:cNvPr id="211" name="直線コネクタ 21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27215</xdr:colOff>
      <xdr:row>170</xdr:row>
      <xdr:rowOff>149679</xdr:rowOff>
    </xdr:from>
    <xdr:to>
      <xdr:col>82</xdr:col>
      <xdr:colOff>190500</xdr:colOff>
      <xdr:row>170</xdr:row>
      <xdr:rowOff>149679</xdr:rowOff>
    </xdr:to>
    <xdr:cxnSp macro="">
      <xdr:nvCxnSpPr>
        <xdr:cNvPr id="213" name="直線コネクタ 21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82</xdr:col>
      <xdr:colOff>176894</xdr:colOff>
      <xdr:row>172</xdr:row>
      <xdr:rowOff>149679</xdr:rowOff>
    </xdr:from>
    <xdr:to>
      <xdr:col>83</xdr:col>
      <xdr:colOff>13607</xdr:colOff>
      <xdr:row>172</xdr:row>
      <xdr:rowOff>149679</xdr:rowOff>
    </xdr:to>
    <xdr:cxnSp macro="">
      <xdr:nvCxnSpPr>
        <xdr:cNvPr id="214" name="直線コネクタ 21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22412</xdr:colOff>
      <xdr:row>45</xdr:row>
      <xdr:rowOff>134471</xdr:rowOff>
    </xdr:from>
    <xdr:to>
      <xdr:col>95</xdr:col>
      <xdr:colOff>54428</xdr:colOff>
      <xdr:row>45</xdr:row>
      <xdr:rowOff>134471</xdr:rowOff>
    </xdr:to>
    <xdr:cxnSp macro="">
      <xdr:nvCxnSpPr>
        <xdr:cNvPr id="219" name="直線コネクタ 218"/>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163286</xdr:colOff>
      <xdr:row>239</xdr:row>
      <xdr:rowOff>136071</xdr:rowOff>
    </xdr:from>
    <xdr:to>
      <xdr:col>40</xdr:col>
      <xdr:colOff>257735</xdr:colOff>
      <xdr:row>239</xdr:row>
      <xdr:rowOff>136071</xdr:rowOff>
    </xdr:to>
    <xdr:cxnSp macro="">
      <xdr:nvCxnSpPr>
        <xdr:cNvPr id="222" name="直線コネクタ 221"/>
        <xdr:cNvCxnSpPr/>
      </xdr:nvCxnSpPr>
      <xdr:spPr>
        <a:xfrm>
          <a:off x="6419850" y="2333625"/>
          <a:ext cx="0" cy="0"/>
        </a:xfrm>
        <a:prstGeom prst="line">
          <a:avLst/>
        </a:prstGeom>
        <a:ln w="19050">
          <a:solidFill>
            <a:schemeClr val="tx1"/>
          </a:solidFill>
          <a:prstDash val="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168089</xdr:colOff>
      <xdr:row>239</xdr:row>
      <xdr:rowOff>134471</xdr:rowOff>
    </xdr:from>
    <xdr:to>
      <xdr:col>47</xdr:col>
      <xdr:colOff>227318</xdr:colOff>
      <xdr:row>239</xdr:row>
      <xdr:rowOff>134471</xdr:rowOff>
    </xdr:to>
    <xdr:cxnSp macro="">
      <xdr:nvCxnSpPr>
        <xdr:cNvPr id="223" name="直線コネクタ 22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96</xdr:col>
      <xdr:colOff>0</xdr:colOff>
      <xdr:row>60</xdr:row>
      <xdr:rowOff>0</xdr:rowOff>
    </xdr:from>
    <xdr:to>
      <xdr:col>98</xdr:col>
      <xdr:colOff>122464</xdr:colOff>
      <xdr:row>60</xdr:row>
      <xdr:rowOff>0</xdr:rowOff>
    </xdr:to>
    <xdr:cxnSp macro="">
      <xdr:nvCxnSpPr>
        <xdr:cNvPr id="232" name="直線コネクタ 23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23</xdr:row>
      <xdr:rowOff>190500</xdr:rowOff>
    </xdr:from>
    <xdr:to>
      <xdr:col>114</xdr:col>
      <xdr:colOff>13607</xdr:colOff>
      <xdr:row>23</xdr:row>
      <xdr:rowOff>190500</xdr:rowOff>
    </xdr:to>
    <xdr:cxnSp macro="">
      <xdr:nvCxnSpPr>
        <xdr:cNvPr id="233" name="直線コネクタ 232"/>
        <xdr:cNvCxnSpPr/>
      </xdr:nvCxnSpPr>
      <xdr:spPr>
        <a:xfrm>
          <a:off x="6419850" y="1781175"/>
          <a:ext cx="0"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86</xdr:col>
      <xdr:colOff>176893</xdr:colOff>
      <xdr:row>42</xdr:row>
      <xdr:rowOff>136071</xdr:rowOff>
    </xdr:from>
    <xdr:to>
      <xdr:col>87</xdr:col>
      <xdr:colOff>27214</xdr:colOff>
      <xdr:row>42</xdr:row>
      <xdr:rowOff>136071</xdr:rowOff>
    </xdr:to>
    <xdr:cxnSp macro="">
      <xdr:nvCxnSpPr>
        <xdr:cNvPr id="234" name="直線コネクタ 233"/>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87</xdr:col>
      <xdr:colOff>176894</xdr:colOff>
      <xdr:row>43</xdr:row>
      <xdr:rowOff>136071</xdr:rowOff>
    </xdr:from>
    <xdr:to>
      <xdr:col>88</xdr:col>
      <xdr:colOff>13608</xdr:colOff>
      <xdr:row>43</xdr:row>
      <xdr:rowOff>136071</xdr:rowOff>
    </xdr:to>
    <xdr:cxnSp macro="">
      <xdr:nvCxnSpPr>
        <xdr:cNvPr id="236" name="直線コネクタ 235"/>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90</xdr:col>
      <xdr:colOff>27214</xdr:colOff>
      <xdr:row>46</xdr:row>
      <xdr:rowOff>149679</xdr:rowOff>
    </xdr:from>
    <xdr:to>
      <xdr:col>95</xdr:col>
      <xdr:colOff>204107</xdr:colOff>
      <xdr:row>46</xdr:row>
      <xdr:rowOff>149679</xdr:rowOff>
    </xdr:to>
    <xdr:cxnSp macro="">
      <xdr:nvCxnSpPr>
        <xdr:cNvPr id="237" name="直線コネクタ 236"/>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20</xdr:row>
      <xdr:rowOff>204107</xdr:rowOff>
    </xdr:from>
    <xdr:to>
      <xdr:col>113</xdr:col>
      <xdr:colOff>231323</xdr:colOff>
      <xdr:row>20</xdr:row>
      <xdr:rowOff>204107</xdr:rowOff>
    </xdr:to>
    <xdr:cxnSp macro="">
      <xdr:nvCxnSpPr>
        <xdr:cNvPr id="241" name="直線コネクタ 240"/>
        <xdr:cNvCxnSpPr/>
      </xdr:nvCxnSpPr>
      <xdr:spPr>
        <a:xfrm>
          <a:off x="6419850" y="1095375"/>
          <a:ext cx="0" cy="0"/>
        </a:xfrm>
        <a:prstGeom prst="line">
          <a:avLst/>
        </a:prstGeom>
        <a:ln w="57150" cmpd="dbl">
          <a:prstDash val="sysDot"/>
          <a:headEnd type="none" w="sm" len="sm"/>
          <a:tailEnd type="oval"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221</xdr:row>
      <xdr:rowOff>149679</xdr:rowOff>
    </xdr:from>
    <xdr:to>
      <xdr:col>113</xdr:col>
      <xdr:colOff>40821</xdr:colOff>
      <xdr:row>221</xdr:row>
      <xdr:rowOff>149679</xdr:rowOff>
    </xdr:to>
    <xdr:cxnSp macro="">
      <xdr:nvCxnSpPr>
        <xdr:cNvPr id="242" name="直線コネクタ 241"/>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223</xdr:row>
      <xdr:rowOff>149679</xdr:rowOff>
    </xdr:from>
    <xdr:to>
      <xdr:col>122</xdr:col>
      <xdr:colOff>0</xdr:colOff>
      <xdr:row>223</xdr:row>
      <xdr:rowOff>149679</xdr:rowOff>
    </xdr:to>
    <xdr:cxnSp macro="">
      <xdr:nvCxnSpPr>
        <xdr:cNvPr id="253" name="直線コネクタ 252"/>
        <xdr:cNvCxnSpPr/>
      </xdr:nvCxnSpPr>
      <xdr:spPr>
        <a:xfrm>
          <a:off x="6419850" y="1838325"/>
          <a:ext cx="74295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13607</xdr:colOff>
      <xdr:row>24</xdr:row>
      <xdr:rowOff>163286</xdr:rowOff>
    </xdr:from>
    <xdr:to>
      <xdr:col>114</xdr:col>
      <xdr:colOff>27214</xdr:colOff>
      <xdr:row>24</xdr:row>
      <xdr:rowOff>163286</xdr:rowOff>
    </xdr:to>
    <xdr:cxnSp macro="">
      <xdr:nvCxnSpPr>
        <xdr:cNvPr id="255" name="直線コネクタ 254"/>
        <xdr:cNvCxnSpPr/>
      </xdr:nvCxnSpPr>
      <xdr:spPr>
        <a:xfrm>
          <a:off x="6419850" y="1838325"/>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95250</xdr:colOff>
      <xdr:row>235</xdr:row>
      <xdr:rowOff>136071</xdr:rowOff>
    </xdr:from>
    <xdr:to>
      <xdr:col>99</xdr:col>
      <xdr:colOff>258536</xdr:colOff>
      <xdr:row>235</xdr:row>
      <xdr:rowOff>136071</xdr:rowOff>
    </xdr:to>
    <xdr:cxnSp macro="">
      <xdr:nvCxnSpPr>
        <xdr:cNvPr id="256" name="直線コネクタ 25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97</xdr:col>
      <xdr:colOff>81643</xdr:colOff>
      <xdr:row>176</xdr:row>
      <xdr:rowOff>136071</xdr:rowOff>
    </xdr:from>
    <xdr:to>
      <xdr:col>101</xdr:col>
      <xdr:colOff>258535</xdr:colOff>
      <xdr:row>176</xdr:row>
      <xdr:rowOff>136071</xdr:rowOff>
    </xdr:to>
    <xdr:cxnSp macro="">
      <xdr:nvCxnSpPr>
        <xdr:cNvPr id="257" name="直線コネクタ 25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13607</xdr:colOff>
      <xdr:row>22</xdr:row>
      <xdr:rowOff>136072</xdr:rowOff>
    </xdr:from>
    <xdr:to>
      <xdr:col>104</xdr:col>
      <xdr:colOff>0</xdr:colOff>
      <xdr:row>22</xdr:row>
      <xdr:rowOff>136072</xdr:rowOff>
    </xdr:to>
    <xdr:cxnSp macro="">
      <xdr:nvCxnSpPr>
        <xdr:cNvPr id="260" name="直線コネクタ 259"/>
        <xdr:cNvCxnSpPr/>
      </xdr:nvCxnSpPr>
      <xdr:spPr>
        <a:xfrm>
          <a:off x="6419850" y="1479097"/>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204107</xdr:colOff>
      <xdr:row>228</xdr:row>
      <xdr:rowOff>122464</xdr:rowOff>
    </xdr:from>
    <xdr:to>
      <xdr:col>103</xdr:col>
      <xdr:colOff>258536</xdr:colOff>
      <xdr:row>228</xdr:row>
      <xdr:rowOff>122464</xdr:rowOff>
    </xdr:to>
    <xdr:cxnSp macro="">
      <xdr:nvCxnSpPr>
        <xdr:cNvPr id="261" name="直線コネクタ 26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231321</xdr:colOff>
      <xdr:row>240</xdr:row>
      <xdr:rowOff>136071</xdr:rowOff>
    </xdr:from>
    <xdr:to>
      <xdr:col>102</xdr:col>
      <xdr:colOff>258536</xdr:colOff>
      <xdr:row>240</xdr:row>
      <xdr:rowOff>136071</xdr:rowOff>
    </xdr:to>
    <xdr:cxnSp macro="">
      <xdr:nvCxnSpPr>
        <xdr:cNvPr id="262" name="直線コネクタ 261"/>
        <xdr:cNvCxnSpPr/>
      </xdr:nvCxnSpPr>
      <xdr:spPr>
        <a:xfrm>
          <a:off x="6419850" y="2964996"/>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163286</xdr:colOff>
      <xdr:row>232</xdr:row>
      <xdr:rowOff>136071</xdr:rowOff>
    </xdr:from>
    <xdr:to>
      <xdr:col>100</xdr:col>
      <xdr:colOff>244928</xdr:colOff>
      <xdr:row>232</xdr:row>
      <xdr:rowOff>136071</xdr:rowOff>
    </xdr:to>
    <xdr:cxnSp macro="">
      <xdr:nvCxnSpPr>
        <xdr:cNvPr id="263" name="直線コネクタ 26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98</xdr:col>
      <xdr:colOff>176893</xdr:colOff>
      <xdr:row>178</xdr:row>
      <xdr:rowOff>136071</xdr:rowOff>
    </xdr:from>
    <xdr:to>
      <xdr:col>100</xdr:col>
      <xdr:colOff>258535</xdr:colOff>
      <xdr:row>178</xdr:row>
      <xdr:rowOff>136071</xdr:rowOff>
    </xdr:to>
    <xdr:cxnSp macro="">
      <xdr:nvCxnSpPr>
        <xdr:cNvPr id="264" name="直線コネクタ 26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136071</xdr:colOff>
      <xdr:row>180</xdr:row>
      <xdr:rowOff>136071</xdr:rowOff>
    </xdr:from>
    <xdr:to>
      <xdr:col>103</xdr:col>
      <xdr:colOff>244928</xdr:colOff>
      <xdr:row>180</xdr:row>
      <xdr:rowOff>136071</xdr:rowOff>
    </xdr:to>
    <xdr:cxnSp macro="">
      <xdr:nvCxnSpPr>
        <xdr:cNvPr id="268" name="直線コネクタ 26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40821</xdr:colOff>
      <xdr:row>175</xdr:row>
      <xdr:rowOff>136071</xdr:rowOff>
    </xdr:from>
    <xdr:to>
      <xdr:col>101</xdr:col>
      <xdr:colOff>54428</xdr:colOff>
      <xdr:row>175</xdr:row>
      <xdr:rowOff>136071</xdr:rowOff>
    </xdr:to>
    <xdr:cxnSp macro="">
      <xdr:nvCxnSpPr>
        <xdr:cNvPr id="269" name="直線コネクタ 26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99</xdr:col>
      <xdr:colOff>13607</xdr:colOff>
      <xdr:row>7</xdr:row>
      <xdr:rowOff>190500</xdr:rowOff>
    </xdr:from>
    <xdr:to>
      <xdr:col>110</xdr:col>
      <xdr:colOff>258537</xdr:colOff>
      <xdr:row>7</xdr:row>
      <xdr:rowOff>190500</xdr:rowOff>
    </xdr:to>
    <xdr:cxnSp macro="">
      <xdr:nvCxnSpPr>
        <xdr:cNvPr id="270" name="直線コネクタ 269"/>
        <xdr:cNvCxnSpPr/>
      </xdr:nvCxnSpPr>
      <xdr:spPr>
        <a:xfrm>
          <a:off x="6419850" y="1095375"/>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100</xdr:col>
      <xdr:colOff>40821</xdr:colOff>
      <xdr:row>237</xdr:row>
      <xdr:rowOff>149680</xdr:rowOff>
    </xdr:from>
    <xdr:to>
      <xdr:col>101</xdr:col>
      <xdr:colOff>-1</xdr:colOff>
      <xdr:row>237</xdr:row>
      <xdr:rowOff>149680</xdr:rowOff>
    </xdr:to>
    <xdr:cxnSp macro="">
      <xdr:nvCxnSpPr>
        <xdr:cNvPr id="271" name="直線コネクタ 27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-1</xdr:colOff>
      <xdr:row>177</xdr:row>
      <xdr:rowOff>136072</xdr:rowOff>
    </xdr:from>
    <xdr:to>
      <xdr:col>104</xdr:col>
      <xdr:colOff>108856</xdr:colOff>
      <xdr:row>177</xdr:row>
      <xdr:rowOff>136072</xdr:rowOff>
    </xdr:to>
    <xdr:cxnSp macro="">
      <xdr:nvCxnSpPr>
        <xdr:cNvPr id="272" name="直線コネクタ 27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101</xdr:col>
      <xdr:colOff>95250</xdr:colOff>
      <xdr:row>179</xdr:row>
      <xdr:rowOff>136071</xdr:rowOff>
    </xdr:from>
    <xdr:to>
      <xdr:col>103</xdr:col>
      <xdr:colOff>244928</xdr:colOff>
      <xdr:row>179</xdr:row>
      <xdr:rowOff>136071</xdr:rowOff>
    </xdr:to>
    <xdr:cxnSp macro="">
      <xdr:nvCxnSpPr>
        <xdr:cNvPr id="273" name="直線コネクタ 27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0</xdr:colOff>
      <xdr:row>25</xdr:row>
      <xdr:rowOff>0</xdr:rowOff>
    </xdr:from>
    <xdr:to>
      <xdr:col>108</xdr:col>
      <xdr:colOff>258535</xdr:colOff>
      <xdr:row>25</xdr:row>
      <xdr:rowOff>0</xdr:rowOff>
    </xdr:to>
    <xdr:cxnSp macro="">
      <xdr:nvCxnSpPr>
        <xdr:cNvPr id="274" name="直線コネクタ 273"/>
        <xdr:cNvCxnSpPr/>
      </xdr:nvCxnSpPr>
      <xdr:spPr>
        <a:xfrm>
          <a:off x="6419850" y="1838325"/>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103</xdr:col>
      <xdr:colOff>272142</xdr:colOff>
      <xdr:row>231</xdr:row>
      <xdr:rowOff>149678</xdr:rowOff>
    </xdr:from>
    <xdr:to>
      <xdr:col>105</xdr:col>
      <xdr:colOff>244927</xdr:colOff>
      <xdr:row>231</xdr:row>
      <xdr:rowOff>149678</xdr:rowOff>
    </xdr:to>
    <xdr:cxnSp macro="">
      <xdr:nvCxnSpPr>
        <xdr:cNvPr id="275" name="直線コネクタ 27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104</xdr:col>
      <xdr:colOff>27215</xdr:colOff>
      <xdr:row>182</xdr:row>
      <xdr:rowOff>149678</xdr:rowOff>
    </xdr:from>
    <xdr:to>
      <xdr:col>106</xdr:col>
      <xdr:colOff>0</xdr:colOff>
      <xdr:row>182</xdr:row>
      <xdr:rowOff>149678</xdr:rowOff>
    </xdr:to>
    <xdr:cxnSp macro="">
      <xdr:nvCxnSpPr>
        <xdr:cNvPr id="276" name="直線コネクタ 27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54429</xdr:colOff>
      <xdr:row>238</xdr:row>
      <xdr:rowOff>149678</xdr:rowOff>
    </xdr:from>
    <xdr:to>
      <xdr:col>107</xdr:col>
      <xdr:colOff>136071</xdr:colOff>
      <xdr:row>238</xdr:row>
      <xdr:rowOff>149678</xdr:rowOff>
    </xdr:to>
    <xdr:cxnSp macro="">
      <xdr:nvCxnSpPr>
        <xdr:cNvPr id="277" name="直線コネクタ 27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105</xdr:col>
      <xdr:colOff>0</xdr:colOff>
      <xdr:row>220</xdr:row>
      <xdr:rowOff>136071</xdr:rowOff>
    </xdr:from>
    <xdr:to>
      <xdr:col>110</xdr:col>
      <xdr:colOff>258536</xdr:colOff>
      <xdr:row>220</xdr:row>
      <xdr:rowOff>136071</xdr:rowOff>
    </xdr:to>
    <xdr:cxnSp macro="">
      <xdr:nvCxnSpPr>
        <xdr:cNvPr id="278" name="直線コネクタ 277"/>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106</xdr:col>
      <xdr:colOff>108857</xdr:colOff>
      <xdr:row>184</xdr:row>
      <xdr:rowOff>149679</xdr:rowOff>
    </xdr:from>
    <xdr:to>
      <xdr:col>108</xdr:col>
      <xdr:colOff>1</xdr:colOff>
      <xdr:row>184</xdr:row>
      <xdr:rowOff>149679</xdr:rowOff>
    </xdr:to>
    <xdr:cxnSp macro="">
      <xdr:nvCxnSpPr>
        <xdr:cNvPr id="279" name="直線コネクタ 27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59</xdr:row>
      <xdr:rowOff>149679</xdr:rowOff>
    </xdr:from>
    <xdr:to>
      <xdr:col>121</xdr:col>
      <xdr:colOff>272143</xdr:colOff>
      <xdr:row>59</xdr:row>
      <xdr:rowOff>149679</xdr:rowOff>
    </xdr:to>
    <xdr:cxnSp macro="">
      <xdr:nvCxnSpPr>
        <xdr:cNvPr id="282" name="直線コネクタ 281"/>
        <xdr:cNvCxnSpPr/>
      </xdr:nvCxnSpPr>
      <xdr:spPr>
        <a:xfrm>
          <a:off x="6419850" y="2235654"/>
          <a:ext cx="64361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27215</xdr:colOff>
      <xdr:row>224</xdr:row>
      <xdr:rowOff>122464</xdr:rowOff>
    </xdr:from>
    <xdr:to>
      <xdr:col>114</xdr:col>
      <xdr:colOff>27214</xdr:colOff>
      <xdr:row>224</xdr:row>
      <xdr:rowOff>122464</xdr:rowOff>
    </xdr:to>
    <xdr:cxnSp macro="">
      <xdr:nvCxnSpPr>
        <xdr:cNvPr id="283" name="直線コネクタ 282"/>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106</xdr:col>
      <xdr:colOff>108857</xdr:colOff>
      <xdr:row>246</xdr:row>
      <xdr:rowOff>149679</xdr:rowOff>
    </xdr:from>
    <xdr:to>
      <xdr:col>107</xdr:col>
      <xdr:colOff>81642</xdr:colOff>
      <xdr:row>246</xdr:row>
      <xdr:rowOff>149679</xdr:rowOff>
    </xdr:to>
    <xdr:cxnSp macro="">
      <xdr:nvCxnSpPr>
        <xdr:cNvPr id="284" name="直線コネクタ 28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0</xdr:colOff>
      <xdr:row>60</xdr:row>
      <xdr:rowOff>0</xdr:rowOff>
    </xdr:from>
    <xdr:to>
      <xdr:col>118</xdr:col>
      <xdr:colOff>13608</xdr:colOff>
      <xdr:row>60</xdr:row>
      <xdr:rowOff>0</xdr:rowOff>
    </xdr:to>
    <xdr:cxnSp macro="">
      <xdr:nvCxnSpPr>
        <xdr:cNvPr id="285" name="直線コネクタ 284"/>
        <xdr:cNvCxnSpPr/>
      </xdr:nvCxnSpPr>
      <xdr:spPr>
        <a:xfrm>
          <a:off x="6419850" y="2333625"/>
          <a:ext cx="0" cy="0"/>
        </a:xfrm>
        <a:prstGeom prst="line">
          <a:avLst/>
        </a:prstGeom>
        <a:ln w="31750" cap="rnd">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40822</xdr:colOff>
      <xdr:row>23</xdr:row>
      <xdr:rowOff>190500</xdr:rowOff>
    </xdr:from>
    <xdr:to>
      <xdr:col>134</xdr:col>
      <xdr:colOff>358589</xdr:colOff>
      <xdr:row>23</xdr:row>
      <xdr:rowOff>190500</xdr:rowOff>
    </xdr:to>
    <xdr:cxnSp macro="">
      <xdr:nvCxnSpPr>
        <xdr:cNvPr id="286" name="直線コネクタ 285"/>
        <xdr:cNvCxnSpPr/>
      </xdr:nvCxnSpPr>
      <xdr:spPr>
        <a:xfrm>
          <a:off x="6419850" y="1781175"/>
          <a:ext cx="5559239" cy="0"/>
        </a:xfrm>
        <a:prstGeom prst="line">
          <a:avLst/>
        </a:prstGeom>
        <a:ln w="31750">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13607</xdr:colOff>
      <xdr:row>16</xdr:row>
      <xdr:rowOff>136071</xdr:rowOff>
    </xdr:from>
    <xdr:to>
      <xdr:col>114</xdr:col>
      <xdr:colOff>176893</xdr:colOff>
      <xdr:row>16</xdr:row>
      <xdr:rowOff>136071</xdr:rowOff>
    </xdr:to>
    <xdr:cxnSp macro="">
      <xdr:nvCxnSpPr>
        <xdr:cNvPr id="287" name="直線コネクタ 286"/>
        <xdr:cNvCxnSpPr/>
      </xdr:nvCxnSpPr>
      <xdr:spPr>
        <a:xfrm>
          <a:off x="6419850" y="1095375"/>
          <a:ext cx="0"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21</xdr:row>
      <xdr:rowOff>190500</xdr:rowOff>
    </xdr:from>
    <xdr:to>
      <xdr:col>104</xdr:col>
      <xdr:colOff>0</xdr:colOff>
      <xdr:row>21</xdr:row>
      <xdr:rowOff>190500</xdr:rowOff>
    </xdr:to>
    <xdr:cxnSp macro="">
      <xdr:nvCxnSpPr>
        <xdr:cNvPr id="288" name="直線コネクタ 287"/>
        <xdr:cNvCxnSpPr/>
      </xdr:nvCxnSpPr>
      <xdr:spPr>
        <a:xfrm>
          <a:off x="6419850" y="1285875"/>
          <a:ext cx="0"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21</xdr:row>
      <xdr:rowOff>163285</xdr:rowOff>
    </xdr:from>
    <xdr:to>
      <xdr:col>114</xdr:col>
      <xdr:colOff>176893</xdr:colOff>
      <xdr:row>21</xdr:row>
      <xdr:rowOff>163285</xdr:rowOff>
    </xdr:to>
    <xdr:cxnSp macro="">
      <xdr:nvCxnSpPr>
        <xdr:cNvPr id="289" name="直線コネクタ 288"/>
        <xdr:cNvCxnSpPr/>
      </xdr:nvCxnSpPr>
      <xdr:spPr>
        <a:xfrm>
          <a:off x="6419850" y="1258660"/>
          <a:ext cx="0" cy="0"/>
        </a:xfrm>
        <a:prstGeom prst="line">
          <a:avLst/>
        </a:prstGeom>
        <a:ln w="31750" cap="rnd">
          <a:solidFill>
            <a:schemeClr val="tx1"/>
          </a:solidFill>
          <a:prstDash val="sysDash"/>
          <a:headEnd type="none"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107</xdr:col>
      <xdr:colOff>122464</xdr:colOff>
      <xdr:row>199</xdr:row>
      <xdr:rowOff>149677</xdr:rowOff>
    </xdr:from>
    <xdr:to>
      <xdr:col>110</xdr:col>
      <xdr:colOff>0</xdr:colOff>
      <xdr:row>199</xdr:row>
      <xdr:rowOff>149677</xdr:rowOff>
    </xdr:to>
    <xdr:cxnSp macro="">
      <xdr:nvCxnSpPr>
        <xdr:cNvPr id="290" name="直線コネクタ 28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54428</xdr:colOff>
      <xdr:row>228</xdr:row>
      <xdr:rowOff>136072</xdr:rowOff>
    </xdr:from>
    <xdr:to>
      <xdr:col>109</xdr:col>
      <xdr:colOff>54428</xdr:colOff>
      <xdr:row>228</xdr:row>
      <xdr:rowOff>136072</xdr:rowOff>
    </xdr:to>
    <xdr:cxnSp macro="">
      <xdr:nvCxnSpPr>
        <xdr:cNvPr id="291" name="直線コネクタ 29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107</xdr:col>
      <xdr:colOff>149678</xdr:colOff>
      <xdr:row>185</xdr:row>
      <xdr:rowOff>136072</xdr:rowOff>
    </xdr:from>
    <xdr:to>
      <xdr:col>109</xdr:col>
      <xdr:colOff>40822</xdr:colOff>
      <xdr:row>185</xdr:row>
      <xdr:rowOff>136072</xdr:rowOff>
    </xdr:to>
    <xdr:cxnSp macro="">
      <xdr:nvCxnSpPr>
        <xdr:cNvPr id="292" name="直線コネクタ 29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272142</xdr:colOff>
      <xdr:row>189</xdr:row>
      <xdr:rowOff>136072</xdr:rowOff>
    </xdr:from>
    <xdr:to>
      <xdr:col>109</xdr:col>
      <xdr:colOff>272142</xdr:colOff>
      <xdr:row>189</xdr:row>
      <xdr:rowOff>136072</xdr:rowOff>
    </xdr:to>
    <xdr:cxnSp macro="">
      <xdr:nvCxnSpPr>
        <xdr:cNvPr id="293" name="直線コネクタ 29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27214</xdr:colOff>
      <xdr:row>187</xdr:row>
      <xdr:rowOff>149678</xdr:rowOff>
    </xdr:from>
    <xdr:to>
      <xdr:col>109</xdr:col>
      <xdr:colOff>27214</xdr:colOff>
      <xdr:row>187</xdr:row>
      <xdr:rowOff>149678</xdr:rowOff>
    </xdr:to>
    <xdr:cxnSp macro="">
      <xdr:nvCxnSpPr>
        <xdr:cNvPr id="294" name="直線コネクタ 29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108</xdr:col>
      <xdr:colOff>244929</xdr:colOff>
      <xdr:row>188</xdr:row>
      <xdr:rowOff>136071</xdr:rowOff>
    </xdr:from>
    <xdr:to>
      <xdr:col>109</xdr:col>
      <xdr:colOff>244929</xdr:colOff>
      <xdr:row>188</xdr:row>
      <xdr:rowOff>136071</xdr:rowOff>
    </xdr:to>
    <xdr:cxnSp macro="">
      <xdr:nvCxnSpPr>
        <xdr:cNvPr id="295" name="直線コネクタ 29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122465</xdr:colOff>
      <xdr:row>246</xdr:row>
      <xdr:rowOff>149679</xdr:rowOff>
    </xdr:from>
    <xdr:to>
      <xdr:col>112</xdr:col>
      <xdr:colOff>13607</xdr:colOff>
      <xdr:row>246</xdr:row>
      <xdr:rowOff>149679</xdr:rowOff>
    </xdr:to>
    <xdr:cxnSp macro="">
      <xdr:nvCxnSpPr>
        <xdr:cNvPr id="296" name="直線コネクタ 29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149679</xdr:colOff>
      <xdr:row>192</xdr:row>
      <xdr:rowOff>136071</xdr:rowOff>
    </xdr:from>
    <xdr:to>
      <xdr:col>112</xdr:col>
      <xdr:colOff>54428</xdr:colOff>
      <xdr:row>192</xdr:row>
      <xdr:rowOff>136071</xdr:rowOff>
    </xdr:to>
    <xdr:cxnSp macro="">
      <xdr:nvCxnSpPr>
        <xdr:cNvPr id="297" name="直線コネクタ 29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109</xdr:col>
      <xdr:colOff>81643</xdr:colOff>
      <xdr:row>258</xdr:row>
      <xdr:rowOff>149679</xdr:rowOff>
    </xdr:from>
    <xdr:to>
      <xdr:col>110</xdr:col>
      <xdr:colOff>81643</xdr:colOff>
      <xdr:row>258</xdr:row>
      <xdr:rowOff>149679</xdr:rowOff>
    </xdr:to>
    <xdr:cxnSp macro="">
      <xdr:nvCxnSpPr>
        <xdr:cNvPr id="298" name="直線コネクタ 297"/>
        <xdr:cNvCxnSpPr/>
      </xdr:nvCxnSpPr>
      <xdr:spPr>
        <a:xfrm>
          <a:off x="6419850" y="421685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110</xdr:col>
      <xdr:colOff>272142</xdr:colOff>
      <xdr:row>190</xdr:row>
      <xdr:rowOff>149678</xdr:rowOff>
    </xdr:from>
    <xdr:to>
      <xdr:col>112</xdr:col>
      <xdr:colOff>-1</xdr:colOff>
      <xdr:row>190</xdr:row>
      <xdr:rowOff>149678</xdr:rowOff>
    </xdr:to>
    <xdr:cxnSp macro="">
      <xdr:nvCxnSpPr>
        <xdr:cNvPr id="299" name="直線コネクタ 29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136070</xdr:colOff>
      <xdr:row>199</xdr:row>
      <xdr:rowOff>136071</xdr:rowOff>
    </xdr:from>
    <xdr:to>
      <xdr:col>114</xdr:col>
      <xdr:colOff>108857</xdr:colOff>
      <xdr:row>199</xdr:row>
      <xdr:rowOff>136071</xdr:rowOff>
    </xdr:to>
    <xdr:cxnSp macro="">
      <xdr:nvCxnSpPr>
        <xdr:cNvPr id="300" name="直線コネクタ 29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xdr:colOff>
      <xdr:row>237</xdr:row>
      <xdr:rowOff>149679</xdr:rowOff>
    </xdr:from>
    <xdr:to>
      <xdr:col>114</xdr:col>
      <xdr:colOff>0</xdr:colOff>
      <xdr:row>237</xdr:row>
      <xdr:rowOff>149679</xdr:rowOff>
    </xdr:to>
    <xdr:cxnSp macro="">
      <xdr:nvCxnSpPr>
        <xdr:cNvPr id="301" name="直線コネクタ 30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111</xdr:col>
      <xdr:colOff>40821</xdr:colOff>
      <xdr:row>54</xdr:row>
      <xdr:rowOff>136071</xdr:rowOff>
    </xdr:from>
    <xdr:to>
      <xdr:col>112</xdr:col>
      <xdr:colOff>68035</xdr:colOff>
      <xdr:row>54</xdr:row>
      <xdr:rowOff>136071</xdr:rowOff>
    </xdr:to>
    <xdr:cxnSp macro="">
      <xdr:nvCxnSpPr>
        <xdr:cNvPr id="302" name="直線コネクタ 301"/>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136071</xdr:colOff>
      <xdr:row>196</xdr:row>
      <xdr:rowOff>136071</xdr:rowOff>
    </xdr:from>
    <xdr:to>
      <xdr:col>113</xdr:col>
      <xdr:colOff>340178</xdr:colOff>
      <xdr:row>196</xdr:row>
      <xdr:rowOff>136071</xdr:rowOff>
    </xdr:to>
    <xdr:cxnSp macro="">
      <xdr:nvCxnSpPr>
        <xdr:cNvPr id="303" name="直線コネクタ 30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112</xdr:col>
      <xdr:colOff>353785</xdr:colOff>
      <xdr:row>193</xdr:row>
      <xdr:rowOff>136071</xdr:rowOff>
    </xdr:from>
    <xdr:to>
      <xdr:col>113</xdr:col>
      <xdr:colOff>353785</xdr:colOff>
      <xdr:row>193</xdr:row>
      <xdr:rowOff>136071</xdr:rowOff>
    </xdr:to>
    <xdr:cxnSp macro="">
      <xdr:nvCxnSpPr>
        <xdr:cNvPr id="304" name="直線コネクタ 30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13607</xdr:colOff>
      <xdr:row>219</xdr:row>
      <xdr:rowOff>149678</xdr:rowOff>
    </xdr:from>
    <xdr:to>
      <xdr:col>113</xdr:col>
      <xdr:colOff>353786</xdr:colOff>
      <xdr:row>219</xdr:row>
      <xdr:rowOff>149678</xdr:rowOff>
    </xdr:to>
    <xdr:cxnSp macro="">
      <xdr:nvCxnSpPr>
        <xdr:cNvPr id="305" name="直線コネクタ 30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13608</xdr:colOff>
      <xdr:row>241</xdr:row>
      <xdr:rowOff>136071</xdr:rowOff>
    </xdr:from>
    <xdr:to>
      <xdr:col>113</xdr:col>
      <xdr:colOff>353787</xdr:colOff>
      <xdr:row>241</xdr:row>
      <xdr:rowOff>136071</xdr:rowOff>
    </xdr:to>
    <xdr:cxnSp macro="">
      <xdr:nvCxnSpPr>
        <xdr:cNvPr id="306" name="直線コネクタ 30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203</xdr:row>
      <xdr:rowOff>136071</xdr:rowOff>
    </xdr:from>
    <xdr:to>
      <xdr:col>116</xdr:col>
      <xdr:colOff>353786</xdr:colOff>
      <xdr:row>203</xdr:row>
      <xdr:rowOff>136071</xdr:rowOff>
    </xdr:to>
    <xdr:cxnSp macro="">
      <xdr:nvCxnSpPr>
        <xdr:cNvPr id="307" name="直線コネクタ 30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225</xdr:row>
      <xdr:rowOff>136072</xdr:rowOff>
    </xdr:from>
    <xdr:to>
      <xdr:col>117</xdr:col>
      <xdr:colOff>81643</xdr:colOff>
      <xdr:row>225</xdr:row>
      <xdr:rowOff>136072</xdr:rowOff>
    </xdr:to>
    <xdr:cxnSp macro="">
      <xdr:nvCxnSpPr>
        <xdr:cNvPr id="308" name="直線コネクタ 30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190500</xdr:colOff>
      <xdr:row>259</xdr:row>
      <xdr:rowOff>149679</xdr:rowOff>
    </xdr:from>
    <xdr:to>
      <xdr:col>116</xdr:col>
      <xdr:colOff>68036</xdr:colOff>
      <xdr:row>259</xdr:row>
      <xdr:rowOff>149679</xdr:rowOff>
    </xdr:to>
    <xdr:cxnSp macro="">
      <xdr:nvCxnSpPr>
        <xdr:cNvPr id="309" name="直線コネクタ 308"/>
        <xdr:cNvCxnSpPr/>
      </xdr:nvCxnSpPr>
      <xdr:spPr>
        <a:xfrm>
          <a:off x="6419850" y="5207454"/>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258536</xdr:colOff>
      <xdr:row>259</xdr:row>
      <xdr:rowOff>149680</xdr:rowOff>
    </xdr:from>
    <xdr:to>
      <xdr:col>120</xdr:col>
      <xdr:colOff>163287</xdr:colOff>
      <xdr:row>259</xdr:row>
      <xdr:rowOff>149680</xdr:rowOff>
    </xdr:to>
    <xdr:cxnSp macro="">
      <xdr:nvCxnSpPr>
        <xdr:cNvPr id="310" name="直線コネクタ 309"/>
        <xdr:cNvCxnSpPr/>
      </xdr:nvCxnSpPr>
      <xdr:spPr>
        <a:xfrm>
          <a:off x="6419850" y="5207455"/>
          <a:ext cx="1632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113</xdr:col>
      <xdr:colOff>312964</xdr:colOff>
      <xdr:row>235</xdr:row>
      <xdr:rowOff>136072</xdr:rowOff>
    </xdr:from>
    <xdr:to>
      <xdr:col>114</xdr:col>
      <xdr:colOff>108859</xdr:colOff>
      <xdr:row>235</xdr:row>
      <xdr:rowOff>136072</xdr:rowOff>
    </xdr:to>
    <xdr:cxnSp macro="">
      <xdr:nvCxnSpPr>
        <xdr:cNvPr id="311" name="直線コネクタ 310"/>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xdr:colOff>
      <xdr:row>200</xdr:row>
      <xdr:rowOff>136071</xdr:rowOff>
    </xdr:from>
    <xdr:to>
      <xdr:col>115</xdr:col>
      <xdr:colOff>13607</xdr:colOff>
      <xdr:row>200</xdr:row>
      <xdr:rowOff>136071</xdr:rowOff>
    </xdr:to>
    <xdr:cxnSp macro="">
      <xdr:nvCxnSpPr>
        <xdr:cNvPr id="312" name="直線コネクタ 31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81643</xdr:colOff>
      <xdr:row>244</xdr:row>
      <xdr:rowOff>149678</xdr:rowOff>
    </xdr:from>
    <xdr:to>
      <xdr:col>117</xdr:col>
      <xdr:colOff>285750</xdr:colOff>
      <xdr:row>244</xdr:row>
      <xdr:rowOff>149678</xdr:rowOff>
    </xdr:to>
    <xdr:cxnSp macro="">
      <xdr:nvCxnSpPr>
        <xdr:cNvPr id="313" name="直線コネクタ 31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163285</xdr:colOff>
      <xdr:row>248</xdr:row>
      <xdr:rowOff>122464</xdr:rowOff>
    </xdr:from>
    <xdr:to>
      <xdr:col>117</xdr:col>
      <xdr:colOff>108857</xdr:colOff>
      <xdr:row>248</xdr:row>
      <xdr:rowOff>122464</xdr:rowOff>
    </xdr:to>
    <xdr:cxnSp macro="">
      <xdr:nvCxnSpPr>
        <xdr:cNvPr id="314" name="直線コネクタ 31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136072</xdr:colOff>
      <xdr:row>56</xdr:row>
      <xdr:rowOff>136071</xdr:rowOff>
    </xdr:from>
    <xdr:to>
      <xdr:col>121</xdr:col>
      <xdr:colOff>0</xdr:colOff>
      <xdr:row>56</xdr:row>
      <xdr:rowOff>136071</xdr:rowOff>
    </xdr:to>
    <xdr:cxnSp macro="">
      <xdr:nvCxnSpPr>
        <xdr:cNvPr id="315" name="直線コネクタ 314"/>
        <xdr:cNvCxnSpPr/>
      </xdr:nvCxnSpPr>
      <xdr:spPr>
        <a:xfrm>
          <a:off x="6419850" y="1838325"/>
          <a:ext cx="37147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xdr:colOff>
      <xdr:row>226</xdr:row>
      <xdr:rowOff>136071</xdr:rowOff>
    </xdr:from>
    <xdr:to>
      <xdr:col>115</xdr:col>
      <xdr:colOff>13607</xdr:colOff>
      <xdr:row>226</xdr:row>
      <xdr:rowOff>136071</xdr:rowOff>
    </xdr:to>
    <xdr:cxnSp macro="">
      <xdr:nvCxnSpPr>
        <xdr:cNvPr id="316" name="直線コネクタ 31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xdr:colOff>
      <xdr:row>234</xdr:row>
      <xdr:rowOff>136071</xdr:rowOff>
    </xdr:from>
    <xdr:to>
      <xdr:col>115</xdr:col>
      <xdr:colOff>13607</xdr:colOff>
      <xdr:row>234</xdr:row>
      <xdr:rowOff>136071</xdr:rowOff>
    </xdr:to>
    <xdr:cxnSp macro="">
      <xdr:nvCxnSpPr>
        <xdr:cNvPr id="317" name="直線コネクタ 31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114</xdr:col>
      <xdr:colOff>258537</xdr:colOff>
      <xdr:row>262</xdr:row>
      <xdr:rowOff>136071</xdr:rowOff>
    </xdr:from>
    <xdr:to>
      <xdr:col>115</xdr:col>
      <xdr:colOff>272144</xdr:colOff>
      <xdr:row>262</xdr:row>
      <xdr:rowOff>136071</xdr:rowOff>
    </xdr:to>
    <xdr:cxnSp macro="">
      <xdr:nvCxnSpPr>
        <xdr:cNvPr id="318" name="直線コネクタ 317"/>
        <xdr:cNvCxnSpPr/>
      </xdr:nvCxnSpPr>
      <xdr:spPr>
        <a:xfrm>
          <a:off x="6419850" y="5441496"/>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217714</xdr:colOff>
      <xdr:row>249</xdr:row>
      <xdr:rowOff>149678</xdr:rowOff>
    </xdr:from>
    <xdr:to>
      <xdr:col>117</xdr:col>
      <xdr:colOff>299357</xdr:colOff>
      <xdr:row>249</xdr:row>
      <xdr:rowOff>149678</xdr:rowOff>
    </xdr:to>
    <xdr:cxnSp macro="">
      <xdr:nvCxnSpPr>
        <xdr:cNvPr id="319" name="直線コネクタ 318"/>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326572</xdr:colOff>
      <xdr:row>245</xdr:row>
      <xdr:rowOff>149679</xdr:rowOff>
    </xdr:from>
    <xdr:to>
      <xdr:col>119</xdr:col>
      <xdr:colOff>136071</xdr:colOff>
      <xdr:row>245</xdr:row>
      <xdr:rowOff>149679</xdr:rowOff>
    </xdr:to>
    <xdr:cxnSp macro="">
      <xdr:nvCxnSpPr>
        <xdr:cNvPr id="320" name="直線コネクタ 319"/>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13608</xdr:colOff>
      <xdr:row>19</xdr:row>
      <xdr:rowOff>136071</xdr:rowOff>
    </xdr:from>
    <xdr:to>
      <xdr:col>130</xdr:col>
      <xdr:colOff>13607</xdr:colOff>
      <xdr:row>19</xdr:row>
      <xdr:rowOff>136071</xdr:rowOff>
    </xdr:to>
    <xdr:cxnSp macro="">
      <xdr:nvCxnSpPr>
        <xdr:cNvPr id="321" name="直線コネクタ 320"/>
        <xdr:cNvCxnSpPr/>
      </xdr:nvCxnSpPr>
      <xdr:spPr>
        <a:xfrm>
          <a:off x="7919358" y="1095375"/>
          <a:ext cx="222884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217714</xdr:colOff>
      <xdr:row>18</xdr:row>
      <xdr:rowOff>136071</xdr:rowOff>
    </xdr:from>
    <xdr:to>
      <xdr:col>129</xdr:col>
      <xdr:colOff>353785</xdr:colOff>
      <xdr:row>18</xdr:row>
      <xdr:rowOff>136071</xdr:rowOff>
    </xdr:to>
    <xdr:cxnSp macro="">
      <xdr:nvCxnSpPr>
        <xdr:cNvPr id="322" name="直線コネクタ 321"/>
        <xdr:cNvCxnSpPr/>
      </xdr:nvCxnSpPr>
      <xdr:spPr>
        <a:xfrm>
          <a:off x="6419850" y="1095375"/>
          <a:ext cx="369706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258536</xdr:colOff>
      <xdr:row>215</xdr:row>
      <xdr:rowOff>136072</xdr:rowOff>
    </xdr:from>
    <xdr:to>
      <xdr:col>120</xdr:col>
      <xdr:colOff>0</xdr:colOff>
      <xdr:row>215</xdr:row>
      <xdr:rowOff>136072</xdr:rowOff>
    </xdr:to>
    <xdr:cxnSp macro="">
      <xdr:nvCxnSpPr>
        <xdr:cNvPr id="323" name="直線コネクタ 32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326572</xdr:colOff>
      <xdr:row>242</xdr:row>
      <xdr:rowOff>149679</xdr:rowOff>
    </xdr:from>
    <xdr:to>
      <xdr:col>119</xdr:col>
      <xdr:colOff>0</xdr:colOff>
      <xdr:row>242</xdr:row>
      <xdr:rowOff>149679</xdr:rowOff>
    </xdr:to>
    <xdr:cxnSp macro="">
      <xdr:nvCxnSpPr>
        <xdr:cNvPr id="324" name="直線コネクタ 32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190499</xdr:colOff>
      <xdr:row>227</xdr:row>
      <xdr:rowOff>136071</xdr:rowOff>
    </xdr:from>
    <xdr:to>
      <xdr:col>119</xdr:col>
      <xdr:colOff>13607</xdr:colOff>
      <xdr:row>227</xdr:row>
      <xdr:rowOff>136071</xdr:rowOff>
    </xdr:to>
    <xdr:cxnSp macro="">
      <xdr:nvCxnSpPr>
        <xdr:cNvPr id="325" name="直線コネクタ 32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68037</xdr:colOff>
      <xdr:row>239</xdr:row>
      <xdr:rowOff>122464</xdr:rowOff>
    </xdr:from>
    <xdr:to>
      <xdr:col>116</xdr:col>
      <xdr:colOff>81644</xdr:colOff>
      <xdr:row>239</xdr:row>
      <xdr:rowOff>122464</xdr:rowOff>
    </xdr:to>
    <xdr:cxnSp macro="">
      <xdr:nvCxnSpPr>
        <xdr:cNvPr id="326" name="直線コネクタ 325"/>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13607</xdr:colOff>
      <xdr:row>224</xdr:row>
      <xdr:rowOff>122465</xdr:rowOff>
    </xdr:from>
    <xdr:to>
      <xdr:col>118</xdr:col>
      <xdr:colOff>326571</xdr:colOff>
      <xdr:row>224</xdr:row>
      <xdr:rowOff>122465</xdr:rowOff>
    </xdr:to>
    <xdr:cxnSp macro="">
      <xdr:nvCxnSpPr>
        <xdr:cNvPr id="327" name="直線コネクタ 326"/>
        <xdr:cNvCxnSpPr/>
      </xdr:nvCxnSpPr>
      <xdr:spPr>
        <a:xfrm>
          <a:off x="6419850" y="18383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1361</xdr:colOff>
      <xdr:row>22</xdr:row>
      <xdr:rowOff>145597</xdr:rowOff>
    </xdr:from>
    <xdr:to>
      <xdr:col>128</xdr:col>
      <xdr:colOff>323850</xdr:colOff>
      <xdr:row>22</xdr:row>
      <xdr:rowOff>145597</xdr:rowOff>
    </xdr:to>
    <xdr:cxnSp macro="">
      <xdr:nvCxnSpPr>
        <xdr:cNvPr id="328" name="直線コネクタ 327"/>
        <xdr:cNvCxnSpPr/>
      </xdr:nvCxnSpPr>
      <xdr:spPr>
        <a:xfrm>
          <a:off x="7907111" y="1488622"/>
          <a:ext cx="180838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312964</xdr:colOff>
      <xdr:row>21</xdr:row>
      <xdr:rowOff>190500</xdr:rowOff>
    </xdr:from>
    <xdr:to>
      <xdr:col>128</xdr:col>
      <xdr:colOff>312963</xdr:colOff>
      <xdr:row>21</xdr:row>
      <xdr:rowOff>190500</xdr:rowOff>
    </xdr:to>
    <xdr:cxnSp macro="">
      <xdr:nvCxnSpPr>
        <xdr:cNvPr id="329" name="直線コネクタ 328"/>
        <xdr:cNvCxnSpPr/>
      </xdr:nvCxnSpPr>
      <xdr:spPr>
        <a:xfrm>
          <a:off x="7475764" y="1285875"/>
          <a:ext cx="2228849"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115</xdr:col>
      <xdr:colOff>272143</xdr:colOff>
      <xdr:row>21</xdr:row>
      <xdr:rowOff>190500</xdr:rowOff>
    </xdr:from>
    <xdr:to>
      <xdr:col>122</xdr:col>
      <xdr:colOff>312963</xdr:colOff>
      <xdr:row>21</xdr:row>
      <xdr:rowOff>190500</xdr:rowOff>
    </xdr:to>
    <xdr:cxnSp macro="">
      <xdr:nvCxnSpPr>
        <xdr:cNvPr id="330" name="直線コネクタ 329"/>
        <xdr:cNvCxnSpPr/>
      </xdr:nvCxnSpPr>
      <xdr:spPr>
        <a:xfrm>
          <a:off x="6419850" y="1285875"/>
          <a:ext cx="105591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163286</xdr:colOff>
      <xdr:row>254</xdr:row>
      <xdr:rowOff>136072</xdr:rowOff>
    </xdr:from>
    <xdr:to>
      <xdr:col>120</xdr:col>
      <xdr:colOff>0</xdr:colOff>
      <xdr:row>254</xdr:row>
      <xdr:rowOff>136072</xdr:rowOff>
    </xdr:to>
    <xdr:cxnSp macro="">
      <xdr:nvCxnSpPr>
        <xdr:cNvPr id="331" name="直線コネクタ 330"/>
        <xdr:cNvCxnSpPr/>
      </xdr:nvCxnSpPr>
      <xdr:spPr>
        <a:xfrm>
          <a:off x="6419850" y="1974397"/>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272143</xdr:colOff>
      <xdr:row>230</xdr:row>
      <xdr:rowOff>122464</xdr:rowOff>
    </xdr:from>
    <xdr:to>
      <xdr:col>117</xdr:col>
      <xdr:colOff>299359</xdr:colOff>
      <xdr:row>230</xdr:row>
      <xdr:rowOff>122464</xdr:rowOff>
    </xdr:to>
    <xdr:cxnSp macro="">
      <xdr:nvCxnSpPr>
        <xdr:cNvPr id="332" name="直線コネクタ 331"/>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116</xdr:col>
      <xdr:colOff>272143</xdr:colOff>
      <xdr:row>204</xdr:row>
      <xdr:rowOff>136072</xdr:rowOff>
    </xdr:from>
    <xdr:to>
      <xdr:col>117</xdr:col>
      <xdr:colOff>299359</xdr:colOff>
      <xdr:row>204</xdr:row>
      <xdr:rowOff>136072</xdr:rowOff>
    </xdr:to>
    <xdr:cxnSp macro="">
      <xdr:nvCxnSpPr>
        <xdr:cNvPr id="333" name="直線コネクタ 332"/>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0</xdr:colOff>
      <xdr:row>234</xdr:row>
      <xdr:rowOff>136071</xdr:rowOff>
    </xdr:from>
    <xdr:to>
      <xdr:col>118</xdr:col>
      <xdr:colOff>299357</xdr:colOff>
      <xdr:row>234</xdr:row>
      <xdr:rowOff>136071</xdr:rowOff>
    </xdr:to>
    <xdr:cxnSp macro="">
      <xdr:nvCxnSpPr>
        <xdr:cNvPr id="334" name="直線コネクタ 333"/>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118</xdr:col>
      <xdr:colOff>54428</xdr:colOff>
      <xdr:row>222</xdr:row>
      <xdr:rowOff>149680</xdr:rowOff>
    </xdr:from>
    <xdr:to>
      <xdr:col>119</xdr:col>
      <xdr:colOff>353785</xdr:colOff>
      <xdr:row>222</xdr:row>
      <xdr:rowOff>149680</xdr:rowOff>
    </xdr:to>
    <xdr:cxnSp macro="">
      <xdr:nvCxnSpPr>
        <xdr:cNvPr id="335" name="直線コネクタ 334"/>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353786</xdr:colOff>
      <xdr:row>254</xdr:row>
      <xdr:rowOff>136072</xdr:rowOff>
    </xdr:from>
    <xdr:to>
      <xdr:col>125</xdr:col>
      <xdr:colOff>353785</xdr:colOff>
      <xdr:row>254</xdr:row>
      <xdr:rowOff>136072</xdr:rowOff>
    </xdr:to>
    <xdr:cxnSp macro="">
      <xdr:nvCxnSpPr>
        <xdr:cNvPr id="336" name="直線コネクタ 335"/>
        <xdr:cNvCxnSpPr/>
      </xdr:nvCxnSpPr>
      <xdr:spPr>
        <a:xfrm>
          <a:off x="8259536" y="1974397"/>
          <a:ext cx="37147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27214</xdr:colOff>
      <xdr:row>229</xdr:row>
      <xdr:rowOff>136072</xdr:rowOff>
    </xdr:from>
    <xdr:to>
      <xdr:col>119</xdr:col>
      <xdr:colOff>353786</xdr:colOff>
      <xdr:row>229</xdr:row>
      <xdr:rowOff>136072</xdr:rowOff>
    </xdr:to>
    <xdr:cxnSp macro="">
      <xdr:nvCxnSpPr>
        <xdr:cNvPr id="337" name="直線コネクタ 336"/>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119</xdr:col>
      <xdr:colOff>149678</xdr:colOff>
      <xdr:row>233</xdr:row>
      <xdr:rowOff>136072</xdr:rowOff>
    </xdr:from>
    <xdr:to>
      <xdr:col>119</xdr:col>
      <xdr:colOff>353786</xdr:colOff>
      <xdr:row>233</xdr:row>
      <xdr:rowOff>136072</xdr:rowOff>
    </xdr:to>
    <xdr:cxnSp macro="">
      <xdr:nvCxnSpPr>
        <xdr:cNvPr id="338" name="直線コネクタ 337"/>
        <xdr:cNvCxnSpPr/>
      </xdr:nvCxnSpPr>
      <xdr:spPr>
        <a:xfrm>
          <a:off x="6419850" y="2333625"/>
          <a:ext cx="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128</xdr:col>
      <xdr:colOff>40821</xdr:colOff>
      <xdr:row>259</xdr:row>
      <xdr:rowOff>149678</xdr:rowOff>
    </xdr:from>
    <xdr:to>
      <xdr:col>128</xdr:col>
      <xdr:colOff>312964</xdr:colOff>
      <xdr:row>259</xdr:row>
      <xdr:rowOff>149678</xdr:rowOff>
    </xdr:to>
    <xdr:cxnSp macro="">
      <xdr:nvCxnSpPr>
        <xdr:cNvPr id="339" name="直線コネクタ 338"/>
        <xdr:cNvCxnSpPr/>
      </xdr:nvCxnSpPr>
      <xdr:spPr>
        <a:xfrm>
          <a:off x="9432471" y="5207453"/>
          <a:ext cx="27214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163285</xdr:colOff>
      <xdr:row>240</xdr:row>
      <xdr:rowOff>136072</xdr:rowOff>
    </xdr:from>
    <xdr:to>
      <xdr:col>124</xdr:col>
      <xdr:colOff>0</xdr:colOff>
      <xdr:row>240</xdr:row>
      <xdr:rowOff>136072</xdr:rowOff>
    </xdr:to>
    <xdr:cxnSp macro="">
      <xdr:nvCxnSpPr>
        <xdr:cNvPr id="340" name="直線コネクタ 339"/>
        <xdr:cNvCxnSpPr/>
      </xdr:nvCxnSpPr>
      <xdr:spPr>
        <a:xfrm>
          <a:off x="6954610" y="2964997"/>
          <a:ext cx="95114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125</xdr:col>
      <xdr:colOff>149678</xdr:colOff>
      <xdr:row>264</xdr:row>
      <xdr:rowOff>122465</xdr:rowOff>
    </xdr:from>
    <xdr:to>
      <xdr:col>131</xdr:col>
      <xdr:colOff>68036</xdr:colOff>
      <xdr:row>264</xdr:row>
      <xdr:rowOff>122465</xdr:rowOff>
    </xdr:to>
    <xdr:cxnSp macro="">
      <xdr:nvCxnSpPr>
        <xdr:cNvPr id="341" name="直線コネクタ 340"/>
        <xdr:cNvCxnSpPr/>
      </xdr:nvCxnSpPr>
      <xdr:spPr>
        <a:xfrm>
          <a:off x="8426903" y="5923190"/>
          <a:ext cx="21472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312964</xdr:colOff>
      <xdr:row>260</xdr:row>
      <xdr:rowOff>136071</xdr:rowOff>
    </xdr:from>
    <xdr:to>
      <xdr:col>124</xdr:col>
      <xdr:colOff>149679</xdr:colOff>
      <xdr:row>260</xdr:row>
      <xdr:rowOff>136071</xdr:rowOff>
    </xdr:to>
    <xdr:cxnSp macro="">
      <xdr:nvCxnSpPr>
        <xdr:cNvPr id="342" name="直線コネクタ 341"/>
        <xdr:cNvCxnSpPr/>
      </xdr:nvCxnSpPr>
      <xdr:spPr>
        <a:xfrm>
          <a:off x="7475764" y="3707946"/>
          <a:ext cx="57966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0</xdr:colOff>
      <xdr:row>236</xdr:row>
      <xdr:rowOff>136072</xdr:rowOff>
    </xdr:from>
    <xdr:to>
      <xdr:col>124</xdr:col>
      <xdr:colOff>0</xdr:colOff>
      <xdr:row>236</xdr:row>
      <xdr:rowOff>136072</xdr:rowOff>
    </xdr:to>
    <xdr:cxnSp macro="">
      <xdr:nvCxnSpPr>
        <xdr:cNvPr id="343" name="直線コネクタ 342"/>
        <xdr:cNvCxnSpPr/>
      </xdr:nvCxnSpPr>
      <xdr:spPr>
        <a:xfrm>
          <a:off x="6791325" y="2717347"/>
          <a:ext cx="1114425"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120</xdr:col>
      <xdr:colOff>258536</xdr:colOff>
      <xdr:row>243</xdr:row>
      <xdr:rowOff>136070</xdr:rowOff>
    </xdr:from>
    <xdr:to>
      <xdr:col>121</xdr:col>
      <xdr:colOff>176893</xdr:colOff>
      <xdr:row>243</xdr:row>
      <xdr:rowOff>136070</xdr:rowOff>
    </xdr:to>
    <xdr:cxnSp macro="">
      <xdr:nvCxnSpPr>
        <xdr:cNvPr id="344" name="直線コネクタ 343"/>
        <xdr:cNvCxnSpPr/>
      </xdr:nvCxnSpPr>
      <xdr:spPr>
        <a:xfrm>
          <a:off x="6678386" y="2333625"/>
          <a:ext cx="289832"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121</xdr:col>
      <xdr:colOff>13608</xdr:colOff>
      <xdr:row>252</xdr:row>
      <xdr:rowOff>136072</xdr:rowOff>
    </xdr:from>
    <xdr:to>
      <xdr:col>124</xdr:col>
      <xdr:colOff>0</xdr:colOff>
      <xdr:row>252</xdr:row>
      <xdr:rowOff>136072</xdr:rowOff>
    </xdr:to>
    <xdr:cxnSp macro="">
      <xdr:nvCxnSpPr>
        <xdr:cNvPr id="345" name="直線コネクタ 344"/>
        <xdr:cNvCxnSpPr/>
      </xdr:nvCxnSpPr>
      <xdr:spPr>
        <a:xfrm>
          <a:off x="6804933" y="3212647"/>
          <a:ext cx="110081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138</xdr:col>
      <xdr:colOff>11205</xdr:colOff>
      <xdr:row>23</xdr:row>
      <xdr:rowOff>190501</xdr:rowOff>
    </xdr:from>
    <xdr:to>
      <xdr:col>148</xdr:col>
      <xdr:colOff>145676</xdr:colOff>
      <xdr:row>23</xdr:row>
      <xdr:rowOff>190501</xdr:rowOff>
    </xdr:to>
    <xdr:cxnSp macro="">
      <xdr:nvCxnSpPr>
        <xdr:cNvPr id="346" name="直線コネクタ 345"/>
        <xdr:cNvCxnSpPr/>
      </xdr:nvCxnSpPr>
      <xdr:spPr>
        <a:xfrm>
          <a:off x="13117605" y="1781176"/>
          <a:ext cx="3849221" cy="0"/>
        </a:xfrm>
        <a:prstGeom prst="line">
          <a:avLst/>
        </a:prstGeom>
        <a:ln w="44450" cmpd="dbl">
          <a:solidFill>
            <a:schemeClr val="tx1"/>
          </a:solidFill>
          <a:prstDash val="sysDash"/>
          <a:headEnd type="oval" w="sm" len="sm"/>
          <a:tailEnd type="none" w="sm" len="sm"/>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299358</xdr:colOff>
      <xdr:row>59</xdr:row>
      <xdr:rowOff>136072</xdr:rowOff>
    </xdr:from>
    <xdr:to>
      <xdr:col>125</xdr:col>
      <xdr:colOff>353786</xdr:colOff>
      <xdr:row>59</xdr:row>
      <xdr:rowOff>136072</xdr:rowOff>
    </xdr:to>
    <xdr:cxnSp macro="">
      <xdr:nvCxnSpPr>
        <xdr:cNvPr id="347" name="直線コネクタ 346"/>
        <xdr:cNvCxnSpPr/>
      </xdr:nvCxnSpPr>
      <xdr:spPr>
        <a:xfrm>
          <a:off x="8205108" y="2222047"/>
          <a:ext cx="425903"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204107</xdr:colOff>
      <xdr:row>256</xdr:row>
      <xdr:rowOff>136071</xdr:rowOff>
    </xdr:from>
    <xdr:to>
      <xdr:col>124</xdr:col>
      <xdr:colOff>340178</xdr:colOff>
      <xdr:row>256</xdr:row>
      <xdr:rowOff>136071</xdr:rowOff>
    </xdr:to>
    <xdr:cxnSp macro="">
      <xdr:nvCxnSpPr>
        <xdr:cNvPr id="348" name="直線コネクタ 347"/>
        <xdr:cNvCxnSpPr/>
      </xdr:nvCxnSpPr>
      <xdr:spPr>
        <a:xfrm>
          <a:off x="7366907" y="3955596"/>
          <a:ext cx="87902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190500</xdr:colOff>
      <xdr:row>247</xdr:row>
      <xdr:rowOff>136072</xdr:rowOff>
    </xdr:from>
    <xdr:to>
      <xdr:col>123</xdr:col>
      <xdr:colOff>258535</xdr:colOff>
      <xdr:row>247</xdr:row>
      <xdr:rowOff>136072</xdr:rowOff>
    </xdr:to>
    <xdr:cxnSp macro="">
      <xdr:nvCxnSpPr>
        <xdr:cNvPr id="349" name="直線コネクタ 348"/>
        <xdr:cNvCxnSpPr/>
      </xdr:nvCxnSpPr>
      <xdr:spPr>
        <a:xfrm>
          <a:off x="7353300" y="2469697"/>
          <a:ext cx="439510"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122</xdr:col>
      <xdr:colOff>204107</xdr:colOff>
      <xdr:row>255</xdr:row>
      <xdr:rowOff>136071</xdr:rowOff>
    </xdr:from>
    <xdr:to>
      <xdr:col>124</xdr:col>
      <xdr:colOff>122465</xdr:colOff>
      <xdr:row>255</xdr:row>
      <xdr:rowOff>136071</xdr:rowOff>
    </xdr:to>
    <xdr:cxnSp macro="">
      <xdr:nvCxnSpPr>
        <xdr:cNvPr id="350" name="直線コネクタ 349"/>
        <xdr:cNvCxnSpPr/>
      </xdr:nvCxnSpPr>
      <xdr:spPr>
        <a:xfrm>
          <a:off x="7366907" y="3460296"/>
          <a:ext cx="66130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123</xdr:col>
      <xdr:colOff>190500</xdr:colOff>
      <xdr:row>258</xdr:row>
      <xdr:rowOff>136071</xdr:rowOff>
    </xdr:from>
    <xdr:to>
      <xdr:col>125</xdr:col>
      <xdr:colOff>326571</xdr:colOff>
      <xdr:row>258</xdr:row>
      <xdr:rowOff>136071</xdr:rowOff>
    </xdr:to>
    <xdr:cxnSp macro="">
      <xdr:nvCxnSpPr>
        <xdr:cNvPr id="351" name="直線コネクタ 350"/>
        <xdr:cNvCxnSpPr/>
      </xdr:nvCxnSpPr>
      <xdr:spPr>
        <a:xfrm>
          <a:off x="7724775" y="4203246"/>
          <a:ext cx="879021"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123</xdr:col>
      <xdr:colOff>27214</xdr:colOff>
      <xdr:row>253</xdr:row>
      <xdr:rowOff>136072</xdr:rowOff>
    </xdr:from>
    <xdr:to>
      <xdr:col>127</xdr:col>
      <xdr:colOff>326572</xdr:colOff>
      <xdr:row>253</xdr:row>
      <xdr:rowOff>136072</xdr:rowOff>
    </xdr:to>
    <xdr:cxnSp macro="">
      <xdr:nvCxnSpPr>
        <xdr:cNvPr id="352" name="直線コネクタ 351"/>
        <xdr:cNvCxnSpPr/>
      </xdr:nvCxnSpPr>
      <xdr:spPr>
        <a:xfrm>
          <a:off x="7561489" y="4698547"/>
          <a:ext cx="1785258"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312964</xdr:colOff>
      <xdr:row>257</xdr:row>
      <xdr:rowOff>136072</xdr:rowOff>
    </xdr:from>
    <xdr:to>
      <xdr:col>127</xdr:col>
      <xdr:colOff>81643</xdr:colOff>
      <xdr:row>257</xdr:row>
      <xdr:rowOff>136072</xdr:rowOff>
    </xdr:to>
    <xdr:cxnSp macro="">
      <xdr:nvCxnSpPr>
        <xdr:cNvPr id="353" name="直線コネクタ 352"/>
        <xdr:cNvCxnSpPr/>
      </xdr:nvCxnSpPr>
      <xdr:spPr>
        <a:xfrm>
          <a:off x="8218714" y="4450897"/>
          <a:ext cx="883104"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124</xdr:col>
      <xdr:colOff>81642</xdr:colOff>
      <xdr:row>266</xdr:row>
      <xdr:rowOff>136072</xdr:rowOff>
    </xdr:from>
    <xdr:to>
      <xdr:col>128</xdr:col>
      <xdr:colOff>54429</xdr:colOff>
      <xdr:row>266</xdr:row>
      <xdr:rowOff>136072</xdr:rowOff>
    </xdr:to>
    <xdr:cxnSp macro="">
      <xdr:nvCxnSpPr>
        <xdr:cNvPr id="354" name="直線コネクタ 353"/>
        <xdr:cNvCxnSpPr/>
      </xdr:nvCxnSpPr>
      <xdr:spPr>
        <a:xfrm>
          <a:off x="7987392" y="6432097"/>
          <a:ext cx="1458687" cy="0"/>
        </a:xfrm>
        <a:prstGeom prst="line">
          <a:avLst/>
        </a:prstGeom>
        <a:ln w="31750">
          <a:solidFill>
            <a:schemeClr val="tx1"/>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33618</xdr:colOff>
      <xdr:row>273</xdr:row>
      <xdr:rowOff>212913</xdr:rowOff>
    </xdr:from>
    <xdr:to>
      <xdr:col>65</xdr:col>
      <xdr:colOff>145677</xdr:colOff>
      <xdr:row>273</xdr:row>
      <xdr:rowOff>212913</xdr:rowOff>
    </xdr:to>
    <xdr:cxnSp macro="">
      <xdr:nvCxnSpPr>
        <xdr:cNvPr id="355" name="直線コネクタ 354"/>
        <xdr:cNvCxnSpPr/>
      </xdr:nvCxnSpPr>
      <xdr:spPr>
        <a:xfrm>
          <a:off x="6504214" y="19771820"/>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156883</xdr:colOff>
      <xdr:row>278</xdr:row>
      <xdr:rowOff>224117</xdr:rowOff>
    </xdr:from>
    <xdr:to>
      <xdr:col>66</xdr:col>
      <xdr:colOff>257735</xdr:colOff>
      <xdr:row>278</xdr:row>
      <xdr:rowOff>224117</xdr:rowOff>
    </xdr:to>
    <xdr:cxnSp macro="">
      <xdr:nvCxnSpPr>
        <xdr:cNvPr id="356" name="直線コネクタ 355"/>
        <xdr:cNvCxnSpPr/>
      </xdr:nvCxnSpPr>
      <xdr:spPr>
        <a:xfrm>
          <a:off x="6504214" y="20211649"/>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22412</xdr:colOff>
      <xdr:row>274</xdr:row>
      <xdr:rowOff>235323</xdr:rowOff>
    </xdr:from>
    <xdr:to>
      <xdr:col>68</xdr:col>
      <xdr:colOff>291353</xdr:colOff>
      <xdr:row>274</xdr:row>
      <xdr:rowOff>235323</xdr:rowOff>
    </xdr:to>
    <xdr:cxnSp macro="">
      <xdr:nvCxnSpPr>
        <xdr:cNvPr id="357" name="直線コネクタ 356"/>
        <xdr:cNvCxnSpPr/>
      </xdr:nvCxnSpPr>
      <xdr:spPr>
        <a:xfrm>
          <a:off x="6504214" y="19968402"/>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33617</xdr:colOff>
      <xdr:row>277</xdr:row>
      <xdr:rowOff>224118</xdr:rowOff>
    </xdr:from>
    <xdr:to>
      <xdr:col>74</xdr:col>
      <xdr:colOff>302558</xdr:colOff>
      <xdr:row>277</xdr:row>
      <xdr:rowOff>224118</xdr:rowOff>
    </xdr:to>
    <xdr:cxnSp macro="">
      <xdr:nvCxnSpPr>
        <xdr:cNvPr id="358" name="直線コネクタ 357"/>
        <xdr:cNvCxnSpPr/>
      </xdr:nvCxnSpPr>
      <xdr:spPr>
        <a:xfrm>
          <a:off x="6504214" y="20008904"/>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11206</xdr:colOff>
      <xdr:row>274</xdr:row>
      <xdr:rowOff>235323</xdr:rowOff>
    </xdr:from>
    <xdr:to>
      <xdr:col>75</xdr:col>
      <xdr:colOff>302559</xdr:colOff>
      <xdr:row>274</xdr:row>
      <xdr:rowOff>235323</xdr:rowOff>
    </xdr:to>
    <xdr:cxnSp macro="">
      <xdr:nvCxnSpPr>
        <xdr:cNvPr id="359" name="直線コネクタ 358"/>
        <xdr:cNvCxnSpPr/>
      </xdr:nvCxnSpPr>
      <xdr:spPr>
        <a:xfrm>
          <a:off x="6504214" y="19968402"/>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33618</xdr:colOff>
      <xdr:row>277</xdr:row>
      <xdr:rowOff>212913</xdr:rowOff>
    </xdr:from>
    <xdr:to>
      <xdr:col>65</xdr:col>
      <xdr:colOff>145677</xdr:colOff>
      <xdr:row>277</xdr:row>
      <xdr:rowOff>212913</xdr:rowOff>
    </xdr:to>
    <xdr:cxnSp macro="">
      <xdr:nvCxnSpPr>
        <xdr:cNvPr id="362" name="直線コネクタ 361"/>
        <xdr:cNvCxnSpPr/>
      </xdr:nvCxnSpPr>
      <xdr:spPr>
        <a:xfrm>
          <a:off x="6504214" y="14750784"/>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22412</xdr:colOff>
      <xdr:row>278</xdr:row>
      <xdr:rowOff>235323</xdr:rowOff>
    </xdr:from>
    <xdr:to>
      <xdr:col>68</xdr:col>
      <xdr:colOff>291353</xdr:colOff>
      <xdr:row>278</xdr:row>
      <xdr:rowOff>235323</xdr:rowOff>
    </xdr:to>
    <xdr:cxnSp macro="">
      <xdr:nvCxnSpPr>
        <xdr:cNvPr id="363" name="直線コネクタ 362"/>
        <xdr:cNvCxnSpPr/>
      </xdr:nvCxnSpPr>
      <xdr:spPr>
        <a:xfrm>
          <a:off x="6504214" y="14947366"/>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11206</xdr:colOff>
      <xdr:row>278</xdr:row>
      <xdr:rowOff>235323</xdr:rowOff>
    </xdr:from>
    <xdr:to>
      <xdr:col>75</xdr:col>
      <xdr:colOff>302559</xdr:colOff>
      <xdr:row>278</xdr:row>
      <xdr:rowOff>235323</xdr:rowOff>
    </xdr:to>
    <xdr:cxnSp macro="">
      <xdr:nvCxnSpPr>
        <xdr:cNvPr id="364" name="直線コネクタ 363"/>
        <xdr:cNvCxnSpPr/>
      </xdr:nvCxnSpPr>
      <xdr:spPr>
        <a:xfrm>
          <a:off x="6504214" y="14947366"/>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33618</xdr:colOff>
      <xdr:row>279</xdr:row>
      <xdr:rowOff>212913</xdr:rowOff>
    </xdr:from>
    <xdr:to>
      <xdr:col>65</xdr:col>
      <xdr:colOff>145677</xdr:colOff>
      <xdr:row>279</xdr:row>
      <xdr:rowOff>212913</xdr:rowOff>
    </xdr:to>
    <xdr:cxnSp macro="">
      <xdr:nvCxnSpPr>
        <xdr:cNvPr id="365" name="直線コネクタ 364"/>
        <xdr:cNvCxnSpPr/>
      </xdr:nvCxnSpPr>
      <xdr:spPr>
        <a:xfrm>
          <a:off x="6504214" y="14750784"/>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22412</xdr:colOff>
      <xdr:row>280</xdr:row>
      <xdr:rowOff>235323</xdr:rowOff>
    </xdr:from>
    <xdr:to>
      <xdr:col>68</xdr:col>
      <xdr:colOff>291353</xdr:colOff>
      <xdr:row>280</xdr:row>
      <xdr:rowOff>235323</xdr:rowOff>
    </xdr:to>
    <xdr:cxnSp macro="">
      <xdr:nvCxnSpPr>
        <xdr:cNvPr id="366" name="直線コネクタ 365"/>
        <xdr:cNvCxnSpPr/>
      </xdr:nvCxnSpPr>
      <xdr:spPr>
        <a:xfrm>
          <a:off x="6504214" y="14947366"/>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11206</xdr:colOff>
      <xdr:row>280</xdr:row>
      <xdr:rowOff>235323</xdr:rowOff>
    </xdr:from>
    <xdr:to>
      <xdr:col>75</xdr:col>
      <xdr:colOff>302559</xdr:colOff>
      <xdr:row>280</xdr:row>
      <xdr:rowOff>235323</xdr:rowOff>
    </xdr:to>
    <xdr:cxnSp macro="">
      <xdr:nvCxnSpPr>
        <xdr:cNvPr id="367" name="直線コネクタ 366"/>
        <xdr:cNvCxnSpPr/>
      </xdr:nvCxnSpPr>
      <xdr:spPr>
        <a:xfrm>
          <a:off x="6504214" y="14947366"/>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156883</xdr:colOff>
      <xdr:row>276</xdr:row>
      <xdr:rowOff>224117</xdr:rowOff>
    </xdr:from>
    <xdr:to>
      <xdr:col>66</xdr:col>
      <xdr:colOff>257735</xdr:colOff>
      <xdr:row>276</xdr:row>
      <xdr:rowOff>224117</xdr:rowOff>
    </xdr:to>
    <xdr:cxnSp macro="">
      <xdr:nvCxnSpPr>
        <xdr:cNvPr id="368" name="直線コネクタ 367"/>
        <xdr:cNvCxnSpPr/>
      </xdr:nvCxnSpPr>
      <xdr:spPr>
        <a:xfrm>
          <a:off x="6504214" y="15598828"/>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71</xdr:col>
      <xdr:colOff>33617</xdr:colOff>
      <xdr:row>275</xdr:row>
      <xdr:rowOff>224118</xdr:rowOff>
    </xdr:from>
    <xdr:to>
      <xdr:col>74</xdr:col>
      <xdr:colOff>302558</xdr:colOff>
      <xdr:row>275</xdr:row>
      <xdr:rowOff>224118</xdr:rowOff>
    </xdr:to>
    <xdr:cxnSp macro="">
      <xdr:nvCxnSpPr>
        <xdr:cNvPr id="369" name="直線コネクタ 368"/>
        <xdr:cNvCxnSpPr/>
      </xdr:nvCxnSpPr>
      <xdr:spPr>
        <a:xfrm>
          <a:off x="6504214" y="15396082"/>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64</xdr:col>
      <xdr:colOff>33618</xdr:colOff>
      <xdr:row>275</xdr:row>
      <xdr:rowOff>212913</xdr:rowOff>
    </xdr:from>
    <xdr:to>
      <xdr:col>65</xdr:col>
      <xdr:colOff>145677</xdr:colOff>
      <xdr:row>275</xdr:row>
      <xdr:rowOff>212913</xdr:rowOff>
    </xdr:to>
    <xdr:cxnSp macro="">
      <xdr:nvCxnSpPr>
        <xdr:cNvPr id="370" name="直線コネクタ 369"/>
        <xdr:cNvCxnSpPr/>
      </xdr:nvCxnSpPr>
      <xdr:spPr>
        <a:xfrm>
          <a:off x="6504214" y="15403927"/>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67</xdr:col>
      <xdr:colOff>22412</xdr:colOff>
      <xdr:row>276</xdr:row>
      <xdr:rowOff>235323</xdr:rowOff>
    </xdr:from>
    <xdr:to>
      <xdr:col>68</xdr:col>
      <xdr:colOff>291353</xdr:colOff>
      <xdr:row>276</xdr:row>
      <xdr:rowOff>235323</xdr:rowOff>
    </xdr:to>
    <xdr:cxnSp macro="">
      <xdr:nvCxnSpPr>
        <xdr:cNvPr id="371" name="直線コネクタ 370"/>
        <xdr:cNvCxnSpPr/>
      </xdr:nvCxnSpPr>
      <xdr:spPr>
        <a:xfrm>
          <a:off x="6504214" y="15600509"/>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75</xdr:col>
      <xdr:colOff>11206</xdr:colOff>
      <xdr:row>276</xdr:row>
      <xdr:rowOff>235323</xdr:rowOff>
    </xdr:from>
    <xdr:to>
      <xdr:col>75</xdr:col>
      <xdr:colOff>302559</xdr:colOff>
      <xdr:row>276</xdr:row>
      <xdr:rowOff>235323</xdr:rowOff>
    </xdr:to>
    <xdr:cxnSp macro="">
      <xdr:nvCxnSpPr>
        <xdr:cNvPr id="372" name="直線コネクタ 371"/>
        <xdr:cNvCxnSpPr/>
      </xdr:nvCxnSpPr>
      <xdr:spPr>
        <a:xfrm>
          <a:off x="6504214" y="15600509"/>
          <a:ext cx="0" cy="0"/>
        </a:xfrm>
        <a:prstGeom prst="line">
          <a:avLst/>
        </a:prstGeom>
        <a:ln w="31750">
          <a:solidFill>
            <a:srgbClr val="00B050"/>
          </a:solidFill>
          <a:prstDash val="sysDash"/>
          <a:headEnd type="oval" w="med" len="med"/>
          <a:tailEnd type="oval" w="med" len="med"/>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139</xdr:col>
      <xdr:colOff>244928</xdr:colOff>
      <xdr:row>247</xdr:row>
      <xdr:rowOff>108857</xdr:rowOff>
    </xdr:from>
    <xdr:to>
      <xdr:col>149</xdr:col>
      <xdr:colOff>239485</xdr:colOff>
      <xdr:row>253</xdr:row>
      <xdr:rowOff>108856</xdr:rowOff>
    </xdr:to>
    <xdr:pic>
      <xdr:nvPicPr>
        <xdr:cNvPr id="374" name="図 37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29607" y="8790214"/>
          <a:ext cx="3668485" cy="1469571"/>
        </a:xfrm>
        <a:prstGeom prst="rect">
          <a:avLst/>
        </a:prstGeom>
        <a:solidFill>
          <a:schemeClr val="bg1"/>
        </a:solid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FF00"/>
  </sheetPr>
  <dimension ref="A1:HL1495"/>
  <sheetViews>
    <sheetView tabSelected="1" view="pageBreakPreview" zoomScale="70" zoomScaleNormal="25" zoomScaleSheetLayoutView="70" workbookViewId="0">
      <pane xSplit="3" ySplit="4" topLeftCell="D539" activePane="bottomRight" state="frozen"/>
      <selection pane="topRight" activeCell="C1" sqref="C1"/>
      <selection pane="bottomLeft" activeCell="A4" sqref="A4"/>
      <selection pane="bottomRight" activeCell="T555" sqref="T555"/>
    </sheetView>
  </sheetViews>
  <sheetFormatPr defaultColWidth="9" defaultRowHeight="14.25"/>
  <cols>
    <col min="1" max="1" width="10.875" style="287" customWidth="1"/>
    <col min="2" max="2" width="8.625" style="288" customWidth="1"/>
    <col min="3" max="3" width="30.625" style="289" customWidth="1"/>
    <col min="4" max="5" width="8.625" style="290" customWidth="1"/>
    <col min="6" max="7" width="8.625" style="291" customWidth="1"/>
    <col min="8" max="8" width="15.125" style="291" customWidth="1"/>
    <col min="9" max="9" width="6.625" style="291" customWidth="1"/>
    <col min="10" max="10" width="13.625" style="291" customWidth="1"/>
    <col min="11" max="11" width="8.625" style="291" customWidth="1"/>
    <col min="12" max="12" width="9.25" style="292" customWidth="1"/>
    <col min="13" max="13" width="8.625" style="291" customWidth="1"/>
    <col min="14" max="14" width="6.625" style="291" customWidth="1"/>
    <col min="15" max="15" width="8.625" style="291" customWidth="1"/>
    <col min="16" max="17" width="8.625" style="293" customWidth="1"/>
    <col min="18" max="18" width="30.625" style="288" customWidth="1"/>
    <col min="19" max="19" width="12.625" style="288" customWidth="1"/>
    <col min="20" max="20" width="16" style="288" customWidth="1"/>
    <col min="21" max="22" width="21.875" style="288" customWidth="1"/>
    <col min="23" max="23" width="30.625" style="288" customWidth="1"/>
    <col min="24" max="24" width="12.625" style="288" customWidth="1"/>
    <col min="25" max="25" width="16" style="288" customWidth="1"/>
    <col min="26" max="27" width="21.875" style="288" customWidth="1"/>
    <col min="28" max="31" width="30.625" style="288" customWidth="1"/>
    <col min="32" max="33" width="10.625" style="294" customWidth="1"/>
    <col min="34" max="37" width="6.625" style="295" customWidth="1"/>
    <col min="38" max="41" width="6.625" style="291" customWidth="1"/>
    <col min="42" max="42" width="9.25" style="296" customWidth="1"/>
    <col min="43" max="43" width="9.25" style="292" customWidth="1"/>
    <col min="44" max="45" width="8.625" style="291" customWidth="1"/>
    <col min="46" max="49" width="8.625" style="295" customWidth="1"/>
    <col min="50" max="50" width="6.625" style="295" customWidth="1"/>
    <col min="51" max="51" width="9.25" style="292" customWidth="1"/>
    <col min="52" max="52" width="4.625" style="291" customWidth="1"/>
    <col min="53" max="53" width="6.625" style="291" customWidth="1"/>
    <col min="54" max="54" width="10.625" style="291" customWidth="1"/>
    <col min="55" max="55" width="6.625" style="291" customWidth="1"/>
    <col min="56" max="56" width="10.625" style="291" customWidth="1"/>
    <col min="57" max="57" width="6.625" style="291" customWidth="1"/>
    <col min="58" max="58" width="10.625" style="291" customWidth="1"/>
    <col min="59" max="59" width="6.625" style="291" customWidth="1"/>
    <col min="60" max="60" width="10.625" style="291" customWidth="1"/>
    <col min="61" max="61" width="7.75" style="295" customWidth="1"/>
    <col min="62" max="63" width="11" style="297" customWidth="1"/>
    <col min="64" max="64" width="11" style="292" customWidth="1"/>
    <col min="65" max="65" width="9.25" style="292" customWidth="1"/>
    <col min="66" max="66" width="6.625" style="291" customWidth="1"/>
    <col min="67" max="67" width="6.125" style="297" customWidth="1"/>
    <col min="68" max="68" width="6.625" style="291" customWidth="1"/>
    <col min="69" max="70" width="9.25" style="292" customWidth="1"/>
    <col min="71" max="72" width="9.25" style="292" hidden="1" customWidth="1"/>
    <col min="73" max="73" width="9.25" style="292" customWidth="1"/>
    <col min="74" max="74" width="9.25" style="296" customWidth="1"/>
    <col min="75" max="76" width="6.625" style="295" customWidth="1"/>
    <col min="77" max="81" width="38.5" style="288" customWidth="1"/>
    <col min="82" max="82" width="11.875" style="293" customWidth="1"/>
    <col min="83" max="16384" width="9" style="288"/>
  </cols>
  <sheetData>
    <row r="1" spans="1:220"/>
    <row r="2" spans="1:220" s="301" customFormat="1" ht="15" thickBot="1">
      <c r="A2" s="298"/>
      <c r="B2" s="299">
        <v>1</v>
      </c>
      <c r="C2" s="300">
        <v>2</v>
      </c>
      <c r="D2" s="299">
        <v>3</v>
      </c>
      <c r="E2" s="300">
        <v>4</v>
      </c>
      <c r="F2" s="299">
        <v>5</v>
      </c>
      <c r="G2" s="300">
        <v>6</v>
      </c>
      <c r="H2" s="299">
        <v>7</v>
      </c>
      <c r="I2" s="300">
        <v>8</v>
      </c>
      <c r="J2" s="299">
        <v>9</v>
      </c>
      <c r="K2" s="300">
        <v>10</v>
      </c>
      <c r="L2" s="299">
        <v>11</v>
      </c>
      <c r="M2" s="300">
        <v>12</v>
      </c>
      <c r="N2" s="299">
        <v>13</v>
      </c>
      <c r="O2" s="300">
        <v>14</v>
      </c>
      <c r="P2" s="299">
        <v>15</v>
      </c>
      <c r="Q2" s="300">
        <v>16</v>
      </c>
      <c r="R2" s="299">
        <v>17</v>
      </c>
      <c r="S2" s="300">
        <v>18</v>
      </c>
      <c r="T2" s="299">
        <v>19</v>
      </c>
      <c r="U2" s="300">
        <v>20</v>
      </c>
      <c r="V2" s="299">
        <v>21</v>
      </c>
      <c r="W2" s="300">
        <v>22</v>
      </c>
      <c r="X2" s="299">
        <v>23</v>
      </c>
      <c r="Y2" s="300">
        <v>24</v>
      </c>
      <c r="Z2" s="299">
        <v>25</v>
      </c>
      <c r="AA2" s="300">
        <v>26</v>
      </c>
      <c r="AB2" s="299">
        <v>27</v>
      </c>
      <c r="AC2" s="300">
        <v>28</v>
      </c>
      <c r="AD2" s="299">
        <v>29</v>
      </c>
      <c r="AE2" s="300">
        <v>30</v>
      </c>
      <c r="AF2" s="299">
        <v>31</v>
      </c>
      <c r="AG2" s="300">
        <v>32</v>
      </c>
      <c r="AH2" s="299">
        <v>33</v>
      </c>
      <c r="AI2" s="300">
        <v>34</v>
      </c>
      <c r="AJ2" s="299">
        <v>35</v>
      </c>
      <c r="AK2" s="300">
        <v>36</v>
      </c>
      <c r="AL2" s="299">
        <v>37</v>
      </c>
      <c r="AM2" s="300">
        <v>38</v>
      </c>
      <c r="AN2" s="299">
        <v>39</v>
      </c>
      <c r="AO2" s="300">
        <v>40</v>
      </c>
      <c r="AP2" s="299">
        <v>41</v>
      </c>
      <c r="AQ2" s="300">
        <v>42</v>
      </c>
      <c r="AR2" s="299">
        <v>43</v>
      </c>
      <c r="AS2" s="300">
        <v>44</v>
      </c>
      <c r="AT2" s="299">
        <v>45</v>
      </c>
      <c r="AU2" s="300">
        <v>46</v>
      </c>
      <c r="AV2" s="299">
        <v>47</v>
      </c>
      <c r="AW2" s="300">
        <v>48</v>
      </c>
      <c r="AX2" s="299">
        <v>49</v>
      </c>
      <c r="AY2" s="300">
        <v>50</v>
      </c>
      <c r="AZ2" s="299">
        <v>51</v>
      </c>
      <c r="BA2" s="300">
        <v>52</v>
      </c>
      <c r="BB2" s="299">
        <v>53</v>
      </c>
      <c r="BC2" s="300">
        <v>54</v>
      </c>
      <c r="BD2" s="299">
        <v>55</v>
      </c>
      <c r="BE2" s="300">
        <v>56</v>
      </c>
      <c r="BF2" s="299">
        <v>57</v>
      </c>
      <c r="BG2" s="300">
        <v>58</v>
      </c>
      <c r="BH2" s="299">
        <v>59</v>
      </c>
      <c r="BI2" s="300">
        <v>60</v>
      </c>
      <c r="BJ2" s="299">
        <v>61</v>
      </c>
      <c r="BK2" s="300">
        <v>62</v>
      </c>
      <c r="BL2" s="299">
        <v>63</v>
      </c>
      <c r="BM2" s="300">
        <v>64</v>
      </c>
      <c r="BN2" s="299">
        <v>65</v>
      </c>
      <c r="BO2" s="300">
        <v>66</v>
      </c>
      <c r="BP2" s="299">
        <v>67</v>
      </c>
      <c r="BQ2" s="300">
        <v>68</v>
      </c>
      <c r="BR2" s="299">
        <v>69</v>
      </c>
      <c r="BS2" s="300">
        <v>70</v>
      </c>
      <c r="BT2" s="299">
        <v>71</v>
      </c>
      <c r="BU2" s="300">
        <v>72</v>
      </c>
      <c r="BV2" s="299">
        <v>73</v>
      </c>
      <c r="BW2" s="300">
        <v>74</v>
      </c>
      <c r="BX2" s="299">
        <v>75</v>
      </c>
      <c r="BY2" s="300">
        <v>76</v>
      </c>
      <c r="BZ2" s="300"/>
      <c r="CA2" s="300"/>
      <c r="CB2" s="300"/>
      <c r="CC2" s="300"/>
      <c r="CD2" s="299"/>
    </row>
    <row r="3" spans="1:220" ht="30" customHeight="1" thickTop="1">
      <c r="B3" s="1982"/>
      <c r="C3" s="1984" t="s">
        <v>606</v>
      </c>
      <c r="D3" s="2047" t="s">
        <v>5392</v>
      </c>
      <c r="E3" s="2049" t="s">
        <v>5393</v>
      </c>
      <c r="F3" s="2065" t="s">
        <v>3</v>
      </c>
      <c r="G3" s="2066"/>
      <c r="H3" s="2067"/>
      <c r="I3" s="2035" t="s">
        <v>1</v>
      </c>
      <c r="J3" s="2035" t="s">
        <v>2</v>
      </c>
      <c r="K3" s="2055" t="s">
        <v>0</v>
      </c>
      <c r="L3" s="2002" t="s">
        <v>4542</v>
      </c>
      <c r="M3" s="2068" t="s">
        <v>6507</v>
      </c>
      <c r="N3" s="2010" t="s">
        <v>280</v>
      </c>
      <c r="O3" s="2010" t="s">
        <v>289</v>
      </c>
      <c r="P3" s="2059" t="s">
        <v>484</v>
      </c>
      <c r="Q3" s="2057" t="s">
        <v>485</v>
      </c>
      <c r="R3" s="2061" t="s">
        <v>285</v>
      </c>
      <c r="S3" s="2062"/>
      <c r="T3" s="2062"/>
      <c r="U3" s="2062"/>
      <c r="V3" s="644"/>
      <c r="W3" s="2053" t="s">
        <v>286</v>
      </c>
      <c r="X3" s="2063"/>
      <c r="Y3" s="2063"/>
      <c r="Z3" s="2064"/>
      <c r="AA3" s="644"/>
      <c r="AB3" s="2053" t="s">
        <v>10716</v>
      </c>
      <c r="AC3" s="2051" t="s">
        <v>10717</v>
      </c>
      <c r="AD3" s="2024" t="s">
        <v>7</v>
      </c>
      <c r="AE3" s="2022" t="s">
        <v>8</v>
      </c>
      <c r="AF3" s="2033" t="s">
        <v>951</v>
      </c>
      <c r="AG3" s="1990" t="s">
        <v>952</v>
      </c>
      <c r="AH3" s="2036" t="s">
        <v>284</v>
      </c>
      <c r="AI3" s="2037"/>
      <c r="AJ3" s="2037"/>
      <c r="AK3" s="2038"/>
      <c r="AL3" s="2026" t="s">
        <v>624</v>
      </c>
      <c r="AM3" s="1988" t="s">
        <v>545</v>
      </c>
      <c r="AN3" s="1988" t="s">
        <v>547</v>
      </c>
      <c r="AO3" s="2031" t="s">
        <v>715</v>
      </c>
      <c r="AP3" s="2000" t="s">
        <v>5589</v>
      </c>
      <c r="AQ3" s="2028" t="s">
        <v>4546</v>
      </c>
      <c r="AR3" s="2014" t="s">
        <v>290</v>
      </c>
      <c r="AS3" s="2035" t="s">
        <v>4</v>
      </c>
      <c r="AT3" s="2016" t="s">
        <v>5217</v>
      </c>
      <c r="AU3" s="2016"/>
      <c r="AV3" s="2016" t="s">
        <v>5218</v>
      </c>
      <c r="AW3" s="2017"/>
      <c r="AX3" s="2039" t="s">
        <v>4541</v>
      </c>
      <c r="AY3" s="2018" t="s">
        <v>4544</v>
      </c>
      <c r="AZ3" s="2026" t="s">
        <v>3355</v>
      </c>
      <c r="BA3" s="2035" t="s">
        <v>3356</v>
      </c>
      <c r="BB3" s="2035"/>
      <c r="BC3" s="2035"/>
      <c r="BD3" s="2035"/>
      <c r="BE3" s="2035"/>
      <c r="BF3" s="2035"/>
      <c r="BG3" s="2035"/>
      <c r="BH3" s="2041"/>
      <c r="BI3" s="2003" t="s">
        <v>5230</v>
      </c>
      <c r="BJ3" s="2012" t="s">
        <v>8535</v>
      </c>
      <c r="BK3" s="1992" t="s">
        <v>8800</v>
      </c>
      <c r="BL3" s="1993"/>
      <c r="BM3" s="2008" t="s">
        <v>10838</v>
      </c>
      <c r="BN3" s="2005" t="s">
        <v>5409</v>
      </c>
      <c r="BO3" s="2006"/>
      <c r="BP3" s="2007"/>
      <c r="BQ3" s="1994" t="s">
        <v>5226</v>
      </c>
      <c r="BR3" s="2002" t="s">
        <v>5232</v>
      </c>
      <c r="BS3" s="2002" t="s">
        <v>5231</v>
      </c>
      <c r="BT3" s="2002" t="s">
        <v>5229</v>
      </c>
      <c r="BU3" s="2002" t="s">
        <v>5372</v>
      </c>
      <c r="BV3" s="2000" t="s">
        <v>5391</v>
      </c>
      <c r="BW3" s="1998" t="s">
        <v>10378</v>
      </c>
      <c r="BX3" s="1996" t="s">
        <v>7638</v>
      </c>
      <c r="BY3" s="1986" t="s">
        <v>451</v>
      </c>
      <c r="BZ3" s="302"/>
      <c r="CA3" s="302"/>
      <c r="CB3" s="302"/>
      <c r="CC3" s="302"/>
    </row>
    <row r="4" spans="1:220" ht="30" customHeight="1">
      <c r="B4" s="1983"/>
      <c r="C4" s="1985"/>
      <c r="D4" s="2048"/>
      <c r="E4" s="2050"/>
      <c r="F4" s="303" t="s">
        <v>1765</v>
      </c>
      <c r="G4" s="642" t="s">
        <v>1766</v>
      </c>
      <c r="H4" s="642" t="s">
        <v>1767</v>
      </c>
      <c r="I4" s="2020"/>
      <c r="J4" s="2020"/>
      <c r="K4" s="2056"/>
      <c r="L4" s="2001"/>
      <c r="M4" s="2069"/>
      <c r="N4" s="2011"/>
      <c r="O4" s="2011"/>
      <c r="P4" s="2060"/>
      <c r="Q4" s="2058"/>
      <c r="R4" s="304" t="s">
        <v>11073</v>
      </c>
      <c r="S4" s="305" t="s">
        <v>11070</v>
      </c>
      <c r="T4" s="305" t="s">
        <v>11071</v>
      </c>
      <c r="U4" s="306" t="s">
        <v>11072</v>
      </c>
      <c r="V4" s="306" t="s">
        <v>11088</v>
      </c>
      <c r="W4" s="305" t="s">
        <v>11073</v>
      </c>
      <c r="X4" s="305" t="s">
        <v>11070</v>
      </c>
      <c r="Y4" s="305" t="s">
        <v>11071</v>
      </c>
      <c r="Z4" s="305" t="s">
        <v>11072</v>
      </c>
      <c r="AA4" s="306" t="s">
        <v>11088</v>
      </c>
      <c r="AB4" s="2054"/>
      <c r="AC4" s="2052"/>
      <c r="AD4" s="2025"/>
      <c r="AE4" s="2023"/>
      <c r="AF4" s="2034"/>
      <c r="AG4" s="1991"/>
      <c r="AH4" s="307" t="s">
        <v>281</v>
      </c>
      <c r="AI4" s="308" t="s">
        <v>282</v>
      </c>
      <c r="AJ4" s="308" t="s">
        <v>283</v>
      </c>
      <c r="AK4" s="309" t="s">
        <v>288</v>
      </c>
      <c r="AL4" s="2027"/>
      <c r="AM4" s="1989"/>
      <c r="AN4" s="1989"/>
      <c r="AO4" s="2032"/>
      <c r="AP4" s="2030"/>
      <c r="AQ4" s="2029"/>
      <c r="AR4" s="2015"/>
      <c r="AS4" s="2020"/>
      <c r="AT4" s="310" t="s">
        <v>5219</v>
      </c>
      <c r="AU4" s="310" t="s">
        <v>5216</v>
      </c>
      <c r="AV4" s="310" t="s">
        <v>5219</v>
      </c>
      <c r="AW4" s="311" t="s">
        <v>5216</v>
      </c>
      <c r="AX4" s="2040"/>
      <c r="AY4" s="2019"/>
      <c r="AZ4" s="2027"/>
      <c r="BA4" s="2020">
        <v>0</v>
      </c>
      <c r="BB4" s="2020"/>
      <c r="BC4" s="2020" t="s">
        <v>3357</v>
      </c>
      <c r="BD4" s="2020"/>
      <c r="BE4" s="2020" t="s">
        <v>3358</v>
      </c>
      <c r="BF4" s="2020"/>
      <c r="BG4" s="2020" t="s">
        <v>3359</v>
      </c>
      <c r="BH4" s="2021"/>
      <c r="BI4" s="2004"/>
      <c r="BJ4" s="2013"/>
      <c r="BK4" s="312" t="s">
        <v>8801</v>
      </c>
      <c r="BL4" s="313" t="s">
        <v>8802</v>
      </c>
      <c r="BM4" s="2009"/>
      <c r="BN4" s="314" t="s">
        <v>5</v>
      </c>
      <c r="BO4" s="315" t="s">
        <v>7310</v>
      </c>
      <c r="BP4" s="316" t="s">
        <v>6</v>
      </c>
      <c r="BQ4" s="1995"/>
      <c r="BR4" s="2001"/>
      <c r="BS4" s="2001"/>
      <c r="BT4" s="2001"/>
      <c r="BU4" s="2001"/>
      <c r="BV4" s="2001"/>
      <c r="BW4" s="1999"/>
      <c r="BX4" s="1997"/>
      <c r="BY4" s="1987"/>
      <c r="BZ4" s="302"/>
      <c r="CA4" s="302"/>
      <c r="CB4" s="302"/>
      <c r="CC4" s="302"/>
    </row>
    <row r="5" spans="1:220" s="287" customFormat="1" ht="22.5" customHeight="1">
      <c r="B5" s="317">
        <v>1</v>
      </c>
      <c r="C5" s="318" t="s">
        <v>9</v>
      </c>
      <c r="D5" s="319"/>
      <c r="E5" s="320"/>
      <c r="F5" s="321" t="s">
        <v>239</v>
      </c>
      <c r="G5" s="322" t="s">
        <v>2643</v>
      </c>
      <c r="H5" s="322" t="s">
        <v>2789</v>
      </c>
      <c r="I5" s="322" t="s">
        <v>11</v>
      </c>
      <c r="J5" s="322" t="s">
        <v>12</v>
      </c>
      <c r="K5" s="322" t="s">
        <v>10</v>
      </c>
      <c r="L5" s="323"/>
      <c r="M5" s="324" t="s">
        <v>10767</v>
      </c>
      <c r="N5" s="325" t="s">
        <v>438</v>
      </c>
      <c r="O5" s="326">
        <v>30</v>
      </c>
      <c r="P5" s="327">
        <v>2965</v>
      </c>
      <c r="Q5" s="328" t="s">
        <v>210</v>
      </c>
      <c r="R5" s="329" t="s">
        <v>467</v>
      </c>
      <c r="S5" s="330"/>
      <c r="T5" s="331" t="s">
        <v>11322</v>
      </c>
      <c r="U5" s="331" t="s">
        <v>11321</v>
      </c>
      <c r="V5" s="330"/>
      <c r="W5" s="332" t="s">
        <v>432</v>
      </c>
      <c r="X5" s="331" t="s">
        <v>11079</v>
      </c>
      <c r="Y5" s="331" t="s">
        <v>11080</v>
      </c>
      <c r="Z5" s="331" t="s">
        <v>11080</v>
      </c>
      <c r="AA5" s="331" t="s">
        <v>210</v>
      </c>
      <c r="AB5" s="333"/>
      <c r="AC5" s="333"/>
      <c r="AD5" s="334" t="s">
        <v>8768</v>
      </c>
      <c r="AE5" s="335" t="s">
        <v>16</v>
      </c>
      <c r="AF5" s="336"/>
      <c r="AG5" s="337"/>
      <c r="AH5" s="338">
        <v>9.3000000000000007</v>
      </c>
      <c r="AI5" s="339">
        <v>13.7</v>
      </c>
      <c r="AJ5" s="339">
        <v>15.4</v>
      </c>
      <c r="AK5" s="340">
        <f>SUM(AH5:AJ5)</f>
        <v>38.4</v>
      </c>
      <c r="AL5" s="321" t="s">
        <v>625</v>
      </c>
      <c r="AM5" s="326" t="s">
        <v>15</v>
      </c>
      <c r="AN5" s="326" t="s">
        <v>15</v>
      </c>
      <c r="AO5" s="341" t="s">
        <v>15</v>
      </c>
      <c r="AP5" s="342"/>
      <c r="AQ5" s="343"/>
      <c r="AR5" s="344">
        <v>4042</v>
      </c>
      <c r="AS5" s="322">
        <v>100</v>
      </c>
      <c r="AT5" s="345"/>
      <c r="AU5" s="345"/>
      <c r="AV5" s="345"/>
      <c r="AW5" s="346"/>
      <c r="AX5" s="347"/>
      <c r="AY5" s="348"/>
      <c r="AZ5" s="349"/>
      <c r="BA5" s="350"/>
      <c r="BB5" s="350"/>
      <c r="BC5" s="350"/>
      <c r="BD5" s="350"/>
      <c r="BE5" s="350"/>
      <c r="BF5" s="350"/>
      <c r="BG5" s="350"/>
      <c r="BH5" s="351"/>
      <c r="BI5" s="352"/>
      <c r="BJ5" s="353"/>
      <c r="BK5" s="354"/>
      <c r="BL5" s="355"/>
      <c r="BM5" s="356"/>
      <c r="BN5" s="357" t="s">
        <v>14</v>
      </c>
      <c r="BO5" s="358"/>
      <c r="BP5" s="359" t="s">
        <v>15</v>
      </c>
      <c r="BQ5" s="360"/>
      <c r="BR5" s="361"/>
      <c r="BS5" s="361"/>
      <c r="BT5" s="361"/>
      <c r="BU5" s="342" t="s">
        <v>210</v>
      </c>
      <c r="BV5" s="342" t="s">
        <v>210</v>
      </c>
      <c r="BW5" s="341" t="s">
        <v>15</v>
      </c>
      <c r="BX5" s="361"/>
      <c r="BY5" s="362"/>
      <c r="BZ5" s="363"/>
      <c r="CA5" s="363"/>
      <c r="CB5" s="363"/>
      <c r="CC5" s="363"/>
      <c r="CD5" s="293"/>
      <c r="CE5" s="364"/>
      <c r="CF5" s="364"/>
      <c r="CG5" s="364"/>
      <c r="CH5" s="364"/>
      <c r="CI5" s="364"/>
      <c r="CJ5" s="364"/>
      <c r="CK5" s="364"/>
      <c r="CL5" s="364"/>
      <c r="CM5" s="364"/>
      <c r="CN5" s="364"/>
      <c r="CO5" s="364"/>
      <c r="CP5" s="364"/>
      <c r="CQ5" s="364"/>
      <c r="CR5" s="364"/>
      <c r="CS5" s="364"/>
      <c r="CT5" s="364"/>
      <c r="CU5" s="364"/>
      <c r="CV5" s="364"/>
      <c r="CW5" s="364"/>
      <c r="CX5" s="364"/>
      <c r="CY5" s="364"/>
      <c r="CZ5" s="364"/>
      <c r="DA5" s="364"/>
      <c r="DB5" s="364"/>
      <c r="DC5" s="364"/>
      <c r="DD5" s="364"/>
      <c r="DE5" s="364"/>
      <c r="DF5" s="364"/>
      <c r="DG5" s="364"/>
      <c r="DH5" s="364"/>
      <c r="DI5" s="364"/>
      <c r="DJ5" s="364"/>
      <c r="DK5" s="364"/>
      <c r="DL5" s="364"/>
      <c r="DM5" s="364"/>
      <c r="DN5" s="364"/>
      <c r="DO5" s="364"/>
      <c r="DP5" s="364"/>
      <c r="DQ5" s="364"/>
      <c r="DR5" s="364"/>
      <c r="DS5" s="364"/>
      <c r="DT5" s="364"/>
      <c r="DU5" s="364"/>
      <c r="DV5" s="364"/>
      <c r="DW5" s="364"/>
      <c r="DX5" s="364"/>
      <c r="DY5" s="364"/>
      <c r="DZ5" s="364"/>
      <c r="EA5" s="364"/>
      <c r="EB5" s="364"/>
      <c r="EC5" s="364"/>
      <c r="ED5" s="364"/>
      <c r="EE5" s="364"/>
      <c r="EF5" s="364"/>
      <c r="EG5" s="364"/>
      <c r="EH5" s="364"/>
      <c r="EI5" s="364"/>
      <c r="EJ5" s="364"/>
      <c r="EK5" s="364"/>
      <c r="EL5" s="364"/>
      <c r="EM5" s="364"/>
      <c r="EN5" s="364"/>
      <c r="EO5" s="364"/>
      <c r="EP5" s="364"/>
      <c r="EQ5" s="364"/>
      <c r="ER5" s="364"/>
      <c r="ES5" s="364"/>
      <c r="ET5" s="364"/>
      <c r="EU5" s="364"/>
      <c r="EV5" s="364"/>
      <c r="EW5" s="364"/>
      <c r="EX5" s="364"/>
      <c r="EY5" s="364"/>
      <c r="EZ5" s="364"/>
      <c r="FA5" s="364"/>
      <c r="FB5" s="364"/>
      <c r="FC5" s="364"/>
      <c r="FD5" s="364"/>
      <c r="FE5" s="364"/>
      <c r="FF5" s="364"/>
      <c r="FG5" s="364"/>
      <c r="FH5" s="364"/>
      <c r="FI5" s="364"/>
      <c r="FJ5" s="364"/>
      <c r="FK5" s="364"/>
      <c r="FL5" s="364"/>
      <c r="FM5" s="364"/>
      <c r="FN5" s="364"/>
      <c r="FO5" s="364"/>
      <c r="FP5" s="364"/>
      <c r="FQ5" s="364"/>
      <c r="FR5" s="364"/>
      <c r="FS5" s="364"/>
      <c r="FT5" s="364"/>
      <c r="FU5" s="364"/>
      <c r="FV5" s="364"/>
      <c r="FW5" s="364"/>
      <c r="FX5" s="364"/>
      <c r="FY5" s="364"/>
      <c r="FZ5" s="364"/>
      <c r="GA5" s="364"/>
      <c r="GB5" s="364"/>
      <c r="GC5" s="364"/>
      <c r="GD5" s="364"/>
      <c r="GE5" s="364"/>
      <c r="GF5" s="364"/>
      <c r="GG5" s="364"/>
      <c r="GH5" s="364"/>
      <c r="GI5" s="364"/>
      <c r="GJ5" s="364"/>
      <c r="GK5" s="364"/>
      <c r="GL5" s="364"/>
      <c r="GM5" s="364"/>
      <c r="GN5" s="364"/>
      <c r="GO5" s="364"/>
      <c r="GP5" s="364"/>
      <c r="GQ5" s="364"/>
      <c r="GR5" s="364"/>
      <c r="GS5" s="364"/>
      <c r="GT5" s="364"/>
      <c r="GU5" s="364"/>
      <c r="GV5" s="364"/>
      <c r="GW5" s="364"/>
      <c r="GX5" s="364"/>
      <c r="GY5" s="364"/>
      <c r="GZ5" s="364"/>
      <c r="HA5" s="364"/>
      <c r="HB5" s="364"/>
      <c r="HC5" s="364"/>
      <c r="HD5" s="364"/>
      <c r="HE5" s="364"/>
      <c r="HF5" s="364"/>
      <c r="HG5" s="364"/>
      <c r="HH5" s="364"/>
      <c r="HI5" s="364"/>
      <c r="HJ5" s="364"/>
      <c r="HK5" s="364"/>
      <c r="HL5" s="364"/>
    </row>
    <row r="6" spans="1:220" s="287" customFormat="1" ht="22.5" customHeight="1">
      <c r="B6" s="365">
        <v>2</v>
      </c>
      <c r="C6" s="366" t="s">
        <v>17</v>
      </c>
      <c r="D6" s="367"/>
      <c r="E6" s="368"/>
      <c r="F6" s="321" t="s">
        <v>239</v>
      </c>
      <c r="G6" s="322" t="s">
        <v>2643</v>
      </c>
      <c r="H6" s="322" t="s">
        <v>2789</v>
      </c>
      <c r="I6" s="326" t="s">
        <v>11</v>
      </c>
      <c r="J6" s="326" t="s">
        <v>12</v>
      </c>
      <c r="K6" s="326" t="s">
        <v>10</v>
      </c>
      <c r="L6" s="323"/>
      <c r="M6" s="324" t="s">
        <v>10768</v>
      </c>
      <c r="N6" s="325" t="s">
        <v>438</v>
      </c>
      <c r="O6" s="326">
        <v>30</v>
      </c>
      <c r="P6" s="327" t="s">
        <v>2867</v>
      </c>
      <c r="Q6" s="369" t="s">
        <v>2867</v>
      </c>
      <c r="R6" s="329" t="s">
        <v>1104</v>
      </c>
      <c r="S6" s="330"/>
      <c r="T6" s="331" t="s">
        <v>11322</v>
      </c>
      <c r="U6" s="331" t="s">
        <v>11321</v>
      </c>
      <c r="V6" s="330"/>
      <c r="W6" s="332" t="s">
        <v>432</v>
      </c>
      <c r="X6" s="331" t="s">
        <v>11079</v>
      </c>
      <c r="Y6" s="331" t="s">
        <v>11080</v>
      </c>
      <c r="Z6" s="331" t="s">
        <v>11080</v>
      </c>
      <c r="AA6" s="331" t="s">
        <v>210</v>
      </c>
      <c r="AB6" s="333"/>
      <c r="AC6" s="333"/>
      <c r="AD6" s="334" t="s">
        <v>8768</v>
      </c>
      <c r="AE6" s="335" t="s">
        <v>877</v>
      </c>
      <c r="AF6" s="336"/>
      <c r="AG6" s="337"/>
      <c r="AH6" s="338">
        <v>21.1</v>
      </c>
      <c r="AI6" s="339">
        <v>29.6</v>
      </c>
      <c r="AJ6" s="339">
        <v>9.4</v>
      </c>
      <c r="AK6" s="340">
        <f>SUM(AH6:AJ6)</f>
        <v>60.1</v>
      </c>
      <c r="AL6" s="321" t="s">
        <v>625</v>
      </c>
      <c r="AM6" s="326" t="s">
        <v>15</v>
      </c>
      <c r="AN6" s="326" t="s">
        <v>15</v>
      </c>
      <c r="AO6" s="341" t="s">
        <v>15</v>
      </c>
      <c r="AP6" s="342"/>
      <c r="AQ6" s="343"/>
      <c r="AR6" s="370">
        <v>1389</v>
      </c>
      <c r="AS6" s="326">
        <v>100</v>
      </c>
      <c r="AT6" s="347"/>
      <c r="AU6" s="347"/>
      <c r="AV6" s="347"/>
      <c r="AW6" s="371"/>
      <c r="AX6" s="347"/>
      <c r="AY6" s="348"/>
      <c r="AZ6" s="349"/>
      <c r="BA6" s="350"/>
      <c r="BB6" s="350"/>
      <c r="BC6" s="350"/>
      <c r="BD6" s="350"/>
      <c r="BE6" s="350"/>
      <c r="BF6" s="350"/>
      <c r="BG6" s="350"/>
      <c r="BH6" s="351"/>
      <c r="BI6" s="352"/>
      <c r="BJ6" s="353"/>
      <c r="BK6" s="354"/>
      <c r="BL6" s="355"/>
      <c r="BM6" s="356"/>
      <c r="BN6" s="321" t="s">
        <v>14</v>
      </c>
      <c r="BO6" s="372"/>
      <c r="BP6" s="373" t="s">
        <v>15</v>
      </c>
      <c r="BQ6" s="360"/>
      <c r="BR6" s="361"/>
      <c r="BS6" s="361"/>
      <c r="BT6" s="361"/>
      <c r="BU6" s="342" t="s">
        <v>210</v>
      </c>
      <c r="BV6" s="342" t="s">
        <v>210</v>
      </c>
      <c r="BW6" s="341" t="s">
        <v>15</v>
      </c>
      <c r="BX6" s="361"/>
      <c r="BY6" s="362"/>
      <c r="BZ6" s="363"/>
      <c r="CA6" s="363"/>
      <c r="CB6" s="363"/>
      <c r="CC6" s="363"/>
      <c r="CD6" s="293"/>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row>
    <row r="7" spans="1:220" s="287" customFormat="1" ht="22.5" customHeight="1">
      <c r="B7" s="365">
        <v>3</v>
      </c>
      <c r="C7" s="366" t="s">
        <v>18</v>
      </c>
      <c r="D7" s="367"/>
      <c r="E7" s="368"/>
      <c r="F7" s="321" t="s">
        <v>239</v>
      </c>
      <c r="G7" s="322" t="s">
        <v>2643</v>
      </c>
      <c r="H7" s="322" t="s">
        <v>2789</v>
      </c>
      <c r="I7" s="326" t="s">
        <v>11</v>
      </c>
      <c r="J7" s="326" t="s">
        <v>12</v>
      </c>
      <c r="K7" s="326" t="s">
        <v>10</v>
      </c>
      <c r="L7" s="323"/>
      <c r="M7" s="324" t="s">
        <v>10769</v>
      </c>
      <c r="N7" s="325" t="s">
        <v>438</v>
      </c>
      <c r="O7" s="326">
        <v>30</v>
      </c>
      <c r="P7" s="327" t="s">
        <v>2867</v>
      </c>
      <c r="Q7" s="369" t="s">
        <v>2867</v>
      </c>
      <c r="R7" s="329" t="s">
        <v>1104</v>
      </c>
      <c r="S7" s="330"/>
      <c r="T7" s="331" t="s">
        <v>11322</v>
      </c>
      <c r="U7" s="331" t="s">
        <v>11321</v>
      </c>
      <c r="V7" s="330"/>
      <c r="W7" s="332" t="s">
        <v>432</v>
      </c>
      <c r="X7" s="331" t="s">
        <v>11079</v>
      </c>
      <c r="Y7" s="331" t="s">
        <v>11080</v>
      </c>
      <c r="Z7" s="331" t="s">
        <v>11080</v>
      </c>
      <c r="AA7" s="331" t="s">
        <v>210</v>
      </c>
      <c r="AB7" s="333"/>
      <c r="AC7" s="333"/>
      <c r="AD7" s="334" t="s">
        <v>8768</v>
      </c>
      <c r="AE7" s="335" t="s">
        <v>19</v>
      </c>
      <c r="AF7" s="336"/>
      <c r="AG7" s="337"/>
      <c r="AH7" s="338">
        <v>11.1</v>
      </c>
      <c r="AI7" s="339">
        <v>14</v>
      </c>
      <c r="AJ7" s="339">
        <v>8.6999999999999993</v>
      </c>
      <c r="AK7" s="340">
        <f>SUM(AH7:AJ7)</f>
        <v>33.799999999999997</v>
      </c>
      <c r="AL7" s="321" t="s">
        <v>625</v>
      </c>
      <c r="AM7" s="326" t="s">
        <v>15</v>
      </c>
      <c r="AN7" s="326" t="s">
        <v>15</v>
      </c>
      <c r="AO7" s="341" t="s">
        <v>15</v>
      </c>
      <c r="AP7" s="342"/>
      <c r="AQ7" s="343"/>
      <c r="AR7" s="370">
        <v>1449</v>
      </c>
      <c r="AS7" s="326">
        <v>100</v>
      </c>
      <c r="AT7" s="347"/>
      <c r="AU7" s="347"/>
      <c r="AV7" s="347"/>
      <c r="AW7" s="371"/>
      <c r="AX7" s="347"/>
      <c r="AY7" s="348"/>
      <c r="AZ7" s="349"/>
      <c r="BA7" s="350"/>
      <c r="BB7" s="350"/>
      <c r="BC7" s="350"/>
      <c r="BD7" s="350"/>
      <c r="BE7" s="350"/>
      <c r="BF7" s="350"/>
      <c r="BG7" s="350"/>
      <c r="BH7" s="351"/>
      <c r="BI7" s="352"/>
      <c r="BJ7" s="353"/>
      <c r="BK7" s="354"/>
      <c r="BL7" s="355"/>
      <c r="BM7" s="356"/>
      <c r="BN7" s="321" t="s">
        <v>14</v>
      </c>
      <c r="BO7" s="372"/>
      <c r="BP7" s="373" t="s">
        <v>15</v>
      </c>
      <c r="BQ7" s="360"/>
      <c r="BR7" s="361"/>
      <c r="BS7" s="361"/>
      <c r="BT7" s="361"/>
      <c r="BU7" s="342" t="s">
        <v>210</v>
      </c>
      <c r="BV7" s="342" t="s">
        <v>210</v>
      </c>
      <c r="BW7" s="341" t="s">
        <v>15</v>
      </c>
      <c r="BX7" s="361"/>
      <c r="BY7" s="362"/>
      <c r="BZ7" s="363"/>
      <c r="CA7" s="363"/>
      <c r="CB7" s="363"/>
      <c r="CC7" s="363"/>
      <c r="CD7" s="293"/>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row>
    <row r="8" spans="1:220" s="287" customFormat="1" ht="22.5" customHeight="1">
      <c r="B8" s="365">
        <v>4</v>
      </c>
      <c r="C8" s="366" t="s">
        <v>20</v>
      </c>
      <c r="D8" s="367"/>
      <c r="E8" s="368"/>
      <c r="F8" s="321" t="s">
        <v>22</v>
      </c>
      <c r="G8" s="326" t="s">
        <v>2790</v>
      </c>
      <c r="H8" s="326" t="s">
        <v>2791</v>
      </c>
      <c r="I8" s="326" t="s">
        <v>11</v>
      </c>
      <c r="J8" s="326" t="s">
        <v>21</v>
      </c>
      <c r="K8" s="326" t="s">
        <v>10</v>
      </c>
      <c r="L8" s="323"/>
      <c r="M8" s="374"/>
      <c r="N8" s="325" t="s">
        <v>438</v>
      </c>
      <c r="O8" s="374"/>
      <c r="P8" s="327" t="s">
        <v>2867</v>
      </c>
      <c r="Q8" s="369" t="s">
        <v>2867</v>
      </c>
      <c r="R8" s="375"/>
      <c r="S8" s="330"/>
      <c r="T8" s="330"/>
      <c r="U8" s="330"/>
      <c r="V8" s="330"/>
      <c r="W8" s="332" t="s">
        <v>432</v>
      </c>
      <c r="X8" s="331" t="s">
        <v>11079</v>
      </c>
      <c r="Y8" s="331" t="s">
        <v>11080</v>
      </c>
      <c r="Z8" s="331" t="s">
        <v>11080</v>
      </c>
      <c r="AA8" s="331" t="s">
        <v>210</v>
      </c>
      <c r="AB8" s="333"/>
      <c r="AC8" s="333"/>
      <c r="AD8" s="334" t="s">
        <v>8768</v>
      </c>
      <c r="AE8" s="335" t="s">
        <v>5522</v>
      </c>
      <c r="AF8" s="336"/>
      <c r="AG8" s="337"/>
      <c r="AH8" s="376"/>
      <c r="AI8" s="347"/>
      <c r="AJ8" s="347"/>
      <c r="AK8" s="371"/>
      <c r="AL8" s="321" t="s">
        <v>625</v>
      </c>
      <c r="AM8" s="326" t="s">
        <v>15</v>
      </c>
      <c r="AN8" s="326" t="s">
        <v>15</v>
      </c>
      <c r="AO8" s="341" t="s">
        <v>15</v>
      </c>
      <c r="AP8" s="342"/>
      <c r="AQ8" s="343"/>
      <c r="AR8" s="370">
        <v>856</v>
      </c>
      <c r="AS8" s="326">
        <v>100</v>
      </c>
      <c r="AT8" s="347"/>
      <c r="AU8" s="347"/>
      <c r="AV8" s="347"/>
      <c r="AW8" s="371"/>
      <c r="AX8" s="347"/>
      <c r="AY8" s="348"/>
      <c r="AZ8" s="377"/>
      <c r="BA8" s="374"/>
      <c r="BB8" s="374"/>
      <c r="BC8" s="374"/>
      <c r="BD8" s="374"/>
      <c r="BE8" s="374"/>
      <c r="BF8" s="374"/>
      <c r="BG8" s="374"/>
      <c r="BH8" s="378"/>
      <c r="BI8" s="376"/>
      <c r="BJ8" s="379"/>
      <c r="BK8" s="380"/>
      <c r="BL8" s="348"/>
      <c r="BM8" s="381"/>
      <c r="BN8" s="321" t="s">
        <v>15</v>
      </c>
      <c r="BO8" s="372"/>
      <c r="BP8" s="373" t="s">
        <v>15</v>
      </c>
      <c r="BQ8" s="360"/>
      <c r="BR8" s="361"/>
      <c r="BS8" s="361"/>
      <c r="BT8" s="361"/>
      <c r="BU8" s="342" t="s">
        <v>210</v>
      </c>
      <c r="BV8" s="342" t="s">
        <v>210</v>
      </c>
      <c r="BW8" s="341" t="s">
        <v>15</v>
      </c>
      <c r="BX8" s="361"/>
      <c r="BY8" s="362"/>
      <c r="BZ8" s="363"/>
      <c r="CA8" s="363"/>
      <c r="CB8" s="363"/>
      <c r="CC8" s="363"/>
      <c r="CD8" s="293"/>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row>
    <row r="9" spans="1:220" s="287" customFormat="1" ht="22.5" customHeight="1">
      <c r="B9" s="365">
        <v>5</v>
      </c>
      <c r="C9" s="366" t="s">
        <v>13573</v>
      </c>
      <c r="D9" s="367"/>
      <c r="E9" s="368"/>
      <c r="F9" s="321" t="s">
        <v>534</v>
      </c>
      <c r="G9" s="374"/>
      <c r="H9" s="374"/>
      <c r="I9" s="326" t="s">
        <v>11</v>
      </c>
      <c r="J9" s="326" t="s">
        <v>24</v>
      </c>
      <c r="K9" s="326" t="s">
        <v>23</v>
      </c>
      <c r="L9" s="323"/>
      <c r="M9" s="374"/>
      <c r="N9" s="325" t="s">
        <v>438</v>
      </c>
      <c r="O9" s="326">
        <v>30</v>
      </c>
      <c r="P9" s="382">
        <v>2468</v>
      </c>
      <c r="Q9" s="383" t="s">
        <v>2867</v>
      </c>
      <c r="R9" s="329" t="s">
        <v>479</v>
      </c>
      <c r="S9" s="330"/>
      <c r="T9" s="330"/>
      <c r="U9" s="330"/>
      <c r="V9" s="330"/>
      <c r="W9" s="332" t="s">
        <v>432</v>
      </c>
      <c r="X9" s="331" t="s">
        <v>11079</v>
      </c>
      <c r="Y9" s="331" t="s">
        <v>11080</v>
      </c>
      <c r="Z9" s="331" t="s">
        <v>11080</v>
      </c>
      <c r="AA9" s="331" t="s">
        <v>210</v>
      </c>
      <c r="AB9" s="333"/>
      <c r="AC9" s="333"/>
      <c r="AD9" s="334" t="s">
        <v>16</v>
      </c>
      <c r="AE9" s="335" t="s">
        <v>26</v>
      </c>
      <c r="AF9" s="336"/>
      <c r="AG9" s="337"/>
      <c r="AH9" s="338">
        <v>19.3</v>
      </c>
      <c r="AI9" s="339">
        <v>38.200000000000003</v>
      </c>
      <c r="AJ9" s="339">
        <v>15.2</v>
      </c>
      <c r="AK9" s="340">
        <f>SUM(AH9:AJ9)</f>
        <v>72.7</v>
      </c>
      <c r="AL9" s="321" t="s">
        <v>625</v>
      </c>
      <c r="AM9" s="326" t="s">
        <v>15</v>
      </c>
      <c r="AN9" s="326" t="s">
        <v>15</v>
      </c>
      <c r="AO9" s="341" t="s">
        <v>15</v>
      </c>
      <c r="AP9" s="342"/>
      <c r="AQ9" s="343"/>
      <c r="AR9" s="370">
        <v>1050</v>
      </c>
      <c r="AS9" s="326">
        <v>150</v>
      </c>
      <c r="AT9" s="347"/>
      <c r="AU9" s="347"/>
      <c r="AV9" s="347"/>
      <c r="AW9" s="371"/>
      <c r="AX9" s="347"/>
      <c r="AY9" s="348"/>
      <c r="AZ9" s="377"/>
      <c r="BA9" s="374"/>
      <c r="BB9" s="374"/>
      <c r="BC9" s="374"/>
      <c r="BD9" s="374"/>
      <c r="BE9" s="374"/>
      <c r="BF9" s="374"/>
      <c r="BG9" s="374"/>
      <c r="BH9" s="378"/>
      <c r="BI9" s="376"/>
      <c r="BJ9" s="379"/>
      <c r="BK9" s="380"/>
      <c r="BL9" s="348"/>
      <c r="BM9" s="381"/>
      <c r="BN9" s="321" t="s">
        <v>15</v>
      </c>
      <c r="BO9" s="372"/>
      <c r="BP9" s="373" t="s">
        <v>15</v>
      </c>
      <c r="BQ9" s="360"/>
      <c r="BR9" s="361"/>
      <c r="BS9" s="361"/>
      <c r="BT9" s="361"/>
      <c r="BU9" s="342" t="s">
        <v>210</v>
      </c>
      <c r="BV9" s="342" t="s">
        <v>210</v>
      </c>
      <c r="BW9" s="341" t="s">
        <v>15</v>
      </c>
      <c r="BX9" s="361"/>
      <c r="BY9" s="362"/>
      <c r="BZ9" s="363"/>
      <c r="CA9" s="363"/>
      <c r="CB9" s="363"/>
      <c r="CC9" s="363"/>
      <c r="CD9" s="293"/>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row>
    <row r="10" spans="1:220" s="287" customFormat="1" ht="22.5" customHeight="1">
      <c r="B10" s="365">
        <v>6</v>
      </c>
      <c r="C10" s="384" t="s">
        <v>475</v>
      </c>
      <c r="D10" s="385"/>
      <c r="E10" s="386"/>
      <c r="F10" s="321" t="s">
        <v>481</v>
      </c>
      <c r="G10" s="326" t="s">
        <v>2871</v>
      </c>
      <c r="H10" s="326" t="s">
        <v>2872</v>
      </c>
      <c r="I10" s="326" t="s">
        <v>11</v>
      </c>
      <c r="J10" s="326" t="s">
        <v>21</v>
      </c>
      <c r="K10" s="326" t="s">
        <v>23</v>
      </c>
      <c r="L10" s="323"/>
      <c r="M10" s="374"/>
      <c r="N10" s="325" t="s">
        <v>437</v>
      </c>
      <c r="O10" s="326">
        <v>30</v>
      </c>
      <c r="P10" s="382">
        <v>395</v>
      </c>
      <c r="Q10" s="383" t="s">
        <v>2867</v>
      </c>
      <c r="R10" s="329" t="s">
        <v>477</v>
      </c>
      <c r="S10" s="330"/>
      <c r="T10" s="330"/>
      <c r="U10" s="330"/>
      <c r="V10" s="330"/>
      <c r="W10" s="332" t="s">
        <v>432</v>
      </c>
      <c r="X10" s="331" t="s">
        <v>11079</v>
      </c>
      <c r="Y10" s="331" t="s">
        <v>11080</v>
      </c>
      <c r="Z10" s="331" t="s">
        <v>11080</v>
      </c>
      <c r="AA10" s="331" t="s">
        <v>210</v>
      </c>
      <c r="AB10" s="333"/>
      <c r="AC10" s="333"/>
      <c r="AD10" s="334" t="s">
        <v>2320</v>
      </c>
      <c r="AE10" s="335" t="s">
        <v>15</v>
      </c>
      <c r="AF10" s="336"/>
      <c r="AG10" s="337"/>
      <c r="AH10" s="338">
        <v>4.9000000000000004</v>
      </c>
      <c r="AI10" s="339">
        <v>16.899999999999999</v>
      </c>
      <c r="AJ10" s="339">
        <v>13.4</v>
      </c>
      <c r="AK10" s="340">
        <f>SUM(AH10:AJ10)</f>
        <v>35.199999999999996</v>
      </c>
      <c r="AL10" s="321" t="s">
        <v>625</v>
      </c>
      <c r="AM10" s="326" t="s">
        <v>15</v>
      </c>
      <c r="AN10" s="326" t="s">
        <v>15</v>
      </c>
      <c r="AO10" s="341" t="s">
        <v>15</v>
      </c>
      <c r="AP10" s="342"/>
      <c r="AQ10" s="343"/>
      <c r="AR10" s="370">
        <v>400</v>
      </c>
      <c r="AS10" s="326">
        <v>100</v>
      </c>
      <c r="AT10" s="347"/>
      <c r="AU10" s="347"/>
      <c r="AV10" s="347"/>
      <c r="AW10" s="371"/>
      <c r="AX10" s="347"/>
      <c r="AY10" s="348"/>
      <c r="AZ10" s="377"/>
      <c r="BA10" s="374"/>
      <c r="BB10" s="374"/>
      <c r="BC10" s="374"/>
      <c r="BD10" s="374"/>
      <c r="BE10" s="374"/>
      <c r="BF10" s="374"/>
      <c r="BG10" s="374"/>
      <c r="BH10" s="378"/>
      <c r="BI10" s="376"/>
      <c r="BJ10" s="379"/>
      <c r="BK10" s="380"/>
      <c r="BL10" s="348"/>
      <c r="BM10" s="381"/>
      <c r="BN10" s="321" t="s">
        <v>15</v>
      </c>
      <c r="BO10" s="372"/>
      <c r="BP10" s="373" t="s">
        <v>15</v>
      </c>
      <c r="BQ10" s="360"/>
      <c r="BR10" s="361"/>
      <c r="BS10" s="361"/>
      <c r="BT10" s="361"/>
      <c r="BU10" s="342" t="s">
        <v>210</v>
      </c>
      <c r="BV10" s="342" t="s">
        <v>210</v>
      </c>
      <c r="BW10" s="341" t="s">
        <v>15</v>
      </c>
      <c r="BX10" s="361"/>
      <c r="BY10" s="362"/>
      <c r="BZ10" s="363"/>
      <c r="CA10" s="363"/>
      <c r="CB10" s="363"/>
      <c r="CC10" s="363"/>
      <c r="CD10" s="293"/>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row>
    <row r="11" spans="1:220" s="287" customFormat="1" ht="22.5" customHeight="1">
      <c r="B11" s="365">
        <v>7</v>
      </c>
      <c r="C11" s="384" t="s">
        <v>476</v>
      </c>
      <c r="D11" s="385"/>
      <c r="E11" s="386"/>
      <c r="F11" s="321" t="s">
        <v>481</v>
      </c>
      <c r="G11" s="326" t="s">
        <v>2871</v>
      </c>
      <c r="H11" s="326" t="s">
        <v>2872</v>
      </c>
      <c r="I11" s="326" t="s">
        <v>11</v>
      </c>
      <c r="J11" s="326" t="s">
        <v>12</v>
      </c>
      <c r="K11" s="326" t="s">
        <v>10</v>
      </c>
      <c r="L11" s="323"/>
      <c r="M11" s="374"/>
      <c r="N11" s="325" t="s">
        <v>437</v>
      </c>
      <c r="O11" s="326">
        <v>30</v>
      </c>
      <c r="P11" s="382">
        <v>140</v>
      </c>
      <c r="Q11" s="383" t="s">
        <v>2867</v>
      </c>
      <c r="R11" s="329" t="s">
        <v>477</v>
      </c>
      <c r="S11" s="330"/>
      <c r="T11" s="330"/>
      <c r="U11" s="330"/>
      <c r="V11" s="330"/>
      <c r="W11" s="332" t="s">
        <v>432</v>
      </c>
      <c r="X11" s="331" t="s">
        <v>11079</v>
      </c>
      <c r="Y11" s="331" t="s">
        <v>11080</v>
      </c>
      <c r="Z11" s="331" t="s">
        <v>11080</v>
      </c>
      <c r="AA11" s="331" t="s">
        <v>210</v>
      </c>
      <c r="AB11" s="333"/>
      <c r="AC11" s="333"/>
      <c r="AD11" s="334" t="s">
        <v>2320</v>
      </c>
      <c r="AE11" s="335" t="s">
        <v>15</v>
      </c>
      <c r="AF11" s="336"/>
      <c r="AG11" s="337"/>
      <c r="AH11" s="338">
        <v>16.100000000000001</v>
      </c>
      <c r="AI11" s="339">
        <v>23.9</v>
      </c>
      <c r="AJ11" s="339">
        <v>7.4</v>
      </c>
      <c r="AK11" s="340">
        <f>SUM(AH11:AJ11)</f>
        <v>47.4</v>
      </c>
      <c r="AL11" s="321" t="s">
        <v>625</v>
      </c>
      <c r="AM11" s="326" t="s">
        <v>15</v>
      </c>
      <c r="AN11" s="326" t="s">
        <v>15</v>
      </c>
      <c r="AO11" s="341" t="s">
        <v>15</v>
      </c>
      <c r="AP11" s="342"/>
      <c r="AQ11" s="343"/>
      <c r="AR11" s="387"/>
      <c r="AS11" s="326">
        <v>100</v>
      </c>
      <c r="AT11" s="347"/>
      <c r="AU11" s="347"/>
      <c r="AV11" s="347"/>
      <c r="AW11" s="371"/>
      <c r="AX11" s="347"/>
      <c r="AY11" s="348"/>
      <c r="AZ11" s="377"/>
      <c r="BA11" s="374"/>
      <c r="BB11" s="374"/>
      <c r="BC11" s="374"/>
      <c r="BD11" s="374"/>
      <c r="BE11" s="374"/>
      <c r="BF11" s="374"/>
      <c r="BG11" s="374"/>
      <c r="BH11" s="378"/>
      <c r="BI11" s="376"/>
      <c r="BJ11" s="379"/>
      <c r="BK11" s="380"/>
      <c r="BL11" s="348"/>
      <c r="BM11" s="381"/>
      <c r="BN11" s="321" t="s">
        <v>15</v>
      </c>
      <c r="BO11" s="372"/>
      <c r="BP11" s="373" t="s">
        <v>15</v>
      </c>
      <c r="BQ11" s="360"/>
      <c r="BR11" s="361"/>
      <c r="BS11" s="361"/>
      <c r="BT11" s="361"/>
      <c r="BU11" s="342" t="s">
        <v>210</v>
      </c>
      <c r="BV11" s="342" t="s">
        <v>210</v>
      </c>
      <c r="BW11" s="341" t="s">
        <v>15</v>
      </c>
      <c r="BX11" s="361"/>
      <c r="BY11" s="362"/>
      <c r="BZ11" s="363"/>
      <c r="CA11" s="363"/>
      <c r="CB11" s="363"/>
      <c r="CC11" s="363"/>
      <c r="CD11" s="293"/>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row>
    <row r="12" spans="1:220" s="287" customFormat="1" ht="22.5" customHeight="1">
      <c r="B12" s="365">
        <v>8</v>
      </c>
      <c r="C12" s="366" t="s">
        <v>28</v>
      </c>
      <c r="D12" s="367"/>
      <c r="E12" s="368"/>
      <c r="F12" s="321" t="s">
        <v>239</v>
      </c>
      <c r="G12" s="326" t="s">
        <v>2792</v>
      </c>
      <c r="H12" s="326" t="s">
        <v>2793</v>
      </c>
      <c r="I12" s="326" t="s">
        <v>11</v>
      </c>
      <c r="J12" s="326" t="s">
        <v>21</v>
      </c>
      <c r="K12" s="326" t="s">
        <v>10</v>
      </c>
      <c r="L12" s="323"/>
      <c r="M12" s="374"/>
      <c r="N12" s="325" t="s">
        <v>438</v>
      </c>
      <c r="O12" s="326">
        <v>30</v>
      </c>
      <c r="P12" s="327">
        <v>2473</v>
      </c>
      <c r="Q12" s="369" t="s">
        <v>2867</v>
      </c>
      <c r="R12" s="329" t="s">
        <v>1104</v>
      </c>
      <c r="S12" s="330"/>
      <c r="T12" s="331" t="s">
        <v>11322</v>
      </c>
      <c r="U12" s="331" t="s">
        <v>11321</v>
      </c>
      <c r="V12" s="330"/>
      <c r="W12" s="332" t="s">
        <v>432</v>
      </c>
      <c r="X12" s="331" t="s">
        <v>11079</v>
      </c>
      <c r="Y12" s="331" t="s">
        <v>11080</v>
      </c>
      <c r="Z12" s="331" t="s">
        <v>11080</v>
      </c>
      <c r="AA12" s="331" t="s">
        <v>210</v>
      </c>
      <c r="AB12" s="333"/>
      <c r="AC12" s="333"/>
      <c r="AD12" s="334" t="s">
        <v>2320</v>
      </c>
      <c r="AE12" s="335" t="s">
        <v>16</v>
      </c>
      <c r="AF12" s="336"/>
      <c r="AG12" s="337"/>
      <c r="AH12" s="338">
        <v>8.1</v>
      </c>
      <c r="AI12" s="339">
        <v>15.8</v>
      </c>
      <c r="AJ12" s="339">
        <v>16.100000000000001</v>
      </c>
      <c r="AK12" s="340">
        <f>SUM(AH12:AJ12)</f>
        <v>40</v>
      </c>
      <c r="AL12" s="321" t="s">
        <v>625</v>
      </c>
      <c r="AM12" s="326" t="s">
        <v>15</v>
      </c>
      <c r="AN12" s="326" t="s">
        <v>15</v>
      </c>
      <c r="AO12" s="341" t="s">
        <v>15</v>
      </c>
      <c r="AP12" s="342"/>
      <c r="AQ12" s="343"/>
      <c r="AR12" s="370">
        <v>2975</v>
      </c>
      <c r="AS12" s="326">
        <v>100</v>
      </c>
      <c r="AT12" s="347"/>
      <c r="AU12" s="347"/>
      <c r="AV12" s="347"/>
      <c r="AW12" s="371"/>
      <c r="AX12" s="347"/>
      <c r="AY12" s="348"/>
      <c r="AZ12" s="377"/>
      <c r="BA12" s="374"/>
      <c r="BB12" s="374"/>
      <c r="BC12" s="374"/>
      <c r="BD12" s="374"/>
      <c r="BE12" s="374"/>
      <c r="BF12" s="374"/>
      <c r="BG12" s="374"/>
      <c r="BH12" s="378"/>
      <c r="BI12" s="376"/>
      <c r="BJ12" s="379"/>
      <c r="BK12" s="380"/>
      <c r="BL12" s="348"/>
      <c r="BM12" s="381"/>
      <c r="BN12" s="321" t="s">
        <v>15</v>
      </c>
      <c r="BO12" s="372"/>
      <c r="BP12" s="373" t="s">
        <v>15</v>
      </c>
      <c r="BQ12" s="360"/>
      <c r="BR12" s="361"/>
      <c r="BS12" s="361"/>
      <c r="BT12" s="361"/>
      <c r="BU12" s="342" t="s">
        <v>210</v>
      </c>
      <c r="BV12" s="342" t="s">
        <v>210</v>
      </c>
      <c r="BW12" s="341" t="s">
        <v>15</v>
      </c>
      <c r="BX12" s="361"/>
      <c r="BY12" s="362"/>
      <c r="BZ12" s="363"/>
      <c r="CA12" s="363"/>
      <c r="CB12" s="363"/>
      <c r="CC12" s="363"/>
      <c r="CD12" s="293"/>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row>
    <row r="13" spans="1:220" s="287" customFormat="1" ht="22.5" customHeight="1">
      <c r="B13" s="365">
        <v>9</v>
      </c>
      <c r="C13" s="366" t="s">
        <v>29</v>
      </c>
      <c r="D13" s="367"/>
      <c r="E13" s="368"/>
      <c r="F13" s="321" t="s">
        <v>59</v>
      </c>
      <c r="G13" s="326" t="s">
        <v>2794</v>
      </c>
      <c r="H13" s="326" t="s">
        <v>2795</v>
      </c>
      <c r="I13" s="326" t="s">
        <v>11</v>
      </c>
      <c r="J13" s="326" t="s">
        <v>12</v>
      </c>
      <c r="K13" s="326" t="s">
        <v>10</v>
      </c>
      <c r="L13" s="323"/>
      <c r="M13" s="374"/>
      <c r="N13" s="325" t="s">
        <v>438</v>
      </c>
      <c r="O13" s="326">
        <v>30</v>
      </c>
      <c r="P13" s="327">
        <v>878</v>
      </c>
      <c r="Q13" s="369" t="s">
        <v>2867</v>
      </c>
      <c r="R13" s="329" t="s">
        <v>1104</v>
      </c>
      <c r="S13" s="330"/>
      <c r="T13" s="331" t="s">
        <v>11322</v>
      </c>
      <c r="U13" s="331" t="s">
        <v>11321</v>
      </c>
      <c r="V13" s="330"/>
      <c r="W13" s="332" t="s">
        <v>432</v>
      </c>
      <c r="X13" s="331" t="s">
        <v>11079</v>
      </c>
      <c r="Y13" s="331" t="s">
        <v>11080</v>
      </c>
      <c r="Z13" s="331" t="s">
        <v>11080</v>
      </c>
      <c r="AA13" s="331" t="s">
        <v>210</v>
      </c>
      <c r="AB13" s="333"/>
      <c r="AC13" s="333"/>
      <c r="AD13" s="334" t="s">
        <v>8768</v>
      </c>
      <c r="AE13" s="335" t="s">
        <v>15</v>
      </c>
      <c r="AF13" s="336"/>
      <c r="AG13" s="337"/>
      <c r="AH13" s="376"/>
      <c r="AI13" s="347"/>
      <c r="AJ13" s="347"/>
      <c r="AK13" s="371"/>
      <c r="AL13" s="321" t="s">
        <v>625</v>
      </c>
      <c r="AM13" s="326" t="s">
        <v>15</v>
      </c>
      <c r="AN13" s="326" t="s">
        <v>15</v>
      </c>
      <c r="AO13" s="341" t="s">
        <v>15</v>
      </c>
      <c r="AP13" s="342"/>
      <c r="AQ13" s="343"/>
      <c r="AR13" s="370">
        <v>300</v>
      </c>
      <c r="AS13" s="326">
        <v>100</v>
      </c>
      <c r="AT13" s="347"/>
      <c r="AU13" s="347"/>
      <c r="AV13" s="347"/>
      <c r="AW13" s="371"/>
      <c r="AX13" s="347"/>
      <c r="AY13" s="348"/>
      <c r="AZ13" s="377"/>
      <c r="BA13" s="374"/>
      <c r="BB13" s="374"/>
      <c r="BC13" s="374"/>
      <c r="BD13" s="374"/>
      <c r="BE13" s="374"/>
      <c r="BF13" s="374"/>
      <c r="BG13" s="374"/>
      <c r="BH13" s="378"/>
      <c r="BI13" s="376"/>
      <c r="BJ13" s="379"/>
      <c r="BK13" s="380"/>
      <c r="BL13" s="348"/>
      <c r="BM13" s="381"/>
      <c r="BN13" s="321" t="s">
        <v>15</v>
      </c>
      <c r="BO13" s="372"/>
      <c r="BP13" s="373" t="s">
        <v>15</v>
      </c>
      <c r="BQ13" s="360"/>
      <c r="BR13" s="361"/>
      <c r="BS13" s="361"/>
      <c r="BT13" s="361"/>
      <c r="BU13" s="342" t="s">
        <v>210</v>
      </c>
      <c r="BV13" s="342" t="s">
        <v>210</v>
      </c>
      <c r="BW13" s="341" t="s">
        <v>15</v>
      </c>
      <c r="BX13" s="361"/>
      <c r="BY13" s="362"/>
      <c r="BZ13" s="363"/>
      <c r="CA13" s="363"/>
      <c r="CB13" s="363"/>
      <c r="CC13" s="363"/>
      <c r="CD13" s="293"/>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row>
    <row r="14" spans="1:220" s="287" customFormat="1" ht="22.5" customHeight="1">
      <c r="B14" s="365">
        <v>10</v>
      </c>
      <c r="C14" s="366" t="s">
        <v>30</v>
      </c>
      <c r="D14" s="367"/>
      <c r="E14" s="368"/>
      <c r="F14" s="321" t="s">
        <v>32</v>
      </c>
      <c r="G14" s="374"/>
      <c r="H14" s="374"/>
      <c r="I14" s="326" t="s">
        <v>11</v>
      </c>
      <c r="J14" s="326" t="s">
        <v>21</v>
      </c>
      <c r="K14" s="326" t="s">
        <v>31</v>
      </c>
      <c r="L14" s="323"/>
      <c r="M14" s="374"/>
      <c r="N14" s="325" t="s">
        <v>438</v>
      </c>
      <c r="O14" s="374"/>
      <c r="P14" s="327" t="s">
        <v>2867</v>
      </c>
      <c r="Q14" s="369" t="s">
        <v>2867</v>
      </c>
      <c r="R14" s="329" t="s">
        <v>535</v>
      </c>
      <c r="S14" s="330"/>
      <c r="T14" s="330"/>
      <c r="U14" s="330"/>
      <c r="V14" s="330"/>
      <c r="W14" s="332" t="s">
        <v>432</v>
      </c>
      <c r="X14" s="331" t="s">
        <v>11079</v>
      </c>
      <c r="Y14" s="331" t="s">
        <v>11080</v>
      </c>
      <c r="Z14" s="331" t="s">
        <v>11080</v>
      </c>
      <c r="AA14" s="331" t="s">
        <v>210</v>
      </c>
      <c r="AB14" s="333"/>
      <c r="AC14" s="333"/>
      <c r="AD14" s="334" t="s">
        <v>33</v>
      </c>
      <c r="AE14" s="335" t="s">
        <v>34</v>
      </c>
      <c r="AF14" s="388"/>
      <c r="AG14" s="389"/>
      <c r="AH14" s="376"/>
      <c r="AI14" s="347"/>
      <c r="AJ14" s="347"/>
      <c r="AK14" s="371"/>
      <c r="AL14" s="321" t="s">
        <v>625</v>
      </c>
      <c r="AM14" s="326" t="s">
        <v>15</v>
      </c>
      <c r="AN14" s="326" t="s">
        <v>15</v>
      </c>
      <c r="AO14" s="341" t="s">
        <v>15</v>
      </c>
      <c r="AP14" s="342"/>
      <c r="AQ14" s="343"/>
      <c r="AR14" s="370">
        <v>3209</v>
      </c>
      <c r="AS14" s="326">
        <v>100</v>
      </c>
      <c r="AT14" s="347"/>
      <c r="AU14" s="347"/>
      <c r="AV14" s="347"/>
      <c r="AW14" s="371"/>
      <c r="AX14" s="347"/>
      <c r="AY14" s="348"/>
      <c r="AZ14" s="377"/>
      <c r="BA14" s="374"/>
      <c r="BB14" s="374"/>
      <c r="BC14" s="374"/>
      <c r="BD14" s="374"/>
      <c r="BE14" s="374"/>
      <c r="BF14" s="374"/>
      <c r="BG14" s="374"/>
      <c r="BH14" s="378"/>
      <c r="BI14" s="376"/>
      <c r="BJ14" s="379"/>
      <c r="BK14" s="380"/>
      <c r="BL14" s="348"/>
      <c r="BM14" s="381"/>
      <c r="BN14" s="321" t="s">
        <v>15</v>
      </c>
      <c r="BO14" s="372"/>
      <c r="BP14" s="373" t="s">
        <v>14</v>
      </c>
      <c r="BQ14" s="360"/>
      <c r="BR14" s="361"/>
      <c r="BS14" s="361"/>
      <c r="BT14" s="361"/>
      <c r="BU14" s="342" t="s">
        <v>210</v>
      </c>
      <c r="BV14" s="342" t="s">
        <v>210</v>
      </c>
      <c r="BW14" s="341" t="s">
        <v>15</v>
      </c>
      <c r="BX14" s="361"/>
      <c r="BY14" s="362"/>
      <c r="BZ14" s="363"/>
      <c r="CA14" s="363"/>
      <c r="CB14" s="363"/>
      <c r="CC14" s="363"/>
      <c r="CD14" s="293"/>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row>
    <row r="15" spans="1:220" s="287" customFormat="1" ht="22.5" customHeight="1">
      <c r="B15" s="365">
        <v>11</v>
      </c>
      <c r="C15" s="366" t="s">
        <v>10736</v>
      </c>
      <c r="D15" s="367"/>
      <c r="E15" s="368"/>
      <c r="F15" s="321" t="s">
        <v>32</v>
      </c>
      <c r="G15" s="374"/>
      <c r="H15" s="374"/>
      <c r="I15" s="326" t="s">
        <v>11</v>
      </c>
      <c r="J15" s="326" t="s">
        <v>12</v>
      </c>
      <c r="K15" s="326" t="s">
        <v>31</v>
      </c>
      <c r="L15" s="323"/>
      <c r="M15" s="374"/>
      <c r="N15" s="325" t="s">
        <v>438</v>
      </c>
      <c r="O15" s="374"/>
      <c r="P15" s="327" t="s">
        <v>2867</v>
      </c>
      <c r="Q15" s="369" t="s">
        <v>2867</v>
      </c>
      <c r="R15" s="329" t="s">
        <v>535</v>
      </c>
      <c r="S15" s="330"/>
      <c r="T15" s="330"/>
      <c r="U15" s="330"/>
      <c r="V15" s="330"/>
      <c r="W15" s="332" t="s">
        <v>432</v>
      </c>
      <c r="X15" s="331" t="s">
        <v>11079</v>
      </c>
      <c r="Y15" s="331" t="s">
        <v>11080</v>
      </c>
      <c r="Z15" s="331" t="s">
        <v>11080</v>
      </c>
      <c r="AA15" s="331" t="s">
        <v>210</v>
      </c>
      <c r="AB15" s="333"/>
      <c r="AC15" s="333"/>
      <c r="AD15" s="334" t="s">
        <v>33</v>
      </c>
      <c r="AE15" s="335" t="s">
        <v>34</v>
      </c>
      <c r="AF15" s="388"/>
      <c r="AG15" s="389"/>
      <c r="AH15" s="376"/>
      <c r="AI15" s="347"/>
      <c r="AJ15" s="347"/>
      <c r="AK15" s="371"/>
      <c r="AL15" s="321" t="s">
        <v>625</v>
      </c>
      <c r="AM15" s="326" t="s">
        <v>15</v>
      </c>
      <c r="AN15" s="326" t="s">
        <v>15</v>
      </c>
      <c r="AO15" s="341" t="s">
        <v>15</v>
      </c>
      <c r="AP15" s="342"/>
      <c r="AQ15" s="343"/>
      <c r="AR15" s="370">
        <v>3347</v>
      </c>
      <c r="AS15" s="326">
        <v>100</v>
      </c>
      <c r="AT15" s="347"/>
      <c r="AU15" s="347"/>
      <c r="AV15" s="347"/>
      <c r="AW15" s="371"/>
      <c r="AX15" s="347"/>
      <c r="AY15" s="348"/>
      <c r="AZ15" s="377"/>
      <c r="BA15" s="374"/>
      <c r="BB15" s="374"/>
      <c r="BC15" s="374"/>
      <c r="BD15" s="374"/>
      <c r="BE15" s="374"/>
      <c r="BF15" s="374"/>
      <c r="BG15" s="374"/>
      <c r="BH15" s="378"/>
      <c r="BI15" s="376"/>
      <c r="BJ15" s="379"/>
      <c r="BK15" s="380"/>
      <c r="BL15" s="348"/>
      <c r="BM15" s="381"/>
      <c r="BN15" s="321" t="s">
        <v>15</v>
      </c>
      <c r="BO15" s="372"/>
      <c r="BP15" s="373" t="s">
        <v>14</v>
      </c>
      <c r="BQ15" s="360"/>
      <c r="BR15" s="361"/>
      <c r="BS15" s="361"/>
      <c r="BT15" s="361"/>
      <c r="BU15" s="342" t="s">
        <v>210</v>
      </c>
      <c r="BV15" s="342" t="s">
        <v>210</v>
      </c>
      <c r="BW15" s="341" t="s">
        <v>15</v>
      </c>
      <c r="BX15" s="361"/>
      <c r="BY15" s="362"/>
      <c r="BZ15" s="363"/>
      <c r="CA15" s="363"/>
      <c r="CB15" s="363"/>
      <c r="CC15" s="363"/>
      <c r="CD15" s="293"/>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row>
    <row r="16" spans="1:220" s="287" customFormat="1" ht="22.5" customHeight="1">
      <c r="B16" s="365">
        <v>12</v>
      </c>
      <c r="C16" s="366" t="s">
        <v>35</v>
      </c>
      <c r="D16" s="367"/>
      <c r="E16" s="368"/>
      <c r="F16" s="321" t="s">
        <v>13</v>
      </c>
      <c r="G16" s="326" t="s">
        <v>2792</v>
      </c>
      <c r="H16" s="326" t="s">
        <v>2796</v>
      </c>
      <c r="I16" s="326" t="s">
        <v>11</v>
      </c>
      <c r="J16" s="326" t="s">
        <v>12</v>
      </c>
      <c r="K16" s="326" t="s">
        <v>10</v>
      </c>
      <c r="L16" s="323"/>
      <c r="M16" s="374"/>
      <c r="N16" s="390"/>
      <c r="O16" s="374"/>
      <c r="P16" s="327" t="s">
        <v>2867</v>
      </c>
      <c r="Q16" s="369" t="s">
        <v>2867</v>
      </c>
      <c r="R16" s="330"/>
      <c r="S16" s="330"/>
      <c r="T16" s="330"/>
      <c r="U16" s="330"/>
      <c r="V16" s="330"/>
      <c r="W16" s="330"/>
      <c r="X16" s="330"/>
      <c r="Y16" s="330"/>
      <c r="Z16" s="330"/>
      <c r="AA16" s="330"/>
      <c r="AB16" s="333"/>
      <c r="AC16" s="333"/>
      <c r="AD16" s="334" t="s">
        <v>8768</v>
      </c>
      <c r="AE16" s="335" t="s">
        <v>19</v>
      </c>
      <c r="AF16" s="336"/>
      <c r="AG16" s="337"/>
      <c r="AH16" s="376"/>
      <c r="AI16" s="347"/>
      <c r="AJ16" s="347"/>
      <c r="AK16" s="371"/>
      <c r="AL16" s="321" t="s">
        <v>625</v>
      </c>
      <c r="AM16" s="326" t="s">
        <v>15</v>
      </c>
      <c r="AN16" s="326" t="s">
        <v>15</v>
      </c>
      <c r="AO16" s="341" t="s">
        <v>15</v>
      </c>
      <c r="AP16" s="342"/>
      <c r="AQ16" s="343"/>
      <c r="AR16" s="370">
        <v>2133</v>
      </c>
      <c r="AS16" s="326">
        <v>100</v>
      </c>
      <c r="AT16" s="347"/>
      <c r="AU16" s="347"/>
      <c r="AV16" s="347"/>
      <c r="AW16" s="371"/>
      <c r="AX16" s="347"/>
      <c r="AY16" s="348"/>
      <c r="AZ16" s="377"/>
      <c r="BA16" s="374"/>
      <c r="BB16" s="374"/>
      <c r="BC16" s="374"/>
      <c r="BD16" s="374"/>
      <c r="BE16" s="374"/>
      <c r="BF16" s="374"/>
      <c r="BG16" s="374"/>
      <c r="BH16" s="378"/>
      <c r="BI16" s="376"/>
      <c r="BJ16" s="379"/>
      <c r="BK16" s="380"/>
      <c r="BL16" s="348"/>
      <c r="BM16" s="381"/>
      <c r="BN16" s="321" t="s">
        <v>14</v>
      </c>
      <c r="BO16" s="372"/>
      <c r="BP16" s="373" t="s">
        <v>14</v>
      </c>
      <c r="BQ16" s="360"/>
      <c r="BR16" s="361"/>
      <c r="BS16" s="361"/>
      <c r="BT16" s="361"/>
      <c r="BU16" s="342" t="s">
        <v>210</v>
      </c>
      <c r="BV16" s="342" t="s">
        <v>210</v>
      </c>
      <c r="BW16" s="341" t="s">
        <v>15</v>
      </c>
      <c r="BX16" s="361"/>
      <c r="BY16" s="362"/>
      <c r="BZ16" s="363"/>
      <c r="CA16" s="363"/>
      <c r="CB16" s="363"/>
      <c r="CC16" s="363"/>
      <c r="CD16" s="293"/>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row>
    <row r="17" spans="2:220" s="287" customFormat="1" ht="22.5" customHeight="1">
      <c r="B17" s="365">
        <v>13</v>
      </c>
      <c r="C17" s="366" t="s">
        <v>36</v>
      </c>
      <c r="D17" s="367"/>
      <c r="E17" s="368"/>
      <c r="F17" s="321" t="s">
        <v>22</v>
      </c>
      <c r="G17" s="326" t="s">
        <v>2797</v>
      </c>
      <c r="H17" s="326" t="s">
        <v>2798</v>
      </c>
      <c r="I17" s="326" t="s">
        <v>11</v>
      </c>
      <c r="J17" s="326" t="s">
        <v>12</v>
      </c>
      <c r="K17" s="326" t="s">
        <v>10</v>
      </c>
      <c r="L17" s="323"/>
      <c r="M17" s="374"/>
      <c r="N17" s="390"/>
      <c r="O17" s="374"/>
      <c r="P17" s="327" t="s">
        <v>2867</v>
      </c>
      <c r="Q17" s="369" t="s">
        <v>2867</v>
      </c>
      <c r="R17" s="330"/>
      <c r="S17" s="330"/>
      <c r="T17" s="330"/>
      <c r="U17" s="330"/>
      <c r="V17" s="330"/>
      <c r="W17" s="330"/>
      <c r="X17" s="330"/>
      <c r="Y17" s="330"/>
      <c r="Z17" s="330"/>
      <c r="AA17" s="330"/>
      <c r="AB17" s="333"/>
      <c r="AC17" s="333"/>
      <c r="AD17" s="334" t="s">
        <v>8768</v>
      </c>
      <c r="AE17" s="391"/>
      <c r="AF17" s="336"/>
      <c r="AG17" s="337"/>
      <c r="AH17" s="376"/>
      <c r="AI17" s="347"/>
      <c r="AJ17" s="347"/>
      <c r="AK17" s="371"/>
      <c r="AL17" s="321" t="s">
        <v>625</v>
      </c>
      <c r="AM17" s="326" t="s">
        <v>15</v>
      </c>
      <c r="AN17" s="326" t="s">
        <v>15</v>
      </c>
      <c r="AO17" s="341" t="s">
        <v>15</v>
      </c>
      <c r="AP17" s="342"/>
      <c r="AQ17" s="343"/>
      <c r="AR17" s="370">
        <v>1257</v>
      </c>
      <c r="AS17" s="326">
        <v>100</v>
      </c>
      <c r="AT17" s="347"/>
      <c r="AU17" s="347"/>
      <c r="AV17" s="347"/>
      <c r="AW17" s="371"/>
      <c r="AX17" s="347"/>
      <c r="AY17" s="348"/>
      <c r="AZ17" s="377"/>
      <c r="BA17" s="374"/>
      <c r="BB17" s="374"/>
      <c r="BC17" s="374"/>
      <c r="BD17" s="374"/>
      <c r="BE17" s="374"/>
      <c r="BF17" s="374"/>
      <c r="BG17" s="374"/>
      <c r="BH17" s="378"/>
      <c r="BI17" s="376"/>
      <c r="BJ17" s="379"/>
      <c r="BK17" s="380"/>
      <c r="BL17" s="348"/>
      <c r="BM17" s="381"/>
      <c r="BN17" s="321" t="s">
        <v>14</v>
      </c>
      <c r="BO17" s="372"/>
      <c r="BP17" s="373" t="s">
        <v>15</v>
      </c>
      <c r="BQ17" s="360"/>
      <c r="BR17" s="361"/>
      <c r="BS17" s="361"/>
      <c r="BT17" s="361"/>
      <c r="BU17" s="342" t="s">
        <v>210</v>
      </c>
      <c r="BV17" s="342" t="s">
        <v>210</v>
      </c>
      <c r="BW17" s="341" t="s">
        <v>15</v>
      </c>
      <c r="BX17" s="361"/>
      <c r="BY17" s="362"/>
      <c r="BZ17" s="363"/>
      <c r="CA17" s="363"/>
      <c r="CB17" s="363"/>
      <c r="CC17" s="363"/>
      <c r="CD17" s="293"/>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row>
    <row r="18" spans="2:220" s="287" customFormat="1" ht="22.5" customHeight="1">
      <c r="B18" s="365">
        <v>14</v>
      </c>
      <c r="C18" s="366" t="s">
        <v>37</v>
      </c>
      <c r="D18" s="367"/>
      <c r="E18" s="368"/>
      <c r="F18" s="321" t="s">
        <v>39</v>
      </c>
      <c r="G18" s="326" t="s">
        <v>2651</v>
      </c>
      <c r="H18" s="374"/>
      <c r="I18" s="326" t="s">
        <v>11</v>
      </c>
      <c r="J18" s="326" t="s">
        <v>21</v>
      </c>
      <c r="K18" s="326" t="s">
        <v>38</v>
      </c>
      <c r="L18" s="323"/>
      <c r="M18" s="374"/>
      <c r="N18" s="390"/>
      <c r="O18" s="374"/>
      <c r="P18" s="327" t="s">
        <v>2867</v>
      </c>
      <c r="Q18" s="369" t="s">
        <v>2867</v>
      </c>
      <c r="R18" s="330"/>
      <c r="S18" s="330"/>
      <c r="T18" s="330"/>
      <c r="U18" s="330"/>
      <c r="V18" s="330"/>
      <c r="W18" s="330"/>
      <c r="X18" s="330"/>
      <c r="Y18" s="330"/>
      <c r="Z18" s="330"/>
      <c r="AA18" s="330"/>
      <c r="AB18" s="333"/>
      <c r="AC18" s="333"/>
      <c r="AD18" s="334" t="s">
        <v>875</v>
      </c>
      <c r="AE18" s="335" t="s">
        <v>16</v>
      </c>
      <c r="AF18" s="388"/>
      <c r="AG18" s="389"/>
      <c r="AH18" s="376"/>
      <c r="AI18" s="347"/>
      <c r="AJ18" s="347"/>
      <c r="AK18" s="371"/>
      <c r="AL18" s="321" t="s">
        <v>625</v>
      </c>
      <c r="AM18" s="326" t="s">
        <v>15</v>
      </c>
      <c r="AN18" s="326" t="s">
        <v>15</v>
      </c>
      <c r="AO18" s="341" t="s">
        <v>15</v>
      </c>
      <c r="AP18" s="342"/>
      <c r="AQ18" s="343"/>
      <c r="AR18" s="370">
        <v>537</v>
      </c>
      <c r="AS18" s="326">
        <v>100</v>
      </c>
      <c r="AT18" s="347"/>
      <c r="AU18" s="347"/>
      <c r="AV18" s="347"/>
      <c r="AW18" s="371"/>
      <c r="AX18" s="347"/>
      <c r="AY18" s="348"/>
      <c r="AZ18" s="377"/>
      <c r="BA18" s="374"/>
      <c r="BB18" s="374"/>
      <c r="BC18" s="374"/>
      <c r="BD18" s="374"/>
      <c r="BE18" s="374"/>
      <c r="BF18" s="374"/>
      <c r="BG18" s="374"/>
      <c r="BH18" s="378"/>
      <c r="BI18" s="376"/>
      <c r="BJ18" s="379"/>
      <c r="BK18" s="380"/>
      <c r="BL18" s="348"/>
      <c r="BM18" s="381"/>
      <c r="BN18" s="321" t="s">
        <v>14</v>
      </c>
      <c r="BO18" s="372"/>
      <c r="BP18" s="373" t="s">
        <v>15</v>
      </c>
      <c r="BQ18" s="360"/>
      <c r="BR18" s="361"/>
      <c r="BS18" s="361"/>
      <c r="BT18" s="361"/>
      <c r="BU18" s="342" t="s">
        <v>210</v>
      </c>
      <c r="BV18" s="342" t="s">
        <v>210</v>
      </c>
      <c r="BW18" s="341" t="s">
        <v>15</v>
      </c>
      <c r="BX18" s="361"/>
      <c r="BY18" s="362"/>
      <c r="BZ18" s="363"/>
      <c r="CA18" s="363"/>
      <c r="CB18" s="363"/>
      <c r="CC18" s="363"/>
      <c r="CD18" s="293"/>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row>
    <row r="19" spans="2:220" s="287" customFormat="1" ht="22.5" customHeight="1">
      <c r="B19" s="365">
        <v>15</v>
      </c>
      <c r="C19" s="366" t="s">
        <v>10735</v>
      </c>
      <c r="D19" s="367"/>
      <c r="E19" s="368"/>
      <c r="F19" s="321" t="s">
        <v>39</v>
      </c>
      <c r="G19" s="326" t="s">
        <v>2651</v>
      </c>
      <c r="H19" s="374"/>
      <c r="I19" s="326" t="s">
        <v>11</v>
      </c>
      <c r="J19" s="326" t="s">
        <v>21</v>
      </c>
      <c r="K19" s="326" t="s">
        <v>31</v>
      </c>
      <c r="L19" s="323"/>
      <c r="M19" s="374"/>
      <c r="N19" s="390"/>
      <c r="O19" s="374"/>
      <c r="P19" s="327" t="s">
        <v>2867</v>
      </c>
      <c r="Q19" s="369" t="s">
        <v>2867</v>
      </c>
      <c r="R19" s="330"/>
      <c r="S19" s="330"/>
      <c r="T19" s="330"/>
      <c r="U19" s="330"/>
      <c r="V19" s="330"/>
      <c r="W19" s="330"/>
      <c r="X19" s="330"/>
      <c r="Y19" s="330"/>
      <c r="Z19" s="330"/>
      <c r="AA19" s="330"/>
      <c r="AB19" s="333"/>
      <c r="AC19" s="333"/>
      <c r="AD19" s="334" t="s">
        <v>875</v>
      </c>
      <c r="AE19" s="335" t="s">
        <v>16</v>
      </c>
      <c r="AF19" s="388"/>
      <c r="AG19" s="389"/>
      <c r="AH19" s="376"/>
      <c r="AI19" s="347"/>
      <c r="AJ19" s="347"/>
      <c r="AK19" s="371"/>
      <c r="AL19" s="321" t="s">
        <v>625</v>
      </c>
      <c r="AM19" s="326" t="s">
        <v>15</v>
      </c>
      <c r="AN19" s="326" t="s">
        <v>15</v>
      </c>
      <c r="AO19" s="341" t="s">
        <v>15</v>
      </c>
      <c r="AP19" s="342"/>
      <c r="AQ19" s="343"/>
      <c r="AR19" s="370">
        <v>2644</v>
      </c>
      <c r="AS19" s="326">
        <v>100</v>
      </c>
      <c r="AT19" s="347"/>
      <c r="AU19" s="347"/>
      <c r="AV19" s="347"/>
      <c r="AW19" s="371"/>
      <c r="AX19" s="347"/>
      <c r="AY19" s="348"/>
      <c r="AZ19" s="377"/>
      <c r="BA19" s="374"/>
      <c r="BB19" s="374"/>
      <c r="BC19" s="374"/>
      <c r="BD19" s="374"/>
      <c r="BE19" s="374"/>
      <c r="BF19" s="374"/>
      <c r="BG19" s="374"/>
      <c r="BH19" s="378"/>
      <c r="BI19" s="376"/>
      <c r="BJ19" s="379"/>
      <c r="BK19" s="380"/>
      <c r="BL19" s="348"/>
      <c r="BM19" s="381"/>
      <c r="BN19" s="321" t="s">
        <v>14</v>
      </c>
      <c r="BO19" s="372"/>
      <c r="BP19" s="373" t="s">
        <v>15</v>
      </c>
      <c r="BQ19" s="360"/>
      <c r="BR19" s="361"/>
      <c r="BS19" s="361"/>
      <c r="BT19" s="361"/>
      <c r="BU19" s="342" t="s">
        <v>210</v>
      </c>
      <c r="BV19" s="342" t="s">
        <v>210</v>
      </c>
      <c r="BW19" s="341" t="s">
        <v>15</v>
      </c>
      <c r="BX19" s="361"/>
      <c r="BY19" s="362"/>
      <c r="BZ19" s="363"/>
      <c r="CA19" s="363"/>
      <c r="CB19" s="363"/>
      <c r="CC19" s="363"/>
      <c r="CD19" s="293"/>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row>
    <row r="20" spans="2:220" s="287" customFormat="1" ht="22.5" customHeight="1">
      <c r="B20" s="365">
        <v>16</v>
      </c>
      <c r="C20" s="366" t="s">
        <v>10734</v>
      </c>
      <c r="D20" s="367"/>
      <c r="E20" s="368"/>
      <c r="F20" s="321" t="s">
        <v>264</v>
      </c>
      <c r="G20" s="374"/>
      <c r="H20" s="374"/>
      <c r="I20" s="326" t="s">
        <v>11</v>
      </c>
      <c r="J20" s="326" t="s">
        <v>21</v>
      </c>
      <c r="K20" s="326" t="s">
        <v>23</v>
      </c>
      <c r="L20" s="323"/>
      <c r="M20" s="374"/>
      <c r="N20" s="325" t="s">
        <v>438</v>
      </c>
      <c r="O20" s="326">
        <v>20</v>
      </c>
      <c r="P20" s="327">
        <v>1476</v>
      </c>
      <c r="Q20" s="369" t="s">
        <v>2867</v>
      </c>
      <c r="R20" s="329" t="s">
        <v>478</v>
      </c>
      <c r="S20" s="330"/>
      <c r="T20" s="330"/>
      <c r="U20" s="330"/>
      <c r="V20" s="330"/>
      <c r="W20" s="332" t="s">
        <v>432</v>
      </c>
      <c r="X20" s="331" t="s">
        <v>11079</v>
      </c>
      <c r="Y20" s="331" t="s">
        <v>11080</v>
      </c>
      <c r="Z20" s="331" t="s">
        <v>11080</v>
      </c>
      <c r="AA20" s="331" t="s">
        <v>210</v>
      </c>
      <c r="AB20" s="333"/>
      <c r="AC20" s="333"/>
      <c r="AD20" s="334" t="s">
        <v>878</v>
      </c>
      <c r="AE20" s="335" t="s">
        <v>5522</v>
      </c>
      <c r="AF20" s="388"/>
      <c r="AG20" s="389"/>
      <c r="AH20" s="338">
        <v>9</v>
      </c>
      <c r="AI20" s="339">
        <v>13.3</v>
      </c>
      <c r="AJ20" s="339">
        <v>11</v>
      </c>
      <c r="AK20" s="340">
        <f>SUM(AH20:AJ20)</f>
        <v>33.299999999999997</v>
      </c>
      <c r="AL20" s="321" t="s">
        <v>625</v>
      </c>
      <c r="AM20" s="326" t="s">
        <v>15</v>
      </c>
      <c r="AN20" s="326" t="s">
        <v>15</v>
      </c>
      <c r="AO20" s="341" t="s">
        <v>15</v>
      </c>
      <c r="AP20" s="342"/>
      <c r="AQ20" s="343"/>
      <c r="AR20" s="370">
        <v>1241</v>
      </c>
      <c r="AS20" s="326">
        <v>100</v>
      </c>
      <c r="AT20" s="347"/>
      <c r="AU20" s="347"/>
      <c r="AV20" s="347"/>
      <c r="AW20" s="371"/>
      <c r="AX20" s="347"/>
      <c r="AY20" s="348"/>
      <c r="AZ20" s="377"/>
      <c r="BA20" s="374"/>
      <c r="BB20" s="374"/>
      <c r="BC20" s="374"/>
      <c r="BD20" s="374"/>
      <c r="BE20" s="374"/>
      <c r="BF20" s="374"/>
      <c r="BG20" s="374"/>
      <c r="BH20" s="378"/>
      <c r="BI20" s="376"/>
      <c r="BJ20" s="379"/>
      <c r="BK20" s="380"/>
      <c r="BL20" s="348"/>
      <c r="BM20" s="381"/>
      <c r="BN20" s="321" t="s">
        <v>15</v>
      </c>
      <c r="BO20" s="372"/>
      <c r="BP20" s="373" t="s">
        <v>15</v>
      </c>
      <c r="BQ20" s="360"/>
      <c r="BR20" s="361"/>
      <c r="BS20" s="361"/>
      <c r="BT20" s="361"/>
      <c r="BU20" s="342" t="s">
        <v>210</v>
      </c>
      <c r="BV20" s="342" t="s">
        <v>210</v>
      </c>
      <c r="BW20" s="341" t="s">
        <v>15</v>
      </c>
      <c r="BX20" s="361"/>
      <c r="BY20" s="362"/>
      <c r="BZ20" s="363"/>
      <c r="CA20" s="363"/>
      <c r="CB20" s="363"/>
      <c r="CC20" s="363"/>
      <c r="CD20" s="293"/>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row>
    <row r="21" spans="2:220" s="287" customFormat="1" ht="22.5" customHeight="1">
      <c r="B21" s="365">
        <v>17</v>
      </c>
      <c r="C21" s="366" t="s">
        <v>10606</v>
      </c>
      <c r="D21" s="367"/>
      <c r="E21" s="368"/>
      <c r="F21" s="321" t="s">
        <v>64</v>
      </c>
      <c r="G21" s="326" t="s">
        <v>2792</v>
      </c>
      <c r="H21" s="326" t="s">
        <v>2799</v>
      </c>
      <c r="I21" s="326" t="s">
        <v>11</v>
      </c>
      <c r="J21" s="326" t="s">
        <v>12</v>
      </c>
      <c r="K21" s="326" t="s">
        <v>10</v>
      </c>
      <c r="L21" s="323"/>
      <c r="M21" s="324" t="s">
        <v>10767</v>
      </c>
      <c r="N21" s="325" t="s">
        <v>437</v>
      </c>
      <c r="O21" s="326">
        <v>30</v>
      </c>
      <c r="P21" s="327">
        <v>1125</v>
      </c>
      <c r="Q21" s="369" t="s">
        <v>2867</v>
      </c>
      <c r="R21" s="329" t="s">
        <v>478</v>
      </c>
      <c r="S21" s="330"/>
      <c r="T21" s="330"/>
      <c r="U21" s="330"/>
      <c r="V21" s="330"/>
      <c r="W21" s="332" t="s">
        <v>432</v>
      </c>
      <c r="X21" s="331" t="s">
        <v>11079</v>
      </c>
      <c r="Y21" s="331" t="s">
        <v>11080</v>
      </c>
      <c r="Z21" s="331" t="s">
        <v>11080</v>
      </c>
      <c r="AA21" s="331" t="s">
        <v>210</v>
      </c>
      <c r="AB21" s="333"/>
      <c r="AC21" s="333"/>
      <c r="AD21" s="334" t="s">
        <v>5522</v>
      </c>
      <c r="AE21" s="335" t="s">
        <v>15</v>
      </c>
      <c r="AF21" s="336"/>
      <c r="AG21" s="337"/>
      <c r="AH21" s="338">
        <v>12.8</v>
      </c>
      <c r="AI21" s="339">
        <v>21.5</v>
      </c>
      <c r="AJ21" s="339">
        <v>15.6</v>
      </c>
      <c r="AK21" s="340">
        <f>SUM(AH21:AJ21)</f>
        <v>49.9</v>
      </c>
      <c r="AL21" s="321" t="s">
        <v>625</v>
      </c>
      <c r="AM21" s="326" t="s">
        <v>15</v>
      </c>
      <c r="AN21" s="326" t="s">
        <v>15</v>
      </c>
      <c r="AO21" s="341" t="s">
        <v>15</v>
      </c>
      <c r="AP21" s="342"/>
      <c r="AQ21" s="343"/>
      <c r="AR21" s="370">
        <v>1626</v>
      </c>
      <c r="AS21" s="326">
        <v>100</v>
      </c>
      <c r="AT21" s="347"/>
      <c r="AU21" s="347"/>
      <c r="AV21" s="347"/>
      <c r="AW21" s="371"/>
      <c r="AX21" s="347"/>
      <c r="AY21" s="348"/>
      <c r="AZ21" s="377"/>
      <c r="BA21" s="374"/>
      <c r="BB21" s="374"/>
      <c r="BC21" s="374"/>
      <c r="BD21" s="374"/>
      <c r="BE21" s="374"/>
      <c r="BF21" s="374"/>
      <c r="BG21" s="374"/>
      <c r="BH21" s="378"/>
      <c r="BI21" s="376"/>
      <c r="BJ21" s="379"/>
      <c r="BK21" s="380"/>
      <c r="BL21" s="348"/>
      <c r="BM21" s="381"/>
      <c r="BN21" s="321" t="s">
        <v>15</v>
      </c>
      <c r="BO21" s="372"/>
      <c r="BP21" s="373" t="s">
        <v>15</v>
      </c>
      <c r="BQ21" s="360"/>
      <c r="BR21" s="361"/>
      <c r="BS21" s="361"/>
      <c r="BT21" s="361"/>
      <c r="BU21" s="342" t="s">
        <v>210</v>
      </c>
      <c r="BV21" s="342" t="s">
        <v>210</v>
      </c>
      <c r="BW21" s="341" t="s">
        <v>15</v>
      </c>
      <c r="BX21" s="361"/>
      <c r="BY21" s="362"/>
      <c r="BZ21" s="363"/>
      <c r="CA21" s="363"/>
      <c r="CB21" s="363"/>
      <c r="CC21" s="363"/>
      <c r="CD21" s="293"/>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row>
    <row r="22" spans="2:220" s="287" customFormat="1" ht="22.5" customHeight="1">
      <c r="B22" s="365">
        <v>18</v>
      </c>
      <c r="C22" s="366" t="s">
        <v>10594</v>
      </c>
      <c r="D22" s="367"/>
      <c r="E22" s="368"/>
      <c r="F22" s="321" t="s">
        <v>22</v>
      </c>
      <c r="G22" s="326" t="s">
        <v>2800</v>
      </c>
      <c r="H22" s="326" t="s">
        <v>2801</v>
      </c>
      <c r="I22" s="326" t="s">
        <v>11</v>
      </c>
      <c r="J22" s="326" t="s">
        <v>12</v>
      </c>
      <c r="K22" s="326" t="s">
        <v>10</v>
      </c>
      <c r="L22" s="323"/>
      <c r="M22" s="374"/>
      <c r="N22" s="390"/>
      <c r="O22" s="374"/>
      <c r="P22" s="327" t="s">
        <v>2867</v>
      </c>
      <c r="Q22" s="369" t="s">
        <v>2867</v>
      </c>
      <c r="R22" s="330"/>
      <c r="S22" s="330"/>
      <c r="T22" s="330"/>
      <c r="U22" s="330"/>
      <c r="V22" s="330"/>
      <c r="W22" s="330"/>
      <c r="X22" s="330"/>
      <c r="Y22" s="330"/>
      <c r="Z22" s="330"/>
      <c r="AA22" s="330"/>
      <c r="AB22" s="333"/>
      <c r="AC22" s="333"/>
      <c r="AD22" s="334" t="s">
        <v>8768</v>
      </c>
      <c r="AE22" s="335" t="s">
        <v>15</v>
      </c>
      <c r="AF22" s="336"/>
      <c r="AG22" s="337"/>
      <c r="AH22" s="376"/>
      <c r="AI22" s="347"/>
      <c r="AJ22" s="347"/>
      <c r="AK22" s="371"/>
      <c r="AL22" s="321" t="s">
        <v>625</v>
      </c>
      <c r="AM22" s="326" t="s">
        <v>15</v>
      </c>
      <c r="AN22" s="326" t="s">
        <v>15</v>
      </c>
      <c r="AO22" s="341" t="s">
        <v>15</v>
      </c>
      <c r="AP22" s="342"/>
      <c r="AQ22" s="343"/>
      <c r="AR22" s="370">
        <v>1342</v>
      </c>
      <c r="AS22" s="326">
        <v>100</v>
      </c>
      <c r="AT22" s="347"/>
      <c r="AU22" s="347"/>
      <c r="AV22" s="347"/>
      <c r="AW22" s="371"/>
      <c r="AX22" s="347"/>
      <c r="AY22" s="348"/>
      <c r="AZ22" s="377"/>
      <c r="BA22" s="374"/>
      <c r="BB22" s="374"/>
      <c r="BC22" s="374"/>
      <c r="BD22" s="374"/>
      <c r="BE22" s="374"/>
      <c r="BF22" s="374"/>
      <c r="BG22" s="374"/>
      <c r="BH22" s="378"/>
      <c r="BI22" s="376"/>
      <c r="BJ22" s="379"/>
      <c r="BK22" s="380"/>
      <c r="BL22" s="348"/>
      <c r="BM22" s="381"/>
      <c r="BN22" s="321" t="s">
        <v>14</v>
      </c>
      <c r="BO22" s="372"/>
      <c r="BP22" s="373" t="s">
        <v>15</v>
      </c>
      <c r="BQ22" s="360"/>
      <c r="BR22" s="361"/>
      <c r="BS22" s="361"/>
      <c r="BT22" s="361"/>
      <c r="BU22" s="342" t="s">
        <v>210</v>
      </c>
      <c r="BV22" s="342" t="s">
        <v>210</v>
      </c>
      <c r="BW22" s="341" t="s">
        <v>15</v>
      </c>
      <c r="BX22" s="361"/>
      <c r="BY22" s="362"/>
      <c r="BZ22" s="363"/>
      <c r="CA22" s="363"/>
      <c r="CB22" s="363"/>
      <c r="CC22" s="363"/>
      <c r="CD22" s="293"/>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row>
    <row r="23" spans="2:220" s="287" customFormat="1" ht="22.5" customHeight="1">
      <c r="B23" s="365">
        <v>19</v>
      </c>
      <c r="C23" s="366" t="s">
        <v>40</v>
      </c>
      <c r="D23" s="367"/>
      <c r="E23" s="368"/>
      <c r="F23" s="321" t="s">
        <v>22</v>
      </c>
      <c r="G23" s="326" t="s">
        <v>2802</v>
      </c>
      <c r="H23" s="326" t="s">
        <v>2803</v>
      </c>
      <c r="I23" s="326" t="s">
        <v>11</v>
      </c>
      <c r="J23" s="326" t="s">
        <v>12</v>
      </c>
      <c r="K23" s="326" t="s">
        <v>10</v>
      </c>
      <c r="L23" s="323"/>
      <c r="M23" s="374"/>
      <c r="N23" s="390"/>
      <c r="O23" s="374"/>
      <c r="P23" s="327" t="s">
        <v>2867</v>
      </c>
      <c r="Q23" s="369" t="s">
        <v>2867</v>
      </c>
      <c r="R23" s="330"/>
      <c r="S23" s="330"/>
      <c r="T23" s="330"/>
      <c r="U23" s="330"/>
      <c r="V23" s="330"/>
      <c r="W23" s="330"/>
      <c r="X23" s="330"/>
      <c r="Y23" s="330"/>
      <c r="Z23" s="330"/>
      <c r="AA23" s="330"/>
      <c r="AB23" s="333"/>
      <c r="AC23" s="333"/>
      <c r="AD23" s="334" t="s">
        <v>5522</v>
      </c>
      <c r="AE23" s="335" t="s">
        <v>15</v>
      </c>
      <c r="AF23" s="336"/>
      <c r="AG23" s="337"/>
      <c r="AH23" s="376"/>
      <c r="AI23" s="347"/>
      <c r="AJ23" s="347"/>
      <c r="AK23" s="371"/>
      <c r="AL23" s="321" t="s">
        <v>625</v>
      </c>
      <c r="AM23" s="326" t="s">
        <v>15</v>
      </c>
      <c r="AN23" s="326" t="s">
        <v>15</v>
      </c>
      <c r="AO23" s="341" t="s">
        <v>15</v>
      </c>
      <c r="AP23" s="342"/>
      <c r="AQ23" s="343"/>
      <c r="AR23" s="370">
        <v>3721</v>
      </c>
      <c r="AS23" s="326">
        <v>100</v>
      </c>
      <c r="AT23" s="347"/>
      <c r="AU23" s="347"/>
      <c r="AV23" s="347"/>
      <c r="AW23" s="371"/>
      <c r="AX23" s="347"/>
      <c r="AY23" s="348"/>
      <c r="AZ23" s="377"/>
      <c r="BA23" s="374"/>
      <c r="BB23" s="374"/>
      <c r="BC23" s="374"/>
      <c r="BD23" s="374"/>
      <c r="BE23" s="374"/>
      <c r="BF23" s="374"/>
      <c r="BG23" s="374"/>
      <c r="BH23" s="378"/>
      <c r="BI23" s="376"/>
      <c r="BJ23" s="379"/>
      <c r="BK23" s="380"/>
      <c r="BL23" s="348"/>
      <c r="BM23" s="381"/>
      <c r="BN23" s="321" t="s">
        <v>15</v>
      </c>
      <c r="BO23" s="372"/>
      <c r="BP23" s="373" t="s">
        <v>15</v>
      </c>
      <c r="BQ23" s="360"/>
      <c r="BR23" s="361"/>
      <c r="BS23" s="361"/>
      <c r="BT23" s="361"/>
      <c r="BU23" s="342" t="s">
        <v>210</v>
      </c>
      <c r="BV23" s="342" t="s">
        <v>210</v>
      </c>
      <c r="BW23" s="341" t="s">
        <v>15</v>
      </c>
      <c r="BX23" s="361"/>
      <c r="BY23" s="362"/>
      <c r="BZ23" s="363"/>
      <c r="CA23" s="363"/>
      <c r="CB23" s="363"/>
      <c r="CC23" s="363"/>
      <c r="CD23" s="293"/>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row>
    <row r="24" spans="2:220" s="287" customFormat="1" ht="22.5" customHeight="1">
      <c r="B24" s="365">
        <v>20</v>
      </c>
      <c r="C24" s="366" t="s">
        <v>7011</v>
      </c>
      <c r="D24" s="367"/>
      <c r="E24" s="368"/>
      <c r="F24" s="321" t="s">
        <v>13</v>
      </c>
      <c r="G24" s="326" t="s">
        <v>2792</v>
      </c>
      <c r="H24" s="326" t="s">
        <v>2804</v>
      </c>
      <c r="I24" s="326" t="s">
        <v>11</v>
      </c>
      <c r="J24" s="326" t="s">
        <v>12</v>
      </c>
      <c r="K24" s="326" t="s">
        <v>10</v>
      </c>
      <c r="L24" s="323"/>
      <c r="M24" s="374"/>
      <c r="N24" s="390"/>
      <c r="O24" s="374"/>
      <c r="P24" s="327" t="s">
        <v>2867</v>
      </c>
      <c r="Q24" s="369" t="s">
        <v>2867</v>
      </c>
      <c r="R24" s="329" t="s">
        <v>536</v>
      </c>
      <c r="S24" s="330"/>
      <c r="T24" s="330"/>
      <c r="U24" s="330"/>
      <c r="V24" s="330"/>
      <c r="W24" s="330"/>
      <c r="X24" s="330"/>
      <c r="Y24" s="330"/>
      <c r="Z24" s="330"/>
      <c r="AA24" s="330"/>
      <c r="AB24" s="333"/>
      <c r="AC24" s="333"/>
      <c r="AD24" s="334" t="s">
        <v>8768</v>
      </c>
      <c r="AE24" s="335" t="s">
        <v>877</v>
      </c>
      <c r="AF24" s="336"/>
      <c r="AG24" s="337"/>
      <c r="AH24" s="417" t="s">
        <v>210</v>
      </c>
      <c r="AI24" s="392" t="s">
        <v>210</v>
      </c>
      <c r="AJ24" s="392" t="s">
        <v>210</v>
      </c>
      <c r="AK24" s="340" t="s">
        <v>210</v>
      </c>
      <c r="AL24" s="321" t="s">
        <v>625</v>
      </c>
      <c r="AM24" s="326" t="s">
        <v>15</v>
      </c>
      <c r="AN24" s="326" t="s">
        <v>15</v>
      </c>
      <c r="AO24" s="341" t="s">
        <v>15</v>
      </c>
      <c r="AP24" s="342"/>
      <c r="AQ24" s="343"/>
      <c r="AR24" s="370">
        <v>1871</v>
      </c>
      <c r="AS24" s="326">
        <v>100</v>
      </c>
      <c r="AT24" s="347"/>
      <c r="AU24" s="347"/>
      <c r="AV24" s="347"/>
      <c r="AW24" s="371"/>
      <c r="AX24" s="347"/>
      <c r="AY24" s="348"/>
      <c r="AZ24" s="377"/>
      <c r="BA24" s="374"/>
      <c r="BB24" s="374"/>
      <c r="BC24" s="374"/>
      <c r="BD24" s="374"/>
      <c r="BE24" s="374"/>
      <c r="BF24" s="374"/>
      <c r="BG24" s="374"/>
      <c r="BH24" s="378"/>
      <c r="BI24" s="376"/>
      <c r="BJ24" s="379"/>
      <c r="BK24" s="380"/>
      <c r="BL24" s="348"/>
      <c r="BM24" s="381"/>
      <c r="BN24" s="321" t="s">
        <v>14</v>
      </c>
      <c r="BO24" s="372"/>
      <c r="BP24" s="373" t="s">
        <v>15</v>
      </c>
      <c r="BQ24" s="360"/>
      <c r="BR24" s="361"/>
      <c r="BS24" s="361"/>
      <c r="BT24" s="361"/>
      <c r="BU24" s="342" t="s">
        <v>210</v>
      </c>
      <c r="BV24" s="342" t="s">
        <v>210</v>
      </c>
      <c r="BW24" s="341" t="s">
        <v>15</v>
      </c>
      <c r="BX24" s="361"/>
      <c r="BY24" s="362"/>
      <c r="BZ24" s="363"/>
      <c r="CA24" s="363"/>
      <c r="CB24" s="363"/>
      <c r="CC24" s="363"/>
      <c r="CD24" s="293"/>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row>
    <row r="25" spans="2:220" s="287" customFormat="1" ht="22.5" customHeight="1">
      <c r="B25" s="365">
        <v>21</v>
      </c>
      <c r="C25" s="366" t="s">
        <v>10733</v>
      </c>
      <c r="D25" s="367"/>
      <c r="E25" s="368"/>
      <c r="F25" s="321" t="s">
        <v>48</v>
      </c>
      <c r="G25" s="374"/>
      <c r="H25" s="374"/>
      <c r="I25" s="326" t="s">
        <v>11</v>
      </c>
      <c r="J25" s="326" t="s">
        <v>12</v>
      </c>
      <c r="K25" s="326" t="s">
        <v>38</v>
      </c>
      <c r="L25" s="323"/>
      <c r="M25" s="374"/>
      <c r="N25" s="390"/>
      <c r="O25" s="374"/>
      <c r="P25" s="327" t="s">
        <v>2867</v>
      </c>
      <c r="Q25" s="369" t="s">
        <v>2867</v>
      </c>
      <c r="R25" s="330"/>
      <c r="S25" s="330"/>
      <c r="T25" s="330"/>
      <c r="U25" s="330"/>
      <c r="V25" s="330"/>
      <c r="W25" s="330"/>
      <c r="X25" s="330"/>
      <c r="Y25" s="330"/>
      <c r="Z25" s="330"/>
      <c r="AA25" s="330"/>
      <c r="AB25" s="333"/>
      <c r="AC25" s="333"/>
      <c r="AD25" s="334" t="s">
        <v>882</v>
      </c>
      <c r="AE25" s="335" t="s">
        <v>15</v>
      </c>
      <c r="AF25" s="336"/>
      <c r="AG25" s="337"/>
      <c r="AH25" s="417" t="s">
        <v>210</v>
      </c>
      <c r="AI25" s="392" t="s">
        <v>210</v>
      </c>
      <c r="AJ25" s="392" t="s">
        <v>210</v>
      </c>
      <c r="AK25" s="340" t="s">
        <v>210</v>
      </c>
      <c r="AL25" s="321" t="s">
        <v>625</v>
      </c>
      <c r="AM25" s="326" t="s">
        <v>15</v>
      </c>
      <c r="AN25" s="326" t="s">
        <v>15</v>
      </c>
      <c r="AO25" s="341" t="s">
        <v>15</v>
      </c>
      <c r="AP25" s="342"/>
      <c r="AQ25" s="343"/>
      <c r="AR25" s="370">
        <v>370</v>
      </c>
      <c r="AS25" s="326">
        <v>100</v>
      </c>
      <c r="AT25" s="347"/>
      <c r="AU25" s="347"/>
      <c r="AV25" s="347"/>
      <c r="AW25" s="371"/>
      <c r="AX25" s="347"/>
      <c r="AY25" s="348"/>
      <c r="AZ25" s="377"/>
      <c r="BA25" s="374"/>
      <c r="BB25" s="374"/>
      <c r="BC25" s="374"/>
      <c r="BD25" s="374"/>
      <c r="BE25" s="374"/>
      <c r="BF25" s="374"/>
      <c r="BG25" s="374"/>
      <c r="BH25" s="378"/>
      <c r="BI25" s="376"/>
      <c r="BJ25" s="379"/>
      <c r="BK25" s="380"/>
      <c r="BL25" s="348"/>
      <c r="BM25" s="381"/>
      <c r="BN25" s="321" t="s">
        <v>15</v>
      </c>
      <c r="BO25" s="372"/>
      <c r="BP25" s="373" t="s">
        <v>15</v>
      </c>
      <c r="BQ25" s="360"/>
      <c r="BR25" s="361"/>
      <c r="BS25" s="361"/>
      <c r="BT25" s="361"/>
      <c r="BU25" s="342" t="s">
        <v>210</v>
      </c>
      <c r="BV25" s="342" t="s">
        <v>210</v>
      </c>
      <c r="BW25" s="341" t="s">
        <v>15</v>
      </c>
      <c r="BX25" s="361"/>
      <c r="BY25" s="362"/>
      <c r="BZ25" s="363"/>
      <c r="CA25" s="363"/>
      <c r="CB25" s="363"/>
      <c r="CC25" s="363"/>
      <c r="CD25" s="293"/>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row>
    <row r="26" spans="2:220" s="287" customFormat="1" ht="22.5" customHeight="1">
      <c r="B26" s="365">
        <v>22</v>
      </c>
      <c r="C26" s="366" t="s">
        <v>49</v>
      </c>
      <c r="D26" s="367"/>
      <c r="E26" s="368"/>
      <c r="F26" s="321" t="s">
        <v>13</v>
      </c>
      <c r="G26" s="326" t="s">
        <v>2805</v>
      </c>
      <c r="H26" s="326" t="s">
        <v>2806</v>
      </c>
      <c r="I26" s="326" t="s">
        <v>11</v>
      </c>
      <c r="J26" s="326" t="s">
        <v>12</v>
      </c>
      <c r="K26" s="326" t="s">
        <v>10</v>
      </c>
      <c r="L26" s="323"/>
      <c r="M26" s="324" t="s">
        <v>10767</v>
      </c>
      <c r="N26" s="325" t="s">
        <v>437</v>
      </c>
      <c r="O26" s="326">
        <v>30</v>
      </c>
      <c r="P26" s="327" t="s">
        <v>2867</v>
      </c>
      <c r="Q26" s="369" t="s">
        <v>2867</v>
      </c>
      <c r="R26" s="329" t="s">
        <v>1104</v>
      </c>
      <c r="S26" s="330"/>
      <c r="T26" s="331" t="s">
        <v>11322</v>
      </c>
      <c r="U26" s="331" t="s">
        <v>11321</v>
      </c>
      <c r="V26" s="330"/>
      <c r="W26" s="332" t="s">
        <v>432</v>
      </c>
      <c r="X26" s="331" t="s">
        <v>11079</v>
      </c>
      <c r="Y26" s="331" t="s">
        <v>11080</v>
      </c>
      <c r="Z26" s="331" t="s">
        <v>11080</v>
      </c>
      <c r="AA26" s="331" t="s">
        <v>210</v>
      </c>
      <c r="AB26" s="333"/>
      <c r="AC26" s="333"/>
      <c r="AD26" s="334" t="s">
        <v>8768</v>
      </c>
      <c r="AE26" s="335" t="s">
        <v>15</v>
      </c>
      <c r="AF26" s="336"/>
      <c r="AG26" s="337"/>
      <c r="AH26" s="338">
        <v>17.7</v>
      </c>
      <c r="AI26" s="339">
        <v>16.5</v>
      </c>
      <c r="AJ26" s="339">
        <v>11.4</v>
      </c>
      <c r="AK26" s="340">
        <f>SUM(AH26:AJ26)</f>
        <v>45.6</v>
      </c>
      <c r="AL26" s="321" t="s">
        <v>625</v>
      </c>
      <c r="AM26" s="326" t="s">
        <v>15</v>
      </c>
      <c r="AN26" s="326" t="s">
        <v>15</v>
      </c>
      <c r="AO26" s="341" t="s">
        <v>15</v>
      </c>
      <c r="AP26" s="342"/>
      <c r="AQ26" s="343"/>
      <c r="AR26" s="370">
        <v>487</v>
      </c>
      <c r="AS26" s="326">
        <v>100</v>
      </c>
      <c r="AT26" s="347"/>
      <c r="AU26" s="347"/>
      <c r="AV26" s="347"/>
      <c r="AW26" s="371"/>
      <c r="AX26" s="347"/>
      <c r="AY26" s="348"/>
      <c r="AZ26" s="377"/>
      <c r="BA26" s="374"/>
      <c r="BB26" s="374"/>
      <c r="BC26" s="374"/>
      <c r="BD26" s="374"/>
      <c r="BE26" s="374"/>
      <c r="BF26" s="374"/>
      <c r="BG26" s="374"/>
      <c r="BH26" s="378"/>
      <c r="BI26" s="376"/>
      <c r="BJ26" s="379"/>
      <c r="BK26" s="380"/>
      <c r="BL26" s="348"/>
      <c r="BM26" s="381"/>
      <c r="BN26" s="321" t="s">
        <v>14</v>
      </c>
      <c r="BO26" s="372"/>
      <c r="BP26" s="373" t="s">
        <v>14</v>
      </c>
      <c r="BQ26" s="360"/>
      <c r="BR26" s="361"/>
      <c r="BS26" s="361"/>
      <c r="BT26" s="361"/>
      <c r="BU26" s="342" t="s">
        <v>210</v>
      </c>
      <c r="BV26" s="342" t="s">
        <v>210</v>
      </c>
      <c r="BW26" s="341" t="s">
        <v>15</v>
      </c>
      <c r="BX26" s="361"/>
      <c r="BY26" s="362"/>
      <c r="BZ26" s="363"/>
      <c r="CA26" s="363"/>
      <c r="CB26" s="363"/>
      <c r="CC26" s="363"/>
      <c r="CD26" s="293"/>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row>
    <row r="27" spans="2:220" s="287" customFormat="1" ht="22.5" customHeight="1">
      <c r="B27" s="365">
        <v>23</v>
      </c>
      <c r="C27" s="366" t="s">
        <v>50</v>
      </c>
      <c r="D27" s="367"/>
      <c r="E27" s="368"/>
      <c r="F27" s="321" t="s">
        <v>59</v>
      </c>
      <c r="G27" s="326" t="s">
        <v>2805</v>
      </c>
      <c r="H27" s="326" t="s">
        <v>2806</v>
      </c>
      <c r="I27" s="326" t="s">
        <v>11</v>
      </c>
      <c r="J27" s="326" t="s">
        <v>21</v>
      </c>
      <c r="K27" s="326" t="s">
        <v>10</v>
      </c>
      <c r="L27" s="323"/>
      <c r="M27" s="324" t="s">
        <v>10767</v>
      </c>
      <c r="N27" s="325" t="s">
        <v>438</v>
      </c>
      <c r="O27" s="326">
        <v>30</v>
      </c>
      <c r="P27" s="327">
        <v>3792</v>
      </c>
      <c r="Q27" s="369" t="s">
        <v>2867</v>
      </c>
      <c r="R27" s="329" t="s">
        <v>1104</v>
      </c>
      <c r="S27" s="330"/>
      <c r="T27" s="331" t="s">
        <v>11322</v>
      </c>
      <c r="U27" s="331" t="s">
        <v>11321</v>
      </c>
      <c r="V27" s="330"/>
      <c r="W27" s="332" t="s">
        <v>432</v>
      </c>
      <c r="X27" s="331" t="s">
        <v>11079</v>
      </c>
      <c r="Y27" s="331" t="s">
        <v>11080</v>
      </c>
      <c r="Z27" s="331" t="s">
        <v>11080</v>
      </c>
      <c r="AA27" s="331" t="s">
        <v>210</v>
      </c>
      <c r="AB27" s="333"/>
      <c r="AC27" s="333"/>
      <c r="AD27" s="334" t="s">
        <v>8768</v>
      </c>
      <c r="AE27" s="335" t="s">
        <v>16</v>
      </c>
      <c r="AF27" s="336"/>
      <c r="AG27" s="337"/>
      <c r="AH27" s="338">
        <v>14.4</v>
      </c>
      <c r="AI27" s="339">
        <v>20.399999999999999</v>
      </c>
      <c r="AJ27" s="339">
        <v>16.5</v>
      </c>
      <c r="AK27" s="340">
        <f>SUM(AH27:AJ27)</f>
        <v>51.3</v>
      </c>
      <c r="AL27" s="321" t="s">
        <v>625</v>
      </c>
      <c r="AM27" s="326" t="s">
        <v>15</v>
      </c>
      <c r="AN27" s="326" t="s">
        <v>15</v>
      </c>
      <c r="AO27" s="341" t="s">
        <v>15</v>
      </c>
      <c r="AP27" s="342"/>
      <c r="AQ27" s="343"/>
      <c r="AR27" s="370">
        <v>4088</v>
      </c>
      <c r="AS27" s="326">
        <v>100</v>
      </c>
      <c r="AT27" s="347"/>
      <c r="AU27" s="347"/>
      <c r="AV27" s="347"/>
      <c r="AW27" s="371"/>
      <c r="AX27" s="347"/>
      <c r="AY27" s="348"/>
      <c r="AZ27" s="377"/>
      <c r="BA27" s="374"/>
      <c r="BB27" s="374"/>
      <c r="BC27" s="374"/>
      <c r="BD27" s="374"/>
      <c r="BE27" s="374"/>
      <c r="BF27" s="374"/>
      <c r="BG27" s="374"/>
      <c r="BH27" s="378"/>
      <c r="BI27" s="376"/>
      <c r="BJ27" s="379"/>
      <c r="BK27" s="380"/>
      <c r="BL27" s="348"/>
      <c r="BM27" s="381"/>
      <c r="BN27" s="321" t="s">
        <v>14</v>
      </c>
      <c r="BO27" s="372"/>
      <c r="BP27" s="373" t="s">
        <v>14</v>
      </c>
      <c r="BQ27" s="360"/>
      <c r="BR27" s="361"/>
      <c r="BS27" s="361"/>
      <c r="BT27" s="361"/>
      <c r="BU27" s="342" t="s">
        <v>210</v>
      </c>
      <c r="BV27" s="342" t="s">
        <v>210</v>
      </c>
      <c r="BW27" s="341" t="s">
        <v>15</v>
      </c>
      <c r="BX27" s="361"/>
      <c r="BY27" s="362"/>
      <c r="BZ27" s="363"/>
      <c r="CA27" s="363"/>
      <c r="CB27" s="363"/>
      <c r="CC27" s="363"/>
      <c r="CD27" s="293"/>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row>
    <row r="28" spans="2:220" s="287" customFormat="1" ht="22.5" customHeight="1">
      <c r="B28" s="365">
        <v>24</v>
      </c>
      <c r="C28" s="366" t="s">
        <v>52</v>
      </c>
      <c r="D28" s="367"/>
      <c r="E28" s="368"/>
      <c r="F28" s="321" t="s">
        <v>53</v>
      </c>
      <c r="G28" s="326" t="s">
        <v>2807</v>
      </c>
      <c r="H28" s="326" t="s">
        <v>2808</v>
      </c>
      <c r="I28" s="326" t="s">
        <v>11</v>
      </c>
      <c r="J28" s="326" t="s">
        <v>12</v>
      </c>
      <c r="K28" s="326" t="s">
        <v>31</v>
      </c>
      <c r="L28" s="323"/>
      <c r="M28" s="374"/>
      <c r="N28" s="390"/>
      <c r="O28" s="374"/>
      <c r="P28" s="327" t="s">
        <v>2867</v>
      </c>
      <c r="Q28" s="369" t="s">
        <v>2867</v>
      </c>
      <c r="R28" s="330"/>
      <c r="S28" s="330"/>
      <c r="T28" s="330"/>
      <c r="U28" s="330"/>
      <c r="V28" s="330"/>
      <c r="W28" s="332"/>
      <c r="X28" s="330"/>
      <c r="Y28" s="330"/>
      <c r="Z28" s="330"/>
      <c r="AA28" s="330"/>
      <c r="AB28" s="333"/>
      <c r="AC28" s="333"/>
      <c r="AD28" s="334" t="s">
        <v>866</v>
      </c>
      <c r="AE28" s="335" t="s">
        <v>16</v>
      </c>
      <c r="AF28" s="336"/>
      <c r="AG28" s="337"/>
      <c r="AH28" s="417" t="s">
        <v>210</v>
      </c>
      <c r="AI28" s="392" t="s">
        <v>210</v>
      </c>
      <c r="AJ28" s="392" t="s">
        <v>210</v>
      </c>
      <c r="AK28" s="340" t="s">
        <v>210</v>
      </c>
      <c r="AL28" s="321" t="s">
        <v>625</v>
      </c>
      <c r="AM28" s="326" t="s">
        <v>15</v>
      </c>
      <c r="AN28" s="326" t="s">
        <v>15</v>
      </c>
      <c r="AO28" s="341" t="s">
        <v>15</v>
      </c>
      <c r="AP28" s="342"/>
      <c r="AQ28" s="343"/>
      <c r="AR28" s="370">
        <v>1114</v>
      </c>
      <c r="AS28" s="326">
        <v>120</v>
      </c>
      <c r="AT28" s="347"/>
      <c r="AU28" s="347"/>
      <c r="AV28" s="347"/>
      <c r="AW28" s="371"/>
      <c r="AX28" s="347"/>
      <c r="AY28" s="348"/>
      <c r="AZ28" s="377"/>
      <c r="BA28" s="374"/>
      <c r="BB28" s="374"/>
      <c r="BC28" s="374"/>
      <c r="BD28" s="374"/>
      <c r="BE28" s="374"/>
      <c r="BF28" s="374"/>
      <c r="BG28" s="374"/>
      <c r="BH28" s="378"/>
      <c r="BI28" s="376"/>
      <c r="BJ28" s="379"/>
      <c r="BK28" s="380"/>
      <c r="BL28" s="348"/>
      <c r="BM28" s="381"/>
      <c r="BN28" s="321" t="s">
        <v>15</v>
      </c>
      <c r="BO28" s="372"/>
      <c r="BP28" s="373" t="s">
        <v>15</v>
      </c>
      <c r="BQ28" s="360"/>
      <c r="BR28" s="361"/>
      <c r="BS28" s="361"/>
      <c r="BT28" s="361"/>
      <c r="BU28" s="342" t="s">
        <v>210</v>
      </c>
      <c r="BV28" s="342" t="s">
        <v>210</v>
      </c>
      <c r="BW28" s="341" t="s">
        <v>15</v>
      </c>
      <c r="BX28" s="361"/>
      <c r="BY28" s="362"/>
      <c r="BZ28" s="363"/>
      <c r="CA28" s="363"/>
      <c r="CB28" s="363"/>
      <c r="CC28" s="363"/>
      <c r="CD28" s="293"/>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row>
    <row r="29" spans="2:220" s="287" customFormat="1" ht="22.5" customHeight="1">
      <c r="B29" s="365">
        <v>25</v>
      </c>
      <c r="C29" s="366" t="s">
        <v>54</v>
      </c>
      <c r="D29" s="367"/>
      <c r="E29" s="368"/>
      <c r="F29" s="321" t="s">
        <v>45</v>
      </c>
      <c r="G29" s="326" t="s">
        <v>2778</v>
      </c>
      <c r="H29" s="326" t="s">
        <v>2779</v>
      </c>
      <c r="I29" s="326" t="s">
        <v>11</v>
      </c>
      <c r="J29" s="326" t="s">
        <v>12</v>
      </c>
      <c r="K29" s="326" t="s">
        <v>10</v>
      </c>
      <c r="L29" s="323"/>
      <c r="M29" s="374"/>
      <c r="N29" s="390"/>
      <c r="O29" s="374"/>
      <c r="P29" s="327" t="s">
        <v>2867</v>
      </c>
      <c r="Q29" s="369" t="s">
        <v>2867</v>
      </c>
      <c r="R29" s="330"/>
      <c r="S29" s="330"/>
      <c r="T29" s="330"/>
      <c r="U29" s="330"/>
      <c r="V29" s="330"/>
      <c r="W29" s="332"/>
      <c r="X29" s="330"/>
      <c r="Y29" s="330"/>
      <c r="Z29" s="330"/>
      <c r="AA29" s="330"/>
      <c r="AB29" s="333"/>
      <c r="AC29" s="333"/>
      <c r="AD29" s="334" t="s">
        <v>42</v>
      </c>
      <c r="AE29" s="335" t="s">
        <v>817</v>
      </c>
      <c r="AF29" s="388"/>
      <c r="AG29" s="389"/>
      <c r="AH29" s="417" t="s">
        <v>210</v>
      </c>
      <c r="AI29" s="392" t="s">
        <v>210</v>
      </c>
      <c r="AJ29" s="392" t="s">
        <v>210</v>
      </c>
      <c r="AK29" s="340" t="s">
        <v>210</v>
      </c>
      <c r="AL29" s="321" t="s">
        <v>625</v>
      </c>
      <c r="AM29" s="326" t="s">
        <v>15</v>
      </c>
      <c r="AN29" s="326" t="s">
        <v>15</v>
      </c>
      <c r="AO29" s="341" t="s">
        <v>15</v>
      </c>
      <c r="AP29" s="342"/>
      <c r="AQ29" s="343"/>
      <c r="AR29" s="370">
        <v>3211</v>
      </c>
      <c r="AS29" s="326">
        <v>100</v>
      </c>
      <c r="AT29" s="347"/>
      <c r="AU29" s="347"/>
      <c r="AV29" s="347"/>
      <c r="AW29" s="371"/>
      <c r="AX29" s="347"/>
      <c r="AY29" s="348"/>
      <c r="AZ29" s="377"/>
      <c r="BA29" s="374"/>
      <c r="BB29" s="374"/>
      <c r="BC29" s="374"/>
      <c r="BD29" s="374"/>
      <c r="BE29" s="374"/>
      <c r="BF29" s="374"/>
      <c r="BG29" s="374"/>
      <c r="BH29" s="378"/>
      <c r="BI29" s="376"/>
      <c r="BJ29" s="379"/>
      <c r="BK29" s="380"/>
      <c r="BL29" s="348"/>
      <c r="BM29" s="381"/>
      <c r="BN29" s="321" t="s">
        <v>14</v>
      </c>
      <c r="BO29" s="372"/>
      <c r="BP29" s="373" t="s">
        <v>14</v>
      </c>
      <c r="BQ29" s="360"/>
      <c r="BR29" s="361"/>
      <c r="BS29" s="361"/>
      <c r="BT29" s="361"/>
      <c r="BU29" s="342" t="s">
        <v>210</v>
      </c>
      <c r="BV29" s="342" t="s">
        <v>210</v>
      </c>
      <c r="BW29" s="341" t="s">
        <v>15</v>
      </c>
      <c r="BX29" s="361"/>
      <c r="BY29" s="362"/>
      <c r="BZ29" s="363"/>
      <c r="CA29" s="363"/>
      <c r="CB29" s="363"/>
      <c r="CC29" s="363"/>
      <c r="CD29" s="293"/>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row>
    <row r="30" spans="2:220" s="287" customFormat="1" ht="22.5" customHeight="1">
      <c r="B30" s="365">
        <v>26</v>
      </c>
      <c r="C30" s="366" t="s">
        <v>55</v>
      </c>
      <c r="D30" s="367"/>
      <c r="E30" s="368"/>
      <c r="F30" s="321" t="s">
        <v>45</v>
      </c>
      <c r="G30" s="326" t="s">
        <v>2778</v>
      </c>
      <c r="H30" s="326" t="s">
        <v>2779</v>
      </c>
      <c r="I30" s="326" t="s">
        <v>11</v>
      </c>
      <c r="J30" s="326" t="s">
        <v>12</v>
      </c>
      <c r="K30" s="326" t="s">
        <v>10</v>
      </c>
      <c r="L30" s="323"/>
      <c r="M30" s="374"/>
      <c r="N30" s="390"/>
      <c r="O30" s="374"/>
      <c r="P30" s="327" t="s">
        <v>2867</v>
      </c>
      <c r="Q30" s="369" t="s">
        <v>2867</v>
      </c>
      <c r="R30" s="330"/>
      <c r="S30" s="330"/>
      <c r="T30" s="330"/>
      <c r="U30" s="330"/>
      <c r="V30" s="330"/>
      <c r="W30" s="332"/>
      <c r="X30" s="330"/>
      <c r="Y30" s="330"/>
      <c r="Z30" s="330"/>
      <c r="AA30" s="330"/>
      <c r="AB30" s="333"/>
      <c r="AC30" s="333"/>
      <c r="AD30" s="334" t="s">
        <v>42</v>
      </c>
      <c r="AE30" s="335" t="s">
        <v>15</v>
      </c>
      <c r="AF30" s="388"/>
      <c r="AG30" s="389"/>
      <c r="AH30" s="417" t="s">
        <v>210</v>
      </c>
      <c r="AI30" s="392" t="s">
        <v>210</v>
      </c>
      <c r="AJ30" s="392" t="s">
        <v>210</v>
      </c>
      <c r="AK30" s="340" t="s">
        <v>210</v>
      </c>
      <c r="AL30" s="321" t="s">
        <v>625</v>
      </c>
      <c r="AM30" s="326" t="s">
        <v>15</v>
      </c>
      <c r="AN30" s="326" t="s">
        <v>15</v>
      </c>
      <c r="AO30" s="341" t="s">
        <v>15</v>
      </c>
      <c r="AP30" s="342"/>
      <c r="AQ30" s="343"/>
      <c r="AR30" s="370">
        <v>1918</v>
      </c>
      <c r="AS30" s="326">
        <v>100</v>
      </c>
      <c r="AT30" s="347"/>
      <c r="AU30" s="347"/>
      <c r="AV30" s="347"/>
      <c r="AW30" s="371"/>
      <c r="AX30" s="347"/>
      <c r="AY30" s="348"/>
      <c r="AZ30" s="377"/>
      <c r="BA30" s="374"/>
      <c r="BB30" s="374"/>
      <c r="BC30" s="374"/>
      <c r="BD30" s="374"/>
      <c r="BE30" s="374"/>
      <c r="BF30" s="374"/>
      <c r="BG30" s="374"/>
      <c r="BH30" s="378"/>
      <c r="BI30" s="376"/>
      <c r="BJ30" s="379"/>
      <c r="BK30" s="380"/>
      <c r="BL30" s="348"/>
      <c r="BM30" s="381"/>
      <c r="BN30" s="321" t="s">
        <v>14</v>
      </c>
      <c r="BO30" s="372"/>
      <c r="BP30" s="373" t="s">
        <v>14</v>
      </c>
      <c r="BQ30" s="360"/>
      <c r="BR30" s="361"/>
      <c r="BS30" s="361"/>
      <c r="BT30" s="361"/>
      <c r="BU30" s="342" t="s">
        <v>210</v>
      </c>
      <c r="BV30" s="342" t="s">
        <v>210</v>
      </c>
      <c r="BW30" s="341" t="s">
        <v>15</v>
      </c>
      <c r="BX30" s="361"/>
      <c r="BY30" s="362"/>
      <c r="BZ30" s="363"/>
      <c r="CA30" s="363"/>
      <c r="CB30" s="363"/>
      <c r="CC30" s="363"/>
      <c r="CD30" s="293"/>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row>
    <row r="31" spans="2:220" s="287" customFormat="1" ht="22.5" customHeight="1">
      <c r="B31" s="365">
        <v>200108</v>
      </c>
      <c r="C31" s="366" t="s">
        <v>47</v>
      </c>
      <c r="D31" s="419"/>
      <c r="E31" s="368"/>
      <c r="F31" s="321" t="s">
        <v>13</v>
      </c>
      <c r="G31" s="326" t="s">
        <v>2770</v>
      </c>
      <c r="H31" s="326" t="s">
        <v>2771</v>
      </c>
      <c r="I31" s="326" t="s">
        <v>11</v>
      </c>
      <c r="J31" s="326" t="s">
        <v>12</v>
      </c>
      <c r="K31" s="326" t="s">
        <v>10</v>
      </c>
      <c r="L31" s="323"/>
      <c r="M31" s="374"/>
      <c r="N31" s="325" t="s">
        <v>523</v>
      </c>
      <c r="O31" s="326">
        <v>28</v>
      </c>
      <c r="P31" s="327">
        <v>906</v>
      </c>
      <c r="Q31" s="369">
        <v>912</v>
      </c>
      <c r="R31" s="329" t="s">
        <v>517</v>
      </c>
      <c r="S31" s="330"/>
      <c r="T31" s="330"/>
      <c r="U31" s="330"/>
      <c r="V31" s="330"/>
      <c r="W31" s="332" t="s">
        <v>518</v>
      </c>
      <c r="X31" s="330"/>
      <c r="Y31" s="330"/>
      <c r="Z31" s="330"/>
      <c r="AA31" s="330"/>
      <c r="AB31" s="333"/>
      <c r="AC31" s="333"/>
      <c r="AD31" s="334" t="s">
        <v>19</v>
      </c>
      <c r="AE31" s="335" t="s">
        <v>877</v>
      </c>
      <c r="AF31" s="388"/>
      <c r="AG31" s="389"/>
      <c r="AH31" s="417" t="s">
        <v>522</v>
      </c>
      <c r="AI31" s="392" t="s">
        <v>522</v>
      </c>
      <c r="AJ31" s="392" t="s">
        <v>522</v>
      </c>
      <c r="AK31" s="340" t="s">
        <v>522</v>
      </c>
      <c r="AL31" s="321" t="s">
        <v>625</v>
      </c>
      <c r="AM31" s="326" t="s">
        <v>15</v>
      </c>
      <c r="AN31" s="326" t="s">
        <v>15</v>
      </c>
      <c r="AO31" s="341" t="s">
        <v>15</v>
      </c>
      <c r="AP31" s="342"/>
      <c r="AQ31" s="343"/>
      <c r="AR31" s="370">
        <v>1245</v>
      </c>
      <c r="AS31" s="326">
        <v>100</v>
      </c>
      <c r="AT31" s="347"/>
      <c r="AU31" s="347"/>
      <c r="AV31" s="347"/>
      <c r="AW31" s="371"/>
      <c r="AX31" s="347"/>
      <c r="AY31" s="348"/>
      <c r="AZ31" s="377"/>
      <c r="BA31" s="374"/>
      <c r="BB31" s="374"/>
      <c r="BC31" s="374"/>
      <c r="BD31" s="374"/>
      <c r="BE31" s="374"/>
      <c r="BF31" s="374"/>
      <c r="BG31" s="374"/>
      <c r="BH31" s="378"/>
      <c r="BI31" s="376"/>
      <c r="BJ31" s="379"/>
      <c r="BK31" s="380"/>
      <c r="BL31" s="348"/>
      <c r="BM31" s="381"/>
      <c r="BN31" s="321" t="s">
        <v>15</v>
      </c>
      <c r="BO31" s="372"/>
      <c r="BP31" s="373" t="s">
        <v>14</v>
      </c>
      <c r="BQ31" s="360"/>
      <c r="BR31" s="361"/>
      <c r="BS31" s="361"/>
      <c r="BT31" s="361"/>
      <c r="BU31" s="342" t="s">
        <v>210</v>
      </c>
      <c r="BV31" s="342" t="s">
        <v>210</v>
      </c>
      <c r="BW31" s="341" t="s">
        <v>15</v>
      </c>
      <c r="BX31" s="361"/>
      <c r="BY31" s="362"/>
      <c r="BZ31" s="363"/>
      <c r="CA31" s="363"/>
      <c r="CB31" s="363"/>
      <c r="CC31" s="363"/>
      <c r="CD31" s="293"/>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row>
    <row r="32" spans="2:220" s="287" customFormat="1" ht="22.5" customHeight="1">
      <c r="B32" s="365">
        <v>200108</v>
      </c>
      <c r="C32" s="384" t="s">
        <v>8115</v>
      </c>
      <c r="D32" s="385"/>
      <c r="E32" s="386"/>
      <c r="F32" s="321" t="s">
        <v>7337</v>
      </c>
      <c r="G32" s="326" t="s">
        <v>2772</v>
      </c>
      <c r="H32" s="326" t="s">
        <v>2773</v>
      </c>
      <c r="I32" s="326" t="s">
        <v>11</v>
      </c>
      <c r="J32" s="326" t="s">
        <v>12</v>
      </c>
      <c r="K32" s="326" t="s">
        <v>10</v>
      </c>
      <c r="L32" s="323"/>
      <c r="M32" s="324" t="s">
        <v>10768</v>
      </c>
      <c r="N32" s="325" t="s">
        <v>438</v>
      </c>
      <c r="O32" s="326">
        <v>30</v>
      </c>
      <c r="P32" s="382">
        <v>3750</v>
      </c>
      <c r="Q32" s="383">
        <v>4040</v>
      </c>
      <c r="R32" s="329" t="s">
        <v>447</v>
      </c>
      <c r="S32" s="330"/>
      <c r="T32" s="331" t="s">
        <v>11087</v>
      </c>
      <c r="U32" s="331" t="s">
        <v>16355</v>
      </c>
      <c r="V32" s="330"/>
      <c r="W32" s="332" t="s">
        <v>432</v>
      </c>
      <c r="X32" s="331" t="s">
        <v>11079</v>
      </c>
      <c r="Y32" s="331" t="s">
        <v>11080</v>
      </c>
      <c r="Z32" s="331" t="s">
        <v>11080</v>
      </c>
      <c r="AA32" s="331" t="s">
        <v>210</v>
      </c>
      <c r="AB32" s="333"/>
      <c r="AC32" s="333"/>
      <c r="AD32" s="334" t="s">
        <v>272</v>
      </c>
      <c r="AE32" s="335" t="s">
        <v>43</v>
      </c>
      <c r="AF32" s="388"/>
      <c r="AG32" s="389"/>
      <c r="AH32" s="338">
        <v>7.9</v>
      </c>
      <c r="AI32" s="339">
        <v>14.8</v>
      </c>
      <c r="AJ32" s="339">
        <v>14.4</v>
      </c>
      <c r="AK32" s="340">
        <f>SUM(AH32:AJ32)</f>
        <v>37.1</v>
      </c>
      <c r="AL32" s="321" t="s">
        <v>625</v>
      </c>
      <c r="AM32" s="326" t="s">
        <v>15</v>
      </c>
      <c r="AN32" s="326" t="s">
        <v>15</v>
      </c>
      <c r="AO32" s="341" t="s">
        <v>15</v>
      </c>
      <c r="AP32" s="342"/>
      <c r="AQ32" s="343"/>
      <c r="AR32" s="370">
        <v>4040</v>
      </c>
      <c r="AS32" s="326">
        <v>100</v>
      </c>
      <c r="AT32" s="392">
        <v>1</v>
      </c>
      <c r="AU32" s="392"/>
      <c r="AV32" s="392">
        <v>0.8</v>
      </c>
      <c r="AW32" s="340"/>
      <c r="AX32" s="347"/>
      <c r="AY32" s="348"/>
      <c r="AZ32" s="377"/>
      <c r="BA32" s="374"/>
      <c r="BB32" s="374"/>
      <c r="BC32" s="374"/>
      <c r="BD32" s="374"/>
      <c r="BE32" s="374"/>
      <c r="BF32" s="374"/>
      <c r="BG32" s="374"/>
      <c r="BH32" s="378"/>
      <c r="BI32" s="376"/>
      <c r="BJ32" s="379"/>
      <c r="BK32" s="380"/>
      <c r="BL32" s="348"/>
      <c r="BM32" s="381"/>
      <c r="BN32" s="321" t="s">
        <v>15</v>
      </c>
      <c r="BO32" s="372"/>
      <c r="BP32" s="373" t="s">
        <v>15</v>
      </c>
      <c r="BQ32" s="360"/>
      <c r="BR32" s="361"/>
      <c r="BS32" s="361"/>
      <c r="BT32" s="361"/>
      <c r="BU32" s="342" t="s">
        <v>210</v>
      </c>
      <c r="BV32" s="342" t="s">
        <v>210</v>
      </c>
      <c r="BW32" s="341" t="s">
        <v>15</v>
      </c>
      <c r="BX32" s="361"/>
      <c r="BY32" s="362"/>
      <c r="BZ32" s="363"/>
      <c r="CA32" s="363"/>
      <c r="CB32" s="363"/>
      <c r="CC32" s="363"/>
      <c r="CD32" s="293"/>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row>
    <row r="33" spans="2:220" s="287" customFormat="1" ht="22.5" customHeight="1">
      <c r="B33" s="365">
        <v>200108</v>
      </c>
      <c r="C33" s="384" t="s">
        <v>474</v>
      </c>
      <c r="D33" s="393"/>
      <c r="E33" s="386"/>
      <c r="F33" s="321" t="s">
        <v>59</v>
      </c>
      <c r="G33" s="326" t="s">
        <v>2772</v>
      </c>
      <c r="H33" s="326" t="s">
        <v>2773</v>
      </c>
      <c r="I33" s="326" t="s">
        <v>11</v>
      </c>
      <c r="J33" s="326" t="s">
        <v>12</v>
      </c>
      <c r="K33" s="326" t="s">
        <v>10</v>
      </c>
      <c r="L33" s="323"/>
      <c r="M33" s="324" t="s">
        <v>10770</v>
      </c>
      <c r="N33" s="325" t="s">
        <v>438</v>
      </c>
      <c r="O33" s="326">
        <v>30</v>
      </c>
      <c r="P33" s="382">
        <v>1232</v>
      </c>
      <c r="Q33" s="383">
        <v>1326</v>
      </c>
      <c r="R33" s="329" t="s">
        <v>447</v>
      </c>
      <c r="S33" s="330"/>
      <c r="T33" s="331" t="s">
        <v>11087</v>
      </c>
      <c r="U33" s="331" t="s">
        <v>16355</v>
      </c>
      <c r="V33" s="330"/>
      <c r="W33" s="332" t="s">
        <v>432</v>
      </c>
      <c r="X33" s="331" t="s">
        <v>11079</v>
      </c>
      <c r="Y33" s="331" t="s">
        <v>11080</v>
      </c>
      <c r="Z33" s="331" t="s">
        <v>11080</v>
      </c>
      <c r="AA33" s="331" t="s">
        <v>210</v>
      </c>
      <c r="AB33" s="333"/>
      <c r="AC33" s="333"/>
      <c r="AD33" s="334" t="s">
        <v>272</v>
      </c>
      <c r="AE33" s="335" t="s">
        <v>43</v>
      </c>
      <c r="AF33" s="336"/>
      <c r="AG33" s="337"/>
      <c r="AH33" s="338">
        <v>8.6</v>
      </c>
      <c r="AI33" s="339">
        <v>15.5</v>
      </c>
      <c r="AJ33" s="339">
        <v>19.600000000000001</v>
      </c>
      <c r="AK33" s="340">
        <f>SUM(AH33:AJ33)</f>
        <v>43.7</v>
      </c>
      <c r="AL33" s="321" t="s">
        <v>625</v>
      </c>
      <c r="AM33" s="326" t="s">
        <v>15</v>
      </c>
      <c r="AN33" s="326" t="s">
        <v>15</v>
      </c>
      <c r="AO33" s="341" t="s">
        <v>15</v>
      </c>
      <c r="AP33" s="342"/>
      <c r="AQ33" s="343"/>
      <c r="AR33" s="370">
        <v>1325</v>
      </c>
      <c r="AS33" s="326">
        <v>100</v>
      </c>
      <c r="AT33" s="392">
        <v>1</v>
      </c>
      <c r="AU33" s="392"/>
      <c r="AV33" s="392">
        <v>0.8</v>
      </c>
      <c r="AW33" s="340"/>
      <c r="AX33" s="347"/>
      <c r="AY33" s="348"/>
      <c r="AZ33" s="377"/>
      <c r="BA33" s="374"/>
      <c r="BB33" s="374"/>
      <c r="BC33" s="374"/>
      <c r="BD33" s="374"/>
      <c r="BE33" s="374"/>
      <c r="BF33" s="374"/>
      <c r="BG33" s="374"/>
      <c r="BH33" s="378"/>
      <c r="BI33" s="376"/>
      <c r="BJ33" s="379"/>
      <c r="BK33" s="380"/>
      <c r="BL33" s="348"/>
      <c r="BM33" s="381"/>
      <c r="BN33" s="321" t="s">
        <v>15</v>
      </c>
      <c r="BO33" s="372"/>
      <c r="BP33" s="373" t="s">
        <v>15</v>
      </c>
      <c r="BQ33" s="360"/>
      <c r="BR33" s="361"/>
      <c r="BS33" s="361"/>
      <c r="BT33" s="361"/>
      <c r="BU33" s="342" t="s">
        <v>210</v>
      </c>
      <c r="BV33" s="342" t="s">
        <v>210</v>
      </c>
      <c r="BW33" s="341" t="s">
        <v>15</v>
      </c>
      <c r="BX33" s="361"/>
      <c r="BY33" s="362"/>
      <c r="BZ33" s="363"/>
      <c r="CA33" s="363"/>
      <c r="CB33" s="363"/>
      <c r="CC33" s="363"/>
      <c r="CD33" s="293"/>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row>
    <row r="34" spans="2:220" s="287" customFormat="1" ht="22.5" customHeight="1">
      <c r="B34" s="365">
        <v>200113</v>
      </c>
      <c r="C34" s="366" t="s">
        <v>60</v>
      </c>
      <c r="D34" s="367"/>
      <c r="E34" s="368"/>
      <c r="F34" s="321" t="s">
        <v>64</v>
      </c>
      <c r="G34" s="326" t="s">
        <v>2774</v>
      </c>
      <c r="H34" s="326" t="s">
        <v>2775</v>
      </c>
      <c r="I34" s="326" t="s">
        <v>11</v>
      </c>
      <c r="J34" s="326" t="s">
        <v>12</v>
      </c>
      <c r="K34" s="326" t="s">
        <v>10</v>
      </c>
      <c r="L34" s="323"/>
      <c r="M34" s="324" t="s">
        <v>10771</v>
      </c>
      <c r="N34" s="325" t="s">
        <v>437</v>
      </c>
      <c r="O34" s="326">
        <v>30</v>
      </c>
      <c r="P34" s="382">
        <v>2793</v>
      </c>
      <c r="Q34" s="383">
        <v>2822</v>
      </c>
      <c r="R34" s="329" t="s">
        <v>447</v>
      </c>
      <c r="S34" s="330"/>
      <c r="T34" s="331" t="s">
        <v>11087</v>
      </c>
      <c r="U34" s="331" t="s">
        <v>16355</v>
      </c>
      <c r="V34" s="330"/>
      <c r="W34" s="332" t="s">
        <v>432</v>
      </c>
      <c r="X34" s="331" t="s">
        <v>11079</v>
      </c>
      <c r="Y34" s="331" t="s">
        <v>11080</v>
      </c>
      <c r="Z34" s="331" t="s">
        <v>11080</v>
      </c>
      <c r="AA34" s="331" t="s">
        <v>210</v>
      </c>
      <c r="AB34" s="333"/>
      <c r="AC34" s="333"/>
      <c r="AD34" s="334" t="s">
        <v>272</v>
      </c>
      <c r="AE34" s="335" t="s">
        <v>15</v>
      </c>
      <c r="AF34" s="336"/>
      <c r="AG34" s="337"/>
      <c r="AH34" s="338">
        <v>8.9</v>
      </c>
      <c r="AI34" s="339">
        <v>16.7</v>
      </c>
      <c r="AJ34" s="339">
        <v>11.9</v>
      </c>
      <c r="AK34" s="340">
        <f>SUM(AH34:AJ34)</f>
        <v>37.5</v>
      </c>
      <c r="AL34" s="321" t="s">
        <v>625</v>
      </c>
      <c r="AM34" s="326" t="s">
        <v>15</v>
      </c>
      <c r="AN34" s="326" t="s">
        <v>15</v>
      </c>
      <c r="AO34" s="341" t="s">
        <v>15</v>
      </c>
      <c r="AP34" s="342"/>
      <c r="AQ34" s="343"/>
      <c r="AR34" s="370">
        <v>3445</v>
      </c>
      <c r="AS34" s="326">
        <v>100</v>
      </c>
      <c r="AT34" s="392">
        <v>0.8</v>
      </c>
      <c r="AU34" s="392"/>
      <c r="AV34" s="392">
        <v>1</v>
      </c>
      <c r="AW34" s="340"/>
      <c r="AX34" s="347"/>
      <c r="AY34" s="348"/>
      <c r="AZ34" s="377"/>
      <c r="BA34" s="374"/>
      <c r="BB34" s="374"/>
      <c r="BC34" s="374"/>
      <c r="BD34" s="374"/>
      <c r="BE34" s="374"/>
      <c r="BF34" s="374"/>
      <c r="BG34" s="374"/>
      <c r="BH34" s="378"/>
      <c r="BI34" s="376"/>
      <c r="BJ34" s="379"/>
      <c r="BK34" s="380"/>
      <c r="BL34" s="348"/>
      <c r="BM34" s="381"/>
      <c r="BN34" s="321" t="s">
        <v>14</v>
      </c>
      <c r="BO34" s="372"/>
      <c r="BP34" s="373" t="s">
        <v>14</v>
      </c>
      <c r="BQ34" s="360"/>
      <c r="BR34" s="361"/>
      <c r="BS34" s="361"/>
      <c r="BT34" s="361"/>
      <c r="BU34" s="342" t="s">
        <v>210</v>
      </c>
      <c r="BV34" s="342" t="s">
        <v>210</v>
      </c>
      <c r="BW34" s="341" t="s">
        <v>15</v>
      </c>
      <c r="BX34" s="361"/>
      <c r="BY34" s="362"/>
      <c r="BZ34" s="363"/>
      <c r="CA34" s="363"/>
      <c r="CB34" s="363"/>
      <c r="CC34" s="363"/>
      <c r="CD34" s="293"/>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row>
    <row r="35" spans="2:220" s="287" customFormat="1" ht="22.5" customHeight="1">
      <c r="B35" s="365">
        <v>200113</v>
      </c>
      <c r="C35" s="366" t="s">
        <v>61</v>
      </c>
      <c r="D35" s="367"/>
      <c r="E35" s="368"/>
      <c r="F35" s="321" t="s">
        <v>64</v>
      </c>
      <c r="G35" s="326" t="s">
        <v>2774</v>
      </c>
      <c r="H35" s="326" t="s">
        <v>2775</v>
      </c>
      <c r="I35" s="326" t="s">
        <v>11</v>
      </c>
      <c r="J35" s="326" t="s">
        <v>12</v>
      </c>
      <c r="K35" s="326" t="s">
        <v>10</v>
      </c>
      <c r="L35" s="323"/>
      <c r="M35" s="324" t="s">
        <v>10767</v>
      </c>
      <c r="N35" s="325" t="s">
        <v>437</v>
      </c>
      <c r="O35" s="326">
        <v>30</v>
      </c>
      <c r="P35" s="382">
        <v>1266</v>
      </c>
      <c r="Q35" s="383">
        <v>1300</v>
      </c>
      <c r="R35" s="329" t="s">
        <v>447</v>
      </c>
      <c r="S35" s="330"/>
      <c r="T35" s="331" t="s">
        <v>11087</v>
      </c>
      <c r="U35" s="331" t="s">
        <v>16355</v>
      </c>
      <c r="V35" s="330"/>
      <c r="W35" s="332" t="s">
        <v>432</v>
      </c>
      <c r="X35" s="331" t="s">
        <v>11079</v>
      </c>
      <c r="Y35" s="331" t="s">
        <v>11080</v>
      </c>
      <c r="Z35" s="331" t="s">
        <v>11080</v>
      </c>
      <c r="AA35" s="331" t="s">
        <v>210</v>
      </c>
      <c r="AB35" s="333"/>
      <c r="AC35" s="333"/>
      <c r="AD35" s="334" t="s">
        <v>272</v>
      </c>
      <c r="AE35" s="335" t="s">
        <v>15</v>
      </c>
      <c r="AF35" s="336"/>
      <c r="AG35" s="337"/>
      <c r="AH35" s="338">
        <v>10.8</v>
      </c>
      <c r="AI35" s="339">
        <v>17.8</v>
      </c>
      <c r="AJ35" s="339">
        <v>17.8</v>
      </c>
      <c r="AK35" s="340">
        <f>SUM(AH35:AJ35)</f>
        <v>46.400000000000006</v>
      </c>
      <c r="AL35" s="321" t="s">
        <v>625</v>
      </c>
      <c r="AM35" s="326" t="s">
        <v>15</v>
      </c>
      <c r="AN35" s="326" t="s">
        <v>15</v>
      </c>
      <c r="AO35" s="341" t="s">
        <v>15</v>
      </c>
      <c r="AP35" s="342"/>
      <c r="AQ35" s="343"/>
      <c r="AR35" s="370">
        <v>1574</v>
      </c>
      <c r="AS35" s="326">
        <v>100</v>
      </c>
      <c r="AT35" s="392">
        <v>1</v>
      </c>
      <c r="AU35" s="392"/>
      <c r="AV35" s="392">
        <v>1.3</v>
      </c>
      <c r="AW35" s="340"/>
      <c r="AX35" s="347"/>
      <c r="AY35" s="348"/>
      <c r="AZ35" s="377"/>
      <c r="BA35" s="374"/>
      <c r="BB35" s="374"/>
      <c r="BC35" s="374"/>
      <c r="BD35" s="374"/>
      <c r="BE35" s="374"/>
      <c r="BF35" s="374"/>
      <c r="BG35" s="374"/>
      <c r="BH35" s="378"/>
      <c r="BI35" s="376"/>
      <c r="BJ35" s="379"/>
      <c r="BK35" s="380"/>
      <c r="BL35" s="348"/>
      <c r="BM35" s="381"/>
      <c r="BN35" s="321" t="s">
        <v>14</v>
      </c>
      <c r="BO35" s="372"/>
      <c r="BP35" s="373" t="s">
        <v>14</v>
      </c>
      <c r="BQ35" s="360"/>
      <c r="BR35" s="361"/>
      <c r="BS35" s="361"/>
      <c r="BT35" s="361"/>
      <c r="BU35" s="342" t="s">
        <v>210</v>
      </c>
      <c r="BV35" s="342" t="s">
        <v>210</v>
      </c>
      <c r="BW35" s="341" t="s">
        <v>15</v>
      </c>
      <c r="BX35" s="361"/>
      <c r="BY35" s="362"/>
      <c r="BZ35" s="363"/>
      <c r="CA35" s="363"/>
      <c r="CB35" s="363"/>
      <c r="CC35" s="363"/>
      <c r="CD35" s="293"/>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row>
    <row r="36" spans="2:220" s="287" customFormat="1" ht="22.5" customHeight="1">
      <c r="B36" s="365">
        <v>200115</v>
      </c>
      <c r="C36" s="366" t="s">
        <v>56</v>
      </c>
      <c r="D36" s="367"/>
      <c r="E36" s="368"/>
      <c r="F36" s="321" t="s">
        <v>57</v>
      </c>
      <c r="G36" s="326" t="s">
        <v>2776</v>
      </c>
      <c r="H36" s="326" t="s">
        <v>2777</v>
      </c>
      <c r="I36" s="326" t="s">
        <v>11</v>
      </c>
      <c r="J36" s="326" t="s">
        <v>12</v>
      </c>
      <c r="K36" s="326" t="s">
        <v>10</v>
      </c>
      <c r="L36" s="323"/>
      <c r="M36" s="374"/>
      <c r="N36" s="325" t="s">
        <v>521</v>
      </c>
      <c r="O36" s="326" t="s">
        <v>525</v>
      </c>
      <c r="P36" s="327">
        <v>6201</v>
      </c>
      <c r="Q36" s="369">
        <v>6298</v>
      </c>
      <c r="R36" s="329" t="s">
        <v>1086</v>
      </c>
      <c r="S36" s="331" t="s">
        <v>11142</v>
      </c>
      <c r="T36" s="331" t="s">
        <v>14922</v>
      </c>
      <c r="U36" s="330"/>
      <c r="V36" s="331" t="s">
        <v>11143</v>
      </c>
      <c r="W36" s="332" t="s">
        <v>519</v>
      </c>
      <c r="X36" s="331" t="s">
        <v>15444</v>
      </c>
      <c r="Y36" s="330"/>
      <c r="Z36" s="330"/>
      <c r="AA36" s="331" t="s">
        <v>11144</v>
      </c>
      <c r="AB36" s="333"/>
      <c r="AC36" s="333"/>
      <c r="AD36" s="396" t="s">
        <v>42</v>
      </c>
      <c r="AE36" s="335" t="s">
        <v>843</v>
      </c>
      <c r="AF36" s="336"/>
      <c r="AG36" s="337"/>
      <c r="AH36" s="417" t="s">
        <v>520</v>
      </c>
      <c r="AI36" s="392" t="s">
        <v>520</v>
      </c>
      <c r="AJ36" s="392" t="s">
        <v>520</v>
      </c>
      <c r="AK36" s="340" t="s">
        <v>520</v>
      </c>
      <c r="AL36" s="321" t="s">
        <v>625</v>
      </c>
      <c r="AM36" s="326" t="s">
        <v>15</v>
      </c>
      <c r="AN36" s="326" t="s">
        <v>15</v>
      </c>
      <c r="AO36" s="341" t="s">
        <v>15</v>
      </c>
      <c r="AP36" s="342"/>
      <c r="AQ36" s="343"/>
      <c r="AR36" s="370">
        <v>10089</v>
      </c>
      <c r="AS36" s="326">
        <v>100</v>
      </c>
      <c r="AT36" s="392">
        <v>1</v>
      </c>
      <c r="AU36" s="392"/>
      <c r="AV36" s="392">
        <v>1.5</v>
      </c>
      <c r="AW36" s="340"/>
      <c r="AX36" s="347"/>
      <c r="AY36" s="348"/>
      <c r="AZ36" s="377"/>
      <c r="BA36" s="374"/>
      <c r="BB36" s="374"/>
      <c r="BC36" s="374"/>
      <c r="BD36" s="374"/>
      <c r="BE36" s="374"/>
      <c r="BF36" s="374"/>
      <c r="BG36" s="374"/>
      <c r="BH36" s="378"/>
      <c r="BI36" s="376"/>
      <c r="BJ36" s="379"/>
      <c r="BK36" s="380"/>
      <c r="BL36" s="348"/>
      <c r="BM36" s="381"/>
      <c r="BN36" s="321" t="s">
        <v>15</v>
      </c>
      <c r="BO36" s="372"/>
      <c r="BP36" s="373" t="s">
        <v>15</v>
      </c>
      <c r="BQ36" s="360"/>
      <c r="BR36" s="361"/>
      <c r="BS36" s="361"/>
      <c r="BT36" s="361"/>
      <c r="BU36" s="342" t="s">
        <v>210</v>
      </c>
      <c r="BV36" s="342" t="s">
        <v>210</v>
      </c>
      <c r="BW36" s="341" t="s">
        <v>15</v>
      </c>
      <c r="BX36" s="361"/>
      <c r="BY36" s="362"/>
      <c r="BZ36" s="363"/>
      <c r="CA36" s="363"/>
      <c r="CB36" s="363"/>
      <c r="CC36" s="363"/>
      <c r="CD36" s="293"/>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row>
    <row r="37" spans="2:220" s="287" customFormat="1" ht="22.5" customHeight="1">
      <c r="B37" s="365">
        <v>200116</v>
      </c>
      <c r="C37" s="366" t="s">
        <v>13057</v>
      </c>
      <c r="D37" s="367"/>
      <c r="E37" s="368"/>
      <c r="F37" s="321" t="s">
        <v>13</v>
      </c>
      <c r="G37" s="326" t="s">
        <v>2748</v>
      </c>
      <c r="H37" s="326" t="s">
        <v>2749</v>
      </c>
      <c r="I37" s="326" t="s">
        <v>11</v>
      </c>
      <c r="J37" s="326" t="s">
        <v>21</v>
      </c>
      <c r="K37" s="326" t="s">
        <v>10</v>
      </c>
      <c r="L37" s="323"/>
      <c r="M37" s="374"/>
      <c r="N37" s="325" t="s">
        <v>526</v>
      </c>
      <c r="O37" s="326">
        <v>30</v>
      </c>
      <c r="P37" s="327">
        <v>2446</v>
      </c>
      <c r="Q37" s="369">
        <v>2429</v>
      </c>
      <c r="R37" s="329" t="s">
        <v>1104</v>
      </c>
      <c r="S37" s="330"/>
      <c r="T37" s="331" t="s">
        <v>11322</v>
      </c>
      <c r="U37" s="331" t="s">
        <v>11321</v>
      </c>
      <c r="V37" s="330"/>
      <c r="W37" s="332" t="s">
        <v>432</v>
      </c>
      <c r="X37" s="331" t="s">
        <v>11079</v>
      </c>
      <c r="Y37" s="331" t="s">
        <v>11080</v>
      </c>
      <c r="Z37" s="331" t="s">
        <v>11080</v>
      </c>
      <c r="AA37" s="331" t="s">
        <v>210</v>
      </c>
      <c r="AB37" s="333"/>
      <c r="AC37" s="333"/>
      <c r="AD37" s="334" t="s">
        <v>8768</v>
      </c>
      <c r="AE37" s="335" t="s">
        <v>15</v>
      </c>
      <c r="AF37" s="336"/>
      <c r="AG37" s="337"/>
      <c r="AH37" s="376"/>
      <c r="AI37" s="347"/>
      <c r="AJ37" s="347"/>
      <c r="AK37" s="371"/>
      <c r="AL37" s="321" t="s">
        <v>625</v>
      </c>
      <c r="AM37" s="326" t="s">
        <v>15</v>
      </c>
      <c r="AN37" s="326" t="s">
        <v>15</v>
      </c>
      <c r="AO37" s="341" t="s">
        <v>15</v>
      </c>
      <c r="AP37" s="342"/>
      <c r="AQ37" s="343"/>
      <c r="AR37" s="370">
        <v>2769</v>
      </c>
      <c r="AS37" s="326">
        <v>100</v>
      </c>
      <c r="AT37" s="392">
        <v>1</v>
      </c>
      <c r="AU37" s="392"/>
      <c r="AV37" s="392">
        <v>1.5</v>
      </c>
      <c r="AW37" s="340"/>
      <c r="AX37" s="347"/>
      <c r="AY37" s="348"/>
      <c r="AZ37" s="377"/>
      <c r="BA37" s="374"/>
      <c r="BB37" s="374"/>
      <c r="BC37" s="374"/>
      <c r="BD37" s="374"/>
      <c r="BE37" s="374"/>
      <c r="BF37" s="374"/>
      <c r="BG37" s="374"/>
      <c r="BH37" s="378"/>
      <c r="BI37" s="376"/>
      <c r="BJ37" s="379"/>
      <c r="BK37" s="380"/>
      <c r="BL37" s="348"/>
      <c r="BM37" s="381"/>
      <c r="BN37" s="321" t="s">
        <v>14</v>
      </c>
      <c r="BO37" s="372"/>
      <c r="BP37" s="373" t="s">
        <v>14</v>
      </c>
      <c r="BQ37" s="360"/>
      <c r="BR37" s="361"/>
      <c r="BS37" s="361"/>
      <c r="BT37" s="361"/>
      <c r="BU37" s="342" t="s">
        <v>210</v>
      </c>
      <c r="BV37" s="342" t="s">
        <v>210</v>
      </c>
      <c r="BW37" s="341" t="s">
        <v>15</v>
      </c>
      <c r="BX37" s="361"/>
      <c r="BY37" s="362"/>
      <c r="BZ37" s="363"/>
      <c r="CA37" s="363"/>
      <c r="CB37" s="363"/>
      <c r="CC37" s="363"/>
      <c r="CD37" s="293"/>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row>
    <row r="38" spans="2:220" s="287" customFormat="1" ht="22.5" customHeight="1">
      <c r="B38" s="365">
        <v>200117</v>
      </c>
      <c r="C38" s="366" t="s">
        <v>44</v>
      </c>
      <c r="D38" s="367"/>
      <c r="E38" s="368"/>
      <c r="F38" s="321" t="s">
        <v>45</v>
      </c>
      <c r="G38" s="326" t="s">
        <v>2778</v>
      </c>
      <c r="H38" s="326" t="s">
        <v>2779</v>
      </c>
      <c r="I38" s="326" t="s">
        <v>11</v>
      </c>
      <c r="J38" s="326" t="s">
        <v>12</v>
      </c>
      <c r="K38" s="326" t="s">
        <v>10</v>
      </c>
      <c r="L38" s="323"/>
      <c r="M38" s="374"/>
      <c r="N38" s="325" t="s">
        <v>527</v>
      </c>
      <c r="O38" s="326" t="s">
        <v>525</v>
      </c>
      <c r="P38" s="327">
        <v>14090</v>
      </c>
      <c r="Q38" s="369">
        <v>14213</v>
      </c>
      <c r="R38" s="329" t="s">
        <v>528</v>
      </c>
      <c r="S38" s="330"/>
      <c r="T38" s="330"/>
      <c r="U38" s="330"/>
      <c r="V38" s="330"/>
      <c r="W38" s="332" t="s">
        <v>528</v>
      </c>
      <c r="X38" s="330"/>
      <c r="Y38" s="330"/>
      <c r="Z38" s="330"/>
      <c r="AA38" s="330"/>
      <c r="AB38" s="333"/>
      <c r="AC38" s="333"/>
      <c r="AD38" s="396" t="s">
        <v>42</v>
      </c>
      <c r="AE38" s="335" t="s">
        <v>817</v>
      </c>
      <c r="AF38" s="388"/>
      <c r="AG38" s="389"/>
      <c r="AH38" s="417" t="s">
        <v>210</v>
      </c>
      <c r="AI38" s="392" t="s">
        <v>210</v>
      </c>
      <c r="AJ38" s="392" t="s">
        <v>210</v>
      </c>
      <c r="AK38" s="340" t="s">
        <v>210</v>
      </c>
      <c r="AL38" s="321" t="s">
        <v>625</v>
      </c>
      <c r="AM38" s="326" t="s">
        <v>15</v>
      </c>
      <c r="AN38" s="326" t="s">
        <v>15</v>
      </c>
      <c r="AO38" s="341" t="s">
        <v>15</v>
      </c>
      <c r="AP38" s="342"/>
      <c r="AQ38" s="343"/>
      <c r="AR38" s="370">
        <v>16260</v>
      </c>
      <c r="AS38" s="326">
        <v>100</v>
      </c>
      <c r="AT38" s="392">
        <v>1</v>
      </c>
      <c r="AU38" s="392"/>
      <c r="AV38" s="392">
        <v>1.5</v>
      </c>
      <c r="AW38" s="340"/>
      <c r="AX38" s="347"/>
      <c r="AY38" s="348"/>
      <c r="AZ38" s="377"/>
      <c r="BA38" s="374"/>
      <c r="BB38" s="374"/>
      <c r="BC38" s="374"/>
      <c r="BD38" s="374"/>
      <c r="BE38" s="374"/>
      <c r="BF38" s="374"/>
      <c r="BG38" s="374"/>
      <c r="BH38" s="378"/>
      <c r="BI38" s="376"/>
      <c r="BJ38" s="379"/>
      <c r="BK38" s="380"/>
      <c r="BL38" s="348"/>
      <c r="BM38" s="381"/>
      <c r="BN38" s="321" t="s">
        <v>14</v>
      </c>
      <c r="BO38" s="372"/>
      <c r="BP38" s="373" t="s">
        <v>14</v>
      </c>
      <c r="BQ38" s="360"/>
      <c r="BR38" s="361"/>
      <c r="BS38" s="361"/>
      <c r="BT38" s="361"/>
      <c r="BU38" s="342" t="s">
        <v>210</v>
      </c>
      <c r="BV38" s="342" t="s">
        <v>210</v>
      </c>
      <c r="BW38" s="341" t="s">
        <v>15</v>
      </c>
      <c r="BX38" s="361"/>
      <c r="BY38" s="362"/>
      <c r="BZ38" s="363"/>
      <c r="CA38" s="363"/>
      <c r="CB38" s="363"/>
      <c r="CC38" s="363"/>
      <c r="CD38" s="293"/>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row>
    <row r="39" spans="2:220" s="287" customFormat="1" ht="22.5" customHeight="1">
      <c r="B39" s="365">
        <v>200117</v>
      </c>
      <c r="C39" s="366" t="s">
        <v>46</v>
      </c>
      <c r="D39" s="367"/>
      <c r="E39" s="368"/>
      <c r="F39" s="321" t="s">
        <v>45</v>
      </c>
      <c r="G39" s="326" t="s">
        <v>2778</v>
      </c>
      <c r="H39" s="326" t="s">
        <v>2779</v>
      </c>
      <c r="I39" s="326" t="s">
        <v>11</v>
      </c>
      <c r="J39" s="326" t="s">
        <v>12</v>
      </c>
      <c r="K39" s="326" t="s">
        <v>10</v>
      </c>
      <c r="L39" s="323"/>
      <c r="M39" s="374"/>
      <c r="N39" s="325" t="s">
        <v>527</v>
      </c>
      <c r="O39" s="326" t="s">
        <v>525</v>
      </c>
      <c r="P39" s="327">
        <v>4678</v>
      </c>
      <c r="Q39" s="369">
        <v>4819</v>
      </c>
      <c r="R39" s="329" t="s">
        <v>528</v>
      </c>
      <c r="S39" s="330"/>
      <c r="T39" s="330"/>
      <c r="U39" s="330"/>
      <c r="V39" s="330"/>
      <c r="W39" s="332" t="s">
        <v>528</v>
      </c>
      <c r="X39" s="330"/>
      <c r="Y39" s="330"/>
      <c r="Z39" s="330"/>
      <c r="AA39" s="330"/>
      <c r="AB39" s="333"/>
      <c r="AC39" s="333"/>
      <c r="AD39" s="396" t="s">
        <v>42</v>
      </c>
      <c r="AE39" s="335" t="s">
        <v>817</v>
      </c>
      <c r="AF39" s="388"/>
      <c r="AG39" s="389"/>
      <c r="AH39" s="417" t="s">
        <v>210</v>
      </c>
      <c r="AI39" s="392" t="s">
        <v>210</v>
      </c>
      <c r="AJ39" s="392" t="s">
        <v>210</v>
      </c>
      <c r="AK39" s="340" t="s">
        <v>210</v>
      </c>
      <c r="AL39" s="321" t="s">
        <v>625</v>
      </c>
      <c r="AM39" s="326" t="s">
        <v>15</v>
      </c>
      <c r="AN39" s="326" t="s">
        <v>15</v>
      </c>
      <c r="AO39" s="341" t="s">
        <v>15</v>
      </c>
      <c r="AP39" s="342"/>
      <c r="AQ39" s="343"/>
      <c r="AR39" s="370">
        <v>5459</v>
      </c>
      <c r="AS39" s="326">
        <v>100</v>
      </c>
      <c r="AT39" s="392">
        <v>1</v>
      </c>
      <c r="AU39" s="392"/>
      <c r="AV39" s="392">
        <v>1.5</v>
      </c>
      <c r="AW39" s="340"/>
      <c r="AX39" s="347"/>
      <c r="AY39" s="348"/>
      <c r="AZ39" s="377"/>
      <c r="BA39" s="374"/>
      <c r="BB39" s="374"/>
      <c r="BC39" s="374"/>
      <c r="BD39" s="374"/>
      <c r="BE39" s="374"/>
      <c r="BF39" s="374"/>
      <c r="BG39" s="374"/>
      <c r="BH39" s="378"/>
      <c r="BI39" s="376"/>
      <c r="BJ39" s="379"/>
      <c r="BK39" s="380"/>
      <c r="BL39" s="348"/>
      <c r="BM39" s="381"/>
      <c r="BN39" s="321" t="s">
        <v>14</v>
      </c>
      <c r="BO39" s="372"/>
      <c r="BP39" s="373" t="s">
        <v>14</v>
      </c>
      <c r="BQ39" s="360"/>
      <c r="BR39" s="361"/>
      <c r="BS39" s="361"/>
      <c r="BT39" s="361"/>
      <c r="BU39" s="342" t="s">
        <v>210</v>
      </c>
      <c r="BV39" s="342" t="s">
        <v>210</v>
      </c>
      <c r="BW39" s="341" t="s">
        <v>15</v>
      </c>
      <c r="BX39" s="361"/>
      <c r="BY39" s="362"/>
      <c r="BZ39" s="363"/>
      <c r="CA39" s="363"/>
      <c r="CB39" s="363"/>
      <c r="CC39" s="363"/>
      <c r="CD39" s="293"/>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row>
    <row r="40" spans="2:220" s="287" customFormat="1" ht="22.5" customHeight="1">
      <c r="B40" s="365">
        <v>200118</v>
      </c>
      <c r="C40" s="1950" t="s">
        <v>18004</v>
      </c>
      <c r="D40" s="367"/>
      <c r="E40" s="368"/>
      <c r="F40" s="321" t="s">
        <v>97</v>
      </c>
      <c r="G40" s="326" t="s">
        <v>2780</v>
      </c>
      <c r="H40" s="326" t="s">
        <v>2781</v>
      </c>
      <c r="I40" s="326" t="s">
        <v>11</v>
      </c>
      <c r="J40" s="326" t="s">
        <v>12</v>
      </c>
      <c r="K40" s="326" t="s">
        <v>10</v>
      </c>
      <c r="L40" s="323"/>
      <c r="M40" s="374"/>
      <c r="N40" s="325" t="s">
        <v>527</v>
      </c>
      <c r="O40" s="326" t="s">
        <v>525</v>
      </c>
      <c r="P40" s="327">
        <v>16813</v>
      </c>
      <c r="Q40" s="369">
        <v>16904</v>
      </c>
      <c r="R40" s="329" t="s">
        <v>529</v>
      </c>
      <c r="S40" s="330"/>
      <c r="T40" s="330"/>
      <c r="U40" s="330"/>
      <c r="V40" s="330"/>
      <c r="W40" s="332" t="s">
        <v>529</v>
      </c>
      <c r="X40" s="330"/>
      <c r="Y40" s="330"/>
      <c r="Z40" s="330"/>
      <c r="AA40" s="330"/>
      <c r="AB40" s="333"/>
      <c r="AC40" s="333"/>
      <c r="AD40" s="334" t="s">
        <v>98</v>
      </c>
      <c r="AE40" s="335" t="s">
        <v>16</v>
      </c>
      <c r="AF40" s="336"/>
      <c r="AG40" s="337"/>
      <c r="AH40" s="417" t="s">
        <v>210</v>
      </c>
      <c r="AI40" s="392" t="s">
        <v>210</v>
      </c>
      <c r="AJ40" s="392" t="s">
        <v>210</v>
      </c>
      <c r="AK40" s="340" t="s">
        <v>210</v>
      </c>
      <c r="AL40" s="321" t="s">
        <v>625</v>
      </c>
      <c r="AM40" s="326" t="s">
        <v>15</v>
      </c>
      <c r="AN40" s="326" t="s">
        <v>15</v>
      </c>
      <c r="AO40" s="341" t="s">
        <v>15</v>
      </c>
      <c r="AP40" s="342"/>
      <c r="AQ40" s="343"/>
      <c r="AR40" s="370">
        <v>19644</v>
      </c>
      <c r="AS40" s="326">
        <v>150</v>
      </c>
      <c r="AT40" s="392">
        <v>1</v>
      </c>
      <c r="AU40" s="392"/>
      <c r="AV40" s="392">
        <v>1.5</v>
      </c>
      <c r="AW40" s="340"/>
      <c r="AX40" s="347"/>
      <c r="AY40" s="348"/>
      <c r="AZ40" s="377"/>
      <c r="BA40" s="374"/>
      <c r="BB40" s="374"/>
      <c r="BC40" s="374"/>
      <c r="BD40" s="374"/>
      <c r="BE40" s="374"/>
      <c r="BF40" s="374"/>
      <c r="BG40" s="374"/>
      <c r="BH40" s="378"/>
      <c r="BI40" s="376"/>
      <c r="BJ40" s="379"/>
      <c r="BK40" s="380"/>
      <c r="BL40" s="348"/>
      <c r="BM40" s="381"/>
      <c r="BN40" s="321" t="s">
        <v>14</v>
      </c>
      <c r="BO40" s="372">
        <v>1.07</v>
      </c>
      <c r="BP40" s="373" t="s">
        <v>14</v>
      </c>
      <c r="BQ40" s="360"/>
      <c r="BR40" s="361"/>
      <c r="BS40" s="361"/>
      <c r="BT40" s="361"/>
      <c r="BU40" s="342" t="s">
        <v>210</v>
      </c>
      <c r="BV40" s="342" t="s">
        <v>210</v>
      </c>
      <c r="BW40" s="341" t="s">
        <v>15</v>
      </c>
      <c r="BX40" s="361"/>
      <c r="BY40" s="362"/>
      <c r="BZ40" s="363"/>
      <c r="CA40" s="363"/>
      <c r="CB40" s="363"/>
      <c r="CC40" s="363"/>
      <c r="CD40" s="293"/>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row>
    <row r="41" spans="2:220" s="287" customFormat="1" ht="22.5" customHeight="1">
      <c r="B41" s="365">
        <v>200119</v>
      </c>
      <c r="C41" s="366" t="s">
        <v>51</v>
      </c>
      <c r="D41" s="367"/>
      <c r="E41" s="368"/>
      <c r="F41" s="321" t="s">
        <v>22</v>
      </c>
      <c r="G41" s="326" t="s">
        <v>2782</v>
      </c>
      <c r="H41" s="326" t="s">
        <v>2783</v>
      </c>
      <c r="I41" s="326" t="s">
        <v>11</v>
      </c>
      <c r="J41" s="326" t="s">
        <v>12</v>
      </c>
      <c r="K41" s="326" t="s">
        <v>10</v>
      </c>
      <c r="L41" s="323"/>
      <c r="M41" s="374"/>
      <c r="N41" s="325" t="s">
        <v>437</v>
      </c>
      <c r="O41" s="392" t="s">
        <v>210</v>
      </c>
      <c r="P41" s="392" t="s">
        <v>210</v>
      </c>
      <c r="Q41" s="340" t="s">
        <v>210</v>
      </c>
      <c r="R41" s="329" t="s">
        <v>530</v>
      </c>
      <c r="S41" s="330"/>
      <c r="T41" s="330"/>
      <c r="U41" s="330"/>
      <c r="V41" s="330"/>
      <c r="W41" s="332" t="s">
        <v>530</v>
      </c>
      <c r="X41" s="330"/>
      <c r="Y41" s="330"/>
      <c r="Z41" s="330"/>
      <c r="AA41" s="330"/>
      <c r="AB41" s="333"/>
      <c r="AC41" s="333"/>
      <c r="AD41" s="334" t="s">
        <v>8768</v>
      </c>
      <c r="AE41" s="335" t="s">
        <v>15</v>
      </c>
      <c r="AF41" s="336"/>
      <c r="AG41" s="337"/>
      <c r="AH41" s="417" t="s">
        <v>210</v>
      </c>
      <c r="AI41" s="392" t="s">
        <v>210</v>
      </c>
      <c r="AJ41" s="392" t="s">
        <v>210</v>
      </c>
      <c r="AK41" s="340" t="s">
        <v>210</v>
      </c>
      <c r="AL41" s="321" t="s">
        <v>625</v>
      </c>
      <c r="AM41" s="326" t="s">
        <v>15</v>
      </c>
      <c r="AN41" s="326" t="s">
        <v>15</v>
      </c>
      <c r="AO41" s="341" t="s">
        <v>15</v>
      </c>
      <c r="AP41" s="342"/>
      <c r="AQ41" s="343"/>
      <c r="AR41" s="370">
        <v>2370</v>
      </c>
      <c r="AS41" s="326">
        <v>100</v>
      </c>
      <c r="AT41" s="392">
        <v>1</v>
      </c>
      <c r="AU41" s="392"/>
      <c r="AV41" s="392">
        <v>1.5</v>
      </c>
      <c r="AW41" s="340"/>
      <c r="AX41" s="347"/>
      <c r="AY41" s="348"/>
      <c r="AZ41" s="377"/>
      <c r="BA41" s="374"/>
      <c r="BB41" s="374"/>
      <c r="BC41" s="374"/>
      <c r="BD41" s="374"/>
      <c r="BE41" s="374"/>
      <c r="BF41" s="374"/>
      <c r="BG41" s="374"/>
      <c r="BH41" s="378"/>
      <c r="BI41" s="376"/>
      <c r="BJ41" s="379"/>
      <c r="BK41" s="380"/>
      <c r="BL41" s="348"/>
      <c r="BM41" s="381"/>
      <c r="BN41" s="321" t="s">
        <v>15</v>
      </c>
      <c r="BO41" s="372"/>
      <c r="BP41" s="373" t="s">
        <v>14</v>
      </c>
      <c r="BQ41" s="360"/>
      <c r="BR41" s="361"/>
      <c r="BS41" s="361"/>
      <c r="BT41" s="361"/>
      <c r="BU41" s="342" t="s">
        <v>210</v>
      </c>
      <c r="BV41" s="342" t="s">
        <v>210</v>
      </c>
      <c r="BW41" s="341" t="s">
        <v>15</v>
      </c>
      <c r="BX41" s="361"/>
      <c r="BY41" s="362"/>
      <c r="BZ41" s="363"/>
      <c r="CA41" s="363"/>
      <c r="CB41" s="363"/>
      <c r="CC41" s="363"/>
      <c r="CD41" s="293"/>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row>
    <row r="42" spans="2:220" s="287" customFormat="1" ht="22.5" customHeight="1">
      <c r="B42" s="365">
        <v>200122</v>
      </c>
      <c r="C42" s="366" t="s">
        <v>62</v>
      </c>
      <c r="D42" s="367"/>
      <c r="E42" s="368"/>
      <c r="F42" s="321" t="s">
        <v>57</v>
      </c>
      <c r="G42" s="326" t="s">
        <v>2869</v>
      </c>
      <c r="H42" s="326" t="s">
        <v>2870</v>
      </c>
      <c r="I42" s="326" t="s">
        <v>11</v>
      </c>
      <c r="J42" s="326" t="s">
        <v>12</v>
      </c>
      <c r="K42" s="326" t="s">
        <v>10</v>
      </c>
      <c r="L42" s="323"/>
      <c r="M42" s="374"/>
      <c r="N42" s="325" t="s">
        <v>527</v>
      </c>
      <c r="O42" s="326" t="s">
        <v>525</v>
      </c>
      <c r="P42" s="327" t="s">
        <v>525</v>
      </c>
      <c r="Q42" s="369" t="s">
        <v>525</v>
      </c>
      <c r="R42" s="375"/>
      <c r="S42" s="330"/>
      <c r="T42" s="330"/>
      <c r="U42" s="330"/>
      <c r="V42" s="330"/>
      <c r="W42" s="332"/>
      <c r="X42" s="330"/>
      <c r="Y42" s="330"/>
      <c r="Z42" s="330"/>
      <c r="AA42" s="330"/>
      <c r="AB42" s="333"/>
      <c r="AC42" s="333"/>
      <c r="AD42" s="396" t="s">
        <v>42</v>
      </c>
      <c r="AE42" s="335" t="s">
        <v>15</v>
      </c>
      <c r="AF42" s="336"/>
      <c r="AG42" s="337"/>
      <c r="AH42" s="417" t="s">
        <v>210</v>
      </c>
      <c r="AI42" s="392" t="s">
        <v>210</v>
      </c>
      <c r="AJ42" s="392" t="s">
        <v>210</v>
      </c>
      <c r="AK42" s="340" t="s">
        <v>210</v>
      </c>
      <c r="AL42" s="321" t="s">
        <v>625</v>
      </c>
      <c r="AM42" s="326" t="s">
        <v>15</v>
      </c>
      <c r="AN42" s="326" t="s">
        <v>15</v>
      </c>
      <c r="AO42" s="341" t="s">
        <v>15</v>
      </c>
      <c r="AP42" s="342"/>
      <c r="AQ42" s="343"/>
      <c r="AR42" s="370">
        <v>3642</v>
      </c>
      <c r="AS42" s="326">
        <v>100</v>
      </c>
      <c r="AT42" s="392">
        <v>1</v>
      </c>
      <c r="AU42" s="392"/>
      <c r="AV42" s="392">
        <v>1.5</v>
      </c>
      <c r="AW42" s="340"/>
      <c r="AX42" s="347"/>
      <c r="AY42" s="348"/>
      <c r="AZ42" s="377"/>
      <c r="BA42" s="374"/>
      <c r="BB42" s="374"/>
      <c r="BC42" s="374"/>
      <c r="BD42" s="374"/>
      <c r="BE42" s="374"/>
      <c r="BF42" s="374"/>
      <c r="BG42" s="374"/>
      <c r="BH42" s="378"/>
      <c r="BI42" s="376"/>
      <c r="BJ42" s="379"/>
      <c r="BK42" s="380"/>
      <c r="BL42" s="348"/>
      <c r="BM42" s="381"/>
      <c r="BN42" s="321" t="s">
        <v>15</v>
      </c>
      <c r="BO42" s="372"/>
      <c r="BP42" s="373" t="s">
        <v>15</v>
      </c>
      <c r="BQ42" s="360"/>
      <c r="BR42" s="361"/>
      <c r="BS42" s="361"/>
      <c r="BT42" s="361"/>
      <c r="BU42" s="342" t="s">
        <v>210</v>
      </c>
      <c r="BV42" s="342" t="s">
        <v>210</v>
      </c>
      <c r="BW42" s="341" t="s">
        <v>15</v>
      </c>
      <c r="BX42" s="361"/>
      <c r="BY42" s="362"/>
      <c r="BZ42" s="363"/>
      <c r="CA42" s="363"/>
      <c r="CB42" s="363"/>
      <c r="CC42" s="363"/>
      <c r="CD42" s="293"/>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row>
    <row r="43" spans="2:220" s="287" customFormat="1" ht="22.5" customHeight="1">
      <c r="B43" s="365">
        <v>200124</v>
      </c>
      <c r="C43" s="366" t="s">
        <v>14254</v>
      </c>
      <c r="D43" s="367"/>
      <c r="E43" s="368"/>
      <c r="F43" s="321" t="s">
        <v>39</v>
      </c>
      <c r="G43" s="326" t="s">
        <v>2651</v>
      </c>
      <c r="H43" s="326" t="s">
        <v>2784</v>
      </c>
      <c r="I43" s="326" t="s">
        <v>11</v>
      </c>
      <c r="J43" s="326" t="s">
        <v>12</v>
      </c>
      <c r="K43" s="326" t="s">
        <v>38</v>
      </c>
      <c r="L43" s="323"/>
      <c r="M43" s="374"/>
      <c r="N43" s="325" t="s">
        <v>526</v>
      </c>
      <c r="O43" s="326">
        <v>60</v>
      </c>
      <c r="P43" s="327">
        <v>341</v>
      </c>
      <c r="Q43" s="369">
        <v>370</v>
      </c>
      <c r="R43" s="329" t="s">
        <v>531</v>
      </c>
      <c r="S43" s="330"/>
      <c r="T43" s="331" t="s">
        <v>11187</v>
      </c>
      <c r="U43" s="331" t="s">
        <v>11186</v>
      </c>
      <c r="V43" s="331" t="s">
        <v>12970</v>
      </c>
      <c r="W43" s="332" t="s">
        <v>532</v>
      </c>
      <c r="X43" s="330"/>
      <c r="Y43" s="330"/>
      <c r="Z43" s="330"/>
      <c r="AA43" s="330"/>
      <c r="AB43" s="333"/>
      <c r="AC43" s="333"/>
      <c r="AD43" s="334" t="s">
        <v>875</v>
      </c>
      <c r="AE43" s="335" t="s">
        <v>15</v>
      </c>
      <c r="AF43" s="336"/>
      <c r="AG43" s="337"/>
      <c r="AH43" s="417" t="s">
        <v>210</v>
      </c>
      <c r="AI43" s="392" t="s">
        <v>210</v>
      </c>
      <c r="AJ43" s="392" t="s">
        <v>210</v>
      </c>
      <c r="AK43" s="340" t="s">
        <v>210</v>
      </c>
      <c r="AL43" s="321" t="s">
        <v>625</v>
      </c>
      <c r="AM43" s="326" t="s">
        <v>15</v>
      </c>
      <c r="AN43" s="326" t="s">
        <v>15</v>
      </c>
      <c r="AO43" s="341" t="s">
        <v>15</v>
      </c>
      <c r="AP43" s="342"/>
      <c r="AQ43" s="343"/>
      <c r="AR43" s="370">
        <v>621</v>
      </c>
      <c r="AS43" s="326">
        <v>100</v>
      </c>
      <c r="AT43" s="392">
        <v>1</v>
      </c>
      <c r="AU43" s="392"/>
      <c r="AV43" s="392">
        <v>0.8</v>
      </c>
      <c r="AW43" s="340"/>
      <c r="AX43" s="347"/>
      <c r="AY43" s="348"/>
      <c r="AZ43" s="377"/>
      <c r="BA43" s="374"/>
      <c r="BB43" s="374"/>
      <c r="BC43" s="374"/>
      <c r="BD43" s="374"/>
      <c r="BE43" s="374"/>
      <c r="BF43" s="374"/>
      <c r="BG43" s="374"/>
      <c r="BH43" s="378"/>
      <c r="BI43" s="376"/>
      <c r="BJ43" s="379"/>
      <c r="BK43" s="380"/>
      <c r="BL43" s="348"/>
      <c r="BM43" s="381"/>
      <c r="BN43" s="321" t="s">
        <v>14</v>
      </c>
      <c r="BO43" s="372"/>
      <c r="BP43" s="373" t="s">
        <v>15</v>
      </c>
      <c r="BQ43" s="360"/>
      <c r="BR43" s="361"/>
      <c r="BS43" s="361"/>
      <c r="BT43" s="361"/>
      <c r="BU43" s="342" t="s">
        <v>210</v>
      </c>
      <c r="BV43" s="342" t="s">
        <v>210</v>
      </c>
      <c r="BW43" s="341" t="s">
        <v>15</v>
      </c>
      <c r="BX43" s="361"/>
      <c r="BY43" s="362"/>
      <c r="BZ43" s="363"/>
      <c r="CA43" s="363"/>
      <c r="CB43" s="363"/>
      <c r="CC43" s="363"/>
      <c r="CD43" s="293"/>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row>
    <row r="44" spans="2:220" s="287" customFormat="1" ht="22.5" customHeight="1">
      <c r="B44" s="365">
        <v>200129</v>
      </c>
      <c r="C44" s="366" t="s">
        <v>58</v>
      </c>
      <c r="D44" s="367"/>
      <c r="E44" s="368"/>
      <c r="F44" s="321" t="s">
        <v>64</v>
      </c>
      <c r="G44" s="326" t="s">
        <v>2785</v>
      </c>
      <c r="H44" s="326" t="s">
        <v>2786</v>
      </c>
      <c r="I44" s="326" t="s">
        <v>11</v>
      </c>
      <c r="J44" s="326" t="s">
        <v>12</v>
      </c>
      <c r="K44" s="326" t="s">
        <v>10</v>
      </c>
      <c r="L44" s="323"/>
      <c r="M44" s="324" t="s">
        <v>10772</v>
      </c>
      <c r="N44" s="325" t="s">
        <v>437</v>
      </c>
      <c r="O44" s="326">
        <v>30</v>
      </c>
      <c r="P44" s="382">
        <v>2715</v>
      </c>
      <c r="Q44" s="383">
        <v>2720</v>
      </c>
      <c r="R44" s="329" t="s">
        <v>447</v>
      </c>
      <c r="S44" s="330"/>
      <c r="T44" s="331" t="s">
        <v>11087</v>
      </c>
      <c r="U44" s="331" t="s">
        <v>16355</v>
      </c>
      <c r="V44" s="330"/>
      <c r="W44" s="332" t="s">
        <v>432</v>
      </c>
      <c r="X44" s="331" t="s">
        <v>11079</v>
      </c>
      <c r="Y44" s="331" t="s">
        <v>11080</v>
      </c>
      <c r="Z44" s="331" t="s">
        <v>11080</v>
      </c>
      <c r="AA44" s="331" t="s">
        <v>210</v>
      </c>
      <c r="AB44" s="333"/>
      <c r="AC44" s="333"/>
      <c r="AD44" s="334" t="s">
        <v>272</v>
      </c>
      <c r="AE44" s="335" t="s">
        <v>15</v>
      </c>
      <c r="AF44" s="336"/>
      <c r="AG44" s="337"/>
      <c r="AH44" s="338">
        <v>9.1</v>
      </c>
      <c r="AI44" s="339">
        <v>15.3</v>
      </c>
      <c r="AJ44" s="339">
        <v>11.7</v>
      </c>
      <c r="AK44" s="340">
        <f>SUM(AH44:AJ44)</f>
        <v>36.099999999999994</v>
      </c>
      <c r="AL44" s="321" t="s">
        <v>625</v>
      </c>
      <c r="AM44" s="326" t="s">
        <v>15</v>
      </c>
      <c r="AN44" s="326" t="s">
        <v>15</v>
      </c>
      <c r="AO44" s="341" t="s">
        <v>15</v>
      </c>
      <c r="AP44" s="342"/>
      <c r="AQ44" s="343"/>
      <c r="AR44" s="370">
        <v>3100</v>
      </c>
      <c r="AS44" s="326">
        <v>100</v>
      </c>
      <c r="AT44" s="392">
        <v>0.7</v>
      </c>
      <c r="AU44" s="392"/>
      <c r="AV44" s="392">
        <v>0.7</v>
      </c>
      <c r="AW44" s="340"/>
      <c r="AX44" s="347"/>
      <c r="AY44" s="348"/>
      <c r="AZ44" s="377"/>
      <c r="BA44" s="374"/>
      <c r="BB44" s="374"/>
      <c r="BC44" s="374"/>
      <c r="BD44" s="374"/>
      <c r="BE44" s="374"/>
      <c r="BF44" s="374"/>
      <c r="BG44" s="374"/>
      <c r="BH44" s="378"/>
      <c r="BI44" s="376"/>
      <c r="BJ44" s="379"/>
      <c r="BK44" s="380"/>
      <c r="BL44" s="348"/>
      <c r="BM44" s="381"/>
      <c r="BN44" s="321" t="s">
        <v>15</v>
      </c>
      <c r="BO44" s="372"/>
      <c r="BP44" s="373" t="s">
        <v>15</v>
      </c>
      <c r="BQ44" s="360"/>
      <c r="BR44" s="361"/>
      <c r="BS44" s="361"/>
      <c r="BT44" s="361"/>
      <c r="BU44" s="342" t="s">
        <v>210</v>
      </c>
      <c r="BV44" s="342" t="s">
        <v>210</v>
      </c>
      <c r="BW44" s="341" t="s">
        <v>15</v>
      </c>
      <c r="BX44" s="361"/>
      <c r="BY44" s="362"/>
      <c r="BZ44" s="363"/>
      <c r="CA44" s="363"/>
      <c r="CB44" s="363"/>
      <c r="CC44" s="363"/>
      <c r="CD44" s="293"/>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row>
    <row r="45" spans="2:220" s="287" customFormat="1" ht="22.5" customHeight="1">
      <c r="B45" s="365">
        <v>200130</v>
      </c>
      <c r="C45" s="366" t="s">
        <v>926</v>
      </c>
      <c r="D45" s="367"/>
      <c r="E45" s="368"/>
      <c r="F45" s="321" t="s">
        <v>57</v>
      </c>
      <c r="G45" s="326" t="s">
        <v>2869</v>
      </c>
      <c r="H45" s="326" t="s">
        <v>2870</v>
      </c>
      <c r="I45" s="326" t="s">
        <v>11</v>
      </c>
      <c r="J45" s="326" t="s">
        <v>12</v>
      </c>
      <c r="K45" s="326" t="s">
        <v>10</v>
      </c>
      <c r="L45" s="323"/>
      <c r="M45" s="374"/>
      <c r="N45" s="325" t="s">
        <v>437</v>
      </c>
      <c r="O45" s="326" t="s">
        <v>525</v>
      </c>
      <c r="P45" s="326" t="s">
        <v>525</v>
      </c>
      <c r="Q45" s="373" t="s">
        <v>525</v>
      </c>
      <c r="R45" s="329" t="s">
        <v>1086</v>
      </c>
      <c r="S45" s="331" t="s">
        <v>11142</v>
      </c>
      <c r="T45" s="331" t="s">
        <v>14922</v>
      </c>
      <c r="U45" s="330"/>
      <c r="V45" s="331" t="s">
        <v>11143</v>
      </c>
      <c r="W45" s="332" t="s">
        <v>519</v>
      </c>
      <c r="X45" s="331" t="s">
        <v>15444</v>
      </c>
      <c r="Y45" s="330"/>
      <c r="Z45" s="330"/>
      <c r="AA45" s="331" t="s">
        <v>11144</v>
      </c>
      <c r="AB45" s="333"/>
      <c r="AC45" s="333"/>
      <c r="AD45" s="396" t="s">
        <v>42</v>
      </c>
      <c r="AE45" s="335" t="s">
        <v>15</v>
      </c>
      <c r="AF45" s="336"/>
      <c r="AG45" s="337"/>
      <c r="AH45" s="417" t="s">
        <v>210</v>
      </c>
      <c r="AI45" s="392" t="s">
        <v>210</v>
      </c>
      <c r="AJ45" s="392" t="s">
        <v>210</v>
      </c>
      <c r="AK45" s="340" t="s">
        <v>210</v>
      </c>
      <c r="AL45" s="321" t="s">
        <v>625</v>
      </c>
      <c r="AM45" s="326" t="s">
        <v>15</v>
      </c>
      <c r="AN45" s="326" t="s">
        <v>15</v>
      </c>
      <c r="AO45" s="341" t="s">
        <v>15</v>
      </c>
      <c r="AP45" s="342"/>
      <c r="AQ45" s="343"/>
      <c r="AR45" s="370">
        <v>2485</v>
      </c>
      <c r="AS45" s="326">
        <v>100</v>
      </c>
      <c r="AT45" s="392">
        <v>1</v>
      </c>
      <c r="AU45" s="392"/>
      <c r="AV45" s="392">
        <v>1.5</v>
      </c>
      <c r="AW45" s="340"/>
      <c r="AX45" s="347"/>
      <c r="AY45" s="348"/>
      <c r="AZ45" s="377"/>
      <c r="BA45" s="374"/>
      <c r="BB45" s="374"/>
      <c r="BC45" s="374"/>
      <c r="BD45" s="374"/>
      <c r="BE45" s="374"/>
      <c r="BF45" s="374"/>
      <c r="BG45" s="374"/>
      <c r="BH45" s="378"/>
      <c r="BI45" s="376"/>
      <c r="BJ45" s="379"/>
      <c r="BK45" s="380"/>
      <c r="BL45" s="348"/>
      <c r="BM45" s="381"/>
      <c r="BN45" s="321" t="s">
        <v>15</v>
      </c>
      <c r="BO45" s="372"/>
      <c r="BP45" s="373" t="s">
        <v>15</v>
      </c>
      <c r="BQ45" s="360"/>
      <c r="BR45" s="361"/>
      <c r="BS45" s="361"/>
      <c r="BT45" s="361"/>
      <c r="BU45" s="342" t="s">
        <v>210</v>
      </c>
      <c r="BV45" s="342" t="s">
        <v>210</v>
      </c>
      <c r="BW45" s="341" t="s">
        <v>15</v>
      </c>
      <c r="BX45" s="361"/>
      <c r="BY45" s="362"/>
      <c r="BZ45" s="363"/>
      <c r="CA45" s="363"/>
      <c r="CB45" s="363"/>
      <c r="CC45" s="363"/>
      <c r="CD45" s="293"/>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row>
    <row r="46" spans="2:220" s="287" customFormat="1" ht="22.5" customHeight="1">
      <c r="B46" s="365">
        <v>200145</v>
      </c>
      <c r="C46" s="366" t="s">
        <v>67</v>
      </c>
      <c r="D46" s="367"/>
      <c r="E46" s="368"/>
      <c r="F46" s="321" t="s">
        <v>66</v>
      </c>
      <c r="G46" s="326" t="s">
        <v>2787</v>
      </c>
      <c r="H46" s="326" t="s">
        <v>2788</v>
      </c>
      <c r="I46" s="326" t="s">
        <v>11</v>
      </c>
      <c r="J46" s="326" t="s">
        <v>21</v>
      </c>
      <c r="K46" s="326" t="s">
        <v>10</v>
      </c>
      <c r="L46" s="323"/>
      <c r="M46" s="324" t="s">
        <v>10767</v>
      </c>
      <c r="N46" s="325" t="s">
        <v>438</v>
      </c>
      <c r="O46" s="326">
        <v>60</v>
      </c>
      <c r="P46" s="382">
        <v>4282</v>
      </c>
      <c r="Q46" s="383">
        <v>2259</v>
      </c>
      <c r="R46" s="329" t="s">
        <v>473</v>
      </c>
      <c r="S46" s="330"/>
      <c r="T46" s="330"/>
      <c r="U46" s="330"/>
      <c r="V46" s="330"/>
      <c r="W46" s="332" t="s">
        <v>432</v>
      </c>
      <c r="X46" s="331" t="s">
        <v>11079</v>
      </c>
      <c r="Y46" s="331" t="s">
        <v>11080</v>
      </c>
      <c r="Z46" s="331" t="s">
        <v>11080</v>
      </c>
      <c r="AA46" s="331" t="s">
        <v>210</v>
      </c>
      <c r="AB46" s="333"/>
      <c r="AC46" s="333"/>
      <c r="AD46" s="334" t="s">
        <v>852</v>
      </c>
      <c r="AE46" s="395" t="s">
        <v>27</v>
      </c>
      <c r="AF46" s="336"/>
      <c r="AG46" s="337"/>
      <c r="AH46" s="338">
        <v>8.5</v>
      </c>
      <c r="AI46" s="339">
        <v>25</v>
      </c>
      <c r="AJ46" s="339">
        <v>15.2</v>
      </c>
      <c r="AK46" s="340">
        <f>SUM(AH46:AJ46)</f>
        <v>48.7</v>
      </c>
      <c r="AL46" s="321" t="s">
        <v>625</v>
      </c>
      <c r="AM46" s="326" t="s">
        <v>15</v>
      </c>
      <c r="AN46" s="326" t="s">
        <v>15</v>
      </c>
      <c r="AO46" s="341" t="s">
        <v>15</v>
      </c>
      <c r="AP46" s="342"/>
      <c r="AQ46" s="343"/>
      <c r="AR46" s="370">
        <v>2698</v>
      </c>
      <c r="AS46" s="326">
        <v>100</v>
      </c>
      <c r="AT46" s="392">
        <v>1</v>
      </c>
      <c r="AU46" s="392"/>
      <c r="AV46" s="392">
        <v>1.5</v>
      </c>
      <c r="AW46" s="340"/>
      <c r="AX46" s="347"/>
      <c r="AY46" s="348"/>
      <c r="AZ46" s="377"/>
      <c r="BA46" s="374"/>
      <c r="BB46" s="374"/>
      <c r="BC46" s="374"/>
      <c r="BD46" s="374"/>
      <c r="BE46" s="374"/>
      <c r="BF46" s="374"/>
      <c r="BG46" s="374"/>
      <c r="BH46" s="378"/>
      <c r="BI46" s="376"/>
      <c r="BJ46" s="379"/>
      <c r="BK46" s="380"/>
      <c r="BL46" s="348"/>
      <c r="BM46" s="381"/>
      <c r="BN46" s="321" t="s">
        <v>14</v>
      </c>
      <c r="BO46" s="372"/>
      <c r="BP46" s="373" t="s">
        <v>14</v>
      </c>
      <c r="BQ46" s="360"/>
      <c r="BR46" s="361"/>
      <c r="BS46" s="361"/>
      <c r="BT46" s="361"/>
      <c r="BU46" s="342" t="s">
        <v>210</v>
      </c>
      <c r="BV46" s="342" t="s">
        <v>210</v>
      </c>
      <c r="BW46" s="341" t="s">
        <v>15</v>
      </c>
      <c r="BX46" s="361"/>
      <c r="BY46" s="362" t="s">
        <v>927</v>
      </c>
      <c r="BZ46" s="363"/>
      <c r="CA46" s="363"/>
      <c r="CB46" s="363"/>
      <c r="CC46" s="363"/>
      <c r="CD46" s="293"/>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row>
    <row r="47" spans="2:220" s="363" customFormat="1" ht="22.5" customHeight="1">
      <c r="B47" s="365">
        <v>200146</v>
      </c>
      <c r="C47" s="366" t="s">
        <v>74</v>
      </c>
      <c r="D47" s="367"/>
      <c r="E47" s="368"/>
      <c r="F47" s="321" t="s">
        <v>7337</v>
      </c>
      <c r="G47" s="326" t="s">
        <v>2765</v>
      </c>
      <c r="H47" s="326" t="s">
        <v>2766</v>
      </c>
      <c r="I47" s="326" t="s">
        <v>11</v>
      </c>
      <c r="J47" s="326" t="s">
        <v>12</v>
      </c>
      <c r="K47" s="326" t="s">
        <v>10</v>
      </c>
      <c r="L47" s="323"/>
      <c r="M47" s="324" t="s">
        <v>10771</v>
      </c>
      <c r="N47" s="325" t="s">
        <v>438</v>
      </c>
      <c r="O47" s="326">
        <v>30</v>
      </c>
      <c r="P47" s="327">
        <v>2625</v>
      </c>
      <c r="Q47" s="369">
        <v>2716</v>
      </c>
      <c r="R47" s="329" t="s">
        <v>432</v>
      </c>
      <c r="S47" s="331" t="s">
        <v>11079</v>
      </c>
      <c r="T47" s="331" t="s">
        <v>11079</v>
      </c>
      <c r="U47" s="331" t="s">
        <v>11079</v>
      </c>
      <c r="V47" s="331" t="s">
        <v>295</v>
      </c>
      <c r="W47" s="332" t="s">
        <v>432</v>
      </c>
      <c r="X47" s="331" t="s">
        <v>11079</v>
      </c>
      <c r="Y47" s="331" t="s">
        <v>11080</v>
      </c>
      <c r="Z47" s="331" t="s">
        <v>11080</v>
      </c>
      <c r="AA47" s="331" t="s">
        <v>210</v>
      </c>
      <c r="AB47" s="333"/>
      <c r="AC47" s="333"/>
      <c r="AD47" s="396" t="s">
        <v>2320</v>
      </c>
      <c r="AE47" s="335" t="s">
        <v>15</v>
      </c>
      <c r="AF47" s="336"/>
      <c r="AG47" s="337"/>
      <c r="AH47" s="338">
        <v>5.5</v>
      </c>
      <c r="AI47" s="339">
        <v>11.2</v>
      </c>
      <c r="AJ47" s="339">
        <v>11.1</v>
      </c>
      <c r="AK47" s="340">
        <f>SUM(AH47:AJ47)</f>
        <v>27.799999999999997</v>
      </c>
      <c r="AL47" s="321" t="s">
        <v>625</v>
      </c>
      <c r="AM47" s="326" t="s">
        <v>15</v>
      </c>
      <c r="AN47" s="326" t="s">
        <v>15</v>
      </c>
      <c r="AO47" s="341" t="s">
        <v>15</v>
      </c>
      <c r="AP47" s="342"/>
      <c r="AQ47" s="343"/>
      <c r="AR47" s="370">
        <v>3010</v>
      </c>
      <c r="AS47" s="326">
        <v>100</v>
      </c>
      <c r="AT47" s="392">
        <v>0.7</v>
      </c>
      <c r="AU47" s="392"/>
      <c r="AV47" s="392">
        <v>0.7</v>
      </c>
      <c r="AW47" s="340"/>
      <c r="AX47" s="347"/>
      <c r="AY47" s="348"/>
      <c r="AZ47" s="377"/>
      <c r="BA47" s="374"/>
      <c r="BB47" s="374"/>
      <c r="BC47" s="374"/>
      <c r="BD47" s="374"/>
      <c r="BE47" s="374"/>
      <c r="BF47" s="374"/>
      <c r="BG47" s="374"/>
      <c r="BH47" s="378"/>
      <c r="BI47" s="376"/>
      <c r="BJ47" s="379"/>
      <c r="BK47" s="380"/>
      <c r="BL47" s="348"/>
      <c r="BM47" s="381"/>
      <c r="BN47" s="321" t="s">
        <v>14</v>
      </c>
      <c r="BO47" s="372"/>
      <c r="BP47" s="373" t="s">
        <v>15</v>
      </c>
      <c r="BQ47" s="360"/>
      <c r="BR47" s="361"/>
      <c r="BS47" s="361"/>
      <c r="BT47" s="361"/>
      <c r="BU47" s="342" t="s">
        <v>210</v>
      </c>
      <c r="BV47" s="342" t="s">
        <v>210</v>
      </c>
      <c r="BW47" s="341" t="s">
        <v>15</v>
      </c>
      <c r="BX47" s="361"/>
      <c r="BY47" s="362"/>
      <c r="CD47" s="293"/>
    </row>
    <row r="48" spans="2:220" s="363" customFormat="1" ht="22.5" customHeight="1">
      <c r="B48" s="365">
        <v>200148</v>
      </c>
      <c r="C48" s="366" t="s">
        <v>71</v>
      </c>
      <c r="D48" s="367"/>
      <c r="E48" s="368"/>
      <c r="F48" s="321" t="s">
        <v>72</v>
      </c>
      <c r="G48" s="326" t="s">
        <v>2763</v>
      </c>
      <c r="H48" s="326" t="s">
        <v>2764</v>
      </c>
      <c r="I48" s="326" t="s">
        <v>11</v>
      </c>
      <c r="J48" s="326" t="s">
        <v>12</v>
      </c>
      <c r="K48" s="326" t="s">
        <v>10</v>
      </c>
      <c r="L48" s="323"/>
      <c r="M48" s="324" t="s">
        <v>10773</v>
      </c>
      <c r="N48" s="325" t="s">
        <v>438</v>
      </c>
      <c r="O48" s="326">
        <v>200</v>
      </c>
      <c r="P48" s="327">
        <v>3848</v>
      </c>
      <c r="Q48" s="369">
        <v>3841</v>
      </c>
      <c r="R48" s="329" t="s">
        <v>473</v>
      </c>
      <c r="S48" s="330"/>
      <c r="T48" s="330"/>
      <c r="U48" s="330"/>
      <c r="V48" s="330"/>
      <c r="W48" s="332" t="s">
        <v>432</v>
      </c>
      <c r="X48" s="331" t="s">
        <v>11079</v>
      </c>
      <c r="Y48" s="331" t="s">
        <v>11080</v>
      </c>
      <c r="Z48" s="331" t="s">
        <v>11080</v>
      </c>
      <c r="AA48" s="331" t="s">
        <v>210</v>
      </c>
      <c r="AB48" s="333"/>
      <c r="AC48" s="333"/>
      <c r="AD48" s="334" t="s">
        <v>855</v>
      </c>
      <c r="AE48" s="335" t="s">
        <v>73</v>
      </c>
      <c r="AF48" s="336"/>
      <c r="AG48" s="337"/>
      <c r="AH48" s="338">
        <v>5.8</v>
      </c>
      <c r="AI48" s="339">
        <v>27.3</v>
      </c>
      <c r="AJ48" s="339">
        <v>28.5</v>
      </c>
      <c r="AK48" s="340">
        <f>SUM(AH48:AJ48)</f>
        <v>61.6</v>
      </c>
      <c r="AL48" s="321" t="s">
        <v>625</v>
      </c>
      <c r="AM48" s="326" t="s">
        <v>15</v>
      </c>
      <c r="AN48" s="326" t="s">
        <v>15</v>
      </c>
      <c r="AO48" s="341" t="s">
        <v>15</v>
      </c>
      <c r="AP48" s="342"/>
      <c r="AQ48" s="343"/>
      <c r="AR48" s="370">
        <v>4718</v>
      </c>
      <c r="AS48" s="326">
        <v>100</v>
      </c>
      <c r="AT48" s="392">
        <v>1</v>
      </c>
      <c r="AU48" s="392"/>
      <c r="AV48" s="392">
        <v>1.5</v>
      </c>
      <c r="AW48" s="340"/>
      <c r="AX48" s="347"/>
      <c r="AY48" s="348"/>
      <c r="AZ48" s="377"/>
      <c r="BA48" s="374"/>
      <c r="BB48" s="374"/>
      <c r="BC48" s="374"/>
      <c r="BD48" s="374"/>
      <c r="BE48" s="374"/>
      <c r="BF48" s="374"/>
      <c r="BG48" s="374"/>
      <c r="BH48" s="378"/>
      <c r="BI48" s="376"/>
      <c r="BJ48" s="379"/>
      <c r="BK48" s="380"/>
      <c r="BL48" s="348"/>
      <c r="BM48" s="381"/>
      <c r="BN48" s="321" t="s">
        <v>15</v>
      </c>
      <c r="BO48" s="372"/>
      <c r="BP48" s="373" t="s">
        <v>15</v>
      </c>
      <c r="BQ48" s="360"/>
      <c r="BR48" s="361"/>
      <c r="BS48" s="361"/>
      <c r="BT48" s="361"/>
      <c r="BU48" s="342" t="s">
        <v>210</v>
      </c>
      <c r="BV48" s="342" t="s">
        <v>210</v>
      </c>
      <c r="BW48" s="341" t="s">
        <v>15</v>
      </c>
      <c r="BX48" s="361"/>
      <c r="BY48" s="362" t="s">
        <v>928</v>
      </c>
      <c r="CD48" s="293"/>
    </row>
    <row r="49" spans="2:220" s="363" customFormat="1" ht="22.5" customHeight="1">
      <c r="B49" s="365">
        <v>200149</v>
      </c>
      <c r="C49" s="366" t="s">
        <v>63</v>
      </c>
      <c r="D49" s="367"/>
      <c r="E49" s="368"/>
      <c r="F49" s="321" t="s">
        <v>64</v>
      </c>
      <c r="G49" s="326" t="s">
        <v>2742</v>
      </c>
      <c r="H49" s="326" t="s">
        <v>2743</v>
      </c>
      <c r="I49" s="326" t="s">
        <v>11</v>
      </c>
      <c r="J49" s="326" t="s">
        <v>12</v>
      </c>
      <c r="K49" s="326" t="s">
        <v>10</v>
      </c>
      <c r="L49" s="323"/>
      <c r="M49" s="324" t="s">
        <v>10772</v>
      </c>
      <c r="N49" s="325" t="s">
        <v>437</v>
      </c>
      <c r="O49" s="326">
        <v>30</v>
      </c>
      <c r="P49" s="327">
        <v>1667</v>
      </c>
      <c r="Q49" s="369">
        <v>1728</v>
      </c>
      <c r="R49" s="329" t="s">
        <v>447</v>
      </c>
      <c r="S49" s="330"/>
      <c r="T49" s="331" t="s">
        <v>11087</v>
      </c>
      <c r="U49" s="331" t="s">
        <v>16355</v>
      </c>
      <c r="V49" s="330"/>
      <c r="W49" s="332" t="s">
        <v>432</v>
      </c>
      <c r="X49" s="331" t="s">
        <v>11079</v>
      </c>
      <c r="Y49" s="331" t="s">
        <v>11080</v>
      </c>
      <c r="Z49" s="331" t="s">
        <v>11080</v>
      </c>
      <c r="AA49" s="331" t="s">
        <v>210</v>
      </c>
      <c r="AB49" s="333"/>
      <c r="AC49" s="333"/>
      <c r="AD49" s="334" t="s">
        <v>865</v>
      </c>
      <c r="AE49" s="335" t="s">
        <v>15</v>
      </c>
      <c r="AF49" s="336"/>
      <c r="AG49" s="337"/>
      <c r="AH49" s="338">
        <v>8.1</v>
      </c>
      <c r="AI49" s="339">
        <v>20</v>
      </c>
      <c r="AJ49" s="339">
        <v>17</v>
      </c>
      <c r="AK49" s="340">
        <f>SUM(AH49:AJ49)</f>
        <v>45.1</v>
      </c>
      <c r="AL49" s="321" t="s">
        <v>625</v>
      </c>
      <c r="AM49" s="326" t="s">
        <v>15</v>
      </c>
      <c r="AN49" s="326" t="s">
        <v>15</v>
      </c>
      <c r="AO49" s="341" t="s">
        <v>15</v>
      </c>
      <c r="AP49" s="342"/>
      <c r="AQ49" s="343"/>
      <c r="AR49" s="370">
        <v>1982</v>
      </c>
      <c r="AS49" s="326">
        <v>100</v>
      </c>
      <c r="AT49" s="392">
        <v>0.7</v>
      </c>
      <c r="AU49" s="392"/>
      <c r="AV49" s="392">
        <v>0.7</v>
      </c>
      <c r="AW49" s="340"/>
      <c r="AX49" s="347"/>
      <c r="AY49" s="348"/>
      <c r="AZ49" s="377"/>
      <c r="BA49" s="374"/>
      <c r="BB49" s="374"/>
      <c r="BC49" s="374"/>
      <c r="BD49" s="374"/>
      <c r="BE49" s="374"/>
      <c r="BF49" s="374"/>
      <c r="BG49" s="374"/>
      <c r="BH49" s="378"/>
      <c r="BI49" s="376"/>
      <c r="BJ49" s="379"/>
      <c r="BK49" s="380"/>
      <c r="BL49" s="348"/>
      <c r="BM49" s="381"/>
      <c r="BN49" s="321" t="s">
        <v>14</v>
      </c>
      <c r="BO49" s="372"/>
      <c r="BP49" s="373" t="s">
        <v>15</v>
      </c>
      <c r="BQ49" s="360"/>
      <c r="BR49" s="361"/>
      <c r="BS49" s="361"/>
      <c r="BT49" s="361"/>
      <c r="BU49" s="342" t="s">
        <v>210</v>
      </c>
      <c r="BV49" s="342" t="s">
        <v>210</v>
      </c>
      <c r="BW49" s="341" t="s">
        <v>15</v>
      </c>
      <c r="BX49" s="361"/>
      <c r="BY49" s="362"/>
      <c r="CD49" s="293"/>
    </row>
    <row r="50" spans="2:220" s="363" customFormat="1" ht="22.5" customHeight="1">
      <c r="B50" s="365">
        <v>200150</v>
      </c>
      <c r="C50" s="366" t="s">
        <v>65</v>
      </c>
      <c r="D50" s="367"/>
      <c r="E50" s="368"/>
      <c r="F50" s="321" t="s">
        <v>66</v>
      </c>
      <c r="G50" s="326" t="s">
        <v>2761</v>
      </c>
      <c r="H50" s="326" t="s">
        <v>2762</v>
      </c>
      <c r="I50" s="326" t="s">
        <v>11</v>
      </c>
      <c r="J50" s="326" t="s">
        <v>12</v>
      </c>
      <c r="K50" s="326" t="s">
        <v>10</v>
      </c>
      <c r="L50" s="323"/>
      <c r="M50" s="324" t="s">
        <v>10774</v>
      </c>
      <c r="N50" s="325" t="s">
        <v>438</v>
      </c>
      <c r="O50" s="326">
        <v>40</v>
      </c>
      <c r="P50" s="327">
        <v>9309</v>
      </c>
      <c r="Q50" s="369">
        <v>9185</v>
      </c>
      <c r="R50" s="329" t="s">
        <v>473</v>
      </c>
      <c r="S50" s="330"/>
      <c r="T50" s="330"/>
      <c r="U50" s="330"/>
      <c r="V50" s="330"/>
      <c r="W50" s="332" t="s">
        <v>432</v>
      </c>
      <c r="X50" s="331" t="s">
        <v>11079</v>
      </c>
      <c r="Y50" s="331" t="s">
        <v>11080</v>
      </c>
      <c r="Z50" s="331" t="s">
        <v>11080</v>
      </c>
      <c r="AA50" s="331" t="s">
        <v>210</v>
      </c>
      <c r="AB50" s="333"/>
      <c r="AC50" s="333"/>
      <c r="AD50" s="334" t="s">
        <v>851</v>
      </c>
      <c r="AE50" s="395" t="s">
        <v>27</v>
      </c>
      <c r="AF50" s="336"/>
      <c r="AG50" s="337"/>
      <c r="AH50" s="338">
        <v>7</v>
      </c>
      <c r="AI50" s="339">
        <v>19.2</v>
      </c>
      <c r="AJ50" s="339">
        <v>21.2</v>
      </c>
      <c r="AK50" s="340">
        <f>SUM(AH50:AJ50)</f>
        <v>47.4</v>
      </c>
      <c r="AL50" s="321" t="s">
        <v>625</v>
      </c>
      <c r="AM50" s="326" t="s">
        <v>15</v>
      </c>
      <c r="AN50" s="326" t="s">
        <v>15</v>
      </c>
      <c r="AO50" s="341" t="s">
        <v>15</v>
      </c>
      <c r="AP50" s="342"/>
      <c r="AQ50" s="343"/>
      <c r="AR50" s="370">
        <v>10008</v>
      </c>
      <c r="AS50" s="326">
        <v>100</v>
      </c>
      <c r="AT50" s="397">
        <v>0.75</v>
      </c>
      <c r="AU50" s="397"/>
      <c r="AV50" s="397">
        <v>1.25</v>
      </c>
      <c r="AW50" s="398"/>
      <c r="AX50" s="347"/>
      <c r="AY50" s="348"/>
      <c r="AZ50" s="377"/>
      <c r="BA50" s="374"/>
      <c r="BB50" s="374"/>
      <c r="BC50" s="374"/>
      <c r="BD50" s="374"/>
      <c r="BE50" s="374"/>
      <c r="BF50" s="374"/>
      <c r="BG50" s="374"/>
      <c r="BH50" s="378"/>
      <c r="BI50" s="376"/>
      <c r="BJ50" s="379"/>
      <c r="BK50" s="380"/>
      <c r="BL50" s="348"/>
      <c r="BM50" s="381"/>
      <c r="BN50" s="321" t="s">
        <v>15</v>
      </c>
      <c r="BO50" s="372"/>
      <c r="BP50" s="373" t="s">
        <v>15</v>
      </c>
      <c r="BQ50" s="360"/>
      <c r="BR50" s="361"/>
      <c r="BS50" s="361"/>
      <c r="BT50" s="361"/>
      <c r="BU50" s="342" t="s">
        <v>210</v>
      </c>
      <c r="BV50" s="342" t="s">
        <v>210</v>
      </c>
      <c r="BW50" s="341" t="s">
        <v>15</v>
      </c>
      <c r="BX50" s="361"/>
      <c r="BY50" s="362" t="s">
        <v>929</v>
      </c>
      <c r="CD50" s="293"/>
    </row>
    <row r="51" spans="2:220" s="363" customFormat="1" ht="22.5" customHeight="1">
      <c r="B51" s="365">
        <v>210001</v>
      </c>
      <c r="C51" s="366" t="s">
        <v>76</v>
      </c>
      <c r="D51" s="367"/>
      <c r="E51" s="368"/>
      <c r="F51" s="321" t="s">
        <v>22</v>
      </c>
      <c r="G51" s="326" t="s">
        <v>2702</v>
      </c>
      <c r="H51" s="326" t="s">
        <v>2703</v>
      </c>
      <c r="I51" s="326" t="s">
        <v>78</v>
      </c>
      <c r="J51" s="326" t="s">
        <v>24</v>
      </c>
      <c r="K51" s="326" t="s">
        <v>77</v>
      </c>
      <c r="L51" s="323"/>
      <c r="M51" s="374"/>
      <c r="N51" s="325" t="s">
        <v>542</v>
      </c>
      <c r="O51" s="326" t="s">
        <v>210</v>
      </c>
      <c r="P51" s="327">
        <v>730</v>
      </c>
      <c r="Q51" s="369">
        <v>335</v>
      </c>
      <c r="R51" s="329" t="s">
        <v>1101</v>
      </c>
      <c r="S51" s="330"/>
      <c r="T51" s="330"/>
      <c r="U51" s="330"/>
      <c r="V51" s="330"/>
      <c r="W51" s="332" t="s">
        <v>543</v>
      </c>
      <c r="X51" s="330"/>
      <c r="Y51" s="330"/>
      <c r="Z51" s="330"/>
      <c r="AA51" s="330"/>
      <c r="AB51" s="333"/>
      <c r="AC51" s="333"/>
      <c r="AD51" s="396" t="s">
        <v>42</v>
      </c>
      <c r="AE51" s="335" t="s">
        <v>15</v>
      </c>
      <c r="AF51" s="336"/>
      <c r="AG51" s="337"/>
      <c r="AH51" s="417" t="s">
        <v>210</v>
      </c>
      <c r="AI51" s="392" t="s">
        <v>210</v>
      </c>
      <c r="AJ51" s="392" t="s">
        <v>210</v>
      </c>
      <c r="AK51" s="340" t="s">
        <v>210</v>
      </c>
      <c r="AL51" s="321" t="s">
        <v>625</v>
      </c>
      <c r="AM51" s="326" t="s">
        <v>15</v>
      </c>
      <c r="AN51" s="326" t="s">
        <v>15</v>
      </c>
      <c r="AO51" s="341" t="s">
        <v>15</v>
      </c>
      <c r="AP51" s="342"/>
      <c r="AQ51" s="433" t="s">
        <v>4548</v>
      </c>
      <c r="AR51" s="370">
        <v>371</v>
      </c>
      <c r="AS51" s="326">
        <v>100</v>
      </c>
      <c r="AT51" s="392">
        <v>2.25</v>
      </c>
      <c r="AU51" s="392"/>
      <c r="AV51" s="392">
        <v>1</v>
      </c>
      <c r="AW51" s="340"/>
      <c r="AX51" s="347"/>
      <c r="AY51" s="348"/>
      <c r="AZ51" s="377"/>
      <c r="BA51" s="374"/>
      <c r="BB51" s="374"/>
      <c r="BC51" s="374"/>
      <c r="BD51" s="374"/>
      <c r="BE51" s="374"/>
      <c r="BF51" s="374"/>
      <c r="BG51" s="374"/>
      <c r="BH51" s="378"/>
      <c r="BI51" s="376"/>
      <c r="BJ51" s="379"/>
      <c r="BK51" s="380"/>
      <c r="BL51" s="348"/>
      <c r="BM51" s="381"/>
      <c r="BN51" s="321" t="s">
        <v>14</v>
      </c>
      <c r="BO51" s="372"/>
      <c r="BP51" s="373" t="s">
        <v>14</v>
      </c>
      <c r="BQ51" s="360"/>
      <c r="BR51" s="361"/>
      <c r="BS51" s="361"/>
      <c r="BT51" s="361"/>
      <c r="BU51" s="342" t="s">
        <v>210</v>
      </c>
      <c r="BV51" s="342" t="s">
        <v>210</v>
      </c>
      <c r="BW51" s="341" t="s">
        <v>15</v>
      </c>
      <c r="BX51" s="361"/>
      <c r="BY51" s="362"/>
      <c r="CD51" s="293"/>
    </row>
    <row r="52" spans="2:220" s="363" customFormat="1" ht="22.5" customHeight="1">
      <c r="B52" s="365">
        <v>210101</v>
      </c>
      <c r="C52" s="366" t="s">
        <v>81</v>
      </c>
      <c r="D52" s="367"/>
      <c r="E52" s="368"/>
      <c r="F52" s="321" t="s">
        <v>59</v>
      </c>
      <c r="G52" s="326" t="s">
        <v>2759</v>
      </c>
      <c r="H52" s="326" t="s">
        <v>2760</v>
      </c>
      <c r="I52" s="326" t="s">
        <v>11</v>
      </c>
      <c r="J52" s="326" t="s">
        <v>12</v>
      </c>
      <c r="K52" s="326" t="s">
        <v>10</v>
      </c>
      <c r="L52" s="323"/>
      <c r="M52" s="374"/>
      <c r="N52" s="325" t="s">
        <v>438</v>
      </c>
      <c r="O52" s="326">
        <v>30</v>
      </c>
      <c r="P52" s="327">
        <v>2201</v>
      </c>
      <c r="Q52" s="369">
        <v>2093</v>
      </c>
      <c r="R52" s="329" t="s">
        <v>432</v>
      </c>
      <c r="S52" s="331" t="s">
        <v>11079</v>
      </c>
      <c r="T52" s="331" t="s">
        <v>11079</v>
      </c>
      <c r="U52" s="331" t="s">
        <v>11079</v>
      </c>
      <c r="V52" s="331" t="s">
        <v>295</v>
      </c>
      <c r="W52" s="332" t="s">
        <v>432</v>
      </c>
      <c r="X52" s="331" t="s">
        <v>11079</v>
      </c>
      <c r="Y52" s="331" t="s">
        <v>11080</v>
      </c>
      <c r="Z52" s="331" t="s">
        <v>11080</v>
      </c>
      <c r="AA52" s="331" t="s">
        <v>210</v>
      </c>
      <c r="AB52" s="333"/>
      <c r="AC52" s="333"/>
      <c r="AD52" s="396" t="s">
        <v>2320</v>
      </c>
      <c r="AE52" s="335" t="s">
        <v>34</v>
      </c>
      <c r="AF52" s="336"/>
      <c r="AG52" s="337"/>
      <c r="AH52" s="376"/>
      <c r="AI52" s="347"/>
      <c r="AJ52" s="347"/>
      <c r="AK52" s="371"/>
      <c r="AL52" s="321" t="s">
        <v>625</v>
      </c>
      <c r="AM52" s="326" t="s">
        <v>15</v>
      </c>
      <c r="AN52" s="326" t="s">
        <v>15</v>
      </c>
      <c r="AO52" s="341" t="s">
        <v>15</v>
      </c>
      <c r="AP52" s="342"/>
      <c r="AQ52" s="343"/>
      <c r="AR52" s="370">
        <v>2518</v>
      </c>
      <c r="AS52" s="326">
        <v>100</v>
      </c>
      <c r="AT52" s="392">
        <v>0.7</v>
      </c>
      <c r="AU52" s="392"/>
      <c r="AV52" s="392">
        <v>0.5</v>
      </c>
      <c r="AW52" s="340"/>
      <c r="AX52" s="347"/>
      <c r="AY52" s="348"/>
      <c r="AZ52" s="377"/>
      <c r="BA52" s="374"/>
      <c r="BB52" s="374"/>
      <c r="BC52" s="374"/>
      <c r="BD52" s="374"/>
      <c r="BE52" s="374"/>
      <c r="BF52" s="374"/>
      <c r="BG52" s="374"/>
      <c r="BH52" s="378"/>
      <c r="BI52" s="376"/>
      <c r="BJ52" s="379"/>
      <c r="BK52" s="380"/>
      <c r="BL52" s="348"/>
      <c r="BM52" s="381"/>
      <c r="BN52" s="321" t="s">
        <v>14</v>
      </c>
      <c r="BO52" s="372"/>
      <c r="BP52" s="373" t="s">
        <v>15</v>
      </c>
      <c r="BQ52" s="360"/>
      <c r="BR52" s="361"/>
      <c r="BS52" s="361"/>
      <c r="BT52" s="361"/>
      <c r="BU52" s="342" t="s">
        <v>210</v>
      </c>
      <c r="BV52" s="342" t="s">
        <v>210</v>
      </c>
      <c r="BW52" s="341" t="s">
        <v>15</v>
      </c>
      <c r="BX52" s="361"/>
      <c r="BY52" s="362"/>
      <c r="CD52" s="293"/>
    </row>
    <row r="53" spans="2:220" s="363" customFormat="1" ht="22.5" customHeight="1">
      <c r="B53" s="365">
        <v>210102</v>
      </c>
      <c r="C53" s="366" t="s">
        <v>70</v>
      </c>
      <c r="D53" s="367"/>
      <c r="E53" s="368"/>
      <c r="F53" s="321" t="s">
        <v>32</v>
      </c>
      <c r="G53" s="326" t="s">
        <v>2757</v>
      </c>
      <c r="H53" s="326" t="s">
        <v>2758</v>
      </c>
      <c r="I53" s="326" t="s">
        <v>11</v>
      </c>
      <c r="J53" s="326" t="s">
        <v>21</v>
      </c>
      <c r="K53" s="326" t="s">
        <v>10</v>
      </c>
      <c r="L53" s="323"/>
      <c r="M53" s="374"/>
      <c r="N53" s="325" t="s">
        <v>537</v>
      </c>
      <c r="O53" s="326" t="s">
        <v>538</v>
      </c>
      <c r="P53" s="327" t="s">
        <v>210</v>
      </c>
      <c r="Q53" s="369" t="s">
        <v>210</v>
      </c>
      <c r="R53" s="329" t="s">
        <v>10738</v>
      </c>
      <c r="S53" s="330"/>
      <c r="T53" s="330"/>
      <c r="U53" s="400"/>
      <c r="V53" s="330"/>
      <c r="W53" s="332" t="s">
        <v>5911</v>
      </c>
      <c r="X53" s="330"/>
      <c r="Y53" s="330"/>
      <c r="Z53" s="330"/>
      <c r="AA53" s="330"/>
      <c r="AB53" s="333"/>
      <c r="AC53" s="333"/>
      <c r="AD53" s="334" t="s">
        <v>274</v>
      </c>
      <c r="AE53" s="335" t="s">
        <v>34</v>
      </c>
      <c r="AF53" s="336"/>
      <c r="AG53" s="337"/>
      <c r="AH53" s="417" t="s">
        <v>210</v>
      </c>
      <c r="AI53" s="392" t="s">
        <v>210</v>
      </c>
      <c r="AJ53" s="392" t="s">
        <v>210</v>
      </c>
      <c r="AK53" s="340" t="s">
        <v>210</v>
      </c>
      <c r="AL53" s="321" t="s">
        <v>625</v>
      </c>
      <c r="AM53" s="326" t="s">
        <v>15</v>
      </c>
      <c r="AN53" s="326" t="s">
        <v>15</v>
      </c>
      <c r="AO53" s="341" t="s">
        <v>15</v>
      </c>
      <c r="AP53" s="342"/>
      <c r="AQ53" s="343"/>
      <c r="AR53" s="370">
        <v>3761</v>
      </c>
      <c r="AS53" s="326">
        <v>120</v>
      </c>
      <c r="AT53" s="392">
        <v>1</v>
      </c>
      <c r="AU53" s="392"/>
      <c r="AV53" s="392">
        <v>2</v>
      </c>
      <c r="AW53" s="340"/>
      <c r="AX53" s="347"/>
      <c r="AY53" s="348"/>
      <c r="AZ53" s="377"/>
      <c r="BA53" s="374"/>
      <c r="BB53" s="374"/>
      <c r="BC53" s="374"/>
      <c r="BD53" s="374"/>
      <c r="BE53" s="374"/>
      <c r="BF53" s="374"/>
      <c r="BG53" s="374"/>
      <c r="BH53" s="378"/>
      <c r="BI53" s="376"/>
      <c r="BJ53" s="379"/>
      <c r="BK53" s="380"/>
      <c r="BL53" s="348"/>
      <c r="BM53" s="381"/>
      <c r="BN53" s="321" t="s">
        <v>14</v>
      </c>
      <c r="BO53" s="372"/>
      <c r="BP53" s="373" t="s">
        <v>15</v>
      </c>
      <c r="BQ53" s="360"/>
      <c r="BR53" s="361"/>
      <c r="BS53" s="361"/>
      <c r="BT53" s="361"/>
      <c r="BU53" s="342" t="s">
        <v>210</v>
      </c>
      <c r="BV53" s="342" t="s">
        <v>210</v>
      </c>
      <c r="BW53" s="341" t="s">
        <v>15</v>
      </c>
      <c r="BX53" s="361"/>
      <c r="BY53" s="362"/>
      <c r="CD53" s="293"/>
    </row>
    <row r="54" spans="2:220" s="363" customFormat="1" ht="22.5" customHeight="1">
      <c r="B54" s="365">
        <v>210103</v>
      </c>
      <c r="C54" s="366" t="s">
        <v>68</v>
      </c>
      <c r="D54" s="367"/>
      <c r="E54" s="368"/>
      <c r="F54" s="321" t="s">
        <v>69</v>
      </c>
      <c r="G54" s="326" t="s">
        <v>2700</v>
      </c>
      <c r="H54" s="326" t="s">
        <v>2701</v>
      </c>
      <c r="I54" s="326" t="s">
        <v>11</v>
      </c>
      <c r="J54" s="326" t="s">
        <v>216</v>
      </c>
      <c r="K54" s="326" t="s">
        <v>10</v>
      </c>
      <c r="L54" s="323"/>
      <c r="M54" s="374"/>
      <c r="N54" s="325" t="s">
        <v>544</v>
      </c>
      <c r="O54" s="326" t="s">
        <v>210</v>
      </c>
      <c r="P54" s="327">
        <v>7175</v>
      </c>
      <c r="Q54" s="369">
        <v>3168</v>
      </c>
      <c r="R54" s="329" t="s">
        <v>10737</v>
      </c>
      <c r="S54" s="330"/>
      <c r="T54" s="330"/>
      <c r="U54" s="400"/>
      <c r="V54" s="330"/>
      <c r="W54" s="332" t="s">
        <v>5911</v>
      </c>
      <c r="X54" s="330"/>
      <c r="Y54" s="330"/>
      <c r="Z54" s="330"/>
      <c r="AA54" s="330"/>
      <c r="AB54" s="333"/>
      <c r="AC54" s="333"/>
      <c r="AD54" s="334" t="s">
        <v>273</v>
      </c>
      <c r="AE54" s="335" t="s">
        <v>860</v>
      </c>
      <c r="AF54" s="336"/>
      <c r="AG54" s="337"/>
      <c r="AH54" s="417" t="s">
        <v>210</v>
      </c>
      <c r="AI54" s="392" t="s">
        <v>210</v>
      </c>
      <c r="AJ54" s="392" t="s">
        <v>210</v>
      </c>
      <c r="AK54" s="340" t="s">
        <v>210</v>
      </c>
      <c r="AL54" s="321" t="s">
        <v>625</v>
      </c>
      <c r="AM54" s="326" t="s">
        <v>15</v>
      </c>
      <c r="AN54" s="326" t="s">
        <v>15</v>
      </c>
      <c r="AO54" s="341" t="s">
        <v>15</v>
      </c>
      <c r="AP54" s="342"/>
      <c r="AQ54" s="343"/>
      <c r="AR54" s="370">
        <v>3625</v>
      </c>
      <c r="AS54" s="326">
        <v>125</v>
      </c>
      <c r="AT54" s="392">
        <v>1</v>
      </c>
      <c r="AU54" s="392"/>
      <c r="AV54" s="392">
        <v>2</v>
      </c>
      <c r="AW54" s="340"/>
      <c r="AX54" s="347"/>
      <c r="AY54" s="348"/>
      <c r="AZ54" s="377"/>
      <c r="BA54" s="374"/>
      <c r="BB54" s="374"/>
      <c r="BC54" s="374"/>
      <c r="BD54" s="374"/>
      <c r="BE54" s="374"/>
      <c r="BF54" s="374"/>
      <c r="BG54" s="374"/>
      <c r="BH54" s="378"/>
      <c r="BI54" s="376"/>
      <c r="BJ54" s="379"/>
      <c r="BK54" s="380"/>
      <c r="BL54" s="348"/>
      <c r="BM54" s="381"/>
      <c r="BN54" s="321" t="s">
        <v>14</v>
      </c>
      <c r="BO54" s="372"/>
      <c r="BP54" s="373" t="s">
        <v>14</v>
      </c>
      <c r="BQ54" s="360"/>
      <c r="BR54" s="361"/>
      <c r="BS54" s="361"/>
      <c r="BT54" s="361"/>
      <c r="BU54" s="342" t="s">
        <v>210</v>
      </c>
      <c r="BV54" s="342" t="s">
        <v>210</v>
      </c>
      <c r="BW54" s="341" t="s">
        <v>15</v>
      </c>
      <c r="BX54" s="361"/>
      <c r="BY54" s="362"/>
      <c r="CD54" s="293"/>
    </row>
    <row r="55" spans="2:220" s="363" customFormat="1" ht="22.5" customHeight="1">
      <c r="B55" s="365">
        <v>210105</v>
      </c>
      <c r="C55" s="366" t="s">
        <v>75</v>
      </c>
      <c r="D55" s="367"/>
      <c r="E55" s="368"/>
      <c r="F55" s="321" t="s">
        <v>25</v>
      </c>
      <c r="G55" s="326" t="s">
        <v>2755</v>
      </c>
      <c r="H55" s="326" t="s">
        <v>2756</v>
      </c>
      <c r="I55" s="326" t="s">
        <v>11</v>
      </c>
      <c r="J55" s="326" t="s">
        <v>12</v>
      </c>
      <c r="K55" s="326" t="s">
        <v>10</v>
      </c>
      <c r="L55" s="323"/>
      <c r="M55" s="374"/>
      <c r="N55" s="325" t="s">
        <v>437</v>
      </c>
      <c r="O55" s="326" t="s">
        <v>538</v>
      </c>
      <c r="P55" s="327">
        <v>188.4</v>
      </c>
      <c r="Q55" s="369">
        <v>188.4</v>
      </c>
      <c r="R55" s="399"/>
      <c r="S55" s="400"/>
      <c r="T55" s="400"/>
      <c r="U55" s="400"/>
      <c r="V55" s="400"/>
      <c r="W55" s="645"/>
      <c r="X55" s="400"/>
      <c r="Y55" s="400"/>
      <c r="Z55" s="400"/>
      <c r="AA55" s="400"/>
      <c r="AB55" s="333"/>
      <c r="AC55" s="333"/>
      <c r="AD55" s="396" t="s">
        <v>42</v>
      </c>
      <c r="AE55" s="335" t="s">
        <v>15</v>
      </c>
      <c r="AF55" s="336"/>
      <c r="AG55" s="337"/>
      <c r="AH55" s="417" t="s">
        <v>210</v>
      </c>
      <c r="AI55" s="392" t="s">
        <v>210</v>
      </c>
      <c r="AJ55" s="392" t="s">
        <v>210</v>
      </c>
      <c r="AK55" s="340" t="s">
        <v>210</v>
      </c>
      <c r="AL55" s="321" t="s">
        <v>625</v>
      </c>
      <c r="AM55" s="326" t="s">
        <v>15</v>
      </c>
      <c r="AN55" s="326" t="s">
        <v>15</v>
      </c>
      <c r="AO55" s="341" t="s">
        <v>15</v>
      </c>
      <c r="AP55" s="342"/>
      <c r="AQ55" s="343"/>
      <c r="AR55" s="370">
        <v>206</v>
      </c>
      <c r="AS55" s="326">
        <v>100</v>
      </c>
      <c r="AT55" s="392">
        <v>0.7</v>
      </c>
      <c r="AU55" s="392"/>
      <c r="AV55" s="392">
        <v>0.5</v>
      </c>
      <c r="AW55" s="340"/>
      <c r="AX55" s="347"/>
      <c r="AY55" s="348"/>
      <c r="AZ55" s="377"/>
      <c r="BA55" s="374"/>
      <c r="BB55" s="374"/>
      <c r="BC55" s="374"/>
      <c r="BD55" s="374"/>
      <c r="BE55" s="374"/>
      <c r="BF55" s="374"/>
      <c r="BG55" s="374"/>
      <c r="BH55" s="378"/>
      <c r="BI55" s="376"/>
      <c r="BJ55" s="379"/>
      <c r="BK55" s="380"/>
      <c r="BL55" s="348"/>
      <c r="BM55" s="381"/>
      <c r="BN55" s="321" t="s">
        <v>15</v>
      </c>
      <c r="BO55" s="372"/>
      <c r="BP55" s="373" t="s">
        <v>15</v>
      </c>
      <c r="BQ55" s="360"/>
      <c r="BR55" s="361"/>
      <c r="BS55" s="361"/>
      <c r="BT55" s="361"/>
      <c r="BU55" s="342" t="s">
        <v>210</v>
      </c>
      <c r="BV55" s="342" t="s">
        <v>210</v>
      </c>
      <c r="BW55" s="341" t="s">
        <v>15</v>
      </c>
      <c r="BX55" s="361"/>
      <c r="BY55" s="362"/>
      <c r="CD55" s="293"/>
    </row>
    <row r="56" spans="2:220" s="363" customFormat="1" ht="22.5" customHeight="1">
      <c r="B56" s="365">
        <v>210106</v>
      </c>
      <c r="C56" s="366" t="s">
        <v>95</v>
      </c>
      <c r="D56" s="367"/>
      <c r="E56" s="368"/>
      <c r="F56" s="321" t="s">
        <v>66</v>
      </c>
      <c r="G56" s="326" t="s">
        <v>2698</v>
      </c>
      <c r="H56" s="326" t="s">
        <v>2699</v>
      </c>
      <c r="I56" s="326" t="s">
        <v>11</v>
      </c>
      <c r="J56" s="326" t="s">
        <v>24</v>
      </c>
      <c r="K56" s="326" t="s">
        <v>10</v>
      </c>
      <c r="L56" s="323"/>
      <c r="M56" s="324" t="s">
        <v>10767</v>
      </c>
      <c r="N56" s="325" t="s">
        <v>438</v>
      </c>
      <c r="O56" s="326">
        <v>40</v>
      </c>
      <c r="P56" s="382">
        <v>11789</v>
      </c>
      <c r="Q56" s="383">
        <v>4198</v>
      </c>
      <c r="R56" s="329" t="s">
        <v>473</v>
      </c>
      <c r="S56" s="330"/>
      <c r="T56" s="330"/>
      <c r="U56" s="330"/>
      <c r="V56" s="330"/>
      <c r="W56" s="332" t="s">
        <v>432</v>
      </c>
      <c r="X56" s="331" t="s">
        <v>11079</v>
      </c>
      <c r="Y56" s="331" t="s">
        <v>11080</v>
      </c>
      <c r="Z56" s="331" t="s">
        <v>11080</v>
      </c>
      <c r="AA56" s="331" t="s">
        <v>210</v>
      </c>
      <c r="AB56" s="333"/>
      <c r="AC56" s="333"/>
      <c r="AD56" s="396" t="s">
        <v>2320</v>
      </c>
      <c r="AE56" s="335" t="s">
        <v>96</v>
      </c>
      <c r="AF56" s="336"/>
      <c r="AG56" s="337"/>
      <c r="AH56" s="338">
        <v>10.9</v>
      </c>
      <c r="AI56" s="339">
        <v>30.4</v>
      </c>
      <c r="AJ56" s="339">
        <v>33.5</v>
      </c>
      <c r="AK56" s="340">
        <f>SUM(AH56:AJ56)</f>
        <v>74.8</v>
      </c>
      <c r="AL56" s="321" t="s">
        <v>622</v>
      </c>
      <c r="AM56" s="326" t="s">
        <v>15</v>
      </c>
      <c r="AN56" s="326" t="s">
        <v>15</v>
      </c>
      <c r="AO56" s="341" t="s">
        <v>15</v>
      </c>
      <c r="AP56" s="342"/>
      <c r="AQ56" s="343"/>
      <c r="AR56" s="370">
        <v>4490</v>
      </c>
      <c r="AS56" s="326">
        <v>200</v>
      </c>
      <c r="AT56" s="392">
        <v>0.5</v>
      </c>
      <c r="AU56" s="392"/>
      <c r="AV56" s="392">
        <v>5.3</v>
      </c>
      <c r="AW56" s="340"/>
      <c r="AX56" s="347"/>
      <c r="AY56" s="348"/>
      <c r="AZ56" s="377"/>
      <c r="BA56" s="374"/>
      <c r="BB56" s="374"/>
      <c r="BC56" s="374"/>
      <c r="BD56" s="374"/>
      <c r="BE56" s="374"/>
      <c r="BF56" s="374"/>
      <c r="BG56" s="374"/>
      <c r="BH56" s="378"/>
      <c r="BI56" s="376"/>
      <c r="BJ56" s="379"/>
      <c r="BK56" s="380"/>
      <c r="BL56" s="348"/>
      <c r="BM56" s="381"/>
      <c r="BN56" s="321" t="s">
        <v>14</v>
      </c>
      <c r="BO56" s="372"/>
      <c r="BP56" s="373" t="s">
        <v>15</v>
      </c>
      <c r="BQ56" s="360"/>
      <c r="BR56" s="361"/>
      <c r="BS56" s="361"/>
      <c r="BT56" s="361"/>
      <c r="BU56" s="342" t="s">
        <v>210</v>
      </c>
      <c r="BV56" s="342" t="s">
        <v>210</v>
      </c>
      <c r="BW56" s="341" t="s">
        <v>15</v>
      </c>
      <c r="BX56" s="361"/>
      <c r="BY56" s="362" t="s">
        <v>942</v>
      </c>
      <c r="CD56" s="293"/>
    </row>
    <row r="57" spans="2:220" s="287" customFormat="1" ht="22.5" customHeight="1">
      <c r="B57" s="365">
        <v>210107</v>
      </c>
      <c r="C57" s="366" t="s">
        <v>79</v>
      </c>
      <c r="D57" s="367"/>
      <c r="E57" s="368"/>
      <c r="F57" s="321" t="s">
        <v>80</v>
      </c>
      <c r="G57" s="326" t="s">
        <v>2753</v>
      </c>
      <c r="H57" s="326" t="s">
        <v>2754</v>
      </c>
      <c r="I57" s="326" t="s">
        <v>11</v>
      </c>
      <c r="J57" s="326" t="s">
        <v>21</v>
      </c>
      <c r="K57" s="326" t="s">
        <v>10</v>
      </c>
      <c r="L57" s="323"/>
      <c r="M57" s="374"/>
      <c r="N57" s="325" t="s">
        <v>539</v>
      </c>
      <c r="O57" s="326" t="s">
        <v>538</v>
      </c>
      <c r="P57" s="646" t="s">
        <v>210</v>
      </c>
      <c r="Q57" s="369" t="s">
        <v>210</v>
      </c>
      <c r="R57" s="399"/>
      <c r="S57" s="400"/>
      <c r="T57" s="400"/>
      <c r="U57" s="400"/>
      <c r="V57" s="400"/>
      <c r="W57" s="332" t="s">
        <v>1113</v>
      </c>
      <c r="X57" s="400"/>
      <c r="Y57" s="400"/>
      <c r="Z57" s="400"/>
      <c r="AA57" s="400"/>
      <c r="AB57" s="333"/>
      <c r="AC57" s="333"/>
      <c r="AD57" s="334" t="s">
        <v>817</v>
      </c>
      <c r="AE57" s="395" t="s">
        <v>42</v>
      </c>
      <c r="AF57" s="336"/>
      <c r="AG57" s="337"/>
      <c r="AH57" s="417" t="s">
        <v>210</v>
      </c>
      <c r="AI57" s="392" t="s">
        <v>210</v>
      </c>
      <c r="AJ57" s="392" t="s">
        <v>210</v>
      </c>
      <c r="AK57" s="340" t="s">
        <v>210</v>
      </c>
      <c r="AL57" s="321" t="s">
        <v>210</v>
      </c>
      <c r="AM57" s="326" t="s">
        <v>15</v>
      </c>
      <c r="AN57" s="326" t="s">
        <v>15</v>
      </c>
      <c r="AO57" s="341" t="s">
        <v>15</v>
      </c>
      <c r="AP57" s="342"/>
      <c r="AQ57" s="343"/>
      <c r="AR57" s="370">
        <v>1641</v>
      </c>
      <c r="AS57" s="326">
        <v>100</v>
      </c>
      <c r="AT57" s="392">
        <v>1</v>
      </c>
      <c r="AU57" s="392"/>
      <c r="AV57" s="392">
        <v>1.5</v>
      </c>
      <c r="AW57" s="340"/>
      <c r="AX57" s="347"/>
      <c r="AY57" s="348"/>
      <c r="AZ57" s="377"/>
      <c r="BA57" s="374"/>
      <c r="BB57" s="374"/>
      <c r="BC57" s="374"/>
      <c r="BD57" s="374"/>
      <c r="BE57" s="374"/>
      <c r="BF57" s="374"/>
      <c r="BG57" s="374"/>
      <c r="BH57" s="378"/>
      <c r="BI57" s="376"/>
      <c r="BJ57" s="379"/>
      <c r="BK57" s="380"/>
      <c r="BL57" s="348"/>
      <c r="BM57" s="381"/>
      <c r="BN57" s="321" t="s">
        <v>15</v>
      </c>
      <c r="BO57" s="372"/>
      <c r="BP57" s="373" t="s">
        <v>15</v>
      </c>
      <c r="BQ57" s="360"/>
      <c r="BR57" s="361"/>
      <c r="BS57" s="361"/>
      <c r="BT57" s="361"/>
      <c r="BU57" s="342" t="s">
        <v>210</v>
      </c>
      <c r="BV57" s="342" t="s">
        <v>210</v>
      </c>
      <c r="BW57" s="341" t="s">
        <v>15</v>
      </c>
      <c r="BX57" s="361"/>
      <c r="BY57" s="362"/>
      <c r="BZ57" s="363"/>
      <c r="CA57" s="363"/>
      <c r="CB57" s="363"/>
      <c r="CC57" s="363"/>
      <c r="CD57" s="293"/>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row>
    <row r="58" spans="2:220" s="363" customFormat="1" ht="22.5" customHeight="1">
      <c r="B58" s="365">
        <v>210108</v>
      </c>
      <c r="C58" s="366" t="s">
        <v>84</v>
      </c>
      <c r="D58" s="367"/>
      <c r="E58" s="368"/>
      <c r="F58" s="321" t="s">
        <v>59</v>
      </c>
      <c r="G58" s="326" t="s">
        <v>2752</v>
      </c>
      <c r="H58" s="326" t="s">
        <v>2809</v>
      </c>
      <c r="I58" s="326" t="s">
        <v>11</v>
      </c>
      <c r="J58" s="326" t="s">
        <v>12</v>
      </c>
      <c r="K58" s="326" t="s">
        <v>10</v>
      </c>
      <c r="L58" s="323"/>
      <c r="M58" s="324" t="s">
        <v>10767</v>
      </c>
      <c r="N58" s="325" t="s">
        <v>437</v>
      </c>
      <c r="O58" s="326">
        <v>30</v>
      </c>
      <c r="P58" s="327">
        <v>1347</v>
      </c>
      <c r="Q58" s="369">
        <v>1226</v>
      </c>
      <c r="R58" s="329" t="s">
        <v>447</v>
      </c>
      <c r="S58" s="330"/>
      <c r="T58" s="331" t="s">
        <v>11087</v>
      </c>
      <c r="U58" s="331" t="s">
        <v>16355</v>
      </c>
      <c r="V58" s="330"/>
      <c r="W58" s="332" t="s">
        <v>432</v>
      </c>
      <c r="X58" s="331" t="s">
        <v>11079</v>
      </c>
      <c r="Y58" s="331" t="s">
        <v>11080</v>
      </c>
      <c r="Z58" s="331" t="s">
        <v>11080</v>
      </c>
      <c r="AA58" s="331" t="s">
        <v>210</v>
      </c>
      <c r="AB58" s="333"/>
      <c r="AC58" s="333"/>
      <c r="AD58" s="334" t="s">
        <v>272</v>
      </c>
      <c r="AE58" s="335" t="s">
        <v>15</v>
      </c>
      <c r="AF58" s="336"/>
      <c r="AG58" s="337"/>
      <c r="AH58" s="338">
        <v>8.1999999999999993</v>
      </c>
      <c r="AI58" s="339">
        <v>17.100000000000001</v>
      </c>
      <c r="AJ58" s="339">
        <v>13.1</v>
      </c>
      <c r="AK58" s="340">
        <f>SUM(AH58:AJ58)</f>
        <v>38.4</v>
      </c>
      <c r="AL58" s="321" t="s">
        <v>210</v>
      </c>
      <c r="AM58" s="326" t="s">
        <v>15</v>
      </c>
      <c r="AN58" s="326" t="s">
        <v>15</v>
      </c>
      <c r="AO58" s="341" t="s">
        <v>15</v>
      </c>
      <c r="AP58" s="342"/>
      <c r="AQ58" s="343"/>
      <c r="AR58" s="370">
        <v>1586</v>
      </c>
      <c r="AS58" s="326">
        <v>100</v>
      </c>
      <c r="AT58" s="392">
        <v>0.8</v>
      </c>
      <c r="AU58" s="392"/>
      <c r="AV58" s="392">
        <v>0.8</v>
      </c>
      <c r="AW58" s="340"/>
      <c r="AX58" s="347"/>
      <c r="AY58" s="348"/>
      <c r="AZ58" s="377"/>
      <c r="BA58" s="374"/>
      <c r="BB58" s="374"/>
      <c r="BC58" s="374"/>
      <c r="BD58" s="374"/>
      <c r="BE58" s="374"/>
      <c r="BF58" s="374"/>
      <c r="BG58" s="374"/>
      <c r="BH58" s="378"/>
      <c r="BI58" s="376"/>
      <c r="BJ58" s="379"/>
      <c r="BK58" s="380"/>
      <c r="BL58" s="348"/>
      <c r="BM58" s="381"/>
      <c r="BN58" s="321" t="s">
        <v>14</v>
      </c>
      <c r="BO58" s="372"/>
      <c r="BP58" s="373" t="s">
        <v>15</v>
      </c>
      <c r="BQ58" s="360"/>
      <c r="BR58" s="361"/>
      <c r="BS58" s="361"/>
      <c r="BT58" s="361"/>
      <c r="BU58" s="342" t="s">
        <v>210</v>
      </c>
      <c r="BV58" s="342" t="s">
        <v>210</v>
      </c>
      <c r="BW58" s="341" t="s">
        <v>15</v>
      </c>
      <c r="BX58" s="361"/>
      <c r="BY58" s="362"/>
      <c r="CD58" s="293"/>
    </row>
    <row r="59" spans="2:220" s="363" customFormat="1" ht="22.5" customHeight="1">
      <c r="B59" s="365">
        <v>210108</v>
      </c>
      <c r="C59" s="366" t="s">
        <v>87</v>
      </c>
      <c r="D59" s="367"/>
      <c r="E59" s="368"/>
      <c r="F59" s="321" t="s">
        <v>59</v>
      </c>
      <c r="G59" s="326" t="s">
        <v>2752</v>
      </c>
      <c r="H59" s="326" t="s">
        <v>2809</v>
      </c>
      <c r="I59" s="326" t="s">
        <v>11</v>
      </c>
      <c r="J59" s="326" t="s">
        <v>12</v>
      </c>
      <c r="K59" s="326" t="s">
        <v>10</v>
      </c>
      <c r="L59" s="323"/>
      <c r="M59" s="374"/>
      <c r="N59" s="325" t="s">
        <v>437</v>
      </c>
      <c r="O59" s="326">
        <v>30</v>
      </c>
      <c r="P59" s="327">
        <v>2812</v>
      </c>
      <c r="Q59" s="369">
        <v>2829</v>
      </c>
      <c r="R59" s="329" t="s">
        <v>447</v>
      </c>
      <c r="S59" s="330"/>
      <c r="T59" s="331" t="s">
        <v>11087</v>
      </c>
      <c r="U59" s="331" t="s">
        <v>16355</v>
      </c>
      <c r="V59" s="330"/>
      <c r="W59" s="332" t="s">
        <v>432</v>
      </c>
      <c r="X59" s="331" t="s">
        <v>11079</v>
      </c>
      <c r="Y59" s="331" t="s">
        <v>11080</v>
      </c>
      <c r="Z59" s="331" t="s">
        <v>11080</v>
      </c>
      <c r="AA59" s="331" t="s">
        <v>210</v>
      </c>
      <c r="AB59" s="333"/>
      <c r="AC59" s="333"/>
      <c r="AD59" s="334" t="s">
        <v>272</v>
      </c>
      <c r="AE59" s="335" t="s">
        <v>15</v>
      </c>
      <c r="AF59" s="336"/>
      <c r="AG59" s="337"/>
      <c r="AH59" s="376"/>
      <c r="AI59" s="347"/>
      <c r="AJ59" s="347"/>
      <c r="AK59" s="371"/>
      <c r="AL59" s="321" t="s">
        <v>210</v>
      </c>
      <c r="AM59" s="326" t="s">
        <v>15</v>
      </c>
      <c r="AN59" s="326" t="s">
        <v>15</v>
      </c>
      <c r="AO59" s="341" t="s">
        <v>15</v>
      </c>
      <c r="AP59" s="342"/>
      <c r="AQ59" s="343"/>
      <c r="AR59" s="370">
        <v>3372</v>
      </c>
      <c r="AS59" s="326">
        <v>100</v>
      </c>
      <c r="AT59" s="392">
        <v>0.7</v>
      </c>
      <c r="AU59" s="392"/>
      <c r="AV59" s="392">
        <v>0.7</v>
      </c>
      <c r="AW59" s="340"/>
      <c r="AX59" s="347"/>
      <c r="AY59" s="348"/>
      <c r="AZ59" s="377"/>
      <c r="BA59" s="374"/>
      <c r="BB59" s="374"/>
      <c r="BC59" s="374"/>
      <c r="BD59" s="374"/>
      <c r="BE59" s="374"/>
      <c r="BF59" s="374"/>
      <c r="BG59" s="374"/>
      <c r="BH59" s="378"/>
      <c r="BI59" s="376"/>
      <c r="BJ59" s="379"/>
      <c r="BK59" s="380"/>
      <c r="BL59" s="348"/>
      <c r="BM59" s="381"/>
      <c r="BN59" s="321" t="s">
        <v>14</v>
      </c>
      <c r="BO59" s="372"/>
      <c r="BP59" s="373" t="s">
        <v>15</v>
      </c>
      <c r="BQ59" s="360"/>
      <c r="BR59" s="361"/>
      <c r="BS59" s="361"/>
      <c r="BT59" s="361"/>
      <c r="BU59" s="342" t="s">
        <v>210</v>
      </c>
      <c r="BV59" s="342" t="s">
        <v>210</v>
      </c>
      <c r="BW59" s="341" t="s">
        <v>15</v>
      </c>
      <c r="BX59" s="361"/>
      <c r="BY59" s="362"/>
      <c r="CD59" s="293"/>
    </row>
    <row r="60" spans="2:220" s="363" customFormat="1" ht="22.5" customHeight="1">
      <c r="B60" s="365">
        <v>210109</v>
      </c>
      <c r="C60" s="366" t="s">
        <v>105</v>
      </c>
      <c r="D60" s="367"/>
      <c r="E60" s="368"/>
      <c r="F60" s="321" t="s">
        <v>53</v>
      </c>
      <c r="G60" s="326" t="s">
        <v>2627</v>
      </c>
      <c r="H60" s="326" t="s">
        <v>2628</v>
      </c>
      <c r="I60" s="326" t="s">
        <v>11</v>
      </c>
      <c r="J60" s="326" t="s">
        <v>12</v>
      </c>
      <c r="K60" s="326" t="s">
        <v>23</v>
      </c>
      <c r="L60" s="323"/>
      <c r="M60" s="374"/>
      <c r="N60" s="325" t="s">
        <v>571</v>
      </c>
      <c r="O60" s="326">
        <v>30</v>
      </c>
      <c r="P60" s="327">
        <v>2635</v>
      </c>
      <c r="Q60" s="369">
        <v>2635</v>
      </c>
      <c r="R60" s="329" t="s">
        <v>573</v>
      </c>
      <c r="S60" s="330"/>
      <c r="T60" s="330"/>
      <c r="U60" s="330"/>
      <c r="V60" s="330"/>
      <c r="W60" s="332" t="s">
        <v>572</v>
      </c>
      <c r="X60" s="330"/>
      <c r="Y60" s="330"/>
      <c r="Z60" s="330"/>
      <c r="AA60" s="330"/>
      <c r="AB60" s="333"/>
      <c r="AC60" s="333"/>
      <c r="AD60" s="334" t="s">
        <v>868</v>
      </c>
      <c r="AE60" s="335" t="s">
        <v>16</v>
      </c>
      <c r="AF60" s="336"/>
      <c r="AG60" s="337"/>
      <c r="AH60" s="417" t="s">
        <v>210</v>
      </c>
      <c r="AI60" s="392" t="s">
        <v>210</v>
      </c>
      <c r="AJ60" s="392" t="s">
        <v>210</v>
      </c>
      <c r="AK60" s="340" t="s">
        <v>210</v>
      </c>
      <c r="AL60" s="321" t="s">
        <v>210</v>
      </c>
      <c r="AM60" s="326" t="s">
        <v>15</v>
      </c>
      <c r="AN60" s="326" t="s">
        <v>15</v>
      </c>
      <c r="AO60" s="341" t="s">
        <v>15</v>
      </c>
      <c r="AP60" s="342"/>
      <c r="AQ60" s="343"/>
      <c r="AR60" s="370">
        <v>3064</v>
      </c>
      <c r="AS60" s="326">
        <v>100</v>
      </c>
      <c r="AT60" s="392">
        <v>1</v>
      </c>
      <c r="AU60" s="392"/>
      <c r="AV60" s="392">
        <v>1.6</v>
      </c>
      <c r="AW60" s="340"/>
      <c r="AX60" s="347"/>
      <c r="AY60" s="348"/>
      <c r="AZ60" s="377"/>
      <c r="BA60" s="374"/>
      <c r="BB60" s="374"/>
      <c r="BC60" s="374"/>
      <c r="BD60" s="374"/>
      <c r="BE60" s="374"/>
      <c r="BF60" s="374"/>
      <c r="BG60" s="374"/>
      <c r="BH60" s="378"/>
      <c r="BI60" s="376"/>
      <c r="BJ60" s="379"/>
      <c r="BK60" s="380"/>
      <c r="BL60" s="348"/>
      <c r="BM60" s="381"/>
      <c r="BN60" s="321" t="s">
        <v>15</v>
      </c>
      <c r="BO60" s="372"/>
      <c r="BP60" s="373" t="s">
        <v>15</v>
      </c>
      <c r="BQ60" s="360"/>
      <c r="BR60" s="361"/>
      <c r="BS60" s="361"/>
      <c r="BT60" s="361"/>
      <c r="BU60" s="342" t="s">
        <v>210</v>
      </c>
      <c r="BV60" s="342" t="s">
        <v>210</v>
      </c>
      <c r="BW60" s="341" t="s">
        <v>15</v>
      </c>
      <c r="BX60" s="361"/>
      <c r="BY60" s="362"/>
      <c r="CD60" s="293"/>
    </row>
    <row r="61" spans="2:220" s="287" customFormat="1" ht="22.5" customHeight="1">
      <c r="B61" s="365">
        <v>210110</v>
      </c>
      <c r="C61" s="366" t="s">
        <v>82</v>
      </c>
      <c r="D61" s="367"/>
      <c r="E61" s="368"/>
      <c r="F61" s="321" t="s">
        <v>83</v>
      </c>
      <c r="G61" s="326" t="s">
        <v>2696</v>
      </c>
      <c r="H61" s="326" t="s">
        <v>2697</v>
      </c>
      <c r="I61" s="326" t="s">
        <v>11</v>
      </c>
      <c r="J61" s="326" t="s">
        <v>12</v>
      </c>
      <c r="K61" s="326" t="s">
        <v>10</v>
      </c>
      <c r="L61" s="323"/>
      <c r="M61" s="374"/>
      <c r="N61" s="325" t="s">
        <v>544</v>
      </c>
      <c r="O61" s="326" t="s">
        <v>210</v>
      </c>
      <c r="P61" s="327" t="s">
        <v>210</v>
      </c>
      <c r="Q61" s="369" t="s">
        <v>210</v>
      </c>
      <c r="R61" s="329" t="s">
        <v>546</v>
      </c>
      <c r="S61" s="330"/>
      <c r="T61" s="330"/>
      <c r="U61" s="330"/>
      <c r="V61" s="330"/>
      <c r="W61" s="332" t="s">
        <v>1110</v>
      </c>
      <c r="X61" s="330"/>
      <c r="Y61" s="330"/>
      <c r="Z61" s="330"/>
      <c r="AA61" s="330"/>
      <c r="AB61" s="333"/>
      <c r="AC61" s="333"/>
      <c r="AD61" s="334" t="s">
        <v>83</v>
      </c>
      <c r="AE61" s="335" t="s">
        <v>34</v>
      </c>
      <c r="AF61" s="336"/>
      <c r="AG61" s="337"/>
      <c r="AH61" s="417" t="s">
        <v>210</v>
      </c>
      <c r="AI61" s="392" t="s">
        <v>210</v>
      </c>
      <c r="AJ61" s="392" t="s">
        <v>210</v>
      </c>
      <c r="AK61" s="340" t="s">
        <v>210</v>
      </c>
      <c r="AL61" s="321" t="s">
        <v>210</v>
      </c>
      <c r="AM61" s="326" t="s">
        <v>15</v>
      </c>
      <c r="AN61" s="326" t="s">
        <v>15</v>
      </c>
      <c r="AO61" s="341" t="s">
        <v>15</v>
      </c>
      <c r="AP61" s="342"/>
      <c r="AQ61" s="343"/>
      <c r="AR61" s="370">
        <v>6090</v>
      </c>
      <c r="AS61" s="326">
        <v>100</v>
      </c>
      <c r="AT61" s="392">
        <v>0.8</v>
      </c>
      <c r="AU61" s="392"/>
      <c r="AV61" s="392">
        <v>0.8</v>
      </c>
      <c r="AW61" s="340"/>
      <c r="AX61" s="347"/>
      <c r="AY61" s="348"/>
      <c r="AZ61" s="377"/>
      <c r="BA61" s="374"/>
      <c r="BB61" s="374"/>
      <c r="BC61" s="374"/>
      <c r="BD61" s="374"/>
      <c r="BE61" s="374"/>
      <c r="BF61" s="374"/>
      <c r="BG61" s="374"/>
      <c r="BH61" s="378"/>
      <c r="BI61" s="376"/>
      <c r="BJ61" s="379"/>
      <c r="BK61" s="380"/>
      <c r="BL61" s="348"/>
      <c r="BM61" s="381"/>
      <c r="BN61" s="321" t="s">
        <v>15</v>
      </c>
      <c r="BO61" s="372"/>
      <c r="BP61" s="373" t="s">
        <v>15</v>
      </c>
      <c r="BQ61" s="360"/>
      <c r="BR61" s="361"/>
      <c r="BS61" s="361"/>
      <c r="BT61" s="361"/>
      <c r="BU61" s="342" t="s">
        <v>210</v>
      </c>
      <c r="BV61" s="342" t="s">
        <v>210</v>
      </c>
      <c r="BW61" s="341" t="s">
        <v>15</v>
      </c>
      <c r="BX61" s="361"/>
      <c r="BY61" s="362"/>
      <c r="BZ61" s="363"/>
      <c r="CA61" s="363"/>
      <c r="CB61" s="363"/>
      <c r="CC61" s="363"/>
      <c r="CD61" s="293"/>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row>
    <row r="62" spans="2:220" s="363" customFormat="1" ht="22.5" customHeight="1">
      <c r="B62" s="365">
        <v>210112</v>
      </c>
      <c r="C62" s="366" t="s">
        <v>122</v>
      </c>
      <c r="D62" s="367"/>
      <c r="E62" s="368"/>
      <c r="F62" s="321" t="s">
        <v>13</v>
      </c>
      <c r="G62" s="326" t="s">
        <v>2694</v>
      </c>
      <c r="H62" s="326" t="s">
        <v>2695</v>
      </c>
      <c r="I62" s="326" t="s">
        <v>11</v>
      </c>
      <c r="J62" s="326" t="s">
        <v>12</v>
      </c>
      <c r="K62" s="326" t="s">
        <v>10</v>
      </c>
      <c r="L62" s="323"/>
      <c r="M62" s="374"/>
      <c r="N62" s="325" t="s">
        <v>438</v>
      </c>
      <c r="O62" s="326">
        <v>40</v>
      </c>
      <c r="P62" s="327">
        <v>2985</v>
      </c>
      <c r="Q62" s="369">
        <v>3203</v>
      </c>
      <c r="R62" s="329" t="s">
        <v>432</v>
      </c>
      <c r="S62" s="331" t="s">
        <v>11079</v>
      </c>
      <c r="T62" s="331" t="s">
        <v>11079</v>
      </c>
      <c r="U62" s="331" t="s">
        <v>11079</v>
      </c>
      <c r="V62" s="331" t="s">
        <v>295</v>
      </c>
      <c r="W62" s="332" t="s">
        <v>432</v>
      </c>
      <c r="X62" s="331" t="s">
        <v>11079</v>
      </c>
      <c r="Y62" s="331" t="s">
        <v>11080</v>
      </c>
      <c r="Z62" s="331" t="s">
        <v>11080</v>
      </c>
      <c r="AA62" s="331" t="s">
        <v>210</v>
      </c>
      <c r="AB62" s="333"/>
      <c r="AC62" s="333"/>
      <c r="AD62" s="334" t="s">
        <v>880</v>
      </c>
      <c r="AE62" s="395" t="s">
        <v>27</v>
      </c>
      <c r="AF62" s="336"/>
      <c r="AG62" s="337"/>
      <c r="AH62" s="376"/>
      <c r="AI62" s="347"/>
      <c r="AJ62" s="347"/>
      <c r="AK62" s="371"/>
      <c r="AL62" s="321" t="s">
        <v>210</v>
      </c>
      <c r="AM62" s="326" t="s">
        <v>15</v>
      </c>
      <c r="AN62" s="326" t="s">
        <v>15</v>
      </c>
      <c r="AO62" s="341" t="s">
        <v>15</v>
      </c>
      <c r="AP62" s="342"/>
      <c r="AQ62" s="343"/>
      <c r="AR62" s="370">
        <v>3512</v>
      </c>
      <c r="AS62" s="326">
        <v>100</v>
      </c>
      <c r="AT62" s="392">
        <v>0.7</v>
      </c>
      <c r="AU62" s="392"/>
      <c r="AV62" s="392">
        <v>0.7</v>
      </c>
      <c r="AW62" s="340"/>
      <c r="AX62" s="347"/>
      <c r="AY62" s="348"/>
      <c r="AZ62" s="377"/>
      <c r="BA62" s="374"/>
      <c r="BB62" s="374"/>
      <c r="BC62" s="374"/>
      <c r="BD62" s="374"/>
      <c r="BE62" s="374"/>
      <c r="BF62" s="374"/>
      <c r="BG62" s="374"/>
      <c r="BH62" s="378"/>
      <c r="BI62" s="376"/>
      <c r="BJ62" s="379"/>
      <c r="BK62" s="380"/>
      <c r="BL62" s="348"/>
      <c r="BM62" s="381"/>
      <c r="BN62" s="321" t="s">
        <v>15</v>
      </c>
      <c r="BO62" s="372"/>
      <c r="BP62" s="373" t="s">
        <v>15</v>
      </c>
      <c r="BQ62" s="360"/>
      <c r="BR62" s="361"/>
      <c r="BS62" s="361"/>
      <c r="BT62" s="361"/>
      <c r="BU62" s="342" t="s">
        <v>210</v>
      </c>
      <c r="BV62" s="342" t="s">
        <v>210</v>
      </c>
      <c r="BW62" s="341" t="s">
        <v>15</v>
      </c>
      <c r="BX62" s="361"/>
      <c r="BY62" s="362"/>
      <c r="CD62" s="293"/>
    </row>
    <row r="63" spans="2:220" s="287" customFormat="1" ht="22.5" customHeight="1">
      <c r="B63" s="365">
        <v>210112</v>
      </c>
      <c r="C63" s="366" t="s">
        <v>123</v>
      </c>
      <c r="D63" s="367"/>
      <c r="E63" s="368"/>
      <c r="F63" s="321" t="s">
        <v>13</v>
      </c>
      <c r="G63" s="326" t="s">
        <v>2694</v>
      </c>
      <c r="H63" s="326" t="s">
        <v>2695</v>
      </c>
      <c r="I63" s="326" t="s">
        <v>11</v>
      </c>
      <c r="J63" s="326" t="s">
        <v>12</v>
      </c>
      <c r="K63" s="326" t="s">
        <v>10</v>
      </c>
      <c r="L63" s="323"/>
      <c r="M63" s="374"/>
      <c r="N63" s="325" t="s">
        <v>438</v>
      </c>
      <c r="O63" s="326">
        <v>40</v>
      </c>
      <c r="P63" s="327">
        <v>1051</v>
      </c>
      <c r="Q63" s="369">
        <v>834</v>
      </c>
      <c r="R63" s="329" t="s">
        <v>432</v>
      </c>
      <c r="S63" s="331" t="s">
        <v>11079</v>
      </c>
      <c r="T63" s="331" t="s">
        <v>11079</v>
      </c>
      <c r="U63" s="331" t="s">
        <v>11079</v>
      </c>
      <c r="V63" s="331" t="s">
        <v>295</v>
      </c>
      <c r="W63" s="332" t="s">
        <v>432</v>
      </c>
      <c r="X63" s="331" t="s">
        <v>11079</v>
      </c>
      <c r="Y63" s="331" t="s">
        <v>11080</v>
      </c>
      <c r="Z63" s="331" t="s">
        <v>11080</v>
      </c>
      <c r="AA63" s="331" t="s">
        <v>210</v>
      </c>
      <c r="AB63" s="333"/>
      <c r="AC63" s="333"/>
      <c r="AD63" s="396" t="s">
        <v>2320</v>
      </c>
      <c r="AE63" s="335" t="s">
        <v>877</v>
      </c>
      <c r="AF63" s="336"/>
      <c r="AG63" s="337"/>
      <c r="AH63" s="376"/>
      <c r="AI63" s="347"/>
      <c r="AJ63" s="347"/>
      <c r="AK63" s="371"/>
      <c r="AL63" s="321" t="s">
        <v>210</v>
      </c>
      <c r="AM63" s="326" t="s">
        <v>15</v>
      </c>
      <c r="AN63" s="326" t="s">
        <v>15</v>
      </c>
      <c r="AO63" s="341" t="s">
        <v>15</v>
      </c>
      <c r="AP63" s="342"/>
      <c r="AQ63" s="343"/>
      <c r="AR63" s="370">
        <v>1001</v>
      </c>
      <c r="AS63" s="326">
        <v>100</v>
      </c>
      <c r="AT63" s="392">
        <v>0.7</v>
      </c>
      <c r="AU63" s="392"/>
      <c r="AV63" s="392">
        <v>1</v>
      </c>
      <c r="AW63" s="340"/>
      <c r="AX63" s="347"/>
      <c r="AY63" s="348"/>
      <c r="AZ63" s="377"/>
      <c r="BA63" s="374"/>
      <c r="BB63" s="374"/>
      <c r="BC63" s="374"/>
      <c r="BD63" s="374"/>
      <c r="BE63" s="374"/>
      <c r="BF63" s="374"/>
      <c r="BG63" s="374"/>
      <c r="BH63" s="378"/>
      <c r="BI63" s="376"/>
      <c r="BJ63" s="379"/>
      <c r="BK63" s="380"/>
      <c r="BL63" s="348"/>
      <c r="BM63" s="381"/>
      <c r="BN63" s="321" t="s">
        <v>15</v>
      </c>
      <c r="BO63" s="372"/>
      <c r="BP63" s="373" t="s">
        <v>15</v>
      </c>
      <c r="BQ63" s="360"/>
      <c r="BR63" s="361"/>
      <c r="BS63" s="361"/>
      <c r="BT63" s="361"/>
      <c r="BU63" s="342" t="s">
        <v>210</v>
      </c>
      <c r="BV63" s="342" t="s">
        <v>210</v>
      </c>
      <c r="BW63" s="341" t="s">
        <v>15</v>
      </c>
      <c r="BX63" s="361"/>
      <c r="BY63" s="362"/>
      <c r="BZ63" s="363"/>
      <c r="CA63" s="363"/>
      <c r="CB63" s="363"/>
      <c r="CC63" s="363"/>
      <c r="CD63" s="293"/>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row>
    <row r="64" spans="2:220" s="287" customFormat="1" ht="22.5" customHeight="1">
      <c r="B64" s="365">
        <v>210113</v>
      </c>
      <c r="C64" s="366" t="s">
        <v>13072</v>
      </c>
      <c r="D64" s="367"/>
      <c r="E64" s="368"/>
      <c r="F64" s="321" t="s">
        <v>93</v>
      </c>
      <c r="G64" s="326" t="s">
        <v>2692</v>
      </c>
      <c r="H64" s="326" t="s">
        <v>2693</v>
      </c>
      <c r="I64" s="326" t="s">
        <v>11</v>
      </c>
      <c r="J64" s="326" t="s">
        <v>21</v>
      </c>
      <c r="K64" s="326" t="s">
        <v>10</v>
      </c>
      <c r="L64" s="323"/>
      <c r="M64" s="324" t="s">
        <v>10773</v>
      </c>
      <c r="N64" s="325" t="s">
        <v>438</v>
      </c>
      <c r="O64" s="326">
        <v>50</v>
      </c>
      <c r="P64" s="327">
        <v>2910</v>
      </c>
      <c r="Q64" s="369">
        <v>2773</v>
      </c>
      <c r="R64" s="329" t="s">
        <v>447</v>
      </c>
      <c r="S64" s="330"/>
      <c r="T64" s="331" t="s">
        <v>11087</v>
      </c>
      <c r="U64" s="331" t="s">
        <v>16355</v>
      </c>
      <c r="V64" s="330"/>
      <c r="W64" s="332" t="s">
        <v>432</v>
      </c>
      <c r="X64" s="331" t="s">
        <v>11079</v>
      </c>
      <c r="Y64" s="331" t="s">
        <v>11080</v>
      </c>
      <c r="Z64" s="331" t="s">
        <v>11080</v>
      </c>
      <c r="AA64" s="331" t="s">
        <v>210</v>
      </c>
      <c r="AB64" s="333"/>
      <c r="AC64" s="333"/>
      <c r="AD64" s="334" t="s">
        <v>272</v>
      </c>
      <c r="AE64" s="335" t="s">
        <v>94</v>
      </c>
      <c r="AF64" s="336"/>
      <c r="AG64" s="337"/>
      <c r="AH64" s="338">
        <v>8.9</v>
      </c>
      <c r="AI64" s="339">
        <v>15.8</v>
      </c>
      <c r="AJ64" s="339">
        <v>14.4</v>
      </c>
      <c r="AK64" s="340">
        <f>SUM(AH64:AJ64)</f>
        <v>39.1</v>
      </c>
      <c r="AL64" s="321" t="s">
        <v>210</v>
      </c>
      <c r="AM64" s="326" t="s">
        <v>15</v>
      </c>
      <c r="AN64" s="326" t="s">
        <v>15</v>
      </c>
      <c r="AO64" s="341" t="s">
        <v>15</v>
      </c>
      <c r="AP64" s="342"/>
      <c r="AQ64" s="343"/>
      <c r="AR64" s="370">
        <v>2933</v>
      </c>
      <c r="AS64" s="326">
        <v>100</v>
      </c>
      <c r="AT64" s="392">
        <v>0.8</v>
      </c>
      <c r="AU64" s="392"/>
      <c r="AV64" s="392">
        <v>1</v>
      </c>
      <c r="AW64" s="340"/>
      <c r="AX64" s="347"/>
      <c r="AY64" s="348"/>
      <c r="AZ64" s="377"/>
      <c r="BA64" s="374"/>
      <c r="BB64" s="374"/>
      <c r="BC64" s="374"/>
      <c r="BD64" s="374"/>
      <c r="BE64" s="374"/>
      <c r="BF64" s="374"/>
      <c r="BG64" s="374"/>
      <c r="BH64" s="378"/>
      <c r="BI64" s="376"/>
      <c r="BJ64" s="379"/>
      <c r="BK64" s="380"/>
      <c r="BL64" s="348"/>
      <c r="BM64" s="381"/>
      <c r="BN64" s="321" t="s">
        <v>14</v>
      </c>
      <c r="BO64" s="372"/>
      <c r="BP64" s="373" t="s">
        <v>15</v>
      </c>
      <c r="BQ64" s="360"/>
      <c r="BR64" s="361"/>
      <c r="BS64" s="361"/>
      <c r="BT64" s="361"/>
      <c r="BU64" s="342" t="s">
        <v>210</v>
      </c>
      <c r="BV64" s="342" t="s">
        <v>210</v>
      </c>
      <c r="BW64" s="341" t="s">
        <v>15</v>
      </c>
      <c r="BX64" s="361"/>
      <c r="BY64" s="362"/>
      <c r="BZ64" s="363"/>
      <c r="CA64" s="363"/>
      <c r="CB64" s="363"/>
      <c r="CC64" s="363"/>
      <c r="CD64" s="293"/>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row>
    <row r="65" spans="2:220" s="363" customFormat="1" ht="22.5" customHeight="1">
      <c r="B65" s="365">
        <v>210114</v>
      </c>
      <c r="C65" s="366" t="s">
        <v>88</v>
      </c>
      <c r="D65" s="367"/>
      <c r="E65" s="368"/>
      <c r="F65" s="321" t="s">
        <v>64</v>
      </c>
      <c r="G65" s="326" t="s">
        <v>2690</v>
      </c>
      <c r="H65" s="326" t="s">
        <v>2691</v>
      </c>
      <c r="I65" s="326" t="s">
        <v>11</v>
      </c>
      <c r="J65" s="326" t="s">
        <v>21</v>
      </c>
      <c r="K65" s="326" t="s">
        <v>89</v>
      </c>
      <c r="L65" s="323"/>
      <c r="M65" s="374"/>
      <c r="N65" s="325" t="s">
        <v>544</v>
      </c>
      <c r="O65" s="326" t="s">
        <v>540</v>
      </c>
      <c r="P65" s="327">
        <v>2540</v>
      </c>
      <c r="Q65" s="369">
        <v>1309</v>
      </c>
      <c r="R65" s="329" t="s">
        <v>549</v>
      </c>
      <c r="S65" s="330"/>
      <c r="T65" s="330"/>
      <c r="U65" s="330"/>
      <c r="V65" s="330"/>
      <c r="W65" s="332" t="s">
        <v>548</v>
      </c>
      <c r="X65" s="330"/>
      <c r="Y65" s="330"/>
      <c r="Z65" s="330"/>
      <c r="AA65" s="330"/>
      <c r="AB65" s="333"/>
      <c r="AC65" s="333"/>
      <c r="AD65" s="396" t="s">
        <v>42</v>
      </c>
      <c r="AE65" s="335" t="s">
        <v>90</v>
      </c>
      <c r="AF65" s="336"/>
      <c r="AG65" s="337"/>
      <c r="AH65" s="417" t="s">
        <v>210</v>
      </c>
      <c r="AI65" s="392" t="s">
        <v>210</v>
      </c>
      <c r="AJ65" s="392" t="s">
        <v>210</v>
      </c>
      <c r="AK65" s="340" t="s">
        <v>210</v>
      </c>
      <c r="AL65" s="321" t="s">
        <v>210</v>
      </c>
      <c r="AM65" s="326" t="s">
        <v>15</v>
      </c>
      <c r="AN65" s="326" t="s">
        <v>15</v>
      </c>
      <c r="AO65" s="341" t="s">
        <v>15</v>
      </c>
      <c r="AP65" s="342"/>
      <c r="AQ65" s="343"/>
      <c r="AR65" s="370">
        <v>1460</v>
      </c>
      <c r="AS65" s="326">
        <v>150</v>
      </c>
      <c r="AT65" s="392">
        <v>0.9</v>
      </c>
      <c r="AU65" s="392"/>
      <c r="AV65" s="392">
        <v>0.9</v>
      </c>
      <c r="AW65" s="340"/>
      <c r="AX65" s="347"/>
      <c r="AY65" s="348"/>
      <c r="AZ65" s="377"/>
      <c r="BA65" s="374"/>
      <c r="BB65" s="374"/>
      <c r="BC65" s="374"/>
      <c r="BD65" s="374"/>
      <c r="BE65" s="374"/>
      <c r="BF65" s="374"/>
      <c r="BG65" s="374"/>
      <c r="BH65" s="378"/>
      <c r="BI65" s="376"/>
      <c r="BJ65" s="379"/>
      <c r="BK65" s="380"/>
      <c r="BL65" s="348"/>
      <c r="BM65" s="381"/>
      <c r="BN65" s="321" t="s">
        <v>14</v>
      </c>
      <c r="BO65" s="372"/>
      <c r="BP65" s="373" t="s">
        <v>15</v>
      </c>
      <c r="BQ65" s="360"/>
      <c r="BR65" s="361"/>
      <c r="BS65" s="361"/>
      <c r="BT65" s="361"/>
      <c r="BU65" s="342" t="s">
        <v>210</v>
      </c>
      <c r="BV65" s="342" t="s">
        <v>210</v>
      </c>
      <c r="BW65" s="341" t="s">
        <v>15</v>
      </c>
      <c r="BX65" s="361"/>
      <c r="BY65" s="362"/>
      <c r="CD65" s="293"/>
    </row>
    <row r="66" spans="2:220" s="363" customFormat="1" ht="22.5" customHeight="1">
      <c r="B66" s="365">
        <v>210115</v>
      </c>
      <c r="C66" s="366" t="s">
        <v>85</v>
      </c>
      <c r="D66" s="367"/>
      <c r="E66" s="368"/>
      <c r="F66" s="321" t="s">
        <v>53</v>
      </c>
      <c r="G66" s="326" t="s">
        <v>2750</v>
      </c>
      <c r="H66" s="326" t="s">
        <v>2751</v>
      </c>
      <c r="I66" s="326" t="s">
        <v>11</v>
      </c>
      <c r="J66" s="326" t="s">
        <v>12</v>
      </c>
      <c r="K66" s="326" t="s">
        <v>10</v>
      </c>
      <c r="L66" s="323"/>
      <c r="M66" s="374"/>
      <c r="N66" s="325" t="s">
        <v>437</v>
      </c>
      <c r="O66" s="326" t="s">
        <v>540</v>
      </c>
      <c r="P66" s="327">
        <v>170</v>
      </c>
      <c r="Q66" s="369">
        <v>170</v>
      </c>
      <c r="R66" s="329" t="s">
        <v>1138</v>
      </c>
      <c r="S66" s="330"/>
      <c r="T66" s="330"/>
      <c r="U66" s="330"/>
      <c r="V66" s="330"/>
      <c r="W66" s="332" t="s">
        <v>550</v>
      </c>
      <c r="X66" s="330"/>
      <c r="Y66" s="330"/>
      <c r="Z66" s="330"/>
      <c r="AA66" s="330"/>
      <c r="AB66" s="333"/>
      <c r="AC66" s="333"/>
      <c r="AD66" s="334" t="s">
        <v>86</v>
      </c>
      <c r="AE66" s="335" t="s">
        <v>15</v>
      </c>
      <c r="AF66" s="336"/>
      <c r="AG66" s="337"/>
      <c r="AH66" s="417" t="s">
        <v>210</v>
      </c>
      <c r="AI66" s="392" t="s">
        <v>210</v>
      </c>
      <c r="AJ66" s="392" t="s">
        <v>210</v>
      </c>
      <c r="AK66" s="340" t="s">
        <v>210</v>
      </c>
      <c r="AL66" s="321" t="s">
        <v>210</v>
      </c>
      <c r="AM66" s="326" t="s">
        <v>15</v>
      </c>
      <c r="AN66" s="326" t="s">
        <v>15</v>
      </c>
      <c r="AO66" s="341" t="s">
        <v>15</v>
      </c>
      <c r="AP66" s="342"/>
      <c r="AQ66" s="343"/>
      <c r="AR66" s="370">
        <v>153</v>
      </c>
      <c r="AS66" s="326">
        <v>100</v>
      </c>
      <c r="AT66" s="392">
        <v>0.5</v>
      </c>
      <c r="AU66" s="392"/>
      <c r="AV66" s="392">
        <v>0.5</v>
      </c>
      <c r="AW66" s="340"/>
      <c r="AX66" s="347"/>
      <c r="AY66" s="348"/>
      <c r="AZ66" s="377"/>
      <c r="BA66" s="374"/>
      <c r="BB66" s="374"/>
      <c r="BC66" s="374"/>
      <c r="BD66" s="374"/>
      <c r="BE66" s="374"/>
      <c r="BF66" s="374"/>
      <c r="BG66" s="374"/>
      <c r="BH66" s="378"/>
      <c r="BI66" s="376"/>
      <c r="BJ66" s="379"/>
      <c r="BK66" s="380"/>
      <c r="BL66" s="348"/>
      <c r="BM66" s="381"/>
      <c r="BN66" s="321" t="s">
        <v>15</v>
      </c>
      <c r="BO66" s="372"/>
      <c r="BP66" s="373" t="s">
        <v>15</v>
      </c>
      <c r="BQ66" s="360"/>
      <c r="BR66" s="361"/>
      <c r="BS66" s="361"/>
      <c r="BT66" s="361"/>
      <c r="BU66" s="342" t="s">
        <v>210</v>
      </c>
      <c r="BV66" s="342" t="s">
        <v>210</v>
      </c>
      <c r="BW66" s="341" t="s">
        <v>15</v>
      </c>
      <c r="BX66" s="361"/>
      <c r="BY66" s="362"/>
      <c r="CD66" s="293"/>
    </row>
    <row r="67" spans="2:220" s="363" customFormat="1" ht="22.5" customHeight="1">
      <c r="B67" s="365">
        <v>210118</v>
      </c>
      <c r="C67" s="366" t="s">
        <v>99</v>
      </c>
      <c r="D67" s="367"/>
      <c r="E67" s="368"/>
      <c r="F67" s="321" t="s">
        <v>32</v>
      </c>
      <c r="G67" s="326" t="s">
        <v>2688</v>
      </c>
      <c r="H67" s="326" t="s">
        <v>2689</v>
      </c>
      <c r="I67" s="326" t="s">
        <v>11</v>
      </c>
      <c r="J67" s="326" t="s">
        <v>12</v>
      </c>
      <c r="K67" s="326" t="s">
        <v>10</v>
      </c>
      <c r="L67" s="323"/>
      <c r="M67" s="324" t="s">
        <v>10767</v>
      </c>
      <c r="N67" s="325" t="s">
        <v>438</v>
      </c>
      <c r="O67" s="326">
        <v>250</v>
      </c>
      <c r="P67" s="327">
        <v>2998</v>
      </c>
      <c r="Q67" s="369">
        <v>3189</v>
      </c>
      <c r="R67" s="329" t="s">
        <v>472</v>
      </c>
      <c r="S67" s="330"/>
      <c r="T67" s="330"/>
      <c r="U67" s="330"/>
      <c r="V67" s="330"/>
      <c r="W67" s="332" t="s">
        <v>432</v>
      </c>
      <c r="X67" s="331" t="s">
        <v>11079</v>
      </c>
      <c r="Y67" s="331" t="s">
        <v>11080</v>
      </c>
      <c r="Z67" s="331" t="s">
        <v>11080</v>
      </c>
      <c r="AA67" s="331" t="s">
        <v>210</v>
      </c>
      <c r="AB67" s="333"/>
      <c r="AC67" s="333"/>
      <c r="AD67" s="334" t="s">
        <v>33</v>
      </c>
      <c r="AE67" s="335" t="s">
        <v>34</v>
      </c>
      <c r="AF67" s="336"/>
      <c r="AG67" s="337"/>
      <c r="AH67" s="338">
        <v>13</v>
      </c>
      <c r="AI67" s="339">
        <v>37.299999999999997</v>
      </c>
      <c r="AJ67" s="339">
        <v>27.6</v>
      </c>
      <c r="AK67" s="340">
        <f>SUM(AH67:AJ67)</f>
        <v>77.900000000000006</v>
      </c>
      <c r="AL67" s="321" t="s">
        <v>210</v>
      </c>
      <c r="AM67" s="326" t="s">
        <v>15</v>
      </c>
      <c r="AN67" s="326" t="s">
        <v>15</v>
      </c>
      <c r="AO67" s="341" t="s">
        <v>15</v>
      </c>
      <c r="AP67" s="342"/>
      <c r="AQ67" s="343"/>
      <c r="AR67" s="370">
        <v>3777</v>
      </c>
      <c r="AS67" s="326">
        <v>100</v>
      </c>
      <c r="AT67" s="392">
        <v>1</v>
      </c>
      <c r="AU67" s="392"/>
      <c r="AV67" s="392">
        <v>1.5</v>
      </c>
      <c r="AW67" s="340"/>
      <c r="AX67" s="347"/>
      <c r="AY67" s="348"/>
      <c r="AZ67" s="377"/>
      <c r="BA67" s="374"/>
      <c r="BB67" s="374"/>
      <c r="BC67" s="374"/>
      <c r="BD67" s="374"/>
      <c r="BE67" s="374"/>
      <c r="BF67" s="374"/>
      <c r="BG67" s="374"/>
      <c r="BH67" s="378"/>
      <c r="BI67" s="376"/>
      <c r="BJ67" s="379"/>
      <c r="BK67" s="380"/>
      <c r="BL67" s="348"/>
      <c r="BM67" s="381"/>
      <c r="BN67" s="321" t="s">
        <v>14</v>
      </c>
      <c r="BO67" s="372"/>
      <c r="BP67" s="373" t="s">
        <v>14</v>
      </c>
      <c r="BQ67" s="360"/>
      <c r="BR67" s="361"/>
      <c r="BS67" s="361"/>
      <c r="BT67" s="361"/>
      <c r="BU67" s="342" t="s">
        <v>210</v>
      </c>
      <c r="BV67" s="342" t="s">
        <v>210</v>
      </c>
      <c r="BW67" s="341" t="s">
        <v>15</v>
      </c>
      <c r="BX67" s="361"/>
      <c r="BY67" s="362"/>
      <c r="CD67" s="293"/>
    </row>
    <row r="68" spans="2:220" s="287" customFormat="1" ht="22.5" customHeight="1">
      <c r="B68" s="365">
        <v>210119</v>
      </c>
      <c r="C68" s="366" t="s">
        <v>7772</v>
      </c>
      <c r="D68" s="367"/>
      <c r="E68" s="368"/>
      <c r="F68" s="321" t="s">
        <v>32</v>
      </c>
      <c r="G68" s="326" t="s">
        <v>2746</v>
      </c>
      <c r="H68" s="326" t="s">
        <v>2747</v>
      </c>
      <c r="I68" s="326" t="s">
        <v>11</v>
      </c>
      <c r="J68" s="326" t="s">
        <v>12</v>
      </c>
      <c r="K68" s="326" t="s">
        <v>10</v>
      </c>
      <c r="L68" s="323"/>
      <c r="M68" s="374"/>
      <c r="N68" s="325" t="s">
        <v>437</v>
      </c>
      <c r="O68" s="326" t="s">
        <v>540</v>
      </c>
      <c r="P68" s="327" t="s">
        <v>540</v>
      </c>
      <c r="Q68" s="369" t="s">
        <v>540</v>
      </c>
      <c r="R68" s="329" t="s">
        <v>541</v>
      </c>
      <c r="S68" s="330"/>
      <c r="T68" s="394" t="s">
        <v>12567</v>
      </c>
      <c r="U68" s="394" t="s">
        <v>16336</v>
      </c>
      <c r="V68" s="330"/>
      <c r="W68" s="332" t="s">
        <v>514</v>
      </c>
      <c r="X68" s="330"/>
      <c r="Y68" s="330"/>
      <c r="Z68" s="330"/>
      <c r="AA68" s="330"/>
      <c r="AB68" s="333"/>
      <c r="AC68" s="333"/>
      <c r="AD68" s="334" t="s">
        <v>2323</v>
      </c>
      <c r="AE68" s="335" t="s">
        <v>15</v>
      </c>
      <c r="AF68" s="336"/>
      <c r="AG68" s="337"/>
      <c r="AH68" s="417" t="s">
        <v>210</v>
      </c>
      <c r="AI68" s="392" t="s">
        <v>210</v>
      </c>
      <c r="AJ68" s="392" t="s">
        <v>210</v>
      </c>
      <c r="AK68" s="340" t="s">
        <v>210</v>
      </c>
      <c r="AL68" s="321" t="s">
        <v>210</v>
      </c>
      <c r="AM68" s="326" t="s">
        <v>15</v>
      </c>
      <c r="AN68" s="326" t="s">
        <v>15</v>
      </c>
      <c r="AO68" s="341" t="s">
        <v>15</v>
      </c>
      <c r="AP68" s="342"/>
      <c r="AQ68" s="343"/>
      <c r="AR68" s="370">
        <v>1385</v>
      </c>
      <c r="AS68" s="326">
        <v>100</v>
      </c>
      <c r="AT68" s="392">
        <v>1</v>
      </c>
      <c r="AU68" s="392"/>
      <c r="AV68" s="392">
        <v>1.5</v>
      </c>
      <c r="AW68" s="340"/>
      <c r="AX68" s="347"/>
      <c r="AY68" s="348"/>
      <c r="AZ68" s="377"/>
      <c r="BA68" s="374"/>
      <c r="BB68" s="374"/>
      <c r="BC68" s="374"/>
      <c r="BD68" s="374"/>
      <c r="BE68" s="374"/>
      <c r="BF68" s="374"/>
      <c r="BG68" s="374"/>
      <c r="BH68" s="378"/>
      <c r="BI68" s="376"/>
      <c r="BJ68" s="379"/>
      <c r="BK68" s="380"/>
      <c r="BL68" s="348"/>
      <c r="BM68" s="381"/>
      <c r="BN68" s="321" t="s">
        <v>14</v>
      </c>
      <c r="BO68" s="372"/>
      <c r="BP68" s="373" t="s">
        <v>14</v>
      </c>
      <c r="BQ68" s="360"/>
      <c r="BR68" s="361"/>
      <c r="BS68" s="361"/>
      <c r="BT68" s="361"/>
      <c r="BU68" s="342" t="s">
        <v>210</v>
      </c>
      <c r="BV68" s="342" t="s">
        <v>210</v>
      </c>
      <c r="BW68" s="341" t="s">
        <v>15</v>
      </c>
      <c r="BX68" s="361"/>
      <c r="BY68" s="362"/>
      <c r="BZ68" s="363"/>
      <c r="CA68" s="363"/>
      <c r="CB68" s="363"/>
      <c r="CC68" s="363"/>
      <c r="CD68" s="293"/>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row>
    <row r="69" spans="2:220" s="363" customFormat="1" ht="22.5" customHeight="1">
      <c r="B69" s="365">
        <v>210120</v>
      </c>
      <c r="C69" s="366" t="s">
        <v>92</v>
      </c>
      <c r="D69" s="367"/>
      <c r="E69" s="368"/>
      <c r="F69" s="321" t="s">
        <v>45</v>
      </c>
      <c r="G69" s="326" t="s">
        <v>2744</v>
      </c>
      <c r="H69" s="326" t="s">
        <v>2745</v>
      </c>
      <c r="I69" s="326" t="s">
        <v>11</v>
      </c>
      <c r="J69" s="326" t="s">
        <v>12</v>
      </c>
      <c r="K69" s="326" t="s">
        <v>10</v>
      </c>
      <c r="L69" s="323"/>
      <c r="M69" s="374"/>
      <c r="N69" s="325" t="s">
        <v>437</v>
      </c>
      <c r="O69" s="326" t="s">
        <v>540</v>
      </c>
      <c r="P69" s="327" t="s">
        <v>540</v>
      </c>
      <c r="Q69" s="369" t="s">
        <v>540</v>
      </c>
      <c r="R69" s="329" t="s">
        <v>541</v>
      </c>
      <c r="S69" s="330"/>
      <c r="T69" s="394" t="s">
        <v>12567</v>
      </c>
      <c r="U69" s="394" t="s">
        <v>16336</v>
      </c>
      <c r="V69" s="330"/>
      <c r="W69" s="332" t="s">
        <v>514</v>
      </c>
      <c r="X69" s="330"/>
      <c r="Y69" s="330"/>
      <c r="Z69" s="330"/>
      <c r="AA69" s="330"/>
      <c r="AB69" s="333"/>
      <c r="AC69" s="333"/>
      <c r="AD69" s="334" t="s">
        <v>2323</v>
      </c>
      <c r="AE69" s="335" t="s">
        <v>15</v>
      </c>
      <c r="AF69" s="336"/>
      <c r="AG69" s="337"/>
      <c r="AH69" s="417" t="s">
        <v>210</v>
      </c>
      <c r="AI69" s="392" t="s">
        <v>210</v>
      </c>
      <c r="AJ69" s="392" t="s">
        <v>210</v>
      </c>
      <c r="AK69" s="340" t="s">
        <v>210</v>
      </c>
      <c r="AL69" s="321" t="s">
        <v>210</v>
      </c>
      <c r="AM69" s="326" t="s">
        <v>15</v>
      </c>
      <c r="AN69" s="326" t="s">
        <v>15</v>
      </c>
      <c r="AO69" s="341" t="s">
        <v>15</v>
      </c>
      <c r="AP69" s="342"/>
      <c r="AQ69" s="343"/>
      <c r="AR69" s="370">
        <v>1028</v>
      </c>
      <c r="AS69" s="326">
        <v>100</v>
      </c>
      <c r="AT69" s="392">
        <v>1</v>
      </c>
      <c r="AU69" s="392"/>
      <c r="AV69" s="392">
        <v>1.5</v>
      </c>
      <c r="AW69" s="340"/>
      <c r="AX69" s="347"/>
      <c r="AY69" s="348"/>
      <c r="AZ69" s="377"/>
      <c r="BA69" s="374"/>
      <c r="BB69" s="374"/>
      <c r="BC69" s="374"/>
      <c r="BD69" s="374"/>
      <c r="BE69" s="374"/>
      <c r="BF69" s="374"/>
      <c r="BG69" s="374"/>
      <c r="BH69" s="378"/>
      <c r="BI69" s="376"/>
      <c r="BJ69" s="379"/>
      <c r="BK69" s="380"/>
      <c r="BL69" s="348"/>
      <c r="BM69" s="381"/>
      <c r="BN69" s="321" t="s">
        <v>14</v>
      </c>
      <c r="BO69" s="372"/>
      <c r="BP69" s="373" t="s">
        <v>14</v>
      </c>
      <c r="BQ69" s="360"/>
      <c r="BR69" s="361"/>
      <c r="BS69" s="361"/>
      <c r="BT69" s="361"/>
      <c r="BU69" s="342" t="s">
        <v>210</v>
      </c>
      <c r="BV69" s="342" t="s">
        <v>210</v>
      </c>
      <c r="BW69" s="341" t="s">
        <v>15</v>
      </c>
      <c r="BX69" s="361"/>
      <c r="BY69" s="362"/>
      <c r="CD69" s="293"/>
    </row>
    <row r="70" spans="2:220" s="363" customFormat="1" ht="22.5" customHeight="1">
      <c r="B70" s="365">
        <v>210123</v>
      </c>
      <c r="C70" s="366" t="s">
        <v>91</v>
      </c>
      <c r="D70" s="367"/>
      <c r="E70" s="368"/>
      <c r="F70" s="321" t="s">
        <v>53</v>
      </c>
      <c r="G70" s="326" t="s">
        <v>17892</v>
      </c>
      <c r="H70" s="326" t="s">
        <v>17893</v>
      </c>
      <c r="I70" s="326" t="s">
        <v>11</v>
      </c>
      <c r="J70" s="326" t="s">
        <v>12</v>
      </c>
      <c r="K70" s="326" t="s">
        <v>10</v>
      </c>
      <c r="L70" s="323"/>
      <c r="M70" s="374"/>
      <c r="N70" s="325" t="s">
        <v>437</v>
      </c>
      <c r="O70" s="326" t="s">
        <v>540</v>
      </c>
      <c r="P70" s="327">
        <v>102</v>
      </c>
      <c r="Q70" s="369">
        <v>102</v>
      </c>
      <c r="R70" s="329" t="s">
        <v>1138</v>
      </c>
      <c r="S70" s="330"/>
      <c r="T70" s="330"/>
      <c r="U70" s="330"/>
      <c r="V70" s="330"/>
      <c r="W70" s="332" t="s">
        <v>550</v>
      </c>
      <c r="X70" s="330"/>
      <c r="Y70" s="330"/>
      <c r="Z70" s="330"/>
      <c r="AA70" s="330"/>
      <c r="AB70" s="333"/>
      <c r="AC70" s="333"/>
      <c r="AD70" s="334" t="s">
        <v>86</v>
      </c>
      <c r="AE70" s="335" t="s">
        <v>15</v>
      </c>
      <c r="AF70" s="336"/>
      <c r="AG70" s="337"/>
      <c r="AH70" s="417" t="s">
        <v>210</v>
      </c>
      <c r="AI70" s="392" t="s">
        <v>210</v>
      </c>
      <c r="AJ70" s="392" t="s">
        <v>210</v>
      </c>
      <c r="AK70" s="340" t="s">
        <v>210</v>
      </c>
      <c r="AL70" s="321" t="s">
        <v>210</v>
      </c>
      <c r="AM70" s="326" t="s">
        <v>15</v>
      </c>
      <c r="AN70" s="326" t="s">
        <v>15</v>
      </c>
      <c r="AO70" s="341" t="s">
        <v>15</v>
      </c>
      <c r="AP70" s="342"/>
      <c r="AQ70" s="343"/>
      <c r="AR70" s="370">
        <v>153</v>
      </c>
      <c r="AS70" s="326">
        <v>100</v>
      </c>
      <c r="AT70" s="392">
        <v>0.5</v>
      </c>
      <c r="AU70" s="392"/>
      <c r="AV70" s="392">
        <v>1.5</v>
      </c>
      <c r="AW70" s="340"/>
      <c r="AX70" s="347"/>
      <c r="AY70" s="348"/>
      <c r="AZ70" s="377"/>
      <c r="BA70" s="374"/>
      <c r="BB70" s="374"/>
      <c r="BC70" s="374"/>
      <c r="BD70" s="374"/>
      <c r="BE70" s="374"/>
      <c r="BF70" s="374"/>
      <c r="BG70" s="374"/>
      <c r="BH70" s="378"/>
      <c r="BI70" s="376"/>
      <c r="BJ70" s="379"/>
      <c r="BK70" s="380"/>
      <c r="BL70" s="348"/>
      <c r="BM70" s="381"/>
      <c r="BN70" s="321" t="s">
        <v>15</v>
      </c>
      <c r="BO70" s="372"/>
      <c r="BP70" s="373" t="s">
        <v>15</v>
      </c>
      <c r="BQ70" s="360"/>
      <c r="BR70" s="361"/>
      <c r="BS70" s="361"/>
      <c r="BT70" s="361"/>
      <c r="BU70" s="342" t="s">
        <v>210</v>
      </c>
      <c r="BV70" s="342" t="s">
        <v>210</v>
      </c>
      <c r="BW70" s="341" t="s">
        <v>15</v>
      </c>
      <c r="BX70" s="361"/>
      <c r="BY70" s="362"/>
      <c r="CD70" s="293"/>
    </row>
    <row r="71" spans="2:220" s="287" customFormat="1" ht="22.5" customHeight="1">
      <c r="B71" s="365">
        <v>210124</v>
      </c>
      <c r="C71" s="366" t="s">
        <v>7773</v>
      </c>
      <c r="D71" s="367"/>
      <c r="E71" s="368"/>
      <c r="F71" s="321" t="s">
        <v>93</v>
      </c>
      <c r="G71" s="326" t="s">
        <v>2686</v>
      </c>
      <c r="H71" s="326" t="s">
        <v>2687</v>
      </c>
      <c r="I71" s="326" t="s">
        <v>11</v>
      </c>
      <c r="J71" s="326" t="s">
        <v>12</v>
      </c>
      <c r="K71" s="326" t="s">
        <v>10</v>
      </c>
      <c r="L71" s="323"/>
      <c r="M71" s="374"/>
      <c r="N71" s="325" t="s">
        <v>437</v>
      </c>
      <c r="O71" s="326" t="s">
        <v>540</v>
      </c>
      <c r="P71" s="327" t="s">
        <v>540</v>
      </c>
      <c r="Q71" s="369" t="s">
        <v>540</v>
      </c>
      <c r="R71" s="329" t="s">
        <v>541</v>
      </c>
      <c r="S71" s="330"/>
      <c r="T71" s="394" t="s">
        <v>12567</v>
      </c>
      <c r="U71" s="394" t="s">
        <v>16336</v>
      </c>
      <c r="V71" s="330"/>
      <c r="W71" s="332" t="s">
        <v>514</v>
      </c>
      <c r="X71" s="330"/>
      <c r="Y71" s="330"/>
      <c r="Z71" s="330"/>
      <c r="AA71" s="330"/>
      <c r="AB71" s="333"/>
      <c r="AC71" s="333"/>
      <c r="AD71" s="334" t="s">
        <v>2323</v>
      </c>
      <c r="AE71" s="335" t="s">
        <v>15</v>
      </c>
      <c r="AF71" s="336"/>
      <c r="AG71" s="337"/>
      <c r="AH71" s="417" t="s">
        <v>210</v>
      </c>
      <c r="AI71" s="392" t="s">
        <v>210</v>
      </c>
      <c r="AJ71" s="392" t="s">
        <v>210</v>
      </c>
      <c r="AK71" s="340" t="s">
        <v>210</v>
      </c>
      <c r="AL71" s="321" t="s">
        <v>210</v>
      </c>
      <c r="AM71" s="326" t="s">
        <v>15</v>
      </c>
      <c r="AN71" s="326" t="s">
        <v>15</v>
      </c>
      <c r="AO71" s="341" t="s">
        <v>15</v>
      </c>
      <c r="AP71" s="342"/>
      <c r="AQ71" s="343"/>
      <c r="AR71" s="370">
        <v>1290</v>
      </c>
      <c r="AS71" s="326">
        <v>100</v>
      </c>
      <c r="AT71" s="392">
        <v>0.7</v>
      </c>
      <c r="AU71" s="392"/>
      <c r="AV71" s="392">
        <v>0.7</v>
      </c>
      <c r="AW71" s="340"/>
      <c r="AX71" s="347"/>
      <c r="AY71" s="348"/>
      <c r="AZ71" s="377"/>
      <c r="BA71" s="374"/>
      <c r="BB71" s="374"/>
      <c r="BC71" s="374"/>
      <c r="BD71" s="374"/>
      <c r="BE71" s="374"/>
      <c r="BF71" s="374"/>
      <c r="BG71" s="374"/>
      <c r="BH71" s="378"/>
      <c r="BI71" s="376"/>
      <c r="BJ71" s="379"/>
      <c r="BK71" s="380"/>
      <c r="BL71" s="348"/>
      <c r="BM71" s="381"/>
      <c r="BN71" s="321" t="s">
        <v>15</v>
      </c>
      <c r="BO71" s="372"/>
      <c r="BP71" s="373" t="s">
        <v>15</v>
      </c>
      <c r="BQ71" s="360"/>
      <c r="BR71" s="361"/>
      <c r="BS71" s="361"/>
      <c r="BT71" s="361"/>
      <c r="BU71" s="342" t="s">
        <v>210</v>
      </c>
      <c r="BV71" s="342" t="s">
        <v>210</v>
      </c>
      <c r="BW71" s="341" t="s">
        <v>15</v>
      </c>
      <c r="BX71" s="361"/>
      <c r="BY71" s="362"/>
      <c r="BZ71" s="363"/>
      <c r="CA71" s="363"/>
      <c r="CB71" s="363"/>
      <c r="CC71" s="363"/>
      <c r="CD71" s="293"/>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row>
    <row r="72" spans="2:220" s="287" customFormat="1" ht="22.5" customHeight="1">
      <c r="B72" s="365">
        <v>210125</v>
      </c>
      <c r="C72" s="366" t="s">
        <v>7774</v>
      </c>
      <c r="D72" s="367"/>
      <c r="E72" s="368"/>
      <c r="F72" s="321" t="s">
        <v>69</v>
      </c>
      <c r="G72" s="326" t="s">
        <v>2684</v>
      </c>
      <c r="H72" s="326" t="s">
        <v>2685</v>
      </c>
      <c r="I72" s="326" t="s">
        <v>11</v>
      </c>
      <c r="J72" s="326" t="s">
        <v>12</v>
      </c>
      <c r="K72" s="326" t="s">
        <v>10</v>
      </c>
      <c r="L72" s="323"/>
      <c r="M72" s="374"/>
      <c r="N72" s="325" t="s">
        <v>437</v>
      </c>
      <c r="O72" s="326" t="s">
        <v>540</v>
      </c>
      <c r="P72" s="327" t="s">
        <v>540</v>
      </c>
      <c r="Q72" s="369" t="s">
        <v>540</v>
      </c>
      <c r="R72" s="329" t="s">
        <v>541</v>
      </c>
      <c r="S72" s="330"/>
      <c r="T72" s="394" t="s">
        <v>12567</v>
      </c>
      <c r="U72" s="394" t="s">
        <v>16336</v>
      </c>
      <c r="V72" s="330"/>
      <c r="W72" s="332" t="s">
        <v>514</v>
      </c>
      <c r="X72" s="330"/>
      <c r="Y72" s="330"/>
      <c r="Z72" s="330"/>
      <c r="AA72" s="330"/>
      <c r="AB72" s="333"/>
      <c r="AC72" s="333"/>
      <c r="AD72" s="334" t="s">
        <v>2323</v>
      </c>
      <c r="AE72" s="335" t="s">
        <v>15</v>
      </c>
      <c r="AF72" s="336"/>
      <c r="AG72" s="337"/>
      <c r="AH72" s="417" t="s">
        <v>210</v>
      </c>
      <c r="AI72" s="392" t="s">
        <v>210</v>
      </c>
      <c r="AJ72" s="392" t="s">
        <v>210</v>
      </c>
      <c r="AK72" s="340" t="s">
        <v>210</v>
      </c>
      <c r="AL72" s="321" t="s">
        <v>210</v>
      </c>
      <c r="AM72" s="326" t="s">
        <v>15</v>
      </c>
      <c r="AN72" s="326" t="s">
        <v>15</v>
      </c>
      <c r="AO72" s="341" t="s">
        <v>15</v>
      </c>
      <c r="AP72" s="342"/>
      <c r="AQ72" s="343"/>
      <c r="AR72" s="370">
        <v>1258</v>
      </c>
      <c r="AS72" s="326">
        <v>100</v>
      </c>
      <c r="AT72" s="392">
        <v>1</v>
      </c>
      <c r="AU72" s="392"/>
      <c r="AV72" s="392">
        <v>0.8</v>
      </c>
      <c r="AW72" s="340"/>
      <c r="AX72" s="347"/>
      <c r="AY72" s="348"/>
      <c r="AZ72" s="377"/>
      <c r="BA72" s="374"/>
      <c r="BB72" s="374"/>
      <c r="BC72" s="374"/>
      <c r="BD72" s="374"/>
      <c r="BE72" s="374"/>
      <c r="BF72" s="374"/>
      <c r="BG72" s="374"/>
      <c r="BH72" s="378"/>
      <c r="BI72" s="376"/>
      <c r="BJ72" s="379"/>
      <c r="BK72" s="380"/>
      <c r="BL72" s="348"/>
      <c r="BM72" s="381"/>
      <c r="BN72" s="321" t="s">
        <v>14</v>
      </c>
      <c r="BO72" s="372"/>
      <c r="BP72" s="373" t="s">
        <v>15</v>
      </c>
      <c r="BQ72" s="360"/>
      <c r="BR72" s="361"/>
      <c r="BS72" s="361"/>
      <c r="BT72" s="361"/>
      <c r="BU72" s="342" t="s">
        <v>210</v>
      </c>
      <c r="BV72" s="342" t="s">
        <v>210</v>
      </c>
      <c r="BW72" s="341" t="s">
        <v>15</v>
      </c>
      <c r="BX72" s="361"/>
      <c r="BY72" s="362"/>
      <c r="BZ72" s="363"/>
      <c r="CA72" s="363"/>
      <c r="CB72" s="363"/>
      <c r="CC72" s="363"/>
      <c r="CD72" s="293"/>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row>
    <row r="73" spans="2:220" s="287" customFormat="1" ht="22.5" customHeight="1">
      <c r="B73" s="365">
        <v>210126</v>
      </c>
      <c r="C73" s="366" t="s">
        <v>100</v>
      </c>
      <c r="D73" s="367"/>
      <c r="E73" s="368"/>
      <c r="F73" s="321" t="s">
        <v>59</v>
      </c>
      <c r="G73" s="326" t="s">
        <v>2682</v>
      </c>
      <c r="H73" s="326" t="s">
        <v>2683</v>
      </c>
      <c r="I73" s="326" t="s">
        <v>11</v>
      </c>
      <c r="J73" s="326" t="s">
        <v>12</v>
      </c>
      <c r="K73" s="326" t="s">
        <v>10</v>
      </c>
      <c r="L73" s="323"/>
      <c r="M73" s="374"/>
      <c r="N73" s="325" t="s">
        <v>437</v>
      </c>
      <c r="O73" s="326" t="s">
        <v>540</v>
      </c>
      <c r="P73" s="327" t="s">
        <v>540</v>
      </c>
      <c r="Q73" s="369" t="s">
        <v>540</v>
      </c>
      <c r="R73" s="329" t="s">
        <v>551</v>
      </c>
      <c r="S73" s="330"/>
      <c r="T73" s="330"/>
      <c r="U73" s="330"/>
      <c r="V73" s="330"/>
      <c r="W73" s="332" t="s">
        <v>1109</v>
      </c>
      <c r="X73" s="330"/>
      <c r="Y73" s="330"/>
      <c r="Z73" s="330"/>
      <c r="AA73" s="330"/>
      <c r="AB73" s="333"/>
      <c r="AC73" s="333"/>
      <c r="AD73" s="334" t="s">
        <v>272</v>
      </c>
      <c r="AE73" s="335" t="s">
        <v>15</v>
      </c>
      <c r="AF73" s="336"/>
      <c r="AG73" s="337"/>
      <c r="AH73" s="417" t="s">
        <v>210</v>
      </c>
      <c r="AI73" s="392" t="s">
        <v>210</v>
      </c>
      <c r="AJ73" s="392" t="s">
        <v>210</v>
      </c>
      <c r="AK73" s="340" t="s">
        <v>210</v>
      </c>
      <c r="AL73" s="321" t="s">
        <v>210</v>
      </c>
      <c r="AM73" s="326" t="s">
        <v>15</v>
      </c>
      <c r="AN73" s="326" t="s">
        <v>15</v>
      </c>
      <c r="AO73" s="341" t="s">
        <v>15</v>
      </c>
      <c r="AP73" s="342"/>
      <c r="AQ73" s="343"/>
      <c r="AR73" s="370">
        <v>3153</v>
      </c>
      <c r="AS73" s="326">
        <v>100</v>
      </c>
      <c r="AT73" s="392">
        <v>1</v>
      </c>
      <c r="AU73" s="392"/>
      <c r="AV73" s="392">
        <v>1</v>
      </c>
      <c r="AW73" s="340"/>
      <c r="AX73" s="347"/>
      <c r="AY73" s="348"/>
      <c r="AZ73" s="377"/>
      <c r="BA73" s="374"/>
      <c r="BB73" s="374"/>
      <c r="BC73" s="374"/>
      <c r="BD73" s="374"/>
      <c r="BE73" s="374"/>
      <c r="BF73" s="374"/>
      <c r="BG73" s="374"/>
      <c r="BH73" s="378"/>
      <c r="BI73" s="376"/>
      <c r="BJ73" s="379"/>
      <c r="BK73" s="380"/>
      <c r="BL73" s="348"/>
      <c r="BM73" s="381"/>
      <c r="BN73" s="321" t="s">
        <v>15</v>
      </c>
      <c r="BO73" s="372"/>
      <c r="BP73" s="373" t="s">
        <v>14</v>
      </c>
      <c r="BQ73" s="360"/>
      <c r="BR73" s="361"/>
      <c r="BS73" s="361"/>
      <c r="BT73" s="361"/>
      <c r="BU73" s="342" t="s">
        <v>210</v>
      </c>
      <c r="BV73" s="342" t="s">
        <v>210</v>
      </c>
      <c r="BW73" s="341" t="s">
        <v>15</v>
      </c>
      <c r="BX73" s="361"/>
      <c r="BY73" s="362"/>
      <c r="BZ73" s="363"/>
      <c r="CA73" s="363"/>
      <c r="CB73" s="363"/>
      <c r="CC73" s="363"/>
      <c r="CD73" s="293"/>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row>
    <row r="74" spans="2:220" s="287" customFormat="1" ht="22.5" customHeight="1">
      <c r="B74" s="365">
        <v>210127</v>
      </c>
      <c r="C74" s="366" t="s">
        <v>108</v>
      </c>
      <c r="D74" s="367"/>
      <c r="E74" s="368"/>
      <c r="F74" s="321" t="s">
        <v>109</v>
      </c>
      <c r="G74" s="326" t="s">
        <v>2680</v>
      </c>
      <c r="H74" s="326" t="s">
        <v>2681</v>
      </c>
      <c r="I74" s="326" t="s">
        <v>11</v>
      </c>
      <c r="J74" s="326" t="s">
        <v>12</v>
      </c>
      <c r="K74" s="326" t="s">
        <v>10</v>
      </c>
      <c r="L74" s="323"/>
      <c r="M74" s="374"/>
      <c r="N74" s="325" t="s">
        <v>438</v>
      </c>
      <c r="O74" s="326" t="s">
        <v>210</v>
      </c>
      <c r="P74" s="327" t="s">
        <v>540</v>
      </c>
      <c r="Q74" s="369" t="s">
        <v>540</v>
      </c>
      <c r="R74" s="329" t="s">
        <v>1086</v>
      </c>
      <c r="S74" s="331" t="s">
        <v>11142</v>
      </c>
      <c r="T74" s="331" t="s">
        <v>14922</v>
      </c>
      <c r="U74" s="330"/>
      <c r="V74" s="331" t="s">
        <v>11143</v>
      </c>
      <c r="W74" s="332" t="s">
        <v>519</v>
      </c>
      <c r="X74" s="331" t="s">
        <v>15444</v>
      </c>
      <c r="Y74" s="330"/>
      <c r="Z74" s="330"/>
      <c r="AA74" s="331" t="s">
        <v>11144</v>
      </c>
      <c r="AB74" s="333"/>
      <c r="AC74" s="333"/>
      <c r="AD74" s="334" t="s">
        <v>726</v>
      </c>
      <c r="AE74" s="335" t="s">
        <v>110</v>
      </c>
      <c r="AF74" s="336"/>
      <c r="AG74" s="337"/>
      <c r="AH74" s="417" t="s">
        <v>210</v>
      </c>
      <c r="AI74" s="392" t="s">
        <v>210</v>
      </c>
      <c r="AJ74" s="392" t="s">
        <v>210</v>
      </c>
      <c r="AK74" s="340" t="s">
        <v>210</v>
      </c>
      <c r="AL74" s="321" t="s">
        <v>210</v>
      </c>
      <c r="AM74" s="326" t="s">
        <v>15</v>
      </c>
      <c r="AN74" s="326" t="s">
        <v>15</v>
      </c>
      <c r="AO74" s="341" t="s">
        <v>15</v>
      </c>
      <c r="AP74" s="342"/>
      <c r="AQ74" s="343"/>
      <c r="AR74" s="370">
        <v>9931</v>
      </c>
      <c r="AS74" s="326">
        <v>100</v>
      </c>
      <c r="AT74" s="392">
        <v>0.8</v>
      </c>
      <c r="AU74" s="392"/>
      <c r="AV74" s="392">
        <v>1.4</v>
      </c>
      <c r="AW74" s="340"/>
      <c r="AX74" s="347"/>
      <c r="AY74" s="348"/>
      <c r="AZ74" s="377"/>
      <c r="BA74" s="374"/>
      <c r="BB74" s="374"/>
      <c r="BC74" s="374"/>
      <c r="BD74" s="374"/>
      <c r="BE74" s="374"/>
      <c r="BF74" s="374"/>
      <c r="BG74" s="374"/>
      <c r="BH74" s="378"/>
      <c r="BI74" s="376"/>
      <c r="BJ74" s="379"/>
      <c r="BK74" s="380"/>
      <c r="BL74" s="348"/>
      <c r="BM74" s="381"/>
      <c r="BN74" s="321" t="s">
        <v>15</v>
      </c>
      <c r="BO74" s="372"/>
      <c r="BP74" s="373" t="s">
        <v>14</v>
      </c>
      <c r="BQ74" s="360"/>
      <c r="BR74" s="361"/>
      <c r="BS74" s="361"/>
      <c r="BT74" s="361"/>
      <c r="BU74" s="342" t="s">
        <v>210</v>
      </c>
      <c r="BV74" s="342" t="s">
        <v>210</v>
      </c>
      <c r="BW74" s="341" t="s">
        <v>15</v>
      </c>
      <c r="BX74" s="361"/>
      <c r="BY74" s="362"/>
      <c r="BZ74" s="363"/>
      <c r="CA74" s="363"/>
      <c r="CB74" s="363"/>
      <c r="CC74" s="363"/>
      <c r="CD74" s="293"/>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row>
    <row r="75" spans="2:220" s="287" customFormat="1" ht="22.5" customHeight="1">
      <c r="B75" s="365">
        <v>210128</v>
      </c>
      <c r="C75" s="366" t="s">
        <v>7775</v>
      </c>
      <c r="D75" s="367"/>
      <c r="E75" s="368"/>
      <c r="F75" s="321" t="s">
        <v>45</v>
      </c>
      <c r="G75" s="326" t="s">
        <v>2678</v>
      </c>
      <c r="H75" s="326" t="s">
        <v>2679</v>
      </c>
      <c r="I75" s="326" t="s">
        <v>11</v>
      </c>
      <c r="J75" s="326" t="s">
        <v>12</v>
      </c>
      <c r="K75" s="326" t="s">
        <v>10</v>
      </c>
      <c r="L75" s="323"/>
      <c r="M75" s="374"/>
      <c r="N75" s="325" t="s">
        <v>437</v>
      </c>
      <c r="O75" s="326" t="s">
        <v>540</v>
      </c>
      <c r="P75" s="327" t="s">
        <v>540</v>
      </c>
      <c r="Q75" s="369" t="s">
        <v>540</v>
      </c>
      <c r="R75" s="329" t="s">
        <v>541</v>
      </c>
      <c r="S75" s="330"/>
      <c r="T75" s="394" t="s">
        <v>12567</v>
      </c>
      <c r="U75" s="394" t="s">
        <v>16336</v>
      </c>
      <c r="V75" s="330"/>
      <c r="W75" s="332" t="s">
        <v>514</v>
      </c>
      <c r="X75" s="330"/>
      <c r="Y75" s="330"/>
      <c r="Z75" s="330"/>
      <c r="AA75" s="330"/>
      <c r="AB75" s="333"/>
      <c r="AC75" s="333"/>
      <c r="AD75" s="334" t="s">
        <v>2323</v>
      </c>
      <c r="AE75" s="335" t="s">
        <v>15</v>
      </c>
      <c r="AF75" s="336"/>
      <c r="AG75" s="337"/>
      <c r="AH75" s="417" t="s">
        <v>210</v>
      </c>
      <c r="AI75" s="392" t="s">
        <v>210</v>
      </c>
      <c r="AJ75" s="392" t="s">
        <v>210</v>
      </c>
      <c r="AK75" s="340" t="s">
        <v>210</v>
      </c>
      <c r="AL75" s="321" t="s">
        <v>210</v>
      </c>
      <c r="AM75" s="326" t="s">
        <v>15</v>
      </c>
      <c r="AN75" s="326" t="s">
        <v>15</v>
      </c>
      <c r="AO75" s="341" t="s">
        <v>15</v>
      </c>
      <c r="AP75" s="342"/>
      <c r="AQ75" s="343"/>
      <c r="AR75" s="370">
        <v>909</v>
      </c>
      <c r="AS75" s="326">
        <v>100</v>
      </c>
      <c r="AT75" s="392">
        <v>0.8</v>
      </c>
      <c r="AU75" s="392"/>
      <c r="AV75" s="392">
        <v>1.7</v>
      </c>
      <c r="AW75" s="340"/>
      <c r="AX75" s="347"/>
      <c r="AY75" s="348"/>
      <c r="AZ75" s="377"/>
      <c r="BA75" s="374"/>
      <c r="BB75" s="374"/>
      <c r="BC75" s="374"/>
      <c r="BD75" s="374"/>
      <c r="BE75" s="374"/>
      <c r="BF75" s="374"/>
      <c r="BG75" s="374"/>
      <c r="BH75" s="378"/>
      <c r="BI75" s="376"/>
      <c r="BJ75" s="379"/>
      <c r="BK75" s="380"/>
      <c r="BL75" s="348"/>
      <c r="BM75" s="381"/>
      <c r="BN75" s="321" t="s">
        <v>14</v>
      </c>
      <c r="BO75" s="372"/>
      <c r="BP75" s="373" t="s">
        <v>14</v>
      </c>
      <c r="BQ75" s="360"/>
      <c r="BR75" s="361"/>
      <c r="BS75" s="361"/>
      <c r="BT75" s="361"/>
      <c r="BU75" s="342" t="s">
        <v>210</v>
      </c>
      <c r="BV75" s="342" t="s">
        <v>210</v>
      </c>
      <c r="BW75" s="341" t="s">
        <v>15</v>
      </c>
      <c r="BX75" s="361"/>
      <c r="BY75" s="362"/>
      <c r="BZ75" s="363"/>
      <c r="CA75" s="363"/>
      <c r="CB75" s="363"/>
      <c r="CC75" s="363"/>
      <c r="CD75" s="293"/>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row>
    <row r="76" spans="2:220" s="287" customFormat="1" ht="22.5" customHeight="1">
      <c r="B76" s="365">
        <v>210129</v>
      </c>
      <c r="C76" s="366" t="s">
        <v>124</v>
      </c>
      <c r="D76" s="367"/>
      <c r="E76" s="368"/>
      <c r="F76" s="321" t="s">
        <v>41</v>
      </c>
      <c r="G76" s="326" t="s">
        <v>2676</v>
      </c>
      <c r="H76" s="326" t="s">
        <v>2677</v>
      </c>
      <c r="I76" s="326" t="s">
        <v>11</v>
      </c>
      <c r="J76" s="326" t="s">
        <v>21</v>
      </c>
      <c r="K76" s="326" t="s">
        <v>10</v>
      </c>
      <c r="L76" s="323"/>
      <c r="M76" s="374"/>
      <c r="N76" s="325" t="s">
        <v>438</v>
      </c>
      <c r="O76" s="326">
        <v>30</v>
      </c>
      <c r="P76" s="382">
        <v>37571</v>
      </c>
      <c r="Q76" s="383">
        <v>26864</v>
      </c>
      <c r="R76" s="399"/>
      <c r="S76" s="400"/>
      <c r="T76" s="400"/>
      <c r="U76" s="400"/>
      <c r="V76" s="330"/>
      <c r="W76" s="332" t="s">
        <v>432</v>
      </c>
      <c r="X76" s="331" t="s">
        <v>11079</v>
      </c>
      <c r="Y76" s="331" t="s">
        <v>11080</v>
      </c>
      <c r="Z76" s="331" t="s">
        <v>11080</v>
      </c>
      <c r="AA76" s="331" t="s">
        <v>210</v>
      </c>
      <c r="AB76" s="333" t="s">
        <v>504</v>
      </c>
      <c r="AC76" s="333"/>
      <c r="AD76" s="334" t="s">
        <v>125</v>
      </c>
      <c r="AE76" s="335" t="s">
        <v>43</v>
      </c>
      <c r="AF76" s="336"/>
      <c r="AG76" s="337"/>
      <c r="AH76" s="338">
        <v>21.5</v>
      </c>
      <c r="AI76" s="339">
        <v>32.700000000000003</v>
      </c>
      <c r="AJ76" s="339">
        <v>20.9</v>
      </c>
      <c r="AK76" s="340">
        <f>SUM(AH76:AJ76)</f>
        <v>75.099999999999994</v>
      </c>
      <c r="AL76" s="321" t="s">
        <v>210</v>
      </c>
      <c r="AM76" s="326" t="s">
        <v>15</v>
      </c>
      <c r="AN76" s="326" t="s">
        <v>15</v>
      </c>
      <c r="AO76" s="341" t="s">
        <v>15</v>
      </c>
      <c r="AP76" s="342"/>
      <c r="AQ76" s="343"/>
      <c r="AR76" s="370">
        <v>26460</v>
      </c>
      <c r="AS76" s="326">
        <v>180</v>
      </c>
      <c r="AT76" s="392">
        <v>1</v>
      </c>
      <c r="AU76" s="392"/>
      <c r="AV76" s="392">
        <v>1</v>
      </c>
      <c r="AW76" s="340"/>
      <c r="AX76" s="347"/>
      <c r="AY76" s="348"/>
      <c r="AZ76" s="377"/>
      <c r="BA76" s="374"/>
      <c r="BB76" s="374"/>
      <c r="BC76" s="374"/>
      <c r="BD76" s="374"/>
      <c r="BE76" s="374"/>
      <c r="BF76" s="374"/>
      <c r="BG76" s="374"/>
      <c r="BH76" s="378"/>
      <c r="BI76" s="376"/>
      <c r="BJ76" s="379"/>
      <c r="BK76" s="380"/>
      <c r="BL76" s="348"/>
      <c r="BM76" s="381"/>
      <c r="BN76" s="321" t="s">
        <v>14</v>
      </c>
      <c r="BO76" s="372"/>
      <c r="BP76" s="373" t="s">
        <v>14</v>
      </c>
      <c r="BQ76" s="360"/>
      <c r="BR76" s="361"/>
      <c r="BS76" s="361"/>
      <c r="BT76" s="361"/>
      <c r="BU76" s="342" t="s">
        <v>210</v>
      </c>
      <c r="BV76" s="342" t="s">
        <v>210</v>
      </c>
      <c r="BW76" s="341" t="s">
        <v>15</v>
      </c>
      <c r="BX76" s="361"/>
      <c r="BY76" s="362" t="s">
        <v>941</v>
      </c>
      <c r="BZ76" s="363"/>
      <c r="CA76" s="363"/>
      <c r="CB76" s="363"/>
      <c r="CC76" s="363"/>
      <c r="CD76" s="293"/>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row>
    <row r="77" spans="2:220" s="287" customFormat="1" ht="22.5" customHeight="1">
      <c r="B77" s="365">
        <v>210130</v>
      </c>
      <c r="C77" s="366" t="s">
        <v>106</v>
      </c>
      <c r="D77" s="367"/>
      <c r="E77" s="368"/>
      <c r="F77" s="321" t="s">
        <v>72</v>
      </c>
      <c r="G77" s="326" t="s">
        <v>2674</v>
      </c>
      <c r="H77" s="326" t="s">
        <v>2675</v>
      </c>
      <c r="I77" s="326" t="s">
        <v>11</v>
      </c>
      <c r="J77" s="326" t="s">
        <v>12</v>
      </c>
      <c r="K77" s="326" t="s">
        <v>31</v>
      </c>
      <c r="L77" s="323"/>
      <c r="M77" s="374"/>
      <c r="N77" s="325" t="s">
        <v>544</v>
      </c>
      <c r="O77" s="324">
        <v>100</v>
      </c>
      <c r="P77" s="646">
        <v>5394</v>
      </c>
      <c r="Q77" s="369">
        <v>5493</v>
      </c>
      <c r="R77" s="329" t="s">
        <v>552</v>
      </c>
      <c r="S77" s="330"/>
      <c r="T77" s="330"/>
      <c r="U77" s="330"/>
      <c r="V77" s="330"/>
      <c r="W77" s="332" t="s">
        <v>514</v>
      </c>
      <c r="X77" s="330"/>
      <c r="Y77" s="330"/>
      <c r="Z77" s="330"/>
      <c r="AA77" s="330"/>
      <c r="AB77" s="333"/>
      <c r="AC77" s="333"/>
      <c r="AD77" s="334" t="s">
        <v>107</v>
      </c>
      <c r="AE77" s="395" t="s">
        <v>42</v>
      </c>
      <c r="AF77" s="336"/>
      <c r="AG77" s="337"/>
      <c r="AH77" s="417" t="s">
        <v>210</v>
      </c>
      <c r="AI77" s="392" t="s">
        <v>210</v>
      </c>
      <c r="AJ77" s="392" t="s">
        <v>210</v>
      </c>
      <c r="AK77" s="340" t="s">
        <v>210</v>
      </c>
      <c r="AL77" s="321" t="s">
        <v>210</v>
      </c>
      <c r="AM77" s="326" t="s">
        <v>15</v>
      </c>
      <c r="AN77" s="326" t="s">
        <v>15</v>
      </c>
      <c r="AO77" s="341" t="s">
        <v>15</v>
      </c>
      <c r="AP77" s="342"/>
      <c r="AQ77" s="343"/>
      <c r="AR77" s="370">
        <v>7048</v>
      </c>
      <c r="AS77" s="326">
        <v>100</v>
      </c>
      <c r="AT77" s="392">
        <v>1</v>
      </c>
      <c r="AU77" s="392"/>
      <c r="AV77" s="392">
        <v>1</v>
      </c>
      <c r="AW77" s="340"/>
      <c r="AX77" s="347"/>
      <c r="AY77" s="348"/>
      <c r="AZ77" s="377"/>
      <c r="BA77" s="374"/>
      <c r="BB77" s="374"/>
      <c r="BC77" s="374"/>
      <c r="BD77" s="374"/>
      <c r="BE77" s="374"/>
      <c r="BF77" s="374"/>
      <c r="BG77" s="374"/>
      <c r="BH77" s="378"/>
      <c r="BI77" s="376"/>
      <c r="BJ77" s="379"/>
      <c r="BK77" s="380"/>
      <c r="BL77" s="348"/>
      <c r="BM77" s="381"/>
      <c r="BN77" s="321" t="s">
        <v>15</v>
      </c>
      <c r="BO77" s="372"/>
      <c r="BP77" s="373" t="s">
        <v>15</v>
      </c>
      <c r="BQ77" s="360"/>
      <c r="BR77" s="361"/>
      <c r="BS77" s="361"/>
      <c r="BT77" s="361"/>
      <c r="BU77" s="342" t="s">
        <v>210</v>
      </c>
      <c r="BV77" s="342" t="s">
        <v>210</v>
      </c>
      <c r="BW77" s="341" t="s">
        <v>15</v>
      </c>
      <c r="BX77" s="361"/>
      <c r="BY77" s="362"/>
      <c r="BZ77" s="363"/>
      <c r="CA77" s="363"/>
      <c r="CB77" s="363"/>
      <c r="CC77" s="363"/>
      <c r="CD77" s="293"/>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row>
    <row r="78" spans="2:220" s="287" customFormat="1" ht="22.5" customHeight="1">
      <c r="B78" s="365">
        <v>210131</v>
      </c>
      <c r="C78" s="366" t="s">
        <v>101</v>
      </c>
      <c r="D78" s="367"/>
      <c r="E78" s="368"/>
      <c r="F78" s="321" t="s">
        <v>57</v>
      </c>
      <c r="G78" s="326" t="s">
        <v>2672</v>
      </c>
      <c r="H78" s="326" t="s">
        <v>2673</v>
      </c>
      <c r="I78" s="326" t="s">
        <v>11</v>
      </c>
      <c r="J78" s="326" t="s">
        <v>12</v>
      </c>
      <c r="K78" s="326" t="s">
        <v>10</v>
      </c>
      <c r="L78" s="323"/>
      <c r="M78" s="374"/>
      <c r="N78" s="325" t="s">
        <v>437</v>
      </c>
      <c r="O78" s="326" t="s">
        <v>540</v>
      </c>
      <c r="P78" s="327">
        <v>1093</v>
      </c>
      <c r="Q78" s="369">
        <v>2993</v>
      </c>
      <c r="R78" s="329" t="s">
        <v>541</v>
      </c>
      <c r="S78" s="330"/>
      <c r="T78" s="394" t="s">
        <v>12567</v>
      </c>
      <c r="U78" s="394" t="s">
        <v>16336</v>
      </c>
      <c r="V78" s="330"/>
      <c r="W78" s="332" t="s">
        <v>514</v>
      </c>
      <c r="X78" s="330"/>
      <c r="Y78" s="330"/>
      <c r="Z78" s="330"/>
      <c r="AA78" s="330"/>
      <c r="AB78" s="333"/>
      <c r="AC78" s="333"/>
      <c r="AD78" s="334" t="s">
        <v>34</v>
      </c>
      <c r="AE78" s="335" t="s">
        <v>15</v>
      </c>
      <c r="AF78" s="336"/>
      <c r="AG78" s="337"/>
      <c r="AH78" s="417" t="s">
        <v>210</v>
      </c>
      <c r="AI78" s="392" t="s">
        <v>210</v>
      </c>
      <c r="AJ78" s="392" t="s">
        <v>210</v>
      </c>
      <c r="AK78" s="340" t="s">
        <v>210</v>
      </c>
      <c r="AL78" s="321" t="s">
        <v>210</v>
      </c>
      <c r="AM78" s="326" t="s">
        <v>15</v>
      </c>
      <c r="AN78" s="326" t="s">
        <v>15</v>
      </c>
      <c r="AO78" s="341" t="s">
        <v>15</v>
      </c>
      <c r="AP78" s="342"/>
      <c r="AQ78" s="343"/>
      <c r="AR78" s="370">
        <v>1366</v>
      </c>
      <c r="AS78" s="326">
        <v>100</v>
      </c>
      <c r="AT78" s="392">
        <v>1</v>
      </c>
      <c r="AU78" s="392"/>
      <c r="AV78" s="392">
        <v>1.5</v>
      </c>
      <c r="AW78" s="340"/>
      <c r="AX78" s="347"/>
      <c r="AY78" s="348"/>
      <c r="AZ78" s="377"/>
      <c r="BA78" s="374"/>
      <c r="BB78" s="374"/>
      <c r="BC78" s="374"/>
      <c r="BD78" s="374"/>
      <c r="BE78" s="374"/>
      <c r="BF78" s="374"/>
      <c r="BG78" s="374"/>
      <c r="BH78" s="378"/>
      <c r="BI78" s="376"/>
      <c r="BJ78" s="379"/>
      <c r="BK78" s="380"/>
      <c r="BL78" s="348"/>
      <c r="BM78" s="381"/>
      <c r="BN78" s="321" t="s">
        <v>14</v>
      </c>
      <c r="BO78" s="372">
        <v>1.07</v>
      </c>
      <c r="BP78" s="373" t="s">
        <v>14</v>
      </c>
      <c r="BQ78" s="360"/>
      <c r="BR78" s="361"/>
      <c r="BS78" s="361"/>
      <c r="BT78" s="361"/>
      <c r="BU78" s="342" t="s">
        <v>210</v>
      </c>
      <c r="BV78" s="342" t="s">
        <v>210</v>
      </c>
      <c r="BW78" s="341" t="s">
        <v>15</v>
      </c>
      <c r="BX78" s="361"/>
      <c r="BY78" s="362"/>
      <c r="BZ78" s="363"/>
      <c r="CA78" s="363"/>
      <c r="CB78" s="363"/>
      <c r="CC78" s="363"/>
      <c r="CD78" s="293"/>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row>
    <row r="79" spans="2:220" s="287" customFormat="1" ht="22.5" customHeight="1">
      <c r="B79" s="365">
        <v>210132</v>
      </c>
      <c r="C79" s="366" t="s">
        <v>102</v>
      </c>
      <c r="D79" s="367"/>
      <c r="E79" s="368"/>
      <c r="F79" s="321" t="s">
        <v>57</v>
      </c>
      <c r="G79" s="326" t="s">
        <v>2670</v>
      </c>
      <c r="H79" s="326" t="s">
        <v>2671</v>
      </c>
      <c r="I79" s="326" t="s">
        <v>11</v>
      </c>
      <c r="J79" s="326" t="s">
        <v>12</v>
      </c>
      <c r="K79" s="326" t="s">
        <v>10</v>
      </c>
      <c r="L79" s="323"/>
      <c r="M79" s="374"/>
      <c r="N79" s="325" t="s">
        <v>437</v>
      </c>
      <c r="O79" s="326" t="s">
        <v>540</v>
      </c>
      <c r="P79" s="327" t="s">
        <v>540</v>
      </c>
      <c r="Q79" s="369" t="s">
        <v>540</v>
      </c>
      <c r="R79" s="329" t="s">
        <v>541</v>
      </c>
      <c r="S79" s="330"/>
      <c r="T79" s="394" t="s">
        <v>12567</v>
      </c>
      <c r="U79" s="394" t="s">
        <v>16336</v>
      </c>
      <c r="V79" s="330"/>
      <c r="W79" s="332" t="s">
        <v>514</v>
      </c>
      <c r="X79" s="330"/>
      <c r="Y79" s="330"/>
      <c r="Z79" s="330"/>
      <c r="AA79" s="330"/>
      <c r="AB79" s="333"/>
      <c r="AC79" s="333"/>
      <c r="AD79" s="334" t="s">
        <v>34</v>
      </c>
      <c r="AE79" s="335" t="s">
        <v>15</v>
      </c>
      <c r="AF79" s="336"/>
      <c r="AG79" s="337"/>
      <c r="AH79" s="417" t="s">
        <v>210</v>
      </c>
      <c r="AI79" s="392" t="s">
        <v>210</v>
      </c>
      <c r="AJ79" s="392" t="s">
        <v>210</v>
      </c>
      <c r="AK79" s="340" t="s">
        <v>210</v>
      </c>
      <c r="AL79" s="321" t="s">
        <v>210</v>
      </c>
      <c r="AM79" s="326" t="s">
        <v>15</v>
      </c>
      <c r="AN79" s="326" t="s">
        <v>15</v>
      </c>
      <c r="AO79" s="341" t="s">
        <v>15</v>
      </c>
      <c r="AP79" s="342"/>
      <c r="AQ79" s="343"/>
      <c r="AR79" s="370">
        <v>1360</v>
      </c>
      <c r="AS79" s="326">
        <v>100</v>
      </c>
      <c r="AT79" s="392">
        <v>1</v>
      </c>
      <c r="AU79" s="392"/>
      <c r="AV79" s="392">
        <v>1.5</v>
      </c>
      <c r="AW79" s="340"/>
      <c r="AX79" s="347"/>
      <c r="AY79" s="348"/>
      <c r="AZ79" s="377"/>
      <c r="BA79" s="374"/>
      <c r="BB79" s="374"/>
      <c r="BC79" s="374"/>
      <c r="BD79" s="374"/>
      <c r="BE79" s="374"/>
      <c r="BF79" s="374"/>
      <c r="BG79" s="374"/>
      <c r="BH79" s="378"/>
      <c r="BI79" s="376"/>
      <c r="BJ79" s="379"/>
      <c r="BK79" s="380"/>
      <c r="BL79" s="348"/>
      <c r="BM79" s="381"/>
      <c r="BN79" s="321" t="s">
        <v>15</v>
      </c>
      <c r="BO79" s="372"/>
      <c r="BP79" s="373" t="s">
        <v>14</v>
      </c>
      <c r="BQ79" s="360"/>
      <c r="BR79" s="361"/>
      <c r="BS79" s="361"/>
      <c r="BT79" s="361"/>
      <c r="BU79" s="342" t="s">
        <v>210</v>
      </c>
      <c r="BV79" s="342" t="s">
        <v>210</v>
      </c>
      <c r="BW79" s="341" t="s">
        <v>15</v>
      </c>
      <c r="BX79" s="361"/>
      <c r="BY79" s="362"/>
      <c r="BZ79" s="363"/>
      <c r="CA79" s="363"/>
      <c r="CB79" s="363"/>
      <c r="CC79" s="363"/>
      <c r="CD79" s="293"/>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row>
    <row r="80" spans="2:220" s="287" customFormat="1" ht="22.5" customHeight="1">
      <c r="B80" s="365">
        <v>210133</v>
      </c>
      <c r="C80" s="366" t="s">
        <v>13071</v>
      </c>
      <c r="D80" s="367"/>
      <c r="E80" s="368"/>
      <c r="F80" s="321" t="s">
        <v>233</v>
      </c>
      <c r="G80" s="326" t="s">
        <v>2668</v>
      </c>
      <c r="H80" s="326" t="s">
        <v>2669</v>
      </c>
      <c r="I80" s="326" t="s">
        <v>11</v>
      </c>
      <c r="J80" s="326" t="s">
        <v>12</v>
      </c>
      <c r="K80" s="326" t="s">
        <v>10</v>
      </c>
      <c r="L80" s="323"/>
      <c r="M80" s="324" t="s">
        <v>10767</v>
      </c>
      <c r="N80" s="325" t="s">
        <v>438</v>
      </c>
      <c r="O80" s="326">
        <v>30</v>
      </c>
      <c r="P80" s="327">
        <v>2910</v>
      </c>
      <c r="Q80" s="369">
        <v>2948</v>
      </c>
      <c r="R80" s="329" t="s">
        <v>447</v>
      </c>
      <c r="S80" s="330"/>
      <c r="T80" s="331" t="s">
        <v>11087</v>
      </c>
      <c r="U80" s="331" t="s">
        <v>16355</v>
      </c>
      <c r="V80" s="330"/>
      <c r="W80" s="332" t="s">
        <v>432</v>
      </c>
      <c r="X80" s="331" t="s">
        <v>11079</v>
      </c>
      <c r="Y80" s="331" t="s">
        <v>11080</v>
      </c>
      <c r="Z80" s="331" t="s">
        <v>11080</v>
      </c>
      <c r="AA80" s="331" t="s">
        <v>210</v>
      </c>
      <c r="AB80" s="333"/>
      <c r="AC80" s="333"/>
      <c r="AD80" s="334" t="s">
        <v>272</v>
      </c>
      <c r="AE80" s="335" t="s">
        <v>104</v>
      </c>
      <c r="AF80" s="336"/>
      <c r="AG80" s="337"/>
      <c r="AH80" s="338">
        <v>4.9000000000000004</v>
      </c>
      <c r="AI80" s="339">
        <v>12.8</v>
      </c>
      <c r="AJ80" s="339">
        <v>13.2</v>
      </c>
      <c r="AK80" s="340">
        <f>SUM(AH80:AJ80)</f>
        <v>30.900000000000002</v>
      </c>
      <c r="AL80" s="321" t="s">
        <v>210</v>
      </c>
      <c r="AM80" s="326" t="s">
        <v>15</v>
      </c>
      <c r="AN80" s="326" t="s">
        <v>15</v>
      </c>
      <c r="AO80" s="341" t="s">
        <v>15</v>
      </c>
      <c r="AP80" s="342"/>
      <c r="AQ80" s="343"/>
      <c r="AR80" s="370">
        <v>3153</v>
      </c>
      <c r="AS80" s="326">
        <v>100</v>
      </c>
      <c r="AT80" s="392">
        <v>0.6</v>
      </c>
      <c r="AU80" s="392"/>
      <c r="AV80" s="392">
        <v>0.6</v>
      </c>
      <c r="AW80" s="340"/>
      <c r="AX80" s="347"/>
      <c r="AY80" s="348"/>
      <c r="AZ80" s="377"/>
      <c r="BA80" s="374"/>
      <c r="BB80" s="374"/>
      <c r="BC80" s="374"/>
      <c r="BD80" s="374"/>
      <c r="BE80" s="374"/>
      <c r="BF80" s="374"/>
      <c r="BG80" s="374"/>
      <c r="BH80" s="378"/>
      <c r="BI80" s="376"/>
      <c r="BJ80" s="379"/>
      <c r="BK80" s="380"/>
      <c r="BL80" s="348"/>
      <c r="BM80" s="381"/>
      <c r="BN80" s="321" t="s">
        <v>15</v>
      </c>
      <c r="BO80" s="372"/>
      <c r="BP80" s="373" t="s">
        <v>15</v>
      </c>
      <c r="BQ80" s="360"/>
      <c r="BR80" s="361"/>
      <c r="BS80" s="361"/>
      <c r="BT80" s="361"/>
      <c r="BU80" s="342" t="s">
        <v>210</v>
      </c>
      <c r="BV80" s="342" t="s">
        <v>210</v>
      </c>
      <c r="BW80" s="341" t="s">
        <v>15</v>
      </c>
      <c r="BX80" s="361"/>
      <c r="BY80" s="362"/>
      <c r="BZ80" s="363"/>
      <c r="CA80" s="363"/>
      <c r="CB80" s="363"/>
      <c r="CC80" s="363"/>
      <c r="CD80" s="293"/>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row>
    <row r="81" spans="2:220" s="287" customFormat="1" ht="22.5" customHeight="1">
      <c r="B81" s="365">
        <v>210134</v>
      </c>
      <c r="C81" s="366" t="s">
        <v>103</v>
      </c>
      <c r="D81" s="367"/>
      <c r="E81" s="368"/>
      <c r="F81" s="321" t="s">
        <v>59</v>
      </c>
      <c r="G81" s="326" t="s">
        <v>2666</v>
      </c>
      <c r="H81" s="326" t="s">
        <v>2667</v>
      </c>
      <c r="I81" s="326" t="s">
        <v>11</v>
      </c>
      <c r="J81" s="326" t="s">
        <v>12</v>
      </c>
      <c r="K81" s="326" t="s">
        <v>10</v>
      </c>
      <c r="L81" s="323"/>
      <c r="M81" s="374"/>
      <c r="N81" s="325" t="s">
        <v>553</v>
      </c>
      <c r="O81" s="326">
        <v>30</v>
      </c>
      <c r="P81" s="327">
        <v>6076</v>
      </c>
      <c r="Q81" s="369">
        <v>6191</v>
      </c>
      <c r="R81" s="329" t="s">
        <v>1085</v>
      </c>
      <c r="S81" s="330"/>
      <c r="T81" s="330"/>
      <c r="U81" s="330"/>
      <c r="V81" s="330"/>
      <c r="W81" s="645"/>
      <c r="X81" s="330"/>
      <c r="Y81" s="330"/>
      <c r="Z81" s="330"/>
      <c r="AA81" s="330"/>
      <c r="AB81" s="333"/>
      <c r="AC81" s="333"/>
      <c r="AD81" s="334" t="s">
        <v>34</v>
      </c>
      <c r="AE81" s="335" t="s">
        <v>104</v>
      </c>
      <c r="AF81" s="336"/>
      <c r="AG81" s="337"/>
      <c r="AH81" s="417" t="s">
        <v>210</v>
      </c>
      <c r="AI81" s="392" t="s">
        <v>210</v>
      </c>
      <c r="AJ81" s="392" t="s">
        <v>210</v>
      </c>
      <c r="AK81" s="340" t="s">
        <v>210</v>
      </c>
      <c r="AL81" s="321" t="s">
        <v>210</v>
      </c>
      <c r="AM81" s="326" t="s">
        <v>15</v>
      </c>
      <c r="AN81" s="326" t="s">
        <v>15</v>
      </c>
      <c r="AO81" s="341" t="s">
        <v>15</v>
      </c>
      <c r="AP81" s="342"/>
      <c r="AQ81" s="343"/>
      <c r="AR81" s="370">
        <v>6761</v>
      </c>
      <c r="AS81" s="326">
        <v>150</v>
      </c>
      <c r="AT81" s="392">
        <v>0.6</v>
      </c>
      <c r="AU81" s="392"/>
      <c r="AV81" s="392">
        <v>0.8</v>
      </c>
      <c r="AW81" s="340"/>
      <c r="AX81" s="347"/>
      <c r="AY81" s="348"/>
      <c r="AZ81" s="377"/>
      <c r="BA81" s="374"/>
      <c r="BB81" s="374"/>
      <c r="BC81" s="374"/>
      <c r="BD81" s="374"/>
      <c r="BE81" s="374"/>
      <c r="BF81" s="374"/>
      <c r="BG81" s="374"/>
      <c r="BH81" s="378"/>
      <c r="BI81" s="376"/>
      <c r="BJ81" s="379"/>
      <c r="BK81" s="380"/>
      <c r="BL81" s="348"/>
      <c r="BM81" s="381"/>
      <c r="BN81" s="321" t="s">
        <v>15</v>
      </c>
      <c r="BO81" s="372"/>
      <c r="BP81" s="373" t="s">
        <v>15</v>
      </c>
      <c r="BQ81" s="360"/>
      <c r="BR81" s="361"/>
      <c r="BS81" s="361"/>
      <c r="BT81" s="361"/>
      <c r="BU81" s="342" t="s">
        <v>210</v>
      </c>
      <c r="BV81" s="342" t="s">
        <v>210</v>
      </c>
      <c r="BW81" s="341" t="s">
        <v>15</v>
      </c>
      <c r="BX81" s="361"/>
      <c r="BY81" s="362"/>
      <c r="BZ81" s="363"/>
      <c r="CA81" s="363"/>
      <c r="CB81" s="363"/>
      <c r="CC81" s="363"/>
      <c r="CD81" s="293"/>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row>
    <row r="82" spans="2:220" s="287" customFormat="1" ht="22.5" customHeight="1">
      <c r="B82" s="365">
        <v>220101</v>
      </c>
      <c r="C82" s="366" t="s">
        <v>13070</v>
      </c>
      <c r="D82" s="367"/>
      <c r="E82" s="368"/>
      <c r="F82" s="321" t="s">
        <v>13</v>
      </c>
      <c r="G82" s="326" t="s">
        <v>2635</v>
      </c>
      <c r="H82" s="326" t="s">
        <v>2665</v>
      </c>
      <c r="I82" s="326" t="s">
        <v>11</v>
      </c>
      <c r="J82" s="326" t="s">
        <v>12</v>
      </c>
      <c r="K82" s="326" t="s">
        <v>10</v>
      </c>
      <c r="L82" s="323"/>
      <c r="M82" s="324" t="s">
        <v>10767</v>
      </c>
      <c r="N82" s="325" t="s">
        <v>437</v>
      </c>
      <c r="O82" s="326">
        <v>30</v>
      </c>
      <c r="P82" s="327">
        <v>2811</v>
      </c>
      <c r="Q82" s="369">
        <v>2852</v>
      </c>
      <c r="R82" s="329" t="s">
        <v>447</v>
      </c>
      <c r="S82" s="331"/>
      <c r="T82" s="331" t="s">
        <v>11087</v>
      </c>
      <c r="U82" s="331" t="s">
        <v>16355</v>
      </c>
      <c r="V82" s="330"/>
      <c r="W82" s="332" t="s">
        <v>432</v>
      </c>
      <c r="X82" s="331" t="s">
        <v>11079</v>
      </c>
      <c r="Y82" s="331" t="s">
        <v>11080</v>
      </c>
      <c r="Z82" s="331" t="s">
        <v>11080</v>
      </c>
      <c r="AA82" s="331" t="s">
        <v>210</v>
      </c>
      <c r="AB82" s="333"/>
      <c r="AC82" s="333"/>
      <c r="AD82" s="334" t="s">
        <v>272</v>
      </c>
      <c r="AE82" s="335" t="s">
        <v>15</v>
      </c>
      <c r="AF82" s="336"/>
      <c r="AG82" s="337"/>
      <c r="AH82" s="338">
        <v>5.9</v>
      </c>
      <c r="AI82" s="339">
        <v>26.3</v>
      </c>
      <c r="AJ82" s="339">
        <v>13.4</v>
      </c>
      <c r="AK82" s="340">
        <f>SUM(AH82:AJ82)</f>
        <v>45.6</v>
      </c>
      <c r="AL82" s="321" t="s">
        <v>210</v>
      </c>
      <c r="AM82" s="326" t="s">
        <v>15</v>
      </c>
      <c r="AN82" s="326" t="s">
        <v>15</v>
      </c>
      <c r="AO82" s="341" t="s">
        <v>15</v>
      </c>
      <c r="AP82" s="342"/>
      <c r="AQ82" s="343"/>
      <c r="AR82" s="370">
        <v>3282</v>
      </c>
      <c r="AS82" s="326">
        <v>100</v>
      </c>
      <c r="AT82" s="392">
        <v>1</v>
      </c>
      <c r="AU82" s="392"/>
      <c r="AV82" s="392">
        <v>1</v>
      </c>
      <c r="AW82" s="340"/>
      <c r="AX82" s="347"/>
      <c r="AY82" s="348"/>
      <c r="AZ82" s="377"/>
      <c r="BA82" s="374"/>
      <c r="BB82" s="374"/>
      <c r="BC82" s="374"/>
      <c r="BD82" s="374"/>
      <c r="BE82" s="374"/>
      <c r="BF82" s="374"/>
      <c r="BG82" s="374"/>
      <c r="BH82" s="378"/>
      <c r="BI82" s="376"/>
      <c r="BJ82" s="379"/>
      <c r="BK82" s="380"/>
      <c r="BL82" s="348"/>
      <c r="BM82" s="381"/>
      <c r="BN82" s="321" t="s">
        <v>14</v>
      </c>
      <c r="BO82" s="372"/>
      <c r="BP82" s="373" t="s">
        <v>15</v>
      </c>
      <c r="BQ82" s="360"/>
      <c r="BR82" s="361"/>
      <c r="BS82" s="361"/>
      <c r="BT82" s="361"/>
      <c r="BU82" s="342" t="s">
        <v>210</v>
      </c>
      <c r="BV82" s="342" t="s">
        <v>210</v>
      </c>
      <c r="BW82" s="341" t="s">
        <v>15</v>
      </c>
      <c r="BX82" s="361"/>
      <c r="BY82" s="362"/>
      <c r="BZ82" s="363"/>
      <c r="CA82" s="363"/>
      <c r="CB82" s="363"/>
      <c r="CC82" s="363"/>
      <c r="CD82" s="293"/>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row>
    <row r="83" spans="2:220" s="287" customFormat="1" ht="22.5" customHeight="1">
      <c r="B83" s="365">
        <v>220102</v>
      </c>
      <c r="C83" s="366" t="s">
        <v>156</v>
      </c>
      <c r="D83" s="367"/>
      <c r="E83" s="368"/>
      <c r="F83" s="321" t="s">
        <v>157</v>
      </c>
      <c r="G83" s="326" t="s">
        <v>2625</v>
      </c>
      <c r="H83" s="326" t="s">
        <v>2626</v>
      </c>
      <c r="I83" s="326" t="s">
        <v>11</v>
      </c>
      <c r="J83" s="326" t="s">
        <v>12</v>
      </c>
      <c r="K83" s="326" t="s">
        <v>10</v>
      </c>
      <c r="L83" s="323"/>
      <c r="M83" s="324" t="s">
        <v>10767</v>
      </c>
      <c r="N83" s="325" t="s">
        <v>438</v>
      </c>
      <c r="O83" s="326">
        <v>200</v>
      </c>
      <c r="P83" s="327">
        <v>2096</v>
      </c>
      <c r="Q83" s="369">
        <v>2289</v>
      </c>
      <c r="R83" s="329" t="s">
        <v>432</v>
      </c>
      <c r="S83" s="331" t="s">
        <v>11079</v>
      </c>
      <c r="T83" s="331" t="s">
        <v>11079</v>
      </c>
      <c r="U83" s="331" t="s">
        <v>11079</v>
      </c>
      <c r="V83" s="331" t="s">
        <v>295</v>
      </c>
      <c r="W83" s="332" t="s">
        <v>432</v>
      </c>
      <c r="X83" s="331" t="s">
        <v>11079</v>
      </c>
      <c r="Y83" s="331" t="s">
        <v>11080</v>
      </c>
      <c r="Z83" s="331" t="s">
        <v>11080</v>
      </c>
      <c r="AA83" s="331" t="s">
        <v>210</v>
      </c>
      <c r="AB83" s="333"/>
      <c r="AC83" s="333"/>
      <c r="AD83" s="396" t="s">
        <v>2320</v>
      </c>
      <c r="AE83" s="335" t="s">
        <v>158</v>
      </c>
      <c r="AF83" s="336"/>
      <c r="AG83" s="337"/>
      <c r="AH83" s="338">
        <v>9.9</v>
      </c>
      <c r="AI83" s="339">
        <v>39.700000000000003</v>
      </c>
      <c r="AJ83" s="339">
        <v>30.7</v>
      </c>
      <c r="AK83" s="340">
        <f>SUM(AH83:AJ83)</f>
        <v>80.3</v>
      </c>
      <c r="AL83" s="321" t="s">
        <v>210</v>
      </c>
      <c r="AM83" s="326" t="s">
        <v>15</v>
      </c>
      <c r="AN83" s="326" t="s">
        <v>15</v>
      </c>
      <c r="AO83" s="341" t="s">
        <v>15</v>
      </c>
      <c r="AP83" s="342"/>
      <c r="AQ83" s="343"/>
      <c r="AR83" s="370">
        <v>2554</v>
      </c>
      <c r="AS83" s="326">
        <v>120</v>
      </c>
      <c r="AT83" s="392">
        <v>0.8</v>
      </c>
      <c r="AU83" s="392"/>
      <c r="AV83" s="392">
        <v>0.8</v>
      </c>
      <c r="AW83" s="340"/>
      <c r="AX83" s="347"/>
      <c r="AY83" s="348"/>
      <c r="AZ83" s="377"/>
      <c r="BA83" s="374"/>
      <c r="BB83" s="374"/>
      <c r="BC83" s="374"/>
      <c r="BD83" s="374"/>
      <c r="BE83" s="374"/>
      <c r="BF83" s="374"/>
      <c r="BG83" s="374"/>
      <c r="BH83" s="378"/>
      <c r="BI83" s="376"/>
      <c r="BJ83" s="379"/>
      <c r="BK83" s="380"/>
      <c r="BL83" s="348"/>
      <c r="BM83" s="381"/>
      <c r="BN83" s="321" t="s">
        <v>14</v>
      </c>
      <c r="BO83" s="372"/>
      <c r="BP83" s="373" t="s">
        <v>15</v>
      </c>
      <c r="BQ83" s="360"/>
      <c r="BR83" s="361"/>
      <c r="BS83" s="361"/>
      <c r="BT83" s="361"/>
      <c r="BU83" s="342" t="s">
        <v>210</v>
      </c>
      <c r="BV83" s="342" t="s">
        <v>210</v>
      </c>
      <c r="BW83" s="341" t="s">
        <v>15</v>
      </c>
      <c r="BX83" s="361"/>
      <c r="BY83" s="362"/>
      <c r="BZ83" s="363"/>
      <c r="CA83" s="363"/>
      <c r="CB83" s="363"/>
      <c r="CC83" s="363"/>
      <c r="CD83" s="293"/>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row>
    <row r="84" spans="2:220" s="287" customFormat="1" ht="22.5" customHeight="1">
      <c r="B84" s="365">
        <v>220103</v>
      </c>
      <c r="C84" s="366" t="s">
        <v>13896</v>
      </c>
      <c r="D84" s="367"/>
      <c r="E84" s="368"/>
      <c r="F84" s="321" t="s">
        <v>69</v>
      </c>
      <c r="G84" s="326" t="s">
        <v>2663</v>
      </c>
      <c r="H84" s="326" t="s">
        <v>2664</v>
      </c>
      <c r="I84" s="326" t="s">
        <v>11</v>
      </c>
      <c r="J84" s="326" t="s">
        <v>12</v>
      </c>
      <c r="K84" s="326" t="s">
        <v>10</v>
      </c>
      <c r="L84" s="323"/>
      <c r="M84" s="374"/>
      <c r="N84" s="325" t="s">
        <v>437</v>
      </c>
      <c r="O84" s="326" t="s">
        <v>210</v>
      </c>
      <c r="P84" s="327" t="s">
        <v>210</v>
      </c>
      <c r="Q84" s="369" t="s">
        <v>210</v>
      </c>
      <c r="R84" s="329" t="s">
        <v>541</v>
      </c>
      <c r="S84" s="330"/>
      <c r="T84" s="394" t="s">
        <v>12567</v>
      </c>
      <c r="U84" s="394" t="s">
        <v>16336</v>
      </c>
      <c r="V84" s="330"/>
      <c r="W84" s="332" t="s">
        <v>514</v>
      </c>
      <c r="X84" s="330"/>
      <c r="Y84" s="330"/>
      <c r="Z84" s="330"/>
      <c r="AA84" s="330"/>
      <c r="AB84" s="333"/>
      <c r="AC84" s="333"/>
      <c r="AD84" s="334" t="s">
        <v>34</v>
      </c>
      <c r="AE84" s="335" t="s">
        <v>15</v>
      </c>
      <c r="AF84" s="336"/>
      <c r="AG84" s="337"/>
      <c r="AH84" s="417" t="s">
        <v>210</v>
      </c>
      <c r="AI84" s="392" t="s">
        <v>210</v>
      </c>
      <c r="AJ84" s="392" t="s">
        <v>210</v>
      </c>
      <c r="AK84" s="340" t="s">
        <v>210</v>
      </c>
      <c r="AL84" s="321" t="s">
        <v>210</v>
      </c>
      <c r="AM84" s="326" t="s">
        <v>15</v>
      </c>
      <c r="AN84" s="326" t="s">
        <v>15</v>
      </c>
      <c r="AO84" s="341" t="s">
        <v>15</v>
      </c>
      <c r="AP84" s="342"/>
      <c r="AQ84" s="343"/>
      <c r="AR84" s="370">
        <v>1179</v>
      </c>
      <c r="AS84" s="326">
        <v>100</v>
      </c>
      <c r="AT84" s="392">
        <v>0.6</v>
      </c>
      <c r="AU84" s="392"/>
      <c r="AV84" s="392">
        <v>0.9</v>
      </c>
      <c r="AW84" s="340"/>
      <c r="AX84" s="347"/>
      <c r="AY84" s="348"/>
      <c r="AZ84" s="377"/>
      <c r="BA84" s="374"/>
      <c r="BB84" s="374"/>
      <c r="BC84" s="374"/>
      <c r="BD84" s="374"/>
      <c r="BE84" s="374"/>
      <c r="BF84" s="374"/>
      <c r="BG84" s="374"/>
      <c r="BH84" s="378"/>
      <c r="BI84" s="376"/>
      <c r="BJ84" s="379"/>
      <c r="BK84" s="380"/>
      <c r="BL84" s="348"/>
      <c r="BM84" s="381"/>
      <c r="BN84" s="321" t="s">
        <v>15</v>
      </c>
      <c r="BO84" s="372"/>
      <c r="BP84" s="373" t="s">
        <v>14</v>
      </c>
      <c r="BQ84" s="360"/>
      <c r="BR84" s="361"/>
      <c r="BS84" s="361"/>
      <c r="BT84" s="361"/>
      <c r="BU84" s="342" t="s">
        <v>210</v>
      </c>
      <c r="BV84" s="342" t="s">
        <v>210</v>
      </c>
      <c r="BW84" s="341" t="s">
        <v>15</v>
      </c>
      <c r="BX84" s="361"/>
      <c r="BY84" s="362"/>
      <c r="BZ84" s="363"/>
      <c r="CA84" s="363"/>
      <c r="CB84" s="363"/>
      <c r="CC84" s="363"/>
      <c r="CD84" s="293"/>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row>
    <row r="85" spans="2:220" s="287" customFormat="1" ht="22.5" customHeight="1">
      <c r="B85" s="365">
        <v>220104</v>
      </c>
      <c r="C85" s="366" t="s">
        <v>7776</v>
      </c>
      <c r="D85" s="367"/>
      <c r="E85" s="368"/>
      <c r="F85" s="321" t="s">
        <v>69</v>
      </c>
      <c r="G85" s="326" t="s">
        <v>2661</v>
      </c>
      <c r="H85" s="326" t="s">
        <v>2662</v>
      </c>
      <c r="I85" s="326" t="s">
        <v>11</v>
      </c>
      <c r="J85" s="326" t="s">
        <v>12</v>
      </c>
      <c r="K85" s="326" t="s">
        <v>10</v>
      </c>
      <c r="L85" s="323"/>
      <c r="M85" s="374"/>
      <c r="N85" s="325" t="s">
        <v>437</v>
      </c>
      <c r="O85" s="326" t="s">
        <v>210</v>
      </c>
      <c r="P85" s="327" t="s">
        <v>210</v>
      </c>
      <c r="Q85" s="369" t="s">
        <v>210</v>
      </c>
      <c r="R85" s="329" t="s">
        <v>541</v>
      </c>
      <c r="S85" s="330"/>
      <c r="T85" s="394" t="s">
        <v>12567</v>
      </c>
      <c r="U85" s="394" t="s">
        <v>16336</v>
      </c>
      <c r="V85" s="330"/>
      <c r="W85" s="332" t="s">
        <v>514</v>
      </c>
      <c r="X85" s="330"/>
      <c r="Y85" s="330"/>
      <c r="Z85" s="330"/>
      <c r="AA85" s="330"/>
      <c r="AB85" s="333"/>
      <c r="AC85" s="333"/>
      <c r="AD85" s="396" t="s">
        <v>2320</v>
      </c>
      <c r="AE85" s="335" t="s">
        <v>15</v>
      </c>
      <c r="AF85" s="336"/>
      <c r="AG85" s="337"/>
      <c r="AH85" s="417" t="s">
        <v>210</v>
      </c>
      <c r="AI85" s="392" t="s">
        <v>210</v>
      </c>
      <c r="AJ85" s="392" t="s">
        <v>210</v>
      </c>
      <c r="AK85" s="340" t="s">
        <v>210</v>
      </c>
      <c r="AL85" s="321" t="s">
        <v>210</v>
      </c>
      <c r="AM85" s="326" t="s">
        <v>15</v>
      </c>
      <c r="AN85" s="326" t="s">
        <v>15</v>
      </c>
      <c r="AO85" s="341" t="s">
        <v>15</v>
      </c>
      <c r="AP85" s="342"/>
      <c r="AQ85" s="343"/>
      <c r="AR85" s="370">
        <v>1169</v>
      </c>
      <c r="AS85" s="326">
        <v>100</v>
      </c>
      <c r="AT85" s="392">
        <v>0.8</v>
      </c>
      <c r="AU85" s="392"/>
      <c r="AV85" s="392">
        <v>0.8</v>
      </c>
      <c r="AW85" s="340"/>
      <c r="AX85" s="347"/>
      <c r="AY85" s="348"/>
      <c r="AZ85" s="377"/>
      <c r="BA85" s="374"/>
      <c r="BB85" s="374"/>
      <c r="BC85" s="374"/>
      <c r="BD85" s="374"/>
      <c r="BE85" s="374"/>
      <c r="BF85" s="374"/>
      <c r="BG85" s="374"/>
      <c r="BH85" s="378"/>
      <c r="BI85" s="376"/>
      <c r="BJ85" s="379"/>
      <c r="BK85" s="380"/>
      <c r="BL85" s="348"/>
      <c r="BM85" s="381"/>
      <c r="BN85" s="321" t="s">
        <v>15</v>
      </c>
      <c r="BO85" s="372"/>
      <c r="BP85" s="373" t="s">
        <v>15</v>
      </c>
      <c r="BQ85" s="360"/>
      <c r="BR85" s="361"/>
      <c r="BS85" s="361"/>
      <c r="BT85" s="361"/>
      <c r="BU85" s="342" t="s">
        <v>210</v>
      </c>
      <c r="BV85" s="342" t="s">
        <v>210</v>
      </c>
      <c r="BW85" s="341" t="s">
        <v>15</v>
      </c>
      <c r="BX85" s="361"/>
      <c r="BY85" s="362"/>
      <c r="BZ85" s="363"/>
      <c r="CA85" s="363"/>
      <c r="CB85" s="363"/>
      <c r="CC85" s="363"/>
      <c r="CD85" s="293"/>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row>
    <row r="86" spans="2:220" s="287" customFormat="1" ht="22.5" customHeight="1">
      <c r="B86" s="365">
        <v>220105</v>
      </c>
      <c r="C86" s="366" t="s">
        <v>111</v>
      </c>
      <c r="D86" s="367"/>
      <c r="E86" s="368"/>
      <c r="F86" s="321" t="s">
        <v>80</v>
      </c>
      <c r="G86" s="326" t="s">
        <v>2659</v>
      </c>
      <c r="H86" s="326" t="s">
        <v>2660</v>
      </c>
      <c r="I86" s="326" t="s">
        <v>11</v>
      </c>
      <c r="J86" s="326" t="s">
        <v>12</v>
      </c>
      <c r="K86" s="326" t="s">
        <v>31</v>
      </c>
      <c r="L86" s="323"/>
      <c r="M86" s="374"/>
      <c r="N86" s="325" t="s">
        <v>437</v>
      </c>
      <c r="O86" s="326" t="s">
        <v>210</v>
      </c>
      <c r="P86" s="327" t="s">
        <v>210</v>
      </c>
      <c r="Q86" s="369" t="s">
        <v>210</v>
      </c>
      <c r="R86" s="329" t="s">
        <v>1437</v>
      </c>
      <c r="S86" s="330"/>
      <c r="T86" s="330"/>
      <c r="U86" s="330"/>
      <c r="V86" s="330"/>
      <c r="W86" s="330"/>
      <c r="X86" s="330"/>
      <c r="Y86" s="330"/>
      <c r="Z86" s="330"/>
      <c r="AA86" s="330"/>
      <c r="AB86" s="333"/>
      <c r="AC86" s="333"/>
      <c r="AD86" s="334" t="s">
        <v>112</v>
      </c>
      <c r="AE86" s="335" t="s">
        <v>15</v>
      </c>
      <c r="AF86" s="336"/>
      <c r="AG86" s="337"/>
      <c r="AH86" s="417" t="s">
        <v>210</v>
      </c>
      <c r="AI86" s="392" t="s">
        <v>210</v>
      </c>
      <c r="AJ86" s="392" t="s">
        <v>210</v>
      </c>
      <c r="AK86" s="340" t="s">
        <v>210</v>
      </c>
      <c r="AL86" s="321" t="s">
        <v>210</v>
      </c>
      <c r="AM86" s="326" t="s">
        <v>15</v>
      </c>
      <c r="AN86" s="326" t="s">
        <v>15</v>
      </c>
      <c r="AO86" s="341" t="s">
        <v>15</v>
      </c>
      <c r="AP86" s="342"/>
      <c r="AQ86" s="343"/>
      <c r="AR86" s="370">
        <v>177</v>
      </c>
      <c r="AS86" s="326">
        <v>120</v>
      </c>
      <c r="AT86" s="392">
        <v>0.8</v>
      </c>
      <c r="AU86" s="392"/>
      <c r="AV86" s="392">
        <v>1</v>
      </c>
      <c r="AW86" s="340"/>
      <c r="AX86" s="347"/>
      <c r="AY86" s="348"/>
      <c r="AZ86" s="377"/>
      <c r="BA86" s="374"/>
      <c r="BB86" s="374"/>
      <c r="BC86" s="374"/>
      <c r="BD86" s="374"/>
      <c r="BE86" s="374"/>
      <c r="BF86" s="374"/>
      <c r="BG86" s="374"/>
      <c r="BH86" s="378"/>
      <c r="BI86" s="376"/>
      <c r="BJ86" s="379"/>
      <c r="BK86" s="380"/>
      <c r="BL86" s="348"/>
      <c r="BM86" s="381"/>
      <c r="BN86" s="321" t="s">
        <v>15</v>
      </c>
      <c r="BO86" s="372"/>
      <c r="BP86" s="373" t="s">
        <v>14</v>
      </c>
      <c r="BQ86" s="360"/>
      <c r="BR86" s="361"/>
      <c r="BS86" s="361"/>
      <c r="BT86" s="361"/>
      <c r="BU86" s="342" t="s">
        <v>210</v>
      </c>
      <c r="BV86" s="342" t="s">
        <v>210</v>
      </c>
      <c r="BW86" s="341" t="s">
        <v>15</v>
      </c>
      <c r="BX86" s="361"/>
      <c r="BY86" s="362"/>
      <c r="BZ86" s="363"/>
      <c r="CA86" s="363"/>
      <c r="CB86" s="363"/>
      <c r="CC86" s="363"/>
      <c r="CD86" s="293"/>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row>
    <row r="87" spans="2:220" s="287" customFormat="1" ht="22.5" customHeight="1">
      <c r="B87" s="365">
        <v>220105</v>
      </c>
      <c r="C87" s="366" t="s">
        <v>113</v>
      </c>
      <c r="D87" s="367"/>
      <c r="E87" s="368"/>
      <c r="F87" s="321" t="s">
        <v>80</v>
      </c>
      <c r="G87" s="326" t="s">
        <v>2659</v>
      </c>
      <c r="H87" s="326" t="s">
        <v>2660</v>
      </c>
      <c r="I87" s="326" t="s">
        <v>11</v>
      </c>
      <c r="J87" s="326" t="s">
        <v>21</v>
      </c>
      <c r="K87" s="326" t="s">
        <v>31</v>
      </c>
      <c r="L87" s="323"/>
      <c r="M87" s="374"/>
      <c r="N87" s="325" t="s">
        <v>437</v>
      </c>
      <c r="O87" s="326" t="s">
        <v>210</v>
      </c>
      <c r="P87" s="327" t="s">
        <v>210</v>
      </c>
      <c r="Q87" s="369" t="s">
        <v>210</v>
      </c>
      <c r="R87" s="329" t="s">
        <v>1437</v>
      </c>
      <c r="S87" s="330"/>
      <c r="T87" s="330"/>
      <c r="U87" s="330"/>
      <c r="V87" s="330"/>
      <c r="W87" s="330"/>
      <c r="X87" s="330"/>
      <c r="Y87" s="330"/>
      <c r="Z87" s="330"/>
      <c r="AA87" s="330"/>
      <c r="AB87" s="333"/>
      <c r="AC87" s="333"/>
      <c r="AD87" s="334" t="s">
        <v>112</v>
      </c>
      <c r="AE87" s="335" t="s">
        <v>15</v>
      </c>
      <c r="AF87" s="336"/>
      <c r="AG87" s="337"/>
      <c r="AH87" s="417" t="s">
        <v>210</v>
      </c>
      <c r="AI87" s="392" t="s">
        <v>210</v>
      </c>
      <c r="AJ87" s="392" t="s">
        <v>210</v>
      </c>
      <c r="AK87" s="340" t="s">
        <v>210</v>
      </c>
      <c r="AL87" s="321" t="s">
        <v>210</v>
      </c>
      <c r="AM87" s="326" t="s">
        <v>15</v>
      </c>
      <c r="AN87" s="326" t="s">
        <v>15</v>
      </c>
      <c r="AO87" s="341" t="s">
        <v>15</v>
      </c>
      <c r="AP87" s="342"/>
      <c r="AQ87" s="343"/>
      <c r="AR87" s="370">
        <v>105</v>
      </c>
      <c r="AS87" s="326">
        <v>60</v>
      </c>
      <c r="AT87" s="392">
        <v>0.8</v>
      </c>
      <c r="AU87" s="392"/>
      <c r="AV87" s="392">
        <v>1</v>
      </c>
      <c r="AW87" s="340"/>
      <c r="AX87" s="347"/>
      <c r="AY87" s="348"/>
      <c r="AZ87" s="377"/>
      <c r="BA87" s="374"/>
      <c r="BB87" s="374"/>
      <c r="BC87" s="374"/>
      <c r="BD87" s="374"/>
      <c r="BE87" s="374"/>
      <c r="BF87" s="374"/>
      <c r="BG87" s="374"/>
      <c r="BH87" s="378"/>
      <c r="BI87" s="376"/>
      <c r="BJ87" s="379"/>
      <c r="BK87" s="380"/>
      <c r="BL87" s="348"/>
      <c r="BM87" s="381"/>
      <c r="BN87" s="321" t="s">
        <v>15</v>
      </c>
      <c r="BO87" s="372"/>
      <c r="BP87" s="373" t="s">
        <v>14</v>
      </c>
      <c r="BQ87" s="360"/>
      <c r="BR87" s="361"/>
      <c r="BS87" s="361"/>
      <c r="BT87" s="361"/>
      <c r="BU87" s="342" t="s">
        <v>210</v>
      </c>
      <c r="BV87" s="342" t="s">
        <v>210</v>
      </c>
      <c r="BW87" s="341" t="s">
        <v>15</v>
      </c>
      <c r="BX87" s="361"/>
      <c r="BY87" s="362"/>
      <c r="BZ87" s="363"/>
      <c r="CA87" s="363"/>
      <c r="CB87" s="363"/>
      <c r="CC87" s="363"/>
      <c r="CD87" s="293"/>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row>
    <row r="88" spans="2:220" s="287" customFormat="1" ht="22.5" customHeight="1">
      <c r="B88" s="365">
        <v>220106</v>
      </c>
      <c r="C88" s="366" t="s">
        <v>135</v>
      </c>
      <c r="D88" s="367"/>
      <c r="E88" s="368"/>
      <c r="F88" s="321" t="s">
        <v>13</v>
      </c>
      <c r="G88" s="326" t="s">
        <v>2657</v>
      </c>
      <c r="H88" s="326" t="s">
        <v>2658</v>
      </c>
      <c r="I88" s="326" t="s">
        <v>11</v>
      </c>
      <c r="J88" s="326" t="s">
        <v>12</v>
      </c>
      <c r="K88" s="326" t="s">
        <v>10</v>
      </c>
      <c r="L88" s="323"/>
      <c r="M88" s="324" t="s">
        <v>10768</v>
      </c>
      <c r="N88" s="325" t="s">
        <v>438</v>
      </c>
      <c r="O88" s="326">
        <v>30</v>
      </c>
      <c r="P88" s="327" t="s">
        <v>560</v>
      </c>
      <c r="Q88" s="369" t="s">
        <v>560</v>
      </c>
      <c r="R88" s="329" t="s">
        <v>1104</v>
      </c>
      <c r="S88" s="394" t="s">
        <v>12962</v>
      </c>
      <c r="T88" s="331" t="s">
        <v>11322</v>
      </c>
      <c r="U88" s="331" t="s">
        <v>11321</v>
      </c>
      <c r="V88" s="394" t="s">
        <v>12963</v>
      </c>
      <c r="W88" s="332" t="s">
        <v>432</v>
      </c>
      <c r="X88" s="331" t="s">
        <v>11079</v>
      </c>
      <c r="Y88" s="331" t="s">
        <v>11080</v>
      </c>
      <c r="Z88" s="331" t="s">
        <v>11080</v>
      </c>
      <c r="AA88" s="331" t="s">
        <v>210</v>
      </c>
      <c r="AB88" s="333"/>
      <c r="AC88" s="333"/>
      <c r="AD88" s="396" t="s">
        <v>2320</v>
      </c>
      <c r="AE88" s="335" t="s">
        <v>34</v>
      </c>
      <c r="AF88" s="336"/>
      <c r="AG88" s="337"/>
      <c r="AH88" s="338">
        <v>17.100000000000001</v>
      </c>
      <c r="AI88" s="339">
        <v>16.399999999999999</v>
      </c>
      <c r="AJ88" s="339">
        <v>18.100000000000001</v>
      </c>
      <c r="AK88" s="340">
        <f>SUM(AH88:AJ88)</f>
        <v>51.6</v>
      </c>
      <c r="AL88" s="321" t="s">
        <v>210</v>
      </c>
      <c r="AM88" s="326" t="s">
        <v>15</v>
      </c>
      <c r="AN88" s="326" t="s">
        <v>15</v>
      </c>
      <c r="AO88" s="341" t="s">
        <v>15</v>
      </c>
      <c r="AP88" s="342"/>
      <c r="AQ88" s="343"/>
      <c r="AR88" s="370">
        <v>3280</v>
      </c>
      <c r="AS88" s="326">
        <v>100</v>
      </c>
      <c r="AT88" s="392">
        <v>0.8</v>
      </c>
      <c r="AU88" s="392"/>
      <c r="AV88" s="392">
        <v>1.2</v>
      </c>
      <c r="AW88" s="340"/>
      <c r="AX88" s="347"/>
      <c r="AY88" s="348"/>
      <c r="AZ88" s="377"/>
      <c r="BA88" s="374"/>
      <c r="BB88" s="374"/>
      <c r="BC88" s="374"/>
      <c r="BD88" s="374"/>
      <c r="BE88" s="374"/>
      <c r="BF88" s="374"/>
      <c r="BG88" s="374"/>
      <c r="BH88" s="378"/>
      <c r="BI88" s="376"/>
      <c r="BJ88" s="379"/>
      <c r="BK88" s="380"/>
      <c r="BL88" s="348"/>
      <c r="BM88" s="381"/>
      <c r="BN88" s="321" t="s">
        <v>14</v>
      </c>
      <c r="BO88" s="372"/>
      <c r="BP88" s="373" t="s">
        <v>15</v>
      </c>
      <c r="BQ88" s="360"/>
      <c r="BR88" s="361"/>
      <c r="BS88" s="361"/>
      <c r="BT88" s="361"/>
      <c r="BU88" s="342" t="s">
        <v>210</v>
      </c>
      <c r="BV88" s="342" t="s">
        <v>210</v>
      </c>
      <c r="BW88" s="341" t="s">
        <v>15</v>
      </c>
      <c r="BX88" s="361"/>
      <c r="BY88" s="362"/>
      <c r="BZ88" s="363"/>
      <c r="CA88" s="363"/>
      <c r="CB88" s="363"/>
      <c r="CC88" s="363"/>
      <c r="CD88" s="293"/>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row>
    <row r="89" spans="2:220" s="287" customFormat="1" ht="22.5" customHeight="1">
      <c r="B89" s="365">
        <v>220107</v>
      </c>
      <c r="C89" s="366" t="s">
        <v>15264</v>
      </c>
      <c r="D89" s="367"/>
      <c r="E89" s="368"/>
      <c r="F89" s="321" t="s">
        <v>39</v>
      </c>
      <c r="G89" s="326" t="s">
        <v>2655</v>
      </c>
      <c r="H89" s="326" t="s">
        <v>2656</v>
      </c>
      <c r="I89" s="326" t="s">
        <v>11</v>
      </c>
      <c r="J89" s="326" t="s">
        <v>21</v>
      </c>
      <c r="K89" s="326" t="s">
        <v>806</v>
      </c>
      <c r="L89" s="323"/>
      <c r="M89" s="374"/>
      <c r="N89" s="325" t="s">
        <v>438</v>
      </c>
      <c r="O89" s="326">
        <v>65</v>
      </c>
      <c r="P89" s="327">
        <v>1230</v>
      </c>
      <c r="Q89" s="369">
        <v>2359</v>
      </c>
      <c r="R89" s="329" t="s">
        <v>458</v>
      </c>
      <c r="S89" s="331" t="s">
        <v>11185</v>
      </c>
      <c r="T89" s="331" t="s">
        <v>11187</v>
      </c>
      <c r="U89" s="331" t="s">
        <v>11186</v>
      </c>
      <c r="V89" s="331" t="s">
        <v>11184</v>
      </c>
      <c r="W89" s="332" t="s">
        <v>432</v>
      </c>
      <c r="X89" s="331" t="s">
        <v>11079</v>
      </c>
      <c r="Y89" s="331" t="s">
        <v>11080</v>
      </c>
      <c r="Z89" s="331" t="s">
        <v>11080</v>
      </c>
      <c r="AA89" s="331" t="s">
        <v>210</v>
      </c>
      <c r="AB89" s="333"/>
      <c r="AC89" s="333"/>
      <c r="AD89" s="334" t="s">
        <v>126</v>
      </c>
      <c r="AE89" s="335" t="s">
        <v>16</v>
      </c>
      <c r="AF89" s="336"/>
      <c r="AG89" s="337"/>
      <c r="AH89" s="338">
        <v>15.1</v>
      </c>
      <c r="AI89" s="339">
        <v>26.9</v>
      </c>
      <c r="AJ89" s="339">
        <v>27.2</v>
      </c>
      <c r="AK89" s="340">
        <f>SUM(AH89:AJ89)</f>
        <v>69.2</v>
      </c>
      <c r="AL89" s="321" t="s">
        <v>210</v>
      </c>
      <c r="AM89" s="326" t="s">
        <v>15</v>
      </c>
      <c r="AN89" s="326" t="s">
        <v>15</v>
      </c>
      <c r="AO89" s="341" t="s">
        <v>15</v>
      </c>
      <c r="AP89" s="342"/>
      <c r="AQ89" s="343"/>
      <c r="AR89" s="370">
        <v>1602</v>
      </c>
      <c r="AS89" s="326">
        <v>150</v>
      </c>
      <c r="AT89" s="392">
        <v>0.8</v>
      </c>
      <c r="AU89" s="392"/>
      <c r="AV89" s="392">
        <v>1.2</v>
      </c>
      <c r="AW89" s="340"/>
      <c r="AX89" s="347"/>
      <c r="AY89" s="348"/>
      <c r="AZ89" s="377"/>
      <c r="BA89" s="374"/>
      <c r="BB89" s="374"/>
      <c r="BC89" s="374"/>
      <c r="BD89" s="374"/>
      <c r="BE89" s="374"/>
      <c r="BF89" s="374"/>
      <c r="BG89" s="374"/>
      <c r="BH89" s="378"/>
      <c r="BI89" s="376"/>
      <c r="BJ89" s="379"/>
      <c r="BK89" s="380"/>
      <c r="BL89" s="348"/>
      <c r="BM89" s="381"/>
      <c r="BN89" s="321" t="s">
        <v>14</v>
      </c>
      <c r="BO89" s="372"/>
      <c r="BP89" s="373" t="s">
        <v>15</v>
      </c>
      <c r="BQ89" s="360"/>
      <c r="BR89" s="361"/>
      <c r="BS89" s="361"/>
      <c r="BT89" s="361"/>
      <c r="BU89" s="342" t="s">
        <v>210</v>
      </c>
      <c r="BV89" s="342" t="s">
        <v>210</v>
      </c>
      <c r="BW89" s="341" t="s">
        <v>15</v>
      </c>
      <c r="BX89" s="361"/>
      <c r="BY89" s="362"/>
      <c r="BZ89" s="363"/>
      <c r="CA89" s="363"/>
      <c r="CB89" s="363"/>
      <c r="CC89" s="363"/>
      <c r="CD89" s="293"/>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row>
    <row r="90" spans="2:220" s="287" customFormat="1" ht="22.5" customHeight="1">
      <c r="B90" s="365">
        <v>220108</v>
      </c>
      <c r="C90" s="366" t="s">
        <v>127</v>
      </c>
      <c r="D90" s="367"/>
      <c r="E90" s="368"/>
      <c r="F90" s="321" t="s">
        <v>59</v>
      </c>
      <c r="G90" s="326" t="s">
        <v>2653</v>
      </c>
      <c r="H90" s="326" t="s">
        <v>2654</v>
      </c>
      <c r="I90" s="326" t="s">
        <v>11</v>
      </c>
      <c r="J90" s="326" t="s">
        <v>21</v>
      </c>
      <c r="K90" s="326" t="s">
        <v>10</v>
      </c>
      <c r="L90" s="323"/>
      <c r="M90" s="374"/>
      <c r="N90" s="325" t="s">
        <v>561</v>
      </c>
      <c r="O90" s="326" t="s">
        <v>560</v>
      </c>
      <c r="P90" s="327">
        <v>2590</v>
      </c>
      <c r="Q90" s="369">
        <v>1322</v>
      </c>
      <c r="R90" s="329" t="s">
        <v>551</v>
      </c>
      <c r="S90" s="330"/>
      <c r="T90" s="330"/>
      <c r="U90" s="330"/>
      <c r="V90" s="330"/>
      <c r="W90" s="332" t="s">
        <v>562</v>
      </c>
      <c r="X90" s="330"/>
      <c r="Y90" s="330"/>
      <c r="Z90" s="330"/>
      <c r="AA90" s="330"/>
      <c r="AB90" s="333"/>
      <c r="AC90" s="333"/>
      <c r="AD90" s="334" t="s">
        <v>272</v>
      </c>
      <c r="AE90" s="335" t="s">
        <v>104</v>
      </c>
      <c r="AF90" s="336"/>
      <c r="AG90" s="337"/>
      <c r="AH90" s="417" t="s">
        <v>210</v>
      </c>
      <c r="AI90" s="392" t="s">
        <v>210</v>
      </c>
      <c r="AJ90" s="392" t="s">
        <v>210</v>
      </c>
      <c r="AK90" s="340" t="s">
        <v>210</v>
      </c>
      <c r="AL90" s="321" t="s">
        <v>210</v>
      </c>
      <c r="AM90" s="326" t="s">
        <v>15</v>
      </c>
      <c r="AN90" s="326" t="s">
        <v>15</v>
      </c>
      <c r="AO90" s="341" t="s">
        <v>15</v>
      </c>
      <c r="AP90" s="342"/>
      <c r="AQ90" s="343"/>
      <c r="AR90" s="370">
        <v>1600</v>
      </c>
      <c r="AS90" s="326">
        <v>150</v>
      </c>
      <c r="AT90" s="392">
        <v>1</v>
      </c>
      <c r="AU90" s="392"/>
      <c r="AV90" s="392">
        <v>1</v>
      </c>
      <c r="AW90" s="340"/>
      <c r="AX90" s="347"/>
      <c r="AY90" s="348"/>
      <c r="AZ90" s="377"/>
      <c r="BA90" s="374"/>
      <c r="BB90" s="374"/>
      <c r="BC90" s="374"/>
      <c r="BD90" s="374"/>
      <c r="BE90" s="374"/>
      <c r="BF90" s="374"/>
      <c r="BG90" s="374"/>
      <c r="BH90" s="378"/>
      <c r="BI90" s="376"/>
      <c r="BJ90" s="379"/>
      <c r="BK90" s="380"/>
      <c r="BL90" s="348"/>
      <c r="BM90" s="381"/>
      <c r="BN90" s="321" t="s">
        <v>14</v>
      </c>
      <c r="BO90" s="372"/>
      <c r="BP90" s="373" t="s">
        <v>15</v>
      </c>
      <c r="BQ90" s="360"/>
      <c r="BR90" s="361"/>
      <c r="BS90" s="361"/>
      <c r="BT90" s="361"/>
      <c r="BU90" s="342" t="s">
        <v>210</v>
      </c>
      <c r="BV90" s="342" t="s">
        <v>210</v>
      </c>
      <c r="BW90" s="341" t="s">
        <v>15</v>
      </c>
      <c r="BX90" s="361"/>
      <c r="BY90" s="362"/>
      <c r="BZ90" s="363"/>
      <c r="CA90" s="363"/>
      <c r="CB90" s="363"/>
      <c r="CC90" s="363"/>
      <c r="CD90" s="293"/>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row>
    <row r="91" spans="2:220" s="287" customFormat="1" ht="22.5" customHeight="1">
      <c r="B91" s="365">
        <v>220109</v>
      </c>
      <c r="C91" s="366" t="s">
        <v>129</v>
      </c>
      <c r="D91" s="367"/>
      <c r="E91" s="368"/>
      <c r="F91" s="321" t="s">
        <v>39</v>
      </c>
      <c r="G91" s="326" t="s">
        <v>2651</v>
      </c>
      <c r="H91" s="326" t="s">
        <v>2652</v>
      </c>
      <c r="I91" s="326" t="s">
        <v>130</v>
      </c>
      <c r="J91" s="326" t="s">
        <v>12</v>
      </c>
      <c r="K91" s="326" t="s">
        <v>993</v>
      </c>
      <c r="L91" s="323"/>
      <c r="M91" s="374"/>
      <c r="N91" s="325" t="s">
        <v>563</v>
      </c>
      <c r="O91" s="326" t="s">
        <v>560</v>
      </c>
      <c r="P91" s="327">
        <v>1100</v>
      </c>
      <c r="Q91" s="369">
        <v>1100</v>
      </c>
      <c r="R91" s="329" t="s">
        <v>458</v>
      </c>
      <c r="S91" s="331" t="s">
        <v>11185</v>
      </c>
      <c r="T91" s="331" t="s">
        <v>11187</v>
      </c>
      <c r="U91" s="331" t="s">
        <v>11186</v>
      </c>
      <c r="V91" s="331" t="s">
        <v>11184</v>
      </c>
      <c r="W91" s="332"/>
      <c r="X91" s="330"/>
      <c r="Y91" s="330"/>
      <c r="Z91" s="330"/>
      <c r="AA91" s="330"/>
      <c r="AB91" s="333"/>
      <c r="AC91" s="333"/>
      <c r="AD91" s="334" t="s">
        <v>125</v>
      </c>
      <c r="AE91" s="335" t="s">
        <v>15</v>
      </c>
      <c r="AF91" s="336"/>
      <c r="AG91" s="337"/>
      <c r="AH91" s="417" t="s">
        <v>210</v>
      </c>
      <c r="AI91" s="392" t="s">
        <v>210</v>
      </c>
      <c r="AJ91" s="392" t="s">
        <v>210</v>
      </c>
      <c r="AK91" s="340" t="s">
        <v>210</v>
      </c>
      <c r="AL91" s="321" t="s">
        <v>210</v>
      </c>
      <c r="AM91" s="326" t="s">
        <v>15</v>
      </c>
      <c r="AN91" s="326" t="s">
        <v>15</v>
      </c>
      <c r="AO91" s="341" t="s">
        <v>15</v>
      </c>
      <c r="AP91" s="342"/>
      <c r="AQ91" s="343"/>
      <c r="AR91" s="370">
        <v>1506</v>
      </c>
      <c r="AS91" s="326">
        <v>50</v>
      </c>
      <c r="AT91" s="392">
        <v>1</v>
      </c>
      <c r="AU91" s="392"/>
      <c r="AV91" s="392">
        <v>1.5</v>
      </c>
      <c r="AW91" s="340"/>
      <c r="AX91" s="347"/>
      <c r="AY91" s="348"/>
      <c r="AZ91" s="377"/>
      <c r="BA91" s="374"/>
      <c r="BB91" s="374"/>
      <c r="BC91" s="374"/>
      <c r="BD91" s="374"/>
      <c r="BE91" s="374"/>
      <c r="BF91" s="374"/>
      <c r="BG91" s="374"/>
      <c r="BH91" s="378"/>
      <c r="BI91" s="376"/>
      <c r="BJ91" s="379"/>
      <c r="BK91" s="380"/>
      <c r="BL91" s="348"/>
      <c r="BM91" s="381"/>
      <c r="BN91" s="321" t="s">
        <v>15</v>
      </c>
      <c r="BO91" s="372"/>
      <c r="BP91" s="373" t="s">
        <v>15</v>
      </c>
      <c r="BQ91" s="360"/>
      <c r="BR91" s="361"/>
      <c r="BS91" s="361"/>
      <c r="BT91" s="361"/>
      <c r="BU91" s="342" t="s">
        <v>210</v>
      </c>
      <c r="BV91" s="342" t="s">
        <v>210</v>
      </c>
      <c r="BW91" s="341" t="s">
        <v>15</v>
      </c>
      <c r="BX91" s="361"/>
      <c r="BY91" s="362"/>
      <c r="BZ91" s="363"/>
      <c r="CA91" s="363"/>
      <c r="CB91" s="363"/>
      <c r="CC91" s="363"/>
      <c r="CD91" s="293"/>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row>
    <row r="92" spans="2:220" s="287" customFormat="1" ht="22.5" customHeight="1">
      <c r="B92" s="365">
        <v>220110</v>
      </c>
      <c r="C92" s="366" t="s">
        <v>7777</v>
      </c>
      <c r="D92" s="367"/>
      <c r="E92" s="368"/>
      <c r="F92" s="321" t="s">
        <v>69</v>
      </c>
      <c r="G92" s="326" t="s">
        <v>2649</v>
      </c>
      <c r="H92" s="326" t="s">
        <v>2650</v>
      </c>
      <c r="I92" s="326" t="s">
        <v>11</v>
      </c>
      <c r="J92" s="326" t="s">
        <v>12</v>
      </c>
      <c r="K92" s="326" t="s">
        <v>10</v>
      </c>
      <c r="L92" s="323"/>
      <c r="M92" s="374"/>
      <c r="N92" s="325" t="s">
        <v>437</v>
      </c>
      <c r="O92" s="326" t="s">
        <v>210</v>
      </c>
      <c r="P92" s="327" t="s">
        <v>210</v>
      </c>
      <c r="Q92" s="369" t="s">
        <v>210</v>
      </c>
      <c r="R92" s="329" t="s">
        <v>541</v>
      </c>
      <c r="S92" s="331"/>
      <c r="T92" s="394" t="s">
        <v>12567</v>
      </c>
      <c r="U92" s="394" t="s">
        <v>16336</v>
      </c>
      <c r="V92" s="330"/>
      <c r="W92" s="332" t="s">
        <v>514</v>
      </c>
      <c r="X92" s="330"/>
      <c r="Y92" s="330"/>
      <c r="Z92" s="330"/>
      <c r="AA92" s="330"/>
      <c r="AB92" s="333"/>
      <c r="AC92" s="333"/>
      <c r="AD92" s="334" t="s">
        <v>34</v>
      </c>
      <c r="AE92" s="335" t="s">
        <v>15</v>
      </c>
      <c r="AF92" s="336"/>
      <c r="AG92" s="337"/>
      <c r="AH92" s="417" t="s">
        <v>210</v>
      </c>
      <c r="AI92" s="392" t="s">
        <v>210</v>
      </c>
      <c r="AJ92" s="392" t="s">
        <v>210</v>
      </c>
      <c r="AK92" s="340" t="s">
        <v>210</v>
      </c>
      <c r="AL92" s="321" t="s">
        <v>210</v>
      </c>
      <c r="AM92" s="326" t="s">
        <v>15</v>
      </c>
      <c r="AN92" s="326" t="s">
        <v>15</v>
      </c>
      <c r="AO92" s="341" t="s">
        <v>15</v>
      </c>
      <c r="AP92" s="342"/>
      <c r="AQ92" s="343"/>
      <c r="AR92" s="370">
        <v>1180</v>
      </c>
      <c r="AS92" s="326">
        <v>100</v>
      </c>
      <c r="AT92" s="392">
        <v>1</v>
      </c>
      <c r="AU92" s="392"/>
      <c r="AV92" s="392">
        <v>1.5</v>
      </c>
      <c r="AW92" s="340"/>
      <c r="AX92" s="347"/>
      <c r="AY92" s="348"/>
      <c r="AZ92" s="377"/>
      <c r="BA92" s="374"/>
      <c r="BB92" s="374"/>
      <c r="BC92" s="374"/>
      <c r="BD92" s="374"/>
      <c r="BE92" s="374"/>
      <c r="BF92" s="374"/>
      <c r="BG92" s="374"/>
      <c r="BH92" s="378"/>
      <c r="BI92" s="376"/>
      <c r="BJ92" s="379"/>
      <c r="BK92" s="380"/>
      <c r="BL92" s="348"/>
      <c r="BM92" s="381"/>
      <c r="BN92" s="321" t="s">
        <v>15</v>
      </c>
      <c r="BO92" s="372"/>
      <c r="BP92" s="373" t="s">
        <v>14</v>
      </c>
      <c r="BQ92" s="360"/>
      <c r="BR92" s="361"/>
      <c r="BS92" s="361"/>
      <c r="BT92" s="361"/>
      <c r="BU92" s="342" t="s">
        <v>210</v>
      </c>
      <c r="BV92" s="342" t="s">
        <v>210</v>
      </c>
      <c r="BW92" s="341" t="s">
        <v>15</v>
      </c>
      <c r="BX92" s="361"/>
      <c r="BY92" s="362"/>
      <c r="BZ92" s="363"/>
      <c r="CA92" s="363"/>
      <c r="CB92" s="363"/>
      <c r="CC92" s="363"/>
      <c r="CD92" s="293"/>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row>
    <row r="93" spans="2:220" s="287" customFormat="1" ht="22.5" customHeight="1">
      <c r="B93" s="365">
        <v>220111</v>
      </c>
      <c r="C93" s="366" t="s">
        <v>115</v>
      </c>
      <c r="D93" s="367"/>
      <c r="E93" s="368"/>
      <c r="F93" s="321" t="s">
        <v>41</v>
      </c>
      <c r="G93" s="326" t="s">
        <v>2647</v>
      </c>
      <c r="H93" s="326" t="s">
        <v>2648</v>
      </c>
      <c r="I93" s="326" t="s">
        <v>11</v>
      </c>
      <c r="J93" s="326" t="s">
        <v>12</v>
      </c>
      <c r="K93" s="326" t="s">
        <v>31</v>
      </c>
      <c r="L93" s="323"/>
      <c r="M93" s="374"/>
      <c r="N93" s="325" t="s">
        <v>438</v>
      </c>
      <c r="O93" s="326" t="s">
        <v>210</v>
      </c>
      <c r="P93" s="327">
        <v>1080</v>
      </c>
      <c r="Q93" s="369">
        <v>1080</v>
      </c>
      <c r="R93" s="330"/>
      <c r="S93" s="330"/>
      <c r="T93" s="330"/>
      <c r="U93" s="330"/>
      <c r="V93" s="330"/>
      <c r="W93" s="332" t="s">
        <v>504</v>
      </c>
      <c r="X93" s="330"/>
      <c r="Y93" s="330"/>
      <c r="Z93" s="330"/>
      <c r="AA93" s="330"/>
      <c r="AB93" s="333"/>
      <c r="AC93" s="333"/>
      <c r="AD93" s="396" t="s">
        <v>2320</v>
      </c>
      <c r="AE93" s="335" t="s">
        <v>43</v>
      </c>
      <c r="AF93" s="336"/>
      <c r="AG93" s="337"/>
      <c r="AH93" s="417" t="s">
        <v>210</v>
      </c>
      <c r="AI93" s="392" t="s">
        <v>210</v>
      </c>
      <c r="AJ93" s="392" t="s">
        <v>210</v>
      </c>
      <c r="AK93" s="340" t="s">
        <v>210</v>
      </c>
      <c r="AL93" s="321" t="s">
        <v>210</v>
      </c>
      <c r="AM93" s="326" t="s">
        <v>15</v>
      </c>
      <c r="AN93" s="326" t="s">
        <v>15</v>
      </c>
      <c r="AO93" s="341" t="s">
        <v>15</v>
      </c>
      <c r="AP93" s="342"/>
      <c r="AQ93" s="343"/>
      <c r="AR93" s="370">
        <v>1297</v>
      </c>
      <c r="AS93" s="326">
        <v>80</v>
      </c>
      <c r="AT93" s="392">
        <v>1</v>
      </c>
      <c r="AU93" s="392"/>
      <c r="AV93" s="392">
        <v>1.5</v>
      </c>
      <c r="AW93" s="340"/>
      <c r="AX93" s="347"/>
      <c r="AY93" s="348"/>
      <c r="AZ93" s="377"/>
      <c r="BA93" s="374"/>
      <c r="BB93" s="374"/>
      <c r="BC93" s="374"/>
      <c r="BD93" s="374"/>
      <c r="BE93" s="374"/>
      <c r="BF93" s="374"/>
      <c r="BG93" s="374"/>
      <c r="BH93" s="378"/>
      <c r="BI93" s="376"/>
      <c r="BJ93" s="379"/>
      <c r="BK93" s="380"/>
      <c r="BL93" s="348"/>
      <c r="BM93" s="381"/>
      <c r="BN93" s="321" t="s">
        <v>15</v>
      </c>
      <c r="BO93" s="372"/>
      <c r="BP93" s="373" t="s">
        <v>14</v>
      </c>
      <c r="BQ93" s="360"/>
      <c r="BR93" s="361"/>
      <c r="BS93" s="361"/>
      <c r="BT93" s="361"/>
      <c r="BU93" s="342" t="s">
        <v>210</v>
      </c>
      <c r="BV93" s="342" t="s">
        <v>210</v>
      </c>
      <c r="BW93" s="341" t="s">
        <v>15</v>
      </c>
      <c r="BX93" s="361"/>
      <c r="BY93" s="362"/>
      <c r="BZ93" s="363"/>
      <c r="CA93" s="363"/>
      <c r="CB93" s="363"/>
      <c r="CC93" s="363"/>
      <c r="CD93" s="293"/>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row>
    <row r="94" spans="2:220" s="287" customFormat="1" ht="22.5" customHeight="1">
      <c r="B94" s="365">
        <v>220112</v>
      </c>
      <c r="C94" s="366" t="s">
        <v>116</v>
      </c>
      <c r="D94" s="367"/>
      <c r="E94" s="368"/>
      <c r="F94" s="321" t="s">
        <v>117</v>
      </c>
      <c r="G94" s="326" t="s">
        <v>2645</v>
      </c>
      <c r="H94" s="326" t="s">
        <v>2646</v>
      </c>
      <c r="I94" s="326" t="s">
        <v>11</v>
      </c>
      <c r="J94" s="326" t="s">
        <v>12</v>
      </c>
      <c r="K94" s="326" t="s">
        <v>10</v>
      </c>
      <c r="L94" s="323"/>
      <c r="M94" s="374"/>
      <c r="N94" s="325" t="s">
        <v>438</v>
      </c>
      <c r="O94" s="327" t="s">
        <v>210</v>
      </c>
      <c r="P94" s="327" t="s">
        <v>210</v>
      </c>
      <c r="Q94" s="369" t="s">
        <v>210</v>
      </c>
      <c r="R94" s="330"/>
      <c r="S94" s="330"/>
      <c r="T94" s="330"/>
      <c r="U94" s="330"/>
      <c r="V94" s="330"/>
      <c r="W94" s="332" t="s">
        <v>1113</v>
      </c>
      <c r="X94" s="330"/>
      <c r="Y94" s="330"/>
      <c r="Z94" s="330"/>
      <c r="AA94" s="330"/>
      <c r="AB94" s="333"/>
      <c r="AC94" s="333"/>
      <c r="AD94" s="334" t="s">
        <v>34</v>
      </c>
      <c r="AE94" s="335" t="s">
        <v>118</v>
      </c>
      <c r="AF94" s="336"/>
      <c r="AG94" s="337"/>
      <c r="AH94" s="417" t="s">
        <v>210</v>
      </c>
      <c r="AI94" s="392" t="s">
        <v>210</v>
      </c>
      <c r="AJ94" s="392" t="s">
        <v>210</v>
      </c>
      <c r="AK94" s="340" t="s">
        <v>210</v>
      </c>
      <c r="AL94" s="321" t="s">
        <v>210</v>
      </c>
      <c r="AM94" s="326" t="s">
        <v>15</v>
      </c>
      <c r="AN94" s="326" t="s">
        <v>15</v>
      </c>
      <c r="AO94" s="341" t="s">
        <v>15</v>
      </c>
      <c r="AP94" s="342"/>
      <c r="AQ94" s="343"/>
      <c r="AR94" s="370">
        <v>3209</v>
      </c>
      <c r="AS94" s="326">
        <v>80</v>
      </c>
      <c r="AT94" s="392">
        <v>1</v>
      </c>
      <c r="AU94" s="392"/>
      <c r="AV94" s="392">
        <v>1</v>
      </c>
      <c r="AW94" s="340"/>
      <c r="AX94" s="347"/>
      <c r="AY94" s="348"/>
      <c r="AZ94" s="377"/>
      <c r="BA94" s="374"/>
      <c r="BB94" s="374"/>
      <c r="BC94" s="374"/>
      <c r="BD94" s="374"/>
      <c r="BE94" s="374"/>
      <c r="BF94" s="374"/>
      <c r="BG94" s="374"/>
      <c r="BH94" s="378"/>
      <c r="BI94" s="376"/>
      <c r="BJ94" s="379"/>
      <c r="BK94" s="380"/>
      <c r="BL94" s="348"/>
      <c r="BM94" s="381"/>
      <c r="BN94" s="321" t="s">
        <v>15</v>
      </c>
      <c r="BO94" s="372"/>
      <c r="BP94" s="373" t="s">
        <v>15</v>
      </c>
      <c r="BQ94" s="360"/>
      <c r="BR94" s="361"/>
      <c r="BS94" s="361"/>
      <c r="BT94" s="361"/>
      <c r="BU94" s="342" t="s">
        <v>210</v>
      </c>
      <c r="BV94" s="342" t="s">
        <v>210</v>
      </c>
      <c r="BW94" s="341" t="s">
        <v>15</v>
      </c>
      <c r="BX94" s="361"/>
      <c r="BY94" s="362"/>
      <c r="BZ94" s="363"/>
      <c r="CA94" s="363"/>
      <c r="CB94" s="363"/>
      <c r="CC94" s="363"/>
      <c r="CD94" s="293"/>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row>
    <row r="95" spans="2:220" s="287" customFormat="1" ht="22.5" customHeight="1">
      <c r="B95" s="365">
        <v>220112</v>
      </c>
      <c r="C95" s="366" t="s">
        <v>119</v>
      </c>
      <c r="D95" s="367"/>
      <c r="E95" s="368"/>
      <c r="F95" s="321" t="s">
        <v>117</v>
      </c>
      <c r="G95" s="326" t="s">
        <v>2645</v>
      </c>
      <c r="H95" s="326" t="s">
        <v>2646</v>
      </c>
      <c r="I95" s="326" t="s">
        <v>11</v>
      </c>
      <c r="J95" s="326" t="s">
        <v>12</v>
      </c>
      <c r="K95" s="326" t="s">
        <v>10</v>
      </c>
      <c r="L95" s="323"/>
      <c r="M95" s="374"/>
      <c r="N95" s="325" t="s">
        <v>438</v>
      </c>
      <c r="O95" s="327" t="s">
        <v>210</v>
      </c>
      <c r="P95" s="327" t="s">
        <v>210</v>
      </c>
      <c r="Q95" s="369" t="s">
        <v>210</v>
      </c>
      <c r="R95" s="330"/>
      <c r="S95" s="330"/>
      <c r="T95" s="330"/>
      <c r="U95" s="330"/>
      <c r="V95" s="330"/>
      <c r="W95" s="332" t="s">
        <v>1113</v>
      </c>
      <c r="X95" s="330"/>
      <c r="Y95" s="330"/>
      <c r="Z95" s="330"/>
      <c r="AA95" s="330"/>
      <c r="AB95" s="333"/>
      <c r="AC95" s="333"/>
      <c r="AD95" s="334" t="s">
        <v>34</v>
      </c>
      <c r="AE95" s="335" t="s">
        <v>118</v>
      </c>
      <c r="AF95" s="336"/>
      <c r="AG95" s="337"/>
      <c r="AH95" s="417" t="s">
        <v>210</v>
      </c>
      <c r="AI95" s="392" t="s">
        <v>210</v>
      </c>
      <c r="AJ95" s="392" t="s">
        <v>210</v>
      </c>
      <c r="AK95" s="340" t="s">
        <v>210</v>
      </c>
      <c r="AL95" s="321" t="s">
        <v>210</v>
      </c>
      <c r="AM95" s="326" t="s">
        <v>15</v>
      </c>
      <c r="AN95" s="326" t="s">
        <v>15</v>
      </c>
      <c r="AO95" s="341" t="s">
        <v>15</v>
      </c>
      <c r="AP95" s="342"/>
      <c r="AQ95" s="343"/>
      <c r="AR95" s="370">
        <v>2549</v>
      </c>
      <c r="AS95" s="326">
        <v>80</v>
      </c>
      <c r="AT95" s="392">
        <v>1</v>
      </c>
      <c r="AU95" s="392"/>
      <c r="AV95" s="392">
        <v>1</v>
      </c>
      <c r="AW95" s="340"/>
      <c r="AX95" s="347"/>
      <c r="AY95" s="348"/>
      <c r="AZ95" s="377"/>
      <c r="BA95" s="374"/>
      <c r="BB95" s="374"/>
      <c r="BC95" s="374"/>
      <c r="BD95" s="374"/>
      <c r="BE95" s="374"/>
      <c r="BF95" s="374"/>
      <c r="BG95" s="374"/>
      <c r="BH95" s="378"/>
      <c r="BI95" s="376"/>
      <c r="BJ95" s="379"/>
      <c r="BK95" s="380"/>
      <c r="BL95" s="348"/>
      <c r="BM95" s="381"/>
      <c r="BN95" s="321" t="s">
        <v>15</v>
      </c>
      <c r="BO95" s="372"/>
      <c r="BP95" s="373" t="s">
        <v>15</v>
      </c>
      <c r="BQ95" s="360"/>
      <c r="BR95" s="361"/>
      <c r="BS95" s="361"/>
      <c r="BT95" s="361"/>
      <c r="BU95" s="342" t="s">
        <v>210</v>
      </c>
      <c r="BV95" s="342" t="s">
        <v>210</v>
      </c>
      <c r="BW95" s="341" t="s">
        <v>15</v>
      </c>
      <c r="BX95" s="361"/>
      <c r="BY95" s="362"/>
      <c r="BZ95" s="363"/>
      <c r="CA95" s="363"/>
      <c r="CB95" s="363"/>
      <c r="CC95" s="363"/>
      <c r="CD95" s="293"/>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row>
    <row r="96" spans="2:220" s="287" customFormat="1" ht="22.5" customHeight="1">
      <c r="B96" s="365">
        <v>220112</v>
      </c>
      <c r="C96" s="366" t="s">
        <v>120</v>
      </c>
      <c r="D96" s="367"/>
      <c r="E96" s="368"/>
      <c r="F96" s="321" t="s">
        <v>117</v>
      </c>
      <c r="G96" s="326" t="s">
        <v>2645</v>
      </c>
      <c r="H96" s="326" t="s">
        <v>2646</v>
      </c>
      <c r="I96" s="326" t="s">
        <v>11</v>
      </c>
      <c r="J96" s="326" t="s">
        <v>12</v>
      </c>
      <c r="K96" s="326" t="s">
        <v>10</v>
      </c>
      <c r="L96" s="323"/>
      <c r="M96" s="374"/>
      <c r="N96" s="325" t="s">
        <v>438</v>
      </c>
      <c r="O96" s="327" t="s">
        <v>210</v>
      </c>
      <c r="P96" s="327" t="s">
        <v>210</v>
      </c>
      <c r="Q96" s="369" t="s">
        <v>210</v>
      </c>
      <c r="R96" s="330"/>
      <c r="S96" s="330"/>
      <c r="T96" s="330"/>
      <c r="U96" s="330"/>
      <c r="V96" s="330"/>
      <c r="W96" s="332" t="s">
        <v>1113</v>
      </c>
      <c r="X96" s="330"/>
      <c r="Y96" s="330"/>
      <c r="Z96" s="330"/>
      <c r="AA96" s="330"/>
      <c r="AB96" s="333"/>
      <c r="AC96" s="333"/>
      <c r="AD96" s="334" t="s">
        <v>34</v>
      </c>
      <c r="AE96" s="335" t="s">
        <v>118</v>
      </c>
      <c r="AF96" s="336"/>
      <c r="AG96" s="337"/>
      <c r="AH96" s="417" t="s">
        <v>210</v>
      </c>
      <c r="AI96" s="392" t="s">
        <v>210</v>
      </c>
      <c r="AJ96" s="392" t="s">
        <v>210</v>
      </c>
      <c r="AK96" s="340" t="s">
        <v>210</v>
      </c>
      <c r="AL96" s="321" t="s">
        <v>210</v>
      </c>
      <c r="AM96" s="326" t="s">
        <v>15</v>
      </c>
      <c r="AN96" s="326" t="s">
        <v>15</v>
      </c>
      <c r="AO96" s="341" t="s">
        <v>15</v>
      </c>
      <c r="AP96" s="342"/>
      <c r="AQ96" s="343"/>
      <c r="AR96" s="370">
        <v>1180</v>
      </c>
      <c r="AS96" s="326">
        <v>80</v>
      </c>
      <c r="AT96" s="392">
        <v>1</v>
      </c>
      <c r="AU96" s="392"/>
      <c r="AV96" s="392">
        <v>1</v>
      </c>
      <c r="AW96" s="340"/>
      <c r="AX96" s="347"/>
      <c r="AY96" s="348"/>
      <c r="AZ96" s="377"/>
      <c r="BA96" s="374"/>
      <c r="BB96" s="374"/>
      <c r="BC96" s="374"/>
      <c r="BD96" s="374"/>
      <c r="BE96" s="374"/>
      <c r="BF96" s="374"/>
      <c r="BG96" s="374"/>
      <c r="BH96" s="378"/>
      <c r="BI96" s="376"/>
      <c r="BJ96" s="379"/>
      <c r="BK96" s="380"/>
      <c r="BL96" s="348"/>
      <c r="BM96" s="381"/>
      <c r="BN96" s="321" t="s">
        <v>15</v>
      </c>
      <c r="BO96" s="372"/>
      <c r="BP96" s="373" t="s">
        <v>15</v>
      </c>
      <c r="BQ96" s="360"/>
      <c r="BR96" s="361"/>
      <c r="BS96" s="361"/>
      <c r="BT96" s="361"/>
      <c r="BU96" s="342" t="s">
        <v>210</v>
      </c>
      <c r="BV96" s="342" t="s">
        <v>210</v>
      </c>
      <c r="BW96" s="341" t="s">
        <v>15</v>
      </c>
      <c r="BX96" s="361"/>
      <c r="BY96" s="362"/>
      <c r="BZ96" s="363"/>
      <c r="CA96" s="363"/>
      <c r="CB96" s="363"/>
      <c r="CC96" s="363"/>
      <c r="CD96" s="293"/>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row>
    <row r="97" spans="2:220" s="287" customFormat="1" ht="22.5" customHeight="1">
      <c r="B97" s="365">
        <v>220112</v>
      </c>
      <c r="C97" s="366" t="s">
        <v>121</v>
      </c>
      <c r="D97" s="367"/>
      <c r="E97" s="368"/>
      <c r="F97" s="321" t="s">
        <v>117</v>
      </c>
      <c r="G97" s="326" t="s">
        <v>2645</v>
      </c>
      <c r="H97" s="326" t="s">
        <v>2646</v>
      </c>
      <c r="I97" s="326" t="s">
        <v>11</v>
      </c>
      <c r="J97" s="326" t="s">
        <v>12</v>
      </c>
      <c r="K97" s="326" t="s">
        <v>10</v>
      </c>
      <c r="L97" s="323"/>
      <c r="M97" s="374"/>
      <c r="N97" s="325" t="s">
        <v>438</v>
      </c>
      <c r="O97" s="327" t="s">
        <v>210</v>
      </c>
      <c r="P97" s="327" t="s">
        <v>210</v>
      </c>
      <c r="Q97" s="369" t="s">
        <v>210</v>
      </c>
      <c r="R97" s="330"/>
      <c r="S97" s="330"/>
      <c r="T97" s="330"/>
      <c r="U97" s="330"/>
      <c r="V97" s="330"/>
      <c r="W97" s="332" t="s">
        <v>1113</v>
      </c>
      <c r="X97" s="330"/>
      <c r="Y97" s="330"/>
      <c r="Z97" s="330"/>
      <c r="AA97" s="330"/>
      <c r="AB97" s="333"/>
      <c r="AC97" s="333"/>
      <c r="AD97" s="334" t="s">
        <v>34</v>
      </c>
      <c r="AE97" s="335" t="s">
        <v>118</v>
      </c>
      <c r="AF97" s="336"/>
      <c r="AG97" s="337"/>
      <c r="AH97" s="417" t="s">
        <v>210</v>
      </c>
      <c r="AI97" s="392" t="s">
        <v>210</v>
      </c>
      <c r="AJ97" s="392" t="s">
        <v>210</v>
      </c>
      <c r="AK97" s="340" t="s">
        <v>210</v>
      </c>
      <c r="AL97" s="321" t="s">
        <v>210</v>
      </c>
      <c r="AM97" s="326" t="s">
        <v>15</v>
      </c>
      <c r="AN97" s="326" t="s">
        <v>15</v>
      </c>
      <c r="AO97" s="341" t="s">
        <v>15</v>
      </c>
      <c r="AP97" s="342"/>
      <c r="AQ97" s="343"/>
      <c r="AR97" s="370">
        <v>2551</v>
      </c>
      <c r="AS97" s="326">
        <v>80</v>
      </c>
      <c r="AT97" s="392">
        <v>1</v>
      </c>
      <c r="AU97" s="392"/>
      <c r="AV97" s="392">
        <v>1</v>
      </c>
      <c r="AW97" s="340"/>
      <c r="AX97" s="347"/>
      <c r="AY97" s="348"/>
      <c r="AZ97" s="377"/>
      <c r="BA97" s="374"/>
      <c r="BB97" s="374"/>
      <c r="BC97" s="374"/>
      <c r="BD97" s="374"/>
      <c r="BE97" s="374"/>
      <c r="BF97" s="374"/>
      <c r="BG97" s="374"/>
      <c r="BH97" s="378"/>
      <c r="BI97" s="376"/>
      <c r="BJ97" s="379"/>
      <c r="BK97" s="380"/>
      <c r="BL97" s="348"/>
      <c r="BM97" s="381"/>
      <c r="BN97" s="321" t="s">
        <v>15</v>
      </c>
      <c r="BO97" s="372"/>
      <c r="BP97" s="373" t="s">
        <v>15</v>
      </c>
      <c r="BQ97" s="360"/>
      <c r="BR97" s="361"/>
      <c r="BS97" s="361"/>
      <c r="BT97" s="361"/>
      <c r="BU97" s="342" t="s">
        <v>210</v>
      </c>
      <c r="BV97" s="342" t="s">
        <v>210</v>
      </c>
      <c r="BW97" s="341" t="s">
        <v>15</v>
      </c>
      <c r="BX97" s="361"/>
      <c r="BY97" s="362"/>
      <c r="BZ97" s="363"/>
      <c r="CA97" s="363"/>
      <c r="CB97" s="363"/>
      <c r="CC97" s="363"/>
      <c r="CD97" s="293"/>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row>
    <row r="98" spans="2:220" s="287" customFormat="1" ht="22.5" customHeight="1">
      <c r="B98" s="365">
        <v>220113</v>
      </c>
      <c r="C98" s="366" t="s">
        <v>564</v>
      </c>
      <c r="D98" s="367"/>
      <c r="E98" s="368"/>
      <c r="F98" s="321" t="s">
        <v>13</v>
      </c>
      <c r="G98" s="326" t="s">
        <v>2643</v>
      </c>
      <c r="H98" s="326" t="s">
        <v>2644</v>
      </c>
      <c r="I98" s="326" t="s">
        <v>11</v>
      </c>
      <c r="J98" s="326" t="s">
        <v>21</v>
      </c>
      <c r="K98" s="326" t="s">
        <v>10</v>
      </c>
      <c r="L98" s="323"/>
      <c r="M98" s="374"/>
      <c r="N98" s="325" t="s">
        <v>438</v>
      </c>
      <c r="O98" s="326">
        <v>30</v>
      </c>
      <c r="P98" s="327">
        <v>685</v>
      </c>
      <c r="Q98" s="369">
        <v>614</v>
      </c>
      <c r="R98" s="329" t="s">
        <v>1104</v>
      </c>
      <c r="S98" s="330"/>
      <c r="T98" s="331" t="s">
        <v>11322</v>
      </c>
      <c r="U98" s="331" t="s">
        <v>11321</v>
      </c>
      <c r="V98" s="330"/>
      <c r="W98" s="332" t="s">
        <v>432</v>
      </c>
      <c r="X98" s="331" t="s">
        <v>11079</v>
      </c>
      <c r="Y98" s="331" t="s">
        <v>11080</v>
      </c>
      <c r="Z98" s="331" t="s">
        <v>11080</v>
      </c>
      <c r="AA98" s="331" t="s">
        <v>210</v>
      </c>
      <c r="AB98" s="333"/>
      <c r="AC98" s="333"/>
      <c r="AD98" s="396" t="s">
        <v>8768</v>
      </c>
      <c r="AE98" s="335" t="s">
        <v>15</v>
      </c>
      <c r="AF98" s="336"/>
      <c r="AG98" s="337"/>
      <c r="AH98" s="338">
        <v>13</v>
      </c>
      <c r="AI98" s="339">
        <v>18.399999999999999</v>
      </c>
      <c r="AJ98" s="339">
        <v>15.6</v>
      </c>
      <c r="AK98" s="340">
        <f>SUM(AH98:AJ98)</f>
        <v>47</v>
      </c>
      <c r="AL98" s="321" t="s">
        <v>210</v>
      </c>
      <c r="AM98" s="326" t="s">
        <v>15</v>
      </c>
      <c r="AN98" s="326" t="s">
        <v>15</v>
      </c>
      <c r="AO98" s="341" t="s">
        <v>15</v>
      </c>
      <c r="AP98" s="342"/>
      <c r="AQ98" s="343"/>
      <c r="AR98" s="370">
        <v>794</v>
      </c>
      <c r="AS98" s="326">
        <v>100</v>
      </c>
      <c r="AT98" s="392">
        <v>1</v>
      </c>
      <c r="AU98" s="392"/>
      <c r="AV98" s="392">
        <v>1</v>
      </c>
      <c r="AW98" s="340"/>
      <c r="AX98" s="347"/>
      <c r="AY98" s="348"/>
      <c r="AZ98" s="377"/>
      <c r="BA98" s="374"/>
      <c r="BB98" s="374"/>
      <c r="BC98" s="374"/>
      <c r="BD98" s="374"/>
      <c r="BE98" s="374"/>
      <c r="BF98" s="374"/>
      <c r="BG98" s="374"/>
      <c r="BH98" s="378"/>
      <c r="BI98" s="376"/>
      <c r="BJ98" s="379"/>
      <c r="BK98" s="380"/>
      <c r="BL98" s="348"/>
      <c r="BM98" s="381"/>
      <c r="BN98" s="321" t="s">
        <v>14</v>
      </c>
      <c r="BO98" s="372"/>
      <c r="BP98" s="373" t="s">
        <v>14</v>
      </c>
      <c r="BQ98" s="360"/>
      <c r="BR98" s="361"/>
      <c r="BS98" s="361"/>
      <c r="BT98" s="361"/>
      <c r="BU98" s="342" t="s">
        <v>210</v>
      </c>
      <c r="BV98" s="342" t="s">
        <v>210</v>
      </c>
      <c r="BW98" s="341" t="s">
        <v>15</v>
      </c>
      <c r="BX98" s="361"/>
      <c r="BY98" s="362"/>
      <c r="BZ98" s="363"/>
      <c r="CA98" s="363"/>
      <c r="CB98" s="363"/>
      <c r="CC98" s="363"/>
      <c r="CD98" s="293"/>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row>
    <row r="99" spans="2:220" s="287" customFormat="1" ht="22.5" customHeight="1">
      <c r="B99" s="365">
        <v>220114</v>
      </c>
      <c r="C99" s="366" t="s">
        <v>114</v>
      </c>
      <c r="D99" s="367"/>
      <c r="E99" s="368"/>
      <c r="F99" s="321" t="s">
        <v>22</v>
      </c>
      <c r="G99" s="326" t="s">
        <v>2641</v>
      </c>
      <c r="H99" s="326" t="s">
        <v>2642</v>
      </c>
      <c r="I99" s="326" t="s">
        <v>11</v>
      </c>
      <c r="J99" s="326" t="s">
        <v>21</v>
      </c>
      <c r="K99" s="326" t="s">
        <v>23</v>
      </c>
      <c r="L99" s="323"/>
      <c r="M99" s="374"/>
      <c r="N99" s="325" t="s">
        <v>565</v>
      </c>
      <c r="O99" s="326" t="s">
        <v>210</v>
      </c>
      <c r="P99" s="327" t="s">
        <v>210</v>
      </c>
      <c r="Q99" s="369" t="s">
        <v>210</v>
      </c>
      <c r="R99" s="330"/>
      <c r="S99" s="330"/>
      <c r="T99" s="330"/>
      <c r="U99" s="330"/>
      <c r="V99" s="330"/>
      <c r="W99" s="332" t="s">
        <v>548</v>
      </c>
      <c r="X99" s="330"/>
      <c r="Y99" s="330"/>
      <c r="Z99" s="330"/>
      <c r="AA99" s="330"/>
      <c r="AB99" s="333"/>
      <c r="AC99" s="333"/>
      <c r="AD99" s="334" t="s">
        <v>5524</v>
      </c>
      <c r="AE99" s="395" t="s">
        <v>27</v>
      </c>
      <c r="AF99" s="336"/>
      <c r="AG99" s="337"/>
      <c r="AH99" s="417" t="s">
        <v>210</v>
      </c>
      <c r="AI99" s="392" t="s">
        <v>210</v>
      </c>
      <c r="AJ99" s="392" t="s">
        <v>210</v>
      </c>
      <c r="AK99" s="340" t="s">
        <v>210</v>
      </c>
      <c r="AL99" s="321" t="s">
        <v>210</v>
      </c>
      <c r="AM99" s="326" t="s">
        <v>15</v>
      </c>
      <c r="AN99" s="326" t="s">
        <v>15</v>
      </c>
      <c r="AO99" s="341" t="s">
        <v>15</v>
      </c>
      <c r="AP99" s="342"/>
      <c r="AQ99" s="343"/>
      <c r="AR99" s="370">
        <v>5651</v>
      </c>
      <c r="AS99" s="326">
        <v>150</v>
      </c>
      <c r="AT99" s="392">
        <v>1</v>
      </c>
      <c r="AU99" s="392"/>
      <c r="AV99" s="392">
        <v>1</v>
      </c>
      <c r="AW99" s="340"/>
      <c r="AX99" s="347"/>
      <c r="AY99" s="348"/>
      <c r="AZ99" s="377"/>
      <c r="BA99" s="374"/>
      <c r="BB99" s="374"/>
      <c r="BC99" s="374"/>
      <c r="BD99" s="374"/>
      <c r="BE99" s="374"/>
      <c r="BF99" s="374"/>
      <c r="BG99" s="374"/>
      <c r="BH99" s="378"/>
      <c r="BI99" s="376"/>
      <c r="BJ99" s="379"/>
      <c r="BK99" s="380"/>
      <c r="BL99" s="348"/>
      <c r="BM99" s="381"/>
      <c r="BN99" s="321" t="s">
        <v>15</v>
      </c>
      <c r="BO99" s="372"/>
      <c r="BP99" s="373" t="s">
        <v>15</v>
      </c>
      <c r="BQ99" s="360"/>
      <c r="BR99" s="361"/>
      <c r="BS99" s="361"/>
      <c r="BT99" s="361"/>
      <c r="BU99" s="342" t="s">
        <v>210</v>
      </c>
      <c r="BV99" s="342" t="s">
        <v>210</v>
      </c>
      <c r="BW99" s="341" t="s">
        <v>15</v>
      </c>
      <c r="BX99" s="361"/>
      <c r="BY99" s="362"/>
      <c r="BZ99" s="363"/>
      <c r="CA99" s="363"/>
      <c r="CB99" s="363"/>
      <c r="CC99" s="363"/>
      <c r="CD99" s="293"/>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row>
    <row r="100" spans="2:220" s="287" customFormat="1" ht="22.5" customHeight="1">
      <c r="B100" s="365">
        <v>220115</v>
      </c>
      <c r="C100" s="366" t="s">
        <v>131</v>
      </c>
      <c r="D100" s="367"/>
      <c r="E100" s="368"/>
      <c r="F100" s="321" t="s">
        <v>64</v>
      </c>
      <c r="G100" s="326" t="s">
        <v>2639</v>
      </c>
      <c r="H100" s="326" t="s">
        <v>2640</v>
      </c>
      <c r="I100" s="326" t="s">
        <v>11</v>
      </c>
      <c r="J100" s="326" t="s">
        <v>12</v>
      </c>
      <c r="K100" s="326" t="s">
        <v>10</v>
      </c>
      <c r="L100" s="323"/>
      <c r="M100" s="374"/>
      <c r="N100" s="325" t="s">
        <v>438</v>
      </c>
      <c r="O100" s="327" t="s">
        <v>210</v>
      </c>
      <c r="P100" s="327" t="s">
        <v>210</v>
      </c>
      <c r="Q100" s="369" t="s">
        <v>210</v>
      </c>
      <c r="R100" s="329" t="s">
        <v>567</v>
      </c>
      <c r="S100" s="330"/>
      <c r="T100" s="330"/>
      <c r="U100" s="330"/>
      <c r="V100" s="330"/>
      <c r="W100" s="332" t="s">
        <v>566</v>
      </c>
      <c r="X100" s="330"/>
      <c r="Y100" s="330"/>
      <c r="Z100" s="330"/>
      <c r="AA100" s="330"/>
      <c r="AB100" s="333"/>
      <c r="AC100" s="333"/>
      <c r="AD100" s="334" t="s">
        <v>64</v>
      </c>
      <c r="AE100" s="335" t="s">
        <v>34</v>
      </c>
      <c r="AF100" s="336"/>
      <c r="AG100" s="337"/>
      <c r="AH100" s="417" t="s">
        <v>210</v>
      </c>
      <c r="AI100" s="392" t="s">
        <v>210</v>
      </c>
      <c r="AJ100" s="392" t="s">
        <v>210</v>
      </c>
      <c r="AK100" s="340" t="s">
        <v>210</v>
      </c>
      <c r="AL100" s="321" t="s">
        <v>210</v>
      </c>
      <c r="AM100" s="326" t="s">
        <v>15</v>
      </c>
      <c r="AN100" s="326" t="s">
        <v>15</v>
      </c>
      <c r="AO100" s="341" t="s">
        <v>15</v>
      </c>
      <c r="AP100" s="342"/>
      <c r="AQ100" s="343"/>
      <c r="AR100" s="370">
        <v>4544</v>
      </c>
      <c r="AS100" s="326">
        <v>100</v>
      </c>
      <c r="AT100" s="392">
        <v>1</v>
      </c>
      <c r="AU100" s="392"/>
      <c r="AV100" s="392">
        <v>1</v>
      </c>
      <c r="AW100" s="340"/>
      <c r="AX100" s="347"/>
      <c r="AY100" s="348"/>
      <c r="AZ100" s="377"/>
      <c r="BA100" s="374"/>
      <c r="BB100" s="374"/>
      <c r="BC100" s="374"/>
      <c r="BD100" s="374"/>
      <c r="BE100" s="374"/>
      <c r="BF100" s="374"/>
      <c r="BG100" s="374"/>
      <c r="BH100" s="378"/>
      <c r="BI100" s="376"/>
      <c r="BJ100" s="379"/>
      <c r="BK100" s="380"/>
      <c r="BL100" s="348"/>
      <c r="BM100" s="381"/>
      <c r="BN100" s="321" t="s">
        <v>14</v>
      </c>
      <c r="BO100" s="372"/>
      <c r="BP100" s="373" t="s">
        <v>14</v>
      </c>
      <c r="BQ100" s="360"/>
      <c r="BR100" s="361"/>
      <c r="BS100" s="361"/>
      <c r="BT100" s="361"/>
      <c r="BU100" s="342" t="s">
        <v>210</v>
      </c>
      <c r="BV100" s="342" t="s">
        <v>210</v>
      </c>
      <c r="BW100" s="341" t="s">
        <v>15</v>
      </c>
      <c r="BX100" s="361"/>
      <c r="BY100" s="362"/>
      <c r="BZ100" s="363"/>
      <c r="CA100" s="363"/>
      <c r="CB100" s="363"/>
      <c r="CC100" s="363"/>
      <c r="CD100" s="293"/>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row>
    <row r="101" spans="2:220" s="287" customFormat="1" ht="22.5" customHeight="1">
      <c r="B101" s="365">
        <v>220116</v>
      </c>
      <c r="C101" s="366" t="s">
        <v>132</v>
      </c>
      <c r="D101" s="367"/>
      <c r="E101" s="368"/>
      <c r="F101" s="321" t="s">
        <v>59</v>
      </c>
      <c r="G101" s="326" t="s">
        <v>2637</v>
      </c>
      <c r="H101" s="326" t="s">
        <v>2638</v>
      </c>
      <c r="I101" s="326" t="s">
        <v>11</v>
      </c>
      <c r="J101" s="326" t="s">
        <v>12</v>
      </c>
      <c r="K101" s="326" t="s">
        <v>133</v>
      </c>
      <c r="L101" s="323"/>
      <c r="M101" s="374"/>
      <c r="N101" s="325" t="s">
        <v>438</v>
      </c>
      <c r="O101" s="327" t="s">
        <v>210</v>
      </c>
      <c r="P101" s="327">
        <v>847</v>
      </c>
      <c r="Q101" s="369">
        <v>961</v>
      </c>
      <c r="R101" s="329" t="s">
        <v>568</v>
      </c>
      <c r="S101" s="330"/>
      <c r="T101" s="330"/>
      <c r="U101" s="330"/>
      <c r="V101" s="330"/>
      <c r="W101" s="332" t="s">
        <v>1109</v>
      </c>
      <c r="X101" s="330"/>
      <c r="Y101" s="330"/>
      <c r="Z101" s="330"/>
      <c r="AA101" s="330"/>
      <c r="AB101" s="333"/>
      <c r="AC101" s="333"/>
      <c r="AD101" s="396" t="s">
        <v>42</v>
      </c>
      <c r="AE101" s="335" t="s">
        <v>104</v>
      </c>
      <c r="AF101" s="336"/>
      <c r="AG101" s="337"/>
      <c r="AH101" s="417" t="s">
        <v>210</v>
      </c>
      <c r="AI101" s="392" t="s">
        <v>210</v>
      </c>
      <c r="AJ101" s="392" t="s">
        <v>210</v>
      </c>
      <c r="AK101" s="340" t="s">
        <v>210</v>
      </c>
      <c r="AL101" s="321" t="s">
        <v>210</v>
      </c>
      <c r="AM101" s="326" t="s">
        <v>15</v>
      </c>
      <c r="AN101" s="326" t="s">
        <v>15</v>
      </c>
      <c r="AO101" s="341" t="s">
        <v>15</v>
      </c>
      <c r="AP101" s="342"/>
      <c r="AQ101" s="343"/>
      <c r="AR101" s="370">
        <v>1216</v>
      </c>
      <c r="AS101" s="326">
        <v>100</v>
      </c>
      <c r="AT101" s="392">
        <v>0.8</v>
      </c>
      <c r="AU101" s="392"/>
      <c r="AV101" s="392">
        <v>1.2</v>
      </c>
      <c r="AW101" s="340"/>
      <c r="AX101" s="347"/>
      <c r="AY101" s="348"/>
      <c r="AZ101" s="377"/>
      <c r="BA101" s="374"/>
      <c r="BB101" s="374"/>
      <c r="BC101" s="374"/>
      <c r="BD101" s="374"/>
      <c r="BE101" s="374"/>
      <c r="BF101" s="374"/>
      <c r="BG101" s="374"/>
      <c r="BH101" s="378"/>
      <c r="BI101" s="376"/>
      <c r="BJ101" s="379"/>
      <c r="BK101" s="380"/>
      <c r="BL101" s="348"/>
      <c r="BM101" s="381"/>
      <c r="BN101" s="321" t="s">
        <v>14</v>
      </c>
      <c r="BO101" s="372"/>
      <c r="BP101" s="373" t="s">
        <v>15</v>
      </c>
      <c r="BQ101" s="360"/>
      <c r="BR101" s="361"/>
      <c r="BS101" s="361"/>
      <c r="BT101" s="361"/>
      <c r="BU101" s="342" t="s">
        <v>210</v>
      </c>
      <c r="BV101" s="342" t="s">
        <v>210</v>
      </c>
      <c r="BW101" s="341" t="s">
        <v>15</v>
      </c>
      <c r="BX101" s="361"/>
      <c r="BY101" s="362"/>
      <c r="BZ101" s="363"/>
      <c r="CA101" s="363"/>
      <c r="CB101" s="363"/>
      <c r="CC101" s="363"/>
      <c r="CD101" s="293"/>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row>
    <row r="102" spans="2:220" s="287" customFormat="1" ht="22.5" customHeight="1">
      <c r="B102" s="365">
        <v>220117</v>
      </c>
      <c r="C102" s="366" t="s">
        <v>128</v>
      </c>
      <c r="D102" s="367"/>
      <c r="E102" s="368"/>
      <c r="F102" s="321" t="s">
        <v>59</v>
      </c>
      <c r="G102" s="326" t="s">
        <v>2635</v>
      </c>
      <c r="H102" s="326" t="s">
        <v>2636</v>
      </c>
      <c r="I102" s="326" t="s">
        <v>11</v>
      </c>
      <c r="J102" s="326" t="s">
        <v>21</v>
      </c>
      <c r="K102" s="326" t="s">
        <v>23</v>
      </c>
      <c r="L102" s="323"/>
      <c r="M102" s="374"/>
      <c r="N102" s="325" t="s">
        <v>438</v>
      </c>
      <c r="O102" s="326" t="s">
        <v>210</v>
      </c>
      <c r="P102" s="327" t="s">
        <v>210</v>
      </c>
      <c r="Q102" s="369" t="s">
        <v>210</v>
      </c>
      <c r="R102" s="329" t="s">
        <v>569</v>
      </c>
      <c r="S102" s="330"/>
      <c r="T102" s="330"/>
      <c r="U102" s="330"/>
      <c r="V102" s="330"/>
      <c r="W102" s="332" t="s">
        <v>1109</v>
      </c>
      <c r="X102" s="330"/>
      <c r="Y102" s="330"/>
      <c r="Z102" s="330"/>
      <c r="AA102" s="330"/>
      <c r="AB102" s="333"/>
      <c r="AC102" s="333"/>
      <c r="AD102" s="396" t="s">
        <v>42</v>
      </c>
      <c r="AE102" s="335" t="s">
        <v>104</v>
      </c>
      <c r="AF102" s="336"/>
      <c r="AG102" s="337"/>
      <c r="AH102" s="417" t="s">
        <v>210</v>
      </c>
      <c r="AI102" s="392" t="s">
        <v>210</v>
      </c>
      <c r="AJ102" s="392" t="s">
        <v>210</v>
      </c>
      <c r="AK102" s="340" t="s">
        <v>210</v>
      </c>
      <c r="AL102" s="321" t="s">
        <v>210</v>
      </c>
      <c r="AM102" s="326" t="s">
        <v>15</v>
      </c>
      <c r="AN102" s="326" t="s">
        <v>15</v>
      </c>
      <c r="AO102" s="341" t="s">
        <v>15</v>
      </c>
      <c r="AP102" s="342"/>
      <c r="AQ102" s="343"/>
      <c r="AR102" s="370">
        <v>1420</v>
      </c>
      <c r="AS102" s="326">
        <v>100</v>
      </c>
      <c r="AT102" s="392">
        <v>1</v>
      </c>
      <c r="AU102" s="392"/>
      <c r="AV102" s="392">
        <v>1.5</v>
      </c>
      <c r="AW102" s="340"/>
      <c r="AX102" s="347"/>
      <c r="AY102" s="348"/>
      <c r="AZ102" s="377"/>
      <c r="BA102" s="374"/>
      <c r="BB102" s="374"/>
      <c r="BC102" s="374"/>
      <c r="BD102" s="374"/>
      <c r="BE102" s="374"/>
      <c r="BF102" s="374"/>
      <c r="BG102" s="374"/>
      <c r="BH102" s="378"/>
      <c r="BI102" s="376"/>
      <c r="BJ102" s="379"/>
      <c r="BK102" s="380"/>
      <c r="BL102" s="348"/>
      <c r="BM102" s="381"/>
      <c r="BN102" s="321" t="s">
        <v>14</v>
      </c>
      <c r="BO102" s="372"/>
      <c r="BP102" s="373" t="s">
        <v>14</v>
      </c>
      <c r="BQ102" s="360"/>
      <c r="BR102" s="361"/>
      <c r="BS102" s="361"/>
      <c r="BT102" s="361"/>
      <c r="BU102" s="342" t="s">
        <v>210</v>
      </c>
      <c r="BV102" s="342" t="s">
        <v>210</v>
      </c>
      <c r="BW102" s="341" t="s">
        <v>15</v>
      </c>
      <c r="BX102" s="361"/>
      <c r="BY102" s="362"/>
      <c r="BZ102" s="363"/>
      <c r="CA102" s="363"/>
      <c r="CB102" s="363"/>
      <c r="CC102" s="363"/>
      <c r="CD102" s="293"/>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row>
    <row r="103" spans="2:220" s="287" customFormat="1" ht="22.5" customHeight="1">
      <c r="B103" s="365">
        <v>220118</v>
      </c>
      <c r="C103" s="366" t="s">
        <v>136</v>
      </c>
      <c r="D103" s="367"/>
      <c r="E103" s="368"/>
      <c r="F103" s="321" t="s">
        <v>13</v>
      </c>
      <c r="G103" s="326" t="s">
        <v>2657</v>
      </c>
      <c r="H103" s="326" t="s">
        <v>2658</v>
      </c>
      <c r="I103" s="326" t="s">
        <v>11</v>
      </c>
      <c r="J103" s="326" t="s">
        <v>12</v>
      </c>
      <c r="K103" s="326" t="s">
        <v>10</v>
      </c>
      <c r="L103" s="323"/>
      <c r="M103" s="324" t="s">
        <v>10767</v>
      </c>
      <c r="N103" s="325" t="s">
        <v>437</v>
      </c>
      <c r="O103" s="326">
        <v>30</v>
      </c>
      <c r="P103" s="327">
        <v>1137</v>
      </c>
      <c r="Q103" s="369">
        <v>1210</v>
      </c>
      <c r="R103" s="329" t="s">
        <v>1104</v>
      </c>
      <c r="S103" s="330"/>
      <c r="T103" s="331" t="s">
        <v>11322</v>
      </c>
      <c r="U103" s="331" t="s">
        <v>11321</v>
      </c>
      <c r="V103" s="330"/>
      <c r="W103" s="332" t="s">
        <v>432</v>
      </c>
      <c r="X103" s="331" t="s">
        <v>11079</v>
      </c>
      <c r="Y103" s="331" t="s">
        <v>11080</v>
      </c>
      <c r="Z103" s="331" t="s">
        <v>11080</v>
      </c>
      <c r="AA103" s="331" t="s">
        <v>210</v>
      </c>
      <c r="AB103" s="333"/>
      <c r="AC103" s="333"/>
      <c r="AD103" s="396" t="s">
        <v>2320</v>
      </c>
      <c r="AE103" s="335" t="s">
        <v>15</v>
      </c>
      <c r="AF103" s="336"/>
      <c r="AG103" s="337"/>
      <c r="AH103" s="338">
        <v>7.2</v>
      </c>
      <c r="AI103" s="339">
        <v>22.6</v>
      </c>
      <c r="AJ103" s="339">
        <v>15.2</v>
      </c>
      <c r="AK103" s="340">
        <f>SUM(AH103:AJ103)</f>
        <v>45</v>
      </c>
      <c r="AL103" s="321" t="s">
        <v>210</v>
      </c>
      <c r="AM103" s="326" t="s">
        <v>15</v>
      </c>
      <c r="AN103" s="326" t="s">
        <v>15</v>
      </c>
      <c r="AO103" s="341" t="s">
        <v>15</v>
      </c>
      <c r="AP103" s="342"/>
      <c r="AQ103" s="343"/>
      <c r="AR103" s="370">
        <v>1335</v>
      </c>
      <c r="AS103" s="326">
        <v>100</v>
      </c>
      <c r="AT103" s="392">
        <v>0.8</v>
      </c>
      <c r="AU103" s="392"/>
      <c r="AV103" s="392">
        <v>1.2</v>
      </c>
      <c r="AW103" s="340"/>
      <c r="AX103" s="347"/>
      <c r="AY103" s="348"/>
      <c r="AZ103" s="377"/>
      <c r="BA103" s="374"/>
      <c r="BB103" s="374"/>
      <c r="BC103" s="374"/>
      <c r="BD103" s="374"/>
      <c r="BE103" s="374"/>
      <c r="BF103" s="374"/>
      <c r="BG103" s="374"/>
      <c r="BH103" s="378"/>
      <c r="BI103" s="376"/>
      <c r="BJ103" s="379"/>
      <c r="BK103" s="380"/>
      <c r="BL103" s="348"/>
      <c r="BM103" s="381"/>
      <c r="BN103" s="321" t="s">
        <v>14</v>
      </c>
      <c r="BO103" s="372"/>
      <c r="BP103" s="373" t="s">
        <v>15</v>
      </c>
      <c r="BQ103" s="360"/>
      <c r="BR103" s="361"/>
      <c r="BS103" s="361"/>
      <c r="BT103" s="361"/>
      <c r="BU103" s="342" t="s">
        <v>210</v>
      </c>
      <c r="BV103" s="342" t="s">
        <v>210</v>
      </c>
      <c r="BW103" s="341" t="s">
        <v>15</v>
      </c>
      <c r="BX103" s="361"/>
      <c r="BY103" s="362"/>
      <c r="BZ103" s="363"/>
      <c r="CA103" s="363"/>
      <c r="CB103" s="363"/>
      <c r="CC103" s="363"/>
      <c r="CD103" s="293"/>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row>
    <row r="104" spans="2:220" s="287" customFormat="1" ht="22.5" customHeight="1">
      <c r="B104" s="365">
        <v>220119</v>
      </c>
      <c r="C104" s="366" t="s">
        <v>574</v>
      </c>
      <c r="D104" s="367"/>
      <c r="E104" s="368"/>
      <c r="F104" s="321" t="s">
        <v>69</v>
      </c>
      <c r="G104" s="326" t="s">
        <v>2623</v>
      </c>
      <c r="H104" s="326" t="s">
        <v>2624</v>
      </c>
      <c r="I104" s="326" t="s">
        <v>11</v>
      </c>
      <c r="J104" s="326" t="s">
        <v>12</v>
      </c>
      <c r="K104" s="326" t="s">
        <v>10</v>
      </c>
      <c r="L104" s="323"/>
      <c r="M104" s="374"/>
      <c r="N104" s="325" t="s">
        <v>437</v>
      </c>
      <c r="O104" s="326" t="s">
        <v>210</v>
      </c>
      <c r="P104" s="327" t="s">
        <v>210</v>
      </c>
      <c r="Q104" s="369" t="s">
        <v>210</v>
      </c>
      <c r="R104" s="329" t="s">
        <v>576</v>
      </c>
      <c r="S104" s="330"/>
      <c r="T104" s="330"/>
      <c r="U104" s="330"/>
      <c r="V104" s="330"/>
      <c r="W104" s="332" t="s">
        <v>14718</v>
      </c>
      <c r="X104" s="330"/>
      <c r="Y104" s="330"/>
      <c r="Z104" s="330"/>
      <c r="AA104" s="330"/>
      <c r="AB104" s="333"/>
      <c r="AC104" s="333"/>
      <c r="AD104" s="396" t="s">
        <v>2320</v>
      </c>
      <c r="AE104" s="335" t="s">
        <v>15</v>
      </c>
      <c r="AF104" s="336"/>
      <c r="AG104" s="337"/>
      <c r="AH104" s="417" t="s">
        <v>210</v>
      </c>
      <c r="AI104" s="392" t="s">
        <v>210</v>
      </c>
      <c r="AJ104" s="392" t="s">
        <v>210</v>
      </c>
      <c r="AK104" s="340" t="s">
        <v>210</v>
      </c>
      <c r="AL104" s="321" t="s">
        <v>210</v>
      </c>
      <c r="AM104" s="326" t="s">
        <v>15</v>
      </c>
      <c r="AN104" s="326" t="s">
        <v>15</v>
      </c>
      <c r="AO104" s="341" t="s">
        <v>15</v>
      </c>
      <c r="AP104" s="342"/>
      <c r="AQ104" s="343"/>
      <c r="AR104" s="370">
        <v>3067</v>
      </c>
      <c r="AS104" s="326">
        <v>100</v>
      </c>
      <c r="AT104" s="392">
        <v>0.8</v>
      </c>
      <c r="AU104" s="392"/>
      <c r="AV104" s="392">
        <v>1.5</v>
      </c>
      <c r="AW104" s="340"/>
      <c r="AX104" s="347"/>
      <c r="AY104" s="348"/>
      <c r="AZ104" s="377"/>
      <c r="BA104" s="374"/>
      <c r="BB104" s="374"/>
      <c r="BC104" s="374"/>
      <c r="BD104" s="374"/>
      <c r="BE104" s="374"/>
      <c r="BF104" s="374"/>
      <c r="BG104" s="374"/>
      <c r="BH104" s="378"/>
      <c r="BI104" s="376"/>
      <c r="BJ104" s="379"/>
      <c r="BK104" s="380"/>
      <c r="BL104" s="348"/>
      <c r="BM104" s="381"/>
      <c r="BN104" s="321" t="s">
        <v>14</v>
      </c>
      <c r="BO104" s="372"/>
      <c r="BP104" s="373" t="s">
        <v>15</v>
      </c>
      <c r="BQ104" s="360"/>
      <c r="BR104" s="361"/>
      <c r="BS104" s="361"/>
      <c r="BT104" s="361"/>
      <c r="BU104" s="342" t="s">
        <v>210</v>
      </c>
      <c r="BV104" s="342" t="s">
        <v>210</v>
      </c>
      <c r="BW104" s="341" t="s">
        <v>15</v>
      </c>
      <c r="BX104" s="361"/>
      <c r="BY104" s="362"/>
      <c r="BZ104" s="363"/>
      <c r="CA104" s="363"/>
      <c r="CB104" s="363"/>
      <c r="CC104" s="363"/>
      <c r="CD104" s="293"/>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row>
    <row r="105" spans="2:220" s="287" customFormat="1" ht="22.5" customHeight="1">
      <c r="B105" s="365">
        <v>220120</v>
      </c>
      <c r="C105" s="366" t="s">
        <v>138</v>
      </c>
      <c r="D105" s="367"/>
      <c r="E105" s="368"/>
      <c r="F105" s="321" t="s">
        <v>13</v>
      </c>
      <c r="G105" s="326" t="s">
        <v>2633</v>
      </c>
      <c r="H105" s="326" t="s">
        <v>2634</v>
      </c>
      <c r="I105" s="326" t="s">
        <v>11</v>
      </c>
      <c r="J105" s="326" t="s">
        <v>12</v>
      </c>
      <c r="K105" s="326" t="s">
        <v>23</v>
      </c>
      <c r="L105" s="323"/>
      <c r="M105" s="374"/>
      <c r="N105" s="325" t="s">
        <v>437</v>
      </c>
      <c r="O105" s="326">
        <v>30</v>
      </c>
      <c r="P105" s="327">
        <v>297</v>
      </c>
      <c r="Q105" s="369">
        <v>297</v>
      </c>
      <c r="R105" s="329" t="s">
        <v>570</v>
      </c>
      <c r="S105" s="330"/>
      <c r="T105" s="330"/>
      <c r="U105" s="330"/>
      <c r="V105" s="330"/>
      <c r="W105" s="332" t="s">
        <v>432</v>
      </c>
      <c r="X105" s="331" t="s">
        <v>14719</v>
      </c>
      <c r="Y105" s="331" t="s">
        <v>14719</v>
      </c>
      <c r="Z105" s="331" t="s">
        <v>14719</v>
      </c>
      <c r="AA105" s="331" t="s">
        <v>14719</v>
      </c>
      <c r="AB105" s="333"/>
      <c r="AC105" s="333"/>
      <c r="AD105" s="334" t="s">
        <v>139</v>
      </c>
      <c r="AE105" s="335" t="s">
        <v>15</v>
      </c>
      <c r="AF105" s="336"/>
      <c r="AG105" s="337"/>
      <c r="AH105" s="338">
        <v>6.6</v>
      </c>
      <c r="AI105" s="339">
        <v>16.8</v>
      </c>
      <c r="AJ105" s="339">
        <v>19.399999999999999</v>
      </c>
      <c r="AK105" s="340">
        <f>SUM(AH105:AJ105)</f>
        <v>42.8</v>
      </c>
      <c r="AL105" s="321" t="s">
        <v>210</v>
      </c>
      <c r="AM105" s="326" t="s">
        <v>15</v>
      </c>
      <c r="AN105" s="326" t="s">
        <v>15</v>
      </c>
      <c r="AO105" s="341" t="s">
        <v>15</v>
      </c>
      <c r="AP105" s="342"/>
      <c r="AQ105" s="343"/>
      <c r="AR105" s="370">
        <v>342</v>
      </c>
      <c r="AS105" s="326">
        <v>80</v>
      </c>
      <c r="AT105" s="392">
        <v>1</v>
      </c>
      <c r="AU105" s="392"/>
      <c r="AV105" s="392">
        <v>1</v>
      </c>
      <c r="AW105" s="340"/>
      <c r="AX105" s="347"/>
      <c r="AY105" s="348"/>
      <c r="AZ105" s="377"/>
      <c r="BA105" s="374"/>
      <c r="BB105" s="374"/>
      <c r="BC105" s="374"/>
      <c r="BD105" s="374"/>
      <c r="BE105" s="374"/>
      <c r="BF105" s="374"/>
      <c r="BG105" s="374"/>
      <c r="BH105" s="378"/>
      <c r="BI105" s="376"/>
      <c r="BJ105" s="379"/>
      <c r="BK105" s="380"/>
      <c r="BL105" s="348"/>
      <c r="BM105" s="381"/>
      <c r="BN105" s="321" t="s">
        <v>14</v>
      </c>
      <c r="BO105" s="372"/>
      <c r="BP105" s="373" t="s">
        <v>15</v>
      </c>
      <c r="BQ105" s="360"/>
      <c r="BR105" s="361"/>
      <c r="BS105" s="361"/>
      <c r="BT105" s="361"/>
      <c r="BU105" s="342" t="s">
        <v>210</v>
      </c>
      <c r="BV105" s="342" t="s">
        <v>210</v>
      </c>
      <c r="BW105" s="341" t="s">
        <v>15</v>
      </c>
      <c r="BX105" s="361"/>
      <c r="BY105" s="362"/>
      <c r="BZ105" s="363"/>
      <c r="CA105" s="363"/>
      <c r="CB105" s="363"/>
      <c r="CC105" s="363"/>
      <c r="CD105" s="293"/>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row>
    <row r="106" spans="2:220" s="287" customFormat="1" ht="22.5" customHeight="1">
      <c r="B106" s="365">
        <v>220120</v>
      </c>
      <c r="C106" s="366" t="s">
        <v>134</v>
      </c>
      <c r="D106" s="367"/>
      <c r="E106" s="368"/>
      <c r="F106" s="321" t="s">
        <v>22</v>
      </c>
      <c r="G106" s="326" t="s">
        <v>2631</v>
      </c>
      <c r="H106" s="326" t="s">
        <v>2632</v>
      </c>
      <c r="I106" s="326" t="s">
        <v>11</v>
      </c>
      <c r="J106" s="326" t="s">
        <v>12</v>
      </c>
      <c r="K106" s="326" t="s">
        <v>10</v>
      </c>
      <c r="L106" s="323"/>
      <c r="M106" s="374"/>
      <c r="N106" s="325" t="s">
        <v>437</v>
      </c>
      <c r="O106" s="326" t="s">
        <v>210</v>
      </c>
      <c r="P106" s="327" t="s">
        <v>210</v>
      </c>
      <c r="Q106" s="369" t="s">
        <v>210</v>
      </c>
      <c r="R106" s="329" t="s">
        <v>530</v>
      </c>
      <c r="S106" s="394" t="s">
        <v>14720</v>
      </c>
      <c r="T106" s="394" t="s">
        <v>14721</v>
      </c>
      <c r="U106" s="394" t="s">
        <v>14722</v>
      </c>
      <c r="V106" s="394" t="s">
        <v>14723</v>
      </c>
      <c r="W106" s="645"/>
      <c r="X106" s="330"/>
      <c r="Y106" s="330"/>
      <c r="Z106" s="330"/>
      <c r="AA106" s="330"/>
      <c r="AB106" s="333"/>
      <c r="AC106" s="333"/>
      <c r="AD106" s="334" t="s">
        <v>5522</v>
      </c>
      <c r="AE106" s="335" t="s">
        <v>15</v>
      </c>
      <c r="AF106" s="336"/>
      <c r="AG106" s="337"/>
      <c r="AH106" s="417" t="s">
        <v>210</v>
      </c>
      <c r="AI106" s="392" t="s">
        <v>210</v>
      </c>
      <c r="AJ106" s="392" t="s">
        <v>210</v>
      </c>
      <c r="AK106" s="340" t="s">
        <v>210</v>
      </c>
      <c r="AL106" s="321" t="s">
        <v>210</v>
      </c>
      <c r="AM106" s="326" t="s">
        <v>15</v>
      </c>
      <c r="AN106" s="326" t="s">
        <v>15</v>
      </c>
      <c r="AO106" s="326" t="s">
        <v>15</v>
      </c>
      <c r="AP106" s="342"/>
      <c r="AQ106" s="343"/>
      <c r="AR106" s="370">
        <v>597</v>
      </c>
      <c r="AS106" s="326">
        <v>100</v>
      </c>
      <c r="AT106" s="392">
        <v>0.6</v>
      </c>
      <c r="AU106" s="392"/>
      <c r="AV106" s="392">
        <v>1.3</v>
      </c>
      <c r="AW106" s="340"/>
      <c r="AX106" s="347"/>
      <c r="AY106" s="348"/>
      <c r="AZ106" s="377"/>
      <c r="BA106" s="374"/>
      <c r="BB106" s="374"/>
      <c r="BC106" s="374"/>
      <c r="BD106" s="374"/>
      <c r="BE106" s="374"/>
      <c r="BF106" s="374"/>
      <c r="BG106" s="374"/>
      <c r="BH106" s="378"/>
      <c r="BI106" s="376"/>
      <c r="BJ106" s="379"/>
      <c r="BK106" s="380"/>
      <c r="BL106" s="348"/>
      <c r="BM106" s="381"/>
      <c r="BN106" s="321" t="s">
        <v>14</v>
      </c>
      <c r="BO106" s="372"/>
      <c r="BP106" s="373" t="s">
        <v>15</v>
      </c>
      <c r="BQ106" s="360"/>
      <c r="BR106" s="361"/>
      <c r="BS106" s="361"/>
      <c r="BT106" s="361"/>
      <c r="BU106" s="342" t="s">
        <v>210</v>
      </c>
      <c r="BV106" s="342" t="s">
        <v>210</v>
      </c>
      <c r="BW106" s="341" t="s">
        <v>15</v>
      </c>
      <c r="BX106" s="361"/>
      <c r="BY106" s="362"/>
      <c r="BZ106" s="363"/>
      <c r="CA106" s="363"/>
      <c r="CB106" s="363"/>
      <c r="CC106" s="363"/>
      <c r="CD106" s="293"/>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row>
    <row r="107" spans="2:220" s="287" customFormat="1" ht="22.5" customHeight="1">
      <c r="B107" s="365">
        <v>220123</v>
      </c>
      <c r="C107" s="366" t="s">
        <v>137</v>
      </c>
      <c r="D107" s="367"/>
      <c r="E107" s="368"/>
      <c r="F107" s="321" t="s">
        <v>69</v>
      </c>
      <c r="G107" s="326" t="s">
        <v>2621</v>
      </c>
      <c r="H107" s="326" t="s">
        <v>2622</v>
      </c>
      <c r="I107" s="326" t="s">
        <v>11</v>
      </c>
      <c r="J107" s="326" t="s">
        <v>21</v>
      </c>
      <c r="K107" s="326" t="s">
        <v>31</v>
      </c>
      <c r="L107" s="323"/>
      <c r="M107" s="374"/>
      <c r="N107" s="325" t="s">
        <v>437</v>
      </c>
      <c r="O107" s="326" t="s">
        <v>210</v>
      </c>
      <c r="P107" s="327" t="s">
        <v>210</v>
      </c>
      <c r="Q107" s="369" t="s">
        <v>210</v>
      </c>
      <c r="R107" s="329" t="s">
        <v>14724</v>
      </c>
      <c r="S107" s="330"/>
      <c r="T107" s="330"/>
      <c r="U107" s="330"/>
      <c r="V107" s="330"/>
      <c r="W107" s="645"/>
      <c r="X107" s="330"/>
      <c r="Y107" s="330"/>
      <c r="Z107" s="330"/>
      <c r="AA107" s="330"/>
      <c r="AB107" s="333"/>
      <c r="AC107" s="333"/>
      <c r="AD107" s="396" t="s">
        <v>2320</v>
      </c>
      <c r="AE107" s="335" t="s">
        <v>15</v>
      </c>
      <c r="AF107" s="336"/>
      <c r="AG107" s="337"/>
      <c r="AH107" s="417" t="s">
        <v>210</v>
      </c>
      <c r="AI107" s="392" t="s">
        <v>210</v>
      </c>
      <c r="AJ107" s="392" t="s">
        <v>210</v>
      </c>
      <c r="AK107" s="340" t="s">
        <v>210</v>
      </c>
      <c r="AL107" s="321" t="s">
        <v>210</v>
      </c>
      <c r="AM107" s="326" t="s">
        <v>15</v>
      </c>
      <c r="AN107" s="326" t="s">
        <v>15</v>
      </c>
      <c r="AO107" s="341" t="s">
        <v>15</v>
      </c>
      <c r="AP107" s="342"/>
      <c r="AQ107" s="343"/>
      <c r="AR107" s="370">
        <v>151</v>
      </c>
      <c r="AS107" s="326">
        <v>60</v>
      </c>
      <c r="AT107" s="392">
        <v>0.8</v>
      </c>
      <c r="AU107" s="392"/>
      <c r="AV107" s="392">
        <v>1</v>
      </c>
      <c r="AW107" s="340"/>
      <c r="AX107" s="347"/>
      <c r="AY107" s="348"/>
      <c r="AZ107" s="377"/>
      <c r="BA107" s="374"/>
      <c r="BB107" s="374"/>
      <c r="BC107" s="374"/>
      <c r="BD107" s="374"/>
      <c r="BE107" s="374"/>
      <c r="BF107" s="374"/>
      <c r="BG107" s="374"/>
      <c r="BH107" s="378"/>
      <c r="BI107" s="376"/>
      <c r="BJ107" s="379"/>
      <c r="BK107" s="380"/>
      <c r="BL107" s="348"/>
      <c r="BM107" s="381"/>
      <c r="BN107" s="321" t="s">
        <v>15</v>
      </c>
      <c r="BO107" s="372"/>
      <c r="BP107" s="373" t="s">
        <v>15</v>
      </c>
      <c r="BQ107" s="360"/>
      <c r="BR107" s="361"/>
      <c r="BS107" s="361"/>
      <c r="BT107" s="361"/>
      <c r="BU107" s="342" t="s">
        <v>210</v>
      </c>
      <c r="BV107" s="342" t="s">
        <v>210</v>
      </c>
      <c r="BW107" s="341" t="s">
        <v>15</v>
      </c>
      <c r="BX107" s="361"/>
      <c r="BY107" s="362"/>
      <c r="BZ107" s="363"/>
      <c r="CA107" s="363"/>
      <c r="CB107" s="363"/>
      <c r="CC107" s="363"/>
      <c r="CD107" s="293"/>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row>
    <row r="108" spans="2:220" s="287" customFormat="1" ht="22.5" customHeight="1">
      <c r="B108" s="365">
        <v>220124</v>
      </c>
      <c r="C108" s="366" t="s">
        <v>144</v>
      </c>
      <c r="D108" s="367"/>
      <c r="E108" s="368"/>
      <c r="F108" s="321" t="s">
        <v>93</v>
      </c>
      <c r="G108" s="326" t="s">
        <v>2600</v>
      </c>
      <c r="H108" s="326" t="s">
        <v>2620</v>
      </c>
      <c r="I108" s="326" t="s">
        <v>11</v>
      </c>
      <c r="J108" s="326" t="s">
        <v>21</v>
      </c>
      <c r="K108" s="326" t="s">
        <v>10</v>
      </c>
      <c r="L108" s="323"/>
      <c r="M108" s="374"/>
      <c r="N108" s="325" t="s">
        <v>438</v>
      </c>
      <c r="O108" s="326" t="s">
        <v>210</v>
      </c>
      <c r="P108" s="327">
        <v>9394</v>
      </c>
      <c r="Q108" s="369">
        <v>9882</v>
      </c>
      <c r="R108" s="329" t="s">
        <v>14725</v>
      </c>
      <c r="S108" s="331" t="s">
        <v>14726</v>
      </c>
      <c r="T108" s="331" t="s">
        <v>14727</v>
      </c>
      <c r="U108" s="331" t="s">
        <v>14728</v>
      </c>
      <c r="V108" s="331" t="s">
        <v>14729</v>
      </c>
      <c r="W108" s="332" t="s">
        <v>578</v>
      </c>
      <c r="X108" s="330"/>
      <c r="Y108" s="330"/>
      <c r="Z108" s="330"/>
      <c r="AA108" s="330"/>
      <c r="AB108" s="333"/>
      <c r="AC108" s="333"/>
      <c r="AD108" s="334" t="s">
        <v>944</v>
      </c>
      <c r="AE108" s="335" t="s">
        <v>94</v>
      </c>
      <c r="AF108" s="336"/>
      <c r="AG108" s="337"/>
      <c r="AH108" s="417" t="s">
        <v>210</v>
      </c>
      <c r="AI108" s="392" t="s">
        <v>210</v>
      </c>
      <c r="AJ108" s="392" t="s">
        <v>210</v>
      </c>
      <c r="AK108" s="340" t="s">
        <v>210</v>
      </c>
      <c r="AL108" s="321" t="s">
        <v>210</v>
      </c>
      <c r="AM108" s="326" t="s">
        <v>15</v>
      </c>
      <c r="AN108" s="326" t="s">
        <v>15</v>
      </c>
      <c r="AO108" s="341" t="s">
        <v>15</v>
      </c>
      <c r="AP108" s="342"/>
      <c r="AQ108" s="343"/>
      <c r="AR108" s="370">
        <v>3794</v>
      </c>
      <c r="AS108" s="326">
        <v>100</v>
      </c>
      <c r="AT108" s="392">
        <v>1</v>
      </c>
      <c r="AU108" s="392"/>
      <c r="AV108" s="392">
        <v>1.5</v>
      </c>
      <c r="AW108" s="340"/>
      <c r="AX108" s="347"/>
      <c r="AY108" s="348"/>
      <c r="AZ108" s="377"/>
      <c r="BA108" s="374"/>
      <c r="BB108" s="374"/>
      <c r="BC108" s="374"/>
      <c r="BD108" s="374"/>
      <c r="BE108" s="374"/>
      <c r="BF108" s="374"/>
      <c r="BG108" s="374"/>
      <c r="BH108" s="378"/>
      <c r="BI108" s="376"/>
      <c r="BJ108" s="379"/>
      <c r="BK108" s="380"/>
      <c r="BL108" s="348"/>
      <c r="BM108" s="381"/>
      <c r="BN108" s="321" t="s">
        <v>14</v>
      </c>
      <c r="BO108" s="372"/>
      <c r="BP108" s="373" t="s">
        <v>14</v>
      </c>
      <c r="BQ108" s="360"/>
      <c r="BR108" s="361"/>
      <c r="BS108" s="361"/>
      <c r="BT108" s="361"/>
      <c r="BU108" s="342" t="s">
        <v>210</v>
      </c>
      <c r="BV108" s="342" t="s">
        <v>210</v>
      </c>
      <c r="BW108" s="341" t="s">
        <v>15</v>
      </c>
      <c r="BX108" s="361"/>
      <c r="BY108" s="362"/>
      <c r="BZ108" s="363"/>
      <c r="CA108" s="363"/>
      <c r="CB108" s="363"/>
      <c r="CC108" s="363"/>
      <c r="CD108" s="293"/>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row>
    <row r="109" spans="2:220" s="287" customFormat="1" ht="22.5" customHeight="1">
      <c r="B109" s="365">
        <v>220125</v>
      </c>
      <c r="C109" s="647" t="s">
        <v>145</v>
      </c>
      <c r="D109" s="367"/>
      <c r="E109" s="368"/>
      <c r="F109" s="321" t="s">
        <v>146</v>
      </c>
      <c r="G109" s="326" t="s">
        <v>2618</v>
      </c>
      <c r="H109" s="326" t="s">
        <v>2619</v>
      </c>
      <c r="I109" s="326" t="s">
        <v>11</v>
      </c>
      <c r="J109" s="326" t="s">
        <v>12</v>
      </c>
      <c r="K109" s="326" t="s">
        <v>10</v>
      </c>
      <c r="L109" s="323"/>
      <c r="M109" s="374"/>
      <c r="N109" s="325" t="s">
        <v>565</v>
      </c>
      <c r="O109" s="326" t="s">
        <v>579</v>
      </c>
      <c r="P109" s="327">
        <v>2991</v>
      </c>
      <c r="Q109" s="369">
        <v>3147</v>
      </c>
      <c r="R109" s="399"/>
      <c r="S109" s="400"/>
      <c r="T109" s="400"/>
      <c r="U109" s="400"/>
      <c r="V109" s="400"/>
      <c r="W109" s="332" t="s">
        <v>14730</v>
      </c>
      <c r="X109" s="400"/>
      <c r="Y109" s="400"/>
      <c r="Z109" s="400"/>
      <c r="AA109" s="400"/>
      <c r="AB109" s="333"/>
      <c r="AC109" s="333"/>
      <c r="AD109" s="396" t="s">
        <v>2320</v>
      </c>
      <c r="AE109" s="335" t="s">
        <v>34</v>
      </c>
      <c r="AF109" s="336"/>
      <c r="AG109" s="337"/>
      <c r="AH109" s="417" t="s">
        <v>210</v>
      </c>
      <c r="AI109" s="392" t="s">
        <v>210</v>
      </c>
      <c r="AJ109" s="392" t="s">
        <v>210</v>
      </c>
      <c r="AK109" s="340" t="s">
        <v>210</v>
      </c>
      <c r="AL109" s="321" t="s">
        <v>210</v>
      </c>
      <c r="AM109" s="326" t="s">
        <v>15</v>
      </c>
      <c r="AN109" s="326" t="s">
        <v>15</v>
      </c>
      <c r="AO109" s="341" t="s">
        <v>15</v>
      </c>
      <c r="AP109" s="342"/>
      <c r="AQ109" s="343"/>
      <c r="AR109" s="370">
        <v>3415</v>
      </c>
      <c r="AS109" s="326">
        <v>120</v>
      </c>
      <c r="AT109" s="392">
        <v>1</v>
      </c>
      <c r="AU109" s="392"/>
      <c r="AV109" s="392">
        <v>2.7</v>
      </c>
      <c r="AW109" s="340"/>
      <c r="AX109" s="347"/>
      <c r="AY109" s="348"/>
      <c r="AZ109" s="377"/>
      <c r="BA109" s="374"/>
      <c r="BB109" s="374"/>
      <c r="BC109" s="374"/>
      <c r="BD109" s="374"/>
      <c r="BE109" s="374"/>
      <c r="BF109" s="374"/>
      <c r="BG109" s="374"/>
      <c r="BH109" s="378"/>
      <c r="BI109" s="376"/>
      <c r="BJ109" s="379"/>
      <c r="BK109" s="380"/>
      <c r="BL109" s="348"/>
      <c r="BM109" s="381"/>
      <c r="BN109" s="321" t="s">
        <v>15</v>
      </c>
      <c r="BO109" s="372"/>
      <c r="BP109" s="373" t="s">
        <v>15</v>
      </c>
      <c r="BQ109" s="360"/>
      <c r="BR109" s="361"/>
      <c r="BS109" s="361"/>
      <c r="BT109" s="361"/>
      <c r="BU109" s="342" t="s">
        <v>210</v>
      </c>
      <c r="BV109" s="342" t="s">
        <v>210</v>
      </c>
      <c r="BW109" s="341" t="s">
        <v>15</v>
      </c>
      <c r="BX109" s="361"/>
      <c r="BY109" s="362"/>
      <c r="BZ109" s="363"/>
      <c r="CA109" s="363"/>
      <c r="CB109" s="363"/>
      <c r="CC109" s="363"/>
      <c r="CD109" s="293"/>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row>
    <row r="110" spans="2:220" s="287" customFormat="1" ht="22.5" customHeight="1">
      <c r="B110" s="365">
        <v>220126</v>
      </c>
      <c r="C110" s="366" t="s">
        <v>140</v>
      </c>
      <c r="D110" s="367"/>
      <c r="E110" s="368"/>
      <c r="F110" s="321" t="s">
        <v>581</v>
      </c>
      <c r="G110" s="326" t="s">
        <v>2616</v>
      </c>
      <c r="H110" s="326" t="s">
        <v>2617</v>
      </c>
      <c r="I110" s="326" t="s">
        <v>11</v>
      </c>
      <c r="J110" s="326" t="s">
        <v>12</v>
      </c>
      <c r="K110" s="326" t="s">
        <v>10</v>
      </c>
      <c r="L110" s="323"/>
      <c r="M110" s="324" t="s">
        <v>10767</v>
      </c>
      <c r="N110" s="325" t="s">
        <v>437</v>
      </c>
      <c r="O110" s="326">
        <v>30</v>
      </c>
      <c r="P110" s="327">
        <v>1110</v>
      </c>
      <c r="Q110" s="369">
        <v>1062</v>
      </c>
      <c r="R110" s="329" t="s">
        <v>432</v>
      </c>
      <c r="S110" s="331" t="s">
        <v>14719</v>
      </c>
      <c r="T110" s="331" t="s">
        <v>14719</v>
      </c>
      <c r="U110" s="331" t="s">
        <v>14719</v>
      </c>
      <c r="V110" s="331" t="s">
        <v>14719</v>
      </c>
      <c r="W110" s="332" t="s">
        <v>432</v>
      </c>
      <c r="X110" s="331" t="s">
        <v>14719</v>
      </c>
      <c r="Y110" s="331" t="s">
        <v>14719</v>
      </c>
      <c r="Z110" s="331" t="s">
        <v>14719</v>
      </c>
      <c r="AA110" s="331" t="s">
        <v>14719</v>
      </c>
      <c r="AB110" s="333"/>
      <c r="AC110" s="333"/>
      <c r="AD110" s="334" t="s">
        <v>142</v>
      </c>
      <c r="AE110" s="335" t="s">
        <v>15</v>
      </c>
      <c r="AF110" s="336"/>
      <c r="AG110" s="337"/>
      <c r="AH110" s="338">
        <v>16.100000000000001</v>
      </c>
      <c r="AI110" s="339">
        <v>19</v>
      </c>
      <c r="AJ110" s="339">
        <v>15.7</v>
      </c>
      <c r="AK110" s="340">
        <f>SUM(AH110:AJ110)</f>
        <v>50.8</v>
      </c>
      <c r="AL110" s="321" t="s">
        <v>210</v>
      </c>
      <c r="AM110" s="326" t="s">
        <v>15</v>
      </c>
      <c r="AN110" s="326" t="s">
        <v>15</v>
      </c>
      <c r="AO110" s="341" t="s">
        <v>15</v>
      </c>
      <c r="AP110" s="342"/>
      <c r="AQ110" s="343"/>
      <c r="AR110" s="370">
        <v>1261</v>
      </c>
      <c r="AS110" s="326">
        <v>80</v>
      </c>
      <c r="AT110" s="392">
        <v>0.6</v>
      </c>
      <c r="AU110" s="392"/>
      <c r="AV110" s="392">
        <v>0.9</v>
      </c>
      <c r="AW110" s="340"/>
      <c r="AX110" s="347"/>
      <c r="AY110" s="348"/>
      <c r="AZ110" s="377"/>
      <c r="BA110" s="374"/>
      <c r="BB110" s="374"/>
      <c r="BC110" s="374"/>
      <c r="BD110" s="374"/>
      <c r="BE110" s="374"/>
      <c r="BF110" s="374"/>
      <c r="BG110" s="374"/>
      <c r="BH110" s="378"/>
      <c r="BI110" s="376"/>
      <c r="BJ110" s="379"/>
      <c r="BK110" s="380"/>
      <c r="BL110" s="348"/>
      <c r="BM110" s="381"/>
      <c r="BN110" s="321" t="s">
        <v>15</v>
      </c>
      <c r="BO110" s="372"/>
      <c r="BP110" s="373" t="s">
        <v>15</v>
      </c>
      <c r="BQ110" s="360"/>
      <c r="BR110" s="361"/>
      <c r="BS110" s="361"/>
      <c r="BT110" s="361"/>
      <c r="BU110" s="342" t="s">
        <v>210</v>
      </c>
      <c r="BV110" s="342" t="s">
        <v>210</v>
      </c>
      <c r="BW110" s="341" t="s">
        <v>15</v>
      </c>
      <c r="BX110" s="361"/>
      <c r="BY110" s="362" t="s">
        <v>948</v>
      </c>
      <c r="BZ110" s="363"/>
      <c r="CA110" s="363"/>
      <c r="CB110" s="363"/>
      <c r="CC110" s="363"/>
      <c r="CD110" s="293"/>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row>
    <row r="111" spans="2:220" s="287" customFormat="1" ht="22.5" customHeight="1">
      <c r="B111" s="365">
        <v>220126</v>
      </c>
      <c r="C111" s="366" t="s">
        <v>143</v>
      </c>
      <c r="D111" s="367"/>
      <c r="E111" s="368"/>
      <c r="F111" s="321" t="s">
        <v>581</v>
      </c>
      <c r="G111" s="326" t="s">
        <v>2616</v>
      </c>
      <c r="H111" s="326" t="s">
        <v>2617</v>
      </c>
      <c r="I111" s="326" t="s">
        <v>11</v>
      </c>
      <c r="J111" s="326" t="s">
        <v>12</v>
      </c>
      <c r="K111" s="326" t="s">
        <v>10</v>
      </c>
      <c r="L111" s="323"/>
      <c r="M111" s="324" t="s">
        <v>10773</v>
      </c>
      <c r="N111" s="325" t="s">
        <v>437</v>
      </c>
      <c r="O111" s="326">
        <v>30</v>
      </c>
      <c r="P111" s="327">
        <v>272</v>
      </c>
      <c r="Q111" s="369">
        <v>286</v>
      </c>
      <c r="R111" s="329" t="s">
        <v>432</v>
      </c>
      <c r="S111" s="331" t="s">
        <v>14719</v>
      </c>
      <c r="T111" s="331" t="s">
        <v>6200</v>
      </c>
      <c r="U111" s="331" t="s">
        <v>14719</v>
      </c>
      <c r="V111" s="331" t="s">
        <v>14719</v>
      </c>
      <c r="W111" s="332" t="s">
        <v>432</v>
      </c>
      <c r="X111" s="331" t="s">
        <v>14719</v>
      </c>
      <c r="Y111" s="331" t="s">
        <v>14719</v>
      </c>
      <c r="Z111" s="331" t="s">
        <v>14719</v>
      </c>
      <c r="AA111" s="331" t="s">
        <v>14719</v>
      </c>
      <c r="AB111" s="333"/>
      <c r="AC111" s="333"/>
      <c r="AD111" s="334" t="s">
        <v>142</v>
      </c>
      <c r="AE111" s="335" t="s">
        <v>15</v>
      </c>
      <c r="AF111" s="336"/>
      <c r="AG111" s="337"/>
      <c r="AH111" s="338">
        <v>13.6</v>
      </c>
      <c r="AI111" s="339">
        <v>15.2</v>
      </c>
      <c r="AJ111" s="339">
        <v>9.8000000000000007</v>
      </c>
      <c r="AK111" s="340">
        <f>SUM(AH111:AJ111)</f>
        <v>38.599999999999994</v>
      </c>
      <c r="AL111" s="321" t="s">
        <v>210</v>
      </c>
      <c r="AM111" s="326" t="s">
        <v>15</v>
      </c>
      <c r="AN111" s="326" t="s">
        <v>15</v>
      </c>
      <c r="AO111" s="341" t="s">
        <v>15</v>
      </c>
      <c r="AP111" s="342"/>
      <c r="AQ111" s="343"/>
      <c r="AR111" s="370">
        <v>359</v>
      </c>
      <c r="AS111" s="326">
        <v>80</v>
      </c>
      <c r="AT111" s="392">
        <v>0.6</v>
      </c>
      <c r="AU111" s="392"/>
      <c r="AV111" s="392">
        <v>0.9</v>
      </c>
      <c r="AW111" s="340"/>
      <c r="AX111" s="347"/>
      <c r="AY111" s="348"/>
      <c r="AZ111" s="377"/>
      <c r="BA111" s="374"/>
      <c r="BB111" s="374"/>
      <c r="BC111" s="374"/>
      <c r="BD111" s="374"/>
      <c r="BE111" s="374"/>
      <c r="BF111" s="374"/>
      <c r="BG111" s="374"/>
      <c r="BH111" s="378"/>
      <c r="BI111" s="376"/>
      <c r="BJ111" s="379"/>
      <c r="BK111" s="380"/>
      <c r="BL111" s="348"/>
      <c r="BM111" s="381"/>
      <c r="BN111" s="321" t="s">
        <v>15</v>
      </c>
      <c r="BO111" s="372"/>
      <c r="BP111" s="373" t="s">
        <v>15</v>
      </c>
      <c r="BQ111" s="360"/>
      <c r="BR111" s="361"/>
      <c r="BS111" s="361"/>
      <c r="BT111" s="361"/>
      <c r="BU111" s="342" t="s">
        <v>210</v>
      </c>
      <c r="BV111" s="342" t="s">
        <v>210</v>
      </c>
      <c r="BW111" s="341" t="s">
        <v>15</v>
      </c>
      <c r="BX111" s="361"/>
      <c r="BY111" s="362"/>
      <c r="BZ111" s="363"/>
      <c r="CA111" s="363"/>
      <c r="CB111" s="363"/>
      <c r="CC111" s="363"/>
      <c r="CD111" s="293"/>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row>
    <row r="112" spans="2:220" s="287" customFormat="1" ht="22.5" customHeight="1">
      <c r="B112" s="365">
        <v>220127</v>
      </c>
      <c r="C112" s="366" t="s">
        <v>14843</v>
      </c>
      <c r="D112" s="367"/>
      <c r="E112" s="368"/>
      <c r="F112" s="321" t="s">
        <v>53</v>
      </c>
      <c r="G112" s="326" t="s">
        <v>2614</v>
      </c>
      <c r="H112" s="326" t="s">
        <v>2615</v>
      </c>
      <c r="I112" s="326" t="s">
        <v>11</v>
      </c>
      <c r="J112" s="326" t="s">
        <v>12</v>
      </c>
      <c r="K112" s="326" t="s">
        <v>38</v>
      </c>
      <c r="L112" s="323"/>
      <c r="M112" s="374"/>
      <c r="N112" s="325" t="s">
        <v>437</v>
      </c>
      <c r="O112" s="326" t="s">
        <v>953</v>
      </c>
      <c r="P112" s="327" t="s">
        <v>210</v>
      </c>
      <c r="Q112" s="369" t="s">
        <v>210</v>
      </c>
      <c r="R112" s="329" t="s">
        <v>573</v>
      </c>
      <c r="S112" s="331" t="s">
        <v>14844</v>
      </c>
      <c r="T112" s="331" t="s">
        <v>14845</v>
      </c>
      <c r="U112" s="330"/>
      <c r="V112" s="331" t="s">
        <v>14846</v>
      </c>
      <c r="W112" s="645"/>
      <c r="X112" s="330"/>
      <c r="Y112" s="330"/>
      <c r="Z112" s="330"/>
      <c r="AA112" s="330"/>
      <c r="AB112" s="333"/>
      <c r="AC112" s="333"/>
      <c r="AD112" s="334" t="s">
        <v>953</v>
      </c>
      <c r="AE112" s="335" t="s">
        <v>953</v>
      </c>
      <c r="AF112" s="336"/>
      <c r="AG112" s="337"/>
      <c r="AH112" s="417" t="s">
        <v>210</v>
      </c>
      <c r="AI112" s="392" t="s">
        <v>210</v>
      </c>
      <c r="AJ112" s="392" t="s">
        <v>210</v>
      </c>
      <c r="AK112" s="340" t="s">
        <v>210</v>
      </c>
      <c r="AL112" s="321" t="s">
        <v>210</v>
      </c>
      <c r="AM112" s="326" t="s">
        <v>15</v>
      </c>
      <c r="AN112" s="326" t="s">
        <v>15</v>
      </c>
      <c r="AO112" s="341" t="s">
        <v>15</v>
      </c>
      <c r="AP112" s="342"/>
      <c r="AQ112" s="343"/>
      <c r="AR112" s="370">
        <v>134</v>
      </c>
      <c r="AS112" s="326">
        <v>100</v>
      </c>
      <c r="AT112" s="392">
        <v>0.5</v>
      </c>
      <c r="AU112" s="392"/>
      <c r="AV112" s="392">
        <v>1.1000000000000001</v>
      </c>
      <c r="AW112" s="340"/>
      <c r="AX112" s="347"/>
      <c r="AY112" s="348"/>
      <c r="AZ112" s="377"/>
      <c r="BA112" s="374"/>
      <c r="BB112" s="374"/>
      <c r="BC112" s="374"/>
      <c r="BD112" s="374"/>
      <c r="BE112" s="374"/>
      <c r="BF112" s="374"/>
      <c r="BG112" s="374"/>
      <c r="BH112" s="378"/>
      <c r="BI112" s="376"/>
      <c r="BJ112" s="379"/>
      <c r="BK112" s="380"/>
      <c r="BL112" s="348"/>
      <c r="BM112" s="381"/>
      <c r="BN112" s="321" t="s">
        <v>15</v>
      </c>
      <c r="BO112" s="372"/>
      <c r="BP112" s="373" t="s">
        <v>15</v>
      </c>
      <c r="BQ112" s="360"/>
      <c r="BR112" s="361"/>
      <c r="BS112" s="361"/>
      <c r="BT112" s="361"/>
      <c r="BU112" s="342" t="s">
        <v>210</v>
      </c>
      <c r="BV112" s="342" t="s">
        <v>210</v>
      </c>
      <c r="BW112" s="341" t="s">
        <v>15</v>
      </c>
      <c r="BX112" s="361"/>
      <c r="BY112" s="362"/>
      <c r="BZ112" s="363"/>
      <c r="CA112" s="363"/>
      <c r="CB112" s="363"/>
      <c r="CC112" s="363"/>
      <c r="CD112" s="293"/>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row>
    <row r="113" spans="2:220" s="287" customFormat="1" ht="22.5" customHeight="1">
      <c r="B113" s="365">
        <v>220128</v>
      </c>
      <c r="C113" s="366" t="s">
        <v>582</v>
      </c>
      <c r="D113" s="367"/>
      <c r="E113" s="368"/>
      <c r="F113" s="321" t="s">
        <v>53</v>
      </c>
      <c r="G113" s="326" t="s">
        <v>2612</v>
      </c>
      <c r="H113" s="326" t="s">
        <v>2613</v>
      </c>
      <c r="I113" s="326" t="s">
        <v>11</v>
      </c>
      <c r="J113" s="326" t="s">
        <v>12</v>
      </c>
      <c r="K113" s="326" t="s">
        <v>38</v>
      </c>
      <c r="L113" s="323"/>
      <c r="M113" s="374"/>
      <c r="N113" s="325" t="s">
        <v>437</v>
      </c>
      <c r="O113" s="326" t="s">
        <v>210</v>
      </c>
      <c r="P113" s="327">
        <v>123</v>
      </c>
      <c r="Q113" s="369">
        <v>124</v>
      </c>
      <c r="R113" s="329" t="s">
        <v>14731</v>
      </c>
      <c r="S113" s="332" t="s">
        <v>14732</v>
      </c>
      <c r="T113" s="332" t="s">
        <v>14733</v>
      </c>
      <c r="U113" s="332" t="s">
        <v>16214</v>
      </c>
      <c r="V113" s="332" t="s">
        <v>14734</v>
      </c>
      <c r="W113" s="332" t="s">
        <v>14735</v>
      </c>
      <c r="X113" s="332" t="s">
        <v>14736</v>
      </c>
      <c r="Y113" s="332" t="s">
        <v>14737</v>
      </c>
      <c r="Z113" s="645"/>
      <c r="AA113" s="332" t="s">
        <v>14738</v>
      </c>
      <c r="AB113" s="333"/>
      <c r="AC113" s="333"/>
      <c r="AD113" s="334" t="s">
        <v>86</v>
      </c>
      <c r="AE113" s="335" t="s">
        <v>15</v>
      </c>
      <c r="AF113" s="336"/>
      <c r="AG113" s="337"/>
      <c r="AH113" s="417" t="s">
        <v>210</v>
      </c>
      <c r="AI113" s="392" t="s">
        <v>210</v>
      </c>
      <c r="AJ113" s="392" t="s">
        <v>210</v>
      </c>
      <c r="AK113" s="340" t="s">
        <v>210</v>
      </c>
      <c r="AL113" s="321" t="s">
        <v>210</v>
      </c>
      <c r="AM113" s="326" t="s">
        <v>15</v>
      </c>
      <c r="AN113" s="326" t="s">
        <v>15</v>
      </c>
      <c r="AO113" s="341" t="s">
        <v>15</v>
      </c>
      <c r="AP113" s="342"/>
      <c r="AQ113" s="343"/>
      <c r="AR113" s="370">
        <v>149</v>
      </c>
      <c r="AS113" s="326">
        <v>80</v>
      </c>
      <c r="AT113" s="392">
        <v>0.6</v>
      </c>
      <c r="AU113" s="392"/>
      <c r="AV113" s="392">
        <v>2</v>
      </c>
      <c r="AW113" s="340"/>
      <c r="AX113" s="347"/>
      <c r="AY113" s="348"/>
      <c r="AZ113" s="377"/>
      <c r="BA113" s="374"/>
      <c r="BB113" s="374"/>
      <c r="BC113" s="374"/>
      <c r="BD113" s="374"/>
      <c r="BE113" s="374"/>
      <c r="BF113" s="374"/>
      <c r="BG113" s="374"/>
      <c r="BH113" s="378"/>
      <c r="BI113" s="376"/>
      <c r="BJ113" s="379"/>
      <c r="BK113" s="380"/>
      <c r="BL113" s="348"/>
      <c r="BM113" s="381"/>
      <c r="BN113" s="321" t="s">
        <v>15</v>
      </c>
      <c r="BO113" s="372"/>
      <c r="BP113" s="373" t="s">
        <v>15</v>
      </c>
      <c r="BQ113" s="360"/>
      <c r="BR113" s="361"/>
      <c r="BS113" s="361"/>
      <c r="BT113" s="361"/>
      <c r="BU113" s="342" t="s">
        <v>210</v>
      </c>
      <c r="BV113" s="342" t="s">
        <v>210</v>
      </c>
      <c r="BW113" s="341" t="s">
        <v>15</v>
      </c>
      <c r="BX113" s="361"/>
      <c r="BY113" s="362"/>
      <c r="BZ113" s="363"/>
      <c r="CA113" s="363"/>
      <c r="CB113" s="363"/>
      <c r="CC113" s="363"/>
      <c r="CD113" s="293"/>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row>
    <row r="114" spans="2:220" s="287" customFormat="1" ht="22.5" customHeight="1">
      <c r="B114" s="365">
        <v>220129</v>
      </c>
      <c r="C114" s="366" t="s">
        <v>150</v>
      </c>
      <c r="D114" s="367"/>
      <c r="E114" s="368"/>
      <c r="F114" s="321" t="s">
        <v>93</v>
      </c>
      <c r="G114" s="326" t="s">
        <v>2610</v>
      </c>
      <c r="H114" s="326" t="s">
        <v>2611</v>
      </c>
      <c r="I114" s="326" t="s">
        <v>11</v>
      </c>
      <c r="J114" s="326" t="s">
        <v>12</v>
      </c>
      <c r="K114" s="326" t="s">
        <v>10</v>
      </c>
      <c r="L114" s="323"/>
      <c r="M114" s="324" t="s">
        <v>10767</v>
      </c>
      <c r="N114" s="325" t="s">
        <v>438</v>
      </c>
      <c r="O114" s="326">
        <v>55</v>
      </c>
      <c r="P114" s="327">
        <v>2100</v>
      </c>
      <c r="Q114" s="369">
        <v>2201</v>
      </c>
      <c r="R114" s="329" t="s">
        <v>14739</v>
      </c>
      <c r="S114" s="401" t="s">
        <v>14740</v>
      </c>
      <c r="T114" s="401" t="s">
        <v>14741</v>
      </c>
      <c r="U114" s="401" t="s">
        <v>16355</v>
      </c>
      <c r="V114" s="401" t="s">
        <v>14742</v>
      </c>
      <c r="W114" s="401" t="s">
        <v>432</v>
      </c>
      <c r="X114" s="402" t="s">
        <v>14719</v>
      </c>
      <c r="Y114" s="402" t="s">
        <v>14719</v>
      </c>
      <c r="Z114" s="402" t="s">
        <v>14719</v>
      </c>
      <c r="AA114" s="402" t="s">
        <v>14719</v>
      </c>
      <c r="AB114" s="333"/>
      <c r="AC114" s="333"/>
      <c r="AD114" s="334" t="s">
        <v>272</v>
      </c>
      <c r="AE114" s="335" t="s">
        <v>94</v>
      </c>
      <c r="AF114" s="336"/>
      <c r="AG114" s="337"/>
      <c r="AH114" s="338">
        <v>7.3</v>
      </c>
      <c r="AI114" s="339">
        <v>16.899999999999999</v>
      </c>
      <c r="AJ114" s="339">
        <v>18.2</v>
      </c>
      <c r="AK114" s="340">
        <f>SUM(AH114:AJ114)</f>
        <v>42.4</v>
      </c>
      <c r="AL114" s="321" t="s">
        <v>210</v>
      </c>
      <c r="AM114" s="326" t="s">
        <v>15</v>
      </c>
      <c r="AN114" s="326" t="s">
        <v>15</v>
      </c>
      <c r="AO114" s="341" t="s">
        <v>15</v>
      </c>
      <c r="AP114" s="342"/>
      <c r="AQ114" s="343"/>
      <c r="AR114" s="370">
        <v>2381</v>
      </c>
      <c r="AS114" s="326">
        <v>100</v>
      </c>
      <c r="AT114" s="392">
        <v>0.6</v>
      </c>
      <c r="AU114" s="392"/>
      <c r="AV114" s="392">
        <v>0.6</v>
      </c>
      <c r="AW114" s="340"/>
      <c r="AX114" s="347"/>
      <c r="AY114" s="348"/>
      <c r="AZ114" s="377"/>
      <c r="BA114" s="374"/>
      <c r="BB114" s="374"/>
      <c r="BC114" s="374"/>
      <c r="BD114" s="374"/>
      <c r="BE114" s="374"/>
      <c r="BF114" s="374"/>
      <c r="BG114" s="374"/>
      <c r="BH114" s="378"/>
      <c r="BI114" s="376"/>
      <c r="BJ114" s="379"/>
      <c r="BK114" s="380"/>
      <c r="BL114" s="348"/>
      <c r="BM114" s="381"/>
      <c r="BN114" s="321" t="s">
        <v>15</v>
      </c>
      <c r="BO114" s="372"/>
      <c r="BP114" s="373" t="s">
        <v>15</v>
      </c>
      <c r="BQ114" s="360"/>
      <c r="BR114" s="361"/>
      <c r="BS114" s="361"/>
      <c r="BT114" s="361"/>
      <c r="BU114" s="342" t="s">
        <v>210</v>
      </c>
      <c r="BV114" s="342" t="s">
        <v>210</v>
      </c>
      <c r="BW114" s="341" t="s">
        <v>15</v>
      </c>
      <c r="BX114" s="361"/>
      <c r="BY114" s="362"/>
      <c r="BZ114" s="363"/>
      <c r="CA114" s="363"/>
      <c r="CB114" s="363"/>
      <c r="CC114" s="363"/>
      <c r="CD114" s="293"/>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row>
    <row r="115" spans="2:220" s="287" customFormat="1" ht="22.5" customHeight="1">
      <c r="B115" s="365">
        <v>220130</v>
      </c>
      <c r="C115" s="366" t="s">
        <v>13069</v>
      </c>
      <c r="D115" s="367"/>
      <c r="E115" s="368"/>
      <c r="F115" s="321" t="s">
        <v>41</v>
      </c>
      <c r="G115" s="326" t="s">
        <v>2594</v>
      </c>
      <c r="H115" s="326" t="s">
        <v>2595</v>
      </c>
      <c r="I115" s="326" t="s">
        <v>11</v>
      </c>
      <c r="J115" s="326" t="s">
        <v>21</v>
      </c>
      <c r="K115" s="326" t="s">
        <v>38</v>
      </c>
      <c r="L115" s="323"/>
      <c r="M115" s="374"/>
      <c r="N115" s="325" t="s">
        <v>438</v>
      </c>
      <c r="O115" s="326">
        <v>30</v>
      </c>
      <c r="P115" s="327">
        <v>556</v>
      </c>
      <c r="Q115" s="369">
        <v>431</v>
      </c>
      <c r="R115" s="329" t="s">
        <v>14739</v>
      </c>
      <c r="S115" s="331" t="s">
        <v>14743</v>
      </c>
      <c r="T115" s="331" t="s">
        <v>14741</v>
      </c>
      <c r="U115" s="331" t="s">
        <v>16355</v>
      </c>
      <c r="V115" s="331" t="s">
        <v>14744</v>
      </c>
      <c r="W115" s="332" t="s">
        <v>432</v>
      </c>
      <c r="X115" s="331" t="s">
        <v>14719</v>
      </c>
      <c r="Y115" s="331" t="s">
        <v>14719</v>
      </c>
      <c r="Z115" s="331" t="s">
        <v>14719</v>
      </c>
      <c r="AA115" s="331" t="s">
        <v>14719</v>
      </c>
      <c r="AB115" s="333"/>
      <c r="AC115" s="333"/>
      <c r="AD115" s="334" t="s">
        <v>272</v>
      </c>
      <c r="AE115" s="335" t="s">
        <v>43</v>
      </c>
      <c r="AF115" s="336"/>
      <c r="AG115" s="337"/>
      <c r="AH115" s="338">
        <v>12.9</v>
      </c>
      <c r="AI115" s="339">
        <v>16.7</v>
      </c>
      <c r="AJ115" s="339">
        <v>12.9</v>
      </c>
      <c r="AK115" s="340">
        <f>SUM(AH115:AJ115)</f>
        <v>42.5</v>
      </c>
      <c r="AL115" s="321" t="s">
        <v>210</v>
      </c>
      <c r="AM115" s="326" t="s">
        <v>15</v>
      </c>
      <c r="AN115" s="326" t="s">
        <v>15</v>
      </c>
      <c r="AO115" s="341" t="s">
        <v>15</v>
      </c>
      <c r="AP115" s="342"/>
      <c r="AQ115" s="343"/>
      <c r="AR115" s="370">
        <v>530</v>
      </c>
      <c r="AS115" s="326">
        <v>80</v>
      </c>
      <c r="AT115" s="392">
        <v>0.6</v>
      </c>
      <c r="AU115" s="392"/>
      <c r="AV115" s="392">
        <v>0.6</v>
      </c>
      <c r="AW115" s="340"/>
      <c r="AX115" s="347"/>
      <c r="AY115" s="348"/>
      <c r="AZ115" s="377"/>
      <c r="BA115" s="374"/>
      <c r="BB115" s="374"/>
      <c r="BC115" s="374"/>
      <c r="BD115" s="374"/>
      <c r="BE115" s="374"/>
      <c r="BF115" s="374"/>
      <c r="BG115" s="374"/>
      <c r="BH115" s="378"/>
      <c r="BI115" s="376"/>
      <c r="BJ115" s="379"/>
      <c r="BK115" s="380"/>
      <c r="BL115" s="348"/>
      <c r="BM115" s="381"/>
      <c r="BN115" s="321" t="s">
        <v>15</v>
      </c>
      <c r="BO115" s="372"/>
      <c r="BP115" s="373" t="s">
        <v>15</v>
      </c>
      <c r="BQ115" s="360"/>
      <c r="BR115" s="361"/>
      <c r="BS115" s="361"/>
      <c r="BT115" s="361"/>
      <c r="BU115" s="342" t="s">
        <v>210</v>
      </c>
      <c r="BV115" s="342" t="s">
        <v>210</v>
      </c>
      <c r="BW115" s="341" t="s">
        <v>15</v>
      </c>
      <c r="BX115" s="361"/>
      <c r="BY115" s="362"/>
      <c r="BZ115" s="363"/>
      <c r="CA115" s="363"/>
      <c r="CB115" s="363"/>
      <c r="CC115" s="363"/>
      <c r="CD115" s="293"/>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row>
    <row r="116" spans="2:220" s="287" customFormat="1" ht="22.5" customHeight="1">
      <c r="B116" s="365">
        <v>220131</v>
      </c>
      <c r="C116" s="366" t="s">
        <v>14614</v>
      </c>
      <c r="D116" s="367"/>
      <c r="E116" s="368"/>
      <c r="F116" s="321" t="s">
        <v>66</v>
      </c>
      <c r="G116" s="326" t="s">
        <v>2609</v>
      </c>
      <c r="H116" s="326" t="s">
        <v>2608</v>
      </c>
      <c r="I116" s="326" t="s">
        <v>11</v>
      </c>
      <c r="J116" s="326" t="s">
        <v>12</v>
      </c>
      <c r="K116" s="326" t="s">
        <v>10</v>
      </c>
      <c r="L116" s="323"/>
      <c r="M116" s="324" t="s">
        <v>10767</v>
      </c>
      <c r="N116" s="325" t="s">
        <v>438</v>
      </c>
      <c r="O116" s="326">
        <v>40</v>
      </c>
      <c r="P116" s="327" t="s">
        <v>584</v>
      </c>
      <c r="Q116" s="369" t="s">
        <v>587</v>
      </c>
      <c r="R116" s="329" t="s">
        <v>14745</v>
      </c>
      <c r="S116" s="394" t="s">
        <v>14746</v>
      </c>
      <c r="T116" s="394" t="s">
        <v>14747</v>
      </c>
      <c r="U116" s="394" t="s">
        <v>16336</v>
      </c>
      <c r="V116" s="394" t="s">
        <v>14748</v>
      </c>
      <c r="W116" s="332" t="s">
        <v>432</v>
      </c>
      <c r="X116" s="331" t="s">
        <v>14719</v>
      </c>
      <c r="Y116" s="331" t="s">
        <v>14719</v>
      </c>
      <c r="Z116" s="331" t="s">
        <v>14719</v>
      </c>
      <c r="AA116" s="331" t="s">
        <v>14719</v>
      </c>
      <c r="AB116" s="333"/>
      <c r="AC116" s="333"/>
      <c r="AD116" s="334" t="s">
        <v>853</v>
      </c>
      <c r="AE116" s="335" t="s">
        <v>96</v>
      </c>
      <c r="AF116" s="336"/>
      <c r="AG116" s="337"/>
      <c r="AH116" s="338">
        <v>12.8</v>
      </c>
      <c r="AI116" s="339">
        <v>15.1</v>
      </c>
      <c r="AJ116" s="339">
        <v>11.2</v>
      </c>
      <c r="AK116" s="340">
        <f>SUM(AH116:AJ116)</f>
        <v>39.099999999999994</v>
      </c>
      <c r="AL116" s="321" t="s">
        <v>210</v>
      </c>
      <c r="AM116" s="326" t="s">
        <v>15</v>
      </c>
      <c r="AN116" s="326" t="s">
        <v>15</v>
      </c>
      <c r="AO116" s="341" t="s">
        <v>15</v>
      </c>
      <c r="AP116" s="342"/>
      <c r="AQ116" s="343"/>
      <c r="AR116" s="370">
        <v>6344</v>
      </c>
      <c r="AS116" s="326">
        <v>100</v>
      </c>
      <c r="AT116" s="392">
        <v>1</v>
      </c>
      <c r="AU116" s="392"/>
      <c r="AV116" s="392">
        <v>1.5</v>
      </c>
      <c r="AW116" s="340"/>
      <c r="AX116" s="347"/>
      <c r="AY116" s="348"/>
      <c r="AZ116" s="377"/>
      <c r="BA116" s="374"/>
      <c r="BB116" s="374"/>
      <c r="BC116" s="374"/>
      <c r="BD116" s="374"/>
      <c r="BE116" s="374"/>
      <c r="BF116" s="374"/>
      <c r="BG116" s="374"/>
      <c r="BH116" s="378"/>
      <c r="BI116" s="376"/>
      <c r="BJ116" s="379"/>
      <c r="BK116" s="380"/>
      <c r="BL116" s="348"/>
      <c r="BM116" s="381"/>
      <c r="BN116" s="321" t="s">
        <v>15</v>
      </c>
      <c r="BO116" s="372"/>
      <c r="BP116" s="373" t="s">
        <v>14</v>
      </c>
      <c r="BQ116" s="360"/>
      <c r="BR116" s="361"/>
      <c r="BS116" s="361"/>
      <c r="BT116" s="361"/>
      <c r="BU116" s="342" t="s">
        <v>210</v>
      </c>
      <c r="BV116" s="342" t="s">
        <v>210</v>
      </c>
      <c r="BW116" s="341" t="s">
        <v>15</v>
      </c>
      <c r="BX116" s="361"/>
      <c r="BY116" s="362" t="s">
        <v>583</v>
      </c>
      <c r="BZ116" s="363"/>
      <c r="CA116" s="363"/>
      <c r="CB116" s="363"/>
      <c r="CC116" s="363"/>
      <c r="CD116" s="293"/>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row>
    <row r="117" spans="2:220" s="287" customFormat="1" ht="22.5" customHeight="1">
      <c r="B117" s="365">
        <v>220132</v>
      </c>
      <c r="C117" s="366" t="s">
        <v>155</v>
      </c>
      <c r="D117" s="367"/>
      <c r="E117" s="368"/>
      <c r="F117" s="321" t="s">
        <v>41</v>
      </c>
      <c r="G117" s="326" t="s">
        <v>2606</v>
      </c>
      <c r="H117" s="326" t="s">
        <v>2607</v>
      </c>
      <c r="I117" s="326" t="s">
        <v>11</v>
      </c>
      <c r="J117" s="326" t="s">
        <v>12</v>
      </c>
      <c r="K117" s="326" t="s">
        <v>10</v>
      </c>
      <c r="L117" s="323"/>
      <c r="M117" s="374"/>
      <c r="N117" s="325" t="s">
        <v>438</v>
      </c>
      <c r="O117" s="326">
        <v>30</v>
      </c>
      <c r="P117" s="327">
        <v>3766</v>
      </c>
      <c r="Q117" s="369">
        <v>3800</v>
      </c>
      <c r="R117" s="329" t="s">
        <v>576</v>
      </c>
      <c r="S117" s="330"/>
      <c r="T117" s="330"/>
      <c r="U117" s="330"/>
      <c r="V117" s="330"/>
      <c r="W117" s="332" t="s">
        <v>14749</v>
      </c>
      <c r="X117" s="331" t="s">
        <v>14750</v>
      </c>
      <c r="Y117" s="331" t="s">
        <v>14751</v>
      </c>
      <c r="Z117" s="330"/>
      <c r="AA117" s="331" t="s">
        <v>14752</v>
      </c>
      <c r="AB117" s="333"/>
      <c r="AC117" s="333"/>
      <c r="AD117" s="334" t="s">
        <v>2324</v>
      </c>
      <c r="AE117" s="335" t="s">
        <v>118</v>
      </c>
      <c r="AF117" s="336"/>
      <c r="AG117" s="337"/>
      <c r="AH117" s="417" t="s">
        <v>210</v>
      </c>
      <c r="AI117" s="392" t="s">
        <v>210</v>
      </c>
      <c r="AJ117" s="392" t="s">
        <v>210</v>
      </c>
      <c r="AK117" s="340" t="s">
        <v>210</v>
      </c>
      <c r="AL117" s="321" t="s">
        <v>210</v>
      </c>
      <c r="AM117" s="326" t="s">
        <v>15</v>
      </c>
      <c r="AN117" s="326" t="s">
        <v>15</v>
      </c>
      <c r="AO117" s="341" t="s">
        <v>15</v>
      </c>
      <c r="AP117" s="342"/>
      <c r="AQ117" s="343"/>
      <c r="AR117" s="370">
        <v>4513</v>
      </c>
      <c r="AS117" s="326">
        <v>80</v>
      </c>
      <c r="AT117" s="392">
        <v>1</v>
      </c>
      <c r="AU117" s="392"/>
      <c r="AV117" s="392">
        <v>1.5</v>
      </c>
      <c r="AW117" s="340"/>
      <c r="AX117" s="347"/>
      <c r="AY117" s="348"/>
      <c r="AZ117" s="377"/>
      <c r="BA117" s="374"/>
      <c r="BB117" s="374"/>
      <c r="BC117" s="374"/>
      <c r="BD117" s="374"/>
      <c r="BE117" s="374"/>
      <c r="BF117" s="374"/>
      <c r="BG117" s="374"/>
      <c r="BH117" s="378"/>
      <c r="BI117" s="376"/>
      <c r="BJ117" s="379"/>
      <c r="BK117" s="380"/>
      <c r="BL117" s="348"/>
      <c r="BM117" s="381"/>
      <c r="BN117" s="321" t="s">
        <v>14</v>
      </c>
      <c r="BO117" s="372"/>
      <c r="BP117" s="373" t="s">
        <v>14</v>
      </c>
      <c r="BQ117" s="360"/>
      <c r="BR117" s="361"/>
      <c r="BS117" s="361"/>
      <c r="BT117" s="361"/>
      <c r="BU117" s="342" t="s">
        <v>210</v>
      </c>
      <c r="BV117" s="342" t="s">
        <v>210</v>
      </c>
      <c r="BW117" s="341" t="s">
        <v>15</v>
      </c>
      <c r="BX117" s="361"/>
      <c r="BY117" s="362"/>
      <c r="BZ117" s="363"/>
      <c r="CA117" s="363"/>
      <c r="CB117" s="363"/>
      <c r="CC117" s="363"/>
      <c r="CD117" s="293"/>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row>
    <row r="118" spans="2:220" s="287" customFormat="1" ht="22.5" customHeight="1">
      <c r="B118" s="365">
        <v>220133</v>
      </c>
      <c r="C118" s="366" t="s">
        <v>13895</v>
      </c>
      <c r="D118" s="367"/>
      <c r="E118" s="368"/>
      <c r="F118" s="321" t="s">
        <v>117</v>
      </c>
      <c r="G118" s="326" t="s">
        <v>2629</v>
      </c>
      <c r="H118" s="326" t="s">
        <v>2630</v>
      </c>
      <c r="I118" s="326" t="s">
        <v>11</v>
      </c>
      <c r="J118" s="326" t="s">
        <v>12</v>
      </c>
      <c r="K118" s="326" t="s">
        <v>10</v>
      </c>
      <c r="L118" s="323"/>
      <c r="M118" s="374"/>
      <c r="N118" s="325" t="s">
        <v>437</v>
      </c>
      <c r="O118" s="326" t="s">
        <v>210</v>
      </c>
      <c r="P118" s="327" t="s">
        <v>210</v>
      </c>
      <c r="Q118" s="369" t="s">
        <v>210</v>
      </c>
      <c r="R118" s="329" t="s">
        <v>541</v>
      </c>
      <c r="S118" s="330"/>
      <c r="T118" s="400"/>
      <c r="U118" s="400"/>
      <c r="V118" s="330"/>
      <c r="W118" s="332" t="s">
        <v>514</v>
      </c>
      <c r="X118" s="330"/>
      <c r="Y118" s="330"/>
      <c r="Z118" s="330"/>
      <c r="AA118" s="330"/>
      <c r="AB118" s="333"/>
      <c r="AC118" s="333"/>
      <c r="AD118" s="334" t="s">
        <v>2323</v>
      </c>
      <c r="AE118" s="335" t="s">
        <v>15</v>
      </c>
      <c r="AF118" s="336"/>
      <c r="AG118" s="337"/>
      <c r="AH118" s="417" t="s">
        <v>210</v>
      </c>
      <c r="AI118" s="392" t="s">
        <v>210</v>
      </c>
      <c r="AJ118" s="392" t="s">
        <v>210</v>
      </c>
      <c r="AK118" s="340" t="s">
        <v>210</v>
      </c>
      <c r="AL118" s="321" t="s">
        <v>210</v>
      </c>
      <c r="AM118" s="326" t="s">
        <v>15</v>
      </c>
      <c r="AN118" s="326" t="s">
        <v>15</v>
      </c>
      <c r="AO118" s="341" t="s">
        <v>15</v>
      </c>
      <c r="AP118" s="342"/>
      <c r="AQ118" s="343"/>
      <c r="AR118" s="370">
        <v>1283</v>
      </c>
      <c r="AS118" s="326">
        <v>100</v>
      </c>
      <c r="AT118" s="392">
        <v>0.8</v>
      </c>
      <c r="AU118" s="392"/>
      <c r="AV118" s="392">
        <v>0.8</v>
      </c>
      <c r="AW118" s="340"/>
      <c r="AX118" s="347"/>
      <c r="AY118" s="348"/>
      <c r="AZ118" s="377"/>
      <c r="BA118" s="374"/>
      <c r="BB118" s="374"/>
      <c r="BC118" s="374"/>
      <c r="BD118" s="374"/>
      <c r="BE118" s="374"/>
      <c r="BF118" s="374"/>
      <c r="BG118" s="374"/>
      <c r="BH118" s="378"/>
      <c r="BI118" s="376"/>
      <c r="BJ118" s="379"/>
      <c r="BK118" s="380"/>
      <c r="BL118" s="348"/>
      <c r="BM118" s="381"/>
      <c r="BN118" s="321" t="s">
        <v>15</v>
      </c>
      <c r="BO118" s="372"/>
      <c r="BP118" s="373" t="s">
        <v>15</v>
      </c>
      <c r="BQ118" s="360"/>
      <c r="BR118" s="361"/>
      <c r="BS118" s="361"/>
      <c r="BT118" s="361"/>
      <c r="BU118" s="342" t="s">
        <v>210</v>
      </c>
      <c r="BV118" s="342" t="s">
        <v>210</v>
      </c>
      <c r="BW118" s="341" t="s">
        <v>15</v>
      </c>
      <c r="BX118" s="361"/>
      <c r="BY118" s="362"/>
      <c r="BZ118" s="363"/>
      <c r="CA118" s="363"/>
      <c r="CB118" s="363"/>
      <c r="CC118" s="363"/>
      <c r="CD118" s="293"/>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row>
    <row r="119" spans="2:220" s="287" customFormat="1" ht="22.5" customHeight="1">
      <c r="B119" s="365">
        <v>220135</v>
      </c>
      <c r="C119" s="366" t="s">
        <v>147</v>
      </c>
      <c r="D119" s="367"/>
      <c r="E119" s="368"/>
      <c r="F119" s="321" t="s">
        <v>149</v>
      </c>
      <c r="G119" s="326" t="s">
        <v>2604</v>
      </c>
      <c r="H119" s="326" t="s">
        <v>2605</v>
      </c>
      <c r="I119" s="326" t="s">
        <v>11</v>
      </c>
      <c r="J119" s="326" t="s">
        <v>21</v>
      </c>
      <c r="K119" s="326" t="s">
        <v>148</v>
      </c>
      <c r="L119" s="323"/>
      <c r="M119" s="374"/>
      <c r="N119" s="325" t="s">
        <v>585</v>
      </c>
      <c r="O119" s="326" t="s">
        <v>210</v>
      </c>
      <c r="P119" s="327" t="s">
        <v>210</v>
      </c>
      <c r="Q119" s="369" t="s">
        <v>210</v>
      </c>
      <c r="R119" s="332" t="s">
        <v>14753</v>
      </c>
      <c r="S119" s="394" t="s">
        <v>14754</v>
      </c>
      <c r="T119" s="394" t="s">
        <v>14755</v>
      </c>
      <c r="U119" s="394" t="s">
        <v>16372</v>
      </c>
      <c r="V119" s="394" t="s">
        <v>14756</v>
      </c>
      <c r="W119" s="332" t="s">
        <v>14753</v>
      </c>
      <c r="X119" s="400"/>
      <c r="Y119" s="400"/>
      <c r="Z119" s="400"/>
      <c r="AA119" s="400"/>
      <c r="AB119" s="333"/>
      <c r="AC119" s="333"/>
      <c r="AD119" s="396" t="s">
        <v>2320</v>
      </c>
      <c r="AE119" s="335" t="s">
        <v>15</v>
      </c>
      <c r="AF119" s="336"/>
      <c r="AG119" s="337"/>
      <c r="AH119" s="417" t="s">
        <v>210</v>
      </c>
      <c r="AI119" s="392" t="s">
        <v>210</v>
      </c>
      <c r="AJ119" s="392" t="s">
        <v>210</v>
      </c>
      <c r="AK119" s="340" t="s">
        <v>210</v>
      </c>
      <c r="AL119" s="321" t="s">
        <v>210</v>
      </c>
      <c r="AM119" s="326" t="s">
        <v>15</v>
      </c>
      <c r="AN119" s="326" t="s">
        <v>15</v>
      </c>
      <c r="AO119" s="341" t="s">
        <v>15</v>
      </c>
      <c r="AP119" s="342"/>
      <c r="AQ119" s="343"/>
      <c r="AR119" s="370">
        <v>2835</v>
      </c>
      <c r="AS119" s="326">
        <v>100</v>
      </c>
      <c r="AT119" s="392">
        <v>0.8</v>
      </c>
      <c r="AU119" s="392"/>
      <c r="AV119" s="392">
        <v>1</v>
      </c>
      <c r="AW119" s="340"/>
      <c r="AX119" s="347"/>
      <c r="AY119" s="348"/>
      <c r="AZ119" s="377"/>
      <c r="BA119" s="374"/>
      <c r="BB119" s="374"/>
      <c r="BC119" s="374"/>
      <c r="BD119" s="374"/>
      <c r="BE119" s="374"/>
      <c r="BF119" s="374"/>
      <c r="BG119" s="374"/>
      <c r="BH119" s="378"/>
      <c r="BI119" s="376"/>
      <c r="BJ119" s="379"/>
      <c r="BK119" s="380"/>
      <c r="BL119" s="348"/>
      <c r="BM119" s="381"/>
      <c r="BN119" s="321" t="s">
        <v>15</v>
      </c>
      <c r="BO119" s="372"/>
      <c r="BP119" s="373" t="s">
        <v>15</v>
      </c>
      <c r="BQ119" s="360"/>
      <c r="BR119" s="361"/>
      <c r="BS119" s="361"/>
      <c r="BT119" s="361"/>
      <c r="BU119" s="342" t="s">
        <v>210</v>
      </c>
      <c r="BV119" s="342" t="s">
        <v>210</v>
      </c>
      <c r="BW119" s="341" t="s">
        <v>622</v>
      </c>
      <c r="BX119" s="361"/>
      <c r="BY119" s="362"/>
      <c r="BZ119" s="363"/>
      <c r="CA119" s="363"/>
      <c r="CB119" s="363"/>
      <c r="CC119" s="363"/>
      <c r="CD119" s="293"/>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row>
    <row r="120" spans="2:220" s="287" customFormat="1" ht="22.5" customHeight="1">
      <c r="B120" s="365">
        <v>220137</v>
      </c>
      <c r="C120" s="366" t="s">
        <v>13894</v>
      </c>
      <c r="D120" s="367"/>
      <c r="E120" s="368"/>
      <c r="F120" s="321" t="s">
        <v>69</v>
      </c>
      <c r="G120" s="326" t="s">
        <v>2602</v>
      </c>
      <c r="H120" s="326" t="s">
        <v>2603</v>
      </c>
      <c r="I120" s="326" t="s">
        <v>11</v>
      </c>
      <c r="J120" s="326" t="s">
        <v>12</v>
      </c>
      <c r="K120" s="326" t="s">
        <v>10</v>
      </c>
      <c r="L120" s="323"/>
      <c r="M120" s="374"/>
      <c r="N120" s="325" t="s">
        <v>437</v>
      </c>
      <c r="O120" s="326" t="s">
        <v>210</v>
      </c>
      <c r="P120" s="327">
        <v>1087</v>
      </c>
      <c r="Q120" s="369">
        <v>1092</v>
      </c>
      <c r="R120" s="329" t="s">
        <v>541</v>
      </c>
      <c r="S120" s="330"/>
      <c r="T120" s="400"/>
      <c r="U120" s="400"/>
      <c r="V120" s="330"/>
      <c r="W120" s="332" t="s">
        <v>514</v>
      </c>
      <c r="X120" s="332" t="s">
        <v>14757</v>
      </c>
      <c r="Y120" s="331" t="s">
        <v>14758</v>
      </c>
      <c r="Z120" s="331" t="s">
        <v>14759</v>
      </c>
      <c r="AA120" s="332" t="s">
        <v>14760</v>
      </c>
      <c r="AB120" s="333"/>
      <c r="AC120" s="333"/>
      <c r="AD120" s="334" t="s">
        <v>2323</v>
      </c>
      <c r="AE120" s="335" t="s">
        <v>15</v>
      </c>
      <c r="AF120" s="336"/>
      <c r="AG120" s="337"/>
      <c r="AH120" s="417" t="s">
        <v>210</v>
      </c>
      <c r="AI120" s="392" t="s">
        <v>210</v>
      </c>
      <c r="AJ120" s="392" t="s">
        <v>210</v>
      </c>
      <c r="AK120" s="340" t="s">
        <v>210</v>
      </c>
      <c r="AL120" s="321" t="s">
        <v>210</v>
      </c>
      <c r="AM120" s="326" t="s">
        <v>15</v>
      </c>
      <c r="AN120" s="326" t="s">
        <v>15</v>
      </c>
      <c r="AO120" s="341" t="s">
        <v>15</v>
      </c>
      <c r="AP120" s="342"/>
      <c r="AQ120" s="343"/>
      <c r="AR120" s="370">
        <v>1252</v>
      </c>
      <c r="AS120" s="326">
        <v>100</v>
      </c>
      <c r="AT120" s="392">
        <v>0.8</v>
      </c>
      <c r="AU120" s="392"/>
      <c r="AV120" s="392">
        <v>1</v>
      </c>
      <c r="AW120" s="340"/>
      <c r="AX120" s="347"/>
      <c r="AY120" s="348"/>
      <c r="AZ120" s="377"/>
      <c r="BA120" s="374"/>
      <c r="BB120" s="374"/>
      <c r="BC120" s="374"/>
      <c r="BD120" s="374"/>
      <c r="BE120" s="374"/>
      <c r="BF120" s="374"/>
      <c r="BG120" s="374"/>
      <c r="BH120" s="378"/>
      <c r="BI120" s="376"/>
      <c r="BJ120" s="379"/>
      <c r="BK120" s="380"/>
      <c r="BL120" s="348"/>
      <c r="BM120" s="381"/>
      <c r="BN120" s="321" t="s">
        <v>14</v>
      </c>
      <c r="BO120" s="372"/>
      <c r="BP120" s="373" t="s">
        <v>15</v>
      </c>
      <c r="BQ120" s="360"/>
      <c r="BR120" s="361"/>
      <c r="BS120" s="361"/>
      <c r="BT120" s="361"/>
      <c r="BU120" s="342" t="s">
        <v>210</v>
      </c>
      <c r="BV120" s="342" t="s">
        <v>210</v>
      </c>
      <c r="BW120" s="341" t="s">
        <v>15</v>
      </c>
      <c r="BX120" s="361"/>
      <c r="BY120" s="362"/>
      <c r="BZ120" s="363"/>
      <c r="CA120" s="363"/>
      <c r="CB120" s="363"/>
      <c r="CC120" s="363"/>
      <c r="CD120" s="293"/>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row>
    <row r="121" spans="2:220" s="287" customFormat="1" ht="22.5" customHeight="1">
      <c r="B121" s="365">
        <v>220139</v>
      </c>
      <c r="C121" s="366" t="s">
        <v>151</v>
      </c>
      <c r="D121" s="367"/>
      <c r="E121" s="368"/>
      <c r="F121" s="321" t="s">
        <v>93</v>
      </c>
      <c r="G121" s="326" t="s">
        <v>2600</v>
      </c>
      <c r="H121" s="326" t="s">
        <v>2601</v>
      </c>
      <c r="I121" s="326" t="s">
        <v>11</v>
      </c>
      <c r="J121" s="326" t="s">
        <v>24</v>
      </c>
      <c r="K121" s="326" t="s">
        <v>806</v>
      </c>
      <c r="L121" s="323"/>
      <c r="M121" s="374"/>
      <c r="N121" s="325" t="s">
        <v>438</v>
      </c>
      <c r="O121" s="327" t="s">
        <v>587</v>
      </c>
      <c r="P121" s="327">
        <v>2668</v>
      </c>
      <c r="Q121" s="369" t="s">
        <v>587</v>
      </c>
      <c r="R121" s="329" t="s">
        <v>14761</v>
      </c>
      <c r="S121" s="330"/>
      <c r="T121" s="330"/>
      <c r="U121" s="330"/>
      <c r="V121" s="330"/>
      <c r="W121" s="332" t="s">
        <v>14762</v>
      </c>
      <c r="X121" s="331" t="s">
        <v>14763</v>
      </c>
      <c r="Y121" s="331" t="s">
        <v>14764</v>
      </c>
      <c r="Z121" s="331" t="s">
        <v>14765</v>
      </c>
      <c r="AA121" s="331" t="s">
        <v>14766</v>
      </c>
      <c r="AB121" s="333"/>
      <c r="AC121" s="333"/>
      <c r="AD121" s="396" t="s">
        <v>2320</v>
      </c>
      <c r="AE121" s="335" t="s">
        <v>94</v>
      </c>
      <c r="AF121" s="336"/>
      <c r="AG121" s="337"/>
      <c r="AH121" s="417" t="s">
        <v>435</v>
      </c>
      <c r="AI121" s="392" t="s">
        <v>435</v>
      </c>
      <c r="AJ121" s="392" t="s">
        <v>435</v>
      </c>
      <c r="AK121" s="340" t="s">
        <v>435</v>
      </c>
      <c r="AL121" s="321" t="s">
        <v>210</v>
      </c>
      <c r="AM121" s="326" t="s">
        <v>15</v>
      </c>
      <c r="AN121" s="326" t="s">
        <v>15</v>
      </c>
      <c r="AO121" s="341" t="s">
        <v>15</v>
      </c>
      <c r="AP121" s="342"/>
      <c r="AQ121" s="343"/>
      <c r="AR121" s="370">
        <v>1386</v>
      </c>
      <c r="AS121" s="326">
        <v>50</v>
      </c>
      <c r="AT121" s="392">
        <v>1</v>
      </c>
      <c r="AU121" s="392"/>
      <c r="AV121" s="392">
        <v>1.5</v>
      </c>
      <c r="AW121" s="340"/>
      <c r="AX121" s="347"/>
      <c r="AY121" s="348"/>
      <c r="AZ121" s="377"/>
      <c r="BA121" s="374"/>
      <c r="BB121" s="374"/>
      <c r="BC121" s="374"/>
      <c r="BD121" s="374"/>
      <c r="BE121" s="374"/>
      <c r="BF121" s="374"/>
      <c r="BG121" s="374"/>
      <c r="BH121" s="378"/>
      <c r="BI121" s="376"/>
      <c r="BJ121" s="379"/>
      <c r="BK121" s="380"/>
      <c r="BL121" s="348"/>
      <c r="BM121" s="381"/>
      <c r="BN121" s="321" t="s">
        <v>14</v>
      </c>
      <c r="BO121" s="372"/>
      <c r="BP121" s="373" t="s">
        <v>14</v>
      </c>
      <c r="BQ121" s="360"/>
      <c r="BR121" s="361"/>
      <c r="BS121" s="361"/>
      <c r="BT121" s="361"/>
      <c r="BU121" s="342" t="s">
        <v>210</v>
      </c>
      <c r="BV121" s="342" t="s">
        <v>210</v>
      </c>
      <c r="BW121" s="341" t="s">
        <v>15</v>
      </c>
      <c r="BX121" s="361"/>
      <c r="BY121" s="362"/>
      <c r="BZ121" s="363"/>
      <c r="CA121" s="363"/>
      <c r="CB121" s="363"/>
      <c r="CC121" s="363"/>
      <c r="CD121" s="293"/>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row>
    <row r="122" spans="2:220" s="287" customFormat="1" ht="22.5" customHeight="1">
      <c r="B122" s="365">
        <v>220140</v>
      </c>
      <c r="C122" s="366" t="s">
        <v>7778</v>
      </c>
      <c r="D122" s="367"/>
      <c r="E122" s="368"/>
      <c r="F122" s="321" t="s">
        <v>32</v>
      </c>
      <c r="G122" s="326" t="s">
        <v>2598</v>
      </c>
      <c r="H122" s="326" t="s">
        <v>2599</v>
      </c>
      <c r="I122" s="326" t="s">
        <v>11</v>
      </c>
      <c r="J122" s="326" t="s">
        <v>12</v>
      </c>
      <c r="K122" s="326" t="s">
        <v>10</v>
      </c>
      <c r="L122" s="323"/>
      <c r="M122" s="374"/>
      <c r="N122" s="325" t="s">
        <v>437</v>
      </c>
      <c r="O122" s="326" t="s">
        <v>210</v>
      </c>
      <c r="P122" s="327">
        <v>1142</v>
      </c>
      <c r="Q122" s="369">
        <v>1178</v>
      </c>
      <c r="R122" s="329" t="s">
        <v>541</v>
      </c>
      <c r="S122" s="330"/>
      <c r="T122" s="400"/>
      <c r="U122" s="400"/>
      <c r="V122" s="330"/>
      <c r="W122" s="332" t="s">
        <v>514</v>
      </c>
      <c r="X122" s="332" t="s">
        <v>14767</v>
      </c>
      <c r="Y122" s="331" t="s">
        <v>14758</v>
      </c>
      <c r="Z122" s="331" t="s">
        <v>14759</v>
      </c>
      <c r="AA122" s="332" t="s">
        <v>14760</v>
      </c>
      <c r="AB122" s="333"/>
      <c r="AC122" s="333"/>
      <c r="AD122" s="334" t="s">
        <v>2323</v>
      </c>
      <c r="AE122" s="335" t="s">
        <v>15</v>
      </c>
      <c r="AF122" s="336"/>
      <c r="AG122" s="337"/>
      <c r="AH122" s="417" t="s">
        <v>210</v>
      </c>
      <c r="AI122" s="392" t="s">
        <v>210</v>
      </c>
      <c r="AJ122" s="392" t="s">
        <v>210</v>
      </c>
      <c r="AK122" s="340" t="s">
        <v>210</v>
      </c>
      <c r="AL122" s="321" t="s">
        <v>210</v>
      </c>
      <c r="AM122" s="326" t="s">
        <v>15</v>
      </c>
      <c r="AN122" s="326" t="s">
        <v>15</v>
      </c>
      <c r="AO122" s="341" t="s">
        <v>15</v>
      </c>
      <c r="AP122" s="342"/>
      <c r="AQ122" s="343"/>
      <c r="AR122" s="370">
        <v>1348</v>
      </c>
      <c r="AS122" s="326">
        <v>100</v>
      </c>
      <c r="AT122" s="392">
        <v>0.8</v>
      </c>
      <c r="AU122" s="392"/>
      <c r="AV122" s="392">
        <v>0.8</v>
      </c>
      <c r="AW122" s="340"/>
      <c r="AX122" s="347"/>
      <c r="AY122" s="348"/>
      <c r="AZ122" s="377"/>
      <c r="BA122" s="374"/>
      <c r="BB122" s="374"/>
      <c r="BC122" s="374"/>
      <c r="BD122" s="374"/>
      <c r="BE122" s="374"/>
      <c r="BF122" s="374"/>
      <c r="BG122" s="374"/>
      <c r="BH122" s="378"/>
      <c r="BI122" s="376"/>
      <c r="BJ122" s="379"/>
      <c r="BK122" s="380"/>
      <c r="BL122" s="348"/>
      <c r="BM122" s="381"/>
      <c r="BN122" s="321" t="s">
        <v>15</v>
      </c>
      <c r="BO122" s="372"/>
      <c r="BP122" s="373" t="s">
        <v>15</v>
      </c>
      <c r="BQ122" s="360"/>
      <c r="BR122" s="361"/>
      <c r="BS122" s="361"/>
      <c r="BT122" s="361"/>
      <c r="BU122" s="342" t="s">
        <v>210</v>
      </c>
      <c r="BV122" s="342" t="s">
        <v>210</v>
      </c>
      <c r="BW122" s="341" t="s">
        <v>15</v>
      </c>
      <c r="BX122" s="361"/>
      <c r="BY122" s="362"/>
      <c r="BZ122" s="363"/>
      <c r="CA122" s="363"/>
      <c r="CB122" s="363"/>
      <c r="CC122" s="363"/>
      <c r="CD122" s="293"/>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row>
    <row r="123" spans="2:220" s="287" customFormat="1" ht="22.5" customHeight="1">
      <c r="B123" s="365">
        <v>220141</v>
      </c>
      <c r="C123" s="366" t="s">
        <v>13893</v>
      </c>
      <c r="D123" s="367"/>
      <c r="E123" s="368"/>
      <c r="F123" s="321" t="s">
        <v>57</v>
      </c>
      <c r="G123" s="326" t="s">
        <v>2596</v>
      </c>
      <c r="H123" s="326" t="s">
        <v>2597</v>
      </c>
      <c r="I123" s="326" t="s">
        <v>11</v>
      </c>
      <c r="J123" s="326" t="s">
        <v>12</v>
      </c>
      <c r="K123" s="326" t="s">
        <v>10</v>
      </c>
      <c r="L123" s="323"/>
      <c r="M123" s="374"/>
      <c r="N123" s="325" t="s">
        <v>437</v>
      </c>
      <c r="O123" s="326" t="s">
        <v>210</v>
      </c>
      <c r="P123" s="327">
        <v>1092</v>
      </c>
      <c r="Q123" s="369">
        <v>1124</v>
      </c>
      <c r="R123" s="329" t="s">
        <v>541</v>
      </c>
      <c r="S123" s="330"/>
      <c r="T123" s="400"/>
      <c r="U123" s="400"/>
      <c r="V123" s="330"/>
      <c r="W123" s="332" t="s">
        <v>514</v>
      </c>
      <c r="X123" s="332" t="s">
        <v>14757</v>
      </c>
      <c r="Y123" s="331" t="s">
        <v>14758</v>
      </c>
      <c r="Z123" s="331" t="s">
        <v>14759</v>
      </c>
      <c r="AA123" s="332" t="s">
        <v>14760</v>
      </c>
      <c r="AB123" s="333"/>
      <c r="AC123" s="333"/>
      <c r="AD123" s="396" t="s">
        <v>2320</v>
      </c>
      <c r="AE123" s="335" t="s">
        <v>15</v>
      </c>
      <c r="AF123" s="336"/>
      <c r="AG123" s="337"/>
      <c r="AH123" s="417" t="s">
        <v>210</v>
      </c>
      <c r="AI123" s="392" t="s">
        <v>210</v>
      </c>
      <c r="AJ123" s="392" t="s">
        <v>210</v>
      </c>
      <c r="AK123" s="340" t="s">
        <v>210</v>
      </c>
      <c r="AL123" s="321" t="s">
        <v>210</v>
      </c>
      <c r="AM123" s="326" t="s">
        <v>15</v>
      </c>
      <c r="AN123" s="326" t="s">
        <v>15</v>
      </c>
      <c r="AO123" s="341" t="s">
        <v>15</v>
      </c>
      <c r="AP123" s="342"/>
      <c r="AQ123" s="343"/>
      <c r="AR123" s="370">
        <v>1308</v>
      </c>
      <c r="AS123" s="326">
        <v>100</v>
      </c>
      <c r="AT123" s="392">
        <v>0.8</v>
      </c>
      <c r="AU123" s="392"/>
      <c r="AV123" s="392">
        <v>1</v>
      </c>
      <c r="AW123" s="340"/>
      <c r="AX123" s="347"/>
      <c r="AY123" s="348"/>
      <c r="AZ123" s="377"/>
      <c r="BA123" s="374"/>
      <c r="BB123" s="374"/>
      <c r="BC123" s="374"/>
      <c r="BD123" s="374"/>
      <c r="BE123" s="374"/>
      <c r="BF123" s="374"/>
      <c r="BG123" s="374"/>
      <c r="BH123" s="378"/>
      <c r="BI123" s="376"/>
      <c r="BJ123" s="379"/>
      <c r="BK123" s="380"/>
      <c r="BL123" s="348"/>
      <c r="BM123" s="381"/>
      <c r="BN123" s="321" t="s">
        <v>14</v>
      </c>
      <c r="BO123" s="372"/>
      <c r="BP123" s="373" t="s">
        <v>15</v>
      </c>
      <c r="BQ123" s="360"/>
      <c r="BR123" s="361"/>
      <c r="BS123" s="361"/>
      <c r="BT123" s="361"/>
      <c r="BU123" s="342" t="s">
        <v>210</v>
      </c>
      <c r="BV123" s="342" t="s">
        <v>210</v>
      </c>
      <c r="BW123" s="341" t="s">
        <v>15</v>
      </c>
      <c r="BX123" s="361"/>
      <c r="BY123" s="362"/>
      <c r="BZ123" s="363"/>
      <c r="CA123" s="363"/>
      <c r="CB123" s="363"/>
      <c r="CC123" s="363"/>
      <c r="CD123" s="293"/>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row>
    <row r="124" spans="2:220" s="287" customFormat="1" ht="22.5" customHeight="1">
      <c r="B124" s="365">
        <v>220142</v>
      </c>
      <c r="C124" s="366" t="s">
        <v>13068</v>
      </c>
      <c r="D124" s="367"/>
      <c r="E124" s="368"/>
      <c r="F124" s="321" t="s">
        <v>41</v>
      </c>
      <c r="G124" s="326" t="s">
        <v>2594</v>
      </c>
      <c r="H124" s="326" t="s">
        <v>2595</v>
      </c>
      <c r="I124" s="326" t="s">
        <v>11</v>
      </c>
      <c r="J124" s="326" t="s">
        <v>12</v>
      </c>
      <c r="K124" s="326" t="s">
        <v>10</v>
      </c>
      <c r="L124" s="323"/>
      <c r="M124" s="324" t="s">
        <v>10767</v>
      </c>
      <c r="N124" s="325" t="s">
        <v>438</v>
      </c>
      <c r="O124" s="326">
        <v>30</v>
      </c>
      <c r="P124" s="327">
        <v>2589</v>
      </c>
      <c r="Q124" s="369">
        <v>2596</v>
      </c>
      <c r="R124" s="329" t="s">
        <v>14739</v>
      </c>
      <c r="S124" s="332" t="s">
        <v>14740</v>
      </c>
      <c r="T124" s="332" t="s">
        <v>14741</v>
      </c>
      <c r="U124" s="332" t="s">
        <v>16355</v>
      </c>
      <c r="V124" s="332" t="s">
        <v>14742</v>
      </c>
      <c r="W124" s="332" t="s">
        <v>432</v>
      </c>
      <c r="X124" s="331" t="s">
        <v>14719</v>
      </c>
      <c r="Y124" s="331" t="s">
        <v>14719</v>
      </c>
      <c r="Z124" s="331" t="s">
        <v>14719</v>
      </c>
      <c r="AA124" s="331" t="s">
        <v>14719</v>
      </c>
      <c r="AB124" s="333"/>
      <c r="AC124" s="333"/>
      <c r="AD124" s="334" t="s">
        <v>272</v>
      </c>
      <c r="AE124" s="335" t="s">
        <v>43</v>
      </c>
      <c r="AF124" s="336"/>
      <c r="AG124" s="337"/>
      <c r="AH124" s="338">
        <v>7.7</v>
      </c>
      <c r="AI124" s="339">
        <v>13.4</v>
      </c>
      <c r="AJ124" s="339">
        <v>15.1</v>
      </c>
      <c r="AK124" s="340">
        <f>SUM(AH124:AJ124)</f>
        <v>36.200000000000003</v>
      </c>
      <c r="AL124" s="321" t="s">
        <v>210</v>
      </c>
      <c r="AM124" s="326" t="s">
        <v>15</v>
      </c>
      <c r="AN124" s="326" t="s">
        <v>15</v>
      </c>
      <c r="AO124" s="341" t="s">
        <v>15</v>
      </c>
      <c r="AP124" s="342"/>
      <c r="AQ124" s="343"/>
      <c r="AR124" s="370">
        <v>2783</v>
      </c>
      <c r="AS124" s="326">
        <v>100</v>
      </c>
      <c r="AT124" s="392">
        <v>0.6</v>
      </c>
      <c r="AU124" s="392"/>
      <c r="AV124" s="392">
        <v>0.6</v>
      </c>
      <c r="AW124" s="340"/>
      <c r="AX124" s="347"/>
      <c r="AY124" s="348"/>
      <c r="AZ124" s="377"/>
      <c r="BA124" s="374"/>
      <c r="BB124" s="374"/>
      <c r="BC124" s="374"/>
      <c r="BD124" s="374"/>
      <c r="BE124" s="374"/>
      <c r="BF124" s="374"/>
      <c r="BG124" s="374"/>
      <c r="BH124" s="378"/>
      <c r="BI124" s="376"/>
      <c r="BJ124" s="379"/>
      <c r="BK124" s="380"/>
      <c r="BL124" s="348"/>
      <c r="BM124" s="381"/>
      <c r="BN124" s="321" t="s">
        <v>15</v>
      </c>
      <c r="BO124" s="372"/>
      <c r="BP124" s="373" t="s">
        <v>15</v>
      </c>
      <c r="BQ124" s="360"/>
      <c r="BR124" s="361"/>
      <c r="BS124" s="361"/>
      <c r="BT124" s="361"/>
      <c r="BU124" s="342" t="s">
        <v>210</v>
      </c>
      <c r="BV124" s="342" t="s">
        <v>210</v>
      </c>
      <c r="BW124" s="341" t="s">
        <v>15</v>
      </c>
      <c r="BX124" s="361"/>
      <c r="BY124" s="362"/>
      <c r="BZ124" s="363"/>
      <c r="CA124" s="363"/>
      <c r="CB124" s="363"/>
      <c r="CC124" s="363"/>
      <c r="CD124" s="293"/>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row>
    <row r="125" spans="2:220" s="287" customFormat="1" ht="22.5" customHeight="1">
      <c r="B125" s="365">
        <v>220143</v>
      </c>
      <c r="C125" s="366" t="s">
        <v>589</v>
      </c>
      <c r="D125" s="367"/>
      <c r="E125" s="368"/>
      <c r="F125" s="321" t="s">
        <v>13</v>
      </c>
      <c r="G125" s="326" t="s">
        <v>2592</v>
      </c>
      <c r="H125" s="326" t="s">
        <v>2593</v>
      </c>
      <c r="I125" s="326" t="s">
        <v>11</v>
      </c>
      <c r="J125" s="326" t="s">
        <v>12</v>
      </c>
      <c r="K125" s="326" t="s">
        <v>10</v>
      </c>
      <c r="L125" s="323"/>
      <c r="M125" s="324" t="s">
        <v>10775</v>
      </c>
      <c r="N125" s="325" t="s">
        <v>437</v>
      </c>
      <c r="O125" s="326">
        <v>30</v>
      </c>
      <c r="P125" s="327">
        <v>760</v>
      </c>
      <c r="Q125" s="369">
        <v>788</v>
      </c>
      <c r="R125" s="329" t="s">
        <v>14768</v>
      </c>
      <c r="S125" s="331" t="s">
        <v>14769</v>
      </c>
      <c r="T125" s="331" t="s">
        <v>11322</v>
      </c>
      <c r="U125" s="331" t="s">
        <v>14770</v>
      </c>
      <c r="V125" s="331" t="s">
        <v>14771</v>
      </c>
      <c r="W125" s="332" t="s">
        <v>432</v>
      </c>
      <c r="X125" s="331" t="s">
        <v>14719</v>
      </c>
      <c r="Y125" s="331" t="s">
        <v>14719</v>
      </c>
      <c r="Z125" s="331" t="s">
        <v>14719</v>
      </c>
      <c r="AA125" s="331" t="s">
        <v>14719</v>
      </c>
      <c r="AB125" s="333"/>
      <c r="AC125" s="333"/>
      <c r="AD125" s="396" t="s">
        <v>2320</v>
      </c>
      <c r="AE125" s="335" t="s">
        <v>15</v>
      </c>
      <c r="AF125" s="336"/>
      <c r="AG125" s="337"/>
      <c r="AH125" s="338">
        <v>7.8</v>
      </c>
      <c r="AI125" s="339">
        <v>23</v>
      </c>
      <c r="AJ125" s="339">
        <v>15.3</v>
      </c>
      <c r="AK125" s="340">
        <f>SUM(AH125:AJ125)</f>
        <v>46.1</v>
      </c>
      <c r="AL125" s="321" t="s">
        <v>210</v>
      </c>
      <c r="AM125" s="326" t="s">
        <v>15</v>
      </c>
      <c r="AN125" s="326" t="s">
        <v>15</v>
      </c>
      <c r="AO125" s="341" t="s">
        <v>15</v>
      </c>
      <c r="AP125" s="342"/>
      <c r="AQ125" s="343"/>
      <c r="AR125" s="370">
        <v>945</v>
      </c>
      <c r="AS125" s="326">
        <v>100</v>
      </c>
      <c r="AT125" s="392">
        <v>0.8</v>
      </c>
      <c r="AU125" s="392"/>
      <c r="AV125" s="392">
        <v>1.2</v>
      </c>
      <c r="AW125" s="340"/>
      <c r="AX125" s="347"/>
      <c r="AY125" s="348"/>
      <c r="AZ125" s="377"/>
      <c r="BA125" s="374"/>
      <c r="BB125" s="374"/>
      <c r="BC125" s="374"/>
      <c r="BD125" s="374"/>
      <c r="BE125" s="374"/>
      <c r="BF125" s="374"/>
      <c r="BG125" s="374"/>
      <c r="BH125" s="378"/>
      <c r="BI125" s="376"/>
      <c r="BJ125" s="379"/>
      <c r="BK125" s="380"/>
      <c r="BL125" s="348"/>
      <c r="BM125" s="381"/>
      <c r="BN125" s="321" t="s">
        <v>14</v>
      </c>
      <c r="BO125" s="372"/>
      <c r="BP125" s="373" t="s">
        <v>15</v>
      </c>
      <c r="BQ125" s="360"/>
      <c r="BR125" s="361"/>
      <c r="BS125" s="361"/>
      <c r="BT125" s="361"/>
      <c r="BU125" s="342" t="s">
        <v>210</v>
      </c>
      <c r="BV125" s="342" t="s">
        <v>210</v>
      </c>
      <c r="BW125" s="341" t="s">
        <v>15</v>
      </c>
      <c r="BX125" s="361"/>
      <c r="BY125" s="362"/>
      <c r="BZ125" s="363"/>
      <c r="CA125" s="363"/>
      <c r="CB125" s="363"/>
      <c r="CC125" s="363"/>
      <c r="CD125" s="293"/>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row>
    <row r="126" spans="2:220" s="287" customFormat="1" ht="22.5" customHeight="1">
      <c r="B126" s="365">
        <v>220144</v>
      </c>
      <c r="C126" s="366" t="s">
        <v>163</v>
      </c>
      <c r="D126" s="367"/>
      <c r="E126" s="368"/>
      <c r="F126" s="321" t="s">
        <v>41</v>
      </c>
      <c r="G126" s="326" t="s">
        <v>2590</v>
      </c>
      <c r="H126" s="326" t="s">
        <v>2591</v>
      </c>
      <c r="I126" s="326" t="s">
        <v>11</v>
      </c>
      <c r="J126" s="326" t="s">
        <v>21</v>
      </c>
      <c r="K126" s="326" t="s">
        <v>10</v>
      </c>
      <c r="L126" s="323"/>
      <c r="M126" s="374"/>
      <c r="N126" s="325" t="s">
        <v>438</v>
      </c>
      <c r="O126" s="326" t="s">
        <v>587</v>
      </c>
      <c r="P126" s="327">
        <v>14981</v>
      </c>
      <c r="Q126" s="369">
        <v>14438</v>
      </c>
      <c r="R126" s="333" t="s">
        <v>504</v>
      </c>
      <c r="S126" s="394" t="s">
        <v>14772</v>
      </c>
      <c r="T126" s="394" t="s">
        <v>14773</v>
      </c>
      <c r="U126" s="394" t="s">
        <v>16444</v>
      </c>
      <c r="V126" s="394" t="s">
        <v>14774</v>
      </c>
      <c r="W126" s="332" t="s">
        <v>556</v>
      </c>
      <c r="X126" s="394" t="s">
        <v>14775</v>
      </c>
      <c r="Y126" s="394" t="s">
        <v>15057</v>
      </c>
      <c r="Z126" s="394" t="s">
        <v>15058</v>
      </c>
      <c r="AA126" s="394" t="s">
        <v>14776</v>
      </c>
      <c r="AB126" s="333"/>
      <c r="AC126" s="333"/>
      <c r="AD126" s="396" t="s">
        <v>2320</v>
      </c>
      <c r="AE126" s="335" t="s">
        <v>43</v>
      </c>
      <c r="AF126" s="336"/>
      <c r="AG126" s="337"/>
      <c r="AH126" s="417" t="s">
        <v>210</v>
      </c>
      <c r="AI126" s="392" t="s">
        <v>210</v>
      </c>
      <c r="AJ126" s="392" t="s">
        <v>210</v>
      </c>
      <c r="AK126" s="340" t="s">
        <v>210</v>
      </c>
      <c r="AL126" s="321" t="s">
        <v>210</v>
      </c>
      <c r="AM126" s="326" t="s">
        <v>15</v>
      </c>
      <c r="AN126" s="326" t="s">
        <v>15</v>
      </c>
      <c r="AO126" s="341" t="s">
        <v>15</v>
      </c>
      <c r="AP126" s="342"/>
      <c r="AQ126" s="343"/>
      <c r="AR126" s="370">
        <v>16385</v>
      </c>
      <c r="AS126" s="326">
        <v>150</v>
      </c>
      <c r="AT126" s="392">
        <v>1</v>
      </c>
      <c r="AU126" s="392"/>
      <c r="AV126" s="392">
        <v>1.5</v>
      </c>
      <c r="AW126" s="340"/>
      <c r="AX126" s="347"/>
      <c r="AY126" s="348"/>
      <c r="AZ126" s="377"/>
      <c r="BA126" s="374"/>
      <c r="BB126" s="374"/>
      <c r="BC126" s="374"/>
      <c r="BD126" s="374"/>
      <c r="BE126" s="374"/>
      <c r="BF126" s="374"/>
      <c r="BG126" s="374"/>
      <c r="BH126" s="378"/>
      <c r="BI126" s="376"/>
      <c r="BJ126" s="379"/>
      <c r="BK126" s="380"/>
      <c r="BL126" s="348"/>
      <c r="BM126" s="381"/>
      <c r="BN126" s="321" t="s">
        <v>14</v>
      </c>
      <c r="BO126" s="372"/>
      <c r="BP126" s="373" t="s">
        <v>14</v>
      </c>
      <c r="BQ126" s="360"/>
      <c r="BR126" s="361"/>
      <c r="BS126" s="361"/>
      <c r="BT126" s="361"/>
      <c r="BU126" s="342" t="s">
        <v>210</v>
      </c>
      <c r="BV126" s="342" t="s">
        <v>210</v>
      </c>
      <c r="BW126" s="341" t="s">
        <v>15</v>
      </c>
      <c r="BX126" s="361"/>
      <c r="BY126" s="362"/>
      <c r="BZ126" s="363"/>
      <c r="CA126" s="363"/>
      <c r="CB126" s="363"/>
      <c r="CC126" s="363"/>
      <c r="CD126" s="293"/>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row>
    <row r="127" spans="2:220" s="287" customFormat="1" ht="22.5" customHeight="1">
      <c r="B127" s="365">
        <v>220146</v>
      </c>
      <c r="C127" s="366" t="s">
        <v>13067</v>
      </c>
      <c r="D127" s="367"/>
      <c r="E127" s="368"/>
      <c r="F127" s="321" t="s">
        <v>162</v>
      </c>
      <c r="G127" s="326" t="s">
        <v>2588</v>
      </c>
      <c r="H127" s="326" t="s">
        <v>2589</v>
      </c>
      <c r="I127" s="326" t="s">
        <v>11</v>
      </c>
      <c r="J127" s="326" t="s">
        <v>12</v>
      </c>
      <c r="K127" s="326" t="s">
        <v>10</v>
      </c>
      <c r="L127" s="323"/>
      <c r="M127" s="324" t="s">
        <v>10767</v>
      </c>
      <c r="N127" s="325" t="s">
        <v>438</v>
      </c>
      <c r="O127" s="326">
        <v>30</v>
      </c>
      <c r="P127" s="327">
        <v>2099</v>
      </c>
      <c r="Q127" s="369">
        <v>2210</v>
      </c>
      <c r="R127" s="329" t="s">
        <v>14739</v>
      </c>
      <c r="S127" s="331" t="s">
        <v>14777</v>
      </c>
      <c r="T127" s="331" t="s">
        <v>14741</v>
      </c>
      <c r="U127" s="331" t="s">
        <v>16355</v>
      </c>
      <c r="V127" s="331" t="s">
        <v>14778</v>
      </c>
      <c r="W127" s="332" t="s">
        <v>432</v>
      </c>
      <c r="X127" s="331" t="s">
        <v>14719</v>
      </c>
      <c r="Y127" s="331" t="s">
        <v>14719</v>
      </c>
      <c r="Z127" s="331" t="s">
        <v>14719</v>
      </c>
      <c r="AA127" s="331" t="s">
        <v>14719</v>
      </c>
      <c r="AB127" s="333"/>
      <c r="AC127" s="333"/>
      <c r="AD127" s="334" t="s">
        <v>272</v>
      </c>
      <c r="AE127" s="335" t="s">
        <v>16</v>
      </c>
      <c r="AF127" s="336"/>
      <c r="AG127" s="337"/>
      <c r="AH127" s="338">
        <v>6.3</v>
      </c>
      <c r="AI127" s="339">
        <v>18.5</v>
      </c>
      <c r="AJ127" s="339">
        <v>14.1</v>
      </c>
      <c r="AK127" s="340">
        <f>SUM(AH127:AJ127)</f>
        <v>38.9</v>
      </c>
      <c r="AL127" s="321" t="s">
        <v>210</v>
      </c>
      <c r="AM127" s="326" t="s">
        <v>15</v>
      </c>
      <c r="AN127" s="326" t="s">
        <v>15</v>
      </c>
      <c r="AO127" s="341" t="s">
        <v>15</v>
      </c>
      <c r="AP127" s="342"/>
      <c r="AQ127" s="343"/>
      <c r="AR127" s="370">
        <v>2423</v>
      </c>
      <c r="AS127" s="326">
        <v>100</v>
      </c>
      <c r="AT127" s="392">
        <v>0.6</v>
      </c>
      <c r="AU127" s="392"/>
      <c r="AV127" s="392">
        <v>0.6</v>
      </c>
      <c r="AW127" s="340"/>
      <c r="AX127" s="347"/>
      <c r="AY127" s="348"/>
      <c r="AZ127" s="377"/>
      <c r="BA127" s="374"/>
      <c r="BB127" s="374"/>
      <c r="BC127" s="374"/>
      <c r="BD127" s="374"/>
      <c r="BE127" s="374"/>
      <c r="BF127" s="374"/>
      <c r="BG127" s="374"/>
      <c r="BH127" s="378"/>
      <c r="BI127" s="376"/>
      <c r="BJ127" s="379"/>
      <c r="BK127" s="380"/>
      <c r="BL127" s="348"/>
      <c r="BM127" s="381"/>
      <c r="BN127" s="321" t="s">
        <v>15</v>
      </c>
      <c r="BO127" s="372"/>
      <c r="BP127" s="373" t="s">
        <v>15</v>
      </c>
      <c r="BQ127" s="360"/>
      <c r="BR127" s="361"/>
      <c r="BS127" s="361"/>
      <c r="BT127" s="361"/>
      <c r="BU127" s="342" t="s">
        <v>210</v>
      </c>
      <c r="BV127" s="342" t="s">
        <v>210</v>
      </c>
      <c r="BW127" s="341" t="s">
        <v>15</v>
      </c>
      <c r="BX127" s="361"/>
      <c r="BY127" s="362"/>
      <c r="BZ127" s="363"/>
      <c r="CA127" s="363"/>
      <c r="CB127" s="363"/>
      <c r="CC127" s="363"/>
      <c r="CD127" s="293"/>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row>
    <row r="128" spans="2:220" s="287" customFormat="1" ht="22.5" customHeight="1">
      <c r="B128" s="365">
        <v>220147</v>
      </c>
      <c r="C128" s="366" t="s">
        <v>13892</v>
      </c>
      <c r="D128" s="367"/>
      <c r="E128" s="368"/>
      <c r="F128" s="321" t="s">
        <v>57</v>
      </c>
      <c r="G128" s="326" t="s">
        <v>2586</v>
      </c>
      <c r="H128" s="326" t="s">
        <v>2587</v>
      </c>
      <c r="I128" s="326" t="s">
        <v>11</v>
      </c>
      <c r="J128" s="326" t="s">
        <v>12</v>
      </c>
      <c r="K128" s="326" t="s">
        <v>10</v>
      </c>
      <c r="L128" s="323"/>
      <c r="M128" s="374"/>
      <c r="N128" s="325" t="s">
        <v>437</v>
      </c>
      <c r="O128" s="326" t="s">
        <v>210</v>
      </c>
      <c r="P128" s="327" t="s">
        <v>210</v>
      </c>
      <c r="Q128" s="369" t="s">
        <v>587</v>
      </c>
      <c r="R128" s="329" t="s">
        <v>541</v>
      </c>
      <c r="S128" s="330"/>
      <c r="T128" s="400"/>
      <c r="U128" s="400"/>
      <c r="V128" s="330"/>
      <c r="W128" s="332" t="s">
        <v>514</v>
      </c>
      <c r="X128" s="332" t="s">
        <v>14757</v>
      </c>
      <c r="Y128" s="331" t="s">
        <v>14758</v>
      </c>
      <c r="Z128" s="331" t="s">
        <v>14759</v>
      </c>
      <c r="AA128" s="332" t="s">
        <v>14760</v>
      </c>
      <c r="AB128" s="333"/>
      <c r="AC128" s="333"/>
      <c r="AD128" s="334" t="s">
        <v>2323</v>
      </c>
      <c r="AE128" s="335" t="s">
        <v>15</v>
      </c>
      <c r="AF128" s="336"/>
      <c r="AG128" s="337"/>
      <c r="AH128" s="417" t="s">
        <v>435</v>
      </c>
      <c r="AI128" s="392" t="s">
        <v>435</v>
      </c>
      <c r="AJ128" s="392" t="s">
        <v>435</v>
      </c>
      <c r="AK128" s="340" t="s">
        <v>435</v>
      </c>
      <c r="AL128" s="321" t="s">
        <v>210</v>
      </c>
      <c r="AM128" s="326" t="s">
        <v>15</v>
      </c>
      <c r="AN128" s="326" t="s">
        <v>15</v>
      </c>
      <c r="AO128" s="341" t="s">
        <v>15</v>
      </c>
      <c r="AP128" s="342"/>
      <c r="AQ128" s="343"/>
      <c r="AR128" s="370">
        <v>1283</v>
      </c>
      <c r="AS128" s="326">
        <v>100</v>
      </c>
      <c r="AT128" s="392">
        <v>0.8</v>
      </c>
      <c r="AU128" s="392"/>
      <c r="AV128" s="392">
        <v>0.6</v>
      </c>
      <c r="AW128" s="340"/>
      <c r="AX128" s="347"/>
      <c r="AY128" s="348"/>
      <c r="AZ128" s="377"/>
      <c r="BA128" s="374"/>
      <c r="BB128" s="374"/>
      <c r="BC128" s="374"/>
      <c r="BD128" s="374"/>
      <c r="BE128" s="374"/>
      <c r="BF128" s="374"/>
      <c r="BG128" s="374"/>
      <c r="BH128" s="378"/>
      <c r="BI128" s="376"/>
      <c r="BJ128" s="379"/>
      <c r="BK128" s="380"/>
      <c r="BL128" s="348"/>
      <c r="BM128" s="381"/>
      <c r="BN128" s="321" t="s">
        <v>14</v>
      </c>
      <c r="BO128" s="372"/>
      <c r="BP128" s="373" t="s">
        <v>15</v>
      </c>
      <c r="BQ128" s="360"/>
      <c r="BR128" s="361"/>
      <c r="BS128" s="361"/>
      <c r="BT128" s="361"/>
      <c r="BU128" s="342" t="s">
        <v>210</v>
      </c>
      <c r="BV128" s="342" t="s">
        <v>210</v>
      </c>
      <c r="BW128" s="341" t="s">
        <v>15</v>
      </c>
      <c r="BX128" s="361"/>
      <c r="BY128" s="362"/>
      <c r="BZ128" s="363"/>
      <c r="CA128" s="363"/>
      <c r="CB128" s="363"/>
      <c r="CC128" s="363"/>
      <c r="CD128" s="293"/>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row>
    <row r="129" spans="2:220" s="287" customFormat="1" ht="22.5" customHeight="1">
      <c r="B129" s="365">
        <v>220148</v>
      </c>
      <c r="C129" s="366" t="s">
        <v>153</v>
      </c>
      <c r="D129" s="367"/>
      <c r="E129" s="368"/>
      <c r="F129" s="321" t="s">
        <v>45</v>
      </c>
      <c r="G129" s="326" t="s">
        <v>2584</v>
      </c>
      <c r="H129" s="326" t="s">
        <v>2585</v>
      </c>
      <c r="I129" s="326" t="s">
        <v>11</v>
      </c>
      <c r="J129" s="326" t="s">
        <v>21</v>
      </c>
      <c r="K129" s="326" t="s">
        <v>38</v>
      </c>
      <c r="L129" s="323"/>
      <c r="M129" s="374"/>
      <c r="N129" s="325" t="s">
        <v>591</v>
      </c>
      <c r="O129" s="326" t="s">
        <v>210</v>
      </c>
      <c r="P129" s="327">
        <v>1099</v>
      </c>
      <c r="Q129" s="369">
        <v>625</v>
      </c>
      <c r="R129" s="329" t="s">
        <v>14779</v>
      </c>
      <c r="S129" s="331" t="s">
        <v>14780</v>
      </c>
      <c r="T129" s="330"/>
      <c r="U129" s="330"/>
      <c r="V129" s="331" t="s">
        <v>14781</v>
      </c>
      <c r="W129" s="332" t="s">
        <v>592</v>
      </c>
      <c r="X129" s="331" t="s">
        <v>14782</v>
      </c>
      <c r="Y129" s="331" t="s">
        <v>14783</v>
      </c>
      <c r="Z129" s="331" t="s">
        <v>14784</v>
      </c>
      <c r="AA129" s="331" t="s">
        <v>14785</v>
      </c>
      <c r="AB129" s="333" t="s">
        <v>593</v>
      </c>
      <c r="AC129" s="333"/>
      <c r="AD129" s="334" t="s">
        <v>154</v>
      </c>
      <c r="AE129" s="335" t="s">
        <v>34</v>
      </c>
      <c r="AF129" s="336"/>
      <c r="AG129" s="337"/>
      <c r="AH129" s="417" t="s">
        <v>435</v>
      </c>
      <c r="AI129" s="392" t="s">
        <v>435</v>
      </c>
      <c r="AJ129" s="392" t="s">
        <v>435</v>
      </c>
      <c r="AK129" s="340" t="s">
        <v>435</v>
      </c>
      <c r="AL129" s="321" t="s">
        <v>210</v>
      </c>
      <c r="AM129" s="326" t="s">
        <v>15</v>
      </c>
      <c r="AN129" s="326" t="s">
        <v>15</v>
      </c>
      <c r="AO129" s="341" t="s">
        <v>15</v>
      </c>
      <c r="AP129" s="342"/>
      <c r="AQ129" s="343"/>
      <c r="AR129" s="370">
        <v>727</v>
      </c>
      <c r="AS129" s="326">
        <v>100</v>
      </c>
      <c r="AT129" s="392">
        <v>0.8</v>
      </c>
      <c r="AU129" s="392"/>
      <c r="AV129" s="392">
        <v>1.5</v>
      </c>
      <c r="AW129" s="340"/>
      <c r="AX129" s="347"/>
      <c r="AY129" s="348"/>
      <c r="AZ129" s="377"/>
      <c r="BA129" s="374"/>
      <c r="BB129" s="374"/>
      <c r="BC129" s="374"/>
      <c r="BD129" s="374"/>
      <c r="BE129" s="374"/>
      <c r="BF129" s="374"/>
      <c r="BG129" s="374"/>
      <c r="BH129" s="378"/>
      <c r="BI129" s="376"/>
      <c r="BJ129" s="379"/>
      <c r="BK129" s="380"/>
      <c r="BL129" s="348"/>
      <c r="BM129" s="381"/>
      <c r="BN129" s="321" t="s">
        <v>15</v>
      </c>
      <c r="BO129" s="372"/>
      <c r="BP129" s="373" t="s">
        <v>14</v>
      </c>
      <c r="BQ129" s="360"/>
      <c r="BR129" s="361"/>
      <c r="BS129" s="361"/>
      <c r="BT129" s="361"/>
      <c r="BU129" s="342" t="s">
        <v>210</v>
      </c>
      <c r="BV129" s="342" t="s">
        <v>210</v>
      </c>
      <c r="BW129" s="341" t="s">
        <v>15</v>
      </c>
      <c r="BX129" s="361"/>
      <c r="BY129" s="362"/>
      <c r="BZ129" s="363"/>
      <c r="CA129" s="363"/>
      <c r="CB129" s="363"/>
      <c r="CC129" s="363"/>
      <c r="CD129" s="293"/>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row>
    <row r="130" spans="2:220" s="287" customFormat="1" ht="22.5" customHeight="1">
      <c r="B130" s="365">
        <v>220149</v>
      </c>
      <c r="C130" s="648" t="s">
        <v>277</v>
      </c>
      <c r="D130" s="367"/>
      <c r="E130" s="368"/>
      <c r="F130" s="321" t="s">
        <v>80</v>
      </c>
      <c r="G130" s="326" t="s">
        <v>2582</v>
      </c>
      <c r="H130" s="326" t="s">
        <v>2583</v>
      </c>
      <c r="I130" s="326" t="s">
        <v>11</v>
      </c>
      <c r="J130" s="326" t="s">
        <v>21</v>
      </c>
      <c r="K130" s="326" t="s">
        <v>148</v>
      </c>
      <c r="L130" s="323"/>
      <c r="M130" s="374"/>
      <c r="N130" s="325" t="s">
        <v>591</v>
      </c>
      <c r="O130" s="326" t="s">
        <v>587</v>
      </c>
      <c r="P130" s="327">
        <v>4168.1899999999996</v>
      </c>
      <c r="Q130" s="369">
        <v>2126.2399999999998</v>
      </c>
      <c r="R130" s="333" t="s">
        <v>14753</v>
      </c>
      <c r="S130" s="649" t="s">
        <v>14786</v>
      </c>
      <c r="T130" s="649" t="s">
        <v>14787</v>
      </c>
      <c r="U130" s="649" t="s">
        <v>14788</v>
      </c>
      <c r="V130" s="649" t="s">
        <v>14789</v>
      </c>
      <c r="W130" s="332" t="s">
        <v>554</v>
      </c>
      <c r="X130" s="650"/>
      <c r="Y130" s="650"/>
      <c r="Z130" s="650"/>
      <c r="AA130" s="650"/>
      <c r="AB130" s="334" t="s">
        <v>559</v>
      </c>
      <c r="AC130" s="416"/>
      <c r="AD130" s="375"/>
      <c r="AE130" s="335" t="s">
        <v>34</v>
      </c>
      <c r="AF130" s="388"/>
      <c r="AG130" s="389"/>
      <c r="AH130" s="417" t="s">
        <v>435</v>
      </c>
      <c r="AI130" s="392" t="s">
        <v>435</v>
      </c>
      <c r="AJ130" s="392" t="s">
        <v>435</v>
      </c>
      <c r="AK130" s="340" t="s">
        <v>435</v>
      </c>
      <c r="AL130" s="321" t="s">
        <v>210</v>
      </c>
      <c r="AM130" s="326" t="s">
        <v>15</v>
      </c>
      <c r="AN130" s="326" t="s">
        <v>15</v>
      </c>
      <c r="AO130" s="341" t="s">
        <v>15</v>
      </c>
      <c r="AP130" s="342"/>
      <c r="AQ130" s="343"/>
      <c r="AR130" s="370">
        <v>2642</v>
      </c>
      <c r="AS130" s="326">
        <v>130</v>
      </c>
      <c r="AT130" s="392">
        <v>1</v>
      </c>
      <c r="AU130" s="392"/>
      <c r="AV130" s="392">
        <v>1</v>
      </c>
      <c r="AW130" s="340"/>
      <c r="AX130" s="347"/>
      <c r="AY130" s="348"/>
      <c r="AZ130" s="377"/>
      <c r="BA130" s="374"/>
      <c r="BB130" s="374"/>
      <c r="BC130" s="374"/>
      <c r="BD130" s="374"/>
      <c r="BE130" s="374"/>
      <c r="BF130" s="374"/>
      <c r="BG130" s="374"/>
      <c r="BH130" s="378"/>
      <c r="BI130" s="376"/>
      <c r="BJ130" s="379"/>
      <c r="BK130" s="380"/>
      <c r="BL130" s="348"/>
      <c r="BM130" s="381"/>
      <c r="BN130" s="321" t="s">
        <v>15</v>
      </c>
      <c r="BO130" s="372"/>
      <c r="BP130" s="373" t="s">
        <v>14</v>
      </c>
      <c r="BQ130" s="360"/>
      <c r="BR130" s="361"/>
      <c r="BS130" s="361"/>
      <c r="BT130" s="361"/>
      <c r="BU130" s="342" t="s">
        <v>210</v>
      </c>
      <c r="BV130" s="342" t="s">
        <v>210</v>
      </c>
      <c r="BW130" s="341" t="s">
        <v>622</v>
      </c>
      <c r="BX130" s="361"/>
      <c r="BY130" s="362"/>
      <c r="BZ130" s="363"/>
      <c r="CA130" s="363"/>
      <c r="CB130" s="363"/>
      <c r="CC130" s="363"/>
      <c r="CD130" s="293"/>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row>
    <row r="131" spans="2:220" s="287" customFormat="1" ht="22.5" customHeight="1">
      <c r="B131" s="365">
        <v>220149</v>
      </c>
      <c r="C131" s="648" t="s">
        <v>278</v>
      </c>
      <c r="D131" s="367"/>
      <c r="E131" s="368"/>
      <c r="F131" s="321" t="s">
        <v>80</v>
      </c>
      <c r="G131" s="326" t="s">
        <v>2582</v>
      </c>
      <c r="H131" s="326" t="s">
        <v>2583</v>
      </c>
      <c r="I131" s="326" t="s">
        <v>11</v>
      </c>
      <c r="J131" s="326" t="s">
        <v>12</v>
      </c>
      <c r="K131" s="326" t="s">
        <v>148</v>
      </c>
      <c r="L131" s="323"/>
      <c r="M131" s="374"/>
      <c r="N131" s="325" t="s">
        <v>591</v>
      </c>
      <c r="O131" s="326" t="s">
        <v>587</v>
      </c>
      <c r="P131" s="327">
        <v>1881</v>
      </c>
      <c r="Q131" s="369">
        <v>1739</v>
      </c>
      <c r="R131" s="333" t="s">
        <v>14753</v>
      </c>
      <c r="S131" s="649" t="s">
        <v>14786</v>
      </c>
      <c r="T131" s="649" t="s">
        <v>14787</v>
      </c>
      <c r="U131" s="649" t="s">
        <v>14788</v>
      </c>
      <c r="V131" s="649" t="s">
        <v>14789</v>
      </c>
      <c r="W131" s="332" t="s">
        <v>554</v>
      </c>
      <c r="X131" s="650"/>
      <c r="Y131" s="650"/>
      <c r="Z131" s="650"/>
      <c r="AA131" s="650"/>
      <c r="AB131" s="334" t="s">
        <v>559</v>
      </c>
      <c r="AC131" s="416"/>
      <c r="AD131" s="375"/>
      <c r="AE131" s="335" t="s">
        <v>34</v>
      </c>
      <c r="AF131" s="388"/>
      <c r="AG131" s="389"/>
      <c r="AH131" s="417" t="s">
        <v>435</v>
      </c>
      <c r="AI131" s="392" t="s">
        <v>435</v>
      </c>
      <c r="AJ131" s="392" t="s">
        <v>435</v>
      </c>
      <c r="AK131" s="340" t="s">
        <v>435</v>
      </c>
      <c r="AL131" s="321" t="s">
        <v>210</v>
      </c>
      <c r="AM131" s="326" t="s">
        <v>15</v>
      </c>
      <c r="AN131" s="326" t="s">
        <v>15</v>
      </c>
      <c r="AO131" s="341" t="s">
        <v>15</v>
      </c>
      <c r="AP131" s="342"/>
      <c r="AQ131" s="343"/>
      <c r="AR131" s="370">
        <v>2419</v>
      </c>
      <c r="AS131" s="326">
        <v>100</v>
      </c>
      <c r="AT131" s="392">
        <v>1</v>
      </c>
      <c r="AU131" s="392"/>
      <c r="AV131" s="392">
        <v>1</v>
      </c>
      <c r="AW131" s="340"/>
      <c r="AX131" s="347"/>
      <c r="AY131" s="348"/>
      <c r="AZ131" s="377"/>
      <c r="BA131" s="374"/>
      <c r="BB131" s="374"/>
      <c r="BC131" s="374"/>
      <c r="BD131" s="374"/>
      <c r="BE131" s="374"/>
      <c r="BF131" s="374"/>
      <c r="BG131" s="374"/>
      <c r="BH131" s="378"/>
      <c r="BI131" s="376"/>
      <c r="BJ131" s="379"/>
      <c r="BK131" s="380"/>
      <c r="BL131" s="348"/>
      <c r="BM131" s="381"/>
      <c r="BN131" s="321" t="s">
        <v>15</v>
      </c>
      <c r="BO131" s="372"/>
      <c r="BP131" s="373" t="s">
        <v>14</v>
      </c>
      <c r="BQ131" s="360"/>
      <c r="BR131" s="361"/>
      <c r="BS131" s="361"/>
      <c r="BT131" s="361"/>
      <c r="BU131" s="342" t="s">
        <v>210</v>
      </c>
      <c r="BV131" s="342" t="s">
        <v>210</v>
      </c>
      <c r="BW131" s="341" t="s">
        <v>622</v>
      </c>
      <c r="BX131" s="361"/>
      <c r="BY131" s="362"/>
      <c r="BZ131" s="363"/>
      <c r="CA131" s="363"/>
      <c r="CB131" s="363"/>
      <c r="CC131" s="363"/>
      <c r="CD131" s="293"/>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row>
    <row r="132" spans="2:220" s="287" customFormat="1" ht="22.5" customHeight="1">
      <c r="B132" s="365">
        <v>220149</v>
      </c>
      <c r="C132" s="648" t="s">
        <v>279</v>
      </c>
      <c r="D132" s="367"/>
      <c r="E132" s="368"/>
      <c r="F132" s="321" t="s">
        <v>80</v>
      </c>
      <c r="G132" s="326" t="s">
        <v>2582</v>
      </c>
      <c r="H132" s="326" t="s">
        <v>2583</v>
      </c>
      <c r="I132" s="326" t="s">
        <v>11</v>
      </c>
      <c r="J132" s="326" t="s">
        <v>21</v>
      </c>
      <c r="K132" s="326" t="s">
        <v>148</v>
      </c>
      <c r="L132" s="323"/>
      <c r="M132" s="374"/>
      <c r="N132" s="325" t="s">
        <v>591</v>
      </c>
      <c r="O132" s="326" t="s">
        <v>587</v>
      </c>
      <c r="P132" s="327">
        <v>3226.19</v>
      </c>
      <c r="Q132" s="369">
        <v>1655.24</v>
      </c>
      <c r="R132" s="333" t="s">
        <v>14753</v>
      </c>
      <c r="S132" s="649" t="s">
        <v>14786</v>
      </c>
      <c r="T132" s="649" t="s">
        <v>14787</v>
      </c>
      <c r="U132" s="649" t="s">
        <v>14788</v>
      </c>
      <c r="V132" s="649" t="s">
        <v>14789</v>
      </c>
      <c r="W132" s="332" t="s">
        <v>554</v>
      </c>
      <c r="X132" s="650"/>
      <c r="Y132" s="650"/>
      <c r="Z132" s="650"/>
      <c r="AA132" s="650"/>
      <c r="AB132" s="334" t="s">
        <v>559</v>
      </c>
      <c r="AC132" s="416"/>
      <c r="AD132" s="375"/>
      <c r="AE132" s="335" t="s">
        <v>34</v>
      </c>
      <c r="AF132" s="388"/>
      <c r="AG132" s="389"/>
      <c r="AH132" s="417" t="s">
        <v>435</v>
      </c>
      <c r="AI132" s="392" t="s">
        <v>435</v>
      </c>
      <c r="AJ132" s="392" t="s">
        <v>435</v>
      </c>
      <c r="AK132" s="340" t="s">
        <v>435</v>
      </c>
      <c r="AL132" s="321" t="s">
        <v>210</v>
      </c>
      <c r="AM132" s="326" t="s">
        <v>15</v>
      </c>
      <c r="AN132" s="326" t="s">
        <v>15</v>
      </c>
      <c r="AO132" s="341" t="s">
        <v>15</v>
      </c>
      <c r="AP132" s="342"/>
      <c r="AQ132" s="343"/>
      <c r="AR132" s="370">
        <v>2085</v>
      </c>
      <c r="AS132" s="326">
        <v>140</v>
      </c>
      <c r="AT132" s="392">
        <v>1</v>
      </c>
      <c r="AU132" s="392"/>
      <c r="AV132" s="392">
        <v>1</v>
      </c>
      <c r="AW132" s="340"/>
      <c r="AX132" s="347"/>
      <c r="AY132" s="348"/>
      <c r="AZ132" s="377"/>
      <c r="BA132" s="374"/>
      <c r="BB132" s="374"/>
      <c r="BC132" s="374"/>
      <c r="BD132" s="374"/>
      <c r="BE132" s="374"/>
      <c r="BF132" s="374"/>
      <c r="BG132" s="374"/>
      <c r="BH132" s="378"/>
      <c r="BI132" s="376"/>
      <c r="BJ132" s="379"/>
      <c r="BK132" s="380"/>
      <c r="BL132" s="348"/>
      <c r="BM132" s="381"/>
      <c r="BN132" s="321" t="s">
        <v>15</v>
      </c>
      <c r="BO132" s="372"/>
      <c r="BP132" s="373" t="s">
        <v>14</v>
      </c>
      <c r="BQ132" s="360"/>
      <c r="BR132" s="361"/>
      <c r="BS132" s="361"/>
      <c r="BT132" s="361"/>
      <c r="BU132" s="342" t="s">
        <v>210</v>
      </c>
      <c r="BV132" s="342" t="s">
        <v>210</v>
      </c>
      <c r="BW132" s="341" t="s">
        <v>622</v>
      </c>
      <c r="BX132" s="361"/>
      <c r="BY132" s="362"/>
      <c r="BZ132" s="363"/>
      <c r="CA132" s="363"/>
      <c r="CB132" s="363"/>
      <c r="CC132" s="363"/>
      <c r="CD132" s="293"/>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row>
    <row r="133" spans="2:220" s="287" customFormat="1" ht="22.5" customHeight="1">
      <c r="B133" s="365">
        <v>220150</v>
      </c>
      <c r="C133" s="366" t="s">
        <v>152</v>
      </c>
      <c r="D133" s="367"/>
      <c r="E133" s="368"/>
      <c r="F133" s="321" t="s">
        <v>93</v>
      </c>
      <c r="G133" s="326" t="s">
        <v>2580</v>
      </c>
      <c r="H133" s="326" t="s">
        <v>2581</v>
      </c>
      <c r="I133" s="326" t="s">
        <v>11</v>
      </c>
      <c r="J133" s="326" t="s">
        <v>21</v>
      </c>
      <c r="K133" s="326" t="s">
        <v>38</v>
      </c>
      <c r="L133" s="323"/>
      <c r="M133" s="374"/>
      <c r="N133" s="325" t="s">
        <v>591</v>
      </c>
      <c r="O133" s="326" t="s">
        <v>210</v>
      </c>
      <c r="P133" s="327" t="s">
        <v>210</v>
      </c>
      <c r="Q133" s="369" t="s">
        <v>210</v>
      </c>
      <c r="R133" s="329" t="s">
        <v>14725</v>
      </c>
      <c r="S133" s="331" t="s">
        <v>14726</v>
      </c>
      <c r="T133" s="331" t="s">
        <v>14727</v>
      </c>
      <c r="U133" s="331" t="s">
        <v>14728</v>
      </c>
      <c r="V133" s="331" t="s">
        <v>14729</v>
      </c>
      <c r="W133" s="645"/>
      <c r="X133" s="330"/>
      <c r="Y133" s="330"/>
      <c r="Z133" s="330"/>
      <c r="AA133" s="330"/>
      <c r="AB133" s="333"/>
      <c r="AC133" s="333"/>
      <c r="AD133" s="396" t="s">
        <v>2320</v>
      </c>
      <c r="AE133" s="335" t="s">
        <v>94</v>
      </c>
      <c r="AF133" s="336"/>
      <c r="AG133" s="337"/>
      <c r="AH133" s="417" t="s">
        <v>435</v>
      </c>
      <c r="AI133" s="392" t="s">
        <v>435</v>
      </c>
      <c r="AJ133" s="392" t="s">
        <v>435</v>
      </c>
      <c r="AK133" s="340" t="s">
        <v>435</v>
      </c>
      <c r="AL133" s="321" t="s">
        <v>210</v>
      </c>
      <c r="AM133" s="326" t="s">
        <v>15</v>
      </c>
      <c r="AN133" s="326" t="s">
        <v>15</v>
      </c>
      <c r="AO133" s="341" t="s">
        <v>15</v>
      </c>
      <c r="AP133" s="342"/>
      <c r="AQ133" s="343"/>
      <c r="AR133" s="370">
        <v>637</v>
      </c>
      <c r="AS133" s="326">
        <v>100</v>
      </c>
      <c r="AT133" s="392">
        <v>1</v>
      </c>
      <c r="AU133" s="392"/>
      <c r="AV133" s="392">
        <v>1.5</v>
      </c>
      <c r="AW133" s="340"/>
      <c r="AX133" s="347"/>
      <c r="AY133" s="348"/>
      <c r="AZ133" s="377"/>
      <c r="BA133" s="374"/>
      <c r="BB133" s="374"/>
      <c r="BC133" s="374"/>
      <c r="BD133" s="374"/>
      <c r="BE133" s="374"/>
      <c r="BF133" s="374"/>
      <c r="BG133" s="374"/>
      <c r="BH133" s="378"/>
      <c r="BI133" s="376"/>
      <c r="BJ133" s="379"/>
      <c r="BK133" s="380"/>
      <c r="BL133" s="348"/>
      <c r="BM133" s="381"/>
      <c r="BN133" s="321" t="s">
        <v>14</v>
      </c>
      <c r="BO133" s="372"/>
      <c r="BP133" s="373" t="s">
        <v>14</v>
      </c>
      <c r="BQ133" s="360"/>
      <c r="BR133" s="361"/>
      <c r="BS133" s="361"/>
      <c r="BT133" s="361"/>
      <c r="BU133" s="342" t="s">
        <v>210</v>
      </c>
      <c r="BV133" s="342" t="s">
        <v>210</v>
      </c>
      <c r="BW133" s="341" t="s">
        <v>622</v>
      </c>
      <c r="BX133" s="361"/>
      <c r="BY133" s="362"/>
      <c r="BZ133" s="363"/>
      <c r="CA133" s="363"/>
      <c r="CB133" s="363"/>
      <c r="CC133" s="363"/>
      <c r="CD133" s="293"/>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row>
    <row r="134" spans="2:220" s="287" customFormat="1" ht="22.5" customHeight="1">
      <c r="B134" s="365">
        <v>220151</v>
      </c>
      <c r="C134" s="366" t="s">
        <v>2873</v>
      </c>
      <c r="D134" s="403"/>
      <c r="E134" s="404"/>
      <c r="F134" s="405" t="s">
        <v>83</v>
      </c>
      <c r="G134" s="324" t="s">
        <v>2578</v>
      </c>
      <c r="H134" s="324" t="s">
        <v>2579</v>
      </c>
      <c r="I134" s="326" t="s">
        <v>11</v>
      </c>
      <c r="J134" s="326" t="s">
        <v>21</v>
      </c>
      <c r="K134" s="326" t="s">
        <v>10</v>
      </c>
      <c r="L134" s="323"/>
      <c r="M134" s="374"/>
      <c r="N134" s="325" t="s">
        <v>438</v>
      </c>
      <c r="O134" s="326">
        <v>30</v>
      </c>
      <c r="P134" s="406">
        <v>16857</v>
      </c>
      <c r="Q134" s="383">
        <v>12733</v>
      </c>
      <c r="R134" s="329" t="s">
        <v>14739</v>
      </c>
      <c r="S134" s="332" t="s">
        <v>14790</v>
      </c>
      <c r="T134" s="332" t="s">
        <v>14741</v>
      </c>
      <c r="U134" s="332" t="s">
        <v>16355</v>
      </c>
      <c r="V134" s="332" t="s">
        <v>14742</v>
      </c>
      <c r="W134" s="332" t="s">
        <v>432</v>
      </c>
      <c r="X134" s="331" t="s">
        <v>14719</v>
      </c>
      <c r="Y134" s="331" t="s">
        <v>14719</v>
      </c>
      <c r="Z134" s="331" t="s">
        <v>14719</v>
      </c>
      <c r="AA134" s="331" t="s">
        <v>14719</v>
      </c>
      <c r="AB134" s="333"/>
      <c r="AC134" s="333"/>
      <c r="AD134" s="334" t="s">
        <v>272</v>
      </c>
      <c r="AE134" s="335" t="s">
        <v>34</v>
      </c>
      <c r="AF134" s="336"/>
      <c r="AG134" s="337"/>
      <c r="AH134" s="376"/>
      <c r="AI134" s="347"/>
      <c r="AJ134" s="347"/>
      <c r="AK134" s="371"/>
      <c r="AL134" s="321" t="s">
        <v>210</v>
      </c>
      <c r="AM134" s="326" t="s">
        <v>15</v>
      </c>
      <c r="AN134" s="326" t="s">
        <v>15</v>
      </c>
      <c r="AO134" s="341" t="s">
        <v>15</v>
      </c>
      <c r="AP134" s="342"/>
      <c r="AQ134" s="343"/>
      <c r="AR134" s="370">
        <v>14130</v>
      </c>
      <c r="AS134" s="326">
        <v>150</v>
      </c>
      <c r="AT134" s="392">
        <v>1</v>
      </c>
      <c r="AU134" s="392"/>
      <c r="AV134" s="392">
        <v>1.6</v>
      </c>
      <c r="AW134" s="340"/>
      <c r="AX134" s="347"/>
      <c r="AY134" s="348"/>
      <c r="AZ134" s="407"/>
      <c r="BA134" s="408"/>
      <c r="BB134" s="408"/>
      <c r="BC134" s="408"/>
      <c r="BD134" s="408"/>
      <c r="BE134" s="408"/>
      <c r="BF134" s="408"/>
      <c r="BG134" s="408"/>
      <c r="BH134" s="409"/>
      <c r="BI134" s="410"/>
      <c r="BJ134" s="411"/>
      <c r="BK134" s="412"/>
      <c r="BL134" s="413"/>
      <c r="BM134" s="414"/>
      <c r="BN134" s="321" t="s">
        <v>14</v>
      </c>
      <c r="BO134" s="372"/>
      <c r="BP134" s="373" t="s">
        <v>15</v>
      </c>
      <c r="BQ134" s="360"/>
      <c r="BR134" s="361"/>
      <c r="BS134" s="361"/>
      <c r="BT134" s="361"/>
      <c r="BU134" s="342" t="s">
        <v>210</v>
      </c>
      <c r="BV134" s="342" t="s">
        <v>210</v>
      </c>
      <c r="BW134" s="341" t="s">
        <v>15</v>
      </c>
      <c r="BX134" s="361"/>
      <c r="BY134" s="362"/>
      <c r="BZ134" s="363"/>
      <c r="CA134" s="363"/>
      <c r="CB134" s="363"/>
      <c r="CC134" s="363"/>
      <c r="CD134" s="293"/>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row>
    <row r="135" spans="2:220" s="287" customFormat="1" ht="22.5" customHeight="1">
      <c r="B135" s="365">
        <v>220152</v>
      </c>
      <c r="C135" s="366" t="s">
        <v>2874</v>
      </c>
      <c r="D135" s="403"/>
      <c r="E135" s="404"/>
      <c r="F135" s="405" t="s">
        <v>83</v>
      </c>
      <c r="G135" s="324" t="s">
        <v>2578</v>
      </c>
      <c r="H135" s="324" t="s">
        <v>2579</v>
      </c>
      <c r="I135" s="326" t="s">
        <v>11</v>
      </c>
      <c r="J135" s="326" t="s">
        <v>12</v>
      </c>
      <c r="K135" s="326" t="s">
        <v>10</v>
      </c>
      <c r="L135" s="323"/>
      <c r="M135" s="374"/>
      <c r="N135" s="325" t="s">
        <v>438</v>
      </c>
      <c r="O135" s="326">
        <v>30</v>
      </c>
      <c r="P135" s="382">
        <v>4149</v>
      </c>
      <c r="Q135" s="383">
        <v>4244</v>
      </c>
      <c r="R135" s="329" t="s">
        <v>14739</v>
      </c>
      <c r="S135" s="332" t="s">
        <v>14740</v>
      </c>
      <c r="T135" s="332" t="s">
        <v>14741</v>
      </c>
      <c r="U135" s="332" t="s">
        <v>16355</v>
      </c>
      <c r="V135" s="332" t="s">
        <v>14742</v>
      </c>
      <c r="W135" s="332" t="s">
        <v>432</v>
      </c>
      <c r="X135" s="331" t="s">
        <v>14719</v>
      </c>
      <c r="Y135" s="331" t="s">
        <v>14719</v>
      </c>
      <c r="Z135" s="331" t="s">
        <v>14719</v>
      </c>
      <c r="AA135" s="331" t="s">
        <v>14719</v>
      </c>
      <c r="AB135" s="333"/>
      <c r="AC135" s="333"/>
      <c r="AD135" s="334" t="s">
        <v>272</v>
      </c>
      <c r="AE135" s="335" t="s">
        <v>34</v>
      </c>
      <c r="AF135" s="336"/>
      <c r="AG135" s="337"/>
      <c r="AH135" s="376"/>
      <c r="AI135" s="347"/>
      <c r="AJ135" s="347"/>
      <c r="AK135" s="371"/>
      <c r="AL135" s="321" t="s">
        <v>210</v>
      </c>
      <c r="AM135" s="326" t="s">
        <v>15</v>
      </c>
      <c r="AN135" s="326" t="s">
        <v>15</v>
      </c>
      <c r="AO135" s="341" t="s">
        <v>15</v>
      </c>
      <c r="AP135" s="342"/>
      <c r="AQ135" s="343"/>
      <c r="AR135" s="370">
        <v>4880</v>
      </c>
      <c r="AS135" s="326">
        <v>100</v>
      </c>
      <c r="AT135" s="392">
        <v>0.8</v>
      </c>
      <c r="AU135" s="392"/>
      <c r="AV135" s="392">
        <v>1.3</v>
      </c>
      <c r="AW135" s="340"/>
      <c r="AX135" s="347"/>
      <c r="AY135" s="348"/>
      <c r="AZ135" s="407"/>
      <c r="BA135" s="408"/>
      <c r="BB135" s="408"/>
      <c r="BC135" s="408"/>
      <c r="BD135" s="408"/>
      <c r="BE135" s="408"/>
      <c r="BF135" s="408"/>
      <c r="BG135" s="408"/>
      <c r="BH135" s="409"/>
      <c r="BI135" s="410"/>
      <c r="BJ135" s="411"/>
      <c r="BK135" s="412"/>
      <c r="BL135" s="413"/>
      <c r="BM135" s="414"/>
      <c r="BN135" s="321" t="s">
        <v>14</v>
      </c>
      <c r="BO135" s="372"/>
      <c r="BP135" s="373" t="s">
        <v>15</v>
      </c>
      <c r="BQ135" s="360"/>
      <c r="BR135" s="361"/>
      <c r="BS135" s="361"/>
      <c r="BT135" s="361"/>
      <c r="BU135" s="342" t="s">
        <v>210</v>
      </c>
      <c r="BV135" s="342" t="s">
        <v>210</v>
      </c>
      <c r="BW135" s="341" t="s">
        <v>15</v>
      </c>
      <c r="BX135" s="361"/>
      <c r="BY135" s="362"/>
      <c r="BZ135" s="363"/>
      <c r="CA135" s="363"/>
      <c r="CB135" s="363"/>
      <c r="CC135" s="363"/>
      <c r="CD135" s="293"/>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row>
    <row r="136" spans="2:220" s="287" customFormat="1" ht="22.5" customHeight="1">
      <c r="B136" s="365">
        <v>220153</v>
      </c>
      <c r="C136" s="366" t="s">
        <v>165</v>
      </c>
      <c r="D136" s="367"/>
      <c r="E136" s="368"/>
      <c r="F136" s="321" t="s">
        <v>45</v>
      </c>
      <c r="G136" s="326" t="s">
        <v>2576</v>
      </c>
      <c r="H136" s="326" t="s">
        <v>2577</v>
      </c>
      <c r="I136" s="326" t="s">
        <v>11</v>
      </c>
      <c r="J136" s="326" t="s">
        <v>21</v>
      </c>
      <c r="K136" s="326" t="s">
        <v>23</v>
      </c>
      <c r="L136" s="323"/>
      <c r="M136" s="374"/>
      <c r="N136" s="325" t="s">
        <v>2875</v>
      </c>
      <c r="O136" s="326" t="s">
        <v>210</v>
      </c>
      <c r="P136" s="327" t="s">
        <v>210</v>
      </c>
      <c r="Q136" s="369" t="s">
        <v>210</v>
      </c>
      <c r="R136" s="329" t="s">
        <v>595</v>
      </c>
      <c r="S136" s="330"/>
      <c r="T136" s="331" t="s">
        <v>14791</v>
      </c>
      <c r="U136" s="331" t="s">
        <v>14792</v>
      </c>
      <c r="V136" s="331" t="s">
        <v>14793</v>
      </c>
      <c r="W136" s="332" t="s">
        <v>1019</v>
      </c>
      <c r="X136" s="331" t="s">
        <v>14794</v>
      </c>
      <c r="Y136" s="331" t="s">
        <v>14795</v>
      </c>
      <c r="Z136" s="330"/>
      <c r="AA136" s="331" t="s">
        <v>14796</v>
      </c>
      <c r="AB136" s="333"/>
      <c r="AC136" s="333"/>
      <c r="AD136" s="334" t="s">
        <v>859</v>
      </c>
      <c r="AE136" s="335" t="s">
        <v>34</v>
      </c>
      <c r="AF136" s="336"/>
      <c r="AG136" s="337"/>
      <c r="AH136" s="417" t="s">
        <v>210</v>
      </c>
      <c r="AI136" s="392" t="s">
        <v>210</v>
      </c>
      <c r="AJ136" s="392" t="s">
        <v>210</v>
      </c>
      <c r="AK136" s="340" t="s">
        <v>210</v>
      </c>
      <c r="AL136" s="321" t="s">
        <v>210</v>
      </c>
      <c r="AM136" s="326" t="s">
        <v>15</v>
      </c>
      <c r="AN136" s="326" t="s">
        <v>15</v>
      </c>
      <c r="AO136" s="341" t="s">
        <v>15</v>
      </c>
      <c r="AP136" s="342"/>
      <c r="AQ136" s="343"/>
      <c r="AR136" s="370">
        <v>4062</v>
      </c>
      <c r="AS136" s="326">
        <v>100</v>
      </c>
      <c r="AT136" s="392">
        <v>1</v>
      </c>
      <c r="AU136" s="392"/>
      <c r="AV136" s="392">
        <v>1.2</v>
      </c>
      <c r="AW136" s="340"/>
      <c r="AX136" s="347"/>
      <c r="AY136" s="348"/>
      <c r="AZ136" s="377"/>
      <c r="BA136" s="374"/>
      <c r="BB136" s="374"/>
      <c r="BC136" s="374"/>
      <c r="BD136" s="374"/>
      <c r="BE136" s="374"/>
      <c r="BF136" s="374"/>
      <c r="BG136" s="374"/>
      <c r="BH136" s="378"/>
      <c r="BI136" s="376"/>
      <c r="BJ136" s="379"/>
      <c r="BK136" s="380"/>
      <c r="BL136" s="348"/>
      <c r="BM136" s="381"/>
      <c r="BN136" s="321" t="s">
        <v>14</v>
      </c>
      <c r="BO136" s="372"/>
      <c r="BP136" s="373" t="s">
        <v>14</v>
      </c>
      <c r="BQ136" s="360"/>
      <c r="BR136" s="361"/>
      <c r="BS136" s="361"/>
      <c r="BT136" s="361"/>
      <c r="BU136" s="342" t="s">
        <v>210</v>
      </c>
      <c r="BV136" s="342" t="s">
        <v>210</v>
      </c>
      <c r="BW136" s="341" t="s">
        <v>15</v>
      </c>
      <c r="BX136" s="361"/>
      <c r="BY136" s="362"/>
      <c r="BZ136" s="363"/>
      <c r="CA136" s="363"/>
      <c r="CB136" s="363"/>
      <c r="CC136" s="363"/>
      <c r="CD136" s="293"/>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row>
    <row r="137" spans="2:220" s="287" customFormat="1" ht="22.5" customHeight="1">
      <c r="B137" s="365">
        <v>220154</v>
      </c>
      <c r="C137" s="366" t="s">
        <v>7780</v>
      </c>
      <c r="D137" s="367"/>
      <c r="E137" s="368"/>
      <c r="F137" s="321" t="s">
        <v>41</v>
      </c>
      <c r="G137" s="326" t="s">
        <v>2574</v>
      </c>
      <c r="H137" s="326" t="s">
        <v>2575</v>
      </c>
      <c r="I137" s="326" t="s">
        <v>11</v>
      </c>
      <c r="J137" s="326" t="s">
        <v>21</v>
      </c>
      <c r="K137" s="326" t="s">
        <v>31</v>
      </c>
      <c r="L137" s="323"/>
      <c r="M137" s="374"/>
      <c r="N137" s="325" t="s">
        <v>438</v>
      </c>
      <c r="O137" s="326">
        <v>35</v>
      </c>
      <c r="P137" s="327">
        <v>1997</v>
      </c>
      <c r="Q137" s="369">
        <v>1509</v>
      </c>
      <c r="R137" s="329" t="s">
        <v>597</v>
      </c>
      <c r="S137" s="330"/>
      <c r="T137" s="330"/>
      <c r="U137" s="330"/>
      <c r="V137" s="330"/>
      <c r="W137" s="332" t="s">
        <v>596</v>
      </c>
      <c r="X137" s="331" t="s">
        <v>14797</v>
      </c>
      <c r="Y137" s="330"/>
      <c r="Z137" s="330"/>
      <c r="AA137" s="331" t="s">
        <v>14798</v>
      </c>
      <c r="AB137" s="333"/>
      <c r="AC137" s="333"/>
      <c r="AD137" s="334" t="s">
        <v>899</v>
      </c>
      <c r="AE137" s="335" t="s">
        <v>43</v>
      </c>
      <c r="AF137" s="336"/>
      <c r="AG137" s="337"/>
      <c r="AH137" s="417" t="s">
        <v>210</v>
      </c>
      <c r="AI137" s="392" t="s">
        <v>210</v>
      </c>
      <c r="AJ137" s="392" t="s">
        <v>210</v>
      </c>
      <c r="AK137" s="340" t="s">
        <v>210</v>
      </c>
      <c r="AL137" s="321" t="s">
        <v>210</v>
      </c>
      <c r="AM137" s="326" t="s">
        <v>15</v>
      </c>
      <c r="AN137" s="326" t="s">
        <v>15</v>
      </c>
      <c r="AO137" s="341" t="s">
        <v>15</v>
      </c>
      <c r="AP137" s="342"/>
      <c r="AQ137" s="343"/>
      <c r="AR137" s="370">
        <v>1452</v>
      </c>
      <c r="AS137" s="326">
        <v>100</v>
      </c>
      <c r="AT137" s="392">
        <v>1</v>
      </c>
      <c r="AU137" s="392"/>
      <c r="AV137" s="392">
        <v>1.5</v>
      </c>
      <c r="AW137" s="340"/>
      <c r="AX137" s="347"/>
      <c r="AY137" s="348"/>
      <c r="AZ137" s="377"/>
      <c r="BA137" s="374"/>
      <c r="BB137" s="374"/>
      <c r="BC137" s="374"/>
      <c r="BD137" s="374"/>
      <c r="BE137" s="374"/>
      <c r="BF137" s="374"/>
      <c r="BG137" s="374"/>
      <c r="BH137" s="378"/>
      <c r="BI137" s="376"/>
      <c r="BJ137" s="379"/>
      <c r="BK137" s="380"/>
      <c r="BL137" s="348"/>
      <c r="BM137" s="381"/>
      <c r="BN137" s="321" t="s">
        <v>15</v>
      </c>
      <c r="BO137" s="372"/>
      <c r="BP137" s="373" t="s">
        <v>15</v>
      </c>
      <c r="BQ137" s="360"/>
      <c r="BR137" s="361"/>
      <c r="BS137" s="361"/>
      <c r="BT137" s="361"/>
      <c r="BU137" s="342" t="s">
        <v>210</v>
      </c>
      <c r="BV137" s="342" t="s">
        <v>210</v>
      </c>
      <c r="BW137" s="341" t="s">
        <v>15</v>
      </c>
      <c r="BX137" s="361"/>
      <c r="BY137" s="362"/>
      <c r="BZ137" s="363"/>
      <c r="CA137" s="363"/>
      <c r="CB137" s="363"/>
      <c r="CC137" s="363"/>
      <c r="CD137" s="293"/>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row>
    <row r="138" spans="2:220" s="287" customFormat="1" ht="22.5" customHeight="1">
      <c r="B138" s="365">
        <v>220155</v>
      </c>
      <c r="C138" s="366" t="s">
        <v>598</v>
      </c>
      <c r="D138" s="367"/>
      <c r="E138" s="368"/>
      <c r="F138" s="321" t="s">
        <v>93</v>
      </c>
      <c r="G138" s="326" t="s">
        <v>2538</v>
      </c>
      <c r="H138" s="326" t="s">
        <v>2573</v>
      </c>
      <c r="I138" s="326" t="s">
        <v>11</v>
      </c>
      <c r="J138" s="326" t="s">
        <v>12</v>
      </c>
      <c r="K138" s="326" t="s">
        <v>31</v>
      </c>
      <c r="L138" s="323"/>
      <c r="M138" s="374"/>
      <c r="N138" s="325" t="s">
        <v>438</v>
      </c>
      <c r="O138" s="326" t="s">
        <v>210</v>
      </c>
      <c r="P138" s="327" t="s">
        <v>599</v>
      </c>
      <c r="Q138" s="369">
        <v>2952</v>
      </c>
      <c r="R138" s="329" t="s">
        <v>600</v>
      </c>
      <c r="S138" s="330"/>
      <c r="T138" s="330"/>
      <c r="U138" s="330"/>
      <c r="V138" s="330"/>
      <c r="W138" s="332" t="s">
        <v>14799</v>
      </c>
      <c r="X138" s="331" t="s">
        <v>14800</v>
      </c>
      <c r="Y138" s="331" t="s">
        <v>14801</v>
      </c>
      <c r="Z138" s="331" t="s">
        <v>14802</v>
      </c>
      <c r="AA138" s="331" t="s">
        <v>14803</v>
      </c>
      <c r="AB138" s="333"/>
      <c r="AC138" s="333"/>
      <c r="AD138" s="396" t="s">
        <v>2320</v>
      </c>
      <c r="AE138" s="335" t="s">
        <v>94</v>
      </c>
      <c r="AF138" s="336"/>
      <c r="AG138" s="337"/>
      <c r="AH138" s="417" t="s">
        <v>210</v>
      </c>
      <c r="AI138" s="392" t="s">
        <v>210</v>
      </c>
      <c r="AJ138" s="392" t="s">
        <v>210</v>
      </c>
      <c r="AK138" s="340" t="s">
        <v>210</v>
      </c>
      <c r="AL138" s="321" t="s">
        <v>210</v>
      </c>
      <c r="AM138" s="326" t="s">
        <v>15</v>
      </c>
      <c r="AN138" s="326" t="s">
        <v>15</v>
      </c>
      <c r="AO138" s="341" t="s">
        <v>15</v>
      </c>
      <c r="AP138" s="342"/>
      <c r="AQ138" s="343"/>
      <c r="AR138" s="370">
        <v>2561</v>
      </c>
      <c r="AS138" s="326">
        <v>100</v>
      </c>
      <c r="AT138" s="392">
        <v>1</v>
      </c>
      <c r="AU138" s="392"/>
      <c r="AV138" s="392">
        <v>1</v>
      </c>
      <c r="AW138" s="340"/>
      <c r="AX138" s="347"/>
      <c r="AY138" s="348"/>
      <c r="AZ138" s="377"/>
      <c r="BA138" s="374"/>
      <c r="BB138" s="374"/>
      <c r="BC138" s="374"/>
      <c r="BD138" s="374"/>
      <c r="BE138" s="374"/>
      <c r="BF138" s="374"/>
      <c r="BG138" s="374"/>
      <c r="BH138" s="378"/>
      <c r="BI138" s="376"/>
      <c r="BJ138" s="431">
        <v>1.1200000000000001</v>
      </c>
      <c r="BK138" s="380"/>
      <c r="BL138" s="348"/>
      <c r="BM138" s="381"/>
      <c r="BN138" s="321" t="s">
        <v>14</v>
      </c>
      <c r="BO138" s="372"/>
      <c r="BP138" s="373" t="s">
        <v>14</v>
      </c>
      <c r="BQ138" s="360"/>
      <c r="BR138" s="361"/>
      <c r="BS138" s="361"/>
      <c r="BT138" s="361"/>
      <c r="BU138" s="342" t="s">
        <v>210</v>
      </c>
      <c r="BV138" s="342" t="s">
        <v>210</v>
      </c>
      <c r="BW138" s="341" t="s">
        <v>15</v>
      </c>
      <c r="BX138" s="361"/>
      <c r="BY138" s="362"/>
      <c r="BZ138" s="363"/>
      <c r="CA138" s="363"/>
      <c r="CB138" s="363"/>
      <c r="CC138" s="363"/>
      <c r="CD138" s="293"/>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row>
    <row r="139" spans="2:220" s="287" customFormat="1" ht="22.5" customHeight="1">
      <c r="B139" s="365">
        <v>220158</v>
      </c>
      <c r="C139" s="366" t="s">
        <v>15208</v>
      </c>
      <c r="D139" s="367"/>
      <c r="E139" s="368"/>
      <c r="F139" s="321" t="s">
        <v>72</v>
      </c>
      <c r="G139" s="326" t="s">
        <v>2571</v>
      </c>
      <c r="H139" s="326" t="s">
        <v>2572</v>
      </c>
      <c r="I139" s="326" t="s">
        <v>11</v>
      </c>
      <c r="J139" s="326" t="s">
        <v>12</v>
      </c>
      <c r="K139" s="326" t="s">
        <v>806</v>
      </c>
      <c r="L139" s="323"/>
      <c r="M139" s="374"/>
      <c r="N139" s="325" t="s">
        <v>437</v>
      </c>
      <c r="O139" s="326">
        <v>100</v>
      </c>
      <c r="P139" s="327">
        <v>1321</v>
      </c>
      <c r="Q139" s="369">
        <v>1380</v>
      </c>
      <c r="R139" s="329" t="s">
        <v>14804</v>
      </c>
      <c r="S139" s="331" t="s">
        <v>14805</v>
      </c>
      <c r="T139" s="394" t="s">
        <v>14806</v>
      </c>
      <c r="U139" s="394" t="s">
        <v>16336</v>
      </c>
      <c r="V139" s="331" t="s">
        <v>14807</v>
      </c>
      <c r="W139" s="332" t="s">
        <v>432</v>
      </c>
      <c r="X139" s="331" t="s">
        <v>14719</v>
      </c>
      <c r="Y139" s="331" t="s">
        <v>14719</v>
      </c>
      <c r="Z139" s="331" t="s">
        <v>14719</v>
      </c>
      <c r="AA139" s="331" t="s">
        <v>14719</v>
      </c>
      <c r="AB139" s="333"/>
      <c r="AC139" s="333"/>
      <c r="AD139" s="334" t="s">
        <v>854</v>
      </c>
      <c r="AE139" s="335" t="s">
        <v>15</v>
      </c>
      <c r="AF139" s="336"/>
      <c r="AG139" s="337"/>
      <c r="AH139" s="376"/>
      <c r="AI139" s="347"/>
      <c r="AJ139" s="347"/>
      <c r="AK139" s="371"/>
      <c r="AL139" s="321" t="s">
        <v>210</v>
      </c>
      <c r="AM139" s="326" t="s">
        <v>15</v>
      </c>
      <c r="AN139" s="326" t="s">
        <v>15</v>
      </c>
      <c r="AO139" s="341" t="s">
        <v>15</v>
      </c>
      <c r="AP139" s="342"/>
      <c r="AQ139" s="343"/>
      <c r="AR139" s="370">
        <v>1732</v>
      </c>
      <c r="AS139" s="326">
        <v>100</v>
      </c>
      <c r="AT139" s="392">
        <v>0.8</v>
      </c>
      <c r="AU139" s="392"/>
      <c r="AV139" s="392">
        <v>1.5</v>
      </c>
      <c r="AW139" s="340"/>
      <c r="AX139" s="347"/>
      <c r="AY139" s="348"/>
      <c r="AZ139" s="377"/>
      <c r="BA139" s="374"/>
      <c r="BB139" s="374"/>
      <c r="BC139" s="374"/>
      <c r="BD139" s="374"/>
      <c r="BE139" s="374"/>
      <c r="BF139" s="374"/>
      <c r="BG139" s="374"/>
      <c r="BH139" s="378"/>
      <c r="BI139" s="376"/>
      <c r="BJ139" s="379"/>
      <c r="BK139" s="380"/>
      <c r="BL139" s="348"/>
      <c r="BM139" s="381"/>
      <c r="BN139" s="321" t="s">
        <v>15</v>
      </c>
      <c r="BO139" s="372"/>
      <c r="BP139" s="373" t="s">
        <v>14</v>
      </c>
      <c r="BQ139" s="360"/>
      <c r="BR139" s="361"/>
      <c r="BS139" s="361"/>
      <c r="BT139" s="361"/>
      <c r="BU139" s="342" t="s">
        <v>210</v>
      </c>
      <c r="BV139" s="342" t="s">
        <v>210</v>
      </c>
      <c r="BW139" s="341" t="s">
        <v>622</v>
      </c>
      <c r="BX139" s="361"/>
      <c r="BY139" s="362"/>
      <c r="BZ139" s="363"/>
      <c r="CA139" s="363"/>
      <c r="CB139" s="363"/>
      <c r="CC139" s="363"/>
      <c r="CD139" s="293"/>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row>
    <row r="140" spans="2:220" s="287" customFormat="1" ht="22.5" customHeight="1">
      <c r="B140" s="365">
        <v>220159</v>
      </c>
      <c r="C140" s="366" t="s">
        <v>160</v>
      </c>
      <c r="D140" s="367"/>
      <c r="E140" s="368"/>
      <c r="F140" s="321" t="s">
        <v>161</v>
      </c>
      <c r="G140" s="326" t="s">
        <v>2569</v>
      </c>
      <c r="H140" s="326" t="s">
        <v>2570</v>
      </c>
      <c r="I140" s="326" t="s">
        <v>11</v>
      </c>
      <c r="J140" s="326" t="s">
        <v>12</v>
      </c>
      <c r="K140" s="326" t="s">
        <v>31</v>
      </c>
      <c r="L140" s="323"/>
      <c r="M140" s="374"/>
      <c r="N140" s="325" t="s">
        <v>437</v>
      </c>
      <c r="O140" s="326" t="s">
        <v>210</v>
      </c>
      <c r="P140" s="327">
        <v>371</v>
      </c>
      <c r="Q140" s="369">
        <v>373</v>
      </c>
      <c r="R140" s="329" t="s">
        <v>603</v>
      </c>
      <c r="S140" s="331" t="s">
        <v>14808</v>
      </c>
      <c r="T140" s="331" t="s">
        <v>14809</v>
      </c>
      <c r="U140" s="330"/>
      <c r="V140" s="331" t="s">
        <v>14810</v>
      </c>
      <c r="W140" s="332" t="s">
        <v>14811</v>
      </c>
      <c r="X140" s="330"/>
      <c r="Y140" s="330"/>
      <c r="Z140" s="330"/>
      <c r="AA140" s="330"/>
      <c r="AB140" s="333"/>
      <c r="AC140" s="333"/>
      <c r="AD140" s="396" t="s">
        <v>2320</v>
      </c>
      <c r="AE140" s="335" t="s">
        <v>15</v>
      </c>
      <c r="AF140" s="336"/>
      <c r="AG140" s="337"/>
      <c r="AH140" s="417" t="s">
        <v>210</v>
      </c>
      <c r="AI140" s="392" t="s">
        <v>210</v>
      </c>
      <c r="AJ140" s="392" t="s">
        <v>210</v>
      </c>
      <c r="AK140" s="340" t="s">
        <v>210</v>
      </c>
      <c r="AL140" s="321" t="s">
        <v>210</v>
      </c>
      <c r="AM140" s="326" t="s">
        <v>15</v>
      </c>
      <c r="AN140" s="326" t="s">
        <v>15</v>
      </c>
      <c r="AO140" s="341" t="s">
        <v>15</v>
      </c>
      <c r="AP140" s="342"/>
      <c r="AQ140" s="343"/>
      <c r="AR140" s="370">
        <v>559</v>
      </c>
      <c r="AS140" s="326">
        <v>100</v>
      </c>
      <c r="AT140" s="392">
        <v>1</v>
      </c>
      <c r="AU140" s="392"/>
      <c r="AV140" s="392">
        <v>2</v>
      </c>
      <c r="AW140" s="340"/>
      <c r="AX140" s="347"/>
      <c r="AY140" s="348"/>
      <c r="AZ140" s="377"/>
      <c r="BA140" s="374"/>
      <c r="BB140" s="374"/>
      <c r="BC140" s="374"/>
      <c r="BD140" s="374"/>
      <c r="BE140" s="374"/>
      <c r="BF140" s="374"/>
      <c r="BG140" s="374"/>
      <c r="BH140" s="378"/>
      <c r="BI140" s="376"/>
      <c r="BJ140" s="379"/>
      <c r="BK140" s="380"/>
      <c r="BL140" s="348"/>
      <c r="BM140" s="381"/>
      <c r="BN140" s="321" t="s">
        <v>14</v>
      </c>
      <c r="BO140" s="372"/>
      <c r="BP140" s="373" t="s">
        <v>15</v>
      </c>
      <c r="BQ140" s="360"/>
      <c r="BR140" s="361"/>
      <c r="BS140" s="361"/>
      <c r="BT140" s="361"/>
      <c r="BU140" s="342" t="s">
        <v>210</v>
      </c>
      <c r="BV140" s="342" t="s">
        <v>210</v>
      </c>
      <c r="BW140" s="341" t="s">
        <v>15</v>
      </c>
      <c r="BX140" s="361"/>
      <c r="BY140" s="362"/>
      <c r="BZ140" s="363"/>
      <c r="CA140" s="363"/>
      <c r="CB140" s="363"/>
      <c r="CC140" s="363"/>
      <c r="CD140" s="293"/>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row>
    <row r="141" spans="2:220" s="287" customFormat="1" ht="22.5" customHeight="1">
      <c r="B141" s="365">
        <v>220160</v>
      </c>
      <c r="C141" s="366" t="s">
        <v>159</v>
      </c>
      <c r="D141" s="367"/>
      <c r="E141" s="368"/>
      <c r="F141" s="321" t="s">
        <v>32</v>
      </c>
      <c r="G141" s="326" t="s">
        <v>2567</v>
      </c>
      <c r="H141" s="326" t="s">
        <v>2568</v>
      </c>
      <c r="I141" s="326" t="s">
        <v>11</v>
      </c>
      <c r="J141" s="326" t="s">
        <v>12</v>
      </c>
      <c r="K141" s="326" t="s">
        <v>133</v>
      </c>
      <c r="L141" s="323"/>
      <c r="M141" s="374"/>
      <c r="N141" s="325" t="s">
        <v>437</v>
      </c>
      <c r="O141" s="326" t="s">
        <v>210</v>
      </c>
      <c r="P141" s="327">
        <v>497</v>
      </c>
      <c r="Q141" s="369">
        <v>627</v>
      </c>
      <c r="R141" s="329" t="s">
        <v>14812</v>
      </c>
      <c r="S141" s="331" t="s">
        <v>14813</v>
      </c>
      <c r="T141" s="394" t="s">
        <v>14814</v>
      </c>
      <c r="U141" s="394" t="s">
        <v>16215</v>
      </c>
      <c r="V141" s="331" t="s">
        <v>14815</v>
      </c>
      <c r="W141" s="332" t="s">
        <v>14816</v>
      </c>
      <c r="X141" s="331" t="s">
        <v>14817</v>
      </c>
      <c r="Y141" s="331" t="s">
        <v>14818</v>
      </c>
      <c r="Z141" s="331" t="s">
        <v>14819</v>
      </c>
      <c r="AA141" s="331" t="s">
        <v>14820</v>
      </c>
      <c r="AB141" s="333"/>
      <c r="AC141" s="333"/>
      <c r="AD141" s="334" t="s">
        <v>107</v>
      </c>
      <c r="AE141" s="335" t="s">
        <v>15</v>
      </c>
      <c r="AF141" s="336"/>
      <c r="AG141" s="337"/>
      <c r="AH141" s="417" t="s">
        <v>210</v>
      </c>
      <c r="AI141" s="392" t="s">
        <v>210</v>
      </c>
      <c r="AJ141" s="392" t="s">
        <v>210</v>
      </c>
      <c r="AK141" s="340" t="s">
        <v>210</v>
      </c>
      <c r="AL141" s="321" t="s">
        <v>210</v>
      </c>
      <c r="AM141" s="326" t="s">
        <v>15</v>
      </c>
      <c r="AN141" s="326" t="s">
        <v>15</v>
      </c>
      <c r="AO141" s="341" t="s">
        <v>15</v>
      </c>
      <c r="AP141" s="342"/>
      <c r="AQ141" s="343"/>
      <c r="AR141" s="370">
        <v>757</v>
      </c>
      <c r="AS141" s="326">
        <v>100</v>
      </c>
      <c r="AT141" s="392">
        <v>0.8</v>
      </c>
      <c r="AU141" s="392"/>
      <c r="AV141" s="392">
        <v>1</v>
      </c>
      <c r="AW141" s="340"/>
      <c r="AX141" s="347"/>
      <c r="AY141" s="348"/>
      <c r="AZ141" s="377"/>
      <c r="BA141" s="374"/>
      <c r="BB141" s="374"/>
      <c r="BC141" s="374"/>
      <c r="BD141" s="374"/>
      <c r="BE141" s="374"/>
      <c r="BF141" s="374"/>
      <c r="BG141" s="374"/>
      <c r="BH141" s="378"/>
      <c r="BI141" s="376"/>
      <c r="BJ141" s="379"/>
      <c r="BK141" s="380"/>
      <c r="BL141" s="348"/>
      <c r="BM141" s="381"/>
      <c r="BN141" s="321" t="s">
        <v>14</v>
      </c>
      <c r="BO141" s="372"/>
      <c r="BP141" s="373" t="s">
        <v>15</v>
      </c>
      <c r="BQ141" s="360"/>
      <c r="BR141" s="361"/>
      <c r="BS141" s="361"/>
      <c r="BT141" s="361"/>
      <c r="BU141" s="342" t="s">
        <v>210</v>
      </c>
      <c r="BV141" s="342" t="s">
        <v>210</v>
      </c>
      <c r="BW141" s="341" t="s">
        <v>15</v>
      </c>
      <c r="BX141" s="361"/>
      <c r="BY141" s="362"/>
      <c r="BZ141" s="363"/>
      <c r="CA141" s="363"/>
      <c r="CB141" s="363"/>
      <c r="CC141" s="363"/>
      <c r="CD141" s="293"/>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row>
    <row r="142" spans="2:220" s="287" customFormat="1" ht="22.5" customHeight="1">
      <c r="B142" s="365">
        <v>230102</v>
      </c>
      <c r="C142" s="366" t="s">
        <v>169</v>
      </c>
      <c r="D142" s="367"/>
      <c r="E142" s="368"/>
      <c r="F142" s="321" t="s">
        <v>141</v>
      </c>
      <c r="G142" s="326" t="s">
        <v>2565</v>
      </c>
      <c r="H142" s="326" t="s">
        <v>2566</v>
      </c>
      <c r="I142" s="326" t="s">
        <v>11</v>
      </c>
      <c r="J142" s="326" t="s">
        <v>12</v>
      </c>
      <c r="K142" s="326" t="s">
        <v>10</v>
      </c>
      <c r="L142" s="323"/>
      <c r="M142" s="374"/>
      <c r="N142" s="325" t="s">
        <v>438</v>
      </c>
      <c r="O142" s="326">
        <v>30</v>
      </c>
      <c r="P142" s="327">
        <v>1652</v>
      </c>
      <c r="Q142" s="369" t="s">
        <v>210</v>
      </c>
      <c r="R142" s="329" t="s">
        <v>604</v>
      </c>
      <c r="S142" s="331" t="s">
        <v>14821</v>
      </c>
      <c r="T142" s="331" t="s">
        <v>14822</v>
      </c>
      <c r="U142" s="331" t="s">
        <v>14823</v>
      </c>
      <c r="V142" s="331" t="s">
        <v>14824</v>
      </c>
      <c r="W142" s="332" t="s">
        <v>432</v>
      </c>
      <c r="X142" s="331" t="s">
        <v>14719</v>
      </c>
      <c r="Y142" s="331" t="s">
        <v>14719</v>
      </c>
      <c r="Z142" s="331" t="s">
        <v>14719</v>
      </c>
      <c r="AA142" s="331" t="s">
        <v>14719</v>
      </c>
      <c r="AB142" s="333"/>
      <c r="AC142" s="333"/>
      <c r="AD142" s="396" t="s">
        <v>42</v>
      </c>
      <c r="AE142" s="335" t="s">
        <v>16</v>
      </c>
      <c r="AF142" s="336"/>
      <c r="AG142" s="337"/>
      <c r="AH142" s="376"/>
      <c r="AI142" s="347"/>
      <c r="AJ142" s="347"/>
      <c r="AK142" s="371"/>
      <c r="AL142" s="321" t="s">
        <v>210</v>
      </c>
      <c r="AM142" s="326" t="s">
        <v>15</v>
      </c>
      <c r="AN142" s="326" t="s">
        <v>15</v>
      </c>
      <c r="AO142" s="341" t="s">
        <v>15</v>
      </c>
      <c r="AP142" s="342"/>
      <c r="AQ142" s="343"/>
      <c r="AR142" s="370">
        <v>986</v>
      </c>
      <c r="AS142" s="326">
        <v>150</v>
      </c>
      <c r="AT142" s="392">
        <v>0.6</v>
      </c>
      <c r="AU142" s="392"/>
      <c r="AV142" s="392">
        <v>0.6</v>
      </c>
      <c r="AW142" s="340"/>
      <c r="AX142" s="347"/>
      <c r="AY142" s="348"/>
      <c r="AZ142" s="377"/>
      <c r="BA142" s="374"/>
      <c r="BB142" s="374"/>
      <c r="BC142" s="374"/>
      <c r="BD142" s="374"/>
      <c r="BE142" s="374"/>
      <c r="BF142" s="374"/>
      <c r="BG142" s="374"/>
      <c r="BH142" s="378"/>
      <c r="BI142" s="376"/>
      <c r="BJ142" s="379"/>
      <c r="BK142" s="380"/>
      <c r="BL142" s="348"/>
      <c r="BM142" s="381"/>
      <c r="BN142" s="321" t="s">
        <v>15</v>
      </c>
      <c r="BO142" s="372"/>
      <c r="BP142" s="373" t="s">
        <v>15</v>
      </c>
      <c r="BQ142" s="360"/>
      <c r="BR142" s="361"/>
      <c r="BS142" s="361"/>
      <c r="BT142" s="361"/>
      <c r="BU142" s="342" t="s">
        <v>210</v>
      </c>
      <c r="BV142" s="342" t="s">
        <v>210</v>
      </c>
      <c r="BW142" s="341" t="s">
        <v>15</v>
      </c>
      <c r="BX142" s="361"/>
      <c r="BY142" s="362"/>
      <c r="BZ142" s="363"/>
      <c r="CA142" s="363"/>
      <c r="CB142" s="363"/>
      <c r="CC142" s="363"/>
      <c r="CD142" s="293"/>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row>
    <row r="143" spans="2:220" s="287" customFormat="1" ht="22.5" customHeight="1">
      <c r="B143" s="365">
        <v>230103</v>
      </c>
      <c r="C143" s="366" t="s">
        <v>167</v>
      </c>
      <c r="D143" s="367"/>
      <c r="E143" s="368"/>
      <c r="F143" s="321" t="s">
        <v>72</v>
      </c>
      <c r="G143" s="326" t="s">
        <v>2563</v>
      </c>
      <c r="H143" s="326" t="s">
        <v>2564</v>
      </c>
      <c r="I143" s="326" t="s">
        <v>11</v>
      </c>
      <c r="J143" s="326" t="s">
        <v>12</v>
      </c>
      <c r="K143" s="326" t="s">
        <v>10</v>
      </c>
      <c r="L143" s="323"/>
      <c r="M143" s="374"/>
      <c r="N143" s="325" t="s">
        <v>438</v>
      </c>
      <c r="O143" s="326">
        <v>150</v>
      </c>
      <c r="P143" s="327">
        <v>2819</v>
      </c>
      <c r="Q143" s="369" t="s">
        <v>605</v>
      </c>
      <c r="R143" s="329" t="s">
        <v>14745</v>
      </c>
      <c r="S143" s="394" t="s">
        <v>14746</v>
      </c>
      <c r="T143" s="394" t="s">
        <v>14747</v>
      </c>
      <c r="U143" s="394" t="s">
        <v>16336</v>
      </c>
      <c r="V143" s="394" t="s">
        <v>14748</v>
      </c>
      <c r="W143" s="645"/>
      <c r="X143" s="400"/>
      <c r="Y143" s="400"/>
      <c r="Z143" s="400"/>
      <c r="AA143" s="400"/>
      <c r="AB143" s="333"/>
      <c r="AC143" s="333"/>
      <c r="AD143" s="396" t="s">
        <v>2320</v>
      </c>
      <c r="AE143" s="335" t="s">
        <v>73</v>
      </c>
      <c r="AF143" s="336"/>
      <c r="AG143" s="337"/>
      <c r="AH143" s="417" t="s">
        <v>210</v>
      </c>
      <c r="AI143" s="392" t="s">
        <v>210</v>
      </c>
      <c r="AJ143" s="392" t="s">
        <v>210</v>
      </c>
      <c r="AK143" s="340" t="s">
        <v>210</v>
      </c>
      <c r="AL143" s="321" t="s">
        <v>210</v>
      </c>
      <c r="AM143" s="326" t="s">
        <v>15</v>
      </c>
      <c r="AN143" s="326" t="s">
        <v>15</v>
      </c>
      <c r="AO143" s="341" t="s">
        <v>15</v>
      </c>
      <c r="AP143" s="342"/>
      <c r="AQ143" s="343"/>
      <c r="AR143" s="370">
        <v>3304</v>
      </c>
      <c r="AS143" s="326">
        <v>150</v>
      </c>
      <c r="AT143" s="392">
        <v>0.8</v>
      </c>
      <c r="AU143" s="392"/>
      <c r="AV143" s="392" t="s">
        <v>953</v>
      </c>
      <c r="AW143" s="340"/>
      <c r="AX143" s="347"/>
      <c r="AY143" s="348"/>
      <c r="AZ143" s="377"/>
      <c r="BA143" s="374"/>
      <c r="BB143" s="374"/>
      <c r="BC143" s="374"/>
      <c r="BD143" s="374"/>
      <c r="BE143" s="374"/>
      <c r="BF143" s="374"/>
      <c r="BG143" s="374"/>
      <c r="BH143" s="378"/>
      <c r="BI143" s="376"/>
      <c r="BJ143" s="379"/>
      <c r="BK143" s="380"/>
      <c r="BL143" s="348"/>
      <c r="BM143" s="381"/>
      <c r="BN143" s="321" t="s">
        <v>15</v>
      </c>
      <c r="BO143" s="372"/>
      <c r="BP143" s="373" t="s">
        <v>15</v>
      </c>
      <c r="BQ143" s="360"/>
      <c r="BR143" s="361"/>
      <c r="BS143" s="361"/>
      <c r="BT143" s="361"/>
      <c r="BU143" s="342" t="s">
        <v>210</v>
      </c>
      <c r="BV143" s="342" t="s">
        <v>210</v>
      </c>
      <c r="BW143" s="341" t="s">
        <v>15</v>
      </c>
      <c r="BX143" s="361"/>
      <c r="BY143" s="362" t="s">
        <v>954</v>
      </c>
      <c r="BZ143" s="363"/>
      <c r="CA143" s="363"/>
      <c r="CB143" s="363"/>
      <c r="CC143" s="363"/>
      <c r="CD143" s="293"/>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row>
    <row r="144" spans="2:220" s="287" customFormat="1" ht="22.5" customHeight="1">
      <c r="B144" s="365">
        <v>230104</v>
      </c>
      <c r="C144" s="366" t="s">
        <v>10732</v>
      </c>
      <c r="D144" s="367"/>
      <c r="E144" s="368"/>
      <c r="F144" s="321" t="s">
        <v>53</v>
      </c>
      <c r="G144" s="326" t="s">
        <v>2562</v>
      </c>
      <c r="H144" s="374"/>
      <c r="I144" s="326" t="s">
        <v>11</v>
      </c>
      <c r="J144" s="326" t="s">
        <v>12</v>
      </c>
      <c r="K144" s="326" t="s">
        <v>10</v>
      </c>
      <c r="L144" s="323"/>
      <c r="M144" s="374"/>
      <c r="N144" s="325" t="s">
        <v>437</v>
      </c>
      <c r="O144" s="326">
        <v>40</v>
      </c>
      <c r="P144" s="327">
        <v>243</v>
      </c>
      <c r="Q144" s="369">
        <v>243</v>
      </c>
      <c r="R144" s="329" t="s">
        <v>607</v>
      </c>
      <c r="S144" s="331" t="s">
        <v>14825</v>
      </c>
      <c r="T144" s="330"/>
      <c r="U144" s="330"/>
      <c r="V144" s="331" t="s">
        <v>14826</v>
      </c>
      <c r="W144" s="332" t="s">
        <v>432</v>
      </c>
      <c r="X144" s="331" t="s">
        <v>6200</v>
      </c>
      <c r="Y144" s="331" t="s">
        <v>14719</v>
      </c>
      <c r="Z144" s="331" t="s">
        <v>14719</v>
      </c>
      <c r="AA144" s="331" t="s">
        <v>14719</v>
      </c>
      <c r="AB144" s="333"/>
      <c r="AC144" s="333"/>
      <c r="AD144" s="334" t="s">
        <v>870</v>
      </c>
      <c r="AE144" s="335" t="s">
        <v>15</v>
      </c>
      <c r="AF144" s="336"/>
      <c r="AG144" s="337"/>
      <c r="AH144" s="417" t="s">
        <v>210</v>
      </c>
      <c r="AI144" s="392" t="s">
        <v>210</v>
      </c>
      <c r="AJ144" s="392" t="s">
        <v>210</v>
      </c>
      <c r="AK144" s="340" t="s">
        <v>210</v>
      </c>
      <c r="AL144" s="321" t="s">
        <v>210</v>
      </c>
      <c r="AM144" s="326" t="s">
        <v>15</v>
      </c>
      <c r="AN144" s="326" t="s">
        <v>15</v>
      </c>
      <c r="AO144" s="341" t="s">
        <v>15</v>
      </c>
      <c r="AP144" s="342"/>
      <c r="AQ144" s="343"/>
      <c r="AR144" s="370">
        <v>155</v>
      </c>
      <c r="AS144" s="326">
        <v>80</v>
      </c>
      <c r="AT144" s="392">
        <v>0.6</v>
      </c>
      <c r="AU144" s="392"/>
      <c r="AV144" s="392">
        <v>0.6</v>
      </c>
      <c r="AW144" s="340"/>
      <c r="AX144" s="347"/>
      <c r="AY144" s="348"/>
      <c r="AZ144" s="377"/>
      <c r="BA144" s="374"/>
      <c r="BB144" s="374"/>
      <c r="BC144" s="374"/>
      <c r="BD144" s="374"/>
      <c r="BE144" s="374"/>
      <c r="BF144" s="374"/>
      <c r="BG144" s="374"/>
      <c r="BH144" s="378"/>
      <c r="BI144" s="376"/>
      <c r="BJ144" s="379"/>
      <c r="BK144" s="380"/>
      <c r="BL144" s="348"/>
      <c r="BM144" s="381"/>
      <c r="BN144" s="321" t="s">
        <v>15</v>
      </c>
      <c r="BO144" s="372"/>
      <c r="BP144" s="373" t="s">
        <v>15</v>
      </c>
      <c r="BQ144" s="360"/>
      <c r="BR144" s="361"/>
      <c r="BS144" s="361"/>
      <c r="BT144" s="361"/>
      <c r="BU144" s="342" t="s">
        <v>210</v>
      </c>
      <c r="BV144" s="342" t="s">
        <v>210</v>
      </c>
      <c r="BW144" s="341" t="s">
        <v>15</v>
      </c>
      <c r="BX144" s="361"/>
      <c r="BY144" s="362"/>
      <c r="BZ144" s="363"/>
      <c r="CA144" s="363"/>
      <c r="CB144" s="363"/>
      <c r="CC144" s="363"/>
      <c r="CD144" s="293"/>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row>
    <row r="145" spans="2:220" s="287" customFormat="1" ht="22.5" customHeight="1">
      <c r="B145" s="365">
        <v>230105</v>
      </c>
      <c r="C145" s="366" t="s">
        <v>172</v>
      </c>
      <c r="D145" s="367"/>
      <c r="E145" s="368"/>
      <c r="F145" s="321" t="s">
        <v>59</v>
      </c>
      <c r="G145" s="326" t="s">
        <v>2560</v>
      </c>
      <c r="H145" s="326" t="s">
        <v>2561</v>
      </c>
      <c r="I145" s="326" t="s">
        <v>11</v>
      </c>
      <c r="J145" s="326" t="s">
        <v>21</v>
      </c>
      <c r="K145" s="326" t="s">
        <v>133</v>
      </c>
      <c r="L145" s="323"/>
      <c r="M145" s="374"/>
      <c r="N145" s="325" t="s">
        <v>613</v>
      </c>
      <c r="O145" s="392" t="s">
        <v>15</v>
      </c>
      <c r="P145" s="392" t="s">
        <v>15</v>
      </c>
      <c r="Q145" s="340" t="s">
        <v>15</v>
      </c>
      <c r="R145" s="399"/>
      <c r="S145" s="400"/>
      <c r="T145" s="400"/>
      <c r="U145" s="400"/>
      <c r="V145" s="400"/>
      <c r="W145" s="332" t="s">
        <v>618</v>
      </c>
      <c r="X145" s="394" t="s">
        <v>14827</v>
      </c>
      <c r="Y145" s="394" t="s">
        <v>14828</v>
      </c>
      <c r="Z145" s="394" t="s">
        <v>14829</v>
      </c>
      <c r="AA145" s="394" t="s">
        <v>14830</v>
      </c>
      <c r="AB145" s="333"/>
      <c r="AC145" s="416"/>
      <c r="AD145" s="375"/>
      <c r="AE145" s="391"/>
      <c r="AF145" s="336"/>
      <c r="AG145" s="337"/>
      <c r="AH145" s="417" t="s">
        <v>15</v>
      </c>
      <c r="AI145" s="392" t="s">
        <v>15</v>
      </c>
      <c r="AJ145" s="392" t="s">
        <v>15</v>
      </c>
      <c r="AK145" s="340" t="s">
        <v>15</v>
      </c>
      <c r="AL145" s="321" t="s">
        <v>210</v>
      </c>
      <c r="AM145" s="392" t="s">
        <v>15</v>
      </c>
      <c r="AN145" s="392" t="s">
        <v>15</v>
      </c>
      <c r="AO145" s="341" t="s">
        <v>15</v>
      </c>
      <c r="AP145" s="342"/>
      <c r="AQ145" s="343"/>
      <c r="AR145" s="370">
        <v>1063</v>
      </c>
      <c r="AS145" s="326">
        <v>100</v>
      </c>
      <c r="AT145" s="392">
        <v>0.8</v>
      </c>
      <c r="AU145" s="392"/>
      <c r="AV145" s="392">
        <v>1.2</v>
      </c>
      <c r="AW145" s="340"/>
      <c r="AX145" s="347"/>
      <c r="AY145" s="348"/>
      <c r="AZ145" s="377"/>
      <c r="BA145" s="374"/>
      <c r="BB145" s="374"/>
      <c r="BC145" s="374"/>
      <c r="BD145" s="374"/>
      <c r="BE145" s="374"/>
      <c r="BF145" s="374"/>
      <c r="BG145" s="374"/>
      <c r="BH145" s="378"/>
      <c r="BI145" s="376"/>
      <c r="BJ145" s="379"/>
      <c r="BK145" s="380"/>
      <c r="BL145" s="348"/>
      <c r="BM145" s="381"/>
      <c r="BN145" s="321" t="s">
        <v>15</v>
      </c>
      <c r="BO145" s="372"/>
      <c r="BP145" s="373" t="s">
        <v>15</v>
      </c>
      <c r="BQ145" s="360"/>
      <c r="BR145" s="361"/>
      <c r="BS145" s="361"/>
      <c r="BT145" s="361"/>
      <c r="BU145" s="342" t="s">
        <v>210</v>
      </c>
      <c r="BV145" s="342" t="s">
        <v>210</v>
      </c>
      <c r="BW145" s="341" t="s">
        <v>15</v>
      </c>
      <c r="BX145" s="361"/>
      <c r="BY145" s="362"/>
      <c r="BZ145" s="363"/>
      <c r="CA145" s="363"/>
      <c r="CB145" s="363"/>
      <c r="CC145" s="363"/>
      <c r="CD145" s="293"/>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row>
    <row r="146" spans="2:220" s="287" customFormat="1" ht="22.5" customHeight="1">
      <c r="B146" s="365">
        <v>230106</v>
      </c>
      <c r="C146" s="366" t="s">
        <v>13669</v>
      </c>
      <c r="D146" s="367"/>
      <c r="E146" s="368"/>
      <c r="F146" s="321" t="s">
        <v>66</v>
      </c>
      <c r="G146" s="326" t="s">
        <v>2558</v>
      </c>
      <c r="H146" s="326" t="s">
        <v>2559</v>
      </c>
      <c r="I146" s="326" t="s">
        <v>11</v>
      </c>
      <c r="J146" s="326" t="s">
        <v>12</v>
      </c>
      <c r="K146" s="326" t="s">
        <v>10</v>
      </c>
      <c r="L146" s="323"/>
      <c r="M146" s="374"/>
      <c r="N146" s="325" t="s">
        <v>438</v>
      </c>
      <c r="O146" s="326">
        <v>60</v>
      </c>
      <c r="P146" s="327">
        <v>3955</v>
      </c>
      <c r="Q146" s="369">
        <v>4317</v>
      </c>
      <c r="R146" s="329" t="s">
        <v>1098</v>
      </c>
      <c r="S146" s="331" t="s">
        <v>14831</v>
      </c>
      <c r="T146" s="394" t="s">
        <v>14832</v>
      </c>
      <c r="U146" s="394" t="s">
        <v>16310</v>
      </c>
      <c r="V146" s="331" t="s">
        <v>14833</v>
      </c>
      <c r="W146" s="332" t="s">
        <v>432</v>
      </c>
      <c r="X146" s="331" t="s">
        <v>14719</v>
      </c>
      <c r="Y146" s="331" t="s">
        <v>14719</v>
      </c>
      <c r="Z146" s="331" t="s">
        <v>14719</v>
      </c>
      <c r="AA146" s="331" t="s">
        <v>14719</v>
      </c>
      <c r="AB146" s="333"/>
      <c r="AC146" s="333"/>
      <c r="AD146" s="334" t="s">
        <v>852</v>
      </c>
      <c r="AE146" s="395" t="s">
        <v>27</v>
      </c>
      <c r="AF146" s="336"/>
      <c r="AG146" s="337"/>
      <c r="AH146" s="376"/>
      <c r="AI146" s="347"/>
      <c r="AJ146" s="347"/>
      <c r="AK146" s="371"/>
      <c r="AL146" s="321" t="s">
        <v>210</v>
      </c>
      <c r="AM146" s="326" t="s">
        <v>15</v>
      </c>
      <c r="AN146" s="326" t="s">
        <v>15</v>
      </c>
      <c r="AO146" s="341" t="s">
        <v>15</v>
      </c>
      <c r="AP146" s="342"/>
      <c r="AQ146" s="343"/>
      <c r="AR146" s="370">
        <v>5103</v>
      </c>
      <c r="AS146" s="326">
        <v>100</v>
      </c>
      <c r="AT146" s="392">
        <v>0.8</v>
      </c>
      <c r="AU146" s="392"/>
      <c r="AV146" s="392">
        <v>1.2</v>
      </c>
      <c r="AW146" s="340"/>
      <c r="AX146" s="347"/>
      <c r="AY146" s="348"/>
      <c r="AZ146" s="377"/>
      <c r="BA146" s="374"/>
      <c r="BB146" s="374"/>
      <c r="BC146" s="374"/>
      <c r="BD146" s="374"/>
      <c r="BE146" s="374"/>
      <c r="BF146" s="374"/>
      <c r="BG146" s="374"/>
      <c r="BH146" s="378"/>
      <c r="BI146" s="376"/>
      <c r="BJ146" s="379"/>
      <c r="BK146" s="380"/>
      <c r="BL146" s="348"/>
      <c r="BM146" s="381"/>
      <c r="BN146" s="321" t="s">
        <v>14</v>
      </c>
      <c r="BO146" s="372"/>
      <c r="BP146" s="373" t="s">
        <v>14</v>
      </c>
      <c r="BQ146" s="360"/>
      <c r="BR146" s="361"/>
      <c r="BS146" s="361"/>
      <c r="BT146" s="361"/>
      <c r="BU146" s="342" t="s">
        <v>210</v>
      </c>
      <c r="BV146" s="342" t="s">
        <v>210</v>
      </c>
      <c r="BW146" s="341" t="s">
        <v>15</v>
      </c>
      <c r="BX146" s="361"/>
      <c r="BY146" s="362"/>
      <c r="BZ146" s="363"/>
      <c r="CA146" s="363"/>
      <c r="CB146" s="363"/>
      <c r="CC146" s="363"/>
      <c r="CD146" s="293"/>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row>
    <row r="147" spans="2:220" s="287" customFormat="1" ht="22.5" customHeight="1">
      <c r="B147" s="365">
        <v>230107</v>
      </c>
      <c r="C147" s="366" t="s">
        <v>13056</v>
      </c>
      <c r="D147" s="367"/>
      <c r="E147" s="368"/>
      <c r="F147" s="321" t="s">
        <v>164</v>
      </c>
      <c r="G147" s="326" t="s">
        <v>2556</v>
      </c>
      <c r="H147" s="326" t="s">
        <v>2557</v>
      </c>
      <c r="I147" s="326" t="s">
        <v>11</v>
      </c>
      <c r="J147" s="326" t="s">
        <v>12</v>
      </c>
      <c r="K147" s="326" t="s">
        <v>10</v>
      </c>
      <c r="L147" s="323"/>
      <c r="M147" s="324" t="s">
        <v>10767</v>
      </c>
      <c r="N147" s="325" t="s">
        <v>437</v>
      </c>
      <c r="O147" s="326">
        <v>30</v>
      </c>
      <c r="P147" s="327">
        <v>332</v>
      </c>
      <c r="Q147" s="369" t="s">
        <v>608</v>
      </c>
      <c r="R147" s="329" t="s">
        <v>2707</v>
      </c>
      <c r="S147" s="331" t="s">
        <v>14769</v>
      </c>
      <c r="T147" s="331" t="s">
        <v>11322</v>
      </c>
      <c r="U147" s="331" t="s">
        <v>14770</v>
      </c>
      <c r="V147" s="331" t="s">
        <v>14771</v>
      </c>
      <c r="W147" s="332" t="s">
        <v>432</v>
      </c>
      <c r="X147" s="331" t="s">
        <v>14719</v>
      </c>
      <c r="Y147" s="331" t="s">
        <v>14719</v>
      </c>
      <c r="Z147" s="331" t="s">
        <v>14719</v>
      </c>
      <c r="AA147" s="331" t="s">
        <v>14719</v>
      </c>
      <c r="AB147" s="333"/>
      <c r="AC147" s="333"/>
      <c r="AD147" s="396" t="s">
        <v>2320</v>
      </c>
      <c r="AE147" s="335" t="s">
        <v>15</v>
      </c>
      <c r="AF147" s="336"/>
      <c r="AG147" s="337"/>
      <c r="AH147" s="376"/>
      <c r="AI147" s="347"/>
      <c r="AJ147" s="347"/>
      <c r="AK147" s="371"/>
      <c r="AL147" s="321" t="s">
        <v>210</v>
      </c>
      <c r="AM147" s="326" t="s">
        <v>15</v>
      </c>
      <c r="AN147" s="326" t="s">
        <v>15</v>
      </c>
      <c r="AO147" s="341" t="s">
        <v>15</v>
      </c>
      <c r="AP147" s="342"/>
      <c r="AQ147" s="343"/>
      <c r="AR147" s="370">
        <v>418</v>
      </c>
      <c r="AS147" s="326">
        <v>100</v>
      </c>
      <c r="AT147" s="392">
        <v>0.8</v>
      </c>
      <c r="AU147" s="392"/>
      <c r="AV147" s="392">
        <v>1</v>
      </c>
      <c r="AW147" s="340"/>
      <c r="AX147" s="347"/>
      <c r="AY147" s="348"/>
      <c r="AZ147" s="377"/>
      <c r="BA147" s="374"/>
      <c r="BB147" s="374"/>
      <c r="BC147" s="374"/>
      <c r="BD147" s="374"/>
      <c r="BE147" s="374"/>
      <c r="BF147" s="374"/>
      <c r="BG147" s="374"/>
      <c r="BH147" s="378"/>
      <c r="BI147" s="376"/>
      <c r="BJ147" s="379"/>
      <c r="BK147" s="380"/>
      <c r="BL147" s="348"/>
      <c r="BM147" s="381"/>
      <c r="BN147" s="321" t="s">
        <v>15</v>
      </c>
      <c r="BO147" s="372"/>
      <c r="BP147" s="373" t="s">
        <v>15</v>
      </c>
      <c r="BQ147" s="360"/>
      <c r="BR147" s="361"/>
      <c r="BS147" s="361"/>
      <c r="BT147" s="361"/>
      <c r="BU147" s="342" t="s">
        <v>210</v>
      </c>
      <c r="BV147" s="342" t="s">
        <v>210</v>
      </c>
      <c r="BW147" s="341" t="s">
        <v>15</v>
      </c>
      <c r="BX147" s="361"/>
      <c r="BY147" s="362"/>
      <c r="BZ147" s="363"/>
      <c r="CA147" s="363"/>
      <c r="CB147" s="363"/>
      <c r="CC147" s="363"/>
      <c r="CD147" s="293"/>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row>
    <row r="148" spans="2:220" s="287" customFormat="1" ht="22.5" customHeight="1">
      <c r="B148" s="365">
        <v>230108</v>
      </c>
      <c r="C148" s="366" t="s">
        <v>13066</v>
      </c>
      <c r="D148" s="367"/>
      <c r="E148" s="368"/>
      <c r="F148" s="321" t="s">
        <v>83</v>
      </c>
      <c r="G148" s="324" t="s">
        <v>2554</v>
      </c>
      <c r="H148" s="324" t="s">
        <v>2555</v>
      </c>
      <c r="I148" s="326" t="s">
        <v>11</v>
      </c>
      <c r="J148" s="326" t="s">
        <v>12</v>
      </c>
      <c r="K148" s="326" t="s">
        <v>10</v>
      </c>
      <c r="L148" s="323"/>
      <c r="M148" s="374"/>
      <c r="N148" s="325" t="s">
        <v>2875</v>
      </c>
      <c r="O148" s="326">
        <v>30</v>
      </c>
      <c r="P148" s="327">
        <v>820</v>
      </c>
      <c r="Q148" s="369">
        <v>875</v>
      </c>
      <c r="R148" s="329" t="s">
        <v>14739</v>
      </c>
      <c r="S148" s="331" t="s">
        <v>14834</v>
      </c>
      <c r="T148" s="331" t="s">
        <v>14741</v>
      </c>
      <c r="U148" s="331" t="s">
        <v>16355</v>
      </c>
      <c r="V148" s="331" t="s">
        <v>14835</v>
      </c>
      <c r="W148" s="332" t="s">
        <v>432</v>
      </c>
      <c r="X148" s="331" t="s">
        <v>14719</v>
      </c>
      <c r="Y148" s="331" t="s">
        <v>14719</v>
      </c>
      <c r="Z148" s="331" t="s">
        <v>14719</v>
      </c>
      <c r="AA148" s="331" t="s">
        <v>14719</v>
      </c>
      <c r="AB148" s="333"/>
      <c r="AC148" s="333"/>
      <c r="AD148" s="334" t="s">
        <v>272</v>
      </c>
      <c r="AE148" s="335" t="s">
        <v>83</v>
      </c>
      <c r="AF148" s="336"/>
      <c r="AG148" s="337"/>
      <c r="AH148" s="376"/>
      <c r="AI148" s="347"/>
      <c r="AJ148" s="347"/>
      <c r="AK148" s="371"/>
      <c r="AL148" s="321" t="s">
        <v>210</v>
      </c>
      <c r="AM148" s="326" t="s">
        <v>15</v>
      </c>
      <c r="AN148" s="326" t="s">
        <v>15</v>
      </c>
      <c r="AO148" s="341" t="s">
        <v>15</v>
      </c>
      <c r="AP148" s="342"/>
      <c r="AQ148" s="343"/>
      <c r="AR148" s="370">
        <v>1031</v>
      </c>
      <c r="AS148" s="326">
        <v>100</v>
      </c>
      <c r="AT148" s="392">
        <v>1</v>
      </c>
      <c r="AU148" s="392"/>
      <c r="AV148" s="392">
        <v>1.6</v>
      </c>
      <c r="AW148" s="340"/>
      <c r="AX148" s="347"/>
      <c r="AY148" s="348"/>
      <c r="AZ148" s="407"/>
      <c r="BA148" s="408"/>
      <c r="BB148" s="408"/>
      <c r="BC148" s="408"/>
      <c r="BD148" s="408"/>
      <c r="BE148" s="408"/>
      <c r="BF148" s="408"/>
      <c r="BG148" s="408"/>
      <c r="BH148" s="409"/>
      <c r="BI148" s="410"/>
      <c r="BJ148" s="411"/>
      <c r="BK148" s="412"/>
      <c r="BL148" s="413"/>
      <c r="BM148" s="414"/>
      <c r="BN148" s="321" t="s">
        <v>15</v>
      </c>
      <c r="BO148" s="372"/>
      <c r="BP148" s="373" t="s">
        <v>15</v>
      </c>
      <c r="BQ148" s="360"/>
      <c r="BR148" s="361"/>
      <c r="BS148" s="361"/>
      <c r="BT148" s="361"/>
      <c r="BU148" s="342" t="s">
        <v>210</v>
      </c>
      <c r="BV148" s="342" t="s">
        <v>210</v>
      </c>
      <c r="BW148" s="341" t="s">
        <v>15</v>
      </c>
      <c r="BX148" s="361"/>
      <c r="BY148" s="362"/>
      <c r="BZ148" s="363"/>
      <c r="CA148" s="363"/>
      <c r="CB148" s="363"/>
      <c r="CC148" s="363"/>
      <c r="CD148" s="293"/>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row>
    <row r="149" spans="2:220" s="287" customFormat="1" ht="22.5" customHeight="1">
      <c r="B149" s="365">
        <v>230109</v>
      </c>
      <c r="C149" s="651" t="s">
        <v>609</v>
      </c>
      <c r="D149" s="403"/>
      <c r="E149" s="404"/>
      <c r="F149" s="405" t="s">
        <v>53</v>
      </c>
      <c r="G149" s="324" t="s">
        <v>2552</v>
      </c>
      <c r="H149" s="324" t="s">
        <v>2553</v>
      </c>
      <c r="I149" s="326" t="s">
        <v>11</v>
      </c>
      <c r="J149" s="326" t="s">
        <v>12</v>
      </c>
      <c r="K149" s="326" t="s">
        <v>10</v>
      </c>
      <c r="L149" s="323"/>
      <c r="M149" s="374"/>
      <c r="N149" s="325" t="s">
        <v>612</v>
      </c>
      <c r="O149" s="326" t="s">
        <v>15</v>
      </c>
      <c r="P149" s="327">
        <v>425</v>
      </c>
      <c r="Q149" s="369">
        <v>425</v>
      </c>
      <c r="R149" s="652" t="s">
        <v>611</v>
      </c>
      <c r="S149" s="649" t="s">
        <v>14836</v>
      </c>
      <c r="T149" s="649" t="s">
        <v>14837</v>
      </c>
      <c r="U149" s="649" t="s">
        <v>16216</v>
      </c>
      <c r="V149" s="649" t="s">
        <v>14838</v>
      </c>
      <c r="W149" s="332" t="s">
        <v>14816</v>
      </c>
      <c r="X149" s="331" t="s">
        <v>14817</v>
      </c>
      <c r="Y149" s="331" t="s">
        <v>14818</v>
      </c>
      <c r="Z149" s="331" t="s">
        <v>14819</v>
      </c>
      <c r="AA149" s="331" t="s">
        <v>14839</v>
      </c>
      <c r="AB149" s="333"/>
      <c r="AC149" s="333"/>
      <c r="AD149" s="334" t="s">
        <v>168</v>
      </c>
      <c r="AE149" s="335" t="s">
        <v>15</v>
      </c>
      <c r="AF149" s="336"/>
      <c r="AG149" s="337"/>
      <c r="AH149" s="417" t="s">
        <v>15</v>
      </c>
      <c r="AI149" s="392" t="s">
        <v>15</v>
      </c>
      <c r="AJ149" s="392" t="s">
        <v>15</v>
      </c>
      <c r="AK149" s="340" t="s">
        <v>15</v>
      </c>
      <c r="AL149" s="321" t="s">
        <v>210</v>
      </c>
      <c r="AM149" s="326" t="s">
        <v>15</v>
      </c>
      <c r="AN149" s="326" t="s">
        <v>15</v>
      </c>
      <c r="AO149" s="341" t="s">
        <v>15</v>
      </c>
      <c r="AP149" s="342"/>
      <c r="AQ149" s="343"/>
      <c r="AR149" s="370">
        <v>617</v>
      </c>
      <c r="AS149" s="326">
        <v>100</v>
      </c>
      <c r="AT149" s="392">
        <v>0.8</v>
      </c>
      <c r="AU149" s="392"/>
      <c r="AV149" s="392">
        <v>1.4</v>
      </c>
      <c r="AW149" s="340"/>
      <c r="AX149" s="347"/>
      <c r="AY149" s="348"/>
      <c r="AZ149" s="407"/>
      <c r="BA149" s="408"/>
      <c r="BB149" s="408"/>
      <c r="BC149" s="408"/>
      <c r="BD149" s="408"/>
      <c r="BE149" s="408"/>
      <c r="BF149" s="408"/>
      <c r="BG149" s="408"/>
      <c r="BH149" s="409"/>
      <c r="BI149" s="410"/>
      <c r="BJ149" s="411"/>
      <c r="BK149" s="412"/>
      <c r="BL149" s="413"/>
      <c r="BM149" s="414"/>
      <c r="BN149" s="321" t="s">
        <v>14</v>
      </c>
      <c r="BO149" s="372"/>
      <c r="BP149" s="373" t="s">
        <v>15</v>
      </c>
      <c r="BQ149" s="360"/>
      <c r="BR149" s="361"/>
      <c r="BS149" s="361"/>
      <c r="BT149" s="361"/>
      <c r="BU149" s="342" t="s">
        <v>210</v>
      </c>
      <c r="BV149" s="342" t="s">
        <v>210</v>
      </c>
      <c r="BW149" s="341" t="s">
        <v>15</v>
      </c>
      <c r="BX149" s="361"/>
      <c r="BY149" s="362"/>
      <c r="BZ149" s="363"/>
      <c r="CA149" s="363"/>
      <c r="CB149" s="363"/>
      <c r="CC149" s="363"/>
      <c r="CD149" s="293"/>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row>
    <row r="150" spans="2:220" s="287" customFormat="1" ht="22.5" customHeight="1">
      <c r="B150" s="365">
        <v>230109</v>
      </c>
      <c r="C150" s="651" t="s">
        <v>610</v>
      </c>
      <c r="D150" s="403"/>
      <c r="E150" s="404"/>
      <c r="F150" s="405" t="s">
        <v>53</v>
      </c>
      <c r="G150" s="324" t="s">
        <v>2552</v>
      </c>
      <c r="H150" s="324" t="s">
        <v>2553</v>
      </c>
      <c r="I150" s="326" t="s">
        <v>11</v>
      </c>
      <c r="J150" s="326" t="s">
        <v>12</v>
      </c>
      <c r="K150" s="326" t="s">
        <v>23</v>
      </c>
      <c r="L150" s="323"/>
      <c r="M150" s="374"/>
      <c r="N150" s="325" t="s">
        <v>612</v>
      </c>
      <c r="O150" s="326" t="s">
        <v>15</v>
      </c>
      <c r="P150" s="327">
        <v>141</v>
      </c>
      <c r="Q150" s="369">
        <v>141</v>
      </c>
      <c r="R150" s="334" t="s">
        <v>611</v>
      </c>
      <c r="S150" s="649" t="s">
        <v>14836</v>
      </c>
      <c r="T150" s="649" t="s">
        <v>14837</v>
      </c>
      <c r="U150" s="649" t="s">
        <v>16216</v>
      </c>
      <c r="V150" s="649" t="s">
        <v>14838</v>
      </c>
      <c r="W150" s="332" t="s">
        <v>14816</v>
      </c>
      <c r="X150" s="331" t="s">
        <v>14817</v>
      </c>
      <c r="Y150" s="331" t="s">
        <v>14818</v>
      </c>
      <c r="Z150" s="331" t="s">
        <v>14819</v>
      </c>
      <c r="AA150" s="331" t="s">
        <v>14839</v>
      </c>
      <c r="AB150" s="333"/>
      <c r="AC150" s="333"/>
      <c r="AD150" s="334" t="s">
        <v>168</v>
      </c>
      <c r="AE150" s="335" t="s">
        <v>15</v>
      </c>
      <c r="AF150" s="336"/>
      <c r="AG150" s="337"/>
      <c r="AH150" s="417" t="s">
        <v>15</v>
      </c>
      <c r="AI150" s="392" t="s">
        <v>15</v>
      </c>
      <c r="AJ150" s="392" t="s">
        <v>15</v>
      </c>
      <c r="AK150" s="340" t="s">
        <v>15</v>
      </c>
      <c r="AL150" s="321" t="s">
        <v>210</v>
      </c>
      <c r="AM150" s="326" t="s">
        <v>15</v>
      </c>
      <c r="AN150" s="326" t="s">
        <v>15</v>
      </c>
      <c r="AO150" s="341" t="s">
        <v>15</v>
      </c>
      <c r="AP150" s="342"/>
      <c r="AQ150" s="343"/>
      <c r="AR150" s="370">
        <v>172</v>
      </c>
      <c r="AS150" s="326">
        <v>100</v>
      </c>
      <c r="AT150" s="392">
        <v>0.8</v>
      </c>
      <c r="AU150" s="392"/>
      <c r="AV150" s="392">
        <v>1.4</v>
      </c>
      <c r="AW150" s="340"/>
      <c r="AX150" s="347"/>
      <c r="AY150" s="348"/>
      <c r="AZ150" s="407"/>
      <c r="BA150" s="408"/>
      <c r="BB150" s="408"/>
      <c r="BC150" s="408"/>
      <c r="BD150" s="408"/>
      <c r="BE150" s="408"/>
      <c r="BF150" s="408"/>
      <c r="BG150" s="408"/>
      <c r="BH150" s="409"/>
      <c r="BI150" s="410"/>
      <c r="BJ150" s="411"/>
      <c r="BK150" s="412"/>
      <c r="BL150" s="413"/>
      <c r="BM150" s="414"/>
      <c r="BN150" s="321" t="s">
        <v>14</v>
      </c>
      <c r="BO150" s="372"/>
      <c r="BP150" s="373" t="s">
        <v>15</v>
      </c>
      <c r="BQ150" s="360"/>
      <c r="BR150" s="361"/>
      <c r="BS150" s="361"/>
      <c r="BT150" s="361"/>
      <c r="BU150" s="342" t="s">
        <v>210</v>
      </c>
      <c r="BV150" s="342" t="s">
        <v>210</v>
      </c>
      <c r="BW150" s="341" t="s">
        <v>15</v>
      </c>
      <c r="BX150" s="361"/>
      <c r="BY150" s="362"/>
      <c r="BZ150" s="363"/>
      <c r="CA150" s="363"/>
      <c r="CB150" s="363"/>
      <c r="CC150" s="363"/>
      <c r="CD150" s="293"/>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row>
    <row r="151" spans="2:220" s="287" customFormat="1" ht="22.5" customHeight="1">
      <c r="B151" s="365">
        <v>230110</v>
      </c>
      <c r="C151" s="366" t="s">
        <v>166</v>
      </c>
      <c r="D151" s="367"/>
      <c r="E151" s="368"/>
      <c r="F151" s="321" t="s">
        <v>53</v>
      </c>
      <c r="G151" s="326" t="s">
        <v>2550</v>
      </c>
      <c r="H151" s="326" t="s">
        <v>2551</v>
      </c>
      <c r="I151" s="326" t="s">
        <v>11</v>
      </c>
      <c r="J151" s="326" t="s">
        <v>12</v>
      </c>
      <c r="K151" s="326" t="s">
        <v>10</v>
      </c>
      <c r="L151" s="323"/>
      <c r="M151" s="374"/>
      <c r="N151" s="325" t="s">
        <v>612</v>
      </c>
      <c r="O151" s="326" t="s">
        <v>15</v>
      </c>
      <c r="P151" s="327">
        <v>162</v>
      </c>
      <c r="Q151" s="369">
        <v>162</v>
      </c>
      <c r="R151" s="329" t="s">
        <v>14731</v>
      </c>
      <c r="S151" s="331" t="s">
        <v>14732</v>
      </c>
      <c r="T151" s="331" t="s">
        <v>14733</v>
      </c>
      <c r="U151" s="331" t="s">
        <v>16214</v>
      </c>
      <c r="V151" s="331" t="s">
        <v>14734</v>
      </c>
      <c r="W151" s="332" t="s">
        <v>14735</v>
      </c>
      <c r="X151" s="331" t="s">
        <v>14736</v>
      </c>
      <c r="Y151" s="331" t="s">
        <v>14840</v>
      </c>
      <c r="Z151" s="330"/>
      <c r="AA151" s="331" t="s">
        <v>14738</v>
      </c>
      <c r="AB151" s="332"/>
      <c r="AC151" s="333"/>
      <c r="AD151" s="334" t="s">
        <v>86</v>
      </c>
      <c r="AE151" s="335" t="s">
        <v>15</v>
      </c>
      <c r="AF151" s="336"/>
      <c r="AG151" s="337"/>
      <c r="AH151" s="417" t="s">
        <v>15</v>
      </c>
      <c r="AI151" s="392" t="s">
        <v>15</v>
      </c>
      <c r="AJ151" s="392" t="s">
        <v>15</v>
      </c>
      <c r="AK151" s="340" t="s">
        <v>15</v>
      </c>
      <c r="AL151" s="321" t="s">
        <v>210</v>
      </c>
      <c r="AM151" s="326" t="s">
        <v>15</v>
      </c>
      <c r="AN151" s="326" t="s">
        <v>15</v>
      </c>
      <c r="AO151" s="341" t="s">
        <v>15</v>
      </c>
      <c r="AP151" s="342"/>
      <c r="AQ151" s="343"/>
      <c r="AR151" s="370">
        <v>166</v>
      </c>
      <c r="AS151" s="326">
        <v>80</v>
      </c>
      <c r="AT151" s="392">
        <v>0.7</v>
      </c>
      <c r="AU151" s="392"/>
      <c r="AV151" s="392">
        <v>0.6</v>
      </c>
      <c r="AW151" s="340"/>
      <c r="AX151" s="347"/>
      <c r="AY151" s="348"/>
      <c r="AZ151" s="377"/>
      <c r="BA151" s="374"/>
      <c r="BB151" s="374"/>
      <c r="BC151" s="374"/>
      <c r="BD151" s="374"/>
      <c r="BE151" s="374"/>
      <c r="BF151" s="374"/>
      <c r="BG151" s="374"/>
      <c r="BH151" s="378"/>
      <c r="BI151" s="376"/>
      <c r="BJ151" s="379"/>
      <c r="BK151" s="380"/>
      <c r="BL151" s="348"/>
      <c r="BM151" s="381"/>
      <c r="BN151" s="321" t="s">
        <v>15</v>
      </c>
      <c r="BO151" s="372"/>
      <c r="BP151" s="373" t="s">
        <v>15</v>
      </c>
      <c r="BQ151" s="360"/>
      <c r="BR151" s="361"/>
      <c r="BS151" s="361"/>
      <c r="BT151" s="361"/>
      <c r="BU151" s="342" t="s">
        <v>210</v>
      </c>
      <c r="BV151" s="342" t="s">
        <v>210</v>
      </c>
      <c r="BW151" s="341" t="s">
        <v>15</v>
      </c>
      <c r="BX151" s="361"/>
      <c r="BY151" s="362"/>
      <c r="BZ151" s="363"/>
      <c r="CA151" s="363"/>
      <c r="CB151" s="363"/>
      <c r="CC151" s="363"/>
      <c r="CD151" s="293"/>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row>
    <row r="152" spans="2:220" s="287" customFormat="1" ht="22.5" customHeight="1">
      <c r="B152" s="365">
        <v>230112</v>
      </c>
      <c r="C152" s="366" t="s">
        <v>14702</v>
      </c>
      <c r="D152" s="367"/>
      <c r="E152" s="368"/>
      <c r="F152" s="321" t="s">
        <v>212</v>
      </c>
      <c r="G152" s="326" t="s">
        <v>1971</v>
      </c>
      <c r="H152" s="326" t="s">
        <v>2465</v>
      </c>
      <c r="I152" s="326" t="s">
        <v>11</v>
      </c>
      <c r="J152" s="326" t="s">
        <v>12</v>
      </c>
      <c r="K152" s="326" t="s">
        <v>293</v>
      </c>
      <c r="L152" s="323"/>
      <c r="M152" s="374"/>
      <c r="N152" s="325" t="s">
        <v>659</v>
      </c>
      <c r="O152" s="326">
        <v>99</v>
      </c>
      <c r="P152" s="327">
        <v>1883.96</v>
      </c>
      <c r="Q152" s="369">
        <v>1956.06</v>
      </c>
      <c r="R152" s="329" t="s">
        <v>14704</v>
      </c>
      <c r="S152" s="331" t="s">
        <v>14707</v>
      </c>
      <c r="T152" s="331" t="s">
        <v>14708</v>
      </c>
      <c r="U152" s="331" t="s">
        <v>16448</v>
      </c>
      <c r="V152" s="331" t="s">
        <v>14709</v>
      </c>
      <c r="W152" s="332" t="s">
        <v>432</v>
      </c>
      <c r="X152" s="331" t="s">
        <v>11079</v>
      </c>
      <c r="Y152" s="331" t="s">
        <v>11080</v>
      </c>
      <c r="Z152" s="331" t="s">
        <v>11080</v>
      </c>
      <c r="AA152" s="331" t="s">
        <v>210</v>
      </c>
      <c r="AB152" s="415" t="s">
        <v>14703</v>
      </c>
      <c r="AC152" s="416"/>
      <c r="AD152" s="375"/>
      <c r="AE152" s="335" t="s">
        <v>15</v>
      </c>
      <c r="AF152" s="336"/>
      <c r="AG152" s="337"/>
      <c r="AH152" s="417">
        <v>11.95</v>
      </c>
      <c r="AI152" s="392">
        <v>17.32</v>
      </c>
      <c r="AJ152" s="392">
        <v>16.440000000000001</v>
      </c>
      <c r="AK152" s="340">
        <f>SUM(AH152:AJ152)</f>
        <v>45.71</v>
      </c>
      <c r="AL152" s="321" t="s">
        <v>210</v>
      </c>
      <c r="AM152" s="392" t="s">
        <v>15</v>
      </c>
      <c r="AN152" s="392" t="s">
        <v>15</v>
      </c>
      <c r="AO152" s="341" t="s">
        <v>15</v>
      </c>
      <c r="AP152" s="342"/>
      <c r="AQ152" s="343"/>
      <c r="AR152" s="370">
        <v>2292</v>
      </c>
      <c r="AS152" s="326">
        <v>80</v>
      </c>
      <c r="AT152" s="392">
        <v>1</v>
      </c>
      <c r="AU152" s="392"/>
      <c r="AV152" s="392">
        <v>1.5</v>
      </c>
      <c r="AW152" s="340"/>
      <c r="AX152" s="347"/>
      <c r="AY152" s="348"/>
      <c r="AZ152" s="377"/>
      <c r="BA152" s="374"/>
      <c r="BB152" s="374"/>
      <c r="BC152" s="374"/>
      <c r="BD152" s="374"/>
      <c r="BE152" s="374"/>
      <c r="BF152" s="374"/>
      <c r="BG152" s="374"/>
      <c r="BH152" s="378"/>
      <c r="BI152" s="376"/>
      <c r="BJ152" s="379"/>
      <c r="BK152" s="380"/>
      <c r="BL152" s="348"/>
      <c r="BM152" s="381"/>
      <c r="BN152" s="321" t="s">
        <v>983</v>
      </c>
      <c r="BO152" s="372"/>
      <c r="BP152" s="373" t="s">
        <v>983</v>
      </c>
      <c r="BQ152" s="360"/>
      <c r="BR152" s="361"/>
      <c r="BS152" s="361"/>
      <c r="BT152" s="361"/>
      <c r="BU152" s="342" t="s">
        <v>210</v>
      </c>
      <c r="BV152" s="342" t="s">
        <v>210</v>
      </c>
      <c r="BW152" s="341" t="s">
        <v>15</v>
      </c>
      <c r="BX152" s="361"/>
      <c r="BY152" s="362"/>
      <c r="BZ152" s="363"/>
      <c r="CA152" s="363"/>
      <c r="CB152" s="363"/>
      <c r="CC152" s="363"/>
      <c r="CD152" s="293"/>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row>
    <row r="153" spans="2:220" s="287" customFormat="1" ht="22.5" customHeight="1">
      <c r="B153" s="365">
        <v>230113</v>
      </c>
      <c r="C153" s="366" t="s">
        <v>14701</v>
      </c>
      <c r="D153" s="367"/>
      <c r="E153" s="368"/>
      <c r="F153" s="321" t="s">
        <v>171</v>
      </c>
      <c r="G153" s="326" t="s">
        <v>2548</v>
      </c>
      <c r="H153" s="326" t="s">
        <v>2549</v>
      </c>
      <c r="I153" s="326" t="s">
        <v>11</v>
      </c>
      <c r="J153" s="326" t="s">
        <v>12</v>
      </c>
      <c r="K153" s="326" t="s">
        <v>23</v>
      </c>
      <c r="L153" s="323"/>
      <c r="M153" s="374"/>
      <c r="N153" s="325" t="s">
        <v>613</v>
      </c>
      <c r="O153" s="326" t="s">
        <v>15</v>
      </c>
      <c r="P153" s="327">
        <v>2414.91</v>
      </c>
      <c r="Q153" s="369">
        <v>2433.44</v>
      </c>
      <c r="R153" s="329" t="s">
        <v>616</v>
      </c>
      <c r="S153" s="330"/>
      <c r="T153" s="330"/>
      <c r="U153" s="330"/>
      <c r="V153" s="330"/>
      <c r="W153" s="332" t="s">
        <v>751</v>
      </c>
      <c r="X153" s="331" t="s">
        <v>12582</v>
      </c>
      <c r="Y153" s="331" t="s">
        <v>12584</v>
      </c>
      <c r="Z153" s="331" t="s">
        <v>12267</v>
      </c>
      <c r="AA153" s="331" t="s">
        <v>12585</v>
      </c>
      <c r="AB153" s="333"/>
      <c r="AC153" s="333"/>
      <c r="AD153" s="334" t="s">
        <v>872</v>
      </c>
      <c r="AE153" s="335" t="s">
        <v>16</v>
      </c>
      <c r="AF153" s="336"/>
      <c r="AG153" s="337"/>
      <c r="AH153" s="417" t="s">
        <v>15</v>
      </c>
      <c r="AI153" s="392" t="s">
        <v>15</v>
      </c>
      <c r="AJ153" s="392" t="s">
        <v>15</v>
      </c>
      <c r="AK153" s="340" t="s">
        <v>15</v>
      </c>
      <c r="AL153" s="321" t="s">
        <v>210</v>
      </c>
      <c r="AM153" s="392" t="s">
        <v>15</v>
      </c>
      <c r="AN153" s="392" t="s">
        <v>15</v>
      </c>
      <c r="AO153" s="341" t="s">
        <v>15</v>
      </c>
      <c r="AP153" s="342"/>
      <c r="AQ153" s="343"/>
      <c r="AR153" s="370">
        <v>2809</v>
      </c>
      <c r="AS153" s="326">
        <v>100</v>
      </c>
      <c r="AT153" s="392">
        <v>1</v>
      </c>
      <c r="AU153" s="392"/>
      <c r="AV153" s="392">
        <v>1.5</v>
      </c>
      <c r="AW153" s="340"/>
      <c r="AX153" s="347"/>
      <c r="AY153" s="348"/>
      <c r="AZ153" s="377"/>
      <c r="BA153" s="374"/>
      <c r="BB153" s="374"/>
      <c r="BC153" s="374"/>
      <c r="BD153" s="374"/>
      <c r="BE153" s="374"/>
      <c r="BF153" s="374"/>
      <c r="BG153" s="374"/>
      <c r="BH153" s="378"/>
      <c r="BI153" s="376"/>
      <c r="BJ153" s="379"/>
      <c r="BK153" s="380"/>
      <c r="BL153" s="348"/>
      <c r="BM153" s="381"/>
      <c r="BN153" s="321" t="s">
        <v>14</v>
      </c>
      <c r="BO153" s="372"/>
      <c r="BP153" s="373" t="s">
        <v>14</v>
      </c>
      <c r="BQ153" s="360"/>
      <c r="BR153" s="361"/>
      <c r="BS153" s="361"/>
      <c r="BT153" s="361"/>
      <c r="BU153" s="342" t="s">
        <v>210</v>
      </c>
      <c r="BV153" s="342" t="s">
        <v>210</v>
      </c>
      <c r="BW153" s="341" t="s">
        <v>15</v>
      </c>
      <c r="BX153" s="361"/>
      <c r="BY153" s="362"/>
      <c r="BZ153" s="363"/>
      <c r="CA153" s="363"/>
      <c r="CB153" s="363"/>
      <c r="CC153" s="363"/>
      <c r="CD153" s="293"/>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row>
    <row r="154" spans="2:220" s="287" customFormat="1" ht="22.5" customHeight="1">
      <c r="B154" s="365">
        <v>230115</v>
      </c>
      <c r="C154" s="366" t="s">
        <v>14692</v>
      </c>
      <c r="D154" s="367"/>
      <c r="E154" s="368"/>
      <c r="F154" s="321" t="s">
        <v>80</v>
      </c>
      <c r="G154" s="326" t="s">
        <v>2546</v>
      </c>
      <c r="H154" s="326" t="s">
        <v>2547</v>
      </c>
      <c r="I154" s="326" t="s">
        <v>11</v>
      </c>
      <c r="J154" s="326" t="s">
        <v>12</v>
      </c>
      <c r="K154" s="326" t="s">
        <v>10</v>
      </c>
      <c r="L154" s="323"/>
      <c r="M154" s="374"/>
      <c r="N154" s="325" t="s">
        <v>613</v>
      </c>
      <c r="O154" s="326" t="s">
        <v>15</v>
      </c>
      <c r="P154" s="392" t="s">
        <v>15</v>
      </c>
      <c r="Q154" s="340" t="s">
        <v>15</v>
      </c>
      <c r="R154" s="329" t="s">
        <v>496</v>
      </c>
      <c r="S154" s="331" t="s">
        <v>14693</v>
      </c>
      <c r="T154" s="331" t="s">
        <v>14679</v>
      </c>
      <c r="U154" s="331" t="s">
        <v>14694</v>
      </c>
      <c r="V154" s="331" t="s">
        <v>14695</v>
      </c>
      <c r="W154" s="332" t="s">
        <v>14697</v>
      </c>
      <c r="X154" s="331" t="s">
        <v>14696</v>
      </c>
      <c r="Y154" s="331" t="s">
        <v>14699</v>
      </c>
      <c r="Z154" s="331" t="s">
        <v>14698</v>
      </c>
      <c r="AA154" s="331" t="s">
        <v>14700</v>
      </c>
      <c r="AB154" s="333"/>
      <c r="AC154" s="333"/>
      <c r="AD154" s="334" t="s">
        <v>170</v>
      </c>
      <c r="AE154" s="335" t="s">
        <v>34</v>
      </c>
      <c r="AF154" s="336"/>
      <c r="AG154" s="337"/>
      <c r="AH154" s="417" t="s">
        <v>15</v>
      </c>
      <c r="AI154" s="392" t="s">
        <v>15</v>
      </c>
      <c r="AJ154" s="392" t="s">
        <v>15</v>
      </c>
      <c r="AK154" s="340" t="s">
        <v>15</v>
      </c>
      <c r="AL154" s="321" t="s">
        <v>210</v>
      </c>
      <c r="AM154" s="392" t="s">
        <v>15</v>
      </c>
      <c r="AN154" s="392" t="s">
        <v>15</v>
      </c>
      <c r="AO154" s="341" t="s">
        <v>15</v>
      </c>
      <c r="AP154" s="342"/>
      <c r="AQ154" s="343"/>
      <c r="AR154" s="370">
        <v>1661</v>
      </c>
      <c r="AS154" s="326">
        <v>100</v>
      </c>
      <c r="AT154" s="392">
        <v>0.8</v>
      </c>
      <c r="AU154" s="392"/>
      <c r="AV154" s="392">
        <v>1.4</v>
      </c>
      <c r="AW154" s="340"/>
      <c r="AX154" s="347"/>
      <c r="AY154" s="348"/>
      <c r="AZ154" s="377"/>
      <c r="BA154" s="374"/>
      <c r="BB154" s="374"/>
      <c r="BC154" s="374"/>
      <c r="BD154" s="374"/>
      <c r="BE154" s="374"/>
      <c r="BF154" s="374"/>
      <c r="BG154" s="374"/>
      <c r="BH154" s="378"/>
      <c r="BI154" s="376"/>
      <c r="BJ154" s="379"/>
      <c r="BK154" s="380"/>
      <c r="BL154" s="348"/>
      <c r="BM154" s="381"/>
      <c r="BN154" s="321" t="s">
        <v>14</v>
      </c>
      <c r="BO154" s="372"/>
      <c r="BP154" s="373" t="s">
        <v>14</v>
      </c>
      <c r="BQ154" s="360"/>
      <c r="BR154" s="361"/>
      <c r="BS154" s="361"/>
      <c r="BT154" s="361"/>
      <c r="BU154" s="342" t="s">
        <v>210</v>
      </c>
      <c r="BV154" s="342" t="s">
        <v>210</v>
      </c>
      <c r="BW154" s="341" t="s">
        <v>15</v>
      </c>
      <c r="BX154" s="361"/>
      <c r="BY154" s="362"/>
      <c r="BZ154" s="363"/>
      <c r="CA154" s="363"/>
      <c r="CB154" s="363"/>
      <c r="CC154" s="363"/>
      <c r="CD154" s="293"/>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row>
    <row r="155" spans="2:220" s="287" customFormat="1" ht="22.5" customHeight="1">
      <c r="B155" s="365">
        <v>230116</v>
      </c>
      <c r="C155" s="366" t="s">
        <v>14101</v>
      </c>
      <c r="D155" s="367"/>
      <c r="E155" s="368"/>
      <c r="F155" s="321" t="s">
        <v>83</v>
      </c>
      <c r="G155" s="326" t="s">
        <v>2544</v>
      </c>
      <c r="H155" s="326" t="s">
        <v>2545</v>
      </c>
      <c r="I155" s="326" t="s">
        <v>11</v>
      </c>
      <c r="J155" s="326" t="s">
        <v>12</v>
      </c>
      <c r="K155" s="326" t="s">
        <v>10</v>
      </c>
      <c r="L155" s="323"/>
      <c r="M155" s="374"/>
      <c r="N155" s="325" t="s">
        <v>613</v>
      </c>
      <c r="O155" s="326">
        <v>30</v>
      </c>
      <c r="P155" s="392" t="s">
        <v>15</v>
      </c>
      <c r="Q155" s="340" t="s">
        <v>15</v>
      </c>
      <c r="R155" s="329" t="s">
        <v>615</v>
      </c>
      <c r="S155" s="331" t="s">
        <v>12965</v>
      </c>
      <c r="T155" s="394" t="s">
        <v>11205</v>
      </c>
      <c r="U155" s="394" t="s">
        <v>11207</v>
      </c>
      <c r="V155" s="331" t="s">
        <v>12966</v>
      </c>
      <c r="W155" s="332" t="s">
        <v>432</v>
      </c>
      <c r="X155" s="331" t="s">
        <v>11079</v>
      </c>
      <c r="Y155" s="331" t="s">
        <v>11080</v>
      </c>
      <c r="Z155" s="331" t="s">
        <v>11080</v>
      </c>
      <c r="AA155" s="331" t="s">
        <v>210</v>
      </c>
      <c r="AB155" s="333"/>
      <c r="AC155" s="333"/>
      <c r="AD155" s="334" t="s">
        <v>2325</v>
      </c>
      <c r="AE155" s="335" t="s">
        <v>83</v>
      </c>
      <c r="AF155" s="336"/>
      <c r="AG155" s="337"/>
      <c r="AH155" s="376"/>
      <c r="AI155" s="347"/>
      <c r="AJ155" s="347"/>
      <c r="AK155" s="371"/>
      <c r="AL155" s="321" t="s">
        <v>210</v>
      </c>
      <c r="AM155" s="392" t="s">
        <v>15</v>
      </c>
      <c r="AN155" s="392" t="s">
        <v>15</v>
      </c>
      <c r="AO155" s="341" t="s">
        <v>15</v>
      </c>
      <c r="AP155" s="342"/>
      <c r="AQ155" s="343"/>
      <c r="AR155" s="370">
        <v>2677</v>
      </c>
      <c r="AS155" s="326">
        <v>100</v>
      </c>
      <c r="AT155" s="392">
        <v>0.8</v>
      </c>
      <c r="AU155" s="392"/>
      <c r="AV155" s="392">
        <v>0.8</v>
      </c>
      <c r="AW155" s="340"/>
      <c r="AX155" s="347"/>
      <c r="AY155" s="348"/>
      <c r="AZ155" s="377"/>
      <c r="BA155" s="374"/>
      <c r="BB155" s="374"/>
      <c r="BC155" s="374"/>
      <c r="BD155" s="374"/>
      <c r="BE155" s="374"/>
      <c r="BF155" s="374"/>
      <c r="BG155" s="374"/>
      <c r="BH155" s="378"/>
      <c r="BI155" s="376"/>
      <c r="BJ155" s="379"/>
      <c r="BK155" s="380"/>
      <c r="BL155" s="348"/>
      <c r="BM155" s="381"/>
      <c r="BN155" s="321" t="s">
        <v>15</v>
      </c>
      <c r="BO155" s="372"/>
      <c r="BP155" s="373" t="s">
        <v>15</v>
      </c>
      <c r="BQ155" s="360"/>
      <c r="BR155" s="361"/>
      <c r="BS155" s="361"/>
      <c r="BT155" s="361"/>
      <c r="BU155" s="342" t="s">
        <v>210</v>
      </c>
      <c r="BV155" s="342" t="s">
        <v>210</v>
      </c>
      <c r="BW155" s="341" t="s">
        <v>15</v>
      </c>
      <c r="BX155" s="361"/>
      <c r="BY155" s="362"/>
      <c r="BZ155" s="363"/>
      <c r="CA155" s="363"/>
      <c r="CB155" s="363"/>
      <c r="CC155" s="363"/>
      <c r="CD155" s="293"/>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row>
    <row r="156" spans="2:220" s="287" customFormat="1" ht="22.5" customHeight="1">
      <c r="B156" s="365">
        <v>230117</v>
      </c>
      <c r="C156" s="366" t="s">
        <v>14100</v>
      </c>
      <c r="D156" s="367"/>
      <c r="E156" s="368"/>
      <c r="F156" s="321" t="s">
        <v>83</v>
      </c>
      <c r="G156" s="326" t="s">
        <v>2542</v>
      </c>
      <c r="H156" s="326" t="s">
        <v>2543</v>
      </c>
      <c r="I156" s="326" t="s">
        <v>11</v>
      </c>
      <c r="J156" s="326" t="s">
        <v>12</v>
      </c>
      <c r="K156" s="326" t="s">
        <v>10</v>
      </c>
      <c r="L156" s="323"/>
      <c r="M156" s="324" t="s">
        <v>10767</v>
      </c>
      <c r="N156" s="325" t="s">
        <v>612</v>
      </c>
      <c r="O156" s="326">
        <v>45</v>
      </c>
      <c r="P156" s="327">
        <v>1005</v>
      </c>
      <c r="Q156" s="369">
        <v>1064</v>
      </c>
      <c r="R156" s="329" t="s">
        <v>615</v>
      </c>
      <c r="S156" s="394" t="s">
        <v>11204</v>
      </c>
      <c r="T156" s="394" t="s">
        <v>11205</v>
      </c>
      <c r="U156" s="394" t="s">
        <v>11207</v>
      </c>
      <c r="V156" s="394" t="s">
        <v>11206</v>
      </c>
      <c r="W156" s="332" t="s">
        <v>432</v>
      </c>
      <c r="X156" s="331" t="s">
        <v>11079</v>
      </c>
      <c r="Y156" s="331" t="s">
        <v>11080</v>
      </c>
      <c r="Z156" s="331" t="s">
        <v>11080</v>
      </c>
      <c r="AA156" s="331" t="s">
        <v>210</v>
      </c>
      <c r="AB156" s="333"/>
      <c r="AC156" s="333"/>
      <c r="AD156" s="396" t="s">
        <v>2320</v>
      </c>
      <c r="AE156" s="335" t="s">
        <v>15</v>
      </c>
      <c r="AF156" s="336"/>
      <c r="AG156" s="337"/>
      <c r="AH156" s="417">
        <v>6.5</v>
      </c>
      <c r="AI156" s="392">
        <v>19.8</v>
      </c>
      <c r="AJ156" s="392">
        <v>12.4</v>
      </c>
      <c r="AK156" s="340">
        <f>SUBTOTAL(9,AH156:AJ156)</f>
        <v>38.700000000000003</v>
      </c>
      <c r="AL156" s="321" t="s">
        <v>210</v>
      </c>
      <c r="AM156" s="392" t="s">
        <v>15</v>
      </c>
      <c r="AN156" s="392" t="s">
        <v>15</v>
      </c>
      <c r="AO156" s="341" t="s">
        <v>15</v>
      </c>
      <c r="AP156" s="342"/>
      <c r="AQ156" s="343"/>
      <c r="AR156" s="370">
        <v>1282</v>
      </c>
      <c r="AS156" s="326">
        <v>100</v>
      </c>
      <c r="AT156" s="392">
        <v>0.8</v>
      </c>
      <c r="AU156" s="392"/>
      <c r="AV156" s="392">
        <v>0.8</v>
      </c>
      <c r="AW156" s="340"/>
      <c r="AX156" s="347"/>
      <c r="AY156" s="348"/>
      <c r="AZ156" s="377"/>
      <c r="BA156" s="374"/>
      <c r="BB156" s="374"/>
      <c r="BC156" s="374"/>
      <c r="BD156" s="374"/>
      <c r="BE156" s="374"/>
      <c r="BF156" s="374"/>
      <c r="BG156" s="374"/>
      <c r="BH156" s="378"/>
      <c r="BI156" s="376"/>
      <c r="BJ156" s="379"/>
      <c r="BK156" s="380"/>
      <c r="BL156" s="348"/>
      <c r="BM156" s="381"/>
      <c r="BN156" s="321" t="s">
        <v>14</v>
      </c>
      <c r="BO156" s="372"/>
      <c r="BP156" s="373" t="s">
        <v>15</v>
      </c>
      <c r="BQ156" s="360"/>
      <c r="BR156" s="361"/>
      <c r="BS156" s="361"/>
      <c r="BT156" s="361"/>
      <c r="BU156" s="342" t="s">
        <v>210</v>
      </c>
      <c r="BV156" s="342" t="s">
        <v>210</v>
      </c>
      <c r="BW156" s="341" t="s">
        <v>15</v>
      </c>
      <c r="BX156" s="361"/>
      <c r="BY156" s="362"/>
      <c r="BZ156" s="363"/>
      <c r="CA156" s="363"/>
      <c r="CB156" s="363"/>
      <c r="CC156" s="363"/>
      <c r="CD156" s="293"/>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row>
    <row r="157" spans="2:220" s="287" customFormat="1" ht="22.5" customHeight="1">
      <c r="B157" s="365">
        <v>230118</v>
      </c>
      <c r="C157" s="366" t="s">
        <v>182</v>
      </c>
      <c r="D157" s="367"/>
      <c r="E157" s="368"/>
      <c r="F157" s="321" t="s">
        <v>72</v>
      </c>
      <c r="G157" s="326" t="s">
        <v>2463</v>
      </c>
      <c r="H157" s="326" t="s">
        <v>2464</v>
      </c>
      <c r="I157" s="326" t="s">
        <v>130</v>
      </c>
      <c r="J157" s="326" t="s">
        <v>12</v>
      </c>
      <c r="K157" s="653" t="s">
        <v>183</v>
      </c>
      <c r="L157" s="323"/>
      <c r="M157" s="654"/>
      <c r="N157" s="325" t="s">
        <v>659</v>
      </c>
      <c r="O157" s="326" t="s">
        <v>210</v>
      </c>
      <c r="P157" s="327">
        <v>656.8</v>
      </c>
      <c r="Q157" s="369">
        <v>656.8</v>
      </c>
      <c r="R157" s="329" t="s">
        <v>442</v>
      </c>
      <c r="S157" s="331" t="s">
        <v>14612</v>
      </c>
      <c r="T157" s="394" t="s">
        <v>12567</v>
      </c>
      <c r="U157" s="394" t="s">
        <v>16336</v>
      </c>
      <c r="V157" s="331" t="s">
        <v>14613</v>
      </c>
      <c r="W157" s="645"/>
      <c r="X157" s="330"/>
      <c r="Y157" s="330"/>
      <c r="Z157" s="330"/>
      <c r="AA157" s="330"/>
      <c r="AB157" s="333"/>
      <c r="AC157" s="416"/>
      <c r="AD157" s="375"/>
      <c r="AE157" s="335" t="s">
        <v>15</v>
      </c>
      <c r="AF157" s="336"/>
      <c r="AG157" s="337"/>
      <c r="AH157" s="417" t="s">
        <v>435</v>
      </c>
      <c r="AI157" s="392" t="s">
        <v>435</v>
      </c>
      <c r="AJ157" s="392" t="s">
        <v>435</v>
      </c>
      <c r="AK157" s="340" t="s">
        <v>435</v>
      </c>
      <c r="AL157" s="321" t="s">
        <v>210</v>
      </c>
      <c r="AM157" s="392" t="s">
        <v>15</v>
      </c>
      <c r="AN157" s="392" t="s">
        <v>15</v>
      </c>
      <c r="AO157" s="341" t="s">
        <v>15</v>
      </c>
      <c r="AP157" s="342"/>
      <c r="AQ157" s="343"/>
      <c r="AR157" s="370">
        <v>850</v>
      </c>
      <c r="AS157" s="326">
        <v>100</v>
      </c>
      <c r="AT157" s="392" t="s">
        <v>984</v>
      </c>
      <c r="AU157" s="392"/>
      <c r="AV157" s="392" t="s">
        <v>984</v>
      </c>
      <c r="AW157" s="340"/>
      <c r="AX157" s="347"/>
      <c r="AY157" s="348"/>
      <c r="AZ157" s="377"/>
      <c r="BA157" s="374"/>
      <c r="BB157" s="374"/>
      <c r="BC157" s="374"/>
      <c r="BD157" s="374"/>
      <c r="BE157" s="374"/>
      <c r="BF157" s="374"/>
      <c r="BG157" s="374"/>
      <c r="BH157" s="378"/>
      <c r="BI157" s="376"/>
      <c r="BJ157" s="379"/>
      <c r="BK157" s="380"/>
      <c r="BL157" s="348"/>
      <c r="BM157" s="381"/>
      <c r="BN157" s="321" t="s">
        <v>15</v>
      </c>
      <c r="BO157" s="372"/>
      <c r="BP157" s="373" t="s">
        <v>15</v>
      </c>
      <c r="BQ157" s="360"/>
      <c r="BR157" s="361"/>
      <c r="BS157" s="361"/>
      <c r="BT157" s="361"/>
      <c r="BU157" s="342" t="s">
        <v>210</v>
      </c>
      <c r="BV157" s="342" t="s">
        <v>210</v>
      </c>
      <c r="BW157" s="341" t="s">
        <v>15</v>
      </c>
      <c r="BX157" s="361"/>
      <c r="BY157" s="362"/>
      <c r="BZ157" s="363"/>
      <c r="CA157" s="363"/>
      <c r="CB157" s="363"/>
      <c r="CC157" s="363"/>
      <c r="CD157" s="293"/>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row>
    <row r="158" spans="2:220" s="287" customFormat="1" ht="22.5" customHeight="1">
      <c r="B158" s="365">
        <v>230118</v>
      </c>
      <c r="C158" s="366" t="s">
        <v>184</v>
      </c>
      <c r="D158" s="367"/>
      <c r="E158" s="368"/>
      <c r="F158" s="321" t="s">
        <v>72</v>
      </c>
      <c r="G158" s="326" t="s">
        <v>2463</v>
      </c>
      <c r="H158" s="326" t="s">
        <v>2464</v>
      </c>
      <c r="I158" s="326" t="s">
        <v>130</v>
      </c>
      <c r="J158" s="326" t="s">
        <v>12</v>
      </c>
      <c r="K158" s="653" t="s">
        <v>183</v>
      </c>
      <c r="L158" s="323"/>
      <c r="M158" s="654"/>
      <c r="N158" s="325" t="s">
        <v>659</v>
      </c>
      <c r="O158" s="326" t="s">
        <v>210</v>
      </c>
      <c r="P158" s="327">
        <v>2922.5</v>
      </c>
      <c r="Q158" s="369">
        <v>2922.5</v>
      </c>
      <c r="R158" s="329" t="s">
        <v>442</v>
      </c>
      <c r="S158" s="331" t="s">
        <v>14612</v>
      </c>
      <c r="T158" s="394" t="s">
        <v>12567</v>
      </c>
      <c r="U158" s="394" t="s">
        <v>16336</v>
      </c>
      <c r="V158" s="331" t="s">
        <v>14613</v>
      </c>
      <c r="W158" s="645"/>
      <c r="X158" s="330"/>
      <c r="Y158" s="330"/>
      <c r="Z158" s="330"/>
      <c r="AA158" s="330"/>
      <c r="AB158" s="333"/>
      <c r="AC158" s="333"/>
      <c r="AD158" s="334" t="s">
        <v>2326</v>
      </c>
      <c r="AE158" s="335" t="s">
        <v>15</v>
      </c>
      <c r="AF158" s="336"/>
      <c r="AG158" s="337"/>
      <c r="AH158" s="417" t="s">
        <v>435</v>
      </c>
      <c r="AI158" s="392" t="s">
        <v>435</v>
      </c>
      <c r="AJ158" s="392" t="s">
        <v>435</v>
      </c>
      <c r="AK158" s="340" t="s">
        <v>435</v>
      </c>
      <c r="AL158" s="321" t="s">
        <v>210</v>
      </c>
      <c r="AM158" s="392" t="s">
        <v>15</v>
      </c>
      <c r="AN158" s="392" t="s">
        <v>15</v>
      </c>
      <c r="AO158" s="341" t="s">
        <v>15</v>
      </c>
      <c r="AP158" s="342"/>
      <c r="AQ158" s="343"/>
      <c r="AR158" s="370">
        <v>3367</v>
      </c>
      <c r="AS158" s="326">
        <v>80</v>
      </c>
      <c r="AT158" s="392" t="s">
        <v>984</v>
      </c>
      <c r="AU158" s="392"/>
      <c r="AV158" s="392" t="s">
        <v>984</v>
      </c>
      <c r="AW158" s="340"/>
      <c r="AX158" s="347"/>
      <c r="AY158" s="348"/>
      <c r="AZ158" s="377"/>
      <c r="BA158" s="374"/>
      <c r="BB158" s="374"/>
      <c r="BC158" s="374"/>
      <c r="BD158" s="374"/>
      <c r="BE158" s="374"/>
      <c r="BF158" s="374"/>
      <c r="BG158" s="374"/>
      <c r="BH158" s="378"/>
      <c r="BI158" s="376"/>
      <c r="BJ158" s="379"/>
      <c r="BK158" s="380"/>
      <c r="BL158" s="348"/>
      <c r="BM158" s="381"/>
      <c r="BN158" s="321" t="s">
        <v>15</v>
      </c>
      <c r="BO158" s="372"/>
      <c r="BP158" s="373" t="s">
        <v>15</v>
      </c>
      <c r="BQ158" s="360"/>
      <c r="BR158" s="361"/>
      <c r="BS158" s="361"/>
      <c r="BT158" s="361"/>
      <c r="BU158" s="342" t="s">
        <v>210</v>
      </c>
      <c r="BV158" s="342" t="s">
        <v>210</v>
      </c>
      <c r="BW158" s="341" t="s">
        <v>15</v>
      </c>
      <c r="BX158" s="361"/>
      <c r="BY158" s="362"/>
      <c r="BZ158" s="363"/>
      <c r="CA158" s="363"/>
      <c r="CB158" s="363"/>
      <c r="CC158" s="363"/>
      <c r="CD158" s="293"/>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row>
    <row r="159" spans="2:220" s="287" customFormat="1" ht="22.5" customHeight="1">
      <c r="B159" s="365">
        <v>230118</v>
      </c>
      <c r="C159" s="366" t="s">
        <v>14611</v>
      </c>
      <c r="D159" s="367"/>
      <c r="E159" s="368"/>
      <c r="F159" s="321" t="s">
        <v>72</v>
      </c>
      <c r="G159" s="326" t="s">
        <v>2463</v>
      </c>
      <c r="H159" s="326" t="s">
        <v>2464</v>
      </c>
      <c r="I159" s="326" t="s">
        <v>130</v>
      </c>
      <c r="J159" s="326" t="s">
        <v>12</v>
      </c>
      <c r="K159" s="653" t="s">
        <v>183</v>
      </c>
      <c r="L159" s="323"/>
      <c r="M159" s="654"/>
      <c r="N159" s="325" t="s">
        <v>659</v>
      </c>
      <c r="O159" s="326" t="s">
        <v>210</v>
      </c>
      <c r="P159" s="392" t="s">
        <v>15</v>
      </c>
      <c r="Q159" s="340" t="s">
        <v>15</v>
      </c>
      <c r="R159" s="329" t="s">
        <v>442</v>
      </c>
      <c r="S159" s="331" t="s">
        <v>14612</v>
      </c>
      <c r="T159" s="394" t="s">
        <v>12567</v>
      </c>
      <c r="U159" s="394" t="s">
        <v>16336</v>
      </c>
      <c r="V159" s="331" t="s">
        <v>14613</v>
      </c>
      <c r="W159" s="645"/>
      <c r="X159" s="330"/>
      <c r="Y159" s="330"/>
      <c r="Z159" s="330"/>
      <c r="AA159" s="330"/>
      <c r="AB159" s="333"/>
      <c r="AC159" s="416"/>
      <c r="AD159" s="375"/>
      <c r="AE159" s="335" t="s">
        <v>15</v>
      </c>
      <c r="AF159" s="336"/>
      <c r="AG159" s="337"/>
      <c r="AH159" s="417" t="s">
        <v>435</v>
      </c>
      <c r="AI159" s="392" t="s">
        <v>435</v>
      </c>
      <c r="AJ159" s="392" t="s">
        <v>435</v>
      </c>
      <c r="AK159" s="340" t="s">
        <v>435</v>
      </c>
      <c r="AL159" s="321" t="s">
        <v>210</v>
      </c>
      <c r="AM159" s="392" t="s">
        <v>15</v>
      </c>
      <c r="AN159" s="392" t="s">
        <v>15</v>
      </c>
      <c r="AO159" s="341" t="s">
        <v>15</v>
      </c>
      <c r="AP159" s="342"/>
      <c r="AQ159" s="343"/>
      <c r="AR159" s="370">
        <v>1118</v>
      </c>
      <c r="AS159" s="326">
        <v>100</v>
      </c>
      <c r="AT159" s="392">
        <v>0.8</v>
      </c>
      <c r="AU159" s="392"/>
      <c r="AV159" s="392">
        <v>0.8</v>
      </c>
      <c r="AW159" s="340"/>
      <c r="AX159" s="347"/>
      <c r="AY159" s="348"/>
      <c r="AZ159" s="377"/>
      <c r="BA159" s="374"/>
      <c r="BB159" s="374"/>
      <c r="BC159" s="374"/>
      <c r="BD159" s="374"/>
      <c r="BE159" s="374"/>
      <c r="BF159" s="374"/>
      <c r="BG159" s="374"/>
      <c r="BH159" s="378"/>
      <c r="BI159" s="376"/>
      <c r="BJ159" s="379"/>
      <c r="BK159" s="380"/>
      <c r="BL159" s="348"/>
      <c r="BM159" s="381"/>
      <c r="BN159" s="321" t="s">
        <v>15</v>
      </c>
      <c r="BO159" s="372"/>
      <c r="BP159" s="373" t="s">
        <v>15</v>
      </c>
      <c r="BQ159" s="360"/>
      <c r="BR159" s="361"/>
      <c r="BS159" s="361"/>
      <c r="BT159" s="361"/>
      <c r="BU159" s="342" t="s">
        <v>210</v>
      </c>
      <c r="BV159" s="342" t="s">
        <v>210</v>
      </c>
      <c r="BW159" s="341" t="s">
        <v>15</v>
      </c>
      <c r="BX159" s="361"/>
      <c r="BY159" s="362"/>
      <c r="BZ159" s="363"/>
      <c r="CA159" s="363"/>
      <c r="CB159" s="363"/>
      <c r="CC159" s="363"/>
      <c r="CD159" s="293"/>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row>
    <row r="160" spans="2:220" s="287" customFormat="1" ht="22.5" customHeight="1">
      <c r="B160" s="365">
        <v>230119</v>
      </c>
      <c r="C160" s="366" t="s">
        <v>14688</v>
      </c>
      <c r="D160" s="367"/>
      <c r="E160" s="368"/>
      <c r="F160" s="321" t="s">
        <v>53</v>
      </c>
      <c r="G160" s="326" t="s">
        <v>2540</v>
      </c>
      <c r="H160" s="326" t="s">
        <v>2541</v>
      </c>
      <c r="I160" s="326" t="s">
        <v>11</v>
      </c>
      <c r="J160" s="326" t="s">
        <v>21</v>
      </c>
      <c r="K160" s="326" t="s">
        <v>148</v>
      </c>
      <c r="L160" s="323"/>
      <c r="M160" s="374"/>
      <c r="N160" s="325" t="s">
        <v>613</v>
      </c>
      <c r="O160" s="326" t="s">
        <v>15</v>
      </c>
      <c r="P160" s="327">
        <v>6914</v>
      </c>
      <c r="Q160" s="369">
        <v>3576</v>
      </c>
      <c r="R160" s="332" t="s">
        <v>621</v>
      </c>
      <c r="S160" s="394" t="s">
        <v>14689</v>
      </c>
      <c r="T160" s="394" t="s">
        <v>14690</v>
      </c>
      <c r="U160" s="394" t="s">
        <v>16217</v>
      </c>
      <c r="V160" s="394" t="s">
        <v>14691</v>
      </c>
      <c r="W160" s="645"/>
      <c r="X160" s="330"/>
      <c r="Y160" s="330"/>
      <c r="Z160" s="330"/>
      <c r="AA160" s="330"/>
      <c r="AB160" s="333"/>
      <c r="AC160" s="333"/>
      <c r="AD160" s="334" t="s">
        <v>868</v>
      </c>
      <c r="AE160" s="335" t="s">
        <v>16</v>
      </c>
      <c r="AF160" s="336"/>
      <c r="AG160" s="337"/>
      <c r="AH160" s="417" t="s">
        <v>15</v>
      </c>
      <c r="AI160" s="392" t="s">
        <v>15</v>
      </c>
      <c r="AJ160" s="392" t="s">
        <v>15</v>
      </c>
      <c r="AK160" s="340" t="s">
        <v>15</v>
      </c>
      <c r="AL160" s="321" t="s">
        <v>210</v>
      </c>
      <c r="AM160" s="392" t="s">
        <v>15</v>
      </c>
      <c r="AN160" s="392" t="s">
        <v>15</v>
      </c>
      <c r="AO160" s="341" t="s">
        <v>15</v>
      </c>
      <c r="AP160" s="342"/>
      <c r="AQ160" s="343"/>
      <c r="AR160" s="370">
        <v>3981</v>
      </c>
      <c r="AS160" s="326">
        <v>100</v>
      </c>
      <c r="AT160" s="392">
        <v>1</v>
      </c>
      <c r="AU160" s="392"/>
      <c r="AV160" s="392">
        <v>0.7</v>
      </c>
      <c r="AW160" s="340"/>
      <c r="AX160" s="374"/>
      <c r="AY160" s="348"/>
      <c r="AZ160" s="377"/>
      <c r="BA160" s="374"/>
      <c r="BB160" s="374"/>
      <c r="BC160" s="374"/>
      <c r="BD160" s="374"/>
      <c r="BE160" s="374"/>
      <c r="BF160" s="374"/>
      <c r="BG160" s="374"/>
      <c r="BH160" s="378"/>
      <c r="BI160" s="376"/>
      <c r="BJ160" s="379"/>
      <c r="BK160" s="380"/>
      <c r="BL160" s="348"/>
      <c r="BM160" s="381"/>
      <c r="BN160" s="321" t="s">
        <v>14</v>
      </c>
      <c r="BO160" s="372">
        <v>1.02</v>
      </c>
      <c r="BP160" s="373" t="s">
        <v>15</v>
      </c>
      <c r="BQ160" s="360"/>
      <c r="BR160" s="361"/>
      <c r="BS160" s="361"/>
      <c r="BT160" s="361"/>
      <c r="BU160" s="342" t="s">
        <v>210</v>
      </c>
      <c r="BV160" s="342" t="s">
        <v>210</v>
      </c>
      <c r="BW160" s="655" t="s">
        <v>14</v>
      </c>
      <c r="BX160" s="361"/>
      <c r="BY160" s="362"/>
      <c r="BZ160" s="363"/>
      <c r="CA160" s="363"/>
      <c r="CB160" s="363"/>
      <c r="CC160" s="363"/>
      <c r="CD160" s="293"/>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row>
    <row r="161" spans="2:220" s="287" customFormat="1" ht="22.5" customHeight="1">
      <c r="B161" s="365">
        <v>230120</v>
      </c>
      <c r="C161" s="366" t="s">
        <v>14682</v>
      </c>
      <c r="D161" s="367"/>
      <c r="E161" s="368"/>
      <c r="F161" s="321" t="s">
        <v>93</v>
      </c>
      <c r="G161" s="326" t="s">
        <v>2538</v>
      </c>
      <c r="H161" s="326" t="s">
        <v>2539</v>
      </c>
      <c r="I161" s="326" t="s">
        <v>11</v>
      </c>
      <c r="J161" s="326" t="s">
        <v>12</v>
      </c>
      <c r="K161" s="326" t="s">
        <v>23</v>
      </c>
      <c r="L161" s="323"/>
      <c r="M161" s="374"/>
      <c r="N161" s="325" t="s">
        <v>612</v>
      </c>
      <c r="O161" s="392" t="s">
        <v>15</v>
      </c>
      <c r="P161" s="327">
        <v>884</v>
      </c>
      <c r="Q161" s="369">
        <v>884</v>
      </c>
      <c r="R161" s="329" t="s">
        <v>620</v>
      </c>
      <c r="S161" s="330"/>
      <c r="T161" s="330"/>
      <c r="U161" s="330"/>
      <c r="V161" s="330"/>
      <c r="W161" s="332" t="s">
        <v>14684</v>
      </c>
      <c r="X161" s="331" t="s">
        <v>14683</v>
      </c>
      <c r="Y161" s="330"/>
      <c r="Z161" s="330"/>
      <c r="AA161" s="331" t="s">
        <v>14687</v>
      </c>
      <c r="AB161" s="333"/>
      <c r="AC161" s="416"/>
      <c r="AD161" s="375"/>
      <c r="AE161" s="335" t="s">
        <v>15</v>
      </c>
      <c r="AF161" s="336"/>
      <c r="AG161" s="337"/>
      <c r="AH161" s="417" t="s">
        <v>15</v>
      </c>
      <c r="AI161" s="392" t="s">
        <v>15</v>
      </c>
      <c r="AJ161" s="392" t="s">
        <v>15</v>
      </c>
      <c r="AK161" s="340" t="s">
        <v>15</v>
      </c>
      <c r="AL161" s="321" t="s">
        <v>210</v>
      </c>
      <c r="AM161" s="392" t="s">
        <v>15</v>
      </c>
      <c r="AN161" s="392" t="s">
        <v>15</v>
      </c>
      <c r="AO161" s="341" t="s">
        <v>15</v>
      </c>
      <c r="AP161" s="342"/>
      <c r="AQ161" s="343"/>
      <c r="AR161" s="370">
        <v>1360</v>
      </c>
      <c r="AS161" s="326">
        <v>80</v>
      </c>
      <c r="AT161" s="392">
        <v>1</v>
      </c>
      <c r="AU161" s="392"/>
      <c r="AV161" s="392">
        <v>1</v>
      </c>
      <c r="AW161" s="340"/>
      <c r="AX161" s="347"/>
      <c r="AY161" s="348"/>
      <c r="AZ161" s="377"/>
      <c r="BA161" s="374"/>
      <c r="BB161" s="374"/>
      <c r="BC161" s="374"/>
      <c r="BD161" s="374"/>
      <c r="BE161" s="374"/>
      <c r="BF161" s="374"/>
      <c r="BG161" s="374"/>
      <c r="BH161" s="378"/>
      <c r="BI161" s="376"/>
      <c r="BJ161" s="379"/>
      <c r="BK161" s="380"/>
      <c r="BL161" s="348"/>
      <c r="BM161" s="381"/>
      <c r="BN161" s="321" t="s">
        <v>15</v>
      </c>
      <c r="BO161" s="372"/>
      <c r="BP161" s="373" t="s">
        <v>14</v>
      </c>
      <c r="BQ161" s="360"/>
      <c r="BR161" s="361"/>
      <c r="BS161" s="361"/>
      <c r="BT161" s="361"/>
      <c r="BU161" s="342" t="s">
        <v>210</v>
      </c>
      <c r="BV161" s="342" t="s">
        <v>210</v>
      </c>
      <c r="BW161" s="341" t="s">
        <v>15</v>
      </c>
      <c r="BX161" s="361"/>
      <c r="BY161" s="362"/>
      <c r="BZ161" s="363"/>
      <c r="CA161" s="363"/>
      <c r="CB161" s="363"/>
      <c r="CC161" s="363"/>
      <c r="CD161" s="293"/>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row>
    <row r="162" spans="2:220" s="287" customFormat="1" ht="22.5" customHeight="1">
      <c r="B162" s="365">
        <v>230121</v>
      </c>
      <c r="C162" s="366" t="s">
        <v>13668</v>
      </c>
      <c r="D162" s="367"/>
      <c r="E162" s="368"/>
      <c r="F162" s="321" t="s">
        <v>174</v>
      </c>
      <c r="G162" s="326" t="s">
        <v>2518</v>
      </c>
      <c r="H162" s="326" t="s">
        <v>2537</v>
      </c>
      <c r="I162" s="326" t="s">
        <v>173</v>
      </c>
      <c r="J162" s="326" t="s">
        <v>24</v>
      </c>
      <c r="K162" s="326" t="s">
        <v>77</v>
      </c>
      <c r="L162" s="323"/>
      <c r="M162" s="374"/>
      <c r="N162" s="325" t="s">
        <v>619</v>
      </c>
      <c r="O162" s="326">
        <v>120</v>
      </c>
      <c r="P162" s="327">
        <v>1297</v>
      </c>
      <c r="Q162" s="369">
        <v>434</v>
      </c>
      <c r="R162" s="329" t="s">
        <v>1098</v>
      </c>
      <c r="S162" s="331" t="s">
        <v>13396</v>
      </c>
      <c r="T162" s="394" t="s">
        <v>12439</v>
      </c>
      <c r="U162" s="394" t="s">
        <v>16310</v>
      </c>
      <c r="V162" s="331" t="s">
        <v>13395</v>
      </c>
      <c r="W162" s="332" t="s">
        <v>432</v>
      </c>
      <c r="X162" s="331" t="s">
        <v>11079</v>
      </c>
      <c r="Y162" s="331" t="s">
        <v>11080</v>
      </c>
      <c r="Z162" s="331" t="s">
        <v>11080</v>
      </c>
      <c r="AA162" s="331" t="s">
        <v>210</v>
      </c>
      <c r="AB162" s="333"/>
      <c r="AC162" s="333"/>
      <c r="AD162" s="334" t="s">
        <v>175</v>
      </c>
      <c r="AE162" s="335" t="s">
        <v>15</v>
      </c>
      <c r="AF162" s="336"/>
      <c r="AG162" s="337"/>
      <c r="AH162" s="417" t="s">
        <v>15</v>
      </c>
      <c r="AI162" s="392" t="s">
        <v>15</v>
      </c>
      <c r="AJ162" s="392" t="s">
        <v>15</v>
      </c>
      <c r="AK162" s="340" t="s">
        <v>15</v>
      </c>
      <c r="AL162" s="321" t="s">
        <v>210</v>
      </c>
      <c r="AM162" s="392" t="s">
        <v>15</v>
      </c>
      <c r="AN162" s="392" t="s">
        <v>15</v>
      </c>
      <c r="AO162" s="341" t="s">
        <v>15</v>
      </c>
      <c r="AP162" s="342"/>
      <c r="AQ162" s="343"/>
      <c r="AR162" s="370">
        <v>534</v>
      </c>
      <c r="AS162" s="326">
        <v>150</v>
      </c>
      <c r="AT162" s="392">
        <v>1.7</v>
      </c>
      <c r="AU162" s="392"/>
      <c r="AV162" s="392" t="s">
        <v>953</v>
      </c>
      <c r="AW162" s="340"/>
      <c r="AX162" s="347"/>
      <c r="AY162" s="348"/>
      <c r="AZ162" s="377"/>
      <c r="BA162" s="374"/>
      <c r="BB162" s="374"/>
      <c r="BC162" s="374"/>
      <c r="BD162" s="374"/>
      <c r="BE162" s="374"/>
      <c r="BF162" s="374"/>
      <c r="BG162" s="374"/>
      <c r="BH162" s="378"/>
      <c r="BI162" s="376"/>
      <c r="BJ162" s="379"/>
      <c r="BK162" s="380"/>
      <c r="BL162" s="348"/>
      <c r="BM162" s="381"/>
      <c r="BN162" s="321" t="s">
        <v>15</v>
      </c>
      <c r="BO162" s="372"/>
      <c r="BP162" s="373" t="s">
        <v>15</v>
      </c>
      <c r="BQ162" s="360"/>
      <c r="BR162" s="361"/>
      <c r="BS162" s="361"/>
      <c r="BT162" s="361"/>
      <c r="BU162" s="342" t="s">
        <v>210</v>
      </c>
      <c r="BV162" s="342" t="s">
        <v>210</v>
      </c>
      <c r="BW162" s="341" t="s">
        <v>15</v>
      </c>
      <c r="BX162" s="361"/>
      <c r="BY162" s="362"/>
      <c r="BZ162" s="363"/>
      <c r="CA162" s="363"/>
      <c r="CB162" s="363"/>
      <c r="CC162" s="363"/>
      <c r="CD162" s="293"/>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row>
    <row r="163" spans="2:220" s="287" customFormat="1" ht="22.5" customHeight="1">
      <c r="B163" s="365">
        <v>230122</v>
      </c>
      <c r="C163" s="366" t="s">
        <v>13055</v>
      </c>
      <c r="D163" s="367"/>
      <c r="E163" s="368"/>
      <c r="F163" s="321" t="s">
        <v>13</v>
      </c>
      <c r="G163" s="326" t="s">
        <v>2535</v>
      </c>
      <c r="H163" s="326" t="s">
        <v>2536</v>
      </c>
      <c r="I163" s="326" t="s">
        <v>11</v>
      </c>
      <c r="J163" s="326" t="s">
        <v>12</v>
      </c>
      <c r="K163" s="326" t="s">
        <v>10</v>
      </c>
      <c r="L163" s="323"/>
      <c r="M163" s="374"/>
      <c r="N163" s="325" t="s">
        <v>613</v>
      </c>
      <c r="O163" s="326">
        <v>40</v>
      </c>
      <c r="P163" s="327">
        <v>2259</v>
      </c>
      <c r="Q163" s="369">
        <v>2456</v>
      </c>
      <c r="R163" s="329" t="s">
        <v>1104</v>
      </c>
      <c r="S163" s="331" t="s">
        <v>13053</v>
      </c>
      <c r="T163" s="331" t="s">
        <v>11322</v>
      </c>
      <c r="U163" s="331" t="s">
        <v>11321</v>
      </c>
      <c r="V163" s="331" t="s">
        <v>13054</v>
      </c>
      <c r="W163" s="332" t="s">
        <v>432</v>
      </c>
      <c r="X163" s="331" t="s">
        <v>11079</v>
      </c>
      <c r="Y163" s="331" t="s">
        <v>11080</v>
      </c>
      <c r="Z163" s="331" t="s">
        <v>11080</v>
      </c>
      <c r="AA163" s="331" t="s">
        <v>210</v>
      </c>
      <c r="AB163" s="333"/>
      <c r="AC163" s="333"/>
      <c r="AD163" s="334" t="s">
        <v>2327</v>
      </c>
      <c r="AE163" s="335" t="s">
        <v>16</v>
      </c>
      <c r="AF163" s="336"/>
      <c r="AG163" s="337"/>
      <c r="AH163" s="376"/>
      <c r="AI163" s="347"/>
      <c r="AJ163" s="347"/>
      <c r="AK163" s="371"/>
      <c r="AL163" s="321" t="s">
        <v>210</v>
      </c>
      <c r="AM163" s="392" t="s">
        <v>15</v>
      </c>
      <c r="AN163" s="392" t="s">
        <v>15</v>
      </c>
      <c r="AO163" s="341" t="s">
        <v>15</v>
      </c>
      <c r="AP163" s="342"/>
      <c r="AQ163" s="343"/>
      <c r="AR163" s="370">
        <v>2710</v>
      </c>
      <c r="AS163" s="326">
        <v>150</v>
      </c>
      <c r="AT163" s="392">
        <v>1</v>
      </c>
      <c r="AU163" s="392"/>
      <c r="AV163" s="392">
        <v>0.8</v>
      </c>
      <c r="AW163" s="340"/>
      <c r="AX163" s="347"/>
      <c r="AY163" s="348"/>
      <c r="AZ163" s="377"/>
      <c r="BA163" s="374"/>
      <c r="BB163" s="374"/>
      <c r="BC163" s="374"/>
      <c r="BD163" s="374"/>
      <c r="BE163" s="374"/>
      <c r="BF163" s="374"/>
      <c r="BG163" s="374"/>
      <c r="BH163" s="378"/>
      <c r="BI163" s="376"/>
      <c r="BJ163" s="379"/>
      <c r="BK163" s="380"/>
      <c r="BL163" s="348"/>
      <c r="BM163" s="381"/>
      <c r="BN163" s="321" t="s">
        <v>15</v>
      </c>
      <c r="BO163" s="372"/>
      <c r="BP163" s="373" t="s">
        <v>15</v>
      </c>
      <c r="BQ163" s="360"/>
      <c r="BR163" s="361"/>
      <c r="BS163" s="361"/>
      <c r="BT163" s="361"/>
      <c r="BU163" s="342" t="s">
        <v>210</v>
      </c>
      <c r="BV163" s="342" t="s">
        <v>210</v>
      </c>
      <c r="BW163" s="341" t="s">
        <v>15</v>
      </c>
      <c r="BX163" s="361"/>
      <c r="BY163" s="362"/>
      <c r="BZ163" s="363"/>
      <c r="CA163" s="363"/>
      <c r="CB163" s="363"/>
      <c r="CC163" s="363"/>
      <c r="CD163" s="293"/>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row>
    <row r="164" spans="2:220" s="287" customFormat="1" ht="22.5" customHeight="1">
      <c r="B164" s="365">
        <v>230123</v>
      </c>
      <c r="C164" s="366" t="s">
        <v>13065</v>
      </c>
      <c r="D164" s="367"/>
      <c r="E164" s="368"/>
      <c r="F164" s="321" t="s">
        <v>80</v>
      </c>
      <c r="G164" s="326" t="s">
        <v>2533</v>
      </c>
      <c r="H164" s="326" t="s">
        <v>2534</v>
      </c>
      <c r="I164" s="326" t="s">
        <v>11</v>
      </c>
      <c r="J164" s="326" t="s">
        <v>12</v>
      </c>
      <c r="K164" s="326" t="s">
        <v>10</v>
      </c>
      <c r="L164" s="323"/>
      <c r="M164" s="374"/>
      <c r="N164" s="325" t="s">
        <v>613</v>
      </c>
      <c r="O164" s="326">
        <v>30</v>
      </c>
      <c r="P164" s="327">
        <v>2311</v>
      </c>
      <c r="Q164" s="369">
        <v>2318</v>
      </c>
      <c r="R164" s="329" t="s">
        <v>614</v>
      </c>
      <c r="S164" s="332" t="s">
        <v>11077</v>
      </c>
      <c r="T164" s="332" t="s">
        <v>11078</v>
      </c>
      <c r="U164" s="332" t="s">
        <v>16355</v>
      </c>
      <c r="V164" s="332" t="s">
        <v>11133</v>
      </c>
      <c r="W164" s="332" t="s">
        <v>432</v>
      </c>
      <c r="X164" s="331" t="s">
        <v>11079</v>
      </c>
      <c r="Y164" s="331" t="s">
        <v>11080</v>
      </c>
      <c r="Z164" s="331" t="s">
        <v>11080</v>
      </c>
      <c r="AA164" s="331" t="s">
        <v>210</v>
      </c>
      <c r="AB164" s="333"/>
      <c r="AC164" s="333"/>
      <c r="AD164" s="334" t="s">
        <v>272</v>
      </c>
      <c r="AE164" s="335" t="s">
        <v>104</v>
      </c>
      <c r="AF164" s="336"/>
      <c r="AG164" s="337"/>
      <c r="AH164" s="376"/>
      <c r="AI164" s="347"/>
      <c r="AJ164" s="347"/>
      <c r="AK164" s="371"/>
      <c r="AL164" s="321" t="s">
        <v>210</v>
      </c>
      <c r="AM164" s="392" t="s">
        <v>15</v>
      </c>
      <c r="AN164" s="392" t="s">
        <v>15</v>
      </c>
      <c r="AO164" s="341" t="s">
        <v>15</v>
      </c>
      <c r="AP164" s="342"/>
      <c r="AQ164" s="343"/>
      <c r="AR164" s="370">
        <v>2724</v>
      </c>
      <c r="AS164" s="326">
        <v>100</v>
      </c>
      <c r="AT164" s="392">
        <v>0.8</v>
      </c>
      <c r="AU164" s="392"/>
      <c r="AV164" s="392">
        <v>0.6</v>
      </c>
      <c r="AW164" s="340"/>
      <c r="AX164" s="347"/>
      <c r="AY164" s="348"/>
      <c r="AZ164" s="377"/>
      <c r="BA164" s="374"/>
      <c r="BB164" s="374"/>
      <c r="BC164" s="374"/>
      <c r="BD164" s="374"/>
      <c r="BE164" s="374"/>
      <c r="BF164" s="374"/>
      <c r="BG164" s="374"/>
      <c r="BH164" s="378"/>
      <c r="BI164" s="376"/>
      <c r="BJ164" s="379"/>
      <c r="BK164" s="380"/>
      <c r="BL164" s="348"/>
      <c r="BM164" s="381"/>
      <c r="BN164" s="321" t="s">
        <v>15</v>
      </c>
      <c r="BO164" s="372"/>
      <c r="BP164" s="373" t="s">
        <v>15</v>
      </c>
      <c r="BQ164" s="360"/>
      <c r="BR164" s="361"/>
      <c r="BS164" s="361"/>
      <c r="BT164" s="361"/>
      <c r="BU164" s="342" t="s">
        <v>210</v>
      </c>
      <c r="BV164" s="342" t="s">
        <v>210</v>
      </c>
      <c r="BW164" s="341" t="s">
        <v>15</v>
      </c>
      <c r="BX164" s="361"/>
      <c r="BY164" s="362"/>
      <c r="BZ164" s="363"/>
      <c r="CA164" s="363"/>
      <c r="CB164" s="363"/>
      <c r="CC164" s="363"/>
      <c r="CD164" s="293"/>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row>
    <row r="165" spans="2:220" s="287" customFormat="1" ht="22.5" customHeight="1">
      <c r="B165" s="365">
        <v>230124</v>
      </c>
      <c r="C165" s="366" t="s">
        <v>176</v>
      </c>
      <c r="D165" s="367"/>
      <c r="E165" s="368"/>
      <c r="F165" s="321" t="s">
        <v>69</v>
      </c>
      <c r="G165" s="326" t="s">
        <v>2531</v>
      </c>
      <c r="H165" s="326" t="s">
        <v>2532</v>
      </c>
      <c r="I165" s="326" t="s">
        <v>11</v>
      </c>
      <c r="J165" s="326" t="s">
        <v>21</v>
      </c>
      <c r="K165" s="324" t="s">
        <v>6552</v>
      </c>
      <c r="L165" s="323"/>
      <c r="M165" s="374"/>
      <c r="N165" s="325" t="s">
        <v>613</v>
      </c>
      <c r="O165" s="326">
        <v>30</v>
      </c>
      <c r="P165" s="327">
        <v>1359.53</v>
      </c>
      <c r="Q165" s="369">
        <v>1359.53</v>
      </c>
      <c r="R165" s="329" t="s">
        <v>496</v>
      </c>
      <c r="S165" s="330"/>
      <c r="T165" s="330"/>
      <c r="U165" s="330"/>
      <c r="V165" s="330"/>
      <c r="W165" s="332" t="s">
        <v>1108</v>
      </c>
      <c r="X165" s="331" t="s">
        <v>14002</v>
      </c>
      <c r="Y165" s="331" t="s">
        <v>14003</v>
      </c>
      <c r="Z165" s="331" t="s">
        <v>14005</v>
      </c>
      <c r="AA165" s="331" t="s">
        <v>14004</v>
      </c>
      <c r="AB165" s="333"/>
      <c r="AC165" s="333"/>
      <c r="AD165" s="334" t="s">
        <v>817</v>
      </c>
      <c r="AE165" s="335" t="s">
        <v>177</v>
      </c>
      <c r="AF165" s="336"/>
      <c r="AG165" s="337"/>
      <c r="AH165" s="417" t="s">
        <v>15</v>
      </c>
      <c r="AI165" s="392" t="s">
        <v>15</v>
      </c>
      <c r="AJ165" s="392" t="s">
        <v>15</v>
      </c>
      <c r="AK165" s="340" t="s">
        <v>15</v>
      </c>
      <c r="AL165" s="321" t="s">
        <v>210</v>
      </c>
      <c r="AM165" s="392" t="s">
        <v>15</v>
      </c>
      <c r="AN165" s="392" t="s">
        <v>15</v>
      </c>
      <c r="AO165" s="341" t="s">
        <v>15</v>
      </c>
      <c r="AP165" s="342"/>
      <c r="AQ165" s="343"/>
      <c r="AR165" s="370">
        <v>1709</v>
      </c>
      <c r="AS165" s="326">
        <v>100</v>
      </c>
      <c r="AT165" s="392">
        <v>1</v>
      </c>
      <c r="AU165" s="392"/>
      <c r="AV165" s="392">
        <v>3.8</v>
      </c>
      <c r="AW165" s="340"/>
      <c r="AX165" s="347"/>
      <c r="AY165" s="348"/>
      <c r="AZ165" s="377"/>
      <c r="BA165" s="374"/>
      <c r="BB165" s="374"/>
      <c r="BC165" s="374"/>
      <c r="BD165" s="374"/>
      <c r="BE165" s="374"/>
      <c r="BF165" s="374"/>
      <c r="BG165" s="374"/>
      <c r="BH165" s="378"/>
      <c r="BI165" s="376"/>
      <c r="BJ165" s="379"/>
      <c r="BK165" s="380"/>
      <c r="BL165" s="348"/>
      <c r="BM165" s="381"/>
      <c r="BN165" s="321" t="s">
        <v>15</v>
      </c>
      <c r="BO165" s="372"/>
      <c r="BP165" s="373" t="s">
        <v>15</v>
      </c>
      <c r="BQ165" s="360"/>
      <c r="BR165" s="361"/>
      <c r="BS165" s="361"/>
      <c r="BT165" s="361"/>
      <c r="BU165" s="342" t="s">
        <v>210</v>
      </c>
      <c r="BV165" s="342" t="s">
        <v>210</v>
      </c>
      <c r="BW165" s="341" t="s">
        <v>15</v>
      </c>
      <c r="BX165" s="361"/>
      <c r="BY165" s="362"/>
      <c r="BZ165" s="363"/>
      <c r="CA165" s="363"/>
      <c r="CB165" s="363"/>
      <c r="CC165" s="363"/>
      <c r="CD165" s="293"/>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row>
    <row r="166" spans="2:220" s="287" customFormat="1" ht="22.5" customHeight="1">
      <c r="B166" s="365">
        <v>230125</v>
      </c>
      <c r="C166" s="366" t="s">
        <v>181</v>
      </c>
      <c r="D166" s="367"/>
      <c r="E166" s="368"/>
      <c r="F166" s="321" t="s">
        <v>22</v>
      </c>
      <c r="G166" s="326" t="s">
        <v>2529</v>
      </c>
      <c r="H166" s="326" t="s">
        <v>2530</v>
      </c>
      <c r="I166" s="326" t="s">
        <v>11</v>
      </c>
      <c r="J166" s="326" t="s">
        <v>12</v>
      </c>
      <c r="K166" s="326" t="s">
        <v>10</v>
      </c>
      <c r="L166" s="323"/>
      <c r="M166" s="374"/>
      <c r="N166" s="325" t="s">
        <v>612</v>
      </c>
      <c r="O166" s="392" t="s">
        <v>15</v>
      </c>
      <c r="P166" s="392" t="s">
        <v>15</v>
      </c>
      <c r="Q166" s="340" t="s">
        <v>15</v>
      </c>
      <c r="R166" s="329" t="s">
        <v>530</v>
      </c>
      <c r="S166" s="394" t="s">
        <v>11460</v>
      </c>
      <c r="T166" s="394" t="s">
        <v>11461</v>
      </c>
      <c r="U166" s="394" t="s">
        <v>11462</v>
      </c>
      <c r="V166" s="394" t="s">
        <v>11463</v>
      </c>
      <c r="W166" s="645"/>
      <c r="X166" s="330"/>
      <c r="Y166" s="330"/>
      <c r="Z166" s="330"/>
      <c r="AA166" s="330"/>
      <c r="AB166" s="333"/>
      <c r="AC166" s="333"/>
      <c r="AD166" s="334" t="s">
        <v>8768</v>
      </c>
      <c r="AE166" s="335" t="s">
        <v>15</v>
      </c>
      <c r="AF166" s="336"/>
      <c r="AG166" s="337"/>
      <c r="AH166" s="417" t="s">
        <v>15</v>
      </c>
      <c r="AI166" s="392" t="s">
        <v>15</v>
      </c>
      <c r="AJ166" s="392" t="s">
        <v>15</v>
      </c>
      <c r="AK166" s="340" t="s">
        <v>15</v>
      </c>
      <c r="AL166" s="321" t="s">
        <v>210</v>
      </c>
      <c r="AM166" s="392" t="s">
        <v>15</v>
      </c>
      <c r="AN166" s="392" t="s">
        <v>15</v>
      </c>
      <c r="AO166" s="341" t="s">
        <v>15</v>
      </c>
      <c r="AP166" s="342"/>
      <c r="AQ166" s="343"/>
      <c r="AR166" s="370">
        <v>2695</v>
      </c>
      <c r="AS166" s="326">
        <v>100</v>
      </c>
      <c r="AT166" s="392">
        <v>0.6</v>
      </c>
      <c r="AU166" s="392"/>
      <c r="AV166" s="392">
        <v>0.9</v>
      </c>
      <c r="AW166" s="340"/>
      <c r="AX166" s="347"/>
      <c r="AY166" s="348"/>
      <c r="AZ166" s="377"/>
      <c r="BA166" s="374"/>
      <c r="BB166" s="374"/>
      <c r="BC166" s="374"/>
      <c r="BD166" s="374"/>
      <c r="BE166" s="374"/>
      <c r="BF166" s="374"/>
      <c r="BG166" s="374"/>
      <c r="BH166" s="378"/>
      <c r="BI166" s="376"/>
      <c r="BJ166" s="379"/>
      <c r="BK166" s="380"/>
      <c r="BL166" s="348"/>
      <c r="BM166" s="381"/>
      <c r="BN166" s="321" t="s">
        <v>14</v>
      </c>
      <c r="BO166" s="372"/>
      <c r="BP166" s="373" t="s">
        <v>15</v>
      </c>
      <c r="BQ166" s="360"/>
      <c r="BR166" s="361"/>
      <c r="BS166" s="361"/>
      <c r="BT166" s="361"/>
      <c r="BU166" s="342" t="s">
        <v>210</v>
      </c>
      <c r="BV166" s="342" t="s">
        <v>210</v>
      </c>
      <c r="BW166" s="341" t="s">
        <v>15</v>
      </c>
      <c r="BX166" s="361"/>
      <c r="BY166" s="362"/>
      <c r="BZ166" s="363"/>
      <c r="CA166" s="363"/>
      <c r="CB166" s="363"/>
      <c r="CC166" s="363"/>
      <c r="CD166" s="293"/>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row>
    <row r="167" spans="2:220" s="287" customFormat="1" ht="22.5" customHeight="1">
      <c r="B167" s="365">
        <v>230126</v>
      </c>
      <c r="C167" s="366" t="s">
        <v>14681</v>
      </c>
      <c r="D167" s="367"/>
      <c r="E167" s="368"/>
      <c r="F167" s="321" t="s">
        <v>83</v>
      </c>
      <c r="G167" s="326" t="s">
        <v>2527</v>
      </c>
      <c r="H167" s="326" t="s">
        <v>2528</v>
      </c>
      <c r="I167" s="326" t="s">
        <v>130</v>
      </c>
      <c r="J167" s="326" t="s">
        <v>12</v>
      </c>
      <c r="K167" s="326" t="s">
        <v>178</v>
      </c>
      <c r="L167" s="323"/>
      <c r="M167" s="374"/>
      <c r="N167" s="325" t="s">
        <v>612</v>
      </c>
      <c r="O167" s="392" t="s">
        <v>15</v>
      </c>
      <c r="P167" s="392" t="s">
        <v>15</v>
      </c>
      <c r="Q167" s="340" t="s">
        <v>15</v>
      </c>
      <c r="R167" s="329" t="s">
        <v>5257</v>
      </c>
      <c r="S167" s="330"/>
      <c r="T167" s="330"/>
      <c r="U167" s="330"/>
      <c r="V167" s="330"/>
      <c r="W167" s="645"/>
      <c r="X167" s="330"/>
      <c r="Y167" s="330"/>
      <c r="Z167" s="330"/>
      <c r="AA167" s="330"/>
      <c r="AB167" s="333"/>
      <c r="AC167" s="416"/>
      <c r="AD167" s="375"/>
      <c r="AE167" s="335" t="s">
        <v>15</v>
      </c>
      <c r="AF167" s="336"/>
      <c r="AG167" s="337"/>
      <c r="AH167" s="417" t="s">
        <v>15</v>
      </c>
      <c r="AI167" s="392" t="s">
        <v>15</v>
      </c>
      <c r="AJ167" s="392" t="s">
        <v>15</v>
      </c>
      <c r="AK167" s="340" t="s">
        <v>15</v>
      </c>
      <c r="AL167" s="321" t="s">
        <v>210</v>
      </c>
      <c r="AM167" s="392" t="s">
        <v>15</v>
      </c>
      <c r="AN167" s="392" t="s">
        <v>15</v>
      </c>
      <c r="AO167" s="341" t="s">
        <v>15</v>
      </c>
      <c r="AP167" s="342"/>
      <c r="AQ167" s="343"/>
      <c r="AR167" s="370">
        <v>535</v>
      </c>
      <c r="AS167" s="326">
        <v>50</v>
      </c>
      <c r="AT167" s="392">
        <v>0.8</v>
      </c>
      <c r="AU167" s="392"/>
      <c r="AV167" s="392">
        <v>1.2</v>
      </c>
      <c r="AW167" s="340"/>
      <c r="AX167" s="347"/>
      <c r="AY167" s="348"/>
      <c r="AZ167" s="377"/>
      <c r="BA167" s="374"/>
      <c r="BB167" s="374"/>
      <c r="BC167" s="374"/>
      <c r="BD167" s="374"/>
      <c r="BE167" s="374"/>
      <c r="BF167" s="374"/>
      <c r="BG167" s="374"/>
      <c r="BH167" s="378"/>
      <c r="BI167" s="376"/>
      <c r="BJ167" s="379"/>
      <c r="BK167" s="380"/>
      <c r="BL167" s="348"/>
      <c r="BM167" s="381"/>
      <c r="BN167" s="321" t="s">
        <v>15</v>
      </c>
      <c r="BO167" s="372"/>
      <c r="BP167" s="373" t="s">
        <v>15</v>
      </c>
      <c r="BQ167" s="360"/>
      <c r="BR167" s="361"/>
      <c r="BS167" s="361"/>
      <c r="BT167" s="361"/>
      <c r="BU167" s="342" t="s">
        <v>210</v>
      </c>
      <c r="BV167" s="342" t="s">
        <v>210</v>
      </c>
      <c r="BW167" s="341" t="s">
        <v>15</v>
      </c>
      <c r="BX167" s="361"/>
      <c r="BY167" s="362"/>
      <c r="BZ167" s="363"/>
      <c r="CA167" s="363"/>
      <c r="CB167" s="363"/>
      <c r="CC167" s="363"/>
      <c r="CD167" s="293"/>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row>
    <row r="168" spans="2:220" s="287" customFormat="1" ht="22.5" customHeight="1">
      <c r="B168" s="365">
        <v>230127</v>
      </c>
      <c r="C168" s="366" t="s">
        <v>14676</v>
      </c>
      <c r="D168" s="367"/>
      <c r="E168" s="368"/>
      <c r="F168" s="321" t="s">
        <v>80</v>
      </c>
      <c r="G168" s="326" t="s">
        <v>2525</v>
      </c>
      <c r="H168" s="326" t="s">
        <v>2526</v>
      </c>
      <c r="I168" s="326" t="s">
        <v>11</v>
      </c>
      <c r="J168" s="326" t="s">
        <v>12</v>
      </c>
      <c r="K168" s="326" t="s">
        <v>10</v>
      </c>
      <c r="L168" s="323"/>
      <c r="M168" s="374"/>
      <c r="N168" s="325" t="s">
        <v>613</v>
      </c>
      <c r="O168" s="326">
        <v>30</v>
      </c>
      <c r="P168" s="327">
        <v>2455</v>
      </c>
      <c r="Q168" s="369">
        <v>2489.2399999999998</v>
      </c>
      <c r="R168" s="329" t="s">
        <v>496</v>
      </c>
      <c r="S168" s="331" t="s">
        <v>14677</v>
      </c>
      <c r="T168" s="331" t="s">
        <v>14679</v>
      </c>
      <c r="U168" s="331" t="s">
        <v>14678</v>
      </c>
      <c r="V168" s="331" t="s">
        <v>14680</v>
      </c>
      <c r="W168" s="332" t="s">
        <v>432</v>
      </c>
      <c r="X168" s="331" t="s">
        <v>11079</v>
      </c>
      <c r="Y168" s="331" t="s">
        <v>11080</v>
      </c>
      <c r="Z168" s="331" t="s">
        <v>11080</v>
      </c>
      <c r="AA168" s="331" t="s">
        <v>210</v>
      </c>
      <c r="AB168" s="333"/>
      <c r="AC168" s="333"/>
      <c r="AD168" s="334" t="s">
        <v>170</v>
      </c>
      <c r="AE168" s="395" t="s">
        <v>42</v>
      </c>
      <c r="AF168" s="336"/>
      <c r="AG168" s="337"/>
      <c r="AH168" s="376"/>
      <c r="AI168" s="347"/>
      <c r="AJ168" s="347"/>
      <c r="AK168" s="371"/>
      <c r="AL168" s="321" t="s">
        <v>210</v>
      </c>
      <c r="AM168" s="392" t="s">
        <v>15</v>
      </c>
      <c r="AN168" s="392" t="s">
        <v>15</v>
      </c>
      <c r="AO168" s="341" t="s">
        <v>15</v>
      </c>
      <c r="AP168" s="342"/>
      <c r="AQ168" s="343"/>
      <c r="AR168" s="370">
        <v>2895</v>
      </c>
      <c r="AS168" s="326">
        <v>150</v>
      </c>
      <c r="AT168" s="392">
        <v>0.8</v>
      </c>
      <c r="AU168" s="392"/>
      <c r="AV168" s="392">
        <v>1.2</v>
      </c>
      <c r="AW168" s="340"/>
      <c r="AX168" s="347"/>
      <c r="AY168" s="348"/>
      <c r="AZ168" s="377"/>
      <c r="BA168" s="374"/>
      <c r="BB168" s="374"/>
      <c r="BC168" s="374"/>
      <c r="BD168" s="374"/>
      <c r="BE168" s="374"/>
      <c r="BF168" s="374"/>
      <c r="BG168" s="374"/>
      <c r="BH168" s="378"/>
      <c r="BI168" s="376"/>
      <c r="BJ168" s="379"/>
      <c r="BK168" s="380"/>
      <c r="BL168" s="348"/>
      <c r="BM168" s="381"/>
      <c r="BN168" s="321" t="s">
        <v>15</v>
      </c>
      <c r="BO168" s="372"/>
      <c r="BP168" s="373" t="s">
        <v>14</v>
      </c>
      <c r="BQ168" s="360"/>
      <c r="BR168" s="361"/>
      <c r="BS168" s="361"/>
      <c r="BT168" s="361"/>
      <c r="BU168" s="342" t="s">
        <v>210</v>
      </c>
      <c r="BV168" s="342" t="s">
        <v>210</v>
      </c>
      <c r="BW168" s="341" t="s">
        <v>15</v>
      </c>
      <c r="BX168" s="361"/>
      <c r="BY168" s="362"/>
      <c r="BZ168" s="363"/>
      <c r="CA168" s="363"/>
      <c r="CB168" s="363"/>
      <c r="CC168" s="363"/>
      <c r="CD168" s="293"/>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row>
    <row r="169" spans="2:220" s="287" customFormat="1" ht="22.5" customHeight="1">
      <c r="B169" s="365">
        <v>230128</v>
      </c>
      <c r="C169" s="366" t="s">
        <v>179</v>
      </c>
      <c r="D169" s="367"/>
      <c r="E169" s="368"/>
      <c r="F169" s="321" t="s">
        <v>41</v>
      </c>
      <c r="G169" s="326" t="s">
        <v>2424</v>
      </c>
      <c r="H169" s="326" t="s">
        <v>2524</v>
      </c>
      <c r="I169" s="326" t="s">
        <v>11</v>
      </c>
      <c r="J169" s="326" t="s">
        <v>12</v>
      </c>
      <c r="K169" s="326" t="s">
        <v>10</v>
      </c>
      <c r="L169" s="323"/>
      <c r="M169" s="374"/>
      <c r="N169" s="325" t="s">
        <v>437</v>
      </c>
      <c r="O169" s="326">
        <v>30</v>
      </c>
      <c r="P169" s="327">
        <v>460</v>
      </c>
      <c r="Q169" s="369">
        <v>482</v>
      </c>
      <c r="R169" s="329" t="s">
        <v>447</v>
      </c>
      <c r="S169" s="331" t="s">
        <v>13050</v>
      </c>
      <c r="T169" s="331" t="s">
        <v>11078</v>
      </c>
      <c r="U169" s="331" t="s">
        <v>16355</v>
      </c>
      <c r="V169" s="331" t="s">
        <v>13051</v>
      </c>
      <c r="W169" s="332" t="s">
        <v>432</v>
      </c>
      <c r="X169" s="331" t="s">
        <v>11079</v>
      </c>
      <c r="Y169" s="331" t="s">
        <v>11080</v>
      </c>
      <c r="Z169" s="331" t="s">
        <v>11080</v>
      </c>
      <c r="AA169" s="331" t="s">
        <v>210</v>
      </c>
      <c r="AB169" s="333"/>
      <c r="AC169" s="333"/>
      <c r="AD169" s="334" t="s">
        <v>180</v>
      </c>
      <c r="AE169" s="335" t="s">
        <v>15</v>
      </c>
      <c r="AF169" s="336"/>
      <c r="AG169" s="337"/>
      <c r="AH169" s="376"/>
      <c r="AI169" s="347"/>
      <c r="AJ169" s="347"/>
      <c r="AK169" s="371"/>
      <c r="AL169" s="321" t="s">
        <v>210</v>
      </c>
      <c r="AM169" s="392" t="s">
        <v>15</v>
      </c>
      <c r="AN169" s="392" t="s">
        <v>15</v>
      </c>
      <c r="AO169" s="341" t="s">
        <v>15</v>
      </c>
      <c r="AP169" s="342"/>
      <c r="AQ169" s="343"/>
      <c r="AR169" s="370">
        <v>611</v>
      </c>
      <c r="AS169" s="326">
        <v>100</v>
      </c>
      <c r="AT169" s="392">
        <v>0.6</v>
      </c>
      <c r="AU169" s="392"/>
      <c r="AV169" s="392">
        <v>0.6</v>
      </c>
      <c r="AW169" s="340"/>
      <c r="AX169" s="347"/>
      <c r="AY169" s="348"/>
      <c r="AZ169" s="377"/>
      <c r="BA169" s="374"/>
      <c r="BB169" s="374"/>
      <c r="BC169" s="374"/>
      <c r="BD169" s="374"/>
      <c r="BE169" s="374"/>
      <c r="BF169" s="374"/>
      <c r="BG169" s="374"/>
      <c r="BH169" s="378"/>
      <c r="BI169" s="376"/>
      <c r="BJ169" s="379"/>
      <c r="BK169" s="380"/>
      <c r="BL169" s="348"/>
      <c r="BM169" s="381"/>
      <c r="BN169" s="321" t="s">
        <v>15</v>
      </c>
      <c r="BO169" s="372"/>
      <c r="BP169" s="373" t="s">
        <v>15</v>
      </c>
      <c r="BQ169" s="360"/>
      <c r="BR169" s="361"/>
      <c r="BS169" s="361"/>
      <c r="BT169" s="361"/>
      <c r="BU169" s="342" t="s">
        <v>210</v>
      </c>
      <c r="BV169" s="342" t="s">
        <v>210</v>
      </c>
      <c r="BW169" s="341" t="s">
        <v>15</v>
      </c>
      <c r="BX169" s="361"/>
      <c r="BY169" s="362"/>
      <c r="BZ169" s="363"/>
      <c r="CA169" s="363"/>
      <c r="CB169" s="363"/>
      <c r="CC169" s="363"/>
      <c r="CD169" s="293"/>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row>
    <row r="170" spans="2:220" s="287" customFormat="1" ht="22.5" customHeight="1">
      <c r="B170" s="365">
        <v>230128</v>
      </c>
      <c r="C170" s="366" t="s">
        <v>13064</v>
      </c>
      <c r="D170" s="367"/>
      <c r="E170" s="368"/>
      <c r="F170" s="321" t="s">
        <v>41</v>
      </c>
      <c r="G170" s="326" t="s">
        <v>2424</v>
      </c>
      <c r="H170" s="326" t="s">
        <v>2524</v>
      </c>
      <c r="I170" s="326" t="s">
        <v>11</v>
      </c>
      <c r="J170" s="326" t="s">
        <v>12</v>
      </c>
      <c r="K170" s="326" t="s">
        <v>10</v>
      </c>
      <c r="L170" s="323"/>
      <c r="M170" s="324" t="s">
        <v>10776</v>
      </c>
      <c r="N170" s="325" t="s">
        <v>438</v>
      </c>
      <c r="O170" s="326">
        <v>30</v>
      </c>
      <c r="P170" s="327">
        <v>1498</v>
      </c>
      <c r="Q170" s="369">
        <v>1590</v>
      </c>
      <c r="R170" s="329" t="s">
        <v>447</v>
      </c>
      <c r="S170" s="331" t="s">
        <v>13050</v>
      </c>
      <c r="T170" s="331" t="s">
        <v>11078</v>
      </c>
      <c r="U170" s="331" t="s">
        <v>16355</v>
      </c>
      <c r="V170" s="331" t="s">
        <v>13051</v>
      </c>
      <c r="W170" s="332" t="s">
        <v>432</v>
      </c>
      <c r="X170" s="331" t="s">
        <v>11079</v>
      </c>
      <c r="Y170" s="331" t="s">
        <v>11080</v>
      </c>
      <c r="Z170" s="331" t="s">
        <v>11080</v>
      </c>
      <c r="AA170" s="331" t="s">
        <v>210</v>
      </c>
      <c r="AB170" s="333"/>
      <c r="AC170" s="333"/>
      <c r="AD170" s="334" t="s">
        <v>180</v>
      </c>
      <c r="AE170" s="335" t="s">
        <v>43</v>
      </c>
      <c r="AF170" s="336"/>
      <c r="AG170" s="337"/>
      <c r="AH170" s="417">
        <v>7.8</v>
      </c>
      <c r="AI170" s="392">
        <v>15.8</v>
      </c>
      <c r="AJ170" s="392">
        <v>16.600000000000001</v>
      </c>
      <c r="AK170" s="340">
        <f>SUM(AH170:AJ170)</f>
        <v>40.200000000000003</v>
      </c>
      <c r="AL170" s="321" t="s">
        <v>210</v>
      </c>
      <c r="AM170" s="392" t="s">
        <v>15</v>
      </c>
      <c r="AN170" s="392" t="s">
        <v>15</v>
      </c>
      <c r="AO170" s="341" t="s">
        <v>15</v>
      </c>
      <c r="AP170" s="342"/>
      <c r="AQ170" s="343"/>
      <c r="AR170" s="370">
        <v>2061</v>
      </c>
      <c r="AS170" s="326">
        <v>100</v>
      </c>
      <c r="AT170" s="392">
        <v>0.6</v>
      </c>
      <c r="AU170" s="392"/>
      <c r="AV170" s="392">
        <v>0.6</v>
      </c>
      <c r="AW170" s="340"/>
      <c r="AX170" s="347"/>
      <c r="AY170" s="348"/>
      <c r="AZ170" s="377"/>
      <c r="BA170" s="374"/>
      <c r="BB170" s="374"/>
      <c r="BC170" s="374"/>
      <c r="BD170" s="374"/>
      <c r="BE170" s="374"/>
      <c r="BF170" s="374"/>
      <c r="BG170" s="374"/>
      <c r="BH170" s="378"/>
      <c r="BI170" s="376"/>
      <c r="BJ170" s="379"/>
      <c r="BK170" s="380"/>
      <c r="BL170" s="348"/>
      <c r="BM170" s="381"/>
      <c r="BN170" s="321" t="s">
        <v>15</v>
      </c>
      <c r="BO170" s="372"/>
      <c r="BP170" s="373" t="s">
        <v>15</v>
      </c>
      <c r="BQ170" s="360"/>
      <c r="BR170" s="361"/>
      <c r="BS170" s="361"/>
      <c r="BT170" s="361"/>
      <c r="BU170" s="342" t="s">
        <v>210</v>
      </c>
      <c r="BV170" s="342" t="s">
        <v>210</v>
      </c>
      <c r="BW170" s="341" t="s">
        <v>15</v>
      </c>
      <c r="BX170" s="361"/>
      <c r="BY170" s="362"/>
      <c r="BZ170" s="363"/>
      <c r="CA170" s="363"/>
      <c r="CB170" s="363"/>
      <c r="CC170" s="363"/>
      <c r="CD170" s="293"/>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row>
    <row r="171" spans="2:220" s="287" customFormat="1" ht="22.5" customHeight="1">
      <c r="B171" s="365">
        <v>230129</v>
      </c>
      <c r="C171" s="366" t="s">
        <v>14671</v>
      </c>
      <c r="D171" s="367"/>
      <c r="E171" s="368"/>
      <c r="F171" s="321" t="s">
        <v>32</v>
      </c>
      <c r="G171" s="326" t="s">
        <v>2522</v>
      </c>
      <c r="H171" s="326" t="s">
        <v>2523</v>
      </c>
      <c r="I171" s="326" t="s">
        <v>11</v>
      </c>
      <c r="J171" s="326" t="s">
        <v>21</v>
      </c>
      <c r="K171" s="326" t="s">
        <v>31</v>
      </c>
      <c r="L171" s="323"/>
      <c r="M171" s="324" t="s">
        <v>10777</v>
      </c>
      <c r="N171" s="325" t="s">
        <v>438</v>
      </c>
      <c r="O171" s="326">
        <v>200</v>
      </c>
      <c r="P171" s="327">
        <v>3158</v>
      </c>
      <c r="Q171" s="369">
        <v>1669</v>
      </c>
      <c r="R171" s="329" t="s">
        <v>623</v>
      </c>
      <c r="S171" s="331" t="s">
        <v>14672</v>
      </c>
      <c r="T171" s="331" t="s">
        <v>14674</v>
      </c>
      <c r="U171" s="331" t="s">
        <v>14673</v>
      </c>
      <c r="V171" s="331" t="s">
        <v>14675</v>
      </c>
      <c r="W171" s="332" t="s">
        <v>432</v>
      </c>
      <c r="X171" s="331" t="s">
        <v>11079</v>
      </c>
      <c r="Y171" s="331" t="s">
        <v>11080</v>
      </c>
      <c r="Z171" s="331" t="s">
        <v>11080</v>
      </c>
      <c r="AA171" s="331" t="s">
        <v>210</v>
      </c>
      <c r="AB171" s="333"/>
      <c r="AC171" s="333"/>
      <c r="AD171" s="334" t="s">
        <v>817</v>
      </c>
      <c r="AE171" s="335" t="s">
        <v>34</v>
      </c>
      <c r="AF171" s="336"/>
      <c r="AG171" s="337"/>
      <c r="AH171" s="338">
        <v>25</v>
      </c>
      <c r="AI171" s="339">
        <v>32</v>
      </c>
      <c r="AJ171" s="339">
        <v>28.1</v>
      </c>
      <c r="AK171" s="340">
        <f>SUM(AH171:AJ171)</f>
        <v>85.1</v>
      </c>
      <c r="AL171" s="321" t="s">
        <v>210</v>
      </c>
      <c r="AM171" s="425" t="s">
        <v>8761</v>
      </c>
      <c r="AN171" s="326" t="s">
        <v>608</v>
      </c>
      <c r="AO171" s="341" t="s">
        <v>15</v>
      </c>
      <c r="AP171" s="418"/>
      <c r="AQ171" s="343"/>
      <c r="AR171" s="370">
        <v>1955</v>
      </c>
      <c r="AS171" s="326">
        <v>150</v>
      </c>
      <c r="AT171" s="392">
        <v>1</v>
      </c>
      <c r="AU171" s="392"/>
      <c r="AV171" s="392">
        <v>2</v>
      </c>
      <c r="AW171" s="340"/>
      <c r="AX171" s="347"/>
      <c r="AY171" s="348"/>
      <c r="AZ171" s="377"/>
      <c r="BA171" s="374"/>
      <c r="BB171" s="374"/>
      <c r="BC171" s="374"/>
      <c r="BD171" s="374"/>
      <c r="BE171" s="374"/>
      <c r="BF171" s="374"/>
      <c r="BG171" s="374"/>
      <c r="BH171" s="378"/>
      <c r="BI171" s="376"/>
      <c r="BJ171" s="379"/>
      <c r="BK171" s="380"/>
      <c r="BL171" s="348"/>
      <c r="BM171" s="381"/>
      <c r="BN171" s="321" t="s">
        <v>14</v>
      </c>
      <c r="BO171" s="372"/>
      <c r="BP171" s="373" t="s">
        <v>14</v>
      </c>
      <c r="BQ171" s="360"/>
      <c r="BR171" s="361"/>
      <c r="BS171" s="361"/>
      <c r="BT171" s="361"/>
      <c r="BU171" s="361"/>
      <c r="BV171" s="418" t="s">
        <v>5411</v>
      </c>
      <c r="BW171" s="341" t="s">
        <v>15</v>
      </c>
      <c r="BX171" s="361"/>
      <c r="BY171" s="362"/>
      <c r="BZ171" s="363"/>
      <c r="CA171" s="363"/>
      <c r="CB171" s="363"/>
      <c r="CC171" s="363"/>
      <c r="CD171" s="293"/>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row>
    <row r="172" spans="2:220" s="287" customFormat="1" ht="22.5" customHeight="1">
      <c r="B172" s="365">
        <v>230131</v>
      </c>
      <c r="C172" s="366" t="s">
        <v>185</v>
      </c>
      <c r="D172" s="367"/>
      <c r="E172" s="368"/>
      <c r="F172" s="321" t="s">
        <v>69</v>
      </c>
      <c r="G172" s="326" t="s">
        <v>2520</v>
      </c>
      <c r="H172" s="326" t="s">
        <v>2521</v>
      </c>
      <c r="I172" s="326" t="s">
        <v>11</v>
      </c>
      <c r="J172" s="326" t="s">
        <v>12</v>
      </c>
      <c r="K172" s="326" t="s">
        <v>10</v>
      </c>
      <c r="L172" s="323"/>
      <c r="M172" s="374"/>
      <c r="N172" s="325" t="s">
        <v>613</v>
      </c>
      <c r="O172" s="392" t="s">
        <v>15</v>
      </c>
      <c r="P172" s="392" t="s">
        <v>15</v>
      </c>
      <c r="Q172" s="340" t="s">
        <v>15</v>
      </c>
      <c r="R172" s="375"/>
      <c r="S172" s="656"/>
      <c r="T172" s="656"/>
      <c r="U172" s="656"/>
      <c r="V172" s="656"/>
      <c r="W172" s="332" t="s">
        <v>466</v>
      </c>
      <c r="X172" s="656"/>
      <c r="Y172" s="656"/>
      <c r="Z172" s="656"/>
      <c r="AA172" s="656"/>
      <c r="AB172" s="333"/>
      <c r="AC172" s="333"/>
      <c r="AD172" s="396" t="s">
        <v>42</v>
      </c>
      <c r="AE172" s="335" t="s">
        <v>177</v>
      </c>
      <c r="AF172" s="336"/>
      <c r="AG172" s="337"/>
      <c r="AH172" s="417" t="s">
        <v>435</v>
      </c>
      <c r="AI172" s="392" t="s">
        <v>435</v>
      </c>
      <c r="AJ172" s="392" t="s">
        <v>435</v>
      </c>
      <c r="AK172" s="340" t="s">
        <v>435</v>
      </c>
      <c r="AL172" s="321" t="s">
        <v>210</v>
      </c>
      <c r="AM172" s="392" t="s">
        <v>15</v>
      </c>
      <c r="AN172" s="392" t="s">
        <v>15</v>
      </c>
      <c r="AO172" s="341" t="s">
        <v>15</v>
      </c>
      <c r="AP172" s="342"/>
      <c r="AQ172" s="343"/>
      <c r="AR172" s="370">
        <v>13564</v>
      </c>
      <c r="AS172" s="326">
        <v>100</v>
      </c>
      <c r="AT172" s="392">
        <v>0.8</v>
      </c>
      <c r="AU172" s="392"/>
      <c r="AV172" s="392">
        <v>1.5</v>
      </c>
      <c r="AW172" s="340"/>
      <c r="AX172" s="347"/>
      <c r="AY172" s="348"/>
      <c r="AZ172" s="377"/>
      <c r="BA172" s="374"/>
      <c r="BB172" s="374"/>
      <c r="BC172" s="374"/>
      <c r="BD172" s="374"/>
      <c r="BE172" s="374"/>
      <c r="BF172" s="374"/>
      <c r="BG172" s="374"/>
      <c r="BH172" s="378"/>
      <c r="BI172" s="376"/>
      <c r="BJ172" s="431">
        <v>1.25</v>
      </c>
      <c r="BK172" s="380"/>
      <c r="BL172" s="348"/>
      <c r="BM172" s="381"/>
      <c r="BN172" s="321" t="s">
        <v>14</v>
      </c>
      <c r="BO172" s="372"/>
      <c r="BP172" s="373" t="s">
        <v>14</v>
      </c>
      <c r="BQ172" s="360"/>
      <c r="BR172" s="361"/>
      <c r="BS172" s="361"/>
      <c r="BT172" s="361"/>
      <c r="BU172" s="342" t="s">
        <v>210</v>
      </c>
      <c r="BV172" s="342" t="s">
        <v>210</v>
      </c>
      <c r="BW172" s="341" t="s">
        <v>15</v>
      </c>
      <c r="BX172" s="361"/>
      <c r="BY172" s="362"/>
      <c r="BZ172" s="363"/>
      <c r="CA172" s="363"/>
      <c r="CB172" s="363"/>
      <c r="CC172" s="363"/>
      <c r="CD172" s="293"/>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row>
    <row r="173" spans="2:220" s="287" customFormat="1" ht="22.5" customHeight="1">
      <c r="B173" s="365">
        <v>230132</v>
      </c>
      <c r="C173" s="366" t="s">
        <v>13667</v>
      </c>
      <c r="D173" s="367"/>
      <c r="E173" s="368"/>
      <c r="F173" s="321" t="s">
        <v>174</v>
      </c>
      <c r="G173" s="326" t="s">
        <v>2518</v>
      </c>
      <c r="H173" s="326" t="s">
        <v>2519</v>
      </c>
      <c r="I173" s="326" t="s">
        <v>11</v>
      </c>
      <c r="J173" s="326" t="s">
        <v>12</v>
      </c>
      <c r="K173" s="326" t="s">
        <v>10</v>
      </c>
      <c r="L173" s="323"/>
      <c r="M173" s="324" t="s">
        <v>10767</v>
      </c>
      <c r="N173" s="325" t="s">
        <v>438</v>
      </c>
      <c r="O173" s="326">
        <v>120</v>
      </c>
      <c r="P173" s="327">
        <v>4280</v>
      </c>
      <c r="Q173" s="369" t="s">
        <v>608</v>
      </c>
      <c r="R173" s="329" t="s">
        <v>1098</v>
      </c>
      <c r="S173" s="331" t="s">
        <v>13396</v>
      </c>
      <c r="T173" s="394" t="s">
        <v>12439</v>
      </c>
      <c r="U173" s="394" t="s">
        <v>16310</v>
      </c>
      <c r="V173" s="331" t="s">
        <v>13395</v>
      </c>
      <c r="W173" s="332" t="s">
        <v>432</v>
      </c>
      <c r="X173" s="331" t="s">
        <v>11079</v>
      </c>
      <c r="Y173" s="331" t="s">
        <v>11080</v>
      </c>
      <c r="Z173" s="331" t="s">
        <v>11080</v>
      </c>
      <c r="AA173" s="331" t="s">
        <v>210</v>
      </c>
      <c r="AB173" s="333"/>
      <c r="AC173" s="333"/>
      <c r="AD173" s="334" t="s">
        <v>887</v>
      </c>
      <c r="AE173" s="335" t="s">
        <v>187</v>
      </c>
      <c r="AF173" s="336"/>
      <c r="AG173" s="337"/>
      <c r="AH173" s="338">
        <v>10.6</v>
      </c>
      <c r="AI173" s="339">
        <v>25.7</v>
      </c>
      <c r="AJ173" s="339">
        <v>19.2</v>
      </c>
      <c r="AK173" s="340">
        <f>SUM(AH173:AJ173)</f>
        <v>55.5</v>
      </c>
      <c r="AL173" s="321" t="s">
        <v>608</v>
      </c>
      <c r="AM173" s="392" t="s">
        <v>15</v>
      </c>
      <c r="AN173" s="392" t="s">
        <v>15</v>
      </c>
      <c r="AO173" s="341" t="s">
        <v>15</v>
      </c>
      <c r="AP173" s="342"/>
      <c r="AQ173" s="343"/>
      <c r="AR173" s="370">
        <v>4761</v>
      </c>
      <c r="AS173" s="326">
        <v>150</v>
      </c>
      <c r="AT173" s="392">
        <v>0.8</v>
      </c>
      <c r="AU173" s="392"/>
      <c r="AV173" s="392">
        <v>0.8</v>
      </c>
      <c r="AW173" s="340"/>
      <c r="AX173" s="347"/>
      <c r="AY173" s="348"/>
      <c r="AZ173" s="377"/>
      <c r="BA173" s="374"/>
      <c r="BB173" s="374"/>
      <c r="BC173" s="374"/>
      <c r="BD173" s="374"/>
      <c r="BE173" s="374"/>
      <c r="BF173" s="374"/>
      <c r="BG173" s="374"/>
      <c r="BH173" s="378"/>
      <c r="BI173" s="376"/>
      <c r="BJ173" s="379"/>
      <c r="BK173" s="380"/>
      <c r="BL173" s="348"/>
      <c r="BM173" s="381"/>
      <c r="BN173" s="321" t="s">
        <v>15</v>
      </c>
      <c r="BO173" s="372"/>
      <c r="BP173" s="373" t="s">
        <v>14</v>
      </c>
      <c r="BQ173" s="360"/>
      <c r="BR173" s="361"/>
      <c r="BS173" s="361"/>
      <c r="BT173" s="361"/>
      <c r="BU173" s="342" t="s">
        <v>210</v>
      </c>
      <c r="BV173" s="342" t="s">
        <v>210</v>
      </c>
      <c r="BW173" s="341" t="s">
        <v>15</v>
      </c>
      <c r="BX173" s="361"/>
      <c r="BY173" s="362" t="s">
        <v>957</v>
      </c>
      <c r="BZ173" s="363"/>
      <c r="CA173" s="363"/>
      <c r="CB173" s="363"/>
      <c r="CC173" s="363"/>
      <c r="CD173" s="293"/>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row>
    <row r="174" spans="2:220" s="287" customFormat="1" ht="22.5" customHeight="1">
      <c r="B174" s="365">
        <v>230134</v>
      </c>
      <c r="C174" s="366" t="s">
        <v>186</v>
      </c>
      <c r="D174" s="367"/>
      <c r="E174" s="368"/>
      <c r="F174" s="321" t="s">
        <v>59</v>
      </c>
      <c r="G174" s="326" t="s">
        <v>2516</v>
      </c>
      <c r="H174" s="326" t="s">
        <v>2517</v>
      </c>
      <c r="I174" s="326" t="s">
        <v>11</v>
      </c>
      <c r="J174" s="326" t="s">
        <v>12</v>
      </c>
      <c r="K174" s="326" t="s">
        <v>10</v>
      </c>
      <c r="L174" s="323"/>
      <c r="M174" s="374"/>
      <c r="N174" s="325" t="s">
        <v>633</v>
      </c>
      <c r="O174" s="392" t="s">
        <v>15</v>
      </c>
      <c r="P174" s="392" t="s">
        <v>15</v>
      </c>
      <c r="Q174" s="340" t="s">
        <v>15</v>
      </c>
      <c r="R174" s="329" t="s">
        <v>634</v>
      </c>
      <c r="S174" s="330"/>
      <c r="T174" s="330"/>
      <c r="U174" s="330"/>
      <c r="V174" s="330"/>
      <c r="W174" s="332" t="s">
        <v>1097</v>
      </c>
      <c r="X174" s="331" t="s">
        <v>14667</v>
      </c>
      <c r="Y174" s="331" t="s">
        <v>14669</v>
      </c>
      <c r="Z174" s="331" t="s">
        <v>14668</v>
      </c>
      <c r="AA174" s="331" t="s">
        <v>14670</v>
      </c>
      <c r="AB174" s="333"/>
      <c r="AC174" s="333"/>
      <c r="AD174" s="396" t="s">
        <v>42</v>
      </c>
      <c r="AE174" s="335" t="s">
        <v>104</v>
      </c>
      <c r="AF174" s="336"/>
      <c r="AG174" s="337"/>
      <c r="AH174" s="417" t="s">
        <v>435</v>
      </c>
      <c r="AI174" s="392" t="s">
        <v>435</v>
      </c>
      <c r="AJ174" s="392" t="s">
        <v>435</v>
      </c>
      <c r="AK174" s="340" t="s">
        <v>435</v>
      </c>
      <c r="AL174" s="321" t="s">
        <v>210</v>
      </c>
      <c r="AM174" s="392" t="s">
        <v>15</v>
      </c>
      <c r="AN174" s="392" t="s">
        <v>15</v>
      </c>
      <c r="AO174" s="341" t="s">
        <v>15</v>
      </c>
      <c r="AP174" s="342"/>
      <c r="AQ174" s="343"/>
      <c r="AR174" s="370">
        <v>16425</v>
      </c>
      <c r="AS174" s="326">
        <v>120</v>
      </c>
      <c r="AT174" s="392">
        <v>1</v>
      </c>
      <c r="AU174" s="392"/>
      <c r="AV174" s="392">
        <v>1</v>
      </c>
      <c r="AW174" s="340"/>
      <c r="AX174" s="347"/>
      <c r="AY174" s="348"/>
      <c r="AZ174" s="377"/>
      <c r="BA174" s="374"/>
      <c r="BB174" s="374"/>
      <c r="BC174" s="374"/>
      <c r="BD174" s="374"/>
      <c r="BE174" s="374"/>
      <c r="BF174" s="374"/>
      <c r="BG174" s="374"/>
      <c r="BH174" s="378"/>
      <c r="BI174" s="376"/>
      <c r="BJ174" s="379"/>
      <c r="BK174" s="380"/>
      <c r="BL174" s="348"/>
      <c r="BM174" s="381"/>
      <c r="BN174" s="321" t="s">
        <v>14</v>
      </c>
      <c r="BO174" s="372"/>
      <c r="BP174" s="373" t="s">
        <v>14</v>
      </c>
      <c r="BQ174" s="360"/>
      <c r="BR174" s="361"/>
      <c r="BS174" s="361"/>
      <c r="BT174" s="361"/>
      <c r="BU174" s="342" t="s">
        <v>210</v>
      </c>
      <c r="BV174" s="342" t="s">
        <v>210</v>
      </c>
      <c r="BW174" s="341" t="s">
        <v>15</v>
      </c>
      <c r="BX174" s="361"/>
      <c r="BY174" s="362"/>
      <c r="BZ174" s="363"/>
      <c r="CA174" s="363"/>
      <c r="CB174" s="363"/>
      <c r="CC174" s="363"/>
      <c r="CD174" s="293"/>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row>
    <row r="175" spans="2:220" s="287" customFormat="1" ht="22.5" customHeight="1">
      <c r="B175" s="365">
        <v>230135</v>
      </c>
      <c r="C175" s="366" t="s">
        <v>14610</v>
      </c>
      <c r="D175" s="367"/>
      <c r="E175" s="368"/>
      <c r="F175" s="321" t="s">
        <v>72</v>
      </c>
      <c r="G175" s="326" t="s">
        <v>2514</v>
      </c>
      <c r="H175" s="326" t="s">
        <v>2515</v>
      </c>
      <c r="I175" s="326" t="s">
        <v>11</v>
      </c>
      <c r="J175" s="326" t="s">
        <v>12</v>
      </c>
      <c r="K175" s="326" t="s">
        <v>10</v>
      </c>
      <c r="L175" s="323"/>
      <c r="M175" s="374"/>
      <c r="N175" s="325" t="s">
        <v>633</v>
      </c>
      <c r="O175" s="392" t="s">
        <v>15</v>
      </c>
      <c r="P175" s="392" t="s">
        <v>15</v>
      </c>
      <c r="Q175" s="340" t="s">
        <v>15</v>
      </c>
      <c r="R175" s="329" t="s">
        <v>635</v>
      </c>
      <c r="S175" s="331" t="s">
        <v>14091</v>
      </c>
      <c r="T175" s="394" t="s">
        <v>12567</v>
      </c>
      <c r="U175" s="394" t="s">
        <v>16336</v>
      </c>
      <c r="V175" s="394" t="s">
        <v>14089</v>
      </c>
      <c r="W175" s="645"/>
      <c r="X175" s="330"/>
      <c r="Y175" s="330"/>
      <c r="Z175" s="330"/>
      <c r="AA175" s="330"/>
      <c r="AB175" s="333"/>
      <c r="AC175" s="333"/>
      <c r="AD175" s="334" t="s">
        <v>34</v>
      </c>
      <c r="AE175" s="335" t="s">
        <v>291</v>
      </c>
      <c r="AF175" s="336"/>
      <c r="AG175" s="337"/>
      <c r="AH175" s="417" t="s">
        <v>435</v>
      </c>
      <c r="AI175" s="392" t="s">
        <v>435</v>
      </c>
      <c r="AJ175" s="392" t="s">
        <v>435</v>
      </c>
      <c r="AK175" s="340" t="s">
        <v>435</v>
      </c>
      <c r="AL175" s="321" t="s">
        <v>210</v>
      </c>
      <c r="AM175" s="392" t="s">
        <v>15</v>
      </c>
      <c r="AN175" s="392" t="s">
        <v>15</v>
      </c>
      <c r="AO175" s="341" t="s">
        <v>15</v>
      </c>
      <c r="AP175" s="342"/>
      <c r="AQ175" s="343"/>
      <c r="AR175" s="370">
        <v>7627</v>
      </c>
      <c r="AS175" s="326">
        <v>130</v>
      </c>
      <c r="AT175" s="392">
        <v>1</v>
      </c>
      <c r="AU175" s="392"/>
      <c r="AV175" s="392">
        <v>1.5</v>
      </c>
      <c r="AW175" s="340"/>
      <c r="AX175" s="347"/>
      <c r="AY175" s="348"/>
      <c r="AZ175" s="377"/>
      <c r="BA175" s="374"/>
      <c r="BB175" s="374"/>
      <c r="BC175" s="374"/>
      <c r="BD175" s="374"/>
      <c r="BE175" s="374"/>
      <c r="BF175" s="374"/>
      <c r="BG175" s="374"/>
      <c r="BH175" s="378"/>
      <c r="BI175" s="376"/>
      <c r="BJ175" s="379"/>
      <c r="BK175" s="380"/>
      <c r="BL175" s="348"/>
      <c r="BM175" s="381"/>
      <c r="BN175" s="321" t="s">
        <v>14</v>
      </c>
      <c r="BO175" s="372"/>
      <c r="BP175" s="373" t="s">
        <v>14</v>
      </c>
      <c r="BQ175" s="360"/>
      <c r="BR175" s="361"/>
      <c r="BS175" s="361"/>
      <c r="BT175" s="361"/>
      <c r="BU175" s="342" t="s">
        <v>210</v>
      </c>
      <c r="BV175" s="342" t="s">
        <v>210</v>
      </c>
      <c r="BW175" s="341" t="s">
        <v>15</v>
      </c>
      <c r="BX175" s="361"/>
      <c r="BY175" s="362"/>
      <c r="BZ175" s="363"/>
      <c r="CA175" s="363"/>
      <c r="CB175" s="363"/>
      <c r="CC175" s="363"/>
      <c r="CD175" s="293"/>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row>
    <row r="176" spans="2:220" s="287" customFormat="1" ht="22.5" customHeight="1">
      <c r="B176" s="365">
        <v>230137</v>
      </c>
      <c r="C176" s="366" t="s">
        <v>471</v>
      </c>
      <c r="D176" s="367"/>
      <c r="E176" s="368"/>
      <c r="F176" s="321" t="s">
        <v>41</v>
      </c>
      <c r="G176" s="326" t="s">
        <v>2512</v>
      </c>
      <c r="H176" s="326" t="s">
        <v>2513</v>
      </c>
      <c r="I176" s="326" t="s">
        <v>11</v>
      </c>
      <c r="J176" s="326" t="s">
        <v>12</v>
      </c>
      <c r="K176" s="326" t="s">
        <v>10</v>
      </c>
      <c r="L176" s="323"/>
      <c r="M176" s="324" t="s">
        <v>10767</v>
      </c>
      <c r="N176" s="325" t="s">
        <v>438</v>
      </c>
      <c r="O176" s="326">
        <v>30</v>
      </c>
      <c r="P176" s="392" t="s">
        <v>15</v>
      </c>
      <c r="Q176" s="340" t="s">
        <v>15</v>
      </c>
      <c r="R176" s="329" t="s">
        <v>516</v>
      </c>
      <c r="S176" s="331" t="s">
        <v>14270</v>
      </c>
      <c r="T176" s="394" t="s">
        <v>11829</v>
      </c>
      <c r="U176" s="394" t="s">
        <v>11828</v>
      </c>
      <c r="V176" s="331" t="s">
        <v>14271</v>
      </c>
      <c r="W176" s="332" t="s">
        <v>432</v>
      </c>
      <c r="X176" s="331" t="s">
        <v>11079</v>
      </c>
      <c r="Y176" s="331" t="s">
        <v>11080</v>
      </c>
      <c r="Z176" s="331" t="s">
        <v>11080</v>
      </c>
      <c r="AA176" s="331" t="s">
        <v>210</v>
      </c>
      <c r="AB176" s="333"/>
      <c r="AC176" s="333"/>
      <c r="AD176" s="334" t="s">
        <v>272</v>
      </c>
      <c r="AE176" s="335" t="s">
        <v>90</v>
      </c>
      <c r="AF176" s="336"/>
      <c r="AG176" s="337"/>
      <c r="AH176" s="338">
        <v>7.7</v>
      </c>
      <c r="AI176" s="339">
        <v>15.4</v>
      </c>
      <c r="AJ176" s="339">
        <v>16.899999999999999</v>
      </c>
      <c r="AK176" s="340">
        <f>SUM(AH176:AJ176)</f>
        <v>40</v>
      </c>
      <c r="AL176" s="321" t="s">
        <v>210</v>
      </c>
      <c r="AM176" s="392" t="s">
        <v>15</v>
      </c>
      <c r="AN176" s="392" t="s">
        <v>15</v>
      </c>
      <c r="AO176" s="341" t="s">
        <v>15</v>
      </c>
      <c r="AP176" s="342"/>
      <c r="AQ176" s="343"/>
      <c r="AR176" s="370">
        <v>2891</v>
      </c>
      <c r="AS176" s="326">
        <v>100</v>
      </c>
      <c r="AT176" s="392">
        <v>0.6</v>
      </c>
      <c r="AU176" s="392"/>
      <c r="AV176" s="392">
        <v>0.6</v>
      </c>
      <c r="AW176" s="340"/>
      <c r="AX176" s="347"/>
      <c r="AY176" s="348"/>
      <c r="AZ176" s="377"/>
      <c r="BA176" s="374"/>
      <c r="BB176" s="374"/>
      <c r="BC176" s="374"/>
      <c r="BD176" s="374"/>
      <c r="BE176" s="374"/>
      <c r="BF176" s="374"/>
      <c r="BG176" s="374"/>
      <c r="BH176" s="378"/>
      <c r="BI176" s="376"/>
      <c r="BJ176" s="379"/>
      <c r="BK176" s="380"/>
      <c r="BL176" s="348"/>
      <c r="BM176" s="381"/>
      <c r="BN176" s="321" t="s">
        <v>15</v>
      </c>
      <c r="BO176" s="372"/>
      <c r="BP176" s="373" t="s">
        <v>15</v>
      </c>
      <c r="BQ176" s="360"/>
      <c r="BR176" s="361"/>
      <c r="BS176" s="361"/>
      <c r="BT176" s="361"/>
      <c r="BU176" s="342" t="s">
        <v>210</v>
      </c>
      <c r="BV176" s="342" t="s">
        <v>210</v>
      </c>
      <c r="BW176" s="341" t="s">
        <v>15</v>
      </c>
      <c r="BX176" s="361"/>
      <c r="BY176" s="362"/>
      <c r="BZ176" s="363"/>
      <c r="CA176" s="363"/>
      <c r="CB176" s="363"/>
      <c r="CC176" s="363"/>
      <c r="CD176" s="293"/>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row>
    <row r="177" spans="2:220" s="287" customFormat="1" ht="22.5" customHeight="1">
      <c r="B177" s="365">
        <v>230138</v>
      </c>
      <c r="C177" s="366" t="s">
        <v>14648</v>
      </c>
      <c r="D177" s="367"/>
      <c r="E177" s="368"/>
      <c r="F177" s="321" t="s">
        <v>59</v>
      </c>
      <c r="G177" s="326" t="s">
        <v>2510</v>
      </c>
      <c r="H177" s="326" t="s">
        <v>2511</v>
      </c>
      <c r="I177" s="326" t="s">
        <v>11</v>
      </c>
      <c r="J177" s="326" t="s">
        <v>12</v>
      </c>
      <c r="K177" s="326" t="s">
        <v>31</v>
      </c>
      <c r="L177" s="323"/>
      <c r="M177" s="374"/>
      <c r="N177" s="325" t="s">
        <v>633</v>
      </c>
      <c r="O177" s="392" t="s">
        <v>15</v>
      </c>
      <c r="P177" s="392" t="s">
        <v>15</v>
      </c>
      <c r="Q177" s="340" t="s">
        <v>15</v>
      </c>
      <c r="R177" s="329" t="s">
        <v>569</v>
      </c>
      <c r="S177" s="330"/>
      <c r="T177" s="330"/>
      <c r="U177" s="330"/>
      <c r="V177" s="330"/>
      <c r="W177" s="332" t="s">
        <v>1109</v>
      </c>
      <c r="X177" s="331" t="s">
        <v>14649</v>
      </c>
      <c r="Y177" s="331" t="s">
        <v>14650</v>
      </c>
      <c r="Z177" s="331" t="s">
        <v>14651</v>
      </c>
      <c r="AA177" s="331" t="s">
        <v>14652</v>
      </c>
      <c r="AB177" s="333"/>
      <c r="AC177" s="333"/>
      <c r="AD177" s="396" t="s">
        <v>42</v>
      </c>
      <c r="AE177" s="391"/>
      <c r="AF177" s="336"/>
      <c r="AG177" s="337"/>
      <c r="AH177" s="417" t="s">
        <v>435</v>
      </c>
      <c r="AI177" s="392" t="s">
        <v>435</v>
      </c>
      <c r="AJ177" s="392" t="s">
        <v>435</v>
      </c>
      <c r="AK177" s="340" t="s">
        <v>435</v>
      </c>
      <c r="AL177" s="321" t="s">
        <v>210</v>
      </c>
      <c r="AM177" s="392" t="s">
        <v>15</v>
      </c>
      <c r="AN177" s="392" t="s">
        <v>15</v>
      </c>
      <c r="AO177" s="341" t="s">
        <v>15</v>
      </c>
      <c r="AP177" s="342"/>
      <c r="AQ177" s="343"/>
      <c r="AR177" s="370">
        <v>2051</v>
      </c>
      <c r="AS177" s="326">
        <v>100</v>
      </c>
      <c r="AT177" s="392">
        <v>1</v>
      </c>
      <c r="AU177" s="392"/>
      <c r="AV177" s="392">
        <v>2</v>
      </c>
      <c r="AW177" s="340"/>
      <c r="AX177" s="347"/>
      <c r="AY177" s="348"/>
      <c r="AZ177" s="377"/>
      <c r="BA177" s="374"/>
      <c r="BB177" s="374"/>
      <c r="BC177" s="374"/>
      <c r="BD177" s="374"/>
      <c r="BE177" s="374"/>
      <c r="BF177" s="374"/>
      <c r="BG177" s="374"/>
      <c r="BH177" s="378"/>
      <c r="BI177" s="376"/>
      <c r="BJ177" s="379"/>
      <c r="BK177" s="380"/>
      <c r="BL177" s="348"/>
      <c r="BM177" s="381"/>
      <c r="BN177" s="321" t="s">
        <v>15</v>
      </c>
      <c r="BO177" s="372"/>
      <c r="BP177" s="373" t="s">
        <v>14</v>
      </c>
      <c r="BQ177" s="360"/>
      <c r="BR177" s="361"/>
      <c r="BS177" s="361"/>
      <c r="BT177" s="361"/>
      <c r="BU177" s="342" t="s">
        <v>210</v>
      </c>
      <c r="BV177" s="342" t="s">
        <v>210</v>
      </c>
      <c r="BW177" s="341" t="s">
        <v>15</v>
      </c>
      <c r="BX177" s="361"/>
      <c r="BY177" s="362"/>
      <c r="BZ177" s="363"/>
      <c r="CA177" s="363"/>
      <c r="CB177" s="363"/>
      <c r="CC177" s="363"/>
      <c r="CD177" s="293"/>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row>
    <row r="178" spans="2:220" s="287" customFormat="1" ht="22.5" customHeight="1">
      <c r="B178" s="365">
        <v>230139</v>
      </c>
      <c r="C178" s="366" t="s">
        <v>14647</v>
      </c>
      <c r="D178" s="367"/>
      <c r="E178" s="368"/>
      <c r="F178" s="321" t="s">
        <v>83</v>
      </c>
      <c r="G178" s="326" t="s">
        <v>2508</v>
      </c>
      <c r="H178" s="326" t="s">
        <v>2509</v>
      </c>
      <c r="I178" s="326" t="s">
        <v>11</v>
      </c>
      <c r="J178" s="326" t="s">
        <v>12</v>
      </c>
      <c r="K178" s="326" t="s">
        <v>10</v>
      </c>
      <c r="L178" s="323"/>
      <c r="M178" s="374"/>
      <c r="N178" s="325" t="s">
        <v>633</v>
      </c>
      <c r="O178" s="392" t="s">
        <v>15</v>
      </c>
      <c r="P178" s="392" t="s">
        <v>15</v>
      </c>
      <c r="Q178" s="340" t="s">
        <v>15</v>
      </c>
      <c r="R178" s="329" t="s">
        <v>636</v>
      </c>
      <c r="S178" s="330"/>
      <c r="T178" s="394" t="s">
        <v>12276</v>
      </c>
      <c r="U178" s="394" t="s">
        <v>12277</v>
      </c>
      <c r="V178" s="330"/>
      <c r="W178" s="332" t="s">
        <v>637</v>
      </c>
      <c r="X178" s="331" t="s">
        <v>14628</v>
      </c>
      <c r="Y178" s="331" t="s">
        <v>14630</v>
      </c>
      <c r="Z178" s="331" t="s">
        <v>14629</v>
      </c>
      <c r="AA178" s="331" t="s">
        <v>14631</v>
      </c>
      <c r="AB178" s="333"/>
      <c r="AC178" s="333"/>
      <c r="AD178" s="334" t="s">
        <v>107</v>
      </c>
      <c r="AE178" s="335" t="s">
        <v>34</v>
      </c>
      <c r="AF178" s="336"/>
      <c r="AG178" s="337"/>
      <c r="AH178" s="417" t="s">
        <v>435</v>
      </c>
      <c r="AI178" s="392" t="s">
        <v>435</v>
      </c>
      <c r="AJ178" s="392" t="s">
        <v>435</v>
      </c>
      <c r="AK178" s="340" t="s">
        <v>435</v>
      </c>
      <c r="AL178" s="321" t="s">
        <v>210</v>
      </c>
      <c r="AM178" s="392" t="s">
        <v>15</v>
      </c>
      <c r="AN178" s="392" t="s">
        <v>15</v>
      </c>
      <c r="AO178" s="341" t="s">
        <v>15</v>
      </c>
      <c r="AP178" s="342"/>
      <c r="AQ178" s="343"/>
      <c r="AR178" s="370">
        <v>7874</v>
      </c>
      <c r="AS178" s="326">
        <v>100</v>
      </c>
      <c r="AT178" s="392">
        <v>1</v>
      </c>
      <c r="AU178" s="392"/>
      <c r="AV178" s="392">
        <v>1.5</v>
      </c>
      <c r="AW178" s="340"/>
      <c r="AX178" s="347"/>
      <c r="AY178" s="348"/>
      <c r="AZ178" s="377"/>
      <c r="BA178" s="374"/>
      <c r="BB178" s="374"/>
      <c r="BC178" s="374"/>
      <c r="BD178" s="374"/>
      <c r="BE178" s="374"/>
      <c r="BF178" s="374"/>
      <c r="BG178" s="374"/>
      <c r="BH178" s="378"/>
      <c r="BI178" s="376"/>
      <c r="BJ178" s="379"/>
      <c r="BK178" s="380"/>
      <c r="BL178" s="348"/>
      <c r="BM178" s="381"/>
      <c r="BN178" s="321" t="s">
        <v>14</v>
      </c>
      <c r="BO178" s="372"/>
      <c r="BP178" s="373" t="s">
        <v>14</v>
      </c>
      <c r="BQ178" s="360"/>
      <c r="BR178" s="361"/>
      <c r="BS178" s="361"/>
      <c r="BT178" s="361"/>
      <c r="BU178" s="342" t="s">
        <v>210</v>
      </c>
      <c r="BV178" s="342" t="s">
        <v>210</v>
      </c>
      <c r="BW178" s="341" t="s">
        <v>15</v>
      </c>
      <c r="BX178" s="361"/>
      <c r="BY178" s="362"/>
      <c r="BZ178" s="363"/>
      <c r="CA178" s="363"/>
      <c r="CB178" s="363"/>
      <c r="CC178" s="363"/>
      <c r="CD178" s="293"/>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row>
    <row r="179" spans="2:220" s="287" customFormat="1" ht="22.5" customHeight="1">
      <c r="B179" s="365">
        <v>230140</v>
      </c>
      <c r="C179" s="366" t="s">
        <v>14643</v>
      </c>
      <c r="D179" s="367"/>
      <c r="E179" s="368"/>
      <c r="F179" s="321" t="s">
        <v>45</v>
      </c>
      <c r="G179" s="326" t="s">
        <v>2506</v>
      </c>
      <c r="H179" s="326" t="s">
        <v>2507</v>
      </c>
      <c r="I179" s="326" t="s">
        <v>11</v>
      </c>
      <c r="J179" s="326" t="s">
        <v>12</v>
      </c>
      <c r="K179" s="326" t="s">
        <v>10</v>
      </c>
      <c r="L179" s="323"/>
      <c r="M179" s="374"/>
      <c r="N179" s="325" t="s">
        <v>633</v>
      </c>
      <c r="O179" s="392" t="s">
        <v>15</v>
      </c>
      <c r="P179" s="392" t="s">
        <v>15</v>
      </c>
      <c r="Q179" s="340" t="s">
        <v>15</v>
      </c>
      <c r="R179" s="329" t="s">
        <v>528</v>
      </c>
      <c r="S179" s="331" t="s">
        <v>14644</v>
      </c>
      <c r="T179" s="331" t="s">
        <v>14645</v>
      </c>
      <c r="U179" s="330"/>
      <c r="V179" s="331" t="s">
        <v>14646</v>
      </c>
      <c r="W179" s="332" t="s">
        <v>528</v>
      </c>
      <c r="X179" s="330"/>
      <c r="Y179" s="330"/>
      <c r="Z179" s="330"/>
      <c r="AA179" s="330"/>
      <c r="AB179" s="333"/>
      <c r="AC179" s="333"/>
      <c r="AD179" s="334" t="s">
        <v>818</v>
      </c>
      <c r="AE179" s="335" t="s">
        <v>817</v>
      </c>
      <c r="AF179" s="336"/>
      <c r="AG179" s="337"/>
      <c r="AH179" s="417" t="s">
        <v>435</v>
      </c>
      <c r="AI179" s="392" t="s">
        <v>435</v>
      </c>
      <c r="AJ179" s="392" t="s">
        <v>435</v>
      </c>
      <c r="AK179" s="340" t="s">
        <v>435</v>
      </c>
      <c r="AL179" s="321" t="s">
        <v>210</v>
      </c>
      <c r="AM179" s="392" t="s">
        <v>15</v>
      </c>
      <c r="AN179" s="392" t="s">
        <v>15</v>
      </c>
      <c r="AO179" s="341" t="s">
        <v>15</v>
      </c>
      <c r="AP179" s="342"/>
      <c r="AQ179" s="343"/>
      <c r="AR179" s="370">
        <v>11969</v>
      </c>
      <c r="AS179" s="326">
        <v>100</v>
      </c>
      <c r="AT179" s="392">
        <v>1</v>
      </c>
      <c r="AU179" s="392"/>
      <c r="AV179" s="392">
        <v>1.5</v>
      </c>
      <c r="AW179" s="340"/>
      <c r="AX179" s="347"/>
      <c r="AY179" s="348"/>
      <c r="AZ179" s="377"/>
      <c r="BA179" s="374"/>
      <c r="BB179" s="374"/>
      <c r="BC179" s="374"/>
      <c r="BD179" s="374"/>
      <c r="BE179" s="374"/>
      <c r="BF179" s="374"/>
      <c r="BG179" s="374"/>
      <c r="BH179" s="378"/>
      <c r="BI179" s="376"/>
      <c r="BJ179" s="379"/>
      <c r="BK179" s="380"/>
      <c r="BL179" s="348"/>
      <c r="BM179" s="381"/>
      <c r="BN179" s="321" t="s">
        <v>14</v>
      </c>
      <c r="BO179" s="372"/>
      <c r="BP179" s="373" t="s">
        <v>14</v>
      </c>
      <c r="BQ179" s="360"/>
      <c r="BR179" s="361"/>
      <c r="BS179" s="361"/>
      <c r="BT179" s="361"/>
      <c r="BU179" s="342" t="s">
        <v>210</v>
      </c>
      <c r="BV179" s="342" t="s">
        <v>210</v>
      </c>
      <c r="BW179" s="341" t="s">
        <v>15</v>
      </c>
      <c r="BX179" s="361"/>
      <c r="BY179" s="362"/>
      <c r="BZ179" s="363"/>
      <c r="CA179" s="363"/>
      <c r="CB179" s="363"/>
      <c r="CC179" s="363"/>
      <c r="CD179" s="293"/>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row>
    <row r="180" spans="2:220" s="287" customFormat="1" ht="22.5" customHeight="1">
      <c r="B180" s="365">
        <v>230141</v>
      </c>
      <c r="C180" s="366" t="s">
        <v>14252</v>
      </c>
      <c r="D180" s="367"/>
      <c r="E180" s="368"/>
      <c r="F180" s="321" t="s">
        <v>39</v>
      </c>
      <c r="G180" s="326" t="s">
        <v>2477</v>
      </c>
      <c r="H180" s="326" t="s">
        <v>2505</v>
      </c>
      <c r="I180" s="326" t="s">
        <v>11</v>
      </c>
      <c r="J180" s="326" t="s">
        <v>12</v>
      </c>
      <c r="K180" s="326" t="s">
        <v>10</v>
      </c>
      <c r="L180" s="323"/>
      <c r="M180" s="374"/>
      <c r="N180" s="325" t="s">
        <v>640</v>
      </c>
      <c r="O180" s="392" t="s">
        <v>15</v>
      </c>
      <c r="P180" s="392" t="s">
        <v>15</v>
      </c>
      <c r="Q180" s="340" t="s">
        <v>15</v>
      </c>
      <c r="R180" s="329" t="s">
        <v>436</v>
      </c>
      <c r="S180" s="331" t="s">
        <v>14253</v>
      </c>
      <c r="T180" s="331" t="s">
        <v>11187</v>
      </c>
      <c r="U180" s="331" t="s">
        <v>11186</v>
      </c>
      <c r="V180" s="331" t="s">
        <v>13557</v>
      </c>
      <c r="W180" s="645"/>
      <c r="X180" s="330"/>
      <c r="Y180" s="330"/>
      <c r="Z180" s="330"/>
      <c r="AA180" s="330"/>
      <c r="AB180" s="333"/>
      <c r="AC180" s="333"/>
      <c r="AD180" s="334" t="s">
        <v>126</v>
      </c>
      <c r="AE180" s="335" t="s">
        <v>15</v>
      </c>
      <c r="AF180" s="336"/>
      <c r="AG180" s="337"/>
      <c r="AH180" s="417" t="s">
        <v>435</v>
      </c>
      <c r="AI180" s="392" t="s">
        <v>435</v>
      </c>
      <c r="AJ180" s="392" t="s">
        <v>435</v>
      </c>
      <c r="AK180" s="340" t="s">
        <v>435</v>
      </c>
      <c r="AL180" s="321" t="s">
        <v>210</v>
      </c>
      <c r="AM180" s="392" t="s">
        <v>15</v>
      </c>
      <c r="AN180" s="392" t="s">
        <v>15</v>
      </c>
      <c r="AO180" s="341" t="s">
        <v>15</v>
      </c>
      <c r="AP180" s="342"/>
      <c r="AQ180" s="343"/>
      <c r="AR180" s="370">
        <v>384</v>
      </c>
      <c r="AS180" s="326">
        <v>130</v>
      </c>
      <c r="AT180" s="392">
        <v>2</v>
      </c>
      <c r="AU180" s="392"/>
      <c r="AV180" s="392" t="s">
        <v>958</v>
      </c>
      <c r="AW180" s="340"/>
      <c r="AX180" s="347"/>
      <c r="AY180" s="348"/>
      <c r="AZ180" s="377"/>
      <c r="BA180" s="374"/>
      <c r="BB180" s="374"/>
      <c r="BC180" s="374"/>
      <c r="BD180" s="374"/>
      <c r="BE180" s="374"/>
      <c r="BF180" s="374"/>
      <c r="BG180" s="374"/>
      <c r="BH180" s="378"/>
      <c r="BI180" s="376"/>
      <c r="BJ180" s="379"/>
      <c r="BK180" s="380"/>
      <c r="BL180" s="348"/>
      <c r="BM180" s="381"/>
      <c r="BN180" s="321" t="s">
        <v>14</v>
      </c>
      <c r="BO180" s="372"/>
      <c r="BP180" s="373" t="s">
        <v>15</v>
      </c>
      <c r="BQ180" s="360"/>
      <c r="BR180" s="361"/>
      <c r="BS180" s="361"/>
      <c r="BT180" s="361"/>
      <c r="BU180" s="342" t="s">
        <v>210</v>
      </c>
      <c r="BV180" s="342" t="s">
        <v>210</v>
      </c>
      <c r="BW180" s="341" t="s">
        <v>15</v>
      </c>
      <c r="BX180" s="361"/>
      <c r="BY180" s="362"/>
      <c r="BZ180" s="363"/>
      <c r="CA180" s="363"/>
      <c r="CB180" s="363"/>
      <c r="CC180" s="363"/>
      <c r="CD180" s="293"/>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row>
    <row r="181" spans="2:220" s="287" customFormat="1" ht="22.5" customHeight="1">
      <c r="B181" s="365">
        <v>230142</v>
      </c>
      <c r="C181" s="366" t="s">
        <v>217</v>
      </c>
      <c r="D181" s="367"/>
      <c r="E181" s="368"/>
      <c r="F181" s="321" t="s">
        <v>174</v>
      </c>
      <c r="G181" s="326" t="s">
        <v>2461</v>
      </c>
      <c r="H181" s="326" t="s">
        <v>2462</v>
      </c>
      <c r="I181" s="326" t="s">
        <v>11</v>
      </c>
      <c r="J181" s="326" t="s">
        <v>12</v>
      </c>
      <c r="K181" s="326" t="s">
        <v>10</v>
      </c>
      <c r="L181" s="323"/>
      <c r="M181" s="324" t="s">
        <v>10768</v>
      </c>
      <c r="N181" s="325" t="s">
        <v>438</v>
      </c>
      <c r="O181" s="326">
        <v>200</v>
      </c>
      <c r="P181" s="392" t="s">
        <v>15</v>
      </c>
      <c r="Q181" s="340" t="s">
        <v>15</v>
      </c>
      <c r="R181" s="329" t="s">
        <v>1098</v>
      </c>
      <c r="S181" s="331" t="s">
        <v>11102</v>
      </c>
      <c r="T181" s="394" t="s">
        <v>12439</v>
      </c>
      <c r="U181" s="394" t="s">
        <v>16310</v>
      </c>
      <c r="V181" s="331" t="s">
        <v>11421</v>
      </c>
      <c r="W181" s="332" t="s">
        <v>432</v>
      </c>
      <c r="X181" s="331" t="s">
        <v>11079</v>
      </c>
      <c r="Y181" s="331" t="s">
        <v>11080</v>
      </c>
      <c r="Z181" s="331" t="s">
        <v>11080</v>
      </c>
      <c r="AA181" s="331" t="s">
        <v>210</v>
      </c>
      <c r="AB181" s="333"/>
      <c r="AC181" s="333"/>
      <c r="AD181" s="334" t="s">
        <v>891</v>
      </c>
      <c r="AE181" s="335" t="s">
        <v>808</v>
      </c>
      <c r="AF181" s="336"/>
      <c r="AG181" s="337"/>
      <c r="AH181" s="338">
        <v>13.1</v>
      </c>
      <c r="AI181" s="339">
        <v>28.4</v>
      </c>
      <c r="AJ181" s="339">
        <v>37.450000000000003</v>
      </c>
      <c r="AK181" s="340">
        <f>SUM(AH181:AJ181)</f>
        <v>78.95</v>
      </c>
      <c r="AL181" s="321" t="s">
        <v>660</v>
      </c>
      <c r="AM181" s="392" t="s">
        <v>15</v>
      </c>
      <c r="AN181" s="392" t="s">
        <v>15</v>
      </c>
      <c r="AO181" s="341" t="s">
        <v>15</v>
      </c>
      <c r="AP181" s="342"/>
      <c r="AQ181" s="343"/>
      <c r="AR181" s="370">
        <v>4779</v>
      </c>
      <c r="AS181" s="326">
        <v>150</v>
      </c>
      <c r="AT181" s="392">
        <v>0.7</v>
      </c>
      <c r="AU181" s="392"/>
      <c r="AV181" s="392" t="s">
        <v>210</v>
      </c>
      <c r="AW181" s="340"/>
      <c r="AX181" s="347"/>
      <c r="AY181" s="348"/>
      <c r="AZ181" s="377"/>
      <c r="BA181" s="374"/>
      <c r="BB181" s="374"/>
      <c r="BC181" s="374"/>
      <c r="BD181" s="374"/>
      <c r="BE181" s="374"/>
      <c r="BF181" s="374"/>
      <c r="BG181" s="374"/>
      <c r="BH181" s="378"/>
      <c r="BI181" s="376"/>
      <c r="BJ181" s="379"/>
      <c r="BK181" s="380"/>
      <c r="BL181" s="348"/>
      <c r="BM181" s="381"/>
      <c r="BN181" s="321" t="s">
        <v>15</v>
      </c>
      <c r="BO181" s="372"/>
      <c r="BP181" s="373" t="s">
        <v>15</v>
      </c>
      <c r="BQ181" s="360"/>
      <c r="BR181" s="361"/>
      <c r="BS181" s="361"/>
      <c r="BT181" s="361"/>
      <c r="BU181" s="342" t="s">
        <v>210</v>
      </c>
      <c r="BV181" s="342" t="s">
        <v>210</v>
      </c>
      <c r="BW181" s="341" t="s">
        <v>15</v>
      </c>
      <c r="BX181" s="361"/>
      <c r="BY181" s="362" t="s">
        <v>927</v>
      </c>
      <c r="BZ181" s="363"/>
      <c r="CA181" s="363"/>
      <c r="CB181" s="363"/>
      <c r="CC181" s="363"/>
      <c r="CD181" s="293"/>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row>
    <row r="182" spans="2:220" s="287" customFormat="1" ht="22.5" customHeight="1">
      <c r="B182" s="365">
        <v>230143</v>
      </c>
      <c r="C182" s="366" t="s">
        <v>13063</v>
      </c>
      <c r="D182" s="367"/>
      <c r="E182" s="368"/>
      <c r="F182" s="321" t="s">
        <v>41</v>
      </c>
      <c r="G182" s="326" t="s">
        <v>2503</v>
      </c>
      <c r="H182" s="326" t="s">
        <v>2504</v>
      </c>
      <c r="I182" s="326" t="s">
        <v>11</v>
      </c>
      <c r="J182" s="326" t="s">
        <v>12</v>
      </c>
      <c r="K182" s="326" t="s">
        <v>10</v>
      </c>
      <c r="L182" s="323"/>
      <c r="M182" s="324" t="s">
        <v>10767</v>
      </c>
      <c r="N182" s="325" t="s">
        <v>438</v>
      </c>
      <c r="O182" s="326">
        <v>30</v>
      </c>
      <c r="P182" s="327">
        <v>2099.4</v>
      </c>
      <c r="Q182" s="369">
        <v>2206.81</v>
      </c>
      <c r="R182" s="329" t="s">
        <v>447</v>
      </c>
      <c r="S182" s="331" t="s">
        <v>13050</v>
      </c>
      <c r="T182" s="331" t="s">
        <v>11078</v>
      </c>
      <c r="U182" s="331" t="s">
        <v>16355</v>
      </c>
      <c r="V182" s="331" t="s">
        <v>13051</v>
      </c>
      <c r="W182" s="332" t="s">
        <v>432</v>
      </c>
      <c r="X182" s="331" t="s">
        <v>11079</v>
      </c>
      <c r="Y182" s="331" t="s">
        <v>11080</v>
      </c>
      <c r="Z182" s="331" t="s">
        <v>11080</v>
      </c>
      <c r="AA182" s="331" t="s">
        <v>210</v>
      </c>
      <c r="AB182" s="333"/>
      <c r="AC182" s="333"/>
      <c r="AD182" s="334" t="s">
        <v>272</v>
      </c>
      <c r="AE182" s="335" t="s">
        <v>43</v>
      </c>
      <c r="AF182" s="336"/>
      <c r="AG182" s="337"/>
      <c r="AH182" s="338">
        <v>6.7</v>
      </c>
      <c r="AI182" s="339">
        <v>15.4</v>
      </c>
      <c r="AJ182" s="339">
        <v>19.8</v>
      </c>
      <c r="AK182" s="340">
        <f>SUM(AH182:AJ182)</f>
        <v>41.900000000000006</v>
      </c>
      <c r="AL182" s="321" t="s">
        <v>210</v>
      </c>
      <c r="AM182" s="392" t="s">
        <v>15</v>
      </c>
      <c r="AN182" s="392" t="s">
        <v>15</v>
      </c>
      <c r="AO182" s="341" t="s">
        <v>15</v>
      </c>
      <c r="AP182" s="342"/>
      <c r="AQ182" s="343"/>
      <c r="AR182" s="370">
        <v>2492</v>
      </c>
      <c r="AS182" s="326">
        <v>100</v>
      </c>
      <c r="AT182" s="392">
        <v>0.8</v>
      </c>
      <c r="AU182" s="392"/>
      <c r="AV182" s="392">
        <v>1.4</v>
      </c>
      <c r="AW182" s="340"/>
      <c r="AX182" s="347"/>
      <c r="AY182" s="348"/>
      <c r="AZ182" s="377"/>
      <c r="BA182" s="374"/>
      <c r="BB182" s="374"/>
      <c r="BC182" s="374"/>
      <c r="BD182" s="374"/>
      <c r="BE182" s="374"/>
      <c r="BF182" s="374"/>
      <c r="BG182" s="374"/>
      <c r="BH182" s="378"/>
      <c r="BI182" s="376"/>
      <c r="BJ182" s="379"/>
      <c r="BK182" s="380"/>
      <c r="BL182" s="348"/>
      <c r="BM182" s="381"/>
      <c r="BN182" s="321" t="s">
        <v>15</v>
      </c>
      <c r="BO182" s="372"/>
      <c r="BP182" s="373" t="s">
        <v>14</v>
      </c>
      <c r="BQ182" s="360"/>
      <c r="BR182" s="361"/>
      <c r="BS182" s="361"/>
      <c r="BT182" s="361"/>
      <c r="BU182" s="342" t="s">
        <v>210</v>
      </c>
      <c r="BV182" s="342" t="s">
        <v>210</v>
      </c>
      <c r="BW182" s="341" t="s">
        <v>15</v>
      </c>
      <c r="BX182" s="361"/>
      <c r="BY182" s="362" t="s">
        <v>705</v>
      </c>
      <c r="BZ182" s="363"/>
      <c r="CA182" s="363"/>
      <c r="CB182" s="363"/>
      <c r="CC182" s="363"/>
      <c r="CD182" s="293"/>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row>
    <row r="183" spans="2:220" s="287" customFormat="1" ht="22.5" customHeight="1">
      <c r="B183" s="365">
        <v>230144</v>
      </c>
      <c r="C183" s="366" t="s">
        <v>14638</v>
      </c>
      <c r="D183" s="367"/>
      <c r="E183" s="368"/>
      <c r="F183" s="321" t="s">
        <v>164</v>
      </c>
      <c r="G183" s="326" t="s">
        <v>2501</v>
      </c>
      <c r="H183" s="326" t="s">
        <v>2502</v>
      </c>
      <c r="I183" s="326" t="s">
        <v>11</v>
      </c>
      <c r="J183" s="326" t="s">
        <v>12</v>
      </c>
      <c r="K183" s="326" t="s">
        <v>10</v>
      </c>
      <c r="L183" s="323"/>
      <c r="M183" s="324" t="s">
        <v>10767</v>
      </c>
      <c r="N183" s="325" t="s">
        <v>438</v>
      </c>
      <c r="O183" s="326">
        <v>10</v>
      </c>
      <c r="P183" s="327">
        <v>678</v>
      </c>
      <c r="Q183" s="369" t="s">
        <v>642</v>
      </c>
      <c r="R183" s="329" t="s">
        <v>641</v>
      </c>
      <c r="S183" s="331" t="s">
        <v>14639</v>
      </c>
      <c r="T183" s="331" t="s">
        <v>14641</v>
      </c>
      <c r="U183" s="331" t="s">
        <v>14640</v>
      </c>
      <c r="V183" s="331" t="s">
        <v>14642</v>
      </c>
      <c r="W183" s="332" t="s">
        <v>432</v>
      </c>
      <c r="X183" s="331" t="s">
        <v>11079</v>
      </c>
      <c r="Y183" s="331" t="s">
        <v>11080</v>
      </c>
      <c r="Z183" s="331" t="s">
        <v>11080</v>
      </c>
      <c r="AA183" s="331" t="s">
        <v>210</v>
      </c>
      <c r="AB183" s="333"/>
      <c r="AC183" s="333"/>
      <c r="AD183" s="334" t="s">
        <v>2328</v>
      </c>
      <c r="AE183" s="335" t="s">
        <v>187</v>
      </c>
      <c r="AF183" s="336"/>
      <c r="AG183" s="337"/>
      <c r="AH183" s="338">
        <v>7.6</v>
      </c>
      <c r="AI183" s="339">
        <v>18.399999999999999</v>
      </c>
      <c r="AJ183" s="339">
        <v>7.5</v>
      </c>
      <c r="AK183" s="340">
        <f>SUM(AH183:AJ183)</f>
        <v>33.5</v>
      </c>
      <c r="AL183" s="321" t="s">
        <v>210</v>
      </c>
      <c r="AM183" s="392" t="s">
        <v>15</v>
      </c>
      <c r="AN183" s="392" t="s">
        <v>15</v>
      </c>
      <c r="AO183" s="341" t="s">
        <v>15</v>
      </c>
      <c r="AP183" s="342"/>
      <c r="AQ183" s="343"/>
      <c r="AR183" s="370">
        <v>763</v>
      </c>
      <c r="AS183" s="326">
        <v>100</v>
      </c>
      <c r="AT183" s="392">
        <v>0.8</v>
      </c>
      <c r="AU183" s="392"/>
      <c r="AV183" s="392">
        <v>1.4</v>
      </c>
      <c r="AW183" s="340"/>
      <c r="AX183" s="347"/>
      <c r="AY183" s="348"/>
      <c r="AZ183" s="377"/>
      <c r="BA183" s="374"/>
      <c r="BB183" s="374"/>
      <c r="BC183" s="374"/>
      <c r="BD183" s="374"/>
      <c r="BE183" s="374"/>
      <c r="BF183" s="374"/>
      <c r="BG183" s="374"/>
      <c r="BH183" s="378"/>
      <c r="BI183" s="376"/>
      <c r="BJ183" s="379"/>
      <c r="BK183" s="380"/>
      <c r="BL183" s="348"/>
      <c r="BM183" s="381"/>
      <c r="BN183" s="321" t="s">
        <v>15</v>
      </c>
      <c r="BO183" s="372"/>
      <c r="BP183" s="373" t="s">
        <v>14</v>
      </c>
      <c r="BQ183" s="360"/>
      <c r="BR183" s="361"/>
      <c r="BS183" s="361"/>
      <c r="BT183" s="361"/>
      <c r="BU183" s="342" t="s">
        <v>210</v>
      </c>
      <c r="BV183" s="342" t="s">
        <v>210</v>
      </c>
      <c r="BW183" s="341" t="s">
        <v>15</v>
      </c>
      <c r="BX183" s="361"/>
      <c r="BY183" s="362" t="s">
        <v>1417</v>
      </c>
      <c r="BZ183" s="363"/>
      <c r="CA183" s="363"/>
      <c r="CB183" s="363"/>
      <c r="CC183" s="363"/>
      <c r="CD183" s="293"/>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row>
    <row r="184" spans="2:220" s="287" customFormat="1" ht="22.5" customHeight="1">
      <c r="B184" s="365">
        <v>230145</v>
      </c>
      <c r="C184" s="366" t="s">
        <v>14633</v>
      </c>
      <c r="D184" s="367"/>
      <c r="E184" s="368"/>
      <c r="F184" s="321" t="s">
        <v>57</v>
      </c>
      <c r="G184" s="326" t="s">
        <v>2499</v>
      </c>
      <c r="H184" s="326" t="s">
        <v>2500</v>
      </c>
      <c r="I184" s="326" t="s">
        <v>11</v>
      </c>
      <c r="J184" s="326" t="s">
        <v>21</v>
      </c>
      <c r="K184" s="326" t="s">
        <v>10</v>
      </c>
      <c r="L184" s="323"/>
      <c r="M184" s="374"/>
      <c r="N184" s="325" t="s">
        <v>640</v>
      </c>
      <c r="O184" s="326">
        <v>30</v>
      </c>
      <c r="P184" s="327">
        <v>2383.4</v>
      </c>
      <c r="Q184" s="369">
        <v>2154.75</v>
      </c>
      <c r="R184" s="329" t="s">
        <v>496</v>
      </c>
      <c r="S184" s="331" t="s">
        <v>14634</v>
      </c>
      <c r="T184" s="331" t="s">
        <v>14637</v>
      </c>
      <c r="U184" s="331" t="s">
        <v>14636</v>
      </c>
      <c r="V184" s="331" t="s">
        <v>14635</v>
      </c>
      <c r="W184" s="332" t="s">
        <v>432</v>
      </c>
      <c r="X184" s="331" t="s">
        <v>11079</v>
      </c>
      <c r="Y184" s="331" t="s">
        <v>11080</v>
      </c>
      <c r="Z184" s="331" t="s">
        <v>11080</v>
      </c>
      <c r="AA184" s="331" t="s">
        <v>210</v>
      </c>
      <c r="AB184" s="333"/>
      <c r="AC184" s="333"/>
      <c r="AD184" s="334" t="s">
        <v>188</v>
      </c>
      <c r="AE184" s="335" t="s">
        <v>15</v>
      </c>
      <c r="AF184" s="336"/>
      <c r="AG184" s="337"/>
      <c r="AH184" s="376"/>
      <c r="AI184" s="347"/>
      <c r="AJ184" s="347"/>
      <c r="AK184" s="371"/>
      <c r="AL184" s="321" t="s">
        <v>210</v>
      </c>
      <c r="AM184" s="392" t="s">
        <v>15</v>
      </c>
      <c r="AN184" s="392" t="s">
        <v>15</v>
      </c>
      <c r="AO184" s="341" t="s">
        <v>15</v>
      </c>
      <c r="AP184" s="342"/>
      <c r="AQ184" s="343"/>
      <c r="AR184" s="370">
        <v>2417</v>
      </c>
      <c r="AS184" s="326">
        <v>100</v>
      </c>
      <c r="AT184" s="392">
        <v>0.8</v>
      </c>
      <c r="AU184" s="392"/>
      <c r="AV184" s="392">
        <v>1.2</v>
      </c>
      <c r="AW184" s="340"/>
      <c r="AX184" s="347"/>
      <c r="AY184" s="348"/>
      <c r="AZ184" s="377"/>
      <c r="BA184" s="374"/>
      <c r="BB184" s="374"/>
      <c r="BC184" s="374"/>
      <c r="BD184" s="374"/>
      <c r="BE184" s="374"/>
      <c r="BF184" s="374"/>
      <c r="BG184" s="374"/>
      <c r="BH184" s="378"/>
      <c r="BI184" s="376"/>
      <c r="BJ184" s="379"/>
      <c r="BK184" s="380"/>
      <c r="BL184" s="348"/>
      <c r="BM184" s="381"/>
      <c r="BN184" s="321" t="s">
        <v>15</v>
      </c>
      <c r="BO184" s="372"/>
      <c r="BP184" s="373" t="s">
        <v>14</v>
      </c>
      <c r="BQ184" s="360"/>
      <c r="BR184" s="361"/>
      <c r="BS184" s="361"/>
      <c r="BT184" s="361"/>
      <c r="BU184" s="342" t="s">
        <v>210</v>
      </c>
      <c r="BV184" s="342" t="s">
        <v>210</v>
      </c>
      <c r="BW184" s="341" t="s">
        <v>15</v>
      </c>
      <c r="BX184" s="361"/>
      <c r="BY184" s="362"/>
      <c r="BZ184" s="363"/>
      <c r="CA184" s="363"/>
      <c r="CB184" s="363"/>
      <c r="CC184" s="363"/>
      <c r="CD184" s="293"/>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row>
    <row r="185" spans="2:220" ht="22.5" customHeight="1">
      <c r="B185" s="365">
        <v>230146</v>
      </c>
      <c r="C185" s="366" t="s">
        <v>14632</v>
      </c>
      <c r="D185" s="367"/>
      <c r="E185" s="368"/>
      <c r="F185" s="321" t="s">
        <v>69</v>
      </c>
      <c r="G185" s="326" t="s">
        <v>2250</v>
      </c>
      <c r="H185" s="326" t="s">
        <v>2251</v>
      </c>
      <c r="I185" s="326" t="s">
        <v>11</v>
      </c>
      <c r="J185" s="326" t="s">
        <v>12</v>
      </c>
      <c r="K185" s="326" t="s">
        <v>806</v>
      </c>
      <c r="L185" s="323"/>
      <c r="M185" s="374"/>
      <c r="N185" s="325" t="s">
        <v>437</v>
      </c>
      <c r="O185" s="392" t="s">
        <v>15</v>
      </c>
      <c r="P185" s="392" t="s">
        <v>15</v>
      </c>
      <c r="Q185" s="340" t="s">
        <v>15</v>
      </c>
      <c r="R185" s="329" t="s">
        <v>744</v>
      </c>
      <c r="S185" s="330"/>
      <c r="T185" s="330"/>
      <c r="U185" s="330"/>
      <c r="V185" s="330"/>
      <c r="W185" s="332" t="s">
        <v>1108</v>
      </c>
      <c r="X185" s="331" t="s">
        <v>14002</v>
      </c>
      <c r="Y185" s="331" t="s">
        <v>14003</v>
      </c>
      <c r="Z185" s="331" t="s">
        <v>14005</v>
      </c>
      <c r="AA185" s="331" t="s">
        <v>14004</v>
      </c>
      <c r="AB185" s="333"/>
      <c r="AC185" s="416"/>
      <c r="AD185" s="375"/>
      <c r="AE185" s="335" t="s">
        <v>15</v>
      </c>
      <c r="AF185" s="336"/>
      <c r="AG185" s="337"/>
      <c r="AH185" s="417" t="s">
        <v>435</v>
      </c>
      <c r="AI185" s="392" t="s">
        <v>435</v>
      </c>
      <c r="AJ185" s="392" t="s">
        <v>435</v>
      </c>
      <c r="AK185" s="340" t="s">
        <v>435</v>
      </c>
      <c r="AL185" s="321" t="s">
        <v>210</v>
      </c>
      <c r="AM185" s="392" t="s">
        <v>15</v>
      </c>
      <c r="AN185" s="392" t="s">
        <v>15</v>
      </c>
      <c r="AO185" s="341" t="s">
        <v>15</v>
      </c>
      <c r="AP185" s="342"/>
      <c r="AQ185" s="343"/>
      <c r="AR185" s="370">
        <v>1642</v>
      </c>
      <c r="AS185" s="326">
        <v>100</v>
      </c>
      <c r="AT185" s="392">
        <v>1</v>
      </c>
      <c r="AU185" s="392"/>
      <c r="AV185" s="392">
        <v>1.4</v>
      </c>
      <c r="AW185" s="340"/>
      <c r="AX185" s="347"/>
      <c r="AY185" s="348"/>
      <c r="AZ185" s="377"/>
      <c r="BA185" s="374"/>
      <c r="BB185" s="374"/>
      <c r="BC185" s="374"/>
      <c r="BD185" s="374"/>
      <c r="BE185" s="374"/>
      <c r="BF185" s="374"/>
      <c r="BG185" s="374"/>
      <c r="BH185" s="378"/>
      <c r="BI185" s="376"/>
      <c r="BJ185" s="379"/>
      <c r="BK185" s="380"/>
      <c r="BL185" s="348"/>
      <c r="BM185" s="381"/>
      <c r="BN185" s="321" t="s">
        <v>15</v>
      </c>
      <c r="BO185" s="372"/>
      <c r="BP185" s="373" t="s">
        <v>15</v>
      </c>
      <c r="BQ185" s="360"/>
      <c r="BR185" s="361"/>
      <c r="BS185" s="361"/>
      <c r="BT185" s="361"/>
      <c r="BU185" s="342" t="s">
        <v>210</v>
      </c>
      <c r="BV185" s="342" t="s">
        <v>210</v>
      </c>
      <c r="BW185" s="341" t="s">
        <v>622</v>
      </c>
      <c r="BX185" s="361"/>
      <c r="BY185" s="362"/>
      <c r="BZ185" s="363"/>
      <c r="CA185" s="363"/>
      <c r="CB185" s="363"/>
      <c r="CC185" s="363"/>
    </row>
    <row r="186" spans="2:220" s="287" customFormat="1" ht="22.5" customHeight="1">
      <c r="B186" s="365">
        <v>230148</v>
      </c>
      <c r="C186" s="366" t="s">
        <v>14625</v>
      </c>
      <c r="D186" s="367"/>
      <c r="E186" s="368"/>
      <c r="F186" s="321" t="s">
        <v>149</v>
      </c>
      <c r="G186" s="326" t="s">
        <v>2497</v>
      </c>
      <c r="H186" s="326" t="s">
        <v>2498</v>
      </c>
      <c r="I186" s="326" t="s">
        <v>11</v>
      </c>
      <c r="J186" s="326" t="s">
        <v>12</v>
      </c>
      <c r="K186" s="326" t="s">
        <v>10</v>
      </c>
      <c r="L186" s="323"/>
      <c r="M186" s="374"/>
      <c r="N186" s="325" t="s">
        <v>438</v>
      </c>
      <c r="O186" s="326" t="s">
        <v>642</v>
      </c>
      <c r="P186" s="327">
        <v>7282</v>
      </c>
      <c r="Q186" s="369" t="s">
        <v>642</v>
      </c>
      <c r="R186" s="329" t="s">
        <v>636</v>
      </c>
      <c r="S186" s="331" t="s">
        <v>14626</v>
      </c>
      <c r="T186" s="394" t="s">
        <v>12276</v>
      </c>
      <c r="U186" s="394" t="s">
        <v>12277</v>
      </c>
      <c r="V186" s="331" t="s">
        <v>14627</v>
      </c>
      <c r="W186" s="332" t="s">
        <v>637</v>
      </c>
      <c r="X186" s="331" t="s">
        <v>14628</v>
      </c>
      <c r="Y186" s="331" t="s">
        <v>14630</v>
      </c>
      <c r="Z186" s="331" t="s">
        <v>14629</v>
      </c>
      <c r="AA186" s="331" t="s">
        <v>14631</v>
      </c>
      <c r="AB186" s="333"/>
      <c r="AC186" s="416"/>
      <c r="AD186" s="375"/>
      <c r="AE186" s="335" t="s">
        <v>107</v>
      </c>
      <c r="AF186" s="336"/>
      <c r="AG186" s="337"/>
      <c r="AH186" s="417" t="s">
        <v>435</v>
      </c>
      <c r="AI186" s="392" t="s">
        <v>435</v>
      </c>
      <c r="AJ186" s="392" t="s">
        <v>435</v>
      </c>
      <c r="AK186" s="340" t="s">
        <v>435</v>
      </c>
      <c r="AL186" s="321" t="s">
        <v>210</v>
      </c>
      <c r="AM186" s="392" t="s">
        <v>15</v>
      </c>
      <c r="AN186" s="392" t="s">
        <v>15</v>
      </c>
      <c r="AO186" s="341" t="s">
        <v>15</v>
      </c>
      <c r="AP186" s="342"/>
      <c r="AQ186" s="343"/>
      <c r="AR186" s="370">
        <v>7761</v>
      </c>
      <c r="AS186" s="326">
        <v>150</v>
      </c>
      <c r="AT186" s="392">
        <v>1</v>
      </c>
      <c r="AU186" s="392"/>
      <c r="AV186" s="392">
        <v>2</v>
      </c>
      <c r="AW186" s="340"/>
      <c r="AX186" s="347"/>
      <c r="AY186" s="348"/>
      <c r="AZ186" s="377"/>
      <c r="BA186" s="374"/>
      <c r="BB186" s="374"/>
      <c r="BC186" s="374"/>
      <c r="BD186" s="374"/>
      <c r="BE186" s="374"/>
      <c r="BF186" s="374"/>
      <c r="BG186" s="374"/>
      <c r="BH186" s="378"/>
      <c r="BI186" s="376"/>
      <c r="BJ186" s="379"/>
      <c r="BK186" s="380"/>
      <c r="BL186" s="348"/>
      <c r="BM186" s="381"/>
      <c r="BN186" s="321" t="s">
        <v>14</v>
      </c>
      <c r="BO186" s="372"/>
      <c r="BP186" s="373" t="s">
        <v>15</v>
      </c>
      <c r="BQ186" s="360"/>
      <c r="BR186" s="361"/>
      <c r="BS186" s="361"/>
      <c r="BT186" s="361"/>
      <c r="BU186" s="342" t="s">
        <v>210</v>
      </c>
      <c r="BV186" s="342" t="s">
        <v>210</v>
      </c>
      <c r="BW186" s="341" t="s">
        <v>15</v>
      </c>
      <c r="BX186" s="361"/>
      <c r="BY186" s="362" t="s">
        <v>954</v>
      </c>
      <c r="BZ186" s="363"/>
      <c r="CA186" s="363"/>
      <c r="CB186" s="363"/>
      <c r="CC186" s="363"/>
      <c r="CD186" s="293"/>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row>
    <row r="187" spans="2:220" s="287" customFormat="1" ht="22.5" customHeight="1">
      <c r="B187" s="365">
        <v>230149</v>
      </c>
      <c r="C187" s="366" t="s">
        <v>14621</v>
      </c>
      <c r="D187" s="367"/>
      <c r="E187" s="368"/>
      <c r="F187" s="321" t="s">
        <v>191</v>
      </c>
      <c r="G187" s="326" t="s">
        <v>2495</v>
      </c>
      <c r="H187" s="326" t="s">
        <v>2496</v>
      </c>
      <c r="I187" s="326" t="s">
        <v>11</v>
      </c>
      <c r="J187" s="326" t="s">
        <v>12</v>
      </c>
      <c r="K187" s="326" t="s">
        <v>23</v>
      </c>
      <c r="L187" s="323"/>
      <c r="M187" s="374"/>
      <c r="N187" s="325" t="s">
        <v>643</v>
      </c>
      <c r="O187" s="326" t="s">
        <v>642</v>
      </c>
      <c r="P187" s="327">
        <v>1655.13</v>
      </c>
      <c r="Q187" s="369">
        <v>1480.81</v>
      </c>
      <c r="R187" s="329" t="s">
        <v>504</v>
      </c>
      <c r="S187" s="331" t="s">
        <v>14622</v>
      </c>
      <c r="T187" s="331" t="s">
        <v>14623</v>
      </c>
      <c r="U187" s="330"/>
      <c r="V187" s="331" t="s">
        <v>14624</v>
      </c>
      <c r="W187" s="332" t="s">
        <v>1548</v>
      </c>
      <c r="X187" s="394" t="s">
        <v>12044</v>
      </c>
      <c r="Y187" s="394" t="s">
        <v>11201</v>
      </c>
      <c r="Z187" s="394" t="s">
        <v>11200</v>
      </c>
      <c r="AA187" s="394" t="s">
        <v>12045</v>
      </c>
      <c r="AB187" s="333"/>
      <c r="AC187" s="333"/>
      <c r="AD187" s="396" t="s">
        <v>2320</v>
      </c>
      <c r="AE187" s="335" t="s">
        <v>192</v>
      </c>
      <c r="AF187" s="336"/>
      <c r="AG187" s="337"/>
      <c r="AH187" s="417" t="s">
        <v>435</v>
      </c>
      <c r="AI187" s="392" t="s">
        <v>435</v>
      </c>
      <c r="AJ187" s="392" t="s">
        <v>435</v>
      </c>
      <c r="AK187" s="340" t="s">
        <v>435</v>
      </c>
      <c r="AL187" s="321" t="s">
        <v>210</v>
      </c>
      <c r="AM187" s="392" t="s">
        <v>15</v>
      </c>
      <c r="AN187" s="392" t="s">
        <v>15</v>
      </c>
      <c r="AO187" s="341" t="s">
        <v>15</v>
      </c>
      <c r="AP187" s="342"/>
      <c r="AQ187" s="343"/>
      <c r="AR187" s="370">
        <v>1751</v>
      </c>
      <c r="AS187" s="326">
        <v>100</v>
      </c>
      <c r="AT187" s="392">
        <v>1</v>
      </c>
      <c r="AU187" s="392"/>
      <c r="AV187" s="392">
        <v>1</v>
      </c>
      <c r="AW187" s="340"/>
      <c r="AX187" s="347"/>
      <c r="AY187" s="348"/>
      <c r="AZ187" s="377"/>
      <c r="BA187" s="374"/>
      <c r="BB187" s="374"/>
      <c r="BC187" s="374"/>
      <c r="BD187" s="374"/>
      <c r="BE187" s="374"/>
      <c r="BF187" s="374"/>
      <c r="BG187" s="374"/>
      <c r="BH187" s="378"/>
      <c r="BI187" s="376"/>
      <c r="BJ187" s="379"/>
      <c r="BK187" s="380"/>
      <c r="BL187" s="348"/>
      <c r="BM187" s="381"/>
      <c r="BN187" s="321" t="s">
        <v>15</v>
      </c>
      <c r="BO187" s="372"/>
      <c r="BP187" s="373" t="s">
        <v>15</v>
      </c>
      <c r="BQ187" s="360"/>
      <c r="BR187" s="361"/>
      <c r="BS187" s="361"/>
      <c r="BT187" s="361"/>
      <c r="BU187" s="342" t="s">
        <v>210</v>
      </c>
      <c r="BV187" s="342" t="s">
        <v>210</v>
      </c>
      <c r="BW187" s="341" t="s">
        <v>15</v>
      </c>
      <c r="BX187" s="361"/>
      <c r="BY187" s="362"/>
      <c r="BZ187" s="363"/>
      <c r="CA187" s="363"/>
      <c r="CB187" s="363"/>
      <c r="CC187" s="363"/>
      <c r="CD187" s="293"/>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row>
    <row r="188" spans="2:220" s="287" customFormat="1" ht="24" customHeight="1">
      <c r="B188" s="365">
        <v>230150</v>
      </c>
      <c r="C188" s="366" t="s">
        <v>14620</v>
      </c>
      <c r="D188" s="367"/>
      <c r="E188" s="368"/>
      <c r="F188" s="321" t="s">
        <v>190</v>
      </c>
      <c r="G188" s="326" t="s">
        <v>2493</v>
      </c>
      <c r="H188" s="326" t="s">
        <v>2494</v>
      </c>
      <c r="I188" s="326" t="s">
        <v>11</v>
      </c>
      <c r="J188" s="326" t="s">
        <v>12</v>
      </c>
      <c r="K188" s="326" t="s">
        <v>10</v>
      </c>
      <c r="L188" s="323"/>
      <c r="M188" s="374"/>
      <c r="N188" s="325" t="s">
        <v>643</v>
      </c>
      <c r="O188" s="326" t="s">
        <v>642</v>
      </c>
      <c r="P188" s="327">
        <v>1190.9000000000001</v>
      </c>
      <c r="Q188" s="369">
        <v>1217.8900000000001</v>
      </c>
      <c r="R188" s="329" t="s">
        <v>645</v>
      </c>
      <c r="S188" s="330"/>
      <c r="T188" s="330"/>
      <c r="U188" s="330"/>
      <c r="V188" s="330"/>
      <c r="W188" s="332" t="s">
        <v>1108</v>
      </c>
      <c r="X188" s="331" t="s">
        <v>14002</v>
      </c>
      <c r="Y188" s="331" t="s">
        <v>14003</v>
      </c>
      <c r="Z188" s="331" t="s">
        <v>14005</v>
      </c>
      <c r="AA188" s="331" t="s">
        <v>14004</v>
      </c>
      <c r="AB188" s="333"/>
      <c r="AC188" s="333"/>
      <c r="AD188" s="334" t="s">
        <v>294</v>
      </c>
      <c r="AE188" s="335" t="s">
        <v>15</v>
      </c>
      <c r="AF188" s="336"/>
      <c r="AG188" s="337"/>
      <c r="AH188" s="417" t="s">
        <v>435</v>
      </c>
      <c r="AI188" s="392" t="s">
        <v>435</v>
      </c>
      <c r="AJ188" s="392" t="s">
        <v>435</v>
      </c>
      <c r="AK188" s="340" t="s">
        <v>435</v>
      </c>
      <c r="AL188" s="321" t="s">
        <v>210</v>
      </c>
      <c r="AM188" s="392" t="s">
        <v>15</v>
      </c>
      <c r="AN188" s="392" t="s">
        <v>15</v>
      </c>
      <c r="AO188" s="341" t="s">
        <v>15</v>
      </c>
      <c r="AP188" s="342"/>
      <c r="AQ188" s="343"/>
      <c r="AR188" s="370">
        <v>1445</v>
      </c>
      <c r="AS188" s="326">
        <v>100</v>
      </c>
      <c r="AT188" s="392">
        <v>0.7</v>
      </c>
      <c r="AU188" s="392"/>
      <c r="AV188" s="392">
        <v>0.7</v>
      </c>
      <c r="AW188" s="340"/>
      <c r="AX188" s="347"/>
      <c r="AY188" s="348"/>
      <c r="AZ188" s="377"/>
      <c r="BA188" s="374"/>
      <c r="BB188" s="374"/>
      <c r="BC188" s="374"/>
      <c r="BD188" s="374"/>
      <c r="BE188" s="374"/>
      <c r="BF188" s="374"/>
      <c r="BG188" s="374"/>
      <c r="BH188" s="378"/>
      <c r="BI188" s="376"/>
      <c r="BJ188" s="431">
        <v>2.2200000000000002</v>
      </c>
      <c r="BK188" s="380"/>
      <c r="BL188" s="348"/>
      <c r="BM188" s="381"/>
      <c r="BN188" s="321" t="s">
        <v>15</v>
      </c>
      <c r="BO188" s="372"/>
      <c r="BP188" s="373" t="s">
        <v>14</v>
      </c>
      <c r="BQ188" s="360"/>
      <c r="BR188" s="361"/>
      <c r="BS188" s="361"/>
      <c r="BT188" s="361"/>
      <c r="BU188" s="342" t="s">
        <v>210</v>
      </c>
      <c r="BV188" s="342" t="s">
        <v>210</v>
      </c>
      <c r="BW188" s="341" t="s">
        <v>15</v>
      </c>
      <c r="BX188" s="361"/>
      <c r="BY188" s="362"/>
      <c r="BZ188" s="363"/>
      <c r="CA188" s="363"/>
      <c r="CB188" s="363"/>
      <c r="CC188" s="363"/>
      <c r="CD188" s="293"/>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row>
    <row r="189" spans="2:220" s="287" customFormat="1" ht="22.5" customHeight="1">
      <c r="B189" s="365">
        <v>230151</v>
      </c>
      <c r="C189" s="366" t="s">
        <v>14615</v>
      </c>
      <c r="D189" s="367"/>
      <c r="E189" s="368"/>
      <c r="F189" s="321" t="s">
        <v>45</v>
      </c>
      <c r="G189" s="326" t="s">
        <v>2003</v>
      </c>
      <c r="H189" s="326" t="s">
        <v>2492</v>
      </c>
      <c r="I189" s="326" t="s">
        <v>11</v>
      </c>
      <c r="J189" s="326" t="s">
        <v>12</v>
      </c>
      <c r="K189" s="326" t="s">
        <v>10</v>
      </c>
      <c r="L189" s="323"/>
      <c r="M189" s="374"/>
      <c r="N189" s="325" t="s">
        <v>2875</v>
      </c>
      <c r="O189" s="326" t="s">
        <v>646</v>
      </c>
      <c r="P189" s="327" t="s">
        <v>646</v>
      </c>
      <c r="Q189" s="369" t="s">
        <v>646</v>
      </c>
      <c r="R189" s="329" t="s">
        <v>1089</v>
      </c>
      <c r="S189" s="331" t="s">
        <v>14617</v>
      </c>
      <c r="T189" s="331" t="s">
        <v>14619</v>
      </c>
      <c r="U189" s="330"/>
      <c r="V189" s="331" t="s">
        <v>14618</v>
      </c>
      <c r="W189" s="332" t="s">
        <v>647</v>
      </c>
      <c r="X189" s="331" t="s">
        <v>14616</v>
      </c>
      <c r="Y189" s="394" t="s">
        <v>11486</v>
      </c>
      <c r="Z189" s="394" t="s">
        <v>11487</v>
      </c>
      <c r="AA189" s="394" t="s">
        <v>11488</v>
      </c>
      <c r="AB189" s="333" t="s">
        <v>648</v>
      </c>
      <c r="AC189" s="333"/>
      <c r="AD189" s="334" t="s">
        <v>2324</v>
      </c>
      <c r="AE189" s="335" t="s">
        <v>303</v>
      </c>
      <c r="AF189" s="336"/>
      <c r="AG189" s="337"/>
      <c r="AH189" s="417" t="s">
        <v>435</v>
      </c>
      <c r="AI189" s="392" t="s">
        <v>435</v>
      </c>
      <c r="AJ189" s="392" t="s">
        <v>435</v>
      </c>
      <c r="AK189" s="340" t="s">
        <v>435</v>
      </c>
      <c r="AL189" s="321" t="s">
        <v>210</v>
      </c>
      <c r="AM189" s="392" t="s">
        <v>15</v>
      </c>
      <c r="AN189" s="392" t="s">
        <v>15</v>
      </c>
      <c r="AO189" s="341" t="s">
        <v>15</v>
      </c>
      <c r="AP189" s="342"/>
      <c r="AQ189" s="343"/>
      <c r="AR189" s="370">
        <v>26964</v>
      </c>
      <c r="AS189" s="326">
        <v>100</v>
      </c>
      <c r="AT189" s="392">
        <v>1</v>
      </c>
      <c r="AU189" s="392"/>
      <c r="AV189" s="392">
        <v>0.8</v>
      </c>
      <c r="AW189" s="340"/>
      <c r="AX189" s="347"/>
      <c r="AY189" s="348"/>
      <c r="AZ189" s="377"/>
      <c r="BA189" s="374"/>
      <c r="BB189" s="374"/>
      <c r="BC189" s="374"/>
      <c r="BD189" s="374"/>
      <c r="BE189" s="374"/>
      <c r="BF189" s="374"/>
      <c r="BG189" s="374"/>
      <c r="BH189" s="378"/>
      <c r="BI189" s="376"/>
      <c r="BJ189" s="379"/>
      <c r="BK189" s="380"/>
      <c r="BL189" s="348"/>
      <c r="BM189" s="381"/>
      <c r="BN189" s="321" t="s">
        <v>14</v>
      </c>
      <c r="BO189" s="372"/>
      <c r="BP189" s="373" t="s">
        <v>14</v>
      </c>
      <c r="BQ189" s="360"/>
      <c r="BR189" s="361"/>
      <c r="BS189" s="361"/>
      <c r="BT189" s="361"/>
      <c r="BU189" s="342" t="s">
        <v>210</v>
      </c>
      <c r="BV189" s="342" t="s">
        <v>210</v>
      </c>
      <c r="BW189" s="341" t="s">
        <v>15</v>
      </c>
      <c r="BX189" s="361"/>
      <c r="BY189" s="362"/>
      <c r="BZ189" s="363"/>
      <c r="CA189" s="363"/>
      <c r="CB189" s="363"/>
      <c r="CC189" s="363"/>
      <c r="CD189" s="293"/>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row>
    <row r="190" spans="2:220" s="287" customFormat="1" ht="22.5" customHeight="1">
      <c r="B190" s="365">
        <v>230152</v>
      </c>
      <c r="C190" s="366" t="s">
        <v>13891</v>
      </c>
      <c r="D190" s="367"/>
      <c r="E190" s="368"/>
      <c r="F190" s="321" t="s">
        <v>45</v>
      </c>
      <c r="G190" s="326" t="s">
        <v>2490</v>
      </c>
      <c r="H190" s="326" t="s">
        <v>2491</v>
      </c>
      <c r="I190" s="326" t="s">
        <v>11</v>
      </c>
      <c r="J190" s="326" t="s">
        <v>12</v>
      </c>
      <c r="K190" s="326" t="s">
        <v>23</v>
      </c>
      <c r="L190" s="323"/>
      <c r="M190" s="374"/>
      <c r="N190" s="325" t="s">
        <v>650</v>
      </c>
      <c r="O190" s="326" t="s">
        <v>210</v>
      </c>
      <c r="P190" s="327" t="s">
        <v>210</v>
      </c>
      <c r="Q190" s="369" t="s">
        <v>210</v>
      </c>
      <c r="R190" s="329" t="s">
        <v>649</v>
      </c>
      <c r="S190" s="400"/>
      <c r="T190" s="400"/>
      <c r="U190" s="400"/>
      <c r="V190" s="400"/>
      <c r="W190" s="332" t="s">
        <v>514</v>
      </c>
      <c r="X190" s="331" t="s">
        <v>13687</v>
      </c>
      <c r="Y190" s="331" t="s">
        <v>11233</v>
      </c>
      <c r="Z190" s="331" t="s">
        <v>11234</v>
      </c>
      <c r="AA190" s="331" t="s">
        <v>11235</v>
      </c>
      <c r="AB190" s="333"/>
      <c r="AC190" s="416"/>
      <c r="AD190" s="375"/>
      <c r="AE190" s="391"/>
      <c r="AF190" s="336"/>
      <c r="AG190" s="337"/>
      <c r="AH190" s="417" t="s">
        <v>435</v>
      </c>
      <c r="AI190" s="392" t="s">
        <v>435</v>
      </c>
      <c r="AJ190" s="392" t="s">
        <v>435</v>
      </c>
      <c r="AK190" s="340" t="s">
        <v>435</v>
      </c>
      <c r="AL190" s="321" t="s">
        <v>210</v>
      </c>
      <c r="AM190" s="392" t="s">
        <v>15</v>
      </c>
      <c r="AN190" s="392" t="s">
        <v>15</v>
      </c>
      <c r="AO190" s="341" t="s">
        <v>15</v>
      </c>
      <c r="AP190" s="342"/>
      <c r="AQ190" s="343"/>
      <c r="AR190" s="370">
        <v>823</v>
      </c>
      <c r="AS190" s="326">
        <v>100</v>
      </c>
      <c r="AT190" s="392">
        <v>1</v>
      </c>
      <c r="AU190" s="392"/>
      <c r="AV190" s="392">
        <v>1</v>
      </c>
      <c r="AW190" s="340"/>
      <c r="AX190" s="347"/>
      <c r="AY190" s="348"/>
      <c r="AZ190" s="377"/>
      <c r="BA190" s="374"/>
      <c r="BB190" s="374"/>
      <c r="BC190" s="374"/>
      <c r="BD190" s="374"/>
      <c r="BE190" s="374"/>
      <c r="BF190" s="374"/>
      <c r="BG190" s="374"/>
      <c r="BH190" s="378"/>
      <c r="BI190" s="376"/>
      <c r="BJ190" s="379"/>
      <c r="BK190" s="380"/>
      <c r="BL190" s="348"/>
      <c r="BM190" s="381"/>
      <c r="BN190" s="321" t="s">
        <v>14</v>
      </c>
      <c r="BO190" s="372"/>
      <c r="BP190" s="373" t="s">
        <v>14</v>
      </c>
      <c r="BQ190" s="360"/>
      <c r="BR190" s="361"/>
      <c r="BS190" s="361"/>
      <c r="BT190" s="361"/>
      <c r="BU190" s="342" t="s">
        <v>210</v>
      </c>
      <c r="BV190" s="342" t="s">
        <v>210</v>
      </c>
      <c r="BW190" s="341" t="s">
        <v>15</v>
      </c>
      <c r="BX190" s="361"/>
      <c r="BY190" s="362"/>
      <c r="BZ190" s="363"/>
      <c r="CA190" s="363"/>
      <c r="CB190" s="363"/>
      <c r="CC190" s="363"/>
      <c r="CD190" s="293"/>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row>
    <row r="191" spans="2:220" s="287" customFormat="1" ht="22.5" customHeight="1">
      <c r="B191" s="365">
        <v>230153</v>
      </c>
      <c r="C191" s="366" t="s">
        <v>13062</v>
      </c>
      <c r="D191" s="367"/>
      <c r="E191" s="368"/>
      <c r="F191" s="321" t="s">
        <v>64</v>
      </c>
      <c r="G191" s="326" t="s">
        <v>2488</v>
      </c>
      <c r="H191" s="326" t="s">
        <v>2489</v>
      </c>
      <c r="I191" s="326" t="s">
        <v>11</v>
      </c>
      <c r="J191" s="326" t="s">
        <v>12</v>
      </c>
      <c r="K191" s="326" t="s">
        <v>10</v>
      </c>
      <c r="L191" s="323"/>
      <c r="M191" s="324" t="s">
        <v>10767</v>
      </c>
      <c r="N191" s="325" t="s">
        <v>650</v>
      </c>
      <c r="O191" s="326">
        <v>30</v>
      </c>
      <c r="P191" s="327">
        <v>2526.12</v>
      </c>
      <c r="Q191" s="369">
        <v>2564.66</v>
      </c>
      <c r="R191" s="329" t="s">
        <v>447</v>
      </c>
      <c r="S191" s="331" t="s">
        <v>13050</v>
      </c>
      <c r="T191" s="331" t="s">
        <v>11078</v>
      </c>
      <c r="U191" s="331" t="s">
        <v>16355</v>
      </c>
      <c r="V191" s="331" t="s">
        <v>13051</v>
      </c>
      <c r="W191" s="332" t="s">
        <v>432</v>
      </c>
      <c r="X191" s="331" t="s">
        <v>11079</v>
      </c>
      <c r="Y191" s="331" t="s">
        <v>11080</v>
      </c>
      <c r="Z191" s="331" t="s">
        <v>11080</v>
      </c>
      <c r="AA191" s="331" t="s">
        <v>210</v>
      </c>
      <c r="AB191" s="333"/>
      <c r="AC191" s="333"/>
      <c r="AD191" s="334" t="s">
        <v>272</v>
      </c>
      <c r="AE191" s="335" t="s">
        <v>90</v>
      </c>
      <c r="AF191" s="336"/>
      <c r="AG191" s="337"/>
      <c r="AH191" s="417">
        <v>7</v>
      </c>
      <c r="AI191" s="392">
        <v>14.9</v>
      </c>
      <c r="AJ191" s="392">
        <v>12.2</v>
      </c>
      <c r="AK191" s="340">
        <f>SUM(AH191:AJ191)</f>
        <v>34.099999999999994</v>
      </c>
      <c r="AL191" s="321" t="s">
        <v>210</v>
      </c>
      <c r="AM191" s="392" t="s">
        <v>15</v>
      </c>
      <c r="AN191" s="392" t="s">
        <v>15</v>
      </c>
      <c r="AO191" s="341" t="s">
        <v>15</v>
      </c>
      <c r="AP191" s="342"/>
      <c r="AQ191" s="343"/>
      <c r="AR191" s="370">
        <v>3036</v>
      </c>
      <c r="AS191" s="326">
        <v>100</v>
      </c>
      <c r="AT191" s="392">
        <v>0.6</v>
      </c>
      <c r="AU191" s="392"/>
      <c r="AV191" s="392">
        <v>0.6</v>
      </c>
      <c r="AW191" s="340"/>
      <c r="AX191" s="347"/>
      <c r="AY191" s="348"/>
      <c r="AZ191" s="377"/>
      <c r="BA191" s="374"/>
      <c r="BB191" s="374"/>
      <c r="BC191" s="374"/>
      <c r="BD191" s="374"/>
      <c r="BE191" s="374"/>
      <c r="BF191" s="374"/>
      <c r="BG191" s="374"/>
      <c r="BH191" s="378"/>
      <c r="BI191" s="376"/>
      <c r="BJ191" s="379"/>
      <c r="BK191" s="380"/>
      <c r="BL191" s="348"/>
      <c r="BM191" s="381"/>
      <c r="BN191" s="321" t="s">
        <v>14</v>
      </c>
      <c r="BO191" s="372"/>
      <c r="BP191" s="373" t="s">
        <v>14</v>
      </c>
      <c r="BQ191" s="360"/>
      <c r="BR191" s="361"/>
      <c r="BS191" s="361"/>
      <c r="BT191" s="361"/>
      <c r="BU191" s="342" t="s">
        <v>210</v>
      </c>
      <c r="BV191" s="342" t="s">
        <v>210</v>
      </c>
      <c r="BW191" s="341" t="s">
        <v>15</v>
      </c>
      <c r="BX191" s="361"/>
      <c r="BY191" s="362"/>
      <c r="BZ191" s="363"/>
      <c r="CA191" s="363"/>
      <c r="CB191" s="363"/>
      <c r="CC191" s="363"/>
      <c r="CD191" s="293"/>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row>
    <row r="192" spans="2:220" s="287" customFormat="1" ht="22.5" customHeight="1">
      <c r="B192" s="365">
        <v>230154</v>
      </c>
      <c r="C192" s="366" t="s">
        <v>14609</v>
      </c>
      <c r="D192" s="367"/>
      <c r="E192" s="368"/>
      <c r="F192" s="321" t="s">
        <v>72</v>
      </c>
      <c r="G192" s="326" t="s">
        <v>2123</v>
      </c>
      <c r="H192" s="326" t="s">
        <v>2487</v>
      </c>
      <c r="I192" s="326" t="s">
        <v>11</v>
      </c>
      <c r="J192" s="326" t="s">
        <v>21</v>
      </c>
      <c r="K192" s="326" t="s">
        <v>10</v>
      </c>
      <c r="L192" s="323"/>
      <c r="M192" s="374"/>
      <c r="N192" s="325" t="s">
        <v>650</v>
      </c>
      <c r="O192" s="326">
        <v>100</v>
      </c>
      <c r="P192" s="327" t="s">
        <v>651</v>
      </c>
      <c r="Q192" s="369" t="s">
        <v>651</v>
      </c>
      <c r="R192" s="329" t="s">
        <v>652</v>
      </c>
      <c r="S192" s="394" t="s">
        <v>12566</v>
      </c>
      <c r="T192" s="394" t="s">
        <v>12567</v>
      </c>
      <c r="U192" s="394" t="s">
        <v>16336</v>
      </c>
      <c r="V192" s="394" t="s">
        <v>12568</v>
      </c>
      <c r="W192" s="332" t="s">
        <v>432</v>
      </c>
      <c r="X192" s="331" t="s">
        <v>11079</v>
      </c>
      <c r="Y192" s="331" t="s">
        <v>11080</v>
      </c>
      <c r="Z192" s="331" t="s">
        <v>11080</v>
      </c>
      <c r="AA192" s="331" t="s">
        <v>210</v>
      </c>
      <c r="AB192" s="333"/>
      <c r="AC192" s="333"/>
      <c r="AD192" s="334" t="s">
        <v>299</v>
      </c>
      <c r="AE192" s="335" t="s">
        <v>291</v>
      </c>
      <c r="AF192" s="336"/>
      <c r="AG192" s="337"/>
      <c r="AH192" s="417">
        <v>10.8</v>
      </c>
      <c r="AI192" s="392">
        <v>20</v>
      </c>
      <c r="AJ192" s="392">
        <v>19.3</v>
      </c>
      <c r="AK192" s="340">
        <f>SUM(AH192:AJ192)</f>
        <v>50.1</v>
      </c>
      <c r="AL192" s="321" t="s">
        <v>210</v>
      </c>
      <c r="AM192" s="392" t="s">
        <v>15</v>
      </c>
      <c r="AN192" s="392" t="s">
        <v>15</v>
      </c>
      <c r="AO192" s="341" t="s">
        <v>15</v>
      </c>
      <c r="AP192" s="342"/>
      <c r="AQ192" s="343"/>
      <c r="AR192" s="370">
        <v>775</v>
      </c>
      <c r="AS192" s="326">
        <v>150</v>
      </c>
      <c r="AT192" s="392">
        <v>1</v>
      </c>
      <c r="AU192" s="392"/>
      <c r="AV192" s="392">
        <v>2</v>
      </c>
      <c r="AW192" s="340"/>
      <c r="AX192" s="347"/>
      <c r="AY192" s="348"/>
      <c r="AZ192" s="377"/>
      <c r="BA192" s="374"/>
      <c r="BB192" s="374"/>
      <c r="BC192" s="374"/>
      <c r="BD192" s="374"/>
      <c r="BE192" s="374"/>
      <c r="BF192" s="374"/>
      <c r="BG192" s="374"/>
      <c r="BH192" s="378"/>
      <c r="BI192" s="376"/>
      <c r="BJ192" s="379"/>
      <c r="BK192" s="380"/>
      <c r="BL192" s="348"/>
      <c r="BM192" s="381"/>
      <c r="BN192" s="321" t="s">
        <v>14</v>
      </c>
      <c r="BO192" s="372"/>
      <c r="BP192" s="373" t="s">
        <v>14</v>
      </c>
      <c r="BQ192" s="360"/>
      <c r="BR192" s="361"/>
      <c r="BS192" s="361"/>
      <c r="BT192" s="361"/>
      <c r="BU192" s="342" t="s">
        <v>210</v>
      </c>
      <c r="BV192" s="342" t="s">
        <v>210</v>
      </c>
      <c r="BW192" s="341" t="s">
        <v>15</v>
      </c>
      <c r="BX192" s="361"/>
      <c r="BY192" s="362" t="s">
        <v>959</v>
      </c>
      <c r="BZ192" s="363"/>
      <c r="CA192" s="363"/>
      <c r="CB192" s="363"/>
      <c r="CC192" s="363"/>
      <c r="CD192" s="293"/>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row>
    <row r="193" spans="1:220" s="287" customFormat="1" ht="22.5" customHeight="1">
      <c r="B193" s="365">
        <v>230155</v>
      </c>
      <c r="C193" s="366" t="s">
        <v>14602</v>
      </c>
      <c r="D193" s="367"/>
      <c r="E193" s="368"/>
      <c r="F193" s="321" t="s">
        <v>45</v>
      </c>
      <c r="G193" s="326" t="s">
        <v>2485</v>
      </c>
      <c r="H193" s="326" t="s">
        <v>2486</v>
      </c>
      <c r="I193" s="326" t="s">
        <v>11</v>
      </c>
      <c r="J193" s="326" t="s">
        <v>12</v>
      </c>
      <c r="K193" s="326" t="s">
        <v>10</v>
      </c>
      <c r="L193" s="323"/>
      <c r="M193" s="374"/>
      <c r="N193" s="325" t="s">
        <v>653</v>
      </c>
      <c r="O193" s="326" t="s">
        <v>651</v>
      </c>
      <c r="P193" s="327">
        <v>666</v>
      </c>
      <c r="Q193" s="369">
        <v>898</v>
      </c>
      <c r="R193" s="399"/>
      <c r="S193" s="400"/>
      <c r="T193" s="400"/>
      <c r="U193" s="400"/>
      <c r="V193" s="400"/>
      <c r="W193" s="332" t="s">
        <v>14603</v>
      </c>
      <c r="X193" s="394" t="s">
        <v>14606</v>
      </c>
      <c r="Y193" s="394" t="s">
        <v>14607</v>
      </c>
      <c r="Z193" s="400"/>
      <c r="AA193" s="394" t="s">
        <v>14608</v>
      </c>
      <c r="AB193" s="333"/>
      <c r="AC193" s="416"/>
      <c r="AD193" s="375"/>
      <c r="AE193" s="335" t="s">
        <v>15</v>
      </c>
      <c r="AF193" s="336"/>
      <c r="AG193" s="337"/>
      <c r="AH193" s="417" t="s">
        <v>435</v>
      </c>
      <c r="AI193" s="392" t="s">
        <v>435</v>
      </c>
      <c r="AJ193" s="392" t="s">
        <v>435</v>
      </c>
      <c r="AK193" s="340" t="s">
        <v>435</v>
      </c>
      <c r="AL193" s="321" t="s">
        <v>210</v>
      </c>
      <c r="AM193" s="392" t="s">
        <v>15</v>
      </c>
      <c r="AN193" s="392" t="s">
        <v>15</v>
      </c>
      <c r="AO193" s="341" t="s">
        <v>15</v>
      </c>
      <c r="AP193" s="342"/>
      <c r="AQ193" s="343"/>
      <c r="AR193" s="370">
        <v>1252</v>
      </c>
      <c r="AS193" s="326">
        <v>80</v>
      </c>
      <c r="AT193" s="392">
        <v>0.8</v>
      </c>
      <c r="AU193" s="392"/>
      <c r="AV193" s="392">
        <v>1.2</v>
      </c>
      <c r="AW193" s="340"/>
      <c r="AX193" s="347"/>
      <c r="AY193" s="348"/>
      <c r="AZ193" s="377"/>
      <c r="BA193" s="374"/>
      <c r="BB193" s="374"/>
      <c r="BC193" s="374"/>
      <c r="BD193" s="374"/>
      <c r="BE193" s="374"/>
      <c r="BF193" s="374"/>
      <c r="BG193" s="374"/>
      <c r="BH193" s="378"/>
      <c r="BI193" s="376"/>
      <c r="BJ193" s="379"/>
      <c r="BK193" s="380"/>
      <c r="BL193" s="348"/>
      <c r="BM193" s="381"/>
      <c r="BN193" s="321" t="s">
        <v>14</v>
      </c>
      <c r="BO193" s="372"/>
      <c r="BP193" s="373" t="s">
        <v>14</v>
      </c>
      <c r="BQ193" s="360"/>
      <c r="BR193" s="361"/>
      <c r="BS193" s="361"/>
      <c r="BT193" s="361"/>
      <c r="BU193" s="342" t="s">
        <v>210</v>
      </c>
      <c r="BV193" s="342" t="s">
        <v>210</v>
      </c>
      <c r="BW193" s="341" t="s">
        <v>15</v>
      </c>
      <c r="BX193" s="361"/>
      <c r="BY193" s="362"/>
      <c r="BZ193" s="363"/>
      <c r="CA193" s="363"/>
      <c r="CB193" s="363"/>
      <c r="CC193" s="363"/>
      <c r="CD193" s="293"/>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row>
    <row r="194" spans="1:220" s="287" customFormat="1" ht="22.5" customHeight="1">
      <c r="B194" s="365">
        <v>230157</v>
      </c>
      <c r="C194" s="366" t="s">
        <v>14601</v>
      </c>
      <c r="D194" s="367"/>
      <c r="E194" s="368"/>
      <c r="F194" s="321" t="s">
        <v>64</v>
      </c>
      <c r="G194" s="326" t="s">
        <v>2483</v>
      </c>
      <c r="H194" s="326" t="s">
        <v>2484</v>
      </c>
      <c r="I194" s="326" t="s">
        <v>11</v>
      </c>
      <c r="J194" s="326" t="s">
        <v>12</v>
      </c>
      <c r="K194" s="326" t="s">
        <v>10</v>
      </c>
      <c r="L194" s="323"/>
      <c r="M194" s="374"/>
      <c r="N194" s="325" t="s">
        <v>655</v>
      </c>
      <c r="O194" s="326" t="s">
        <v>210</v>
      </c>
      <c r="P194" s="392" t="s">
        <v>15</v>
      </c>
      <c r="Q194" s="340" t="s">
        <v>15</v>
      </c>
      <c r="R194" s="399"/>
      <c r="S194" s="400"/>
      <c r="T194" s="400"/>
      <c r="U194" s="400"/>
      <c r="V194" s="400"/>
      <c r="W194" s="332" t="s">
        <v>654</v>
      </c>
      <c r="X194" s="394" t="s">
        <v>13889</v>
      </c>
      <c r="Y194" s="394" t="s">
        <v>13887</v>
      </c>
      <c r="Z194" s="394" t="s">
        <v>16506</v>
      </c>
      <c r="AA194" s="394" t="s">
        <v>13888</v>
      </c>
      <c r="AB194" s="333"/>
      <c r="AC194" s="333"/>
      <c r="AD194" s="334" t="s">
        <v>865</v>
      </c>
      <c r="AE194" s="335" t="s">
        <v>90</v>
      </c>
      <c r="AF194" s="336"/>
      <c r="AG194" s="337"/>
      <c r="AH194" s="417" t="s">
        <v>435</v>
      </c>
      <c r="AI194" s="392" t="s">
        <v>435</v>
      </c>
      <c r="AJ194" s="392" t="s">
        <v>435</v>
      </c>
      <c r="AK194" s="340" t="s">
        <v>435</v>
      </c>
      <c r="AL194" s="321" t="s">
        <v>210</v>
      </c>
      <c r="AM194" s="392" t="s">
        <v>15</v>
      </c>
      <c r="AN194" s="392" t="s">
        <v>15</v>
      </c>
      <c r="AO194" s="341" t="s">
        <v>15</v>
      </c>
      <c r="AP194" s="342"/>
      <c r="AQ194" s="343"/>
      <c r="AR194" s="370">
        <v>900</v>
      </c>
      <c r="AS194" s="326">
        <v>100</v>
      </c>
      <c r="AT194" s="392">
        <v>1</v>
      </c>
      <c r="AU194" s="392"/>
      <c r="AV194" s="392">
        <v>1</v>
      </c>
      <c r="AW194" s="340"/>
      <c r="AX194" s="347"/>
      <c r="AY194" s="348"/>
      <c r="AZ194" s="377"/>
      <c r="BA194" s="374"/>
      <c r="BB194" s="374"/>
      <c r="BC194" s="374"/>
      <c r="BD194" s="374"/>
      <c r="BE194" s="374"/>
      <c r="BF194" s="374"/>
      <c r="BG194" s="374"/>
      <c r="BH194" s="378"/>
      <c r="BI194" s="376"/>
      <c r="BJ194" s="379"/>
      <c r="BK194" s="380"/>
      <c r="BL194" s="348"/>
      <c r="BM194" s="381"/>
      <c r="BN194" s="321" t="s">
        <v>14</v>
      </c>
      <c r="BO194" s="372"/>
      <c r="BP194" s="373" t="s">
        <v>15</v>
      </c>
      <c r="BQ194" s="360"/>
      <c r="BR194" s="361"/>
      <c r="BS194" s="361"/>
      <c r="BT194" s="361"/>
      <c r="BU194" s="342" t="s">
        <v>210</v>
      </c>
      <c r="BV194" s="342" t="s">
        <v>210</v>
      </c>
      <c r="BW194" s="341" t="s">
        <v>15</v>
      </c>
      <c r="BX194" s="361"/>
      <c r="BY194" s="362"/>
      <c r="BZ194" s="363"/>
      <c r="CA194" s="363"/>
      <c r="CB194" s="363"/>
      <c r="CC194" s="363"/>
      <c r="CD194" s="293"/>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row>
    <row r="195" spans="1:220" s="287" customFormat="1" ht="22.5" customHeight="1">
      <c r="B195" s="365">
        <v>230158</v>
      </c>
      <c r="C195" s="366" t="s">
        <v>14600</v>
      </c>
      <c r="D195" s="367"/>
      <c r="E195" s="368"/>
      <c r="F195" s="321" t="s">
        <v>45</v>
      </c>
      <c r="G195" s="326" t="s">
        <v>2481</v>
      </c>
      <c r="H195" s="326" t="s">
        <v>2482</v>
      </c>
      <c r="I195" s="326" t="s">
        <v>11</v>
      </c>
      <c r="J195" s="326" t="s">
        <v>21</v>
      </c>
      <c r="K195" s="326" t="s">
        <v>133</v>
      </c>
      <c r="L195" s="323"/>
      <c r="M195" s="374"/>
      <c r="N195" s="325" t="s">
        <v>653</v>
      </c>
      <c r="O195" s="326" t="s">
        <v>651</v>
      </c>
      <c r="P195" s="327">
        <v>479</v>
      </c>
      <c r="Q195" s="369">
        <v>248</v>
      </c>
      <c r="R195" s="329" t="s">
        <v>1136</v>
      </c>
      <c r="S195" s="394" t="s">
        <v>11942</v>
      </c>
      <c r="T195" s="394" t="s">
        <v>11940</v>
      </c>
      <c r="U195" s="394" t="s">
        <v>16215</v>
      </c>
      <c r="V195" s="394" t="s">
        <v>11941</v>
      </c>
      <c r="W195" s="332" t="s">
        <v>1111</v>
      </c>
      <c r="X195" s="331" t="s">
        <v>11936</v>
      </c>
      <c r="Y195" s="331" t="s">
        <v>11938</v>
      </c>
      <c r="Z195" s="331" t="s">
        <v>11937</v>
      </c>
      <c r="AA195" s="331" t="s">
        <v>11939</v>
      </c>
      <c r="AB195" s="333"/>
      <c r="AC195" s="416"/>
      <c r="AD195" s="375"/>
      <c r="AE195" s="335" t="s">
        <v>295</v>
      </c>
      <c r="AF195" s="336"/>
      <c r="AG195" s="337"/>
      <c r="AH195" s="417" t="s">
        <v>435</v>
      </c>
      <c r="AI195" s="392" t="s">
        <v>435</v>
      </c>
      <c r="AJ195" s="392" t="s">
        <v>435</v>
      </c>
      <c r="AK195" s="340" t="s">
        <v>435</v>
      </c>
      <c r="AL195" s="321" t="s">
        <v>210</v>
      </c>
      <c r="AM195" s="392" t="s">
        <v>15</v>
      </c>
      <c r="AN195" s="392" t="s">
        <v>15</v>
      </c>
      <c r="AO195" s="341" t="s">
        <v>15</v>
      </c>
      <c r="AP195" s="342"/>
      <c r="AQ195" s="343"/>
      <c r="AR195" s="370">
        <v>318</v>
      </c>
      <c r="AS195" s="326">
        <v>100</v>
      </c>
      <c r="AT195" s="392">
        <v>1</v>
      </c>
      <c r="AU195" s="392"/>
      <c r="AV195" s="392">
        <v>1</v>
      </c>
      <c r="AW195" s="340"/>
      <c r="AX195" s="347"/>
      <c r="AY195" s="348"/>
      <c r="AZ195" s="377"/>
      <c r="BA195" s="374"/>
      <c r="BB195" s="374"/>
      <c r="BC195" s="374"/>
      <c r="BD195" s="374"/>
      <c r="BE195" s="374"/>
      <c r="BF195" s="374"/>
      <c r="BG195" s="374"/>
      <c r="BH195" s="378"/>
      <c r="BI195" s="376"/>
      <c r="BJ195" s="379"/>
      <c r="BK195" s="380"/>
      <c r="BL195" s="348"/>
      <c r="BM195" s="381"/>
      <c r="BN195" s="321" t="s">
        <v>14</v>
      </c>
      <c r="BO195" s="372"/>
      <c r="BP195" s="373" t="s">
        <v>14</v>
      </c>
      <c r="BQ195" s="360"/>
      <c r="BR195" s="361"/>
      <c r="BS195" s="361"/>
      <c r="BT195" s="361"/>
      <c r="BU195" s="342" t="s">
        <v>210</v>
      </c>
      <c r="BV195" s="342" t="s">
        <v>210</v>
      </c>
      <c r="BW195" s="341" t="s">
        <v>15</v>
      </c>
      <c r="BX195" s="361"/>
      <c r="BY195" s="362"/>
      <c r="BZ195" s="363"/>
      <c r="CA195" s="363"/>
      <c r="CB195" s="363"/>
      <c r="CC195" s="363"/>
      <c r="CD195" s="293"/>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row>
    <row r="196" spans="1:220" s="287" customFormat="1" ht="22.5" customHeight="1">
      <c r="B196" s="365">
        <v>230160</v>
      </c>
      <c r="C196" s="366" t="s">
        <v>13061</v>
      </c>
      <c r="D196" s="367"/>
      <c r="E196" s="368"/>
      <c r="F196" s="321" t="s">
        <v>59</v>
      </c>
      <c r="G196" s="326" t="s">
        <v>2479</v>
      </c>
      <c r="H196" s="326" t="s">
        <v>2480</v>
      </c>
      <c r="I196" s="326" t="s">
        <v>11</v>
      </c>
      <c r="J196" s="326" t="s">
        <v>12</v>
      </c>
      <c r="K196" s="326" t="s">
        <v>10</v>
      </c>
      <c r="L196" s="323"/>
      <c r="M196" s="324" t="s">
        <v>10767</v>
      </c>
      <c r="N196" s="325" t="s">
        <v>655</v>
      </c>
      <c r="O196" s="326">
        <v>30</v>
      </c>
      <c r="P196" s="327">
        <v>2097</v>
      </c>
      <c r="Q196" s="369">
        <v>2219</v>
      </c>
      <c r="R196" s="329" t="s">
        <v>447</v>
      </c>
      <c r="S196" s="331" t="s">
        <v>13050</v>
      </c>
      <c r="T196" s="331" t="s">
        <v>11078</v>
      </c>
      <c r="U196" s="331" t="s">
        <v>16355</v>
      </c>
      <c r="V196" s="331" t="s">
        <v>13051</v>
      </c>
      <c r="W196" s="332" t="s">
        <v>432</v>
      </c>
      <c r="X196" s="331" t="s">
        <v>11079</v>
      </c>
      <c r="Y196" s="331" t="s">
        <v>11080</v>
      </c>
      <c r="Z196" s="331" t="s">
        <v>11080</v>
      </c>
      <c r="AA196" s="331" t="s">
        <v>210</v>
      </c>
      <c r="AB196" s="333"/>
      <c r="AC196" s="333"/>
      <c r="AD196" s="334" t="s">
        <v>272</v>
      </c>
      <c r="AE196" s="335" t="s">
        <v>298</v>
      </c>
      <c r="AF196" s="336"/>
      <c r="AG196" s="337"/>
      <c r="AH196" s="417">
        <v>6.3</v>
      </c>
      <c r="AI196" s="392">
        <v>14.5</v>
      </c>
      <c r="AJ196" s="392">
        <v>12.1</v>
      </c>
      <c r="AK196" s="340">
        <f>SUM(AH196:AJ196)</f>
        <v>32.9</v>
      </c>
      <c r="AL196" s="321" t="s">
        <v>210</v>
      </c>
      <c r="AM196" s="392" t="s">
        <v>15</v>
      </c>
      <c r="AN196" s="392" t="s">
        <v>15</v>
      </c>
      <c r="AO196" s="341" t="s">
        <v>15</v>
      </c>
      <c r="AP196" s="342"/>
      <c r="AQ196" s="343"/>
      <c r="AR196" s="370">
        <v>2625</v>
      </c>
      <c r="AS196" s="326">
        <v>100</v>
      </c>
      <c r="AT196" s="392">
        <v>0.8</v>
      </c>
      <c r="AU196" s="392"/>
      <c r="AV196" s="392">
        <v>1</v>
      </c>
      <c r="AW196" s="340"/>
      <c r="AX196" s="347"/>
      <c r="AY196" s="348"/>
      <c r="AZ196" s="377"/>
      <c r="BA196" s="374"/>
      <c r="BB196" s="374"/>
      <c r="BC196" s="374"/>
      <c r="BD196" s="374"/>
      <c r="BE196" s="374"/>
      <c r="BF196" s="374"/>
      <c r="BG196" s="374"/>
      <c r="BH196" s="378"/>
      <c r="BI196" s="376"/>
      <c r="BJ196" s="379"/>
      <c r="BK196" s="380"/>
      <c r="BL196" s="348"/>
      <c r="BM196" s="381"/>
      <c r="BN196" s="321" t="s">
        <v>14</v>
      </c>
      <c r="BO196" s="372"/>
      <c r="BP196" s="373" t="s">
        <v>14</v>
      </c>
      <c r="BQ196" s="360"/>
      <c r="BR196" s="361"/>
      <c r="BS196" s="361"/>
      <c r="BT196" s="361"/>
      <c r="BU196" s="342" t="s">
        <v>210</v>
      </c>
      <c r="BV196" s="342" t="s">
        <v>210</v>
      </c>
      <c r="BW196" s="341" t="s">
        <v>15</v>
      </c>
      <c r="BX196" s="361"/>
      <c r="BY196" s="362"/>
      <c r="BZ196" s="363"/>
      <c r="CA196" s="363"/>
      <c r="CB196" s="363"/>
      <c r="CC196" s="363"/>
      <c r="CD196" s="293"/>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row>
    <row r="197" spans="1:220" ht="22.5" customHeight="1">
      <c r="B197" s="365">
        <v>230161</v>
      </c>
      <c r="C197" s="366" t="s">
        <v>14099</v>
      </c>
      <c r="D197" s="367"/>
      <c r="E197" s="368"/>
      <c r="F197" s="321" t="s">
        <v>93</v>
      </c>
      <c r="G197" s="326" t="s">
        <v>2248</v>
      </c>
      <c r="H197" s="326" t="s">
        <v>2249</v>
      </c>
      <c r="I197" s="326" t="s">
        <v>11</v>
      </c>
      <c r="J197" s="326" t="s">
        <v>12</v>
      </c>
      <c r="K197" s="326" t="s">
        <v>10</v>
      </c>
      <c r="L197" s="323"/>
      <c r="M197" s="324" t="s">
        <v>10767</v>
      </c>
      <c r="N197" s="325" t="s">
        <v>745</v>
      </c>
      <c r="O197" s="326">
        <v>50</v>
      </c>
      <c r="P197" s="327">
        <v>2699.85</v>
      </c>
      <c r="Q197" s="369">
        <v>2991.99</v>
      </c>
      <c r="R197" s="329" t="s">
        <v>615</v>
      </c>
      <c r="S197" s="331" t="s">
        <v>12965</v>
      </c>
      <c r="T197" s="394" t="s">
        <v>11205</v>
      </c>
      <c r="U197" s="394" t="s">
        <v>11207</v>
      </c>
      <c r="V197" s="331" t="s">
        <v>12966</v>
      </c>
      <c r="W197" s="332" t="s">
        <v>432</v>
      </c>
      <c r="X197" s="331" t="s">
        <v>11079</v>
      </c>
      <c r="Y197" s="331" t="s">
        <v>11080</v>
      </c>
      <c r="Z197" s="331" t="s">
        <v>11080</v>
      </c>
      <c r="AA197" s="331" t="s">
        <v>210</v>
      </c>
      <c r="AB197" s="333"/>
      <c r="AC197" s="333"/>
      <c r="AD197" s="334" t="s">
        <v>2325</v>
      </c>
      <c r="AE197" s="335" t="s">
        <v>292</v>
      </c>
      <c r="AF197" s="336"/>
      <c r="AG197" s="337"/>
      <c r="AH197" s="417">
        <v>5.5</v>
      </c>
      <c r="AI197" s="392">
        <v>14.7</v>
      </c>
      <c r="AJ197" s="392">
        <v>14.4</v>
      </c>
      <c r="AK197" s="340">
        <f>SUM(AH197:AJ197)</f>
        <v>34.6</v>
      </c>
      <c r="AL197" s="321" t="s">
        <v>210</v>
      </c>
      <c r="AM197" s="392" t="s">
        <v>15</v>
      </c>
      <c r="AN197" s="392" t="s">
        <v>15</v>
      </c>
      <c r="AO197" s="341" t="s">
        <v>15</v>
      </c>
      <c r="AP197" s="342"/>
      <c r="AQ197" s="343"/>
      <c r="AR197" s="370">
        <v>3420</v>
      </c>
      <c r="AS197" s="326">
        <v>100</v>
      </c>
      <c r="AT197" s="392">
        <v>0.8</v>
      </c>
      <c r="AU197" s="392"/>
      <c r="AV197" s="392">
        <v>1.2</v>
      </c>
      <c r="AW197" s="340"/>
      <c r="AX197" s="347"/>
      <c r="AY197" s="348"/>
      <c r="AZ197" s="377"/>
      <c r="BA197" s="374"/>
      <c r="BB197" s="374"/>
      <c r="BC197" s="374"/>
      <c r="BD197" s="374"/>
      <c r="BE197" s="374"/>
      <c r="BF197" s="374"/>
      <c r="BG197" s="374"/>
      <c r="BH197" s="378"/>
      <c r="BI197" s="376"/>
      <c r="BJ197" s="379"/>
      <c r="BK197" s="380"/>
      <c r="BL197" s="348"/>
      <c r="BM197" s="381"/>
      <c r="BN197" s="321" t="s">
        <v>15</v>
      </c>
      <c r="BO197" s="372"/>
      <c r="BP197" s="373" t="s">
        <v>15</v>
      </c>
      <c r="BQ197" s="360"/>
      <c r="BR197" s="361"/>
      <c r="BS197" s="361"/>
      <c r="BT197" s="361"/>
      <c r="BU197" s="342" t="s">
        <v>210</v>
      </c>
      <c r="BV197" s="342" t="s">
        <v>210</v>
      </c>
      <c r="BW197" s="341" t="s">
        <v>15</v>
      </c>
      <c r="BX197" s="361"/>
      <c r="BY197" s="362"/>
      <c r="BZ197" s="363"/>
      <c r="CA197" s="363"/>
      <c r="CB197" s="363"/>
      <c r="CC197" s="363"/>
    </row>
    <row r="198" spans="1:220" s="287" customFormat="1" ht="22.5" customHeight="1">
      <c r="B198" s="365">
        <v>230163</v>
      </c>
      <c r="C198" s="366" t="s">
        <v>14595</v>
      </c>
      <c r="D198" s="367"/>
      <c r="E198" s="368"/>
      <c r="F198" s="321" t="s">
        <v>297</v>
      </c>
      <c r="G198" s="326" t="s">
        <v>2477</v>
      </c>
      <c r="H198" s="326" t="s">
        <v>2478</v>
      </c>
      <c r="I198" s="326" t="s">
        <v>296</v>
      </c>
      <c r="J198" s="326" t="s">
        <v>216</v>
      </c>
      <c r="K198" s="326" t="s">
        <v>77</v>
      </c>
      <c r="L198" s="323"/>
      <c r="M198" s="374"/>
      <c r="N198" s="325" t="s">
        <v>656</v>
      </c>
      <c r="O198" s="326" t="s">
        <v>210</v>
      </c>
      <c r="P198" s="392" t="s">
        <v>15</v>
      </c>
      <c r="Q198" s="340" t="s">
        <v>15</v>
      </c>
      <c r="R198" s="329" t="s">
        <v>657</v>
      </c>
      <c r="S198" s="331" t="s">
        <v>14596</v>
      </c>
      <c r="T198" s="331" t="s">
        <v>14597</v>
      </c>
      <c r="U198" s="330"/>
      <c r="V198" s="331" t="s">
        <v>14598</v>
      </c>
      <c r="W198" s="332" t="s">
        <v>14599</v>
      </c>
      <c r="X198" s="394" t="s">
        <v>12295</v>
      </c>
      <c r="Y198" s="394" t="s">
        <v>12296</v>
      </c>
      <c r="Z198" s="400"/>
      <c r="AA198" s="394" t="s">
        <v>12297</v>
      </c>
      <c r="AB198" s="333"/>
      <c r="AC198" s="416"/>
      <c r="AD198" s="375"/>
      <c r="AE198" s="335" t="s">
        <v>15</v>
      </c>
      <c r="AF198" s="336"/>
      <c r="AG198" s="337"/>
      <c r="AH198" s="417" t="s">
        <v>435</v>
      </c>
      <c r="AI198" s="392" t="s">
        <v>435</v>
      </c>
      <c r="AJ198" s="392" t="s">
        <v>435</v>
      </c>
      <c r="AK198" s="340" t="s">
        <v>435</v>
      </c>
      <c r="AL198" s="321" t="s">
        <v>210</v>
      </c>
      <c r="AM198" s="392" t="s">
        <v>15</v>
      </c>
      <c r="AN198" s="392" t="s">
        <v>15</v>
      </c>
      <c r="AO198" s="341" t="s">
        <v>15</v>
      </c>
      <c r="AP198" s="342"/>
      <c r="AQ198" s="343"/>
      <c r="AR198" s="370">
        <v>252</v>
      </c>
      <c r="AS198" s="326">
        <v>150</v>
      </c>
      <c r="AT198" s="392">
        <v>0.8</v>
      </c>
      <c r="AU198" s="392"/>
      <c r="AV198" s="392">
        <v>1.7</v>
      </c>
      <c r="AW198" s="340"/>
      <c r="AX198" s="347"/>
      <c r="AY198" s="348"/>
      <c r="AZ198" s="377"/>
      <c r="BA198" s="374"/>
      <c r="BB198" s="374"/>
      <c r="BC198" s="374"/>
      <c r="BD198" s="374"/>
      <c r="BE198" s="374"/>
      <c r="BF198" s="374"/>
      <c r="BG198" s="374"/>
      <c r="BH198" s="378"/>
      <c r="BI198" s="376"/>
      <c r="BJ198" s="379"/>
      <c r="BK198" s="380"/>
      <c r="BL198" s="348"/>
      <c r="BM198" s="381"/>
      <c r="BN198" s="321" t="s">
        <v>14</v>
      </c>
      <c r="BO198" s="372"/>
      <c r="BP198" s="373" t="s">
        <v>14</v>
      </c>
      <c r="BQ198" s="360"/>
      <c r="BR198" s="361"/>
      <c r="BS198" s="361"/>
      <c r="BT198" s="361"/>
      <c r="BU198" s="342" t="s">
        <v>210</v>
      </c>
      <c r="BV198" s="342" t="s">
        <v>210</v>
      </c>
      <c r="BW198" s="341" t="s">
        <v>15</v>
      </c>
      <c r="BX198" s="361"/>
      <c r="BY198" s="362"/>
      <c r="BZ198" s="363"/>
      <c r="CA198" s="363"/>
      <c r="CB198" s="363"/>
      <c r="CC198" s="363"/>
      <c r="CD198" s="293"/>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row>
    <row r="199" spans="1:220" ht="22.5" customHeight="1">
      <c r="B199" s="365">
        <v>230164</v>
      </c>
      <c r="C199" s="366" t="s">
        <v>14590</v>
      </c>
      <c r="D199" s="367"/>
      <c r="E199" s="368"/>
      <c r="F199" s="321" t="s">
        <v>301</v>
      </c>
      <c r="G199" s="326" t="s">
        <v>2459</v>
      </c>
      <c r="H199" s="326" t="s">
        <v>2460</v>
      </c>
      <c r="I199" s="326" t="s">
        <v>11</v>
      </c>
      <c r="J199" s="326" t="s">
        <v>21</v>
      </c>
      <c r="K199" s="326" t="s">
        <v>215</v>
      </c>
      <c r="L199" s="323"/>
      <c r="M199" s="374"/>
      <c r="N199" s="325" t="s">
        <v>438</v>
      </c>
      <c r="O199" s="326" t="s">
        <v>210</v>
      </c>
      <c r="P199" s="392" t="s">
        <v>15</v>
      </c>
      <c r="Q199" s="340" t="s">
        <v>15</v>
      </c>
      <c r="R199" s="329" t="s">
        <v>757</v>
      </c>
      <c r="S199" s="331" t="s">
        <v>14591</v>
      </c>
      <c r="T199" s="330"/>
      <c r="U199" s="330"/>
      <c r="V199" s="331" t="s">
        <v>14592</v>
      </c>
      <c r="W199" s="332" t="s">
        <v>758</v>
      </c>
      <c r="X199" s="331" t="s">
        <v>14593</v>
      </c>
      <c r="Y199" s="330"/>
      <c r="Z199" s="330"/>
      <c r="AA199" s="331" t="s">
        <v>14594</v>
      </c>
      <c r="AB199" s="333"/>
      <c r="AC199" s="333"/>
      <c r="AD199" s="396" t="s">
        <v>42</v>
      </c>
      <c r="AE199" s="335" t="s">
        <v>302</v>
      </c>
      <c r="AF199" s="336"/>
      <c r="AG199" s="337"/>
      <c r="AH199" s="417" t="s">
        <v>435</v>
      </c>
      <c r="AI199" s="392" t="s">
        <v>435</v>
      </c>
      <c r="AJ199" s="392" t="s">
        <v>435</v>
      </c>
      <c r="AK199" s="340" t="s">
        <v>435</v>
      </c>
      <c r="AL199" s="321" t="s">
        <v>210</v>
      </c>
      <c r="AM199" s="392" t="s">
        <v>15</v>
      </c>
      <c r="AN199" s="392" t="s">
        <v>15</v>
      </c>
      <c r="AO199" s="341" t="s">
        <v>15</v>
      </c>
      <c r="AP199" s="342"/>
      <c r="AQ199" s="343"/>
      <c r="AR199" s="370">
        <v>2829</v>
      </c>
      <c r="AS199" s="326">
        <v>130</v>
      </c>
      <c r="AT199" s="392" t="s">
        <v>984</v>
      </c>
      <c r="AU199" s="392"/>
      <c r="AV199" s="392">
        <v>1</v>
      </c>
      <c r="AW199" s="340"/>
      <c r="AX199" s="347"/>
      <c r="AY199" s="348"/>
      <c r="AZ199" s="377"/>
      <c r="BA199" s="374"/>
      <c r="BB199" s="374"/>
      <c r="BC199" s="374"/>
      <c r="BD199" s="374"/>
      <c r="BE199" s="374"/>
      <c r="BF199" s="374"/>
      <c r="BG199" s="374"/>
      <c r="BH199" s="378"/>
      <c r="BI199" s="376"/>
      <c r="BJ199" s="379"/>
      <c r="BK199" s="380"/>
      <c r="BL199" s="348"/>
      <c r="BM199" s="381"/>
      <c r="BN199" s="321" t="s">
        <v>15</v>
      </c>
      <c r="BO199" s="372"/>
      <c r="BP199" s="373" t="s">
        <v>14</v>
      </c>
      <c r="BQ199" s="360"/>
      <c r="BR199" s="361"/>
      <c r="BS199" s="361"/>
      <c r="BT199" s="361"/>
      <c r="BU199" s="342" t="s">
        <v>210</v>
      </c>
      <c r="BV199" s="342" t="s">
        <v>210</v>
      </c>
      <c r="BW199" s="341" t="s">
        <v>15</v>
      </c>
      <c r="BX199" s="361"/>
      <c r="BY199" s="362"/>
      <c r="BZ199" s="363"/>
      <c r="CA199" s="363"/>
      <c r="CB199" s="363"/>
      <c r="CC199" s="363"/>
    </row>
    <row r="200" spans="1:220" ht="22.5" customHeight="1">
      <c r="B200" s="365">
        <v>230165</v>
      </c>
      <c r="C200" s="366" t="s">
        <v>13666</v>
      </c>
      <c r="D200" s="367"/>
      <c r="E200" s="368"/>
      <c r="F200" s="321" t="s">
        <v>174</v>
      </c>
      <c r="G200" s="326" t="s">
        <v>1826</v>
      </c>
      <c r="H200" s="326" t="s">
        <v>2458</v>
      </c>
      <c r="I200" s="326" t="s">
        <v>11</v>
      </c>
      <c r="J200" s="326" t="s">
        <v>12</v>
      </c>
      <c r="K200" s="326" t="s">
        <v>10</v>
      </c>
      <c r="L200" s="323"/>
      <c r="M200" s="324" t="s">
        <v>10767</v>
      </c>
      <c r="N200" s="325" t="s">
        <v>438</v>
      </c>
      <c r="O200" s="326">
        <v>120</v>
      </c>
      <c r="P200" s="392" t="s">
        <v>15</v>
      </c>
      <c r="Q200" s="340" t="s">
        <v>15</v>
      </c>
      <c r="R200" s="329" t="s">
        <v>1098</v>
      </c>
      <c r="S200" s="331" t="s">
        <v>11102</v>
      </c>
      <c r="T200" s="394" t="s">
        <v>12439</v>
      </c>
      <c r="U200" s="394" t="s">
        <v>16310</v>
      </c>
      <c r="V200" s="331" t="s">
        <v>11421</v>
      </c>
      <c r="W200" s="332" t="s">
        <v>432</v>
      </c>
      <c r="X200" s="331" t="s">
        <v>11079</v>
      </c>
      <c r="Y200" s="331" t="s">
        <v>11080</v>
      </c>
      <c r="Z200" s="331" t="s">
        <v>11080</v>
      </c>
      <c r="AA200" s="331" t="s">
        <v>210</v>
      </c>
      <c r="AB200" s="333"/>
      <c r="AC200" s="333"/>
      <c r="AD200" s="334" t="s">
        <v>891</v>
      </c>
      <c r="AE200" s="335" t="s">
        <v>809</v>
      </c>
      <c r="AF200" s="336"/>
      <c r="AG200" s="337"/>
      <c r="AH200" s="417">
        <v>10.5</v>
      </c>
      <c r="AI200" s="392">
        <v>26.6</v>
      </c>
      <c r="AJ200" s="392">
        <v>23</v>
      </c>
      <c r="AK200" s="340">
        <f>SUM(AH200:AJ200)</f>
        <v>60.1</v>
      </c>
      <c r="AL200" s="321" t="s">
        <v>210</v>
      </c>
      <c r="AM200" s="392" t="s">
        <v>15</v>
      </c>
      <c r="AN200" s="392" t="s">
        <v>15</v>
      </c>
      <c r="AO200" s="341" t="s">
        <v>15</v>
      </c>
      <c r="AP200" s="342"/>
      <c r="AQ200" s="343"/>
      <c r="AR200" s="370">
        <v>5986</v>
      </c>
      <c r="AS200" s="326">
        <v>150</v>
      </c>
      <c r="AT200" s="392">
        <v>0.8</v>
      </c>
      <c r="AU200" s="392"/>
      <c r="AV200" s="392">
        <v>0.8</v>
      </c>
      <c r="AW200" s="340"/>
      <c r="AX200" s="347"/>
      <c r="AY200" s="348"/>
      <c r="AZ200" s="377"/>
      <c r="BA200" s="374"/>
      <c r="BB200" s="374"/>
      <c r="BC200" s="374"/>
      <c r="BD200" s="374"/>
      <c r="BE200" s="374"/>
      <c r="BF200" s="374"/>
      <c r="BG200" s="374"/>
      <c r="BH200" s="378"/>
      <c r="BI200" s="376"/>
      <c r="BJ200" s="379"/>
      <c r="BK200" s="380"/>
      <c r="BL200" s="348"/>
      <c r="BM200" s="381"/>
      <c r="BN200" s="321" t="s">
        <v>15</v>
      </c>
      <c r="BO200" s="372"/>
      <c r="BP200" s="373" t="s">
        <v>15</v>
      </c>
      <c r="BQ200" s="360"/>
      <c r="BR200" s="361"/>
      <c r="BS200" s="361"/>
      <c r="BT200" s="361"/>
      <c r="BU200" s="342" t="s">
        <v>210</v>
      </c>
      <c r="BV200" s="342" t="s">
        <v>210</v>
      </c>
      <c r="BW200" s="341" t="s">
        <v>15</v>
      </c>
      <c r="BX200" s="361"/>
      <c r="BY200" s="362" t="s">
        <v>985</v>
      </c>
      <c r="BZ200" s="363"/>
      <c r="CA200" s="363"/>
      <c r="CB200" s="363"/>
      <c r="CC200" s="363"/>
    </row>
    <row r="201" spans="1:220" s="287" customFormat="1" ht="22.5" customHeight="1">
      <c r="B201" s="365">
        <v>230166</v>
      </c>
      <c r="C201" s="366" t="s">
        <v>14098</v>
      </c>
      <c r="D201" s="367"/>
      <c r="E201" s="368"/>
      <c r="F201" s="321" t="s">
        <v>306</v>
      </c>
      <c r="G201" s="326" t="s">
        <v>2432</v>
      </c>
      <c r="H201" s="326" t="s">
        <v>2457</v>
      </c>
      <c r="I201" s="326" t="s">
        <v>11</v>
      </c>
      <c r="J201" s="326" t="s">
        <v>21</v>
      </c>
      <c r="K201" s="326" t="s">
        <v>38</v>
      </c>
      <c r="L201" s="323"/>
      <c r="M201" s="374"/>
      <c r="N201" s="325" t="s">
        <v>438</v>
      </c>
      <c r="O201" s="326">
        <v>65</v>
      </c>
      <c r="P201" s="327">
        <v>1089</v>
      </c>
      <c r="Q201" s="369">
        <v>731.1</v>
      </c>
      <c r="R201" s="329" t="s">
        <v>615</v>
      </c>
      <c r="S201" s="394" t="s">
        <v>11204</v>
      </c>
      <c r="T201" s="394" t="s">
        <v>11205</v>
      </c>
      <c r="U201" s="394" t="s">
        <v>11207</v>
      </c>
      <c r="V201" s="394" t="s">
        <v>11206</v>
      </c>
      <c r="W201" s="332" t="s">
        <v>432</v>
      </c>
      <c r="X201" s="331" t="s">
        <v>11079</v>
      </c>
      <c r="Y201" s="331" t="s">
        <v>11080</v>
      </c>
      <c r="Z201" s="331" t="s">
        <v>11080</v>
      </c>
      <c r="AA201" s="331" t="s">
        <v>210</v>
      </c>
      <c r="AB201" s="333"/>
      <c r="AC201" s="333"/>
      <c r="AD201" s="334" t="s">
        <v>2325</v>
      </c>
      <c r="AE201" s="335" t="s">
        <v>187</v>
      </c>
      <c r="AF201" s="336"/>
      <c r="AG201" s="337"/>
      <c r="AH201" s="338">
        <v>11.1</v>
      </c>
      <c r="AI201" s="339">
        <v>27.5</v>
      </c>
      <c r="AJ201" s="339">
        <v>13.8</v>
      </c>
      <c r="AK201" s="340">
        <f>SUM(AH201:AJ201)</f>
        <v>52.400000000000006</v>
      </c>
      <c r="AL201" s="321" t="s">
        <v>210</v>
      </c>
      <c r="AM201" s="392" t="s">
        <v>15</v>
      </c>
      <c r="AN201" s="392" t="s">
        <v>15</v>
      </c>
      <c r="AO201" s="341" t="s">
        <v>15</v>
      </c>
      <c r="AP201" s="342"/>
      <c r="AQ201" s="343"/>
      <c r="AR201" s="370">
        <v>904</v>
      </c>
      <c r="AS201" s="326">
        <v>120</v>
      </c>
      <c r="AT201" s="392">
        <v>0.8</v>
      </c>
      <c r="AU201" s="392"/>
      <c r="AV201" s="392">
        <v>0.8</v>
      </c>
      <c r="AW201" s="340"/>
      <c r="AX201" s="347"/>
      <c r="AY201" s="348"/>
      <c r="AZ201" s="377"/>
      <c r="BA201" s="374"/>
      <c r="BB201" s="374"/>
      <c r="BC201" s="374"/>
      <c r="BD201" s="374"/>
      <c r="BE201" s="374"/>
      <c r="BF201" s="374"/>
      <c r="BG201" s="374"/>
      <c r="BH201" s="378"/>
      <c r="BI201" s="376"/>
      <c r="BJ201" s="379"/>
      <c r="BK201" s="380"/>
      <c r="BL201" s="348"/>
      <c r="BM201" s="381"/>
      <c r="BN201" s="321" t="s">
        <v>15</v>
      </c>
      <c r="BO201" s="372"/>
      <c r="BP201" s="373" t="s">
        <v>15</v>
      </c>
      <c r="BQ201" s="360"/>
      <c r="BR201" s="361"/>
      <c r="BS201" s="361"/>
      <c r="BT201" s="361"/>
      <c r="BU201" s="342" t="s">
        <v>210</v>
      </c>
      <c r="BV201" s="342" t="s">
        <v>210</v>
      </c>
      <c r="BW201" s="341" t="s">
        <v>15</v>
      </c>
      <c r="BX201" s="361"/>
      <c r="BY201" s="362"/>
      <c r="BZ201" s="363"/>
      <c r="CA201" s="363"/>
      <c r="CB201" s="363"/>
      <c r="CC201" s="363"/>
      <c r="CD201" s="293"/>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row>
    <row r="202" spans="1:220" s="287" customFormat="1" ht="22.5" customHeight="1">
      <c r="B202" s="365">
        <v>230167</v>
      </c>
      <c r="C202" s="366" t="s">
        <v>14097</v>
      </c>
      <c r="D202" s="367"/>
      <c r="E202" s="368"/>
      <c r="F202" s="321" t="s">
        <v>32</v>
      </c>
      <c r="G202" s="326" t="s">
        <v>2455</v>
      </c>
      <c r="H202" s="326" t="s">
        <v>2456</v>
      </c>
      <c r="I202" s="326" t="s">
        <v>11</v>
      </c>
      <c r="J202" s="326" t="s">
        <v>12</v>
      </c>
      <c r="K202" s="326" t="s">
        <v>10</v>
      </c>
      <c r="L202" s="323"/>
      <c r="M202" s="374"/>
      <c r="N202" s="325" t="s">
        <v>661</v>
      </c>
      <c r="O202" s="326">
        <v>250</v>
      </c>
      <c r="P202" s="327" t="s">
        <v>662</v>
      </c>
      <c r="Q202" s="369" t="s">
        <v>662</v>
      </c>
      <c r="R202" s="329" t="s">
        <v>615</v>
      </c>
      <c r="S202" s="331" t="s">
        <v>12965</v>
      </c>
      <c r="T202" s="394" t="s">
        <v>11205</v>
      </c>
      <c r="U202" s="394" t="s">
        <v>11207</v>
      </c>
      <c r="V202" s="331" t="s">
        <v>12966</v>
      </c>
      <c r="W202" s="332" t="s">
        <v>432</v>
      </c>
      <c r="X202" s="331" t="s">
        <v>11079</v>
      </c>
      <c r="Y202" s="331" t="s">
        <v>11080</v>
      </c>
      <c r="Z202" s="331" t="s">
        <v>11080</v>
      </c>
      <c r="AA202" s="331" t="s">
        <v>210</v>
      </c>
      <c r="AB202" s="333"/>
      <c r="AC202" s="333"/>
      <c r="AD202" s="334" t="s">
        <v>2325</v>
      </c>
      <c r="AE202" s="335" t="s">
        <v>34</v>
      </c>
      <c r="AF202" s="336"/>
      <c r="AG202" s="337"/>
      <c r="AH202" s="376"/>
      <c r="AI202" s="347"/>
      <c r="AJ202" s="347"/>
      <c r="AK202" s="371"/>
      <c r="AL202" s="321" t="s">
        <v>210</v>
      </c>
      <c r="AM202" s="392" t="s">
        <v>15</v>
      </c>
      <c r="AN202" s="392" t="s">
        <v>15</v>
      </c>
      <c r="AO202" s="341" t="s">
        <v>15</v>
      </c>
      <c r="AP202" s="342"/>
      <c r="AQ202" s="343"/>
      <c r="AR202" s="370">
        <v>3544</v>
      </c>
      <c r="AS202" s="326">
        <v>150</v>
      </c>
      <c r="AT202" s="392">
        <v>1.4</v>
      </c>
      <c r="AU202" s="392"/>
      <c r="AV202" s="392">
        <v>0.8</v>
      </c>
      <c r="AW202" s="340"/>
      <c r="AX202" s="347"/>
      <c r="AY202" s="348"/>
      <c r="AZ202" s="377"/>
      <c r="BA202" s="374"/>
      <c r="BB202" s="374"/>
      <c r="BC202" s="374"/>
      <c r="BD202" s="374"/>
      <c r="BE202" s="374"/>
      <c r="BF202" s="374"/>
      <c r="BG202" s="374"/>
      <c r="BH202" s="378"/>
      <c r="BI202" s="376"/>
      <c r="BJ202" s="379"/>
      <c r="BK202" s="380"/>
      <c r="BL202" s="348"/>
      <c r="BM202" s="381"/>
      <c r="BN202" s="321" t="s">
        <v>14</v>
      </c>
      <c r="BO202" s="372"/>
      <c r="BP202" s="373" t="s">
        <v>15</v>
      </c>
      <c r="BQ202" s="360"/>
      <c r="BR202" s="361"/>
      <c r="BS202" s="361"/>
      <c r="BT202" s="361"/>
      <c r="BU202" s="342" t="s">
        <v>210</v>
      </c>
      <c r="BV202" s="342" t="s">
        <v>210</v>
      </c>
      <c r="BW202" s="341" t="s">
        <v>15</v>
      </c>
      <c r="BX202" s="361"/>
      <c r="BY202" s="362"/>
      <c r="BZ202" s="363"/>
      <c r="CA202" s="363"/>
      <c r="CB202" s="363"/>
      <c r="CC202" s="363"/>
      <c r="CD202" s="293"/>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row>
    <row r="203" spans="1:220" s="287" customFormat="1" ht="22.5" customHeight="1">
      <c r="B203" s="365">
        <v>230168</v>
      </c>
      <c r="C203" s="366" t="s">
        <v>13060</v>
      </c>
      <c r="D203" s="367"/>
      <c r="E203" s="368"/>
      <c r="F203" s="321" t="s">
        <v>41</v>
      </c>
      <c r="G203" s="326" t="s">
        <v>2453</v>
      </c>
      <c r="H203" s="326" t="s">
        <v>2454</v>
      </c>
      <c r="I203" s="326" t="s">
        <v>11</v>
      </c>
      <c r="J203" s="326" t="s">
        <v>12</v>
      </c>
      <c r="K203" s="326" t="s">
        <v>10</v>
      </c>
      <c r="L203" s="323"/>
      <c r="M203" s="324" t="s">
        <v>10767</v>
      </c>
      <c r="N203" s="325" t="s">
        <v>438</v>
      </c>
      <c r="O203" s="326">
        <v>30</v>
      </c>
      <c r="P203" s="327">
        <v>2274</v>
      </c>
      <c r="Q203" s="369">
        <v>2282</v>
      </c>
      <c r="R203" s="329" t="s">
        <v>447</v>
      </c>
      <c r="S203" s="331" t="s">
        <v>13050</v>
      </c>
      <c r="T203" s="331" t="s">
        <v>11078</v>
      </c>
      <c r="U203" s="331" t="s">
        <v>16355</v>
      </c>
      <c r="V203" s="331" t="s">
        <v>13051</v>
      </c>
      <c r="W203" s="332" t="s">
        <v>432</v>
      </c>
      <c r="X203" s="331" t="s">
        <v>11079</v>
      </c>
      <c r="Y203" s="331" t="s">
        <v>11080</v>
      </c>
      <c r="Z203" s="331" t="s">
        <v>11080</v>
      </c>
      <c r="AA203" s="331" t="s">
        <v>210</v>
      </c>
      <c r="AB203" s="333"/>
      <c r="AC203" s="333"/>
      <c r="AD203" s="334" t="s">
        <v>272</v>
      </c>
      <c r="AE203" s="391"/>
      <c r="AF203" s="336"/>
      <c r="AG203" s="337"/>
      <c r="AH203" s="417">
        <v>7.2</v>
      </c>
      <c r="AI203" s="392">
        <v>14.4</v>
      </c>
      <c r="AJ203" s="392">
        <v>12.8</v>
      </c>
      <c r="AK203" s="340">
        <f>SUM(AH203:AJ203)</f>
        <v>34.400000000000006</v>
      </c>
      <c r="AL203" s="321" t="s">
        <v>210</v>
      </c>
      <c r="AM203" s="392" t="s">
        <v>15</v>
      </c>
      <c r="AN203" s="392" t="s">
        <v>15</v>
      </c>
      <c r="AO203" s="341" t="s">
        <v>15</v>
      </c>
      <c r="AP203" s="342"/>
      <c r="AQ203" s="343"/>
      <c r="AR203" s="370">
        <v>2661</v>
      </c>
      <c r="AS203" s="326">
        <v>100</v>
      </c>
      <c r="AT203" s="392">
        <v>0.8</v>
      </c>
      <c r="AU203" s="392"/>
      <c r="AV203" s="392">
        <v>0.8</v>
      </c>
      <c r="AW203" s="340"/>
      <c r="AX203" s="347"/>
      <c r="AY203" s="348"/>
      <c r="AZ203" s="377"/>
      <c r="BA203" s="374"/>
      <c r="BB203" s="374"/>
      <c r="BC203" s="374"/>
      <c r="BD203" s="374"/>
      <c r="BE203" s="374"/>
      <c r="BF203" s="374"/>
      <c r="BG203" s="374"/>
      <c r="BH203" s="378"/>
      <c r="BI203" s="376"/>
      <c r="BJ203" s="379"/>
      <c r="BK203" s="380"/>
      <c r="BL203" s="348"/>
      <c r="BM203" s="381"/>
      <c r="BN203" s="321" t="s">
        <v>983</v>
      </c>
      <c r="BO203" s="372"/>
      <c r="BP203" s="373" t="s">
        <v>983</v>
      </c>
      <c r="BQ203" s="360"/>
      <c r="BR203" s="361"/>
      <c r="BS203" s="361"/>
      <c r="BT203" s="361"/>
      <c r="BU203" s="342" t="s">
        <v>210</v>
      </c>
      <c r="BV203" s="342" t="s">
        <v>210</v>
      </c>
      <c r="BW203" s="341" t="s">
        <v>15</v>
      </c>
      <c r="BX203" s="361"/>
      <c r="BY203" s="362"/>
      <c r="BZ203" s="363"/>
      <c r="CA203" s="363"/>
      <c r="CB203" s="363"/>
      <c r="CC203" s="363"/>
      <c r="CD203" s="293"/>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row>
    <row r="204" spans="1:220" s="287" customFormat="1" ht="22.5" customHeight="1">
      <c r="B204" s="365">
        <v>230169</v>
      </c>
      <c r="C204" s="366" t="s">
        <v>14589</v>
      </c>
      <c r="D204" s="367"/>
      <c r="E204" s="368"/>
      <c r="F204" s="321" t="s">
        <v>308</v>
      </c>
      <c r="G204" s="326" t="s">
        <v>2435</v>
      </c>
      <c r="H204" s="326" t="s">
        <v>2452</v>
      </c>
      <c r="I204" s="326" t="s">
        <v>11</v>
      </c>
      <c r="J204" s="326" t="s">
        <v>12</v>
      </c>
      <c r="K204" s="326" t="s">
        <v>307</v>
      </c>
      <c r="L204" s="323"/>
      <c r="M204" s="374"/>
      <c r="N204" s="325" t="s">
        <v>2875</v>
      </c>
      <c r="O204" s="326" t="s">
        <v>210</v>
      </c>
      <c r="P204" s="392" t="s">
        <v>15</v>
      </c>
      <c r="Q204" s="340" t="s">
        <v>15</v>
      </c>
      <c r="R204" s="329" t="s">
        <v>663</v>
      </c>
      <c r="S204" s="330"/>
      <c r="T204" s="330"/>
      <c r="U204" s="330"/>
      <c r="V204" s="330"/>
      <c r="W204" s="332" t="s">
        <v>664</v>
      </c>
      <c r="X204" s="332" t="s">
        <v>11557</v>
      </c>
      <c r="Y204" s="332" t="s">
        <v>11625</v>
      </c>
      <c r="Z204" s="332" t="s">
        <v>16479</v>
      </c>
      <c r="AA204" s="332" t="s">
        <v>11627</v>
      </c>
      <c r="AB204" s="333" t="s">
        <v>3028</v>
      </c>
      <c r="AC204" s="333"/>
      <c r="AD204" s="396" t="s">
        <v>2320</v>
      </c>
      <c r="AE204" s="335" t="s">
        <v>809</v>
      </c>
      <c r="AF204" s="336"/>
      <c r="AG204" s="337"/>
      <c r="AH204" s="417" t="s">
        <v>435</v>
      </c>
      <c r="AI204" s="392" t="s">
        <v>435</v>
      </c>
      <c r="AJ204" s="392" t="s">
        <v>435</v>
      </c>
      <c r="AK204" s="340" t="s">
        <v>435</v>
      </c>
      <c r="AL204" s="321" t="s">
        <v>210</v>
      </c>
      <c r="AM204" s="392" t="s">
        <v>15</v>
      </c>
      <c r="AN204" s="392" t="s">
        <v>15</v>
      </c>
      <c r="AO204" s="341" t="s">
        <v>15</v>
      </c>
      <c r="AP204" s="342"/>
      <c r="AQ204" s="343"/>
      <c r="AR204" s="370">
        <v>1444</v>
      </c>
      <c r="AS204" s="326">
        <v>100</v>
      </c>
      <c r="AT204" s="392">
        <v>1</v>
      </c>
      <c r="AU204" s="392"/>
      <c r="AV204" s="392">
        <v>1</v>
      </c>
      <c r="AW204" s="340"/>
      <c r="AX204" s="347"/>
      <c r="AY204" s="348"/>
      <c r="AZ204" s="377"/>
      <c r="BA204" s="374"/>
      <c r="BB204" s="374"/>
      <c r="BC204" s="374"/>
      <c r="BD204" s="374"/>
      <c r="BE204" s="374"/>
      <c r="BF204" s="374"/>
      <c r="BG204" s="374"/>
      <c r="BH204" s="378"/>
      <c r="BI204" s="376"/>
      <c r="BJ204" s="379"/>
      <c r="BK204" s="380"/>
      <c r="BL204" s="348"/>
      <c r="BM204" s="381"/>
      <c r="BN204" s="321" t="s">
        <v>15</v>
      </c>
      <c r="BO204" s="372"/>
      <c r="BP204" s="373" t="s">
        <v>983</v>
      </c>
      <c r="BQ204" s="360"/>
      <c r="BR204" s="361"/>
      <c r="BS204" s="361"/>
      <c r="BT204" s="361"/>
      <c r="BU204" s="342" t="s">
        <v>210</v>
      </c>
      <c r="BV204" s="342" t="s">
        <v>210</v>
      </c>
      <c r="BW204" s="341" t="s">
        <v>15</v>
      </c>
      <c r="BX204" s="361"/>
      <c r="BY204" s="362"/>
      <c r="BZ204" s="363"/>
      <c r="CA204" s="363"/>
      <c r="CB204" s="363"/>
      <c r="CC204" s="363"/>
      <c r="CD204" s="293"/>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row>
    <row r="205" spans="1:220" s="287" customFormat="1" ht="22.5" customHeight="1">
      <c r="B205" s="365">
        <v>230170</v>
      </c>
      <c r="C205" s="366" t="s">
        <v>14585</v>
      </c>
      <c r="D205" s="367"/>
      <c r="E205" s="368"/>
      <c r="F205" s="321" t="s">
        <v>22</v>
      </c>
      <c r="G205" s="326" t="s">
        <v>2450</v>
      </c>
      <c r="H205" s="326" t="s">
        <v>2451</v>
      </c>
      <c r="I205" s="326" t="s">
        <v>11</v>
      </c>
      <c r="J205" s="326" t="s">
        <v>214</v>
      </c>
      <c r="K205" s="326" t="s">
        <v>31</v>
      </c>
      <c r="L205" s="323"/>
      <c r="M205" s="374"/>
      <c r="N205" s="325" t="s">
        <v>661</v>
      </c>
      <c r="O205" s="326" t="s">
        <v>210</v>
      </c>
      <c r="P205" s="392" t="s">
        <v>15</v>
      </c>
      <c r="Q205" s="340" t="s">
        <v>15</v>
      </c>
      <c r="R205" s="399"/>
      <c r="S205" s="400"/>
      <c r="T205" s="400"/>
      <c r="U205" s="400"/>
      <c r="V205" s="400"/>
      <c r="W205" s="332" t="s">
        <v>665</v>
      </c>
      <c r="X205" s="394" t="s">
        <v>14586</v>
      </c>
      <c r="Y205" s="394" t="s">
        <v>14588</v>
      </c>
      <c r="Z205" s="400"/>
      <c r="AA205" s="394" t="s">
        <v>14587</v>
      </c>
      <c r="AB205" s="333"/>
      <c r="AC205" s="333"/>
      <c r="AD205" s="334" t="s">
        <v>8769</v>
      </c>
      <c r="AE205" s="335" t="s">
        <v>5522</v>
      </c>
      <c r="AF205" s="336"/>
      <c r="AG205" s="337"/>
      <c r="AH205" s="417" t="s">
        <v>435</v>
      </c>
      <c r="AI205" s="392" t="s">
        <v>435</v>
      </c>
      <c r="AJ205" s="392" t="s">
        <v>435</v>
      </c>
      <c r="AK205" s="340" t="s">
        <v>435</v>
      </c>
      <c r="AL205" s="321" t="s">
        <v>210</v>
      </c>
      <c r="AM205" s="392" t="s">
        <v>15</v>
      </c>
      <c r="AN205" s="392" t="s">
        <v>15</v>
      </c>
      <c r="AO205" s="341" t="s">
        <v>15</v>
      </c>
      <c r="AP205" s="342"/>
      <c r="AQ205" s="343"/>
      <c r="AR205" s="370">
        <v>9198</v>
      </c>
      <c r="AS205" s="326">
        <v>200</v>
      </c>
      <c r="AT205" s="392">
        <v>1</v>
      </c>
      <c r="AU205" s="392"/>
      <c r="AV205" s="392">
        <v>1</v>
      </c>
      <c r="AW205" s="340"/>
      <c r="AX205" s="347"/>
      <c r="AY205" s="348"/>
      <c r="AZ205" s="377"/>
      <c r="BA205" s="374"/>
      <c r="BB205" s="374"/>
      <c r="BC205" s="374"/>
      <c r="BD205" s="374"/>
      <c r="BE205" s="374"/>
      <c r="BF205" s="374"/>
      <c r="BG205" s="374"/>
      <c r="BH205" s="378"/>
      <c r="BI205" s="376"/>
      <c r="BJ205" s="379"/>
      <c r="BK205" s="380"/>
      <c r="BL205" s="348"/>
      <c r="BM205" s="381"/>
      <c r="BN205" s="321" t="s">
        <v>15</v>
      </c>
      <c r="BO205" s="372"/>
      <c r="BP205" s="373" t="s">
        <v>15</v>
      </c>
      <c r="BQ205" s="360"/>
      <c r="BR205" s="361"/>
      <c r="BS205" s="361"/>
      <c r="BT205" s="361"/>
      <c r="BU205" s="342" t="s">
        <v>210</v>
      </c>
      <c r="BV205" s="342" t="s">
        <v>210</v>
      </c>
      <c r="BW205" s="341" t="s">
        <v>15</v>
      </c>
      <c r="BX205" s="361"/>
      <c r="BY205" s="362"/>
      <c r="BZ205" s="363"/>
      <c r="CA205" s="363"/>
      <c r="CB205" s="363"/>
      <c r="CC205" s="363"/>
      <c r="CD205" s="293"/>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row>
    <row r="206" spans="1:220" s="287" customFormat="1" ht="22.5" customHeight="1">
      <c r="B206" s="365">
        <v>230171</v>
      </c>
      <c r="C206" s="366" t="s">
        <v>14582</v>
      </c>
      <c r="D206" s="367"/>
      <c r="E206" s="368"/>
      <c r="F206" s="321" t="s">
        <v>213</v>
      </c>
      <c r="G206" s="326" t="s">
        <v>2475</v>
      </c>
      <c r="H206" s="326" t="s">
        <v>2476</v>
      </c>
      <c r="I206" s="326" t="s">
        <v>11</v>
      </c>
      <c r="J206" s="326" t="s">
        <v>12</v>
      </c>
      <c r="K206" s="326" t="s">
        <v>31</v>
      </c>
      <c r="L206" s="323"/>
      <c r="M206" s="374"/>
      <c r="N206" s="325" t="s">
        <v>655</v>
      </c>
      <c r="O206" s="326" t="s">
        <v>210</v>
      </c>
      <c r="P206" s="392" t="s">
        <v>15</v>
      </c>
      <c r="Q206" s="340" t="s">
        <v>15</v>
      </c>
      <c r="R206" s="329" t="s">
        <v>658</v>
      </c>
      <c r="S206" s="394" t="s">
        <v>13098</v>
      </c>
      <c r="T206" s="394" t="s">
        <v>13099</v>
      </c>
      <c r="U206" s="394" t="s">
        <v>16291</v>
      </c>
      <c r="V206" s="394" t="s">
        <v>13100</v>
      </c>
      <c r="W206" s="332" t="s">
        <v>644</v>
      </c>
      <c r="X206" s="331" t="s">
        <v>14583</v>
      </c>
      <c r="Y206" s="394" t="s">
        <v>11201</v>
      </c>
      <c r="Z206" s="394" t="s">
        <v>11200</v>
      </c>
      <c r="AA206" s="331" t="s">
        <v>14584</v>
      </c>
      <c r="AB206" s="333"/>
      <c r="AC206" s="333"/>
      <c r="AD206" s="334" t="s">
        <v>2328</v>
      </c>
      <c r="AE206" s="335" t="s">
        <v>946</v>
      </c>
      <c r="AF206" s="336"/>
      <c r="AG206" s="337"/>
      <c r="AH206" s="417" t="s">
        <v>435</v>
      </c>
      <c r="AI206" s="392" t="s">
        <v>435</v>
      </c>
      <c r="AJ206" s="392" t="s">
        <v>435</v>
      </c>
      <c r="AK206" s="340" t="s">
        <v>435</v>
      </c>
      <c r="AL206" s="321" t="s">
        <v>210</v>
      </c>
      <c r="AM206" s="392" t="s">
        <v>15</v>
      </c>
      <c r="AN206" s="392" t="s">
        <v>15</v>
      </c>
      <c r="AO206" s="341" t="s">
        <v>15</v>
      </c>
      <c r="AP206" s="342"/>
      <c r="AQ206" s="343"/>
      <c r="AR206" s="370">
        <v>2288</v>
      </c>
      <c r="AS206" s="326">
        <v>80</v>
      </c>
      <c r="AT206" s="392">
        <v>0.6</v>
      </c>
      <c r="AU206" s="392"/>
      <c r="AV206" s="392">
        <v>1</v>
      </c>
      <c r="AW206" s="340"/>
      <c r="AX206" s="347"/>
      <c r="AY206" s="348"/>
      <c r="AZ206" s="377"/>
      <c r="BA206" s="374"/>
      <c r="BB206" s="374"/>
      <c r="BC206" s="374"/>
      <c r="BD206" s="374"/>
      <c r="BE206" s="374"/>
      <c r="BF206" s="374"/>
      <c r="BG206" s="374"/>
      <c r="BH206" s="378"/>
      <c r="BI206" s="376"/>
      <c r="BJ206" s="379"/>
      <c r="BK206" s="380"/>
      <c r="BL206" s="348"/>
      <c r="BM206" s="381"/>
      <c r="BN206" s="321" t="s">
        <v>15</v>
      </c>
      <c r="BO206" s="372"/>
      <c r="BP206" s="373" t="s">
        <v>15</v>
      </c>
      <c r="BQ206" s="360"/>
      <c r="BR206" s="361"/>
      <c r="BS206" s="361"/>
      <c r="BT206" s="361"/>
      <c r="BU206" s="342" t="s">
        <v>210</v>
      </c>
      <c r="BV206" s="342" t="s">
        <v>210</v>
      </c>
      <c r="BW206" s="341" t="s">
        <v>15</v>
      </c>
      <c r="BX206" s="361"/>
      <c r="BY206" s="362" t="s">
        <v>960</v>
      </c>
      <c r="BZ206" s="363"/>
      <c r="CA206" s="363"/>
      <c r="CB206" s="363"/>
      <c r="CC206" s="363"/>
      <c r="CD206" s="293"/>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row>
    <row r="207" spans="1:220" s="287" customFormat="1" ht="22.5" customHeight="1">
      <c r="B207" s="365">
        <v>230172</v>
      </c>
      <c r="C207" s="366" t="s">
        <v>14506</v>
      </c>
      <c r="D207" s="367"/>
      <c r="E207" s="368"/>
      <c r="F207" s="321" t="s">
        <v>69</v>
      </c>
      <c r="G207" s="326" t="s">
        <v>2449</v>
      </c>
      <c r="H207" s="326" t="s">
        <v>2704</v>
      </c>
      <c r="I207" s="326" t="s">
        <v>11</v>
      </c>
      <c r="J207" s="326" t="s">
        <v>21</v>
      </c>
      <c r="K207" s="326" t="s">
        <v>10</v>
      </c>
      <c r="L207" s="323"/>
      <c r="M207" s="374"/>
      <c r="N207" s="325" t="s">
        <v>661</v>
      </c>
      <c r="O207" s="326" t="s">
        <v>210</v>
      </c>
      <c r="P207" s="392" t="s">
        <v>15</v>
      </c>
      <c r="Q207" s="340" t="s">
        <v>15</v>
      </c>
      <c r="R207" s="329" t="s">
        <v>464</v>
      </c>
      <c r="S207" s="331" t="s">
        <v>14325</v>
      </c>
      <c r="T207" s="330"/>
      <c r="U207" s="330"/>
      <c r="V207" s="331" t="s">
        <v>14326</v>
      </c>
      <c r="W207" s="332" t="s">
        <v>666</v>
      </c>
      <c r="X207" s="394" t="s">
        <v>14507</v>
      </c>
      <c r="Y207" s="394" t="s">
        <v>14508</v>
      </c>
      <c r="Z207" s="394" t="s">
        <v>14509</v>
      </c>
      <c r="AA207" s="394" t="s">
        <v>14510</v>
      </c>
      <c r="AB207" s="333"/>
      <c r="AC207" s="333"/>
      <c r="AD207" s="334" t="s">
        <v>275</v>
      </c>
      <c r="AE207" s="335" t="s">
        <v>860</v>
      </c>
      <c r="AF207" s="336"/>
      <c r="AG207" s="337"/>
      <c r="AH207" s="321" t="s">
        <v>210</v>
      </c>
      <c r="AI207" s="392" t="s">
        <v>15</v>
      </c>
      <c r="AJ207" s="392" t="s">
        <v>15</v>
      </c>
      <c r="AK207" s="340" t="s">
        <v>210</v>
      </c>
      <c r="AL207" s="321" t="s">
        <v>210</v>
      </c>
      <c r="AM207" s="392" t="s">
        <v>15</v>
      </c>
      <c r="AN207" s="392" t="s">
        <v>15</v>
      </c>
      <c r="AO207" s="341" t="s">
        <v>15</v>
      </c>
      <c r="AP207" s="342"/>
      <c r="AQ207" s="343"/>
      <c r="AR207" s="370">
        <v>5620</v>
      </c>
      <c r="AS207" s="326">
        <v>150</v>
      </c>
      <c r="AT207" s="392">
        <v>1.8</v>
      </c>
      <c r="AU207" s="392"/>
      <c r="AV207" s="392">
        <v>0.8</v>
      </c>
      <c r="AW207" s="340"/>
      <c r="AX207" s="347"/>
      <c r="AY207" s="348"/>
      <c r="AZ207" s="377"/>
      <c r="BA207" s="374"/>
      <c r="BB207" s="374"/>
      <c r="BC207" s="374"/>
      <c r="BD207" s="374"/>
      <c r="BE207" s="374"/>
      <c r="BF207" s="374"/>
      <c r="BG207" s="374"/>
      <c r="BH207" s="378"/>
      <c r="BI207" s="376"/>
      <c r="BJ207" s="379"/>
      <c r="BK207" s="380"/>
      <c r="BL207" s="348"/>
      <c r="BM207" s="381"/>
      <c r="BN207" s="321" t="s">
        <v>15</v>
      </c>
      <c r="BO207" s="372"/>
      <c r="BP207" s="373" t="s">
        <v>983</v>
      </c>
      <c r="BQ207" s="360"/>
      <c r="BR207" s="361"/>
      <c r="BS207" s="361"/>
      <c r="BT207" s="361"/>
      <c r="BU207" s="342" t="s">
        <v>210</v>
      </c>
      <c r="BV207" s="342" t="s">
        <v>210</v>
      </c>
      <c r="BW207" s="341" t="s">
        <v>15</v>
      </c>
      <c r="BX207" s="361"/>
      <c r="BY207" s="362"/>
      <c r="BZ207" s="363"/>
      <c r="CA207" s="363"/>
      <c r="CB207" s="363"/>
      <c r="CC207" s="363"/>
      <c r="CD207" s="293"/>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row>
    <row r="208" spans="1:220" s="465" customFormat="1" ht="22.5" customHeight="1">
      <c r="A208" s="287"/>
      <c r="B208" s="657">
        <v>230173</v>
      </c>
      <c r="C208" s="658" t="s">
        <v>14505</v>
      </c>
      <c r="D208" s="659"/>
      <c r="E208" s="660"/>
      <c r="F208" s="661" t="s">
        <v>97</v>
      </c>
      <c r="G208" s="662"/>
      <c r="H208" s="662"/>
      <c r="I208" s="662" t="s">
        <v>11</v>
      </c>
      <c r="J208" s="662" t="s">
        <v>12</v>
      </c>
      <c r="K208" s="662" t="s">
        <v>211</v>
      </c>
      <c r="L208" s="663"/>
      <c r="M208" s="662"/>
      <c r="N208" s="664" t="s">
        <v>437</v>
      </c>
      <c r="O208" s="662">
        <v>30</v>
      </c>
      <c r="P208" s="665">
        <v>365</v>
      </c>
      <c r="Q208" s="666">
        <v>397.5</v>
      </c>
      <c r="R208" s="667" t="s">
        <v>756</v>
      </c>
      <c r="S208" s="668"/>
      <c r="T208" s="668"/>
      <c r="U208" s="668"/>
      <c r="V208" s="668"/>
      <c r="W208" s="669" t="s">
        <v>432</v>
      </c>
      <c r="X208" s="668" t="s">
        <v>11081</v>
      </c>
      <c r="Y208" s="668" t="s">
        <v>11080</v>
      </c>
      <c r="Z208" s="668" t="s">
        <v>11082</v>
      </c>
      <c r="AA208" s="668" t="s">
        <v>295</v>
      </c>
      <c r="AB208" s="670"/>
      <c r="AC208" s="670"/>
      <c r="AD208" s="671" t="s">
        <v>1077</v>
      </c>
      <c r="AE208" s="672" t="s">
        <v>295</v>
      </c>
      <c r="AF208" s="673"/>
      <c r="AG208" s="674" t="s">
        <v>10514</v>
      </c>
      <c r="AH208" s="675"/>
      <c r="AI208" s="676"/>
      <c r="AJ208" s="676"/>
      <c r="AK208" s="677"/>
      <c r="AL208" s="661" t="s">
        <v>210</v>
      </c>
      <c r="AM208" s="676" t="s">
        <v>15</v>
      </c>
      <c r="AN208" s="676" t="s">
        <v>15</v>
      </c>
      <c r="AO208" s="678" t="s">
        <v>15</v>
      </c>
      <c r="AP208" s="663"/>
      <c r="AQ208" s="679"/>
      <c r="AR208" s="680">
        <v>536</v>
      </c>
      <c r="AS208" s="662">
        <v>100</v>
      </c>
      <c r="AT208" s="676">
        <v>0.8</v>
      </c>
      <c r="AU208" s="676"/>
      <c r="AV208" s="676">
        <v>1</v>
      </c>
      <c r="AW208" s="677"/>
      <c r="AX208" s="676"/>
      <c r="AY208" s="681"/>
      <c r="AZ208" s="661"/>
      <c r="BA208" s="662"/>
      <c r="BB208" s="662"/>
      <c r="BC208" s="662"/>
      <c r="BD208" s="662"/>
      <c r="BE208" s="662"/>
      <c r="BF208" s="662"/>
      <c r="BG208" s="662"/>
      <c r="BH208" s="682"/>
      <c r="BI208" s="675"/>
      <c r="BJ208" s="683"/>
      <c r="BK208" s="684"/>
      <c r="BL208" s="681"/>
      <c r="BM208" s="685"/>
      <c r="BN208" s="661" t="s">
        <v>983</v>
      </c>
      <c r="BO208" s="686"/>
      <c r="BP208" s="682" t="s">
        <v>983</v>
      </c>
      <c r="BQ208" s="687"/>
      <c r="BR208" s="663"/>
      <c r="BS208" s="663"/>
      <c r="BT208" s="663"/>
      <c r="BU208" s="663" t="s">
        <v>5510</v>
      </c>
      <c r="BV208" s="663" t="s">
        <v>5510</v>
      </c>
      <c r="BW208" s="678"/>
      <c r="BX208" s="688"/>
      <c r="BY208" s="689" t="s">
        <v>1076</v>
      </c>
      <c r="BZ208" s="483"/>
      <c r="CA208" s="483"/>
      <c r="CB208" s="483"/>
      <c r="CC208" s="483"/>
      <c r="CD208" s="484"/>
    </row>
    <row r="209" spans="1:220" s="287" customFormat="1" ht="22.5" customHeight="1">
      <c r="B209" s="365">
        <v>230175</v>
      </c>
      <c r="C209" s="366" t="s">
        <v>14502</v>
      </c>
      <c r="D209" s="367"/>
      <c r="E209" s="368"/>
      <c r="F209" s="321" t="s">
        <v>66</v>
      </c>
      <c r="G209" s="326" t="s">
        <v>1806</v>
      </c>
      <c r="H209" s="326" t="s">
        <v>2448</v>
      </c>
      <c r="I209" s="326" t="s">
        <v>11</v>
      </c>
      <c r="J209" s="326" t="s">
        <v>12</v>
      </c>
      <c r="K209" s="326" t="s">
        <v>293</v>
      </c>
      <c r="L209" s="323"/>
      <c r="M209" s="374"/>
      <c r="N209" s="325" t="s">
        <v>661</v>
      </c>
      <c r="O209" s="326" t="s">
        <v>210</v>
      </c>
      <c r="P209" s="392" t="s">
        <v>15</v>
      </c>
      <c r="Q209" s="340" t="s">
        <v>15</v>
      </c>
      <c r="R209" s="329" t="s">
        <v>667</v>
      </c>
      <c r="S209" s="331" t="s">
        <v>14503</v>
      </c>
      <c r="T209" s="331" t="s">
        <v>14459</v>
      </c>
      <c r="U209" s="331" t="s">
        <v>16461</v>
      </c>
      <c r="V209" s="331" t="s">
        <v>14504</v>
      </c>
      <c r="W209" s="332" t="s">
        <v>10002</v>
      </c>
      <c r="X209" s="330"/>
      <c r="Y209" s="330"/>
      <c r="Z209" s="330"/>
      <c r="AA209" s="330"/>
      <c r="AB209" s="333"/>
      <c r="AC209" s="333"/>
      <c r="AD209" s="396" t="s">
        <v>42</v>
      </c>
      <c r="AE209" s="335" t="s">
        <v>96</v>
      </c>
      <c r="AF209" s="336"/>
      <c r="AG209" s="337"/>
      <c r="AH209" s="417" t="s">
        <v>435</v>
      </c>
      <c r="AI209" s="392" t="s">
        <v>435</v>
      </c>
      <c r="AJ209" s="392" t="s">
        <v>435</v>
      </c>
      <c r="AK209" s="340" t="s">
        <v>435</v>
      </c>
      <c r="AL209" s="321" t="s">
        <v>210</v>
      </c>
      <c r="AM209" s="392" t="s">
        <v>15</v>
      </c>
      <c r="AN209" s="392" t="s">
        <v>15</v>
      </c>
      <c r="AO209" s="341" t="s">
        <v>15</v>
      </c>
      <c r="AP209" s="342"/>
      <c r="AQ209" s="343"/>
      <c r="AR209" s="370">
        <v>1055</v>
      </c>
      <c r="AS209" s="326">
        <v>100</v>
      </c>
      <c r="AT209" s="392">
        <v>1.5</v>
      </c>
      <c r="AU209" s="392"/>
      <c r="AV209" s="392">
        <v>1</v>
      </c>
      <c r="AW209" s="340"/>
      <c r="AX209" s="347"/>
      <c r="AY209" s="348"/>
      <c r="AZ209" s="377"/>
      <c r="BA209" s="374"/>
      <c r="BB209" s="374"/>
      <c r="BC209" s="374"/>
      <c r="BD209" s="374"/>
      <c r="BE209" s="374"/>
      <c r="BF209" s="374"/>
      <c r="BG209" s="374"/>
      <c r="BH209" s="378"/>
      <c r="BI209" s="376"/>
      <c r="BJ209" s="379"/>
      <c r="BK209" s="380"/>
      <c r="BL209" s="348"/>
      <c r="BM209" s="381"/>
      <c r="BN209" s="321" t="s">
        <v>983</v>
      </c>
      <c r="BO209" s="372"/>
      <c r="BP209" s="373" t="s">
        <v>15</v>
      </c>
      <c r="BQ209" s="360"/>
      <c r="BR209" s="361"/>
      <c r="BS209" s="361"/>
      <c r="BT209" s="361"/>
      <c r="BU209" s="342" t="s">
        <v>210</v>
      </c>
      <c r="BV209" s="342" t="s">
        <v>210</v>
      </c>
      <c r="BW209" s="341" t="s">
        <v>15</v>
      </c>
      <c r="BX209" s="361"/>
      <c r="BY209" s="362"/>
      <c r="BZ209" s="363"/>
      <c r="CA209" s="363"/>
      <c r="CB209" s="363"/>
      <c r="CC209" s="363"/>
      <c r="CD209" s="293"/>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row>
    <row r="210" spans="1:220" s="287" customFormat="1" ht="22.5" customHeight="1">
      <c r="B210" s="365">
        <v>230176</v>
      </c>
      <c r="C210" s="366" t="s">
        <v>14500</v>
      </c>
      <c r="D210" s="367"/>
      <c r="E210" s="368"/>
      <c r="F210" s="321" t="s">
        <v>304</v>
      </c>
      <c r="G210" s="326" t="s">
        <v>2446</v>
      </c>
      <c r="H210" s="326" t="s">
        <v>2447</v>
      </c>
      <c r="I210" s="326" t="s">
        <v>11</v>
      </c>
      <c r="J210" s="326" t="s">
        <v>12</v>
      </c>
      <c r="K210" s="326" t="s">
        <v>133</v>
      </c>
      <c r="L210" s="323"/>
      <c r="M210" s="374"/>
      <c r="N210" s="325" t="s">
        <v>661</v>
      </c>
      <c r="O210" s="326" t="s">
        <v>210</v>
      </c>
      <c r="P210" s="392" t="s">
        <v>15</v>
      </c>
      <c r="Q210" s="340" t="s">
        <v>15</v>
      </c>
      <c r="R210" s="329" t="s">
        <v>668</v>
      </c>
      <c r="S210" s="330"/>
      <c r="T210" s="330"/>
      <c r="U210" s="330"/>
      <c r="V210" s="330"/>
      <c r="W210" s="332" t="s">
        <v>664</v>
      </c>
      <c r="X210" s="332" t="s">
        <v>14501</v>
      </c>
      <c r="Y210" s="332" t="s">
        <v>11625</v>
      </c>
      <c r="Z210" s="332" t="s">
        <v>16479</v>
      </c>
      <c r="AA210" s="332" t="s">
        <v>11627</v>
      </c>
      <c r="AB210" s="333"/>
      <c r="AC210" s="333"/>
      <c r="AD210" s="334" t="s">
        <v>305</v>
      </c>
      <c r="AE210" s="395" t="s">
        <v>187</v>
      </c>
      <c r="AF210" s="336"/>
      <c r="AG210" s="337"/>
      <c r="AH210" s="417" t="s">
        <v>435</v>
      </c>
      <c r="AI210" s="392" t="s">
        <v>435</v>
      </c>
      <c r="AJ210" s="392" t="s">
        <v>435</v>
      </c>
      <c r="AK210" s="340" t="s">
        <v>435</v>
      </c>
      <c r="AL210" s="321" t="s">
        <v>210</v>
      </c>
      <c r="AM210" s="392" t="s">
        <v>15</v>
      </c>
      <c r="AN210" s="392" t="s">
        <v>15</v>
      </c>
      <c r="AO210" s="341" t="s">
        <v>15</v>
      </c>
      <c r="AP210" s="342"/>
      <c r="AQ210" s="343"/>
      <c r="AR210" s="370">
        <v>1622</v>
      </c>
      <c r="AS210" s="326">
        <v>100</v>
      </c>
      <c r="AT210" s="392">
        <v>1</v>
      </c>
      <c r="AU210" s="392"/>
      <c r="AV210" s="392">
        <v>0.8</v>
      </c>
      <c r="AW210" s="340"/>
      <c r="AX210" s="347"/>
      <c r="AY210" s="348"/>
      <c r="AZ210" s="377"/>
      <c r="BA210" s="374"/>
      <c r="BB210" s="374"/>
      <c r="BC210" s="374"/>
      <c r="BD210" s="374"/>
      <c r="BE210" s="374"/>
      <c r="BF210" s="374"/>
      <c r="BG210" s="374"/>
      <c r="BH210" s="378"/>
      <c r="BI210" s="376"/>
      <c r="BJ210" s="379"/>
      <c r="BK210" s="380"/>
      <c r="BL210" s="348"/>
      <c r="BM210" s="381"/>
      <c r="BN210" s="321" t="s">
        <v>983</v>
      </c>
      <c r="BO210" s="372"/>
      <c r="BP210" s="373" t="s">
        <v>983</v>
      </c>
      <c r="BQ210" s="360"/>
      <c r="BR210" s="361"/>
      <c r="BS210" s="361"/>
      <c r="BT210" s="361"/>
      <c r="BU210" s="342" t="s">
        <v>210</v>
      </c>
      <c r="BV210" s="342" t="s">
        <v>210</v>
      </c>
      <c r="BW210" s="341" t="s">
        <v>15</v>
      </c>
      <c r="BX210" s="361"/>
      <c r="BY210" s="362"/>
      <c r="BZ210" s="363"/>
      <c r="CA210" s="363"/>
      <c r="CB210" s="363"/>
      <c r="CC210" s="363"/>
      <c r="CD210" s="293"/>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row>
    <row r="211" spans="1:220" s="287" customFormat="1" ht="22.5" customHeight="1">
      <c r="B211" s="365">
        <v>230177</v>
      </c>
      <c r="C211" s="366" t="s">
        <v>14496</v>
      </c>
      <c r="D211" s="367"/>
      <c r="E211" s="368"/>
      <c r="F211" s="321" t="s">
        <v>32</v>
      </c>
      <c r="G211" s="326" t="s">
        <v>2444</v>
      </c>
      <c r="H211" s="326" t="s">
        <v>2445</v>
      </c>
      <c r="I211" s="326" t="s">
        <v>11</v>
      </c>
      <c r="J211" s="326" t="s">
        <v>12</v>
      </c>
      <c r="K211" s="326" t="s">
        <v>23</v>
      </c>
      <c r="L211" s="323"/>
      <c r="M211" s="374"/>
      <c r="N211" s="325" t="s">
        <v>661</v>
      </c>
      <c r="O211" s="326" t="s">
        <v>210</v>
      </c>
      <c r="P211" s="392" t="s">
        <v>15</v>
      </c>
      <c r="Q211" s="340" t="s">
        <v>15</v>
      </c>
      <c r="R211" s="399"/>
      <c r="S211" s="400"/>
      <c r="T211" s="400"/>
      <c r="U211" s="400"/>
      <c r="V211" s="400"/>
      <c r="W211" s="332" t="s">
        <v>669</v>
      </c>
      <c r="X211" s="394" t="s">
        <v>14497</v>
      </c>
      <c r="Y211" s="394" t="s">
        <v>14498</v>
      </c>
      <c r="Z211" s="394" t="s">
        <v>16422</v>
      </c>
      <c r="AA211" s="394" t="s">
        <v>14499</v>
      </c>
      <c r="AB211" s="333"/>
      <c r="AC211" s="333"/>
      <c r="AD211" s="334" t="s">
        <v>310</v>
      </c>
      <c r="AE211" s="335" t="s">
        <v>15362</v>
      </c>
      <c r="AF211" s="336"/>
      <c r="AG211" s="337"/>
      <c r="AH211" s="417" t="s">
        <v>435</v>
      </c>
      <c r="AI211" s="392" t="s">
        <v>435</v>
      </c>
      <c r="AJ211" s="392" t="s">
        <v>435</v>
      </c>
      <c r="AK211" s="340" t="s">
        <v>435</v>
      </c>
      <c r="AL211" s="321" t="s">
        <v>210</v>
      </c>
      <c r="AM211" s="392" t="s">
        <v>15</v>
      </c>
      <c r="AN211" s="392" t="s">
        <v>15</v>
      </c>
      <c r="AO211" s="341" t="s">
        <v>15</v>
      </c>
      <c r="AP211" s="342"/>
      <c r="AQ211" s="343"/>
      <c r="AR211" s="370">
        <v>1344</v>
      </c>
      <c r="AS211" s="326">
        <v>100</v>
      </c>
      <c r="AT211" s="392">
        <v>1.8</v>
      </c>
      <c r="AU211" s="392"/>
      <c r="AV211" s="392">
        <v>1</v>
      </c>
      <c r="AW211" s="340"/>
      <c r="AX211" s="347"/>
      <c r="AY211" s="348"/>
      <c r="AZ211" s="377"/>
      <c r="BA211" s="374"/>
      <c r="BB211" s="374"/>
      <c r="BC211" s="374"/>
      <c r="BD211" s="374"/>
      <c r="BE211" s="374"/>
      <c r="BF211" s="374"/>
      <c r="BG211" s="374"/>
      <c r="BH211" s="378"/>
      <c r="BI211" s="376"/>
      <c r="BJ211" s="379"/>
      <c r="BK211" s="380"/>
      <c r="BL211" s="348"/>
      <c r="BM211" s="381"/>
      <c r="BN211" s="321" t="s">
        <v>15</v>
      </c>
      <c r="BO211" s="372"/>
      <c r="BP211" s="373" t="s">
        <v>983</v>
      </c>
      <c r="BQ211" s="360"/>
      <c r="BR211" s="361"/>
      <c r="BS211" s="361"/>
      <c r="BT211" s="361"/>
      <c r="BU211" s="342" t="s">
        <v>210</v>
      </c>
      <c r="BV211" s="342" t="s">
        <v>210</v>
      </c>
      <c r="BW211" s="341" t="s">
        <v>15</v>
      </c>
      <c r="BX211" s="361"/>
      <c r="BY211" s="362"/>
      <c r="BZ211" s="363"/>
      <c r="CA211" s="363"/>
      <c r="CB211" s="363"/>
      <c r="CC211" s="363"/>
      <c r="CD211" s="293"/>
      <c r="CE211" s="364"/>
      <c r="CF211" s="364"/>
      <c r="CG211" s="364"/>
      <c r="CH211" s="364"/>
      <c r="CI211" s="364"/>
      <c r="CJ211" s="364"/>
      <c r="CK211" s="364"/>
      <c r="CL211" s="364"/>
      <c r="CM211" s="364"/>
      <c r="CN211" s="364"/>
      <c r="CO211" s="364"/>
      <c r="CP211" s="364"/>
      <c r="CQ211" s="364"/>
      <c r="CR211" s="364"/>
      <c r="CS211" s="364"/>
      <c r="CT211" s="364"/>
      <c r="CU211" s="364"/>
      <c r="CV211" s="364"/>
      <c r="CW211" s="364"/>
      <c r="CX211" s="364"/>
      <c r="CY211" s="364"/>
      <c r="CZ211" s="364"/>
      <c r="DA211" s="364"/>
      <c r="DB211" s="364"/>
      <c r="DC211" s="364"/>
      <c r="DD211" s="364"/>
      <c r="DE211" s="364"/>
      <c r="DF211" s="364"/>
      <c r="DG211" s="364"/>
      <c r="DH211" s="364"/>
      <c r="DI211" s="364"/>
      <c r="DJ211" s="364"/>
      <c r="DK211" s="364"/>
      <c r="DL211" s="364"/>
      <c r="DM211" s="364"/>
      <c r="DN211" s="364"/>
      <c r="DO211" s="364"/>
      <c r="DP211" s="364"/>
      <c r="DQ211" s="364"/>
      <c r="DR211" s="364"/>
      <c r="DS211" s="364"/>
      <c r="DT211" s="364"/>
      <c r="DU211" s="364"/>
      <c r="DV211" s="364"/>
      <c r="DW211" s="364"/>
      <c r="DX211" s="364"/>
      <c r="DY211" s="364"/>
      <c r="DZ211" s="364"/>
      <c r="EA211" s="364"/>
      <c r="EB211" s="364"/>
      <c r="EC211" s="364"/>
      <c r="ED211" s="364"/>
      <c r="EE211" s="364"/>
      <c r="EF211" s="364"/>
      <c r="EG211" s="364"/>
      <c r="EH211" s="364"/>
      <c r="EI211" s="364"/>
      <c r="EJ211" s="364"/>
      <c r="EK211" s="364"/>
      <c r="EL211" s="364"/>
      <c r="EM211" s="364"/>
      <c r="EN211" s="364"/>
      <c r="EO211" s="364"/>
      <c r="EP211" s="364"/>
      <c r="EQ211" s="364"/>
      <c r="ER211" s="364"/>
      <c r="ES211" s="364"/>
      <c r="ET211" s="364"/>
      <c r="EU211" s="364"/>
      <c r="EV211" s="364"/>
      <c r="EW211" s="364"/>
      <c r="EX211" s="364"/>
      <c r="EY211" s="364"/>
      <c r="EZ211" s="364"/>
      <c r="FA211" s="364"/>
      <c r="FB211" s="364"/>
      <c r="FC211" s="364"/>
      <c r="FD211" s="364"/>
      <c r="FE211" s="364"/>
      <c r="FF211" s="364"/>
      <c r="FG211" s="364"/>
      <c r="FH211" s="364"/>
      <c r="FI211" s="364"/>
      <c r="FJ211" s="364"/>
      <c r="FK211" s="364"/>
      <c r="FL211" s="364"/>
      <c r="FM211" s="364"/>
      <c r="FN211" s="364"/>
      <c r="FO211" s="364"/>
      <c r="FP211" s="364"/>
      <c r="FQ211" s="364"/>
      <c r="FR211" s="364"/>
      <c r="FS211" s="364"/>
      <c r="FT211" s="364"/>
      <c r="FU211" s="364"/>
      <c r="FV211" s="364"/>
      <c r="FW211" s="364"/>
      <c r="FX211" s="364"/>
      <c r="FY211" s="364"/>
      <c r="FZ211" s="364"/>
      <c r="GA211" s="364"/>
      <c r="GB211" s="364"/>
      <c r="GC211" s="364"/>
      <c r="GD211" s="364"/>
      <c r="GE211" s="364"/>
      <c r="GF211" s="364"/>
      <c r="GG211" s="364"/>
      <c r="GH211" s="364"/>
      <c r="GI211" s="364"/>
      <c r="GJ211" s="364"/>
      <c r="GK211" s="364"/>
      <c r="GL211" s="364"/>
      <c r="GM211" s="364"/>
      <c r="GN211" s="364"/>
      <c r="GO211" s="364"/>
      <c r="GP211" s="364"/>
      <c r="GQ211" s="364"/>
      <c r="GR211" s="364"/>
      <c r="GS211" s="364"/>
      <c r="GT211" s="364"/>
      <c r="GU211" s="364"/>
      <c r="GV211" s="364"/>
      <c r="GW211" s="364"/>
      <c r="GX211" s="364"/>
      <c r="GY211" s="364"/>
      <c r="GZ211" s="364"/>
      <c r="HA211" s="364"/>
      <c r="HB211" s="364"/>
      <c r="HC211" s="364"/>
      <c r="HD211" s="364"/>
      <c r="HE211" s="364"/>
      <c r="HF211" s="364"/>
      <c r="HG211" s="364"/>
      <c r="HH211" s="364"/>
      <c r="HI211" s="364"/>
      <c r="HJ211" s="364"/>
      <c r="HK211" s="364"/>
      <c r="HL211" s="364"/>
    </row>
    <row r="212" spans="1:220" s="287" customFormat="1" ht="22.5" customHeight="1">
      <c r="B212" s="365">
        <v>230178</v>
      </c>
      <c r="C212" s="366" t="s">
        <v>13665</v>
      </c>
      <c r="D212" s="367"/>
      <c r="E212" s="368"/>
      <c r="F212" s="321" t="s">
        <v>304</v>
      </c>
      <c r="G212" s="326" t="s">
        <v>2406</v>
      </c>
      <c r="H212" s="326" t="s">
        <v>2407</v>
      </c>
      <c r="I212" s="326" t="s">
        <v>11</v>
      </c>
      <c r="J212" s="326" t="s">
        <v>12</v>
      </c>
      <c r="K212" s="326" t="s">
        <v>10</v>
      </c>
      <c r="L212" s="323"/>
      <c r="M212" s="374"/>
      <c r="N212" s="325" t="s">
        <v>661</v>
      </c>
      <c r="O212" s="326">
        <v>60</v>
      </c>
      <c r="P212" s="392" t="s">
        <v>15</v>
      </c>
      <c r="Q212" s="340" t="s">
        <v>15</v>
      </c>
      <c r="R212" s="329" t="s">
        <v>1098</v>
      </c>
      <c r="S212" s="331" t="s">
        <v>13396</v>
      </c>
      <c r="T212" s="394" t="s">
        <v>12439</v>
      </c>
      <c r="U212" s="394" t="s">
        <v>16310</v>
      </c>
      <c r="V212" s="331" t="s">
        <v>13395</v>
      </c>
      <c r="W212" s="332" t="s">
        <v>432</v>
      </c>
      <c r="X212" s="331" t="s">
        <v>11079</v>
      </c>
      <c r="Y212" s="331" t="s">
        <v>11080</v>
      </c>
      <c r="Z212" s="331" t="s">
        <v>11080</v>
      </c>
      <c r="AA212" s="331" t="s">
        <v>210</v>
      </c>
      <c r="AB212" s="333"/>
      <c r="AC212" s="333"/>
      <c r="AD212" s="334" t="s">
        <v>305</v>
      </c>
      <c r="AE212" s="335" t="s">
        <v>309</v>
      </c>
      <c r="AF212" s="336"/>
      <c r="AG212" s="337"/>
      <c r="AH212" s="376"/>
      <c r="AI212" s="347"/>
      <c r="AJ212" s="347"/>
      <c r="AK212" s="371"/>
      <c r="AL212" s="321" t="s">
        <v>210</v>
      </c>
      <c r="AM212" s="392" t="s">
        <v>15</v>
      </c>
      <c r="AN212" s="392" t="s">
        <v>15</v>
      </c>
      <c r="AO212" s="341" t="s">
        <v>15</v>
      </c>
      <c r="AP212" s="342"/>
      <c r="AQ212" s="343"/>
      <c r="AR212" s="370">
        <v>244</v>
      </c>
      <c r="AS212" s="326">
        <v>80</v>
      </c>
      <c r="AT212" s="392">
        <v>1.2</v>
      </c>
      <c r="AU212" s="392"/>
      <c r="AV212" s="392">
        <v>0.8</v>
      </c>
      <c r="AW212" s="340"/>
      <c r="AX212" s="347"/>
      <c r="AY212" s="348"/>
      <c r="AZ212" s="377"/>
      <c r="BA212" s="374"/>
      <c r="BB212" s="374"/>
      <c r="BC212" s="374"/>
      <c r="BD212" s="374"/>
      <c r="BE212" s="374"/>
      <c r="BF212" s="374"/>
      <c r="BG212" s="374"/>
      <c r="BH212" s="378"/>
      <c r="BI212" s="376"/>
      <c r="BJ212" s="379"/>
      <c r="BK212" s="380"/>
      <c r="BL212" s="348"/>
      <c r="BM212" s="381"/>
      <c r="BN212" s="321" t="s">
        <v>983</v>
      </c>
      <c r="BO212" s="372"/>
      <c r="BP212" s="373" t="s">
        <v>983</v>
      </c>
      <c r="BQ212" s="360"/>
      <c r="BR212" s="361"/>
      <c r="BS212" s="361"/>
      <c r="BT212" s="361"/>
      <c r="BU212" s="342" t="s">
        <v>210</v>
      </c>
      <c r="BV212" s="342" t="s">
        <v>210</v>
      </c>
      <c r="BW212" s="341" t="s">
        <v>15</v>
      </c>
      <c r="BX212" s="361"/>
      <c r="BY212" s="362"/>
      <c r="BZ212" s="363"/>
      <c r="CA212" s="363"/>
      <c r="CB212" s="363"/>
      <c r="CC212" s="363"/>
      <c r="CD212" s="293"/>
      <c r="CE212" s="364"/>
      <c r="CF212" s="364"/>
      <c r="CG212" s="364"/>
      <c r="CH212" s="364"/>
      <c r="CI212" s="364"/>
      <c r="CJ212" s="364"/>
      <c r="CK212" s="364"/>
      <c r="CL212" s="364"/>
      <c r="CM212" s="364"/>
      <c r="CN212" s="364"/>
      <c r="CO212" s="364"/>
      <c r="CP212" s="364"/>
      <c r="CQ212" s="364"/>
      <c r="CR212" s="364"/>
      <c r="CS212" s="364"/>
      <c r="CT212" s="364"/>
      <c r="CU212" s="364"/>
      <c r="CV212" s="364"/>
      <c r="CW212" s="364"/>
      <c r="CX212" s="364"/>
      <c r="CY212" s="364"/>
      <c r="CZ212" s="364"/>
      <c r="DA212" s="364"/>
      <c r="DB212" s="364"/>
      <c r="DC212" s="364"/>
      <c r="DD212" s="364"/>
      <c r="DE212" s="364"/>
      <c r="DF212" s="364"/>
      <c r="DG212" s="364"/>
      <c r="DH212" s="364"/>
      <c r="DI212" s="364"/>
      <c r="DJ212" s="364"/>
      <c r="DK212" s="364"/>
      <c r="DL212" s="364"/>
      <c r="DM212" s="364"/>
      <c r="DN212" s="364"/>
      <c r="DO212" s="364"/>
      <c r="DP212" s="364"/>
      <c r="DQ212" s="364"/>
      <c r="DR212" s="364"/>
      <c r="DS212" s="364"/>
      <c r="DT212" s="364"/>
      <c r="DU212" s="364"/>
      <c r="DV212" s="364"/>
      <c r="DW212" s="364"/>
      <c r="DX212" s="364"/>
      <c r="DY212" s="364"/>
      <c r="DZ212" s="364"/>
      <c r="EA212" s="364"/>
      <c r="EB212" s="364"/>
      <c r="EC212" s="364"/>
      <c r="ED212" s="364"/>
      <c r="EE212" s="364"/>
      <c r="EF212" s="364"/>
      <c r="EG212" s="364"/>
      <c r="EH212" s="364"/>
      <c r="EI212" s="364"/>
      <c r="EJ212" s="364"/>
      <c r="EK212" s="364"/>
      <c r="EL212" s="364"/>
      <c r="EM212" s="364"/>
      <c r="EN212" s="364"/>
      <c r="EO212" s="364"/>
      <c r="EP212" s="364"/>
      <c r="EQ212" s="364"/>
      <c r="ER212" s="364"/>
      <c r="ES212" s="364"/>
      <c r="ET212" s="364"/>
      <c r="EU212" s="364"/>
      <c r="EV212" s="364"/>
      <c r="EW212" s="364"/>
      <c r="EX212" s="364"/>
      <c r="EY212" s="364"/>
      <c r="EZ212" s="364"/>
      <c r="FA212" s="364"/>
      <c r="FB212" s="364"/>
      <c r="FC212" s="364"/>
      <c r="FD212" s="364"/>
      <c r="FE212" s="364"/>
      <c r="FF212" s="364"/>
      <c r="FG212" s="364"/>
      <c r="FH212" s="364"/>
      <c r="FI212" s="364"/>
      <c r="FJ212" s="364"/>
      <c r="FK212" s="364"/>
      <c r="FL212" s="364"/>
      <c r="FM212" s="364"/>
      <c r="FN212" s="364"/>
      <c r="FO212" s="364"/>
      <c r="FP212" s="364"/>
      <c r="FQ212" s="364"/>
      <c r="FR212" s="364"/>
      <c r="FS212" s="364"/>
      <c r="FT212" s="364"/>
      <c r="FU212" s="364"/>
      <c r="FV212" s="364"/>
      <c r="FW212" s="364"/>
      <c r="FX212" s="364"/>
      <c r="FY212" s="364"/>
      <c r="FZ212" s="364"/>
      <c r="GA212" s="364"/>
      <c r="GB212" s="364"/>
      <c r="GC212" s="364"/>
      <c r="GD212" s="364"/>
      <c r="GE212" s="364"/>
      <c r="GF212" s="364"/>
      <c r="GG212" s="364"/>
      <c r="GH212" s="364"/>
      <c r="GI212" s="364"/>
      <c r="GJ212" s="364"/>
      <c r="GK212" s="364"/>
      <c r="GL212" s="364"/>
      <c r="GM212" s="364"/>
      <c r="GN212" s="364"/>
      <c r="GO212" s="364"/>
      <c r="GP212" s="364"/>
      <c r="GQ212" s="364"/>
      <c r="GR212" s="364"/>
      <c r="GS212" s="364"/>
      <c r="GT212" s="364"/>
      <c r="GU212" s="364"/>
      <c r="GV212" s="364"/>
      <c r="GW212" s="364"/>
      <c r="GX212" s="364"/>
      <c r="GY212" s="364"/>
      <c r="GZ212" s="364"/>
      <c r="HA212" s="364"/>
      <c r="HB212" s="364"/>
      <c r="HC212" s="364"/>
      <c r="HD212" s="364"/>
      <c r="HE212" s="364"/>
      <c r="HF212" s="364"/>
      <c r="HG212" s="364"/>
      <c r="HH212" s="364"/>
      <c r="HI212" s="364"/>
      <c r="HJ212" s="364"/>
      <c r="HK212" s="364"/>
      <c r="HL212" s="364"/>
    </row>
    <row r="213" spans="1:220" s="287" customFormat="1" ht="22.5" customHeight="1">
      <c r="B213" s="365">
        <v>230180</v>
      </c>
      <c r="C213" s="366" t="s">
        <v>193</v>
      </c>
      <c r="D213" s="367"/>
      <c r="E213" s="368"/>
      <c r="F213" s="321" t="s">
        <v>194</v>
      </c>
      <c r="G213" s="326" t="s">
        <v>2442</v>
      </c>
      <c r="H213" s="326" t="s">
        <v>2443</v>
      </c>
      <c r="I213" s="326" t="s">
        <v>11</v>
      </c>
      <c r="J213" s="326" t="s">
        <v>12</v>
      </c>
      <c r="K213" s="326" t="s">
        <v>10</v>
      </c>
      <c r="L213" s="323"/>
      <c r="M213" s="374"/>
      <c r="N213" s="325" t="s">
        <v>661</v>
      </c>
      <c r="O213" s="326">
        <v>15</v>
      </c>
      <c r="P213" s="392" t="s">
        <v>15</v>
      </c>
      <c r="Q213" s="340" t="s">
        <v>15</v>
      </c>
      <c r="R213" s="329" t="s">
        <v>9689</v>
      </c>
      <c r="S213" s="331"/>
      <c r="T213" s="394" t="s">
        <v>11825</v>
      </c>
      <c r="U213" s="394" t="s">
        <v>16218</v>
      </c>
      <c r="V213" s="394" t="s">
        <v>11826</v>
      </c>
      <c r="W213" s="332" t="s">
        <v>432</v>
      </c>
      <c r="X213" s="331" t="s">
        <v>11079</v>
      </c>
      <c r="Y213" s="331" t="s">
        <v>11080</v>
      </c>
      <c r="Z213" s="331" t="s">
        <v>11080</v>
      </c>
      <c r="AA213" s="331" t="s">
        <v>210</v>
      </c>
      <c r="AB213" s="333"/>
      <c r="AC213" s="333"/>
      <c r="AD213" s="334" t="s">
        <v>2329</v>
      </c>
      <c r="AE213" s="395" t="s">
        <v>187</v>
      </c>
      <c r="AF213" s="336"/>
      <c r="AG213" s="337"/>
      <c r="AH213" s="417">
        <v>14.4</v>
      </c>
      <c r="AI213" s="392">
        <v>21.2</v>
      </c>
      <c r="AJ213" s="392">
        <v>8</v>
      </c>
      <c r="AK213" s="340">
        <f>SUM(AH213:AJ213)</f>
        <v>43.6</v>
      </c>
      <c r="AL213" s="321" t="s">
        <v>210</v>
      </c>
      <c r="AM213" s="392" t="s">
        <v>15</v>
      </c>
      <c r="AN213" s="392" t="s">
        <v>15</v>
      </c>
      <c r="AO213" s="341" t="s">
        <v>15</v>
      </c>
      <c r="AP213" s="342"/>
      <c r="AQ213" s="343"/>
      <c r="AR213" s="370">
        <v>6285</v>
      </c>
      <c r="AS213" s="326">
        <v>150</v>
      </c>
      <c r="AT213" s="392">
        <v>0.6</v>
      </c>
      <c r="AU213" s="392"/>
      <c r="AV213" s="392">
        <v>0.8</v>
      </c>
      <c r="AW213" s="340"/>
      <c r="AX213" s="347"/>
      <c r="AY213" s="348"/>
      <c r="AZ213" s="377"/>
      <c r="BA213" s="374"/>
      <c r="BB213" s="374"/>
      <c r="BC213" s="374"/>
      <c r="BD213" s="374"/>
      <c r="BE213" s="374"/>
      <c r="BF213" s="374"/>
      <c r="BG213" s="374"/>
      <c r="BH213" s="378"/>
      <c r="BI213" s="376"/>
      <c r="BJ213" s="379"/>
      <c r="BK213" s="380"/>
      <c r="BL213" s="348"/>
      <c r="BM213" s="381"/>
      <c r="BN213" s="321" t="s">
        <v>983</v>
      </c>
      <c r="BO213" s="372"/>
      <c r="BP213" s="373" t="s">
        <v>15</v>
      </c>
      <c r="BQ213" s="360"/>
      <c r="BR213" s="361"/>
      <c r="BS213" s="361"/>
      <c r="BT213" s="361"/>
      <c r="BU213" s="342" t="s">
        <v>210</v>
      </c>
      <c r="BV213" s="342" t="s">
        <v>210</v>
      </c>
      <c r="BW213" s="341" t="s">
        <v>15</v>
      </c>
      <c r="BX213" s="361"/>
      <c r="BY213" s="362"/>
      <c r="BZ213" s="363"/>
      <c r="CA213" s="363"/>
      <c r="CB213" s="363"/>
      <c r="CC213" s="363"/>
      <c r="CD213" s="293"/>
      <c r="CE213" s="364"/>
      <c r="CF213" s="364"/>
      <c r="CG213" s="364"/>
      <c r="CH213" s="364"/>
      <c r="CI213" s="364"/>
      <c r="CJ213" s="364"/>
      <c r="CK213" s="364"/>
      <c r="CL213" s="364"/>
      <c r="CM213" s="364"/>
      <c r="CN213" s="364"/>
      <c r="CO213" s="364"/>
      <c r="CP213" s="364"/>
      <c r="CQ213" s="364"/>
      <c r="CR213" s="364"/>
      <c r="CS213" s="364"/>
      <c r="CT213" s="364"/>
      <c r="CU213" s="364"/>
      <c r="CV213" s="364"/>
      <c r="CW213" s="364"/>
      <c r="CX213" s="364"/>
      <c r="CY213" s="364"/>
      <c r="CZ213" s="364"/>
      <c r="DA213" s="364"/>
      <c r="DB213" s="364"/>
      <c r="DC213" s="364"/>
      <c r="DD213" s="364"/>
      <c r="DE213" s="364"/>
      <c r="DF213" s="364"/>
      <c r="DG213" s="364"/>
      <c r="DH213" s="364"/>
      <c r="DI213" s="364"/>
      <c r="DJ213" s="364"/>
      <c r="DK213" s="364"/>
      <c r="DL213" s="364"/>
      <c r="DM213" s="364"/>
      <c r="DN213" s="364"/>
      <c r="DO213" s="364"/>
      <c r="DP213" s="364"/>
      <c r="DQ213" s="364"/>
      <c r="DR213" s="364"/>
      <c r="DS213" s="364"/>
      <c r="DT213" s="364"/>
      <c r="DU213" s="364"/>
      <c r="DV213" s="364"/>
      <c r="DW213" s="364"/>
      <c r="DX213" s="364"/>
      <c r="DY213" s="364"/>
      <c r="DZ213" s="364"/>
      <c r="EA213" s="364"/>
      <c r="EB213" s="364"/>
      <c r="EC213" s="364"/>
      <c r="ED213" s="364"/>
      <c r="EE213" s="364"/>
      <c r="EF213" s="364"/>
      <c r="EG213" s="364"/>
      <c r="EH213" s="364"/>
      <c r="EI213" s="364"/>
      <c r="EJ213" s="364"/>
      <c r="EK213" s="364"/>
      <c r="EL213" s="364"/>
      <c r="EM213" s="364"/>
      <c r="EN213" s="364"/>
      <c r="EO213" s="364"/>
      <c r="EP213" s="364"/>
      <c r="EQ213" s="364"/>
      <c r="ER213" s="364"/>
      <c r="ES213" s="364"/>
      <c r="ET213" s="364"/>
      <c r="EU213" s="364"/>
      <c r="EV213" s="364"/>
      <c r="EW213" s="364"/>
      <c r="EX213" s="364"/>
      <c r="EY213" s="364"/>
      <c r="EZ213" s="364"/>
      <c r="FA213" s="364"/>
      <c r="FB213" s="364"/>
      <c r="FC213" s="364"/>
      <c r="FD213" s="364"/>
      <c r="FE213" s="364"/>
      <c r="FF213" s="364"/>
      <c r="FG213" s="364"/>
      <c r="FH213" s="364"/>
      <c r="FI213" s="364"/>
      <c r="FJ213" s="364"/>
      <c r="FK213" s="364"/>
      <c r="FL213" s="364"/>
      <c r="FM213" s="364"/>
      <c r="FN213" s="364"/>
      <c r="FO213" s="364"/>
      <c r="FP213" s="364"/>
      <c r="FQ213" s="364"/>
      <c r="FR213" s="364"/>
      <c r="FS213" s="364"/>
      <c r="FT213" s="364"/>
      <c r="FU213" s="364"/>
      <c r="FV213" s="364"/>
      <c r="FW213" s="364"/>
      <c r="FX213" s="364"/>
      <c r="FY213" s="364"/>
      <c r="FZ213" s="364"/>
      <c r="GA213" s="364"/>
      <c r="GB213" s="364"/>
      <c r="GC213" s="364"/>
      <c r="GD213" s="364"/>
      <c r="GE213" s="364"/>
      <c r="GF213" s="364"/>
      <c r="GG213" s="364"/>
      <c r="GH213" s="364"/>
      <c r="GI213" s="364"/>
      <c r="GJ213" s="364"/>
      <c r="GK213" s="364"/>
      <c r="GL213" s="364"/>
      <c r="GM213" s="364"/>
      <c r="GN213" s="364"/>
      <c r="GO213" s="364"/>
      <c r="GP213" s="364"/>
      <c r="GQ213" s="364"/>
      <c r="GR213" s="364"/>
      <c r="GS213" s="364"/>
      <c r="GT213" s="364"/>
      <c r="GU213" s="364"/>
      <c r="GV213" s="364"/>
      <c r="GW213" s="364"/>
      <c r="GX213" s="364"/>
      <c r="GY213" s="364"/>
      <c r="GZ213" s="364"/>
      <c r="HA213" s="364"/>
      <c r="HB213" s="364"/>
      <c r="HC213" s="364"/>
      <c r="HD213" s="364"/>
      <c r="HE213" s="364"/>
      <c r="HF213" s="364"/>
      <c r="HG213" s="364"/>
      <c r="HH213" s="364"/>
      <c r="HI213" s="364"/>
      <c r="HJ213" s="364"/>
      <c r="HK213" s="364"/>
      <c r="HL213" s="364"/>
    </row>
    <row r="214" spans="1:220" s="287" customFormat="1" ht="22.5" customHeight="1">
      <c r="B214" s="365">
        <v>230181</v>
      </c>
      <c r="C214" s="366" t="s">
        <v>13664</v>
      </c>
      <c r="D214" s="367"/>
      <c r="E214" s="368"/>
      <c r="F214" s="321" t="s">
        <v>174</v>
      </c>
      <c r="G214" s="326" t="s">
        <v>2438</v>
      </c>
      <c r="H214" s="326" t="s">
        <v>2439</v>
      </c>
      <c r="I214" s="326" t="s">
        <v>11</v>
      </c>
      <c r="J214" s="326" t="s">
        <v>12</v>
      </c>
      <c r="K214" s="326" t="s">
        <v>10</v>
      </c>
      <c r="L214" s="323"/>
      <c r="M214" s="374"/>
      <c r="N214" s="325" t="s">
        <v>683</v>
      </c>
      <c r="O214" s="326">
        <v>150</v>
      </c>
      <c r="P214" s="327">
        <v>1134</v>
      </c>
      <c r="Q214" s="369">
        <v>1155</v>
      </c>
      <c r="R214" s="329" t="s">
        <v>1098</v>
      </c>
      <c r="S214" s="331" t="s">
        <v>13396</v>
      </c>
      <c r="T214" s="394" t="s">
        <v>12439</v>
      </c>
      <c r="U214" s="394" t="s">
        <v>16310</v>
      </c>
      <c r="V214" s="331" t="s">
        <v>13395</v>
      </c>
      <c r="W214" s="332" t="s">
        <v>432</v>
      </c>
      <c r="X214" s="331" t="s">
        <v>11079</v>
      </c>
      <c r="Y214" s="331" t="s">
        <v>11080</v>
      </c>
      <c r="Z214" s="331" t="s">
        <v>210</v>
      </c>
      <c r="AA214" s="331" t="s">
        <v>210</v>
      </c>
      <c r="AB214" s="333"/>
      <c r="AC214" s="333"/>
      <c r="AD214" s="334" t="s">
        <v>857</v>
      </c>
      <c r="AE214" s="335" t="s">
        <v>15</v>
      </c>
      <c r="AF214" s="336"/>
      <c r="AG214" s="337"/>
      <c r="AH214" s="376"/>
      <c r="AI214" s="347"/>
      <c r="AJ214" s="347"/>
      <c r="AK214" s="371"/>
      <c r="AL214" s="321" t="s">
        <v>210</v>
      </c>
      <c r="AM214" s="392" t="s">
        <v>15</v>
      </c>
      <c r="AN214" s="392" t="s">
        <v>15</v>
      </c>
      <c r="AO214" s="341" t="s">
        <v>15</v>
      </c>
      <c r="AP214" s="342"/>
      <c r="AQ214" s="343"/>
      <c r="AR214" s="370">
        <v>1854</v>
      </c>
      <c r="AS214" s="326">
        <v>100</v>
      </c>
      <c r="AT214" s="392">
        <v>2.2000000000000002</v>
      </c>
      <c r="AU214" s="392"/>
      <c r="AV214" s="392">
        <v>1</v>
      </c>
      <c r="AW214" s="340"/>
      <c r="AX214" s="347"/>
      <c r="AY214" s="348"/>
      <c r="AZ214" s="377"/>
      <c r="BA214" s="374"/>
      <c r="BB214" s="374"/>
      <c r="BC214" s="374"/>
      <c r="BD214" s="374"/>
      <c r="BE214" s="374"/>
      <c r="BF214" s="374"/>
      <c r="BG214" s="374"/>
      <c r="BH214" s="378"/>
      <c r="BI214" s="376"/>
      <c r="BJ214" s="379"/>
      <c r="BK214" s="380"/>
      <c r="BL214" s="348"/>
      <c r="BM214" s="381"/>
      <c r="BN214" s="321" t="s">
        <v>15</v>
      </c>
      <c r="BO214" s="372"/>
      <c r="BP214" s="373" t="s">
        <v>983</v>
      </c>
      <c r="BQ214" s="360"/>
      <c r="BR214" s="361"/>
      <c r="BS214" s="361"/>
      <c r="BT214" s="361"/>
      <c r="BU214" s="342" t="s">
        <v>210</v>
      </c>
      <c r="BV214" s="342" t="s">
        <v>210</v>
      </c>
      <c r="BW214" s="341" t="s">
        <v>15</v>
      </c>
      <c r="BX214" s="361"/>
      <c r="BY214" s="362"/>
      <c r="BZ214" s="363"/>
      <c r="CA214" s="363"/>
      <c r="CB214" s="363"/>
      <c r="CC214" s="363"/>
      <c r="CD214" s="293"/>
      <c r="CE214" s="364"/>
      <c r="CF214" s="364"/>
      <c r="CG214" s="364"/>
      <c r="CH214" s="364"/>
      <c r="CI214" s="364"/>
      <c r="CJ214" s="364"/>
      <c r="CK214" s="364"/>
      <c r="CL214" s="364"/>
      <c r="CM214" s="364"/>
      <c r="CN214" s="364"/>
      <c r="CO214" s="364"/>
      <c r="CP214" s="364"/>
      <c r="CQ214" s="364"/>
      <c r="CR214" s="364"/>
      <c r="CS214" s="364"/>
      <c r="CT214" s="364"/>
      <c r="CU214" s="364"/>
      <c r="CV214" s="364"/>
      <c r="CW214" s="364"/>
      <c r="CX214" s="364"/>
      <c r="CY214" s="364"/>
      <c r="CZ214" s="364"/>
      <c r="DA214" s="364"/>
      <c r="DB214" s="364"/>
      <c r="DC214" s="364"/>
      <c r="DD214" s="364"/>
      <c r="DE214" s="364"/>
      <c r="DF214" s="364"/>
      <c r="DG214" s="364"/>
      <c r="DH214" s="364"/>
      <c r="DI214" s="364"/>
      <c r="DJ214" s="364"/>
      <c r="DK214" s="364"/>
      <c r="DL214" s="364"/>
      <c r="DM214" s="364"/>
      <c r="DN214" s="364"/>
      <c r="DO214" s="364"/>
      <c r="DP214" s="364"/>
      <c r="DQ214" s="364"/>
      <c r="DR214" s="364"/>
      <c r="DS214" s="364"/>
      <c r="DT214" s="364"/>
      <c r="DU214" s="364"/>
      <c r="DV214" s="364"/>
      <c r="DW214" s="364"/>
      <c r="DX214" s="364"/>
      <c r="DY214" s="364"/>
      <c r="DZ214" s="364"/>
      <c r="EA214" s="364"/>
      <c r="EB214" s="364"/>
      <c r="EC214" s="364"/>
      <c r="ED214" s="364"/>
      <c r="EE214" s="364"/>
      <c r="EF214" s="364"/>
      <c r="EG214" s="364"/>
      <c r="EH214" s="364"/>
      <c r="EI214" s="364"/>
      <c r="EJ214" s="364"/>
      <c r="EK214" s="364"/>
      <c r="EL214" s="364"/>
      <c r="EM214" s="364"/>
      <c r="EN214" s="364"/>
      <c r="EO214" s="364"/>
      <c r="EP214" s="364"/>
      <c r="EQ214" s="364"/>
      <c r="ER214" s="364"/>
      <c r="ES214" s="364"/>
      <c r="ET214" s="364"/>
      <c r="EU214" s="364"/>
      <c r="EV214" s="364"/>
      <c r="EW214" s="364"/>
      <c r="EX214" s="364"/>
      <c r="EY214" s="364"/>
      <c r="EZ214" s="364"/>
      <c r="FA214" s="364"/>
      <c r="FB214" s="364"/>
      <c r="FC214" s="364"/>
      <c r="FD214" s="364"/>
      <c r="FE214" s="364"/>
      <c r="FF214" s="364"/>
      <c r="FG214" s="364"/>
      <c r="FH214" s="364"/>
      <c r="FI214" s="364"/>
      <c r="FJ214" s="364"/>
      <c r="FK214" s="364"/>
      <c r="FL214" s="364"/>
      <c r="FM214" s="364"/>
      <c r="FN214" s="364"/>
      <c r="FO214" s="364"/>
      <c r="FP214" s="364"/>
      <c r="FQ214" s="364"/>
      <c r="FR214" s="364"/>
      <c r="FS214" s="364"/>
      <c r="FT214" s="364"/>
      <c r="FU214" s="364"/>
      <c r="FV214" s="364"/>
      <c r="FW214" s="364"/>
      <c r="FX214" s="364"/>
      <c r="FY214" s="364"/>
      <c r="FZ214" s="364"/>
      <c r="GA214" s="364"/>
      <c r="GB214" s="364"/>
      <c r="GC214" s="364"/>
      <c r="GD214" s="364"/>
      <c r="GE214" s="364"/>
      <c r="GF214" s="364"/>
      <c r="GG214" s="364"/>
      <c r="GH214" s="364"/>
      <c r="GI214" s="364"/>
      <c r="GJ214" s="364"/>
      <c r="GK214" s="364"/>
      <c r="GL214" s="364"/>
      <c r="GM214" s="364"/>
      <c r="GN214" s="364"/>
      <c r="GO214" s="364"/>
      <c r="GP214" s="364"/>
      <c r="GQ214" s="364"/>
      <c r="GR214" s="364"/>
      <c r="GS214" s="364"/>
      <c r="GT214" s="364"/>
      <c r="GU214" s="364"/>
      <c r="GV214" s="364"/>
      <c r="GW214" s="364"/>
      <c r="GX214" s="364"/>
      <c r="GY214" s="364"/>
      <c r="GZ214" s="364"/>
      <c r="HA214" s="364"/>
      <c r="HB214" s="364"/>
      <c r="HC214" s="364"/>
      <c r="HD214" s="364"/>
      <c r="HE214" s="364"/>
      <c r="HF214" s="364"/>
      <c r="HG214" s="364"/>
      <c r="HH214" s="364"/>
      <c r="HI214" s="364"/>
      <c r="HJ214" s="364"/>
      <c r="HK214" s="364"/>
      <c r="HL214" s="364"/>
    </row>
    <row r="215" spans="1:220" s="287" customFormat="1" ht="22.5" customHeight="1">
      <c r="B215" s="365">
        <v>230182</v>
      </c>
      <c r="C215" s="366" t="s">
        <v>14492</v>
      </c>
      <c r="D215" s="367"/>
      <c r="E215" s="368"/>
      <c r="F215" s="321" t="s">
        <v>32</v>
      </c>
      <c r="G215" s="326" t="s">
        <v>2440</v>
      </c>
      <c r="H215" s="326" t="s">
        <v>2441</v>
      </c>
      <c r="I215" s="326" t="s">
        <v>11</v>
      </c>
      <c r="J215" s="326" t="s">
        <v>21</v>
      </c>
      <c r="K215" s="326" t="s">
        <v>31</v>
      </c>
      <c r="L215" s="323"/>
      <c r="M215" s="374"/>
      <c r="N215" s="325" t="s">
        <v>438</v>
      </c>
      <c r="O215" s="326" t="s">
        <v>210</v>
      </c>
      <c r="P215" s="392" t="s">
        <v>15</v>
      </c>
      <c r="Q215" s="340" t="s">
        <v>15</v>
      </c>
      <c r="R215" s="329" t="s">
        <v>684</v>
      </c>
      <c r="S215" s="331" t="s">
        <v>14493</v>
      </c>
      <c r="T215" s="330"/>
      <c r="U215" s="330"/>
      <c r="V215" s="331" t="s">
        <v>14494</v>
      </c>
      <c r="W215" s="332" t="s">
        <v>685</v>
      </c>
      <c r="X215" s="330"/>
      <c r="Y215" s="330"/>
      <c r="Z215" s="330"/>
      <c r="AA215" s="331" t="s">
        <v>14495</v>
      </c>
      <c r="AB215" s="333"/>
      <c r="AC215" s="333"/>
      <c r="AD215" s="396" t="s">
        <v>2320</v>
      </c>
      <c r="AE215" s="335" t="s">
        <v>34</v>
      </c>
      <c r="AF215" s="336"/>
      <c r="AG215" s="337"/>
      <c r="AH215" s="417" t="s">
        <v>435</v>
      </c>
      <c r="AI215" s="392" t="s">
        <v>435</v>
      </c>
      <c r="AJ215" s="392" t="s">
        <v>435</v>
      </c>
      <c r="AK215" s="340" t="s">
        <v>435</v>
      </c>
      <c r="AL215" s="321" t="s">
        <v>210</v>
      </c>
      <c r="AM215" s="392" t="s">
        <v>15</v>
      </c>
      <c r="AN215" s="392" t="s">
        <v>15</v>
      </c>
      <c r="AO215" s="341" t="s">
        <v>15</v>
      </c>
      <c r="AP215" s="342"/>
      <c r="AQ215" s="343"/>
      <c r="AR215" s="370">
        <v>1789</v>
      </c>
      <c r="AS215" s="326">
        <v>130</v>
      </c>
      <c r="AT215" s="392">
        <v>2.8</v>
      </c>
      <c r="AU215" s="392"/>
      <c r="AV215" s="392">
        <v>1</v>
      </c>
      <c r="AW215" s="340"/>
      <c r="AX215" s="347"/>
      <c r="AY215" s="348"/>
      <c r="AZ215" s="377"/>
      <c r="BA215" s="374"/>
      <c r="BB215" s="374"/>
      <c r="BC215" s="374"/>
      <c r="BD215" s="374"/>
      <c r="BE215" s="374"/>
      <c r="BF215" s="374"/>
      <c r="BG215" s="374"/>
      <c r="BH215" s="378"/>
      <c r="BI215" s="376"/>
      <c r="BJ215" s="379"/>
      <c r="BK215" s="380"/>
      <c r="BL215" s="348"/>
      <c r="BM215" s="381"/>
      <c r="BN215" s="321" t="s">
        <v>15</v>
      </c>
      <c r="BO215" s="372"/>
      <c r="BP215" s="373" t="s">
        <v>15</v>
      </c>
      <c r="BQ215" s="360"/>
      <c r="BR215" s="361"/>
      <c r="BS215" s="361"/>
      <c r="BT215" s="361"/>
      <c r="BU215" s="342" t="s">
        <v>210</v>
      </c>
      <c r="BV215" s="342" t="s">
        <v>210</v>
      </c>
      <c r="BW215" s="341" t="s">
        <v>15</v>
      </c>
      <c r="BX215" s="361"/>
      <c r="BY215" s="362"/>
      <c r="BZ215" s="363"/>
      <c r="CA215" s="363"/>
      <c r="CB215" s="363"/>
      <c r="CC215" s="363"/>
      <c r="CD215" s="293"/>
      <c r="CE215" s="364"/>
      <c r="CF215" s="364"/>
      <c r="CG215" s="364"/>
      <c r="CH215" s="364"/>
      <c r="CI215" s="364"/>
      <c r="CJ215" s="364"/>
      <c r="CK215" s="364"/>
      <c r="CL215" s="364"/>
      <c r="CM215" s="364"/>
      <c r="CN215" s="364"/>
      <c r="CO215" s="364"/>
      <c r="CP215" s="364"/>
      <c r="CQ215" s="364"/>
      <c r="CR215" s="364"/>
      <c r="CS215" s="364"/>
      <c r="CT215" s="364"/>
      <c r="CU215" s="364"/>
      <c r="CV215" s="364"/>
      <c r="CW215" s="364"/>
      <c r="CX215" s="364"/>
      <c r="CY215" s="364"/>
      <c r="CZ215" s="364"/>
      <c r="DA215" s="364"/>
      <c r="DB215" s="364"/>
      <c r="DC215" s="364"/>
      <c r="DD215" s="364"/>
      <c r="DE215" s="364"/>
      <c r="DF215" s="364"/>
      <c r="DG215" s="364"/>
      <c r="DH215" s="364"/>
      <c r="DI215" s="364"/>
      <c r="DJ215" s="364"/>
      <c r="DK215" s="364"/>
      <c r="DL215" s="364"/>
      <c r="DM215" s="364"/>
      <c r="DN215" s="364"/>
      <c r="DO215" s="364"/>
      <c r="DP215" s="364"/>
      <c r="DQ215" s="364"/>
      <c r="DR215" s="364"/>
      <c r="DS215" s="364"/>
      <c r="DT215" s="364"/>
      <c r="DU215" s="364"/>
      <c r="DV215" s="364"/>
      <c r="DW215" s="364"/>
      <c r="DX215" s="364"/>
      <c r="DY215" s="364"/>
      <c r="DZ215" s="364"/>
      <c r="EA215" s="364"/>
      <c r="EB215" s="364"/>
      <c r="EC215" s="364"/>
      <c r="ED215" s="364"/>
      <c r="EE215" s="364"/>
      <c r="EF215" s="364"/>
      <c r="EG215" s="364"/>
      <c r="EH215" s="364"/>
      <c r="EI215" s="364"/>
      <c r="EJ215" s="364"/>
      <c r="EK215" s="364"/>
      <c r="EL215" s="364"/>
      <c r="EM215" s="364"/>
      <c r="EN215" s="364"/>
      <c r="EO215" s="364"/>
      <c r="EP215" s="364"/>
      <c r="EQ215" s="364"/>
      <c r="ER215" s="364"/>
      <c r="ES215" s="364"/>
      <c r="ET215" s="364"/>
      <c r="EU215" s="364"/>
      <c r="EV215" s="364"/>
      <c r="EW215" s="364"/>
      <c r="EX215" s="364"/>
      <c r="EY215" s="364"/>
      <c r="EZ215" s="364"/>
      <c r="FA215" s="364"/>
      <c r="FB215" s="364"/>
      <c r="FC215" s="364"/>
      <c r="FD215" s="364"/>
      <c r="FE215" s="364"/>
      <c r="FF215" s="364"/>
      <c r="FG215" s="364"/>
      <c r="FH215" s="364"/>
      <c r="FI215" s="364"/>
      <c r="FJ215" s="364"/>
      <c r="FK215" s="364"/>
      <c r="FL215" s="364"/>
      <c r="FM215" s="364"/>
      <c r="FN215" s="364"/>
      <c r="FO215" s="364"/>
      <c r="FP215" s="364"/>
      <c r="FQ215" s="364"/>
      <c r="FR215" s="364"/>
      <c r="FS215" s="364"/>
      <c r="FT215" s="364"/>
      <c r="FU215" s="364"/>
      <c r="FV215" s="364"/>
      <c r="FW215" s="364"/>
      <c r="FX215" s="364"/>
      <c r="FY215" s="364"/>
      <c r="FZ215" s="364"/>
      <c r="GA215" s="364"/>
      <c r="GB215" s="364"/>
      <c r="GC215" s="364"/>
      <c r="GD215" s="364"/>
      <c r="GE215" s="364"/>
      <c r="GF215" s="364"/>
      <c r="GG215" s="364"/>
      <c r="GH215" s="364"/>
      <c r="GI215" s="364"/>
      <c r="GJ215" s="364"/>
      <c r="GK215" s="364"/>
      <c r="GL215" s="364"/>
      <c r="GM215" s="364"/>
      <c r="GN215" s="364"/>
      <c r="GO215" s="364"/>
      <c r="GP215" s="364"/>
      <c r="GQ215" s="364"/>
      <c r="GR215" s="364"/>
      <c r="GS215" s="364"/>
      <c r="GT215" s="364"/>
      <c r="GU215" s="364"/>
      <c r="GV215" s="364"/>
      <c r="GW215" s="364"/>
      <c r="GX215" s="364"/>
      <c r="GY215" s="364"/>
      <c r="GZ215" s="364"/>
      <c r="HA215" s="364"/>
      <c r="HB215" s="364"/>
      <c r="HC215" s="364"/>
      <c r="HD215" s="364"/>
      <c r="HE215" s="364"/>
      <c r="HF215" s="364"/>
      <c r="HG215" s="364"/>
      <c r="HH215" s="364"/>
      <c r="HI215" s="364"/>
      <c r="HJ215" s="364"/>
      <c r="HK215" s="364"/>
      <c r="HL215" s="364"/>
    </row>
    <row r="216" spans="1:220" s="287" customFormat="1" ht="22.5" customHeight="1">
      <c r="B216" s="365">
        <v>230184</v>
      </c>
      <c r="C216" s="366" t="s">
        <v>14484</v>
      </c>
      <c r="D216" s="367"/>
      <c r="E216" s="368"/>
      <c r="F216" s="321" t="s">
        <v>45</v>
      </c>
      <c r="G216" s="326" t="s">
        <v>2228</v>
      </c>
      <c r="H216" s="326" t="s">
        <v>2437</v>
      </c>
      <c r="I216" s="326" t="s">
        <v>11</v>
      </c>
      <c r="J216" s="326" t="s">
        <v>21</v>
      </c>
      <c r="K216" s="326" t="s">
        <v>195</v>
      </c>
      <c r="L216" s="323"/>
      <c r="M216" s="374"/>
      <c r="N216" s="325" t="s">
        <v>438</v>
      </c>
      <c r="O216" s="326" t="s">
        <v>210</v>
      </c>
      <c r="P216" s="392" t="s">
        <v>15</v>
      </c>
      <c r="Q216" s="340">
        <v>282</v>
      </c>
      <c r="R216" s="329" t="s">
        <v>686</v>
      </c>
      <c r="S216" s="331" t="s">
        <v>14488</v>
      </c>
      <c r="T216" s="331" t="s">
        <v>14491</v>
      </c>
      <c r="U216" s="331" t="s">
        <v>14490</v>
      </c>
      <c r="V216" s="331" t="s">
        <v>14489</v>
      </c>
      <c r="W216" s="332" t="s">
        <v>14515</v>
      </c>
      <c r="X216" s="331" t="s">
        <v>14485</v>
      </c>
      <c r="Y216" s="331" t="s">
        <v>14486</v>
      </c>
      <c r="Z216" s="331" t="s">
        <v>16497</v>
      </c>
      <c r="AA216" s="331" t="s">
        <v>14487</v>
      </c>
      <c r="AB216" s="333"/>
      <c r="AC216" s="333"/>
      <c r="AD216" s="334" t="s">
        <v>196</v>
      </c>
      <c r="AE216" s="335" t="s">
        <v>947</v>
      </c>
      <c r="AF216" s="336"/>
      <c r="AG216" s="337"/>
      <c r="AH216" s="417" t="s">
        <v>435</v>
      </c>
      <c r="AI216" s="392" t="s">
        <v>435</v>
      </c>
      <c r="AJ216" s="392" t="s">
        <v>435</v>
      </c>
      <c r="AK216" s="340" t="s">
        <v>435</v>
      </c>
      <c r="AL216" s="321" t="s">
        <v>983</v>
      </c>
      <c r="AM216" s="425" t="s">
        <v>8761</v>
      </c>
      <c r="AN216" s="392" t="s">
        <v>15</v>
      </c>
      <c r="AO216" s="341" t="s">
        <v>15</v>
      </c>
      <c r="AP216" s="418"/>
      <c r="AQ216" s="343"/>
      <c r="AR216" s="370">
        <v>357</v>
      </c>
      <c r="AS216" s="326">
        <v>150</v>
      </c>
      <c r="AT216" s="392">
        <v>1</v>
      </c>
      <c r="AU216" s="392"/>
      <c r="AV216" s="392">
        <v>1</v>
      </c>
      <c r="AW216" s="340"/>
      <c r="AX216" s="347"/>
      <c r="AY216" s="348"/>
      <c r="AZ216" s="405" t="s">
        <v>3367</v>
      </c>
      <c r="BA216" s="324" t="s">
        <v>210</v>
      </c>
      <c r="BB216" s="324" t="s">
        <v>210</v>
      </c>
      <c r="BC216" s="324" t="s">
        <v>3459</v>
      </c>
      <c r="BD216" s="324" t="s">
        <v>3392</v>
      </c>
      <c r="BE216" s="326" t="s">
        <v>10398</v>
      </c>
      <c r="BF216" s="324" t="s">
        <v>3392</v>
      </c>
      <c r="BG216" s="326" t="s">
        <v>10385</v>
      </c>
      <c r="BH216" s="324" t="s">
        <v>3556</v>
      </c>
      <c r="BI216" s="376"/>
      <c r="BJ216" s="379"/>
      <c r="BK216" s="380"/>
      <c r="BL216" s="348"/>
      <c r="BM216" s="381"/>
      <c r="BN216" s="321" t="s">
        <v>983</v>
      </c>
      <c r="BO216" s="372"/>
      <c r="BP216" s="373" t="s">
        <v>15</v>
      </c>
      <c r="BQ216" s="360"/>
      <c r="BR216" s="361"/>
      <c r="BS216" s="361"/>
      <c r="BT216" s="361"/>
      <c r="BU216" s="361"/>
      <c r="BV216" s="418" t="s">
        <v>5412</v>
      </c>
      <c r="BW216" s="341" t="s">
        <v>622</v>
      </c>
      <c r="BX216" s="361"/>
      <c r="BY216" s="362"/>
      <c r="BZ216" s="363"/>
      <c r="CA216" s="363"/>
      <c r="CB216" s="363"/>
      <c r="CC216" s="363"/>
      <c r="CD216" s="293"/>
      <c r="CE216" s="364"/>
      <c r="CF216" s="364"/>
      <c r="CG216" s="364"/>
      <c r="CH216" s="364"/>
      <c r="CI216" s="364"/>
      <c r="CJ216" s="364"/>
      <c r="CK216" s="364"/>
      <c r="CL216" s="364"/>
      <c r="CM216" s="364"/>
      <c r="CN216" s="364"/>
      <c r="CO216" s="364"/>
      <c r="CP216" s="364"/>
      <c r="CQ216" s="364"/>
      <c r="CR216" s="364"/>
      <c r="CS216" s="364"/>
      <c r="CT216" s="364"/>
      <c r="CU216" s="364"/>
      <c r="CV216" s="364"/>
      <c r="CW216" s="364"/>
      <c r="CX216" s="364"/>
      <c r="CY216" s="364"/>
      <c r="CZ216" s="364"/>
      <c r="DA216" s="364"/>
      <c r="DB216" s="364"/>
      <c r="DC216" s="364"/>
      <c r="DD216" s="364"/>
      <c r="DE216" s="364"/>
      <c r="DF216" s="364"/>
      <c r="DG216" s="364"/>
      <c r="DH216" s="364"/>
      <c r="DI216" s="364"/>
      <c r="DJ216" s="364"/>
      <c r="DK216" s="364"/>
      <c r="DL216" s="364"/>
      <c r="DM216" s="364"/>
      <c r="DN216" s="364"/>
      <c r="DO216" s="364"/>
      <c r="DP216" s="364"/>
      <c r="DQ216" s="364"/>
      <c r="DR216" s="364"/>
      <c r="DS216" s="364"/>
      <c r="DT216" s="364"/>
      <c r="DU216" s="364"/>
      <c r="DV216" s="364"/>
      <c r="DW216" s="364"/>
      <c r="DX216" s="364"/>
      <c r="DY216" s="364"/>
      <c r="DZ216" s="364"/>
      <c r="EA216" s="364"/>
      <c r="EB216" s="364"/>
      <c r="EC216" s="364"/>
      <c r="ED216" s="364"/>
      <c r="EE216" s="364"/>
      <c r="EF216" s="364"/>
      <c r="EG216" s="364"/>
      <c r="EH216" s="364"/>
      <c r="EI216" s="364"/>
      <c r="EJ216" s="364"/>
      <c r="EK216" s="364"/>
      <c r="EL216" s="364"/>
      <c r="EM216" s="364"/>
      <c r="EN216" s="364"/>
      <c r="EO216" s="364"/>
      <c r="EP216" s="364"/>
      <c r="EQ216" s="364"/>
      <c r="ER216" s="364"/>
      <c r="ES216" s="364"/>
      <c r="ET216" s="364"/>
      <c r="EU216" s="364"/>
      <c r="EV216" s="364"/>
      <c r="EW216" s="364"/>
      <c r="EX216" s="364"/>
      <c r="EY216" s="364"/>
      <c r="EZ216" s="364"/>
      <c r="FA216" s="364"/>
      <c r="FB216" s="364"/>
      <c r="FC216" s="364"/>
      <c r="FD216" s="364"/>
      <c r="FE216" s="364"/>
      <c r="FF216" s="364"/>
      <c r="FG216" s="364"/>
      <c r="FH216" s="364"/>
      <c r="FI216" s="364"/>
      <c r="FJ216" s="364"/>
      <c r="FK216" s="364"/>
      <c r="FL216" s="364"/>
      <c r="FM216" s="364"/>
      <c r="FN216" s="364"/>
      <c r="FO216" s="364"/>
      <c r="FP216" s="364"/>
      <c r="FQ216" s="364"/>
      <c r="FR216" s="364"/>
      <c r="FS216" s="364"/>
      <c r="FT216" s="364"/>
      <c r="FU216" s="364"/>
      <c r="FV216" s="364"/>
      <c r="FW216" s="364"/>
      <c r="FX216" s="364"/>
      <c r="FY216" s="364"/>
      <c r="FZ216" s="364"/>
      <c r="GA216" s="364"/>
      <c r="GB216" s="364"/>
      <c r="GC216" s="364"/>
      <c r="GD216" s="364"/>
      <c r="GE216" s="364"/>
      <c r="GF216" s="364"/>
      <c r="GG216" s="364"/>
      <c r="GH216" s="364"/>
      <c r="GI216" s="364"/>
      <c r="GJ216" s="364"/>
      <c r="GK216" s="364"/>
      <c r="GL216" s="364"/>
      <c r="GM216" s="364"/>
      <c r="GN216" s="364"/>
      <c r="GO216" s="364"/>
      <c r="GP216" s="364"/>
      <c r="GQ216" s="364"/>
      <c r="GR216" s="364"/>
      <c r="GS216" s="364"/>
      <c r="GT216" s="364"/>
      <c r="GU216" s="364"/>
      <c r="GV216" s="364"/>
      <c r="GW216" s="364"/>
      <c r="GX216" s="364"/>
      <c r="GY216" s="364"/>
      <c r="GZ216" s="364"/>
      <c r="HA216" s="364"/>
      <c r="HB216" s="364"/>
      <c r="HC216" s="364"/>
      <c r="HD216" s="364"/>
      <c r="HE216" s="364"/>
      <c r="HF216" s="364"/>
      <c r="HG216" s="364"/>
      <c r="HH216" s="364"/>
      <c r="HI216" s="364"/>
      <c r="HJ216" s="364"/>
      <c r="HK216" s="364"/>
      <c r="HL216" s="364"/>
    </row>
    <row r="217" spans="1:220" s="287" customFormat="1" ht="22.5" customHeight="1">
      <c r="B217" s="365">
        <v>240101</v>
      </c>
      <c r="C217" s="366" t="s">
        <v>13663</v>
      </c>
      <c r="D217" s="367"/>
      <c r="E217" s="368"/>
      <c r="F217" s="321" t="s">
        <v>174</v>
      </c>
      <c r="G217" s="326" t="s">
        <v>2435</v>
      </c>
      <c r="H217" s="326" t="s">
        <v>2436</v>
      </c>
      <c r="I217" s="326" t="s">
        <v>11</v>
      </c>
      <c r="J217" s="326" t="s">
        <v>12</v>
      </c>
      <c r="K217" s="326" t="s">
        <v>10</v>
      </c>
      <c r="L217" s="323"/>
      <c r="M217" s="324" t="s">
        <v>10767</v>
      </c>
      <c r="N217" s="325" t="s">
        <v>437</v>
      </c>
      <c r="O217" s="326">
        <v>100</v>
      </c>
      <c r="P217" s="327">
        <v>1243.33</v>
      </c>
      <c r="Q217" s="369">
        <v>1320.05</v>
      </c>
      <c r="R217" s="329" t="s">
        <v>1098</v>
      </c>
      <c r="S217" s="331" t="s">
        <v>13396</v>
      </c>
      <c r="T217" s="394" t="s">
        <v>12439</v>
      </c>
      <c r="U217" s="394" t="s">
        <v>16310</v>
      </c>
      <c r="V217" s="331" t="s">
        <v>13395</v>
      </c>
      <c r="W217" s="332" t="s">
        <v>432</v>
      </c>
      <c r="X217" s="331" t="s">
        <v>11079</v>
      </c>
      <c r="Y217" s="331" t="s">
        <v>11080</v>
      </c>
      <c r="Z217" s="331" t="s">
        <v>11080</v>
      </c>
      <c r="AA217" s="331" t="s">
        <v>210</v>
      </c>
      <c r="AB217" s="333"/>
      <c r="AC217" s="333"/>
      <c r="AD217" s="334" t="s">
        <v>317</v>
      </c>
      <c r="AE217" s="335" t="s">
        <v>15</v>
      </c>
      <c r="AF217" s="336"/>
      <c r="AG217" s="337"/>
      <c r="AH217" s="417">
        <v>12.4</v>
      </c>
      <c r="AI217" s="392">
        <v>20.2</v>
      </c>
      <c r="AJ217" s="392">
        <v>14.4</v>
      </c>
      <c r="AK217" s="340">
        <f>SUM(AH217:AJ217)</f>
        <v>47</v>
      </c>
      <c r="AL217" s="321" t="s">
        <v>210</v>
      </c>
      <c r="AM217" s="392" t="s">
        <v>15</v>
      </c>
      <c r="AN217" s="392" t="s">
        <v>15</v>
      </c>
      <c r="AO217" s="341" t="s">
        <v>15</v>
      </c>
      <c r="AP217" s="342"/>
      <c r="AQ217" s="343"/>
      <c r="AR217" s="370">
        <v>1555</v>
      </c>
      <c r="AS217" s="326">
        <v>100</v>
      </c>
      <c r="AT217" s="392">
        <v>1.4</v>
      </c>
      <c r="AU217" s="392"/>
      <c r="AV217" s="392">
        <v>0.8</v>
      </c>
      <c r="AW217" s="340"/>
      <c r="AX217" s="347"/>
      <c r="AY217" s="348"/>
      <c r="AZ217" s="377"/>
      <c r="BA217" s="374"/>
      <c r="BB217" s="374"/>
      <c r="BC217" s="374"/>
      <c r="BD217" s="374"/>
      <c r="BE217" s="374"/>
      <c r="BF217" s="374"/>
      <c r="BG217" s="374"/>
      <c r="BH217" s="378"/>
      <c r="BI217" s="376"/>
      <c r="BJ217" s="379"/>
      <c r="BK217" s="380"/>
      <c r="BL217" s="348"/>
      <c r="BM217" s="381"/>
      <c r="BN217" s="321" t="s">
        <v>983</v>
      </c>
      <c r="BO217" s="372"/>
      <c r="BP217" s="373" t="s">
        <v>983</v>
      </c>
      <c r="BQ217" s="360"/>
      <c r="BR217" s="361"/>
      <c r="BS217" s="361"/>
      <c r="BT217" s="361"/>
      <c r="BU217" s="342" t="s">
        <v>210</v>
      </c>
      <c r="BV217" s="342" t="s">
        <v>210</v>
      </c>
      <c r="BW217" s="341" t="s">
        <v>15</v>
      </c>
      <c r="BX217" s="361"/>
      <c r="BY217" s="362"/>
      <c r="BZ217" s="363"/>
      <c r="CA217" s="363"/>
      <c r="CB217" s="363"/>
      <c r="CC217" s="363"/>
      <c r="CD217" s="293"/>
      <c r="CE217" s="364"/>
      <c r="CF217" s="364"/>
      <c r="CG217" s="364"/>
      <c r="CH217" s="364"/>
      <c r="CI217" s="364"/>
      <c r="CJ217" s="364"/>
      <c r="CK217" s="364"/>
      <c r="CL217" s="364"/>
      <c r="CM217" s="364"/>
      <c r="CN217" s="364"/>
      <c r="CO217" s="364"/>
      <c r="CP217" s="364"/>
      <c r="CQ217" s="364"/>
      <c r="CR217" s="364"/>
      <c r="CS217" s="364"/>
      <c r="CT217" s="364"/>
      <c r="CU217" s="364"/>
      <c r="CV217" s="364"/>
      <c r="CW217" s="364"/>
      <c r="CX217" s="364"/>
      <c r="CY217" s="364"/>
      <c r="CZ217" s="364"/>
      <c r="DA217" s="364"/>
      <c r="DB217" s="364"/>
      <c r="DC217" s="364"/>
      <c r="DD217" s="364"/>
      <c r="DE217" s="364"/>
      <c r="DF217" s="364"/>
      <c r="DG217" s="364"/>
      <c r="DH217" s="364"/>
      <c r="DI217" s="364"/>
      <c r="DJ217" s="364"/>
      <c r="DK217" s="364"/>
      <c r="DL217" s="364"/>
      <c r="DM217" s="364"/>
      <c r="DN217" s="364"/>
      <c r="DO217" s="364"/>
      <c r="DP217" s="364"/>
      <c r="DQ217" s="364"/>
      <c r="DR217" s="364"/>
      <c r="DS217" s="364"/>
      <c r="DT217" s="364"/>
      <c r="DU217" s="364"/>
      <c r="DV217" s="364"/>
      <c r="DW217" s="364"/>
      <c r="DX217" s="364"/>
      <c r="DY217" s="364"/>
      <c r="DZ217" s="364"/>
      <c r="EA217" s="364"/>
      <c r="EB217" s="364"/>
      <c r="EC217" s="364"/>
      <c r="ED217" s="364"/>
      <c r="EE217" s="364"/>
      <c r="EF217" s="364"/>
      <c r="EG217" s="364"/>
      <c r="EH217" s="364"/>
      <c r="EI217" s="364"/>
      <c r="EJ217" s="364"/>
      <c r="EK217" s="364"/>
      <c r="EL217" s="364"/>
      <c r="EM217" s="364"/>
      <c r="EN217" s="364"/>
      <c r="EO217" s="364"/>
      <c r="EP217" s="364"/>
      <c r="EQ217" s="364"/>
      <c r="ER217" s="364"/>
      <c r="ES217" s="364"/>
      <c r="ET217" s="364"/>
      <c r="EU217" s="364"/>
      <c r="EV217" s="364"/>
      <c r="EW217" s="364"/>
      <c r="EX217" s="364"/>
      <c r="EY217" s="364"/>
      <c r="EZ217" s="364"/>
      <c r="FA217" s="364"/>
      <c r="FB217" s="364"/>
      <c r="FC217" s="364"/>
      <c r="FD217" s="364"/>
      <c r="FE217" s="364"/>
      <c r="FF217" s="364"/>
      <c r="FG217" s="364"/>
      <c r="FH217" s="364"/>
      <c r="FI217" s="364"/>
      <c r="FJ217" s="364"/>
      <c r="FK217" s="364"/>
      <c r="FL217" s="364"/>
      <c r="FM217" s="364"/>
      <c r="FN217" s="364"/>
      <c r="FO217" s="364"/>
      <c r="FP217" s="364"/>
      <c r="FQ217" s="364"/>
      <c r="FR217" s="364"/>
      <c r="FS217" s="364"/>
      <c r="FT217" s="364"/>
      <c r="FU217" s="364"/>
      <c r="FV217" s="364"/>
      <c r="FW217" s="364"/>
      <c r="FX217" s="364"/>
      <c r="FY217" s="364"/>
      <c r="FZ217" s="364"/>
      <c r="GA217" s="364"/>
      <c r="GB217" s="364"/>
      <c r="GC217" s="364"/>
      <c r="GD217" s="364"/>
      <c r="GE217" s="364"/>
      <c r="GF217" s="364"/>
      <c r="GG217" s="364"/>
      <c r="GH217" s="364"/>
      <c r="GI217" s="364"/>
      <c r="GJ217" s="364"/>
      <c r="GK217" s="364"/>
      <c r="GL217" s="364"/>
      <c r="GM217" s="364"/>
      <c r="GN217" s="364"/>
      <c r="GO217" s="364"/>
      <c r="GP217" s="364"/>
      <c r="GQ217" s="364"/>
      <c r="GR217" s="364"/>
      <c r="GS217" s="364"/>
      <c r="GT217" s="364"/>
      <c r="GU217" s="364"/>
      <c r="GV217" s="364"/>
      <c r="GW217" s="364"/>
      <c r="GX217" s="364"/>
      <c r="GY217" s="364"/>
      <c r="GZ217" s="364"/>
      <c r="HA217" s="364"/>
      <c r="HB217" s="364"/>
      <c r="HC217" s="364"/>
      <c r="HD217" s="364"/>
      <c r="HE217" s="364"/>
      <c r="HF217" s="364"/>
      <c r="HG217" s="364"/>
      <c r="HH217" s="364"/>
      <c r="HI217" s="364"/>
      <c r="HJ217" s="364"/>
      <c r="HK217" s="364"/>
      <c r="HL217" s="364"/>
    </row>
    <row r="218" spans="1:220" s="287" customFormat="1" ht="22.5" customHeight="1">
      <c r="B218" s="365">
        <v>240102</v>
      </c>
      <c r="C218" s="366" t="s">
        <v>14477</v>
      </c>
      <c r="D218" s="367"/>
      <c r="E218" s="368"/>
      <c r="F218" s="321" t="s">
        <v>39</v>
      </c>
      <c r="G218" s="326" t="s">
        <v>2432</v>
      </c>
      <c r="H218" s="326" t="s">
        <v>2434</v>
      </c>
      <c r="I218" s="326" t="s">
        <v>11</v>
      </c>
      <c r="J218" s="326" t="s">
        <v>12</v>
      </c>
      <c r="K218" s="326" t="s">
        <v>10</v>
      </c>
      <c r="L218" s="323"/>
      <c r="M218" s="374"/>
      <c r="N218" s="325" t="s">
        <v>689</v>
      </c>
      <c r="O218" s="326" t="s">
        <v>210</v>
      </c>
      <c r="P218" s="327">
        <v>1135.5999999999999</v>
      </c>
      <c r="Q218" s="369">
        <v>1164.29</v>
      </c>
      <c r="R218" s="329" t="s">
        <v>1142</v>
      </c>
      <c r="S218" s="331" t="s">
        <v>14478</v>
      </c>
      <c r="T218" s="331" t="s">
        <v>14481</v>
      </c>
      <c r="U218" s="331" t="s">
        <v>14480</v>
      </c>
      <c r="V218" s="331" t="s">
        <v>14479</v>
      </c>
      <c r="W218" s="332" t="s">
        <v>1143</v>
      </c>
      <c r="X218" s="331" t="s">
        <v>14482</v>
      </c>
      <c r="Y218" s="330"/>
      <c r="Z218" s="330"/>
      <c r="AA218" s="331" t="s">
        <v>14483</v>
      </c>
      <c r="AB218" s="333"/>
      <c r="AC218" s="333"/>
      <c r="AD218" s="334" t="s">
        <v>2320</v>
      </c>
      <c r="AE218" s="335" t="s">
        <v>15</v>
      </c>
      <c r="AF218" s="336"/>
      <c r="AG218" s="337"/>
      <c r="AH218" s="417" t="s">
        <v>435</v>
      </c>
      <c r="AI218" s="392" t="s">
        <v>435</v>
      </c>
      <c r="AJ218" s="392" t="s">
        <v>435</v>
      </c>
      <c r="AK218" s="340" t="s">
        <v>435</v>
      </c>
      <c r="AL218" s="321" t="s">
        <v>210</v>
      </c>
      <c r="AM218" s="392" t="s">
        <v>15</v>
      </c>
      <c r="AN218" s="392" t="s">
        <v>15</v>
      </c>
      <c r="AO218" s="341" t="s">
        <v>15</v>
      </c>
      <c r="AP218" s="342"/>
      <c r="AQ218" s="343"/>
      <c r="AR218" s="370">
        <v>1687</v>
      </c>
      <c r="AS218" s="326">
        <v>80</v>
      </c>
      <c r="AT218" s="392">
        <v>1</v>
      </c>
      <c r="AU218" s="392"/>
      <c r="AV218" s="392">
        <v>0.8</v>
      </c>
      <c r="AW218" s="340"/>
      <c r="AX218" s="347"/>
      <c r="AY218" s="348"/>
      <c r="AZ218" s="377"/>
      <c r="BA218" s="374"/>
      <c r="BB218" s="374"/>
      <c r="BC218" s="374"/>
      <c r="BD218" s="374"/>
      <c r="BE218" s="374"/>
      <c r="BF218" s="374"/>
      <c r="BG218" s="374"/>
      <c r="BH218" s="378"/>
      <c r="BI218" s="376"/>
      <c r="BJ218" s="379"/>
      <c r="BK218" s="380"/>
      <c r="BL218" s="348"/>
      <c r="BM218" s="381"/>
      <c r="BN218" s="321" t="s">
        <v>983</v>
      </c>
      <c r="BO218" s="372"/>
      <c r="BP218" s="373" t="s">
        <v>983</v>
      </c>
      <c r="BQ218" s="360"/>
      <c r="BR218" s="361"/>
      <c r="BS218" s="361"/>
      <c r="BT218" s="361"/>
      <c r="BU218" s="342" t="s">
        <v>210</v>
      </c>
      <c r="BV218" s="342" t="s">
        <v>210</v>
      </c>
      <c r="BW218" s="341" t="s">
        <v>15</v>
      </c>
      <c r="BX218" s="361"/>
      <c r="BY218" s="362"/>
      <c r="BZ218" s="363"/>
      <c r="CA218" s="363"/>
      <c r="CB218" s="363"/>
      <c r="CC218" s="363"/>
      <c r="CD218" s="293"/>
      <c r="CE218" s="364"/>
      <c r="CF218" s="364"/>
      <c r="CG218" s="364"/>
      <c r="CH218" s="364"/>
      <c r="CI218" s="364"/>
      <c r="CJ218" s="364"/>
      <c r="CK218" s="364"/>
      <c r="CL218" s="364"/>
      <c r="CM218" s="364"/>
      <c r="CN218" s="364"/>
      <c r="CO218" s="364"/>
      <c r="CP218" s="364"/>
      <c r="CQ218" s="364"/>
      <c r="CR218" s="364"/>
      <c r="CS218" s="364"/>
      <c r="CT218" s="364"/>
      <c r="CU218" s="364"/>
      <c r="CV218" s="364"/>
      <c r="CW218" s="364"/>
      <c r="CX218" s="364"/>
      <c r="CY218" s="364"/>
      <c r="CZ218" s="364"/>
      <c r="DA218" s="364"/>
      <c r="DB218" s="364"/>
      <c r="DC218" s="364"/>
      <c r="DD218" s="364"/>
      <c r="DE218" s="364"/>
      <c r="DF218" s="364"/>
      <c r="DG218" s="364"/>
      <c r="DH218" s="364"/>
      <c r="DI218" s="364"/>
      <c r="DJ218" s="364"/>
      <c r="DK218" s="364"/>
      <c r="DL218" s="364"/>
      <c r="DM218" s="364"/>
      <c r="DN218" s="364"/>
      <c r="DO218" s="364"/>
      <c r="DP218" s="364"/>
      <c r="DQ218" s="364"/>
      <c r="DR218" s="364"/>
      <c r="DS218" s="364"/>
      <c r="DT218" s="364"/>
      <c r="DU218" s="364"/>
      <c r="DV218" s="364"/>
      <c r="DW218" s="364"/>
      <c r="DX218" s="364"/>
      <c r="DY218" s="364"/>
      <c r="DZ218" s="364"/>
      <c r="EA218" s="364"/>
      <c r="EB218" s="364"/>
      <c r="EC218" s="364"/>
      <c r="ED218" s="364"/>
      <c r="EE218" s="364"/>
      <c r="EF218" s="364"/>
      <c r="EG218" s="364"/>
      <c r="EH218" s="364"/>
      <c r="EI218" s="364"/>
      <c r="EJ218" s="364"/>
      <c r="EK218" s="364"/>
      <c r="EL218" s="364"/>
      <c r="EM218" s="364"/>
      <c r="EN218" s="364"/>
      <c r="EO218" s="364"/>
      <c r="EP218" s="364"/>
      <c r="EQ218" s="364"/>
      <c r="ER218" s="364"/>
      <c r="ES218" s="364"/>
      <c r="ET218" s="364"/>
      <c r="EU218" s="364"/>
      <c r="EV218" s="364"/>
      <c r="EW218" s="364"/>
      <c r="EX218" s="364"/>
      <c r="EY218" s="364"/>
      <c r="EZ218" s="364"/>
      <c r="FA218" s="364"/>
      <c r="FB218" s="364"/>
      <c r="FC218" s="364"/>
      <c r="FD218" s="364"/>
      <c r="FE218" s="364"/>
      <c r="FF218" s="364"/>
      <c r="FG218" s="364"/>
      <c r="FH218" s="364"/>
      <c r="FI218" s="364"/>
      <c r="FJ218" s="364"/>
      <c r="FK218" s="364"/>
      <c r="FL218" s="364"/>
      <c r="FM218" s="364"/>
      <c r="FN218" s="364"/>
      <c r="FO218" s="364"/>
      <c r="FP218" s="364"/>
      <c r="FQ218" s="364"/>
      <c r="FR218" s="364"/>
      <c r="FS218" s="364"/>
      <c r="FT218" s="364"/>
      <c r="FU218" s="364"/>
      <c r="FV218" s="364"/>
      <c r="FW218" s="364"/>
      <c r="FX218" s="364"/>
      <c r="FY218" s="364"/>
      <c r="FZ218" s="364"/>
      <c r="GA218" s="364"/>
      <c r="GB218" s="364"/>
      <c r="GC218" s="364"/>
      <c r="GD218" s="364"/>
      <c r="GE218" s="364"/>
      <c r="GF218" s="364"/>
      <c r="GG218" s="364"/>
      <c r="GH218" s="364"/>
      <c r="GI218" s="364"/>
      <c r="GJ218" s="364"/>
      <c r="GK218" s="364"/>
      <c r="GL218" s="364"/>
      <c r="GM218" s="364"/>
      <c r="GN218" s="364"/>
      <c r="GO218" s="364"/>
      <c r="GP218" s="364"/>
      <c r="GQ218" s="364"/>
      <c r="GR218" s="364"/>
      <c r="GS218" s="364"/>
      <c r="GT218" s="364"/>
      <c r="GU218" s="364"/>
      <c r="GV218" s="364"/>
      <c r="GW218" s="364"/>
      <c r="GX218" s="364"/>
      <c r="GY218" s="364"/>
      <c r="GZ218" s="364"/>
      <c r="HA218" s="364"/>
      <c r="HB218" s="364"/>
      <c r="HC218" s="364"/>
      <c r="HD218" s="364"/>
      <c r="HE218" s="364"/>
      <c r="HF218" s="364"/>
      <c r="HG218" s="364"/>
      <c r="HH218" s="364"/>
      <c r="HI218" s="364"/>
      <c r="HJ218" s="364"/>
      <c r="HK218" s="364"/>
      <c r="HL218" s="364"/>
    </row>
    <row r="219" spans="1:220" s="287" customFormat="1" ht="22.5" customHeight="1">
      <c r="B219" s="365">
        <v>240103</v>
      </c>
      <c r="C219" s="366" t="s">
        <v>14251</v>
      </c>
      <c r="D219" s="367"/>
      <c r="E219" s="368"/>
      <c r="F219" s="321" t="s">
        <v>39</v>
      </c>
      <c r="G219" s="326" t="s">
        <v>2432</v>
      </c>
      <c r="H219" s="326" t="s">
        <v>2433</v>
      </c>
      <c r="I219" s="326" t="s">
        <v>130</v>
      </c>
      <c r="J219" s="326" t="s">
        <v>12</v>
      </c>
      <c r="K219" s="326" t="s">
        <v>993</v>
      </c>
      <c r="L219" s="323"/>
      <c r="M219" s="374"/>
      <c r="N219" s="325" t="s">
        <v>689</v>
      </c>
      <c r="O219" s="326" t="s">
        <v>690</v>
      </c>
      <c r="P219" s="326" t="s">
        <v>210</v>
      </c>
      <c r="Q219" s="340" t="s">
        <v>15</v>
      </c>
      <c r="R219" s="329" t="s">
        <v>458</v>
      </c>
      <c r="S219" s="331" t="s">
        <v>11185</v>
      </c>
      <c r="T219" s="331" t="s">
        <v>11187</v>
      </c>
      <c r="U219" s="331" t="s">
        <v>11186</v>
      </c>
      <c r="V219" s="331" t="s">
        <v>11184</v>
      </c>
      <c r="W219" s="332" t="s">
        <v>1633</v>
      </c>
      <c r="X219" s="331" t="s">
        <v>11185</v>
      </c>
      <c r="Y219" s="331" t="s">
        <v>11187</v>
      </c>
      <c r="Z219" s="331" t="s">
        <v>11186</v>
      </c>
      <c r="AA219" s="331" t="s">
        <v>11184</v>
      </c>
      <c r="AB219" s="333"/>
      <c r="AC219" s="416"/>
      <c r="AD219" s="375"/>
      <c r="AE219" s="335" t="s">
        <v>15</v>
      </c>
      <c r="AF219" s="336"/>
      <c r="AG219" s="337"/>
      <c r="AH219" s="417" t="s">
        <v>210</v>
      </c>
      <c r="AI219" s="392" t="s">
        <v>435</v>
      </c>
      <c r="AJ219" s="392" t="s">
        <v>435</v>
      </c>
      <c r="AK219" s="340" t="s">
        <v>435</v>
      </c>
      <c r="AL219" s="321" t="s">
        <v>210</v>
      </c>
      <c r="AM219" s="392" t="s">
        <v>15</v>
      </c>
      <c r="AN219" s="392" t="s">
        <v>15</v>
      </c>
      <c r="AO219" s="341" t="s">
        <v>15</v>
      </c>
      <c r="AP219" s="342"/>
      <c r="AQ219" s="343"/>
      <c r="AR219" s="370">
        <v>1243</v>
      </c>
      <c r="AS219" s="326">
        <v>50</v>
      </c>
      <c r="AT219" s="392">
        <v>1.5</v>
      </c>
      <c r="AU219" s="392"/>
      <c r="AV219" s="392">
        <v>1</v>
      </c>
      <c r="AW219" s="340"/>
      <c r="AX219" s="347"/>
      <c r="AY219" s="348"/>
      <c r="AZ219" s="377"/>
      <c r="BA219" s="374"/>
      <c r="BB219" s="374"/>
      <c r="BC219" s="374"/>
      <c r="BD219" s="374"/>
      <c r="BE219" s="374"/>
      <c r="BF219" s="374"/>
      <c r="BG219" s="374"/>
      <c r="BH219" s="378"/>
      <c r="BI219" s="376"/>
      <c r="BJ219" s="379"/>
      <c r="BK219" s="380"/>
      <c r="BL219" s="348"/>
      <c r="BM219" s="381"/>
      <c r="BN219" s="321" t="s">
        <v>15</v>
      </c>
      <c r="BO219" s="372"/>
      <c r="BP219" s="373" t="s">
        <v>15</v>
      </c>
      <c r="BQ219" s="360"/>
      <c r="BR219" s="361"/>
      <c r="BS219" s="361"/>
      <c r="BT219" s="361"/>
      <c r="BU219" s="342" t="s">
        <v>210</v>
      </c>
      <c r="BV219" s="342" t="s">
        <v>210</v>
      </c>
      <c r="BW219" s="341" t="s">
        <v>15</v>
      </c>
      <c r="BX219" s="361"/>
      <c r="BY219" s="362"/>
      <c r="BZ219" s="363"/>
      <c r="CA219" s="363"/>
      <c r="CB219" s="363"/>
      <c r="CC219" s="363"/>
      <c r="CD219" s="293"/>
      <c r="CE219" s="364"/>
      <c r="CF219" s="364"/>
      <c r="CG219" s="364"/>
      <c r="CH219" s="364"/>
      <c r="CI219" s="364"/>
      <c r="CJ219" s="364"/>
      <c r="CK219" s="364"/>
      <c r="CL219" s="364"/>
      <c r="CM219" s="364"/>
      <c r="CN219" s="364"/>
      <c r="CO219" s="364"/>
      <c r="CP219" s="364"/>
      <c r="CQ219" s="364"/>
      <c r="CR219" s="364"/>
      <c r="CS219" s="364"/>
      <c r="CT219" s="364"/>
      <c r="CU219" s="364"/>
      <c r="CV219" s="364"/>
      <c r="CW219" s="364"/>
      <c r="CX219" s="364"/>
      <c r="CY219" s="364"/>
      <c r="CZ219" s="364"/>
      <c r="DA219" s="364"/>
      <c r="DB219" s="364"/>
      <c r="DC219" s="364"/>
      <c r="DD219" s="364"/>
      <c r="DE219" s="364"/>
      <c r="DF219" s="364"/>
      <c r="DG219" s="364"/>
      <c r="DH219" s="364"/>
      <c r="DI219" s="364"/>
      <c r="DJ219" s="364"/>
      <c r="DK219" s="364"/>
      <c r="DL219" s="364"/>
      <c r="DM219" s="364"/>
      <c r="DN219" s="364"/>
      <c r="DO219" s="364"/>
      <c r="DP219" s="364"/>
      <c r="DQ219" s="364"/>
      <c r="DR219" s="364"/>
      <c r="DS219" s="364"/>
      <c r="DT219" s="364"/>
      <c r="DU219" s="364"/>
      <c r="DV219" s="364"/>
      <c r="DW219" s="364"/>
      <c r="DX219" s="364"/>
      <c r="DY219" s="364"/>
      <c r="DZ219" s="364"/>
      <c r="EA219" s="364"/>
      <c r="EB219" s="364"/>
      <c r="EC219" s="364"/>
      <c r="ED219" s="364"/>
      <c r="EE219" s="364"/>
      <c r="EF219" s="364"/>
      <c r="EG219" s="364"/>
      <c r="EH219" s="364"/>
      <c r="EI219" s="364"/>
      <c r="EJ219" s="364"/>
      <c r="EK219" s="364"/>
      <c r="EL219" s="364"/>
      <c r="EM219" s="364"/>
      <c r="EN219" s="364"/>
      <c r="EO219" s="364"/>
      <c r="EP219" s="364"/>
      <c r="EQ219" s="364"/>
      <c r="ER219" s="364"/>
      <c r="ES219" s="364"/>
      <c r="ET219" s="364"/>
      <c r="EU219" s="364"/>
      <c r="EV219" s="364"/>
      <c r="EW219" s="364"/>
      <c r="EX219" s="364"/>
      <c r="EY219" s="364"/>
      <c r="EZ219" s="364"/>
      <c r="FA219" s="364"/>
      <c r="FB219" s="364"/>
      <c r="FC219" s="364"/>
      <c r="FD219" s="364"/>
      <c r="FE219" s="364"/>
      <c r="FF219" s="364"/>
      <c r="FG219" s="364"/>
      <c r="FH219" s="364"/>
      <c r="FI219" s="364"/>
      <c r="FJ219" s="364"/>
      <c r="FK219" s="364"/>
      <c r="FL219" s="364"/>
      <c r="FM219" s="364"/>
      <c r="FN219" s="364"/>
      <c r="FO219" s="364"/>
      <c r="FP219" s="364"/>
      <c r="FQ219" s="364"/>
      <c r="FR219" s="364"/>
      <c r="FS219" s="364"/>
      <c r="FT219" s="364"/>
      <c r="FU219" s="364"/>
      <c r="FV219" s="364"/>
      <c r="FW219" s="364"/>
      <c r="FX219" s="364"/>
      <c r="FY219" s="364"/>
      <c r="FZ219" s="364"/>
      <c r="GA219" s="364"/>
      <c r="GB219" s="364"/>
      <c r="GC219" s="364"/>
      <c r="GD219" s="364"/>
      <c r="GE219" s="364"/>
      <c r="GF219" s="364"/>
      <c r="GG219" s="364"/>
      <c r="GH219" s="364"/>
      <c r="GI219" s="364"/>
      <c r="GJ219" s="364"/>
      <c r="GK219" s="364"/>
      <c r="GL219" s="364"/>
      <c r="GM219" s="364"/>
      <c r="GN219" s="364"/>
      <c r="GO219" s="364"/>
      <c r="GP219" s="364"/>
      <c r="GQ219" s="364"/>
      <c r="GR219" s="364"/>
      <c r="GS219" s="364"/>
      <c r="GT219" s="364"/>
      <c r="GU219" s="364"/>
      <c r="GV219" s="364"/>
      <c r="GW219" s="364"/>
      <c r="GX219" s="364"/>
      <c r="GY219" s="364"/>
      <c r="GZ219" s="364"/>
      <c r="HA219" s="364"/>
      <c r="HB219" s="364"/>
      <c r="HC219" s="364"/>
      <c r="HD219" s="364"/>
      <c r="HE219" s="364"/>
      <c r="HF219" s="364"/>
      <c r="HG219" s="364"/>
      <c r="HH219" s="364"/>
      <c r="HI219" s="364"/>
      <c r="HJ219" s="364"/>
      <c r="HK219" s="364"/>
      <c r="HL219" s="364"/>
    </row>
    <row r="220" spans="1:220" s="287" customFormat="1" ht="22.5" customHeight="1">
      <c r="B220" s="365">
        <v>240104</v>
      </c>
      <c r="C220" s="366" t="s">
        <v>14475</v>
      </c>
      <c r="D220" s="367"/>
      <c r="E220" s="368"/>
      <c r="F220" s="321" t="s">
        <v>53</v>
      </c>
      <c r="G220" s="326" t="s">
        <v>2341</v>
      </c>
      <c r="H220" s="326" t="s">
        <v>2431</v>
      </c>
      <c r="I220" s="326" t="s">
        <v>11</v>
      </c>
      <c r="J220" s="326" t="s">
        <v>21</v>
      </c>
      <c r="K220" s="326" t="s">
        <v>31</v>
      </c>
      <c r="L220" s="323"/>
      <c r="M220" s="374"/>
      <c r="N220" s="325" t="s">
        <v>692</v>
      </c>
      <c r="O220" s="326" t="s">
        <v>690</v>
      </c>
      <c r="P220" s="326" t="s">
        <v>210</v>
      </c>
      <c r="Q220" s="340" t="s">
        <v>15</v>
      </c>
      <c r="R220" s="329" t="s">
        <v>691</v>
      </c>
      <c r="S220" s="331" t="s">
        <v>14476</v>
      </c>
      <c r="T220" s="394" t="s">
        <v>12244</v>
      </c>
      <c r="U220" s="394" t="s">
        <v>16219</v>
      </c>
      <c r="V220" s="394" t="s">
        <v>12245</v>
      </c>
      <c r="W220" s="332" t="s">
        <v>644</v>
      </c>
      <c r="X220" s="330"/>
      <c r="Y220" s="394" t="s">
        <v>11201</v>
      </c>
      <c r="Z220" s="394" t="s">
        <v>11200</v>
      </c>
      <c r="AA220" s="330"/>
      <c r="AB220" s="333"/>
      <c r="AC220" s="333"/>
      <c r="AD220" s="334" t="s">
        <v>168</v>
      </c>
      <c r="AE220" s="335" t="s">
        <v>311</v>
      </c>
      <c r="AF220" s="336"/>
      <c r="AG220" s="337"/>
      <c r="AH220" s="417" t="s">
        <v>435</v>
      </c>
      <c r="AI220" s="392" t="s">
        <v>435</v>
      </c>
      <c r="AJ220" s="392" t="s">
        <v>435</v>
      </c>
      <c r="AK220" s="340" t="s">
        <v>435</v>
      </c>
      <c r="AL220" s="321" t="s">
        <v>210</v>
      </c>
      <c r="AM220" s="392" t="s">
        <v>15</v>
      </c>
      <c r="AN220" s="392" t="s">
        <v>15</v>
      </c>
      <c r="AO220" s="341" t="s">
        <v>15</v>
      </c>
      <c r="AP220" s="342"/>
      <c r="AQ220" s="343"/>
      <c r="AR220" s="370">
        <v>1249</v>
      </c>
      <c r="AS220" s="326">
        <v>150</v>
      </c>
      <c r="AT220" s="392">
        <v>1.7</v>
      </c>
      <c r="AU220" s="392"/>
      <c r="AV220" s="392">
        <v>0.8</v>
      </c>
      <c r="AW220" s="340"/>
      <c r="AX220" s="347"/>
      <c r="AY220" s="348"/>
      <c r="AZ220" s="377"/>
      <c r="BA220" s="374"/>
      <c r="BB220" s="374"/>
      <c r="BC220" s="374"/>
      <c r="BD220" s="374"/>
      <c r="BE220" s="374"/>
      <c r="BF220" s="374"/>
      <c r="BG220" s="374"/>
      <c r="BH220" s="378"/>
      <c r="BI220" s="376"/>
      <c r="BJ220" s="379"/>
      <c r="BK220" s="380"/>
      <c r="BL220" s="348"/>
      <c r="BM220" s="381"/>
      <c r="BN220" s="321" t="s">
        <v>15</v>
      </c>
      <c r="BO220" s="372"/>
      <c r="BP220" s="373" t="s">
        <v>15</v>
      </c>
      <c r="BQ220" s="360"/>
      <c r="BR220" s="361"/>
      <c r="BS220" s="361"/>
      <c r="BT220" s="361"/>
      <c r="BU220" s="342" t="s">
        <v>210</v>
      </c>
      <c r="BV220" s="342" t="s">
        <v>210</v>
      </c>
      <c r="BW220" s="341" t="s">
        <v>15</v>
      </c>
      <c r="BX220" s="361"/>
      <c r="BY220" s="362"/>
      <c r="BZ220" s="363"/>
      <c r="CA220" s="363"/>
      <c r="CB220" s="363"/>
      <c r="CC220" s="363"/>
      <c r="CD220" s="293"/>
      <c r="CE220" s="364"/>
      <c r="CF220" s="364"/>
      <c r="CG220" s="364"/>
      <c r="CH220" s="364"/>
      <c r="CI220" s="364"/>
      <c r="CJ220" s="364"/>
      <c r="CK220" s="364"/>
      <c r="CL220" s="364"/>
      <c r="CM220" s="364"/>
      <c r="CN220" s="364"/>
      <c r="CO220" s="364"/>
      <c r="CP220" s="364"/>
      <c r="CQ220" s="364"/>
      <c r="CR220" s="364"/>
      <c r="CS220" s="364"/>
      <c r="CT220" s="364"/>
      <c r="CU220" s="364"/>
      <c r="CV220" s="364"/>
      <c r="CW220" s="364"/>
      <c r="CX220" s="364"/>
      <c r="CY220" s="364"/>
      <c r="CZ220" s="364"/>
      <c r="DA220" s="364"/>
      <c r="DB220" s="364"/>
      <c r="DC220" s="364"/>
      <c r="DD220" s="364"/>
      <c r="DE220" s="364"/>
      <c r="DF220" s="364"/>
      <c r="DG220" s="364"/>
      <c r="DH220" s="364"/>
      <c r="DI220" s="364"/>
      <c r="DJ220" s="364"/>
      <c r="DK220" s="364"/>
      <c r="DL220" s="364"/>
      <c r="DM220" s="364"/>
      <c r="DN220" s="364"/>
      <c r="DO220" s="364"/>
      <c r="DP220" s="364"/>
      <c r="DQ220" s="364"/>
      <c r="DR220" s="364"/>
      <c r="DS220" s="364"/>
      <c r="DT220" s="364"/>
      <c r="DU220" s="364"/>
      <c r="DV220" s="364"/>
      <c r="DW220" s="364"/>
      <c r="DX220" s="364"/>
      <c r="DY220" s="364"/>
      <c r="DZ220" s="364"/>
      <c r="EA220" s="364"/>
      <c r="EB220" s="364"/>
      <c r="EC220" s="364"/>
      <c r="ED220" s="364"/>
      <c r="EE220" s="364"/>
      <c r="EF220" s="364"/>
      <c r="EG220" s="364"/>
      <c r="EH220" s="364"/>
      <c r="EI220" s="364"/>
      <c r="EJ220" s="364"/>
      <c r="EK220" s="364"/>
      <c r="EL220" s="364"/>
      <c r="EM220" s="364"/>
      <c r="EN220" s="364"/>
      <c r="EO220" s="364"/>
      <c r="EP220" s="364"/>
      <c r="EQ220" s="364"/>
      <c r="ER220" s="364"/>
      <c r="ES220" s="364"/>
      <c r="ET220" s="364"/>
      <c r="EU220" s="364"/>
      <c r="EV220" s="364"/>
      <c r="EW220" s="364"/>
      <c r="EX220" s="364"/>
      <c r="EY220" s="364"/>
      <c r="EZ220" s="364"/>
      <c r="FA220" s="364"/>
      <c r="FB220" s="364"/>
      <c r="FC220" s="364"/>
      <c r="FD220" s="364"/>
      <c r="FE220" s="364"/>
      <c r="FF220" s="364"/>
      <c r="FG220" s="364"/>
      <c r="FH220" s="364"/>
      <c r="FI220" s="364"/>
      <c r="FJ220" s="364"/>
      <c r="FK220" s="364"/>
      <c r="FL220" s="364"/>
      <c r="FM220" s="364"/>
      <c r="FN220" s="364"/>
      <c r="FO220" s="364"/>
      <c r="FP220" s="364"/>
      <c r="FQ220" s="364"/>
      <c r="FR220" s="364"/>
      <c r="FS220" s="364"/>
      <c r="FT220" s="364"/>
      <c r="FU220" s="364"/>
      <c r="FV220" s="364"/>
      <c r="FW220" s="364"/>
      <c r="FX220" s="364"/>
      <c r="FY220" s="364"/>
      <c r="FZ220" s="364"/>
      <c r="GA220" s="364"/>
      <c r="GB220" s="364"/>
      <c r="GC220" s="364"/>
      <c r="GD220" s="364"/>
      <c r="GE220" s="364"/>
      <c r="GF220" s="364"/>
      <c r="GG220" s="364"/>
      <c r="GH220" s="364"/>
      <c r="GI220" s="364"/>
      <c r="GJ220" s="364"/>
      <c r="GK220" s="364"/>
      <c r="GL220" s="364"/>
      <c r="GM220" s="364"/>
      <c r="GN220" s="364"/>
      <c r="GO220" s="364"/>
      <c r="GP220" s="364"/>
      <c r="GQ220" s="364"/>
      <c r="GR220" s="364"/>
      <c r="GS220" s="364"/>
      <c r="GT220" s="364"/>
      <c r="GU220" s="364"/>
      <c r="GV220" s="364"/>
      <c r="GW220" s="364"/>
      <c r="GX220" s="364"/>
      <c r="GY220" s="364"/>
      <c r="GZ220" s="364"/>
      <c r="HA220" s="364"/>
      <c r="HB220" s="364"/>
      <c r="HC220" s="364"/>
      <c r="HD220" s="364"/>
      <c r="HE220" s="364"/>
      <c r="HF220" s="364"/>
      <c r="HG220" s="364"/>
      <c r="HH220" s="364"/>
      <c r="HI220" s="364"/>
      <c r="HJ220" s="364"/>
      <c r="HK220" s="364"/>
      <c r="HL220" s="364"/>
    </row>
    <row r="221" spans="1:220" s="287" customFormat="1" ht="22.5" customHeight="1">
      <c r="B221" s="365">
        <v>240105</v>
      </c>
      <c r="C221" s="366" t="s">
        <v>14471</v>
      </c>
      <c r="D221" s="367"/>
      <c r="E221" s="368"/>
      <c r="F221" s="321" t="s">
        <v>97</v>
      </c>
      <c r="G221" s="326" t="s">
        <v>2429</v>
      </c>
      <c r="H221" s="326" t="s">
        <v>2430</v>
      </c>
      <c r="I221" s="326" t="s">
        <v>173</v>
      </c>
      <c r="J221" s="326" t="s">
        <v>24</v>
      </c>
      <c r="K221" s="326" t="s">
        <v>77</v>
      </c>
      <c r="L221" s="323"/>
      <c r="M221" s="374"/>
      <c r="N221" s="325" t="s">
        <v>437</v>
      </c>
      <c r="O221" s="326" t="s">
        <v>210</v>
      </c>
      <c r="P221" s="327">
        <v>662.73</v>
      </c>
      <c r="Q221" s="369">
        <v>277.66000000000003</v>
      </c>
      <c r="R221" s="399"/>
      <c r="S221" s="400"/>
      <c r="T221" s="400"/>
      <c r="U221" s="400"/>
      <c r="V221" s="400"/>
      <c r="W221" s="332" t="s">
        <v>1112</v>
      </c>
      <c r="X221" s="394" t="s">
        <v>14472</v>
      </c>
      <c r="Y221" s="394" t="s">
        <v>14473</v>
      </c>
      <c r="Z221" s="330"/>
      <c r="AA221" s="394" t="s">
        <v>14474</v>
      </c>
      <c r="AB221" s="333"/>
      <c r="AC221" s="416"/>
      <c r="AD221" s="375"/>
      <c r="AE221" s="335" t="s">
        <v>15</v>
      </c>
      <c r="AF221" s="336"/>
      <c r="AG221" s="337"/>
      <c r="AH221" s="417" t="s">
        <v>435</v>
      </c>
      <c r="AI221" s="392" t="s">
        <v>435</v>
      </c>
      <c r="AJ221" s="392" t="s">
        <v>435</v>
      </c>
      <c r="AK221" s="340" t="s">
        <v>435</v>
      </c>
      <c r="AL221" s="321" t="s">
        <v>210</v>
      </c>
      <c r="AM221" s="392" t="s">
        <v>15</v>
      </c>
      <c r="AN221" s="392" t="s">
        <v>15</v>
      </c>
      <c r="AO221" s="341" t="s">
        <v>15</v>
      </c>
      <c r="AP221" s="342"/>
      <c r="AQ221" s="343"/>
      <c r="AR221" s="370">
        <v>374</v>
      </c>
      <c r="AS221" s="326">
        <v>150</v>
      </c>
      <c r="AT221" s="392">
        <v>1</v>
      </c>
      <c r="AU221" s="392"/>
      <c r="AV221" s="392">
        <v>1.5</v>
      </c>
      <c r="AW221" s="340"/>
      <c r="AX221" s="347"/>
      <c r="AY221" s="348"/>
      <c r="AZ221" s="377"/>
      <c r="BA221" s="374"/>
      <c r="BB221" s="374"/>
      <c r="BC221" s="374"/>
      <c r="BD221" s="374"/>
      <c r="BE221" s="374"/>
      <c r="BF221" s="374"/>
      <c r="BG221" s="374"/>
      <c r="BH221" s="378"/>
      <c r="BI221" s="376"/>
      <c r="BJ221" s="379"/>
      <c r="BK221" s="380"/>
      <c r="BL221" s="348"/>
      <c r="BM221" s="381"/>
      <c r="BN221" s="321" t="s">
        <v>983</v>
      </c>
      <c r="BO221" s="372"/>
      <c r="BP221" s="373" t="s">
        <v>983</v>
      </c>
      <c r="BQ221" s="360"/>
      <c r="BR221" s="361"/>
      <c r="BS221" s="361"/>
      <c r="BT221" s="361"/>
      <c r="BU221" s="342" t="s">
        <v>210</v>
      </c>
      <c r="BV221" s="342" t="s">
        <v>210</v>
      </c>
      <c r="BW221" s="341" t="s">
        <v>15</v>
      </c>
      <c r="BX221" s="361"/>
      <c r="BY221" s="362"/>
      <c r="BZ221" s="363"/>
      <c r="CA221" s="363"/>
      <c r="CB221" s="363"/>
      <c r="CC221" s="363"/>
      <c r="CD221" s="293"/>
      <c r="CE221" s="364"/>
      <c r="CF221" s="364"/>
      <c r="CG221" s="364"/>
      <c r="CH221" s="364"/>
      <c r="CI221" s="364"/>
      <c r="CJ221" s="364"/>
      <c r="CK221" s="364"/>
      <c r="CL221" s="364"/>
      <c r="CM221" s="364"/>
      <c r="CN221" s="364"/>
      <c r="CO221" s="364"/>
      <c r="CP221" s="364"/>
      <c r="CQ221" s="364"/>
      <c r="CR221" s="364"/>
      <c r="CS221" s="364"/>
      <c r="CT221" s="364"/>
      <c r="CU221" s="364"/>
      <c r="CV221" s="364"/>
      <c r="CW221" s="364"/>
      <c r="CX221" s="364"/>
      <c r="CY221" s="364"/>
      <c r="CZ221" s="364"/>
      <c r="DA221" s="364"/>
      <c r="DB221" s="364"/>
      <c r="DC221" s="364"/>
      <c r="DD221" s="364"/>
      <c r="DE221" s="364"/>
      <c r="DF221" s="364"/>
      <c r="DG221" s="364"/>
      <c r="DH221" s="364"/>
      <c r="DI221" s="364"/>
      <c r="DJ221" s="364"/>
      <c r="DK221" s="364"/>
      <c r="DL221" s="364"/>
      <c r="DM221" s="364"/>
      <c r="DN221" s="364"/>
      <c r="DO221" s="364"/>
      <c r="DP221" s="364"/>
      <c r="DQ221" s="364"/>
      <c r="DR221" s="364"/>
      <c r="DS221" s="364"/>
      <c r="DT221" s="364"/>
      <c r="DU221" s="364"/>
      <c r="DV221" s="364"/>
      <c r="DW221" s="364"/>
      <c r="DX221" s="364"/>
      <c r="DY221" s="364"/>
      <c r="DZ221" s="364"/>
      <c r="EA221" s="364"/>
      <c r="EB221" s="364"/>
      <c r="EC221" s="364"/>
      <c r="ED221" s="364"/>
      <c r="EE221" s="364"/>
      <c r="EF221" s="364"/>
      <c r="EG221" s="364"/>
      <c r="EH221" s="364"/>
      <c r="EI221" s="364"/>
      <c r="EJ221" s="364"/>
      <c r="EK221" s="364"/>
      <c r="EL221" s="364"/>
      <c r="EM221" s="364"/>
      <c r="EN221" s="364"/>
      <c r="EO221" s="364"/>
      <c r="EP221" s="364"/>
      <c r="EQ221" s="364"/>
      <c r="ER221" s="364"/>
      <c r="ES221" s="364"/>
      <c r="ET221" s="364"/>
      <c r="EU221" s="364"/>
      <c r="EV221" s="364"/>
      <c r="EW221" s="364"/>
      <c r="EX221" s="364"/>
      <c r="EY221" s="364"/>
      <c r="EZ221" s="364"/>
      <c r="FA221" s="364"/>
      <c r="FB221" s="364"/>
      <c r="FC221" s="364"/>
      <c r="FD221" s="364"/>
      <c r="FE221" s="364"/>
      <c r="FF221" s="364"/>
      <c r="FG221" s="364"/>
      <c r="FH221" s="364"/>
      <c r="FI221" s="364"/>
      <c r="FJ221" s="364"/>
      <c r="FK221" s="364"/>
      <c r="FL221" s="364"/>
      <c r="FM221" s="364"/>
      <c r="FN221" s="364"/>
      <c r="FO221" s="364"/>
      <c r="FP221" s="364"/>
      <c r="FQ221" s="364"/>
      <c r="FR221" s="364"/>
      <c r="FS221" s="364"/>
      <c r="FT221" s="364"/>
      <c r="FU221" s="364"/>
      <c r="FV221" s="364"/>
      <c r="FW221" s="364"/>
      <c r="FX221" s="364"/>
      <c r="FY221" s="364"/>
      <c r="FZ221" s="364"/>
      <c r="GA221" s="364"/>
      <c r="GB221" s="364"/>
      <c r="GC221" s="364"/>
      <c r="GD221" s="364"/>
      <c r="GE221" s="364"/>
      <c r="GF221" s="364"/>
      <c r="GG221" s="364"/>
      <c r="GH221" s="364"/>
      <c r="GI221" s="364"/>
      <c r="GJ221" s="364"/>
      <c r="GK221" s="364"/>
      <c r="GL221" s="364"/>
      <c r="GM221" s="364"/>
      <c r="GN221" s="364"/>
      <c r="GO221" s="364"/>
      <c r="GP221" s="364"/>
      <c r="GQ221" s="364"/>
      <c r="GR221" s="364"/>
      <c r="GS221" s="364"/>
      <c r="GT221" s="364"/>
      <c r="GU221" s="364"/>
      <c r="GV221" s="364"/>
      <c r="GW221" s="364"/>
      <c r="GX221" s="364"/>
      <c r="GY221" s="364"/>
      <c r="GZ221" s="364"/>
      <c r="HA221" s="364"/>
      <c r="HB221" s="364"/>
      <c r="HC221" s="364"/>
      <c r="HD221" s="364"/>
      <c r="HE221" s="364"/>
      <c r="HF221" s="364"/>
      <c r="HG221" s="364"/>
      <c r="HH221" s="364"/>
      <c r="HI221" s="364"/>
      <c r="HJ221" s="364"/>
      <c r="HK221" s="364"/>
      <c r="HL221" s="364"/>
    </row>
    <row r="222" spans="1:220" s="287" customFormat="1" ht="22.5" customHeight="1">
      <c r="B222" s="365">
        <v>240106</v>
      </c>
      <c r="C222" s="366" t="s">
        <v>200</v>
      </c>
      <c r="D222" s="367"/>
      <c r="E222" s="368"/>
      <c r="F222" s="321" t="s">
        <v>22</v>
      </c>
      <c r="G222" s="326" t="s">
        <v>2427</v>
      </c>
      <c r="H222" s="326" t="s">
        <v>2428</v>
      </c>
      <c r="I222" s="326" t="s">
        <v>11</v>
      </c>
      <c r="J222" s="326" t="s">
        <v>12</v>
      </c>
      <c r="K222" s="326" t="s">
        <v>10</v>
      </c>
      <c r="L222" s="323"/>
      <c r="M222" s="324" t="s">
        <v>10767</v>
      </c>
      <c r="N222" s="325" t="s">
        <v>693</v>
      </c>
      <c r="O222" s="326">
        <v>30</v>
      </c>
      <c r="P222" s="327">
        <v>1073.02</v>
      </c>
      <c r="Q222" s="369">
        <v>1079.04</v>
      </c>
      <c r="R222" s="329" t="s">
        <v>1104</v>
      </c>
      <c r="S222" s="331" t="s">
        <v>13053</v>
      </c>
      <c r="T222" s="331" t="s">
        <v>11322</v>
      </c>
      <c r="U222" s="331" t="s">
        <v>11327</v>
      </c>
      <c r="V222" s="331" t="s">
        <v>13054</v>
      </c>
      <c r="W222" s="332" t="s">
        <v>432</v>
      </c>
      <c r="X222" s="331" t="s">
        <v>11079</v>
      </c>
      <c r="Y222" s="331" t="s">
        <v>11080</v>
      </c>
      <c r="Z222" s="331" t="s">
        <v>11080</v>
      </c>
      <c r="AA222" s="331" t="s">
        <v>295</v>
      </c>
      <c r="AB222" s="333"/>
      <c r="AC222" s="333"/>
      <c r="AD222" s="396" t="s">
        <v>2320</v>
      </c>
      <c r="AE222" s="335" t="s">
        <v>922</v>
      </c>
      <c r="AF222" s="336"/>
      <c r="AG222" s="337"/>
      <c r="AH222" s="417">
        <v>6.4</v>
      </c>
      <c r="AI222" s="392">
        <v>13.1</v>
      </c>
      <c r="AJ222" s="392">
        <v>17.2</v>
      </c>
      <c r="AK222" s="340">
        <f>SUM(AH222:AJ222)</f>
        <v>36.700000000000003</v>
      </c>
      <c r="AL222" s="321" t="s">
        <v>210</v>
      </c>
      <c r="AM222" s="392" t="s">
        <v>15</v>
      </c>
      <c r="AN222" s="392" t="s">
        <v>15</v>
      </c>
      <c r="AO222" s="341" t="s">
        <v>15</v>
      </c>
      <c r="AP222" s="342"/>
      <c r="AQ222" s="343"/>
      <c r="AR222" s="370">
        <v>1302</v>
      </c>
      <c r="AS222" s="326">
        <v>100</v>
      </c>
      <c r="AT222" s="392">
        <v>0.8</v>
      </c>
      <c r="AU222" s="392"/>
      <c r="AV222" s="392">
        <v>1</v>
      </c>
      <c r="AW222" s="340"/>
      <c r="AX222" s="347"/>
      <c r="AY222" s="348"/>
      <c r="AZ222" s="377"/>
      <c r="BA222" s="374"/>
      <c r="BB222" s="374"/>
      <c r="BC222" s="374"/>
      <c r="BD222" s="374"/>
      <c r="BE222" s="374"/>
      <c r="BF222" s="374"/>
      <c r="BG222" s="374"/>
      <c r="BH222" s="378"/>
      <c r="BI222" s="376"/>
      <c r="BJ222" s="379"/>
      <c r="BK222" s="380"/>
      <c r="BL222" s="348"/>
      <c r="BM222" s="381"/>
      <c r="BN222" s="321" t="s">
        <v>983</v>
      </c>
      <c r="BO222" s="372"/>
      <c r="BP222" s="373" t="s">
        <v>15</v>
      </c>
      <c r="BQ222" s="360"/>
      <c r="BR222" s="361"/>
      <c r="BS222" s="361"/>
      <c r="BT222" s="361"/>
      <c r="BU222" s="342" t="s">
        <v>210</v>
      </c>
      <c r="BV222" s="342" t="s">
        <v>210</v>
      </c>
      <c r="BW222" s="341" t="s">
        <v>15</v>
      </c>
      <c r="BX222" s="361"/>
      <c r="BY222" s="362" t="s">
        <v>948</v>
      </c>
      <c r="BZ222" s="363"/>
      <c r="CA222" s="363"/>
      <c r="CB222" s="363"/>
      <c r="CC222" s="363"/>
      <c r="CD222" s="293"/>
      <c r="CE222" s="364"/>
      <c r="CF222" s="364"/>
      <c r="CG222" s="364"/>
      <c r="CH222" s="364"/>
      <c r="CI222" s="364"/>
      <c r="CJ222" s="364"/>
      <c r="CK222" s="364"/>
      <c r="CL222" s="364"/>
      <c r="CM222" s="364"/>
      <c r="CN222" s="364"/>
      <c r="CO222" s="364"/>
      <c r="CP222" s="364"/>
      <c r="CQ222" s="364"/>
      <c r="CR222" s="364"/>
      <c r="CS222" s="364"/>
      <c r="CT222" s="364"/>
      <c r="CU222" s="364"/>
      <c r="CV222" s="364"/>
      <c r="CW222" s="364"/>
      <c r="CX222" s="364"/>
      <c r="CY222" s="364"/>
      <c r="CZ222" s="364"/>
      <c r="DA222" s="364"/>
      <c r="DB222" s="364"/>
      <c r="DC222" s="364"/>
      <c r="DD222" s="364"/>
      <c r="DE222" s="364"/>
      <c r="DF222" s="364"/>
      <c r="DG222" s="364"/>
      <c r="DH222" s="364"/>
      <c r="DI222" s="364"/>
      <c r="DJ222" s="364"/>
      <c r="DK222" s="364"/>
      <c r="DL222" s="364"/>
      <c r="DM222" s="364"/>
      <c r="DN222" s="364"/>
      <c r="DO222" s="364"/>
      <c r="DP222" s="364"/>
      <c r="DQ222" s="364"/>
      <c r="DR222" s="364"/>
      <c r="DS222" s="364"/>
      <c r="DT222" s="364"/>
      <c r="DU222" s="364"/>
      <c r="DV222" s="364"/>
      <c r="DW222" s="364"/>
      <c r="DX222" s="364"/>
      <c r="DY222" s="364"/>
      <c r="DZ222" s="364"/>
      <c r="EA222" s="364"/>
      <c r="EB222" s="364"/>
      <c r="EC222" s="364"/>
      <c r="ED222" s="364"/>
      <c r="EE222" s="364"/>
      <c r="EF222" s="364"/>
      <c r="EG222" s="364"/>
      <c r="EH222" s="364"/>
      <c r="EI222" s="364"/>
      <c r="EJ222" s="364"/>
      <c r="EK222" s="364"/>
      <c r="EL222" s="364"/>
      <c r="EM222" s="364"/>
      <c r="EN222" s="364"/>
      <c r="EO222" s="364"/>
      <c r="EP222" s="364"/>
      <c r="EQ222" s="364"/>
      <c r="ER222" s="364"/>
      <c r="ES222" s="364"/>
      <c r="ET222" s="364"/>
      <c r="EU222" s="364"/>
      <c r="EV222" s="364"/>
      <c r="EW222" s="364"/>
      <c r="EX222" s="364"/>
      <c r="EY222" s="364"/>
      <c r="EZ222" s="364"/>
      <c r="FA222" s="364"/>
      <c r="FB222" s="364"/>
      <c r="FC222" s="364"/>
      <c r="FD222" s="364"/>
      <c r="FE222" s="364"/>
      <c r="FF222" s="364"/>
      <c r="FG222" s="364"/>
      <c r="FH222" s="364"/>
      <c r="FI222" s="364"/>
      <c r="FJ222" s="364"/>
      <c r="FK222" s="364"/>
      <c r="FL222" s="364"/>
      <c r="FM222" s="364"/>
      <c r="FN222" s="364"/>
      <c r="FO222" s="364"/>
      <c r="FP222" s="364"/>
      <c r="FQ222" s="364"/>
      <c r="FR222" s="364"/>
      <c r="FS222" s="364"/>
      <c r="FT222" s="364"/>
      <c r="FU222" s="364"/>
      <c r="FV222" s="364"/>
      <c r="FW222" s="364"/>
      <c r="FX222" s="364"/>
      <c r="FY222" s="364"/>
      <c r="FZ222" s="364"/>
      <c r="GA222" s="364"/>
      <c r="GB222" s="364"/>
      <c r="GC222" s="364"/>
      <c r="GD222" s="364"/>
      <c r="GE222" s="364"/>
      <c r="GF222" s="364"/>
      <c r="GG222" s="364"/>
      <c r="GH222" s="364"/>
      <c r="GI222" s="364"/>
      <c r="GJ222" s="364"/>
      <c r="GK222" s="364"/>
      <c r="GL222" s="364"/>
      <c r="GM222" s="364"/>
      <c r="GN222" s="364"/>
      <c r="GO222" s="364"/>
      <c r="GP222" s="364"/>
      <c r="GQ222" s="364"/>
      <c r="GR222" s="364"/>
      <c r="GS222" s="364"/>
      <c r="GT222" s="364"/>
      <c r="GU222" s="364"/>
      <c r="GV222" s="364"/>
      <c r="GW222" s="364"/>
      <c r="GX222" s="364"/>
      <c r="GY222" s="364"/>
      <c r="GZ222" s="364"/>
      <c r="HA222" s="364"/>
      <c r="HB222" s="364"/>
      <c r="HC222" s="364"/>
      <c r="HD222" s="364"/>
      <c r="HE222" s="364"/>
      <c r="HF222" s="364"/>
      <c r="HG222" s="364"/>
      <c r="HH222" s="364"/>
      <c r="HI222" s="364"/>
      <c r="HJ222" s="364"/>
      <c r="HK222" s="364"/>
      <c r="HL222" s="364"/>
    </row>
    <row r="223" spans="1:220" s="465" customFormat="1" ht="22.5" customHeight="1">
      <c r="A223" s="287"/>
      <c r="B223" s="657">
        <v>240107</v>
      </c>
      <c r="C223" s="658" t="s">
        <v>14461</v>
      </c>
      <c r="D223" s="659"/>
      <c r="E223" s="660"/>
      <c r="F223" s="661" t="s">
        <v>201</v>
      </c>
      <c r="G223" s="662"/>
      <c r="H223" s="662"/>
      <c r="I223" s="662" t="s">
        <v>11</v>
      </c>
      <c r="J223" s="662" t="s">
        <v>12</v>
      </c>
      <c r="K223" s="662" t="s">
        <v>10</v>
      </c>
      <c r="L223" s="663"/>
      <c r="M223" s="662"/>
      <c r="N223" s="664" t="s">
        <v>438</v>
      </c>
      <c r="O223" s="662" t="s">
        <v>210</v>
      </c>
      <c r="P223" s="662" t="s">
        <v>210</v>
      </c>
      <c r="Q223" s="677" t="s">
        <v>15</v>
      </c>
      <c r="R223" s="667" t="s">
        <v>755</v>
      </c>
      <c r="S223" s="668" t="s">
        <v>14462</v>
      </c>
      <c r="T223" s="668" t="s">
        <v>14464</v>
      </c>
      <c r="U223" s="668" t="s">
        <v>14463</v>
      </c>
      <c r="V223" s="668" t="s">
        <v>14465</v>
      </c>
      <c r="W223" s="669" t="s">
        <v>14466</v>
      </c>
      <c r="X223" s="668" t="s">
        <v>14467</v>
      </c>
      <c r="Y223" s="668" t="s">
        <v>14470</v>
      </c>
      <c r="Z223" s="668" t="s">
        <v>14469</v>
      </c>
      <c r="AA223" s="668" t="s">
        <v>14468</v>
      </c>
      <c r="AB223" s="670"/>
      <c r="AC223" s="670"/>
      <c r="AD223" s="671"/>
      <c r="AE223" s="672"/>
      <c r="AF223" s="673"/>
      <c r="AG223" s="674" t="s">
        <v>10514</v>
      </c>
      <c r="AH223" s="675" t="s">
        <v>435</v>
      </c>
      <c r="AI223" s="676" t="s">
        <v>435</v>
      </c>
      <c r="AJ223" s="676" t="s">
        <v>435</v>
      </c>
      <c r="AK223" s="677" t="s">
        <v>435</v>
      </c>
      <c r="AL223" s="661" t="s">
        <v>210</v>
      </c>
      <c r="AM223" s="676" t="s">
        <v>15</v>
      </c>
      <c r="AN223" s="676" t="s">
        <v>15</v>
      </c>
      <c r="AO223" s="678" t="s">
        <v>15</v>
      </c>
      <c r="AP223" s="663"/>
      <c r="AQ223" s="679"/>
      <c r="AR223" s="680">
        <v>3586</v>
      </c>
      <c r="AS223" s="662">
        <v>100</v>
      </c>
      <c r="AT223" s="676">
        <v>0.8</v>
      </c>
      <c r="AU223" s="676"/>
      <c r="AV223" s="676">
        <v>1.5</v>
      </c>
      <c r="AW223" s="677"/>
      <c r="AX223" s="676"/>
      <c r="AY223" s="681"/>
      <c r="AZ223" s="661"/>
      <c r="BA223" s="662"/>
      <c r="BB223" s="662"/>
      <c r="BC223" s="662"/>
      <c r="BD223" s="662"/>
      <c r="BE223" s="662"/>
      <c r="BF223" s="662"/>
      <c r="BG223" s="662"/>
      <c r="BH223" s="682"/>
      <c r="BI223" s="675"/>
      <c r="BJ223" s="683"/>
      <c r="BK223" s="684"/>
      <c r="BL223" s="681"/>
      <c r="BM223" s="685"/>
      <c r="BN223" s="661" t="s">
        <v>983</v>
      </c>
      <c r="BO223" s="686"/>
      <c r="BP223" s="682" t="s">
        <v>15</v>
      </c>
      <c r="BQ223" s="687"/>
      <c r="BR223" s="663"/>
      <c r="BS223" s="663"/>
      <c r="BT223" s="663"/>
      <c r="BU223" s="663" t="s">
        <v>5510</v>
      </c>
      <c r="BV223" s="663" t="s">
        <v>5510</v>
      </c>
      <c r="BW223" s="678"/>
      <c r="BX223" s="688"/>
      <c r="BY223" s="689" t="s">
        <v>1076</v>
      </c>
      <c r="BZ223" s="483"/>
      <c r="CA223" s="483"/>
      <c r="CB223" s="483"/>
      <c r="CC223" s="483"/>
      <c r="CD223" s="484"/>
      <c r="CE223" s="690"/>
      <c r="CF223" s="690"/>
      <c r="CG223" s="690"/>
      <c r="CH223" s="690"/>
      <c r="CI223" s="690"/>
      <c r="CJ223" s="690"/>
      <c r="CK223" s="690"/>
      <c r="CL223" s="690"/>
      <c r="CM223" s="690"/>
      <c r="CN223" s="690"/>
      <c r="CO223" s="690"/>
      <c r="CP223" s="690"/>
      <c r="CQ223" s="690"/>
      <c r="CR223" s="690"/>
      <c r="CS223" s="690"/>
      <c r="CT223" s="690"/>
      <c r="CU223" s="690"/>
      <c r="CV223" s="690"/>
      <c r="CW223" s="690"/>
      <c r="CX223" s="690"/>
      <c r="CY223" s="690"/>
      <c r="CZ223" s="690"/>
      <c r="DA223" s="690"/>
      <c r="DB223" s="690"/>
      <c r="DC223" s="690"/>
      <c r="DD223" s="690"/>
      <c r="DE223" s="690"/>
      <c r="DF223" s="690"/>
      <c r="DG223" s="690"/>
      <c r="DH223" s="690"/>
      <c r="DI223" s="690"/>
      <c r="DJ223" s="690"/>
      <c r="DK223" s="690"/>
      <c r="DL223" s="690"/>
      <c r="DM223" s="690"/>
      <c r="DN223" s="690"/>
      <c r="DO223" s="690"/>
      <c r="DP223" s="690"/>
      <c r="DQ223" s="690"/>
      <c r="DR223" s="690"/>
      <c r="DS223" s="690"/>
      <c r="DT223" s="690"/>
      <c r="DU223" s="690"/>
      <c r="DV223" s="690"/>
      <c r="DW223" s="690"/>
      <c r="DX223" s="690"/>
      <c r="DY223" s="690"/>
      <c r="DZ223" s="690"/>
      <c r="EA223" s="690"/>
      <c r="EB223" s="690"/>
      <c r="EC223" s="690"/>
      <c r="ED223" s="690"/>
      <c r="EE223" s="690"/>
      <c r="EF223" s="690"/>
      <c r="EG223" s="690"/>
      <c r="EH223" s="690"/>
      <c r="EI223" s="690"/>
      <c r="EJ223" s="690"/>
      <c r="EK223" s="690"/>
      <c r="EL223" s="690"/>
      <c r="EM223" s="690"/>
      <c r="EN223" s="690"/>
      <c r="EO223" s="690"/>
      <c r="EP223" s="690"/>
      <c r="EQ223" s="690"/>
      <c r="ER223" s="690"/>
      <c r="ES223" s="690"/>
      <c r="ET223" s="690"/>
      <c r="EU223" s="690"/>
      <c r="EV223" s="690"/>
      <c r="EW223" s="690"/>
      <c r="EX223" s="690"/>
      <c r="EY223" s="690"/>
      <c r="EZ223" s="690"/>
      <c r="FA223" s="690"/>
      <c r="FB223" s="690"/>
      <c r="FC223" s="690"/>
      <c r="FD223" s="690"/>
      <c r="FE223" s="690"/>
      <c r="FF223" s="690"/>
      <c r="FG223" s="690"/>
      <c r="FH223" s="690"/>
      <c r="FI223" s="690"/>
      <c r="FJ223" s="690"/>
      <c r="FK223" s="690"/>
      <c r="FL223" s="690"/>
      <c r="FM223" s="690"/>
      <c r="FN223" s="690"/>
      <c r="FO223" s="690"/>
      <c r="FP223" s="690"/>
      <c r="FQ223" s="690"/>
      <c r="FR223" s="690"/>
      <c r="FS223" s="690"/>
      <c r="FT223" s="690"/>
      <c r="FU223" s="690"/>
      <c r="FV223" s="690"/>
      <c r="FW223" s="690"/>
      <c r="FX223" s="690"/>
      <c r="FY223" s="690"/>
      <c r="FZ223" s="690"/>
      <c r="GA223" s="690"/>
      <c r="GB223" s="690"/>
      <c r="GC223" s="690"/>
      <c r="GD223" s="690"/>
      <c r="GE223" s="690"/>
      <c r="GF223" s="690"/>
      <c r="GG223" s="690"/>
      <c r="GH223" s="690"/>
      <c r="GI223" s="690"/>
      <c r="GJ223" s="690"/>
      <c r="GK223" s="690"/>
      <c r="GL223" s="690"/>
      <c r="GM223" s="690"/>
      <c r="GN223" s="690"/>
      <c r="GO223" s="690"/>
      <c r="GP223" s="690"/>
      <c r="GQ223" s="690"/>
      <c r="GR223" s="690"/>
      <c r="GS223" s="690"/>
      <c r="GT223" s="690"/>
      <c r="GU223" s="690"/>
      <c r="GV223" s="690"/>
      <c r="GW223" s="690"/>
      <c r="GX223" s="690"/>
      <c r="GY223" s="690"/>
      <c r="GZ223" s="690"/>
      <c r="HA223" s="690"/>
      <c r="HB223" s="690"/>
      <c r="HC223" s="690"/>
      <c r="HD223" s="690"/>
      <c r="HE223" s="690"/>
      <c r="HF223" s="690"/>
      <c r="HG223" s="690"/>
      <c r="HH223" s="690"/>
      <c r="HI223" s="690"/>
      <c r="HJ223" s="690"/>
      <c r="HK223" s="690"/>
      <c r="HL223" s="690"/>
    </row>
    <row r="224" spans="1:220" s="287" customFormat="1" ht="22.5" customHeight="1">
      <c r="B224" s="365">
        <v>240108</v>
      </c>
      <c r="C224" s="366" t="s">
        <v>14457</v>
      </c>
      <c r="D224" s="367"/>
      <c r="E224" s="368"/>
      <c r="F224" s="321" t="s">
        <v>66</v>
      </c>
      <c r="G224" s="326" t="s">
        <v>1806</v>
      </c>
      <c r="H224" s="326" t="s">
        <v>2426</v>
      </c>
      <c r="I224" s="326" t="s">
        <v>11</v>
      </c>
      <c r="J224" s="326" t="s">
        <v>12</v>
      </c>
      <c r="K224" s="326" t="s">
        <v>197</v>
      </c>
      <c r="L224" s="323"/>
      <c r="M224" s="374"/>
      <c r="N224" s="325" t="s">
        <v>437</v>
      </c>
      <c r="O224" s="326" t="s">
        <v>698</v>
      </c>
      <c r="P224" s="327">
        <v>499.5</v>
      </c>
      <c r="Q224" s="369">
        <v>469.87</v>
      </c>
      <c r="R224" s="329" t="s">
        <v>699</v>
      </c>
      <c r="S224" s="331" t="s">
        <v>14458</v>
      </c>
      <c r="T224" s="331" t="s">
        <v>14459</v>
      </c>
      <c r="U224" s="330"/>
      <c r="V224" s="331" t="s">
        <v>14460</v>
      </c>
      <c r="W224" s="332" t="s">
        <v>1401</v>
      </c>
      <c r="X224" s="330"/>
      <c r="Y224" s="330"/>
      <c r="Z224" s="330"/>
      <c r="AA224" s="330"/>
      <c r="AB224" s="333"/>
      <c r="AC224" s="333"/>
      <c r="AD224" s="396" t="s">
        <v>42</v>
      </c>
      <c r="AE224" s="335" t="s">
        <v>15</v>
      </c>
      <c r="AF224" s="336"/>
      <c r="AG224" s="337"/>
      <c r="AH224" s="417" t="s">
        <v>435</v>
      </c>
      <c r="AI224" s="392" t="s">
        <v>435</v>
      </c>
      <c r="AJ224" s="392" t="s">
        <v>435</v>
      </c>
      <c r="AK224" s="340" t="s">
        <v>435</v>
      </c>
      <c r="AL224" s="321" t="s">
        <v>210</v>
      </c>
      <c r="AM224" s="392" t="s">
        <v>15</v>
      </c>
      <c r="AN224" s="392" t="s">
        <v>15</v>
      </c>
      <c r="AO224" s="341" t="s">
        <v>15</v>
      </c>
      <c r="AP224" s="342"/>
      <c r="AQ224" s="343"/>
      <c r="AR224" s="370">
        <v>619</v>
      </c>
      <c r="AS224" s="326">
        <v>50</v>
      </c>
      <c r="AT224" s="392">
        <v>1</v>
      </c>
      <c r="AU224" s="392"/>
      <c r="AV224" s="392">
        <v>1.5</v>
      </c>
      <c r="AW224" s="340"/>
      <c r="AX224" s="347"/>
      <c r="AY224" s="348"/>
      <c r="AZ224" s="377"/>
      <c r="BA224" s="374"/>
      <c r="BB224" s="374"/>
      <c r="BC224" s="374"/>
      <c r="BD224" s="374"/>
      <c r="BE224" s="374"/>
      <c r="BF224" s="374"/>
      <c r="BG224" s="374"/>
      <c r="BH224" s="378"/>
      <c r="BI224" s="376"/>
      <c r="BJ224" s="379"/>
      <c r="BK224" s="380"/>
      <c r="BL224" s="348"/>
      <c r="BM224" s="381"/>
      <c r="BN224" s="321" t="s">
        <v>15</v>
      </c>
      <c r="BO224" s="372"/>
      <c r="BP224" s="373" t="s">
        <v>983</v>
      </c>
      <c r="BQ224" s="360"/>
      <c r="BR224" s="361"/>
      <c r="BS224" s="361"/>
      <c r="BT224" s="361"/>
      <c r="BU224" s="342" t="s">
        <v>210</v>
      </c>
      <c r="BV224" s="342" t="s">
        <v>210</v>
      </c>
      <c r="BW224" s="341" t="s">
        <v>15</v>
      </c>
      <c r="BX224" s="361"/>
      <c r="BY224" s="362"/>
      <c r="BZ224" s="363"/>
      <c r="CA224" s="363"/>
      <c r="CB224" s="363"/>
      <c r="CC224" s="363"/>
      <c r="CD224" s="293"/>
      <c r="CE224" s="364"/>
      <c r="CF224" s="364"/>
      <c r="CG224" s="364"/>
      <c r="CH224" s="364"/>
      <c r="CI224" s="364"/>
      <c r="CJ224" s="364"/>
      <c r="CK224" s="364"/>
      <c r="CL224" s="364"/>
      <c r="CM224" s="364"/>
      <c r="CN224" s="364"/>
      <c r="CO224" s="364"/>
      <c r="CP224" s="364"/>
      <c r="CQ224" s="364"/>
      <c r="CR224" s="364"/>
      <c r="CS224" s="364"/>
      <c r="CT224" s="364"/>
      <c r="CU224" s="364"/>
      <c r="CV224" s="364"/>
      <c r="CW224" s="364"/>
      <c r="CX224" s="364"/>
      <c r="CY224" s="364"/>
      <c r="CZ224" s="364"/>
      <c r="DA224" s="364"/>
      <c r="DB224" s="364"/>
      <c r="DC224" s="364"/>
      <c r="DD224" s="364"/>
      <c r="DE224" s="364"/>
      <c r="DF224" s="364"/>
      <c r="DG224" s="364"/>
      <c r="DH224" s="364"/>
      <c r="DI224" s="364"/>
      <c r="DJ224" s="364"/>
      <c r="DK224" s="364"/>
      <c r="DL224" s="364"/>
      <c r="DM224" s="364"/>
      <c r="DN224" s="364"/>
      <c r="DO224" s="364"/>
      <c r="DP224" s="364"/>
      <c r="DQ224" s="364"/>
      <c r="DR224" s="364"/>
      <c r="DS224" s="364"/>
      <c r="DT224" s="364"/>
      <c r="DU224" s="364"/>
      <c r="DV224" s="364"/>
      <c r="DW224" s="364"/>
      <c r="DX224" s="364"/>
      <c r="DY224" s="364"/>
      <c r="DZ224" s="364"/>
      <c r="EA224" s="364"/>
      <c r="EB224" s="364"/>
      <c r="EC224" s="364"/>
      <c r="ED224" s="364"/>
      <c r="EE224" s="364"/>
      <c r="EF224" s="364"/>
      <c r="EG224" s="364"/>
      <c r="EH224" s="364"/>
      <c r="EI224" s="364"/>
      <c r="EJ224" s="364"/>
      <c r="EK224" s="364"/>
      <c r="EL224" s="364"/>
      <c r="EM224" s="364"/>
      <c r="EN224" s="364"/>
      <c r="EO224" s="364"/>
      <c r="EP224" s="364"/>
      <c r="EQ224" s="364"/>
      <c r="ER224" s="364"/>
      <c r="ES224" s="364"/>
      <c r="ET224" s="364"/>
      <c r="EU224" s="364"/>
      <c r="EV224" s="364"/>
      <c r="EW224" s="364"/>
      <c r="EX224" s="364"/>
      <c r="EY224" s="364"/>
      <c r="EZ224" s="364"/>
      <c r="FA224" s="364"/>
      <c r="FB224" s="364"/>
      <c r="FC224" s="364"/>
      <c r="FD224" s="364"/>
      <c r="FE224" s="364"/>
      <c r="FF224" s="364"/>
      <c r="FG224" s="364"/>
      <c r="FH224" s="364"/>
      <c r="FI224" s="364"/>
      <c r="FJ224" s="364"/>
      <c r="FK224" s="364"/>
      <c r="FL224" s="364"/>
      <c r="FM224" s="364"/>
      <c r="FN224" s="364"/>
      <c r="FO224" s="364"/>
      <c r="FP224" s="364"/>
      <c r="FQ224" s="364"/>
      <c r="FR224" s="364"/>
      <c r="FS224" s="364"/>
      <c r="FT224" s="364"/>
      <c r="FU224" s="364"/>
      <c r="FV224" s="364"/>
      <c r="FW224" s="364"/>
      <c r="FX224" s="364"/>
      <c r="FY224" s="364"/>
      <c r="FZ224" s="364"/>
      <c r="GA224" s="364"/>
      <c r="GB224" s="364"/>
      <c r="GC224" s="364"/>
      <c r="GD224" s="364"/>
      <c r="GE224" s="364"/>
      <c r="GF224" s="364"/>
      <c r="GG224" s="364"/>
      <c r="GH224" s="364"/>
      <c r="GI224" s="364"/>
      <c r="GJ224" s="364"/>
      <c r="GK224" s="364"/>
      <c r="GL224" s="364"/>
      <c r="GM224" s="364"/>
      <c r="GN224" s="364"/>
      <c r="GO224" s="364"/>
      <c r="GP224" s="364"/>
      <c r="GQ224" s="364"/>
      <c r="GR224" s="364"/>
      <c r="GS224" s="364"/>
      <c r="GT224" s="364"/>
      <c r="GU224" s="364"/>
      <c r="GV224" s="364"/>
      <c r="GW224" s="364"/>
      <c r="GX224" s="364"/>
      <c r="GY224" s="364"/>
      <c r="GZ224" s="364"/>
      <c r="HA224" s="364"/>
      <c r="HB224" s="364"/>
      <c r="HC224" s="364"/>
      <c r="HD224" s="364"/>
      <c r="HE224" s="364"/>
      <c r="HF224" s="364"/>
      <c r="HG224" s="364"/>
      <c r="HH224" s="364"/>
      <c r="HI224" s="364"/>
      <c r="HJ224" s="364"/>
      <c r="HK224" s="364"/>
      <c r="HL224" s="364"/>
    </row>
    <row r="225" spans="2:220" s="287" customFormat="1" ht="22.5" customHeight="1">
      <c r="B225" s="365">
        <v>240109</v>
      </c>
      <c r="C225" s="366" t="s">
        <v>13059</v>
      </c>
      <c r="D225" s="367"/>
      <c r="E225" s="368"/>
      <c r="F225" s="321" t="s">
        <v>41</v>
      </c>
      <c r="G225" s="326" t="s">
        <v>2424</v>
      </c>
      <c r="H225" s="326" t="s">
        <v>2425</v>
      </c>
      <c r="I225" s="326" t="s">
        <v>11</v>
      </c>
      <c r="J225" s="326" t="s">
        <v>12</v>
      </c>
      <c r="K225" s="326" t="s">
        <v>10</v>
      </c>
      <c r="L225" s="323"/>
      <c r="M225" s="324" t="s">
        <v>10767</v>
      </c>
      <c r="N225" s="325" t="s">
        <v>700</v>
      </c>
      <c r="O225" s="326">
        <v>30</v>
      </c>
      <c r="P225" s="326" t="s">
        <v>210</v>
      </c>
      <c r="Q225" s="340" t="s">
        <v>15</v>
      </c>
      <c r="R225" s="329" t="s">
        <v>447</v>
      </c>
      <c r="S225" s="331" t="s">
        <v>13050</v>
      </c>
      <c r="T225" s="331" t="s">
        <v>11078</v>
      </c>
      <c r="U225" s="331" t="s">
        <v>16355</v>
      </c>
      <c r="V225" s="331" t="s">
        <v>13051</v>
      </c>
      <c r="W225" s="332" t="s">
        <v>432</v>
      </c>
      <c r="X225" s="331" t="s">
        <v>11079</v>
      </c>
      <c r="Y225" s="331" t="s">
        <v>11080</v>
      </c>
      <c r="Z225" s="331" t="s">
        <v>11080</v>
      </c>
      <c r="AA225" s="331" t="s">
        <v>295</v>
      </c>
      <c r="AB225" s="333"/>
      <c r="AC225" s="333"/>
      <c r="AD225" s="334" t="s">
        <v>272</v>
      </c>
      <c r="AE225" s="335" t="s">
        <v>312</v>
      </c>
      <c r="AF225" s="336"/>
      <c r="AG225" s="337"/>
      <c r="AH225" s="417">
        <v>7.5</v>
      </c>
      <c r="AI225" s="392">
        <v>13.4</v>
      </c>
      <c r="AJ225" s="392">
        <v>18.2</v>
      </c>
      <c r="AK225" s="340">
        <f>SUM(AH225:AJ225)</f>
        <v>39.099999999999994</v>
      </c>
      <c r="AL225" s="321" t="s">
        <v>210</v>
      </c>
      <c r="AM225" s="392" t="s">
        <v>15</v>
      </c>
      <c r="AN225" s="392" t="s">
        <v>15</v>
      </c>
      <c r="AO225" s="341" t="s">
        <v>15</v>
      </c>
      <c r="AP225" s="342"/>
      <c r="AQ225" s="343"/>
      <c r="AR225" s="370">
        <v>2331</v>
      </c>
      <c r="AS225" s="326">
        <v>100</v>
      </c>
      <c r="AT225" s="392">
        <v>0.6</v>
      </c>
      <c r="AU225" s="392"/>
      <c r="AV225" s="392">
        <v>0.6</v>
      </c>
      <c r="AW225" s="340"/>
      <c r="AX225" s="347"/>
      <c r="AY225" s="348"/>
      <c r="AZ225" s="377"/>
      <c r="BA225" s="374"/>
      <c r="BB225" s="374"/>
      <c r="BC225" s="374"/>
      <c r="BD225" s="374"/>
      <c r="BE225" s="374"/>
      <c r="BF225" s="374"/>
      <c r="BG225" s="374"/>
      <c r="BH225" s="378"/>
      <c r="BI225" s="376"/>
      <c r="BJ225" s="379"/>
      <c r="BK225" s="380"/>
      <c r="BL225" s="348"/>
      <c r="BM225" s="381"/>
      <c r="BN225" s="321" t="s">
        <v>15</v>
      </c>
      <c r="BO225" s="372"/>
      <c r="BP225" s="373" t="s">
        <v>15</v>
      </c>
      <c r="BQ225" s="360"/>
      <c r="BR225" s="361"/>
      <c r="BS225" s="361"/>
      <c r="BT225" s="361"/>
      <c r="BU225" s="342" t="s">
        <v>210</v>
      </c>
      <c r="BV225" s="342" t="s">
        <v>210</v>
      </c>
      <c r="BW225" s="341" t="s">
        <v>15</v>
      </c>
      <c r="BX225" s="361"/>
      <c r="BY225" s="362" t="s">
        <v>705</v>
      </c>
      <c r="BZ225" s="363"/>
      <c r="CA225" s="363"/>
      <c r="CB225" s="363"/>
      <c r="CC225" s="363"/>
      <c r="CD225" s="293"/>
      <c r="CE225" s="364"/>
      <c r="CF225" s="364"/>
      <c r="CG225" s="364"/>
      <c r="CH225" s="364"/>
      <c r="CI225" s="364"/>
      <c r="CJ225" s="364"/>
      <c r="CK225" s="364"/>
      <c r="CL225" s="364"/>
      <c r="CM225" s="364"/>
      <c r="CN225" s="364"/>
      <c r="CO225" s="364"/>
      <c r="CP225" s="364"/>
      <c r="CQ225" s="364"/>
      <c r="CR225" s="364"/>
      <c r="CS225" s="364"/>
      <c r="CT225" s="364"/>
      <c r="CU225" s="364"/>
      <c r="CV225" s="364"/>
      <c r="CW225" s="364"/>
      <c r="CX225" s="364"/>
      <c r="CY225" s="364"/>
      <c r="CZ225" s="364"/>
      <c r="DA225" s="364"/>
      <c r="DB225" s="364"/>
      <c r="DC225" s="364"/>
      <c r="DD225" s="364"/>
      <c r="DE225" s="364"/>
      <c r="DF225" s="364"/>
      <c r="DG225" s="364"/>
      <c r="DH225" s="364"/>
      <c r="DI225" s="364"/>
      <c r="DJ225" s="364"/>
      <c r="DK225" s="364"/>
      <c r="DL225" s="364"/>
      <c r="DM225" s="364"/>
      <c r="DN225" s="364"/>
      <c r="DO225" s="364"/>
      <c r="DP225" s="364"/>
      <c r="DQ225" s="364"/>
      <c r="DR225" s="364"/>
      <c r="DS225" s="364"/>
      <c r="DT225" s="364"/>
      <c r="DU225" s="364"/>
      <c r="DV225" s="364"/>
      <c r="DW225" s="364"/>
      <c r="DX225" s="364"/>
      <c r="DY225" s="364"/>
      <c r="DZ225" s="364"/>
      <c r="EA225" s="364"/>
      <c r="EB225" s="364"/>
      <c r="EC225" s="364"/>
      <c r="ED225" s="364"/>
      <c r="EE225" s="364"/>
      <c r="EF225" s="364"/>
      <c r="EG225" s="364"/>
      <c r="EH225" s="364"/>
      <c r="EI225" s="364"/>
      <c r="EJ225" s="364"/>
      <c r="EK225" s="364"/>
      <c r="EL225" s="364"/>
      <c r="EM225" s="364"/>
      <c r="EN225" s="364"/>
      <c r="EO225" s="364"/>
      <c r="EP225" s="364"/>
      <c r="EQ225" s="364"/>
      <c r="ER225" s="364"/>
      <c r="ES225" s="364"/>
      <c r="ET225" s="364"/>
      <c r="EU225" s="364"/>
      <c r="EV225" s="364"/>
      <c r="EW225" s="364"/>
      <c r="EX225" s="364"/>
      <c r="EY225" s="364"/>
      <c r="EZ225" s="364"/>
      <c r="FA225" s="364"/>
      <c r="FB225" s="364"/>
      <c r="FC225" s="364"/>
      <c r="FD225" s="364"/>
      <c r="FE225" s="364"/>
      <c r="FF225" s="364"/>
      <c r="FG225" s="364"/>
      <c r="FH225" s="364"/>
      <c r="FI225" s="364"/>
      <c r="FJ225" s="364"/>
      <c r="FK225" s="364"/>
      <c r="FL225" s="364"/>
      <c r="FM225" s="364"/>
      <c r="FN225" s="364"/>
      <c r="FO225" s="364"/>
      <c r="FP225" s="364"/>
      <c r="FQ225" s="364"/>
      <c r="FR225" s="364"/>
      <c r="FS225" s="364"/>
      <c r="FT225" s="364"/>
      <c r="FU225" s="364"/>
      <c r="FV225" s="364"/>
      <c r="FW225" s="364"/>
      <c r="FX225" s="364"/>
      <c r="FY225" s="364"/>
      <c r="FZ225" s="364"/>
      <c r="GA225" s="364"/>
      <c r="GB225" s="364"/>
      <c r="GC225" s="364"/>
      <c r="GD225" s="364"/>
      <c r="GE225" s="364"/>
      <c r="GF225" s="364"/>
      <c r="GG225" s="364"/>
      <c r="GH225" s="364"/>
      <c r="GI225" s="364"/>
      <c r="GJ225" s="364"/>
      <c r="GK225" s="364"/>
      <c r="GL225" s="364"/>
      <c r="GM225" s="364"/>
      <c r="GN225" s="364"/>
      <c r="GO225" s="364"/>
      <c r="GP225" s="364"/>
      <c r="GQ225" s="364"/>
      <c r="GR225" s="364"/>
      <c r="GS225" s="364"/>
      <c r="GT225" s="364"/>
      <c r="GU225" s="364"/>
      <c r="GV225" s="364"/>
      <c r="GW225" s="364"/>
      <c r="GX225" s="364"/>
      <c r="GY225" s="364"/>
      <c r="GZ225" s="364"/>
      <c r="HA225" s="364"/>
      <c r="HB225" s="364"/>
      <c r="HC225" s="364"/>
      <c r="HD225" s="364"/>
      <c r="HE225" s="364"/>
      <c r="HF225" s="364"/>
      <c r="HG225" s="364"/>
      <c r="HH225" s="364"/>
      <c r="HI225" s="364"/>
      <c r="HJ225" s="364"/>
      <c r="HK225" s="364"/>
      <c r="HL225" s="364"/>
    </row>
    <row r="226" spans="2:220" s="287" customFormat="1" ht="22.5" customHeight="1">
      <c r="B226" s="365">
        <v>240110</v>
      </c>
      <c r="C226" s="366" t="s">
        <v>14451</v>
      </c>
      <c r="D226" s="367"/>
      <c r="E226" s="368"/>
      <c r="F226" s="321" t="s">
        <v>97</v>
      </c>
      <c r="G226" s="326" t="s">
        <v>2422</v>
      </c>
      <c r="H226" s="326" t="s">
        <v>2423</v>
      </c>
      <c r="I226" s="326" t="s">
        <v>11</v>
      </c>
      <c r="J226" s="326" t="s">
        <v>12</v>
      </c>
      <c r="K226" s="326" t="s">
        <v>10</v>
      </c>
      <c r="L226" s="323"/>
      <c r="M226" s="374"/>
      <c r="N226" s="325" t="s">
        <v>700</v>
      </c>
      <c r="O226" s="326" t="s">
        <v>698</v>
      </c>
      <c r="P226" s="326" t="s">
        <v>210</v>
      </c>
      <c r="Q226" s="340" t="s">
        <v>15</v>
      </c>
      <c r="R226" s="329" t="s">
        <v>702</v>
      </c>
      <c r="S226" s="331" t="s">
        <v>14452</v>
      </c>
      <c r="T226" s="394" t="s">
        <v>11825</v>
      </c>
      <c r="U226" s="394" t="s">
        <v>16218</v>
      </c>
      <c r="V226" s="394" t="s">
        <v>11826</v>
      </c>
      <c r="W226" s="332" t="s">
        <v>14453</v>
      </c>
      <c r="X226" s="331" t="s">
        <v>14454</v>
      </c>
      <c r="Y226" s="331" t="s">
        <v>14455</v>
      </c>
      <c r="Z226" s="400"/>
      <c r="AA226" s="331" t="s">
        <v>14456</v>
      </c>
      <c r="AB226" s="333"/>
      <c r="AC226" s="333"/>
      <c r="AD226" s="334" t="s">
        <v>107</v>
      </c>
      <c r="AE226" s="335" t="s">
        <v>16</v>
      </c>
      <c r="AF226" s="336"/>
      <c r="AG226" s="337"/>
      <c r="AH226" s="417" t="s">
        <v>435</v>
      </c>
      <c r="AI226" s="392" t="s">
        <v>435</v>
      </c>
      <c r="AJ226" s="392" t="s">
        <v>435</v>
      </c>
      <c r="AK226" s="340" t="s">
        <v>435</v>
      </c>
      <c r="AL226" s="321" t="s">
        <v>210</v>
      </c>
      <c r="AM226" s="392" t="s">
        <v>15</v>
      </c>
      <c r="AN226" s="392" t="s">
        <v>15</v>
      </c>
      <c r="AO226" s="341" t="s">
        <v>15</v>
      </c>
      <c r="AP226" s="342"/>
      <c r="AQ226" s="343"/>
      <c r="AR226" s="370">
        <v>3901</v>
      </c>
      <c r="AS226" s="326">
        <v>100</v>
      </c>
      <c r="AT226" s="392">
        <v>1</v>
      </c>
      <c r="AU226" s="392"/>
      <c r="AV226" s="392">
        <v>1</v>
      </c>
      <c r="AW226" s="340"/>
      <c r="AX226" s="347"/>
      <c r="AY226" s="348"/>
      <c r="AZ226" s="377"/>
      <c r="BA226" s="374"/>
      <c r="BB226" s="374"/>
      <c r="BC226" s="374"/>
      <c r="BD226" s="374"/>
      <c r="BE226" s="374"/>
      <c r="BF226" s="374"/>
      <c r="BG226" s="374"/>
      <c r="BH226" s="378"/>
      <c r="BI226" s="376"/>
      <c r="BJ226" s="379"/>
      <c r="BK226" s="380"/>
      <c r="BL226" s="348"/>
      <c r="BM226" s="381"/>
      <c r="BN226" s="321" t="s">
        <v>983</v>
      </c>
      <c r="BO226" s="372"/>
      <c r="BP226" s="373" t="s">
        <v>983</v>
      </c>
      <c r="BQ226" s="360"/>
      <c r="BR226" s="361"/>
      <c r="BS226" s="361"/>
      <c r="BT226" s="361"/>
      <c r="BU226" s="342" t="s">
        <v>210</v>
      </c>
      <c r="BV226" s="342" t="s">
        <v>210</v>
      </c>
      <c r="BW226" s="341" t="s">
        <v>15</v>
      </c>
      <c r="BX226" s="361"/>
      <c r="BY226" s="362"/>
      <c r="BZ226" s="363"/>
      <c r="CA226" s="363"/>
      <c r="CB226" s="363"/>
      <c r="CC226" s="363"/>
      <c r="CD226" s="293"/>
      <c r="CE226" s="364"/>
      <c r="CF226" s="364"/>
      <c r="CG226" s="364"/>
      <c r="CH226" s="364"/>
      <c r="CI226" s="364"/>
      <c r="CJ226" s="364"/>
      <c r="CK226" s="364"/>
      <c r="CL226" s="364"/>
      <c r="CM226" s="364"/>
      <c r="CN226" s="364"/>
      <c r="CO226" s="364"/>
      <c r="CP226" s="364"/>
      <c r="CQ226" s="364"/>
      <c r="CR226" s="364"/>
      <c r="CS226" s="364"/>
      <c r="CT226" s="364"/>
      <c r="CU226" s="364"/>
      <c r="CV226" s="364"/>
      <c r="CW226" s="364"/>
      <c r="CX226" s="364"/>
      <c r="CY226" s="364"/>
      <c r="CZ226" s="364"/>
      <c r="DA226" s="364"/>
      <c r="DB226" s="364"/>
      <c r="DC226" s="364"/>
      <c r="DD226" s="364"/>
      <c r="DE226" s="364"/>
      <c r="DF226" s="364"/>
      <c r="DG226" s="364"/>
      <c r="DH226" s="364"/>
      <c r="DI226" s="364"/>
      <c r="DJ226" s="364"/>
      <c r="DK226" s="364"/>
      <c r="DL226" s="364"/>
      <c r="DM226" s="364"/>
      <c r="DN226" s="364"/>
      <c r="DO226" s="364"/>
      <c r="DP226" s="364"/>
      <c r="DQ226" s="364"/>
      <c r="DR226" s="364"/>
      <c r="DS226" s="364"/>
      <c r="DT226" s="364"/>
      <c r="DU226" s="364"/>
      <c r="DV226" s="364"/>
      <c r="DW226" s="364"/>
      <c r="DX226" s="364"/>
      <c r="DY226" s="364"/>
      <c r="DZ226" s="364"/>
      <c r="EA226" s="364"/>
      <c r="EB226" s="364"/>
      <c r="EC226" s="364"/>
      <c r="ED226" s="364"/>
      <c r="EE226" s="364"/>
      <c r="EF226" s="364"/>
      <c r="EG226" s="364"/>
      <c r="EH226" s="364"/>
      <c r="EI226" s="364"/>
      <c r="EJ226" s="364"/>
      <c r="EK226" s="364"/>
      <c r="EL226" s="364"/>
      <c r="EM226" s="364"/>
      <c r="EN226" s="364"/>
      <c r="EO226" s="364"/>
      <c r="EP226" s="364"/>
      <c r="EQ226" s="364"/>
      <c r="ER226" s="364"/>
      <c r="ES226" s="364"/>
      <c r="ET226" s="364"/>
      <c r="EU226" s="364"/>
      <c r="EV226" s="364"/>
      <c r="EW226" s="364"/>
      <c r="EX226" s="364"/>
      <c r="EY226" s="364"/>
      <c r="EZ226" s="364"/>
      <c r="FA226" s="364"/>
      <c r="FB226" s="364"/>
      <c r="FC226" s="364"/>
      <c r="FD226" s="364"/>
      <c r="FE226" s="364"/>
      <c r="FF226" s="364"/>
      <c r="FG226" s="364"/>
      <c r="FH226" s="364"/>
      <c r="FI226" s="364"/>
      <c r="FJ226" s="364"/>
      <c r="FK226" s="364"/>
      <c r="FL226" s="364"/>
      <c r="FM226" s="364"/>
      <c r="FN226" s="364"/>
      <c r="FO226" s="364"/>
      <c r="FP226" s="364"/>
      <c r="FQ226" s="364"/>
      <c r="FR226" s="364"/>
      <c r="FS226" s="364"/>
      <c r="FT226" s="364"/>
      <c r="FU226" s="364"/>
      <c r="FV226" s="364"/>
      <c r="FW226" s="364"/>
      <c r="FX226" s="364"/>
      <c r="FY226" s="364"/>
      <c r="FZ226" s="364"/>
      <c r="GA226" s="364"/>
      <c r="GB226" s="364"/>
      <c r="GC226" s="364"/>
      <c r="GD226" s="364"/>
      <c r="GE226" s="364"/>
      <c r="GF226" s="364"/>
      <c r="GG226" s="364"/>
      <c r="GH226" s="364"/>
      <c r="GI226" s="364"/>
      <c r="GJ226" s="364"/>
      <c r="GK226" s="364"/>
      <c r="GL226" s="364"/>
      <c r="GM226" s="364"/>
      <c r="GN226" s="364"/>
      <c r="GO226" s="364"/>
      <c r="GP226" s="364"/>
      <c r="GQ226" s="364"/>
      <c r="GR226" s="364"/>
      <c r="GS226" s="364"/>
      <c r="GT226" s="364"/>
      <c r="GU226" s="364"/>
      <c r="GV226" s="364"/>
      <c r="GW226" s="364"/>
      <c r="GX226" s="364"/>
      <c r="GY226" s="364"/>
      <c r="GZ226" s="364"/>
      <c r="HA226" s="364"/>
      <c r="HB226" s="364"/>
      <c r="HC226" s="364"/>
      <c r="HD226" s="364"/>
      <c r="HE226" s="364"/>
      <c r="HF226" s="364"/>
      <c r="HG226" s="364"/>
      <c r="HH226" s="364"/>
      <c r="HI226" s="364"/>
      <c r="HJ226" s="364"/>
      <c r="HK226" s="364"/>
      <c r="HL226" s="364"/>
    </row>
    <row r="227" spans="2:220" s="287" customFormat="1" ht="22.5" customHeight="1">
      <c r="B227" s="365">
        <v>240112</v>
      </c>
      <c r="C227" s="366" t="s">
        <v>14450</v>
      </c>
      <c r="D227" s="367"/>
      <c r="E227" s="368"/>
      <c r="F227" s="321" t="s">
        <v>53</v>
      </c>
      <c r="G227" s="326" t="s">
        <v>1908</v>
      </c>
      <c r="H227" s="326" t="s">
        <v>1909</v>
      </c>
      <c r="I227" s="326" t="s">
        <v>11</v>
      </c>
      <c r="J227" s="326" t="s">
        <v>12</v>
      </c>
      <c r="K227" s="326" t="s">
        <v>31</v>
      </c>
      <c r="L227" s="323"/>
      <c r="M227" s="374"/>
      <c r="N227" s="325" t="s">
        <v>438</v>
      </c>
      <c r="O227" s="326" t="s">
        <v>210</v>
      </c>
      <c r="P227" s="326" t="s">
        <v>210</v>
      </c>
      <c r="Q227" s="340" t="s">
        <v>15</v>
      </c>
      <c r="R227" s="399"/>
      <c r="S227" s="400"/>
      <c r="T227" s="400"/>
      <c r="U227" s="400"/>
      <c r="V227" s="400"/>
      <c r="W227" s="332" t="s">
        <v>644</v>
      </c>
      <c r="X227" s="400"/>
      <c r="Y227" s="394" t="s">
        <v>11201</v>
      </c>
      <c r="Z227" s="394" t="s">
        <v>11200</v>
      </c>
      <c r="AA227" s="400"/>
      <c r="AB227" s="333"/>
      <c r="AC227" s="416"/>
      <c r="AD227" s="375"/>
      <c r="AE227" s="391"/>
      <c r="AF227" s="336"/>
      <c r="AG227" s="337"/>
      <c r="AH227" s="417" t="s">
        <v>435</v>
      </c>
      <c r="AI227" s="392" t="s">
        <v>435</v>
      </c>
      <c r="AJ227" s="392" t="s">
        <v>435</v>
      </c>
      <c r="AK227" s="340" t="s">
        <v>435</v>
      </c>
      <c r="AL227" s="321" t="s">
        <v>210</v>
      </c>
      <c r="AM227" s="392" t="s">
        <v>15</v>
      </c>
      <c r="AN227" s="392" t="s">
        <v>15</v>
      </c>
      <c r="AO227" s="341" t="s">
        <v>15</v>
      </c>
      <c r="AP227" s="342"/>
      <c r="AQ227" s="343"/>
      <c r="AR227" s="370">
        <v>475</v>
      </c>
      <c r="AS227" s="326">
        <v>80</v>
      </c>
      <c r="AT227" s="392">
        <v>1</v>
      </c>
      <c r="AU227" s="392"/>
      <c r="AV227" s="392">
        <v>1.5</v>
      </c>
      <c r="AW227" s="340"/>
      <c r="AX227" s="347"/>
      <c r="AY227" s="348"/>
      <c r="AZ227" s="377"/>
      <c r="BA227" s="374"/>
      <c r="BB227" s="374"/>
      <c r="BC227" s="374"/>
      <c r="BD227" s="374"/>
      <c r="BE227" s="374"/>
      <c r="BF227" s="374"/>
      <c r="BG227" s="374"/>
      <c r="BH227" s="378"/>
      <c r="BI227" s="376"/>
      <c r="BJ227" s="379"/>
      <c r="BK227" s="380"/>
      <c r="BL227" s="348"/>
      <c r="BM227" s="381"/>
      <c r="BN227" s="321" t="s">
        <v>15</v>
      </c>
      <c r="BO227" s="372"/>
      <c r="BP227" s="373" t="s">
        <v>983</v>
      </c>
      <c r="BQ227" s="360"/>
      <c r="BR227" s="361"/>
      <c r="BS227" s="361"/>
      <c r="BT227" s="361"/>
      <c r="BU227" s="342" t="s">
        <v>210</v>
      </c>
      <c r="BV227" s="342" t="s">
        <v>210</v>
      </c>
      <c r="BW227" s="341" t="s">
        <v>15</v>
      </c>
      <c r="BX227" s="361"/>
      <c r="BY227" s="362"/>
      <c r="BZ227" s="363"/>
      <c r="CA227" s="363"/>
      <c r="CB227" s="363"/>
      <c r="CC227" s="363"/>
      <c r="CD227" s="293"/>
      <c r="CE227" s="364"/>
      <c r="CF227" s="364"/>
      <c r="CG227" s="364"/>
      <c r="CH227" s="364"/>
      <c r="CI227" s="364"/>
      <c r="CJ227" s="364"/>
      <c r="CK227" s="364"/>
      <c r="CL227" s="364"/>
      <c r="CM227" s="364"/>
      <c r="CN227" s="364"/>
      <c r="CO227" s="364"/>
      <c r="CP227" s="364"/>
      <c r="CQ227" s="364"/>
      <c r="CR227" s="364"/>
      <c r="CS227" s="364"/>
      <c r="CT227" s="364"/>
      <c r="CU227" s="364"/>
      <c r="CV227" s="364"/>
      <c r="CW227" s="364"/>
      <c r="CX227" s="364"/>
      <c r="CY227" s="364"/>
      <c r="CZ227" s="364"/>
      <c r="DA227" s="364"/>
      <c r="DB227" s="364"/>
      <c r="DC227" s="364"/>
      <c r="DD227" s="364"/>
      <c r="DE227" s="364"/>
      <c r="DF227" s="364"/>
      <c r="DG227" s="364"/>
      <c r="DH227" s="364"/>
      <c r="DI227" s="364"/>
      <c r="DJ227" s="364"/>
      <c r="DK227" s="364"/>
      <c r="DL227" s="364"/>
      <c r="DM227" s="364"/>
      <c r="DN227" s="364"/>
      <c r="DO227" s="364"/>
      <c r="DP227" s="364"/>
      <c r="DQ227" s="364"/>
      <c r="DR227" s="364"/>
      <c r="DS227" s="364"/>
      <c r="DT227" s="364"/>
      <c r="DU227" s="364"/>
      <c r="DV227" s="364"/>
      <c r="DW227" s="364"/>
      <c r="DX227" s="364"/>
      <c r="DY227" s="364"/>
      <c r="DZ227" s="364"/>
      <c r="EA227" s="364"/>
      <c r="EB227" s="364"/>
      <c r="EC227" s="364"/>
      <c r="ED227" s="364"/>
      <c r="EE227" s="364"/>
      <c r="EF227" s="364"/>
      <c r="EG227" s="364"/>
      <c r="EH227" s="364"/>
      <c r="EI227" s="364"/>
      <c r="EJ227" s="364"/>
      <c r="EK227" s="364"/>
      <c r="EL227" s="364"/>
      <c r="EM227" s="364"/>
      <c r="EN227" s="364"/>
      <c r="EO227" s="364"/>
      <c r="EP227" s="364"/>
      <c r="EQ227" s="364"/>
      <c r="ER227" s="364"/>
      <c r="ES227" s="364"/>
      <c r="ET227" s="364"/>
      <c r="EU227" s="364"/>
      <c r="EV227" s="364"/>
      <c r="EW227" s="364"/>
      <c r="EX227" s="364"/>
      <c r="EY227" s="364"/>
      <c r="EZ227" s="364"/>
      <c r="FA227" s="364"/>
      <c r="FB227" s="364"/>
      <c r="FC227" s="364"/>
      <c r="FD227" s="364"/>
      <c r="FE227" s="364"/>
      <c r="FF227" s="364"/>
      <c r="FG227" s="364"/>
      <c r="FH227" s="364"/>
      <c r="FI227" s="364"/>
      <c r="FJ227" s="364"/>
      <c r="FK227" s="364"/>
      <c r="FL227" s="364"/>
      <c r="FM227" s="364"/>
      <c r="FN227" s="364"/>
      <c r="FO227" s="364"/>
      <c r="FP227" s="364"/>
      <c r="FQ227" s="364"/>
      <c r="FR227" s="364"/>
      <c r="FS227" s="364"/>
      <c r="FT227" s="364"/>
      <c r="FU227" s="364"/>
      <c r="FV227" s="364"/>
      <c r="FW227" s="364"/>
      <c r="FX227" s="364"/>
      <c r="FY227" s="364"/>
      <c r="FZ227" s="364"/>
      <c r="GA227" s="364"/>
      <c r="GB227" s="364"/>
      <c r="GC227" s="364"/>
      <c r="GD227" s="364"/>
      <c r="GE227" s="364"/>
      <c r="GF227" s="364"/>
      <c r="GG227" s="364"/>
      <c r="GH227" s="364"/>
      <c r="GI227" s="364"/>
      <c r="GJ227" s="364"/>
      <c r="GK227" s="364"/>
      <c r="GL227" s="364"/>
      <c r="GM227" s="364"/>
      <c r="GN227" s="364"/>
      <c r="GO227" s="364"/>
      <c r="GP227" s="364"/>
      <c r="GQ227" s="364"/>
      <c r="GR227" s="364"/>
      <c r="GS227" s="364"/>
      <c r="GT227" s="364"/>
      <c r="GU227" s="364"/>
      <c r="GV227" s="364"/>
      <c r="GW227" s="364"/>
      <c r="GX227" s="364"/>
      <c r="GY227" s="364"/>
      <c r="GZ227" s="364"/>
      <c r="HA227" s="364"/>
      <c r="HB227" s="364"/>
      <c r="HC227" s="364"/>
      <c r="HD227" s="364"/>
      <c r="HE227" s="364"/>
      <c r="HF227" s="364"/>
      <c r="HG227" s="364"/>
      <c r="HH227" s="364"/>
      <c r="HI227" s="364"/>
      <c r="HJ227" s="364"/>
      <c r="HK227" s="364"/>
      <c r="HL227" s="364"/>
    </row>
    <row r="228" spans="2:220" s="287" customFormat="1" ht="22.5" customHeight="1">
      <c r="B228" s="365">
        <v>240113</v>
      </c>
      <c r="C228" s="366" t="s">
        <v>14447</v>
      </c>
      <c r="D228" s="367"/>
      <c r="E228" s="368"/>
      <c r="F228" s="321" t="s">
        <v>48</v>
      </c>
      <c r="G228" s="326" t="s">
        <v>2420</v>
      </c>
      <c r="H228" s="326" t="s">
        <v>2421</v>
      </c>
      <c r="I228" s="326" t="s">
        <v>11</v>
      </c>
      <c r="J228" s="326" t="s">
        <v>12</v>
      </c>
      <c r="K228" s="326" t="s">
        <v>38</v>
      </c>
      <c r="L228" s="323"/>
      <c r="M228" s="374"/>
      <c r="N228" s="325" t="s">
        <v>704</v>
      </c>
      <c r="O228" s="326" t="s">
        <v>210</v>
      </c>
      <c r="P228" s="326" t="s">
        <v>210</v>
      </c>
      <c r="Q228" s="340" t="s">
        <v>15</v>
      </c>
      <c r="R228" s="329" t="s">
        <v>1102</v>
      </c>
      <c r="S228" s="331" t="s">
        <v>14448</v>
      </c>
      <c r="T228" s="330"/>
      <c r="U228" s="330"/>
      <c r="V228" s="331" t="s">
        <v>14449</v>
      </c>
      <c r="W228" s="332" t="s">
        <v>703</v>
      </c>
      <c r="X228" s="330"/>
      <c r="Y228" s="394" t="s">
        <v>11201</v>
      </c>
      <c r="Z228" s="394" t="s">
        <v>11200</v>
      </c>
      <c r="AA228" s="330"/>
      <c r="AB228" s="333"/>
      <c r="AC228" s="333"/>
      <c r="AD228" s="396" t="s">
        <v>8768</v>
      </c>
      <c r="AE228" s="335" t="s">
        <v>5522</v>
      </c>
      <c r="AF228" s="336"/>
      <c r="AG228" s="337"/>
      <c r="AH228" s="417" t="s">
        <v>435</v>
      </c>
      <c r="AI228" s="392" t="s">
        <v>435</v>
      </c>
      <c r="AJ228" s="392" t="s">
        <v>435</v>
      </c>
      <c r="AK228" s="340" t="s">
        <v>435</v>
      </c>
      <c r="AL228" s="321" t="s">
        <v>210</v>
      </c>
      <c r="AM228" s="392" t="s">
        <v>15</v>
      </c>
      <c r="AN228" s="392" t="s">
        <v>15</v>
      </c>
      <c r="AO228" s="341" t="s">
        <v>15</v>
      </c>
      <c r="AP228" s="342"/>
      <c r="AQ228" s="343"/>
      <c r="AR228" s="370">
        <v>379</v>
      </c>
      <c r="AS228" s="326">
        <v>100</v>
      </c>
      <c r="AT228" s="392">
        <v>1</v>
      </c>
      <c r="AU228" s="392"/>
      <c r="AV228" s="392">
        <v>1</v>
      </c>
      <c r="AW228" s="340"/>
      <c r="AX228" s="347"/>
      <c r="AY228" s="348"/>
      <c r="AZ228" s="377"/>
      <c r="BA228" s="374"/>
      <c r="BB228" s="374"/>
      <c r="BC228" s="374"/>
      <c r="BD228" s="374"/>
      <c r="BE228" s="374"/>
      <c r="BF228" s="374"/>
      <c r="BG228" s="374"/>
      <c r="BH228" s="378"/>
      <c r="BI228" s="376"/>
      <c r="BJ228" s="379"/>
      <c r="BK228" s="380"/>
      <c r="BL228" s="348"/>
      <c r="BM228" s="381"/>
      <c r="BN228" s="321" t="s">
        <v>983</v>
      </c>
      <c r="BO228" s="372"/>
      <c r="BP228" s="373" t="s">
        <v>15</v>
      </c>
      <c r="BQ228" s="360"/>
      <c r="BR228" s="361"/>
      <c r="BS228" s="361"/>
      <c r="BT228" s="361"/>
      <c r="BU228" s="342" t="s">
        <v>210</v>
      </c>
      <c r="BV228" s="342" t="s">
        <v>210</v>
      </c>
      <c r="BW228" s="341" t="s">
        <v>15</v>
      </c>
      <c r="BX228" s="361"/>
      <c r="BY228" s="362"/>
      <c r="BZ228" s="363"/>
      <c r="CA228" s="363"/>
      <c r="CB228" s="363"/>
      <c r="CC228" s="363"/>
      <c r="CD228" s="293"/>
      <c r="CE228" s="364"/>
      <c r="CF228" s="364"/>
      <c r="CG228" s="364"/>
      <c r="CH228" s="364"/>
      <c r="CI228" s="364"/>
      <c r="CJ228" s="364"/>
      <c r="CK228" s="364"/>
      <c r="CL228" s="364"/>
      <c r="CM228" s="364"/>
      <c r="CN228" s="364"/>
      <c r="CO228" s="364"/>
      <c r="CP228" s="364"/>
      <c r="CQ228" s="364"/>
      <c r="CR228" s="364"/>
      <c r="CS228" s="364"/>
      <c r="CT228" s="364"/>
      <c r="CU228" s="364"/>
      <c r="CV228" s="364"/>
      <c r="CW228" s="364"/>
      <c r="CX228" s="364"/>
      <c r="CY228" s="364"/>
      <c r="CZ228" s="364"/>
      <c r="DA228" s="364"/>
      <c r="DB228" s="364"/>
      <c r="DC228" s="364"/>
      <c r="DD228" s="364"/>
      <c r="DE228" s="364"/>
      <c r="DF228" s="364"/>
      <c r="DG228" s="364"/>
      <c r="DH228" s="364"/>
      <c r="DI228" s="364"/>
      <c r="DJ228" s="364"/>
      <c r="DK228" s="364"/>
      <c r="DL228" s="364"/>
      <c r="DM228" s="364"/>
      <c r="DN228" s="364"/>
      <c r="DO228" s="364"/>
      <c r="DP228" s="364"/>
      <c r="DQ228" s="364"/>
      <c r="DR228" s="364"/>
      <c r="DS228" s="364"/>
      <c r="DT228" s="364"/>
      <c r="DU228" s="364"/>
      <c r="DV228" s="364"/>
      <c r="DW228" s="364"/>
      <c r="DX228" s="364"/>
      <c r="DY228" s="364"/>
      <c r="DZ228" s="364"/>
      <c r="EA228" s="364"/>
      <c r="EB228" s="364"/>
      <c r="EC228" s="364"/>
      <c r="ED228" s="364"/>
      <c r="EE228" s="364"/>
      <c r="EF228" s="364"/>
      <c r="EG228" s="364"/>
      <c r="EH228" s="364"/>
      <c r="EI228" s="364"/>
      <c r="EJ228" s="364"/>
      <c r="EK228" s="364"/>
      <c r="EL228" s="364"/>
      <c r="EM228" s="364"/>
      <c r="EN228" s="364"/>
      <c r="EO228" s="364"/>
      <c r="EP228" s="364"/>
      <c r="EQ228" s="364"/>
      <c r="ER228" s="364"/>
      <c r="ES228" s="364"/>
      <c r="ET228" s="364"/>
      <c r="EU228" s="364"/>
      <c r="EV228" s="364"/>
      <c r="EW228" s="364"/>
      <c r="EX228" s="364"/>
      <c r="EY228" s="364"/>
      <c r="EZ228" s="364"/>
      <c r="FA228" s="364"/>
      <c r="FB228" s="364"/>
      <c r="FC228" s="364"/>
      <c r="FD228" s="364"/>
      <c r="FE228" s="364"/>
      <c r="FF228" s="364"/>
      <c r="FG228" s="364"/>
      <c r="FH228" s="364"/>
      <c r="FI228" s="364"/>
      <c r="FJ228" s="364"/>
      <c r="FK228" s="364"/>
      <c r="FL228" s="364"/>
      <c r="FM228" s="364"/>
      <c r="FN228" s="364"/>
      <c r="FO228" s="364"/>
      <c r="FP228" s="364"/>
      <c r="FQ228" s="364"/>
      <c r="FR228" s="364"/>
      <c r="FS228" s="364"/>
      <c r="FT228" s="364"/>
      <c r="FU228" s="364"/>
      <c r="FV228" s="364"/>
      <c r="FW228" s="364"/>
      <c r="FX228" s="364"/>
      <c r="FY228" s="364"/>
      <c r="FZ228" s="364"/>
      <c r="GA228" s="364"/>
      <c r="GB228" s="364"/>
      <c r="GC228" s="364"/>
      <c r="GD228" s="364"/>
      <c r="GE228" s="364"/>
      <c r="GF228" s="364"/>
      <c r="GG228" s="364"/>
      <c r="GH228" s="364"/>
      <c r="GI228" s="364"/>
      <c r="GJ228" s="364"/>
      <c r="GK228" s="364"/>
      <c r="GL228" s="364"/>
      <c r="GM228" s="364"/>
      <c r="GN228" s="364"/>
      <c r="GO228" s="364"/>
      <c r="GP228" s="364"/>
      <c r="GQ228" s="364"/>
      <c r="GR228" s="364"/>
      <c r="GS228" s="364"/>
      <c r="GT228" s="364"/>
      <c r="GU228" s="364"/>
      <c r="GV228" s="364"/>
      <c r="GW228" s="364"/>
      <c r="GX228" s="364"/>
      <c r="GY228" s="364"/>
      <c r="GZ228" s="364"/>
      <c r="HA228" s="364"/>
      <c r="HB228" s="364"/>
      <c r="HC228" s="364"/>
      <c r="HD228" s="364"/>
      <c r="HE228" s="364"/>
      <c r="HF228" s="364"/>
      <c r="HG228" s="364"/>
      <c r="HH228" s="364"/>
      <c r="HI228" s="364"/>
      <c r="HJ228" s="364"/>
      <c r="HK228" s="364"/>
      <c r="HL228" s="364"/>
    </row>
    <row r="229" spans="2:220" s="287" customFormat="1" ht="22.5" customHeight="1">
      <c r="B229" s="365">
        <v>240114</v>
      </c>
      <c r="C229" s="366" t="s">
        <v>198</v>
      </c>
      <c r="D229" s="367"/>
      <c r="E229" s="368"/>
      <c r="F229" s="321" t="s">
        <v>53</v>
      </c>
      <c r="G229" s="326" t="s">
        <v>2341</v>
      </c>
      <c r="H229" s="326" t="s">
        <v>2419</v>
      </c>
      <c r="I229" s="326" t="s">
        <v>11</v>
      </c>
      <c r="J229" s="326" t="s">
        <v>21</v>
      </c>
      <c r="K229" s="326" t="s">
        <v>10</v>
      </c>
      <c r="L229" s="323"/>
      <c r="M229" s="374"/>
      <c r="N229" s="325" t="s">
        <v>704</v>
      </c>
      <c r="O229" s="326">
        <v>21</v>
      </c>
      <c r="P229" s="327">
        <v>4917.3</v>
      </c>
      <c r="Q229" s="369">
        <v>2719.77</v>
      </c>
      <c r="R229" s="329" t="s">
        <v>432</v>
      </c>
      <c r="S229" s="331" t="s">
        <v>11079</v>
      </c>
      <c r="T229" s="331" t="s">
        <v>11079</v>
      </c>
      <c r="U229" s="331" t="s">
        <v>11079</v>
      </c>
      <c r="V229" s="331" t="s">
        <v>295</v>
      </c>
      <c r="W229" s="332" t="s">
        <v>432</v>
      </c>
      <c r="X229" s="331" t="s">
        <v>11079</v>
      </c>
      <c r="Y229" s="331" t="s">
        <v>11080</v>
      </c>
      <c r="Z229" s="331" t="s">
        <v>11080</v>
      </c>
      <c r="AA229" s="331" t="s">
        <v>295</v>
      </c>
      <c r="AB229" s="333" t="s">
        <v>500</v>
      </c>
      <c r="AC229" s="333"/>
      <c r="AD229" s="396" t="s">
        <v>2320</v>
      </c>
      <c r="AE229" s="335" t="s">
        <v>16</v>
      </c>
      <c r="AF229" s="336"/>
      <c r="AG229" s="337"/>
      <c r="AH229" s="376"/>
      <c r="AI229" s="347"/>
      <c r="AJ229" s="347"/>
      <c r="AK229" s="371"/>
      <c r="AL229" s="321" t="s">
        <v>210</v>
      </c>
      <c r="AM229" s="392" t="s">
        <v>15</v>
      </c>
      <c r="AN229" s="392" t="s">
        <v>15</v>
      </c>
      <c r="AO229" s="341" t="s">
        <v>15</v>
      </c>
      <c r="AP229" s="342"/>
      <c r="AQ229" s="343"/>
      <c r="AR229" s="370">
        <v>2944</v>
      </c>
      <c r="AS229" s="326">
        <v>150</v>
      </c>
      <c r="AT229" s="392">
        <v>0.8</v>
      </c>
      <c r="AU229" s="392"/>
      <c r="AV229" s="392">
        <v>1</v>
      </c>
      <c r="AW229" s="340"/>
      <c r="AX229" s="347"/>
      <c r="AY229" s="348"/>
      <c r="AZ229" s="377"/>
      <c r="BA229" s="374"/>
      <c r="BB229" s="374"/>
      <c r="BC229" s="374"/>
      <c r="BD229" s="374"/>
      <c r="BE229" s="374"/>
      <c r="BF229" s="374"/>
      <c r="BG229" s="374"/>
      <c r="BH229" s="378"/>
      <c r="BI229" s="376"/>
      <c r="BJ229" s="379"/>
      <c r="BK229" s="380"/>
      <c r="BL229" s="348"/>
      <c r="BM229" s="381"/>
      <c r="BN229" s="321" t="s">
        <v>15</v>
      </c>
      <c r="BO229" s="372"/>
      <c r="BP229" s="373" t="s">
        <v>15</v>
      </c>
      <c r="BQ229" s="360"/>
      <c r="BR229" s="361"/>
      <c r="BS229" s="361"/>
      <c r="BT229" s="361"/>
      <c r="BU229" s="342" t="s">
        <v>210</v>
      </c>
      <c r="BV229" s="342" t="s">
        <v>210</v>
      </c>
      <c r="BW229" s="341" t="s">
        <v>15</v>
      </c>
      <c r="BX229" s="361"/>
      <c r="BY229" s="362"/>
      <c r="BZ229" s="363"/>
      <c r="CA229" s="363"/>
      <c r="CB229" s="363"/>
      <c r="CC229" s="363"/>
      <c r="CD229" s="293"/>
      <c r="CE229" s="364"/>
      <c r="CF229" s="364"/>
      <c r="CG229" s="364"/>
      <c r="CH229" s="364"/>
      <c r="CI229" s="364"/>
      <c r="CJ229" s="364"/>
      <c r="CK229" s="364"/>
      <c r="CL229" s="364"/>
      <c r="CM229" s="364"/>
      <c r="CN229" s="364"/>
      <c r="CO229" s="364"/>
      <c r="CP229" s="364"/>
      <c r="CQ229" s="364"/>
      <c r="CR229" s="364"/>
      <c r="CS229" s="364"/>
      <c r="CT229" s="364"/>
      <c r="CU229" s="364"/>
      <c r="CV229" s="364"/>
      <c r="CW229" s="364"/>
      <c r="CX229" s="364"/>
      <c r="CY229" s="364"/>
      <c r="CZ229" s="364"/>
      <c r="DA229" s="364"/>
      <c r="DB229" s="364"/>
      <c r="DC229" s="364"/>
      <c r="DD229" s="364"/>
      <c r="DE229" s="364"/>
      <c r="DF229" s="364"/>
      <c r="DG229" s="364"/>
      <c r="DH229" s="364"/>
      <c r="DI229" s="364"/>
      <c r="DJ229" s="364"/>
      <c r="DK229" s="364"/>
      <c r="DL229" s="364"/>
      <c r="DM229" s="364"/>
      <c r="DN229" s="364"/>
      <c r="DO229" s="364"/>
      <c r="DP229" s="364"/>
      <c r="DQ229" s="364"/>
      <c r="DR229" s="364"/>
      <c r="DS229" s="364"/>
      <c r="DT229" s="364"/>
      <c r="DU229" s="364"/>
      <c r="DV229" s="364"/>
      <c r="DW229" s="364"/>
      <c r="DX229" s="364"/>
      <c r="DY229" s="364"/>
      <c r="DZ229" s="364"/>
      <c r="EA229" s="364"/>
      <c r="EB229" s="364"/>
      <c r="EC229" s="364"/>
      <c r="ED229" s="364"/>
      <c r="EE229" s="364"/>
      <c r="EF229" s="364"/>
      <c r="EG229" s="364"/>
      <c r="EH229" s="364"/>
      <c r="EI229" s="364"/>
      <c r="EJ229" s="364"/>
      <c r="EK229" s="364"/>
      <c r="EL229" s="364"/>
      <c r="EM229" s="364"/>
      <c r="EN229" s="364"/>
      <c r="EO229" s="364"/>
      <c r="EP229" s="364"/>
      <c r="EQ229" s="364"/>
      <c r="ER229" s="364"/>
      <c r="ES229" s="364"/>
      <c r="ET229" s="364"/>
      <c r="EU229" s="364"/>
      <c r="EV229" s="364"/>
      <c r="EW229" s="364"/>
      <c r="EX229" s="364"/>
      <c r="EY229" s="364"/>
      <c r="EZ229" s="364"/>
      <c r="FA229" s="364"/>
      <c r="FB229" s="364"/>
      <c r="FC229" s="364"/>
      <c r="FD229" s="364"/>
      <c r="FE229" s="364"/>
      <c r="FF229" s="364"/>
      <c r="FG229" s="364"/>
      <c r="FH229" s="364"/>
      <c r="FI229" s="364"/>
      <c r="FJ229" s="364"/>
      <c r="FK229" s="364"/>
      <c r="FL229" s="364"/>
      <c r="FM229" s="364"/>
      <c r="FN229" s="364"/>
      <c r="FO229" s="364"/>
      <c r="FP229" s="364"/>
      <c r="FQ229" s="364"/>
      <c r="FR229" s="364"/>
      <c r="FS229" s="364"/>
      <c r="FT229" s="364"/>
      <c r="FU229" s="364"/>
      <c r="FV229" s="364"/>
      <c r="FW229" s="364"/>
      <c r="FX229" s="364"/>
      <c r="FY229" s="364"/>
      <c r="FZ229" s="364"/>
      <c r="GA229" s="364"/>
      <c r="GB229" s="364"/>
      <c r="GC229" s="364"/>
      <c r="GD229" s="364"/>
      <c r="GE229" s="364"/>
      <c r="GF229" s="364"/>
      <c r="GG229" s="364"/>
      <c r="GH229" s="364"/>
      <c r="GI229" s="364"/>
      <c r="GJ229" s="364"/>
      <c r="GK229" s="364"/>
      <c r="GL229" s="364"/>
      <c r="GM229" s="364"/>
      <c r="GN229" s="364"/>
      <c r="GO229" s="364"/>
      <c r="GP229" s="364"/>
      <c r="GQ229" s="364"/>
      <c r="GR229" s="364"/>
      <c r="GS229" s="364"/>
      <c r="GT229" s="364"/>
      <c r="GU229" s="364"/>
      <c r="GV229" s="364"/>
      <c r="GW229" s="364"/>
      <c r="GX229" s="364"/>
      <c r="GY229" s="364"/>
      <c r="GZ229" s="364"/>
      <c r="HA229" s="364"/>
      <c r="HB229" s="364"/>
      <c r="HC229" s="364"/>
      <c r="HD229" s="364"/>
      <c r="HE229" s="364"/>
      <c r="HF229" s="364"/>
      <c r="HG229" s="364"/>
      <c r="HH229" s="364"/>
      <c r="HI229" s="364"/>
      <c r="HJ229" s="364"/>
      <c r="HK229" s="364"/>
      <c r="HL229" s="364"/>
    </row>
    <row r="230" spans="2:220" s="287" customFormat="1" ht="22.5" customHeight="1">
      <c r="B230" s="365">
        <v>240115</v>
      </c>
      <c r="C230" s="366" t="s">
        <v>14440</v>
      </c>
      <c r="D230" s="367"/>
      <c r="E230" s="368"/>
      <c r="F230" s="321" t="s">
        <v>212</v>
      </c>
      <c r="G230" s="326" t="s">
        <v>2417</v>
      </c>
      <c r="H230" s="326" t="s">
        <v>2418</v>
      </c>
      <c r="I230" s="326" t="s">
        <v>11</v>
      </c>
      <c r="J230" s="326" t="s">
        <v>21</v>
      </c>
      <c r="K230" s="326" t="s">
        <v>806</v>
      </c>
      <c r="L230" s="323"/>
      <c r="M230" s="374"/>
      <c r="N230" s="325" t="s">
        <v>704</v>
      </c>
      <c r="O230" s="326" t="s">
        <v>210</v>
      </c>
      <c r="P230" s="326" t="s">
        <v>210</v>
      </c>
      <c r="Q230" s="340" t="s">
        <v>15</v>
      </c>
      <c r="R230" s="420" t="s">
        <v>14441</v>
      </c>
      <c r="S230" s="394" t="s">
        <v>14442</v>
      </c>
      <c r="T230" s="394" t="s">
        <v>14443</v>
      </c>
      <c r="U230" s="394" t="s">
        <v>16449</v>
      </c>
      <c r="V230" s="394" t="s">
        <v>14444</v>
      </c>
      <c r="W230" s="645"/>
      <c r="X230" s="400"/>
      <c r="Y230" s="400"/>
      <c r="Z230" s="400"/>
      <c r="AA230" s="400"/>
      <c r="AB230" s="333"/>
      <c r="AC230" s="333"/>
      <c r="AD230" s="334" t="s">
        <v>94</v>
      </c>
      <c r="AE230" s="335" t="s">
        <v>93</v>
      </c>
      <c r="AF230" s="336"/>
      <c r="AG230" s="337"/>
      <c r="AH230" s="417" t="s">
        <v>435</v>
      </c>
      <c r="AI230" s="392" t="s">
        <v>435</v>
      </c>
      <c r="AJ230" s="392" t="s">
        <v>435</v>
      </c>
      <c r="AK230" s="340" t="s">
        <v>435</v>
      </c>
      <c r="AL230" s="321" t="s">
        <v>210</v>
      </c>
      <c r="AM230" s="392" t="s">
        <v>15</v>
      </c>
      <c r="AN230" s="392" t="s">
        <v>15</v>
      </c>
      <c r="AO230" s="341" t="s">
        <v>15</v>
      </c>
      <c r="AP230" s="342"/>
      <c r="AQ230" s="343"/>
      <c r="AR230" s="370">
        <v>967</v>
      </c>
      <c r="AS230" s="326">
        <v>100</v>
      </c>
      <c r="AT230" s="392">
        <v>1</v>
      </c>
      <c r="AU230" s="392"/>
      <c r="AV230" s="392">
        <v>2.4</v>
      </c>
      <c r="AW230" s="340"/>
      <c r="AX230" s="347"/>
      <c r="AY230" s="348"/>
      <c r="AZ230" s="377"/>
      <c r="BA230" s="374"/>
      <c r="BB230" s="374"/>
      <c r="BC230" s="374"/>
      <c r="BD230" s="374"/>
      <c r="BE230" s="374"/>
      <c r="BF230" s="374"/>
      <c r="BG230" s="374"/>
      <c r="BH230" s="378"/>
      <c r="BI230" s="376"/>
      <c r="BJ230" s="379"/>
      <c r="BK230" s="380"/>
      <c r="BL230" s="348"/>
      <c r="BM230" s="381"/>
      <c r="BN230" s="321" t="s">
        <v>15</v>
      </c>
      <c r="BO230" s="372"/>
      <c r="BP230" s="373" t="s">
        <v>983</v>
      </c>
      <c r="BQ230" s="360"/>
      <c r="BR230" s="361"/>
      <c r="BS230" s="361"/>
      <c r="BT230" s="361"/>
      <c r="BU230" s="342" t="s">
        <v>210</v>
      </c>
      <c r="BV230" s="342" t="s">
        <v>210</v>
      </c>
      <c r="BW230" s="341" t="s">
        <v>15</v>
      </c>
      <c r="BX230" s="361"/>
      <c r="BY230" s="362"/>
      <c r="BZ230" s="363"/>
      <c r="CA230" s="363"/>
      <c r="CB230" s="363"/>
      <c r="CC230" s="363"/>
      <c r="CD230" s="293"/>
      <c r="CE230" s="364"/>
      <c r="CF230" s="364"/>
      <c r="CG230" s="364"/>
      <c r="CH230" s="364"/>
      <c r="CI230" s="364"/>
      <c r="CJ230" s="364"/>
      <c r="CK230" s="364"/>
      <c r="CL230" s="364"/>
      <c r="CM230" s="364"/>
      <c r="CN230" s="364"/>
      <c r="CO230" s="364"/>
      <c r="CP230" s="364"/>
      <c r="CQ230" s="364"/>
      <c r="CR230" s="364"/>
      <c r="CS230" s="364"/>
      <c r="CT230" s="364"/>
      <c r="CU230" s="364"/>
      <c r="CV230" s="364"/>
      <c r="CW230" s="364"/>
      <c r="CX230" s="364"/>
      <c r="CY230" s="364"/>
      <c r="CZ230" s="364"/>
      <c r="DA230" s="364"/>
      <c r="DB230" s="364"/>
      <c r="DC230" s="364"/>
      <c r="DD230" s="364"/>
      <c r="DE230" s="364"/>
      <c r="DF230" s="364"/>
      <c r="DG230" s="364"/>
      <c r="DH230" s="364"/>
      <c r="DI230" s="364"/>
      <c r="DJ230" s="364"/>
      <c r="DK230" s="364"/>
      <c r="DL230" s="364"/>
      <c r="DM230" s="364"/>
      <c r="DN230" s="364"/>
      <c r="DO230" s="364"/>
      <c r="DP230" s="364"/>
      <c r="DQ230" s="364"/>
      <c r="DR230" s="364"/>
      <c r="DS230" s="364"/>
      <c r="DT230" s="364"/>
      <c r="DU230" s="364"/>
      <c r="DV230" s="364"/>
      <c r="DW230" s="364"/>
      <c r="DX230" s="364"/>
      <c r="DY230" s="364"/>
      <c r="DZ230" s="364"/>
      <c r="EA230" s="364"/>
      <c r="EB230" s="364"/>
      <c r="EC230" s="364"/>
      <c r="ED230" s="364"/>
      <c r="EE230" s="364"/>
      <c r="EF230" s="364"/>
      <c r="EG230" s="364"/>
      <c r="EH230" s="364"/>
      <c r="EI230" s="364"/>
      <c r="EJ230" s="364"/>
      <c r="EK230" s="364"/>
      <c r="EL230" s="364"/>
      <c r="EM230" s="364"/>
      <c r="EN230" s="364"/>
      <c r="EO230" s="364"/>
      <c r="EP230" s="364"/>
      <c r="EQ230" s="364"/>
      <c r="ER230" s="364"/>
      <c r="ES230" s="364"/>
      <c r="ET230" s="364"/>
      <c r="EU230" s="364"/>
      <c r="EV230" s="364"/>
      <c r="EW230" s="364"/>
      <c r="EX230" s="364"/>
      <c r="EY230" s="364"/>
      <c r="EZ230" s="364"/>
      <c r="FA230" s="364"/>
      <c r="FB230" s="364"/>
      <c r="FC230" s="364"/>
      <c r="FD230" s="364"/>
      <c r="FE230" s="364"/>
      <c r="FF230" s="364"/>
      <c r="FG230" s="364"/>
      <c r="FH230" s="364"/>
      <c r="FI230" s="364"/>
      <c r="FJ230" s="364"/>
      <c r="FK230" s="364"/>
      <c r="FL230" s="364"/>
      <c r="FM230" s="364"/>
      <c r="FN230" s="364"/>
      <c r="FO230" s="364"/>
      <c r="FP230" s="364"/>
      <c r="FQ230" s="364"/>
      <c r="FR230" s="364"/>
      <c r="FS230" s="364"/>
      <c r="FT230" s="364"/>
      <c r="FU230" s="364"/>
      <c r="FV230" s="364"/>
      <c r="FW230" s="364"/>
      <c r="FX230" s="364"/>
      <c r="FY230" s="364"/>
      <c r="FZ230" s="364"/>
      <c r="GA230" s="364"/>
      <c r="GB230" s="364"/>
      <c r="GC230" s="364"/>
      <c r="GD230" s="364"/>
      <c r="GE230" s="364"/>
      <c r="GF230" s="364"/>
      <c r="GG230" s="364"/>
      <c r="GH230" s="364"/>
      <c r="GI230" s="364"/>
      <c r="GJ230" s="364"/>
      <c r="GK230" s="364"/>
      <c r="GL230" s="364"/>
      <c r="GM230" s="364"/>
      <c r="GN230" s="364"/>
      <c r="GO230" s="364"/>
      <c r="GP230" s="364"/>
      <c r="GQ230" s="364"/>
      <c r="GR230" s="364"/>
      <c r="GS230" s="364"/>
      <c r="GT230" s="364"/>
      <c r="GU230" s="364"/>
      <c r="GV230" s="364"/>
      <c r="GW230" s="364"/>
      <c r="GX230" s="364"/>
      <c r="GY230" s="364"/>
      <c r="GZ230" s="364"/>
      <c r="HA230" s="364"/>
      <c r="HB230" s="364"/>
      <c r="HC230" s="364"/>
      <c r="HD230" s="364"/>
      <c r="HE230" s="364"/>
      <c r="HF230" s="364"/>
      <c r="HG230" s="364"/>
      <c r="HH230" s="364"/>
      <c r="HI230" s="364"/>
      <c r="HJ230" s="364"/>
      <c r="HK230" s="364"/>
      <c r="HL230" s="364"/>
    </row>
    <row r="231" spans="2:220" s="287" customFormat="1" ht="22.5" customHeight="1">
      <c r="B231" s="365">
        <v>240116</v>
      </c>
      <c r="C231" s="366" t="s">
        <v>14096</v>
      </c>
      <c r="D231" s="367"/>
      <c r="E231" s="368"/>
      <c r="F231" s="321" t="s">
        <v>83</v>
      </c>
      <c r="G231" s="326" t="s">
        <v>2386</v>
      </c>
      <c r="H231" s="326" t="s">
        <v>2387</v>
      </c>
      <c r="I231" s="326" t="s">
        <v>11</v>
      </c>
      <c r="J231" s="326" t="s">
        <v>12</v>
      </c>
      <c r="K231" s="326" t="s">
        <v>10</v>
      </c>
      <c r="L231" s="323"/>
      <c r="M231" s="324" t="s">
        <v>10767</v>
      </c>
      <c r="N231" s="325" t="s">
        <v>704</v>
      </c>
      <c r="O231" s="326">
        <v>40</v>
      </c>
      <c r="P231" s="326" t="s">
        <v>210</v>
      </c>
      <c r="Q231" s="340" t="s">
        <v>15</v>
      </c>
      <c r="R231" s="329" t="s">
        <v>615</v>
      </c>
      <c r="S231" s="331" t="s">
        <v>12965</v>
      </c>
      <c r="T231" s="394" t="s">
        <v>11205</v>
      </c>
      <c r="U231" s="394" t="s">
        <v>11207</v>
      </c>
      <c r="V231" s="331" t="s">
        <v>12966</v>
      </c>
      <c r="W231" s="332" t="s">
        <v>432</v>
      </c>
      <c r="X231" s="331" t="s">
        <v>11079</v>
      </c>
      <c r="Y231" s="331" t="s">
        <v>11080</v>
      </c>
      <c r="Z231" s="331" t="s">
        <v>11080</v>
      </c>
      <c r="AA231" s="331" t="s">
        <v>295</v>
      </c>
      <c r="AB231" s="333"/>
      <c r="AC231" s="333"/>
      <c r="AD231" s="334" t="s">
        <v>2325</v>
      </c>
      <c r="AE231" s="335" t="s">
        <v>313</v>
      </c>
      <c r="AF231" s="336"/>
      <c r="AG231" s="337"/>
      <c r="AH231" s="417">
        <v>6.1</v>
      </c>
      <c r="AI231" s="392">
        <v>15.7</v>
      </c>
      <c r="AJ231" s="392">
        <v>14.4</v>
      </c>
      <c r="AK231" s="340">
        <f>SUM(AH231:AJ231)</f>
        <v>36.199999999999996</v>
      </c>
      <c r="AL231" s="321" t="s">
        <v>210</v>
      </c>
      <c r="AM231" s="392" t="s">
        <v>15</v>
      </c>
      <c r="AN231" s="392" t="s">
        <v>15</v>
      </c>
      <c r="AO231" s="341" t="s">
        <v>15</v>
      </c>
      <c r="AP231" s="342"/>
      <c r="AQ231" s="343"/>
      <c r="AR231" s="370">
        <v>3702</v>
      </c>
      <c r="AS231" s="326">
        <v>100</v>
      </c>
      <c r="AT231" s="392">
        <v>0.8</v>
      </c>
      <c r="AU231" s="392"/>
      <c r="AV231" s="392">
        <v>1</v>
      </c>
      <c r="AW231" s="340"/>
      <c r="AX231" s="347"/>
      <c r="AY231" s="348"/>
      <c r="AZ231" s="377"/>
      <c r="BA231" s="374"/>
      <c r="BB231" s="374"/>
      <c r="BC231" s="374"/>
      <c r="BD231" s="374"/>
      <c r="BE231" s="374"/>
      <c r="BF231" s="374"/>
      <c r="BG231" s="374"/>
      <c r="BH231" s="378"/>
      <c r="BI231" s="376"/>
      <c r="BJ231" s="379"/>
      <c r="BK231" s="380"/>
      <c r="BL231" s="348"/>
      <c r="BM231" s="381"/>
      <c r="BN231" s="321" t="s">
        <v>983</v>
      </c>
      <c r="BO231" s="372"/>
      <c r="BP231" s="373" t="s">
        <v>983</v>
      </c>
      <c r="BQ231" s="360"/>
      <c r="BR231" s="361"/>
      <c r="BS231" s="361"/>
      <c r="BT231" s="361"/>
      <c r="BU231" s="342" t="s">
        <v>210</v>
      </c>
      <c r="BV231" s="342" t="s">
        <v>210</v>
      </c>
      <c r="BW231" s="341" t="s">
        <v>15</v>
      </c>
      <c r="BX231" s="361"/>
      <c r="BY231" s="362" t="s">
        <v>705</v>
      </c>
      <c r="BZ231" s="363"/>
      <c r="CA231" s="363"/>
      <c r="CB231" s="363"/>
      <c r="CC231" s="363"/>
      <c r="CD231" s="293"/>
      <c r="CE231" s="364"/>
      <c r="CF231" s="364"/>
      <c r="CG231" s="364"/>
      <c r="CH231" s="364"/>
      <c r="CI231" s="364"/>
      <c r="CJ231" s="364"/>
      <c r="CK231" s="364"/>
      <c r="CL231" s="364"/>
      <c r="CM231" s="364"/>
      <c r="CN231" s="364"/>
      <c r="CO231" s="364"/>
      <c r="CP231" s="364"/>
      <c r="CQ231" s="364"/>
      <c r="CR231" s="364"/>
      <c r="CS231" s="364"/>
      <c r="CT231" s="364"/>
      <c r="CU231" s="364"/>
      <c r="CV231" s="364"/>
      <c r="CW231" s="364"/>
      <c r="CX231" s="364"/>
      <c r="CY231" s="364"/>
      <c r="CZ231" s="364"/>
      <c r="DA231" s="364"/>
      <c r="DB231" s="364"/>
      <c r="DC231" s="364"/>
      <c r="DD231" s="364"/>
      <c r="DE231" s="364"/>
      <c r="DF231" s="364"/>
      <c r="DG231" s="364"/>
      <c r="DH231" s="364"/>
      <c r="DI231" s="364"/>
      <c r="DJ231" s="364"/>
      <c r="DK231" s="364"/>
      <c r="DL231" s="364"/>
      <c r="DM231" s="364"/>
      <c r="DN231" s="364"/>
      <c r="DO231" s="364"/>
      <c r="DP231" s="364"/>
      <c r="DQ231" s="364"/>
      <c r="DR231" s="364"/>
      <c r="DS231" s="364"/>
      <c r="DT231" s="364"/>
      <c r="DU231" s="364"/>
      <c r="DV231" s="364"/>
      <c r="DW231" s="364"/>
      <c r="DX231" s="364"/>
      <c r="DY231" s="364"/>
      <c r="DZ231" s="364"/>
      <c r="EA231" s="364"/>
      <c r="EB231" s="364"/>
      <c r="EC231" s="364"/>
      <c r="ED231" s="364"/>
      <c r="EE231" s="364"/>
      <c r="EF231" s="364"/>
      <c r="EG231" s="364"/>
      <c r="EH231" s="364"/>
      <c r="EI231" s="364"/>
      <c r="EJ231" s="364"/>
      <c r="EK231" s="364"/>
      <c r="EL231" s="364"/>
      <c r="EM231" s="364"/>
      <c r="EN231" s="364"/>
      <c r="EO231" s="364"/>
      <c r="EP231" s="364"/>
      <c r="EQ231" s="364"/>
      <c r="ER231" s="364"/>
      <c r="ES231" s="364"/>
      <c r="ET231" s="364"/>
      <c r="EU231" s="364"/>
      <c r="EV231" s="364"/>
      <c r="EW231" s="364"/>
      <c r="EX231" s="364"/>
      <c r="EY231" s="364"/>
      <c r="EZ231" s="364"/>
      <c r="FA231" s="364"/>
      <c r="FB231" s="364"/>
      <c r="FC231" s="364"/>
      <c r="FD231" s="364"/>
      <c r="FE231" s="364"/>
      <c r="FF231" s="364"/>
      <c r="FG231" s="364"/>
      <c r="FH231" s="364"/>
      <c r="FI231" s="364"/>
      <c r="FJ231" s="364"/>
      <c r="FK231" s="364"/>
      <c r="FL231" s="364"/>
      <c r="FM231" s="364"/>
      <c r="FN231" s="364"/>
      <c r="FO231" s="364"/>
      <c r="FP231" s="364"/>
      <c r="FQ231" s="364"/>
      <c r="FR231" s="364"/>
      <c r="FS231" s="364"/>
      <c r="FT231" s="364"/>
      <c r="FU231" s="364"/>
      <c r="FV231" s="364"/>
      <c r="FW231" s="364"/>
      <c r="FX231" s="364"/>
      <c r="FY231" s="364"/>
      <c r="FZ231" s="364"/>
      <c r="GA231" s="364"/>
      <c r="GB231" s="364"/>
      <c r="GC231" s="364"/>
      <c r="GD231" s="364"/>
      <c r="GE231" s="364"/>
      <c r="GF231" s="364"/>
      <c r="GG231" s="364"/>
      <c r="GH231" s="364"/>
      <c r="GI231" s="364"/>
      <c r="GJ231" s="364"/>
      <c r="GK231" s="364"/>
      <c r="GL231" s="364"/>
      <c r="GM231" s="364"/>
      <c r="GN231" s="364"/>
      <c r="GO231" s="364"/>
      <c r="GP231" s="364"/>
      <c r="GQ231" s="364"/>
      <c r="GR231" s="364"/>
      <c r="GS231" s="364"/>
      <c r="GT231" s="364"/>
      <c r="GU231" s="364"/>
      <c r="GV231" s="364"/>
      <c r="GW231" s="364"/>
      <c r="GX231" s="364"/>
      <c r="GY231" s="364"/>
      <c r="GZ231" s="364"/>
      <c r="HA231" s="364"/>
      <c r="HB231" s="364"/>
      <c r="HC231" s="364"/>
      <c r="HD231" s="364"/>
      <c r="HE231" s="364"/>
      <c r="HF231" s="364"/>
      <c r="HG231" s="364"/>
      <c r="HH231" s="364"/>
      <c r="HI231" s="364"/>
      <c r="HJ231" s="364"/>
      <c r="HK231" s="364"/>
      <c r="HL231" s="364"/>
    </row>
    <row r="232" spans="2:220" s="287" customFormat="1" ht="22.5" customHeight="1">
      <c r="B232" s="365">
        <v>240117</v>
      </c>
      <c r="C232" s="366" t="s">
        <v>14435</v>
      </c>
      <c r="D232" s="367"/>
      <c r="E232" s="368"/>
      <c r="F232" s="321" t="s">
        <v>189</v>
      </c>
      <c r="G232" s="326" t="s">
        <v>2415</v>
      </c>
      <c r="H232" s="326" t="s">
        <v>2416</v>
      </c>
      <c r="I232" s="326" t="s">
        <v>11</v>
      </c>
      <c r="J232" s="326" t="s">
        <v>12</v>
      </c>
      <c r="K232" s="326" t="s">
        <v>10</v>
      </c>
      <c r="L232" s="323"/>
      <c r="M232" s="324" t="s">
        <v>10767</v>
      </c>
      <c r="N232" s="325" t="s">
        <v>704</v>
      </c>
      <c r="O232" s="326">
        <v>5</v>
      </c>
      <c r="P232" s="327">
        <v>859.35</v>
      </c>
      <c r="Q232" s="369">
        <v>874.05</v>
      </c>
      <c r="R232" s="329" t="s">
        <v>707</v>
      </c>
      <c r="S232" s="331" t="s">
        <v>14436</v>
      </c>
      <c r="T232" s="331" t="s">
        <v>14438</v>
      </c>
      <c r="U232" s="331" t="s">
        <v>14437</v>
      </c>
      <c r="V232" s="331" t="s">
        <v>14439</v>
      </c>
      <c r="W232" s="332" t="s">
        <v>432</v>
      </c>
      <c r="X232" s="331" t="s">
        <v>11079</v>
      </c>
      <c r="Y232" s="331" t="s">
        <v>11080</v>
      </c>
      <c r="Z232" s="331" t="s">
        <v>11080</v>
      </c>
      <c r="AA232" s="331" t="s">
        <v>295</v>
      </c>
      <c r="AB232" s="333"/>
      <c r="AC232" s="333"/>
      <c r="AD232" s="396" t="s">
        <v>2320</v>
      </c>
      <c r="AE232" s="335" t="s">
        <v>946</v>
      </c>
      <c r="AF232" s="336"/>
      <c r="AG232" s="337"/>
      <c r="AH232" s="417">
        <v>9.5</v>
      </c>
      <c r="AI232" s="392">
        <v>18.8</v>
      </c>
      <c r="AJ232" s="392">
        <v>7.5</v>
      </c>
      <c r="AK232" s="340">
        <f>SUM(AH232:AJ232)</f>
        <v>35.799999999999997</v>
      </c>
      <c r="AL232" s="321" t="s">
        <v>210</v>
      </c>
      <c r="AM232" s="392" t="s">
        <v>15</v>
      </c>
      <c r="AN232" s="392" t="s">
        <v>15</v>
      </c>
      <c r="AO232" s="341" t="s">
        <v>15</v>
      </c>
      <c r="AP232" s="342"/>
      <c r="AQ232" s="343"/>
      <c r="AR232" s="370">
        <v>1036</v>
      </c>
      <c r="AS232" s="326">
        <v>100</v>
      </c>
      <c r="AT232" s="392">
        <v>0.8</v>
      </c>
      <c r="AU232" s="392"/>
      <c r="AV232" s="392">
        <v>0.8</v>
      </c>
      <c r="AW232" s="340"/>
      <c r="AX232" s="347"/>
      <c r="AY232" s="348"/>
      <c r="AZ232" s="377"/>
      <c r="BA232" s="374"/>
      <c r="BB232" s="374"/>
      <c r="BC232" s="374"/>
      <c r="BD232" s="374"/>
      <c r="BE232" s="374"/>
      <c r="BF232" s="374"/>
      <c r="BG232" s="374"/>
      <c r="BH232" s="378"/>
      <c r="BI232" s="376"/>
      <c r="BJ232" s="379"/>
      <c r="BK232" s="380"/>
      <c r="BL232" s="348"/>
      <c r="BM232" s="381"/>
      <c r="BN232" s="321" t="s">
        <v>983</v>
      </c>
      <c r="BO232" s="372"/>
      <c r="BP232" s="373" t="s">
        <v>15</v>
      </c>
      <c r="BQ232" s="360"/>
      <c r="BR232" s="361"/>
      <c r="BS232" s="361"/>
      <c r="BT232" s="361"/>
      <c r="BU232" s="342" t="s">
        <v>210</v>
      </c>
      <c r="BV232" s="342" t="s">
        <v>210</v>
      </c>
      <c r="BW232" s="341" t="s">
        <v>15</v>
      </c>
      <c r="BX232" s="361"/>
      <c r="BY232" s="362" t="s">
        <v>706</v>
      </c>
      <c r="BZ232" s="363"/>
      <c r="CA232" s="363"/>
      <c r="CB232" s="363"/>
      <c r="CC232" s="363"/>
      <c r="CD232" s="293"/>
      <c r="CE232" s="364"/>
      <c r="CF232" s="364"/>
      <c r="CG232" s="364"/>
      <c r="CH232" s="364"/>
      <c r="CI232" s="364"/>
      <c r="CJ232" s="364"/>
      <c r="CK232" s="364"/>
      <c r="CL232" s="364"/>
      <c r="CM232" s="364"/>
      <c r="CN232" s="364"/>
      <c r="CO232" s="364"/>
      <c r="CP232" s="364"/>
      <c r="CQ232" s="364"/>
      <c r="CR232" s="364"/>
      <c r="CS232" s="364"/>
      <c r="CT232" s="364"/>
      <c r="CU232" s="364"/>
      <c r="CV232" s="364"/>
      <c r="CW232" s="364"/>
      <c r="CX232" s="364"/>
      <c r="CY232" s="364"/>
      <c r="CZ232" s="364"/>
      <c r="DA232" s="364"/>
      <c r="DB232" s="364"/>
      <c r="DC232" s="364"/>
      <c r="DD232" s="364"/>
      <c r="DE232" s="364"/>
      <c r="DF232" s="364"/>
      <c r="DG232" s="364"/>
      <c r="DH232" s="364"/>
      <c r="DI232" s="364"/>
      <c r="DJ232" s="364"/>
      <c r="DK232" s="364"/>
      <c r="DL232" s="364"/>
      <c r="DM232" s="364"/>
      <c r="DN232" s="364"/>
      <c r="DO232" s="364"/>
      <c r="DP232" s="364"/>
      <c r="DQ232" s="364"/>
      <c r="DR232" s="364"/>
      <c r="DS232" s="364"/>
      <c r="DT232" s="364"/>
      <c r="DU232" s="364"/>
      <c r="DV232" s="364"/>
      <c r="DW232" s="364"/>
      <c r="DX232" s="364"/>
      <c r="DY232" s="364"/>
      <c r="DZ232" s="364"/>
      <c r="EA232" s="364"/>
      <c r="EB232" s="364"/>
      <c r="EC232" s="364"/>
      <c r="ED232" s="364"/>
      <c r="EE232" s="364"/>
      <c r="EF232" s="364"/>
      <c r="EG232" s="364"/>
      <c r="EH232" s="364"/>
      <c r="EI232" s="364"/>
      <c r="EJ232" s="364"/>
      <c r="EK232" s="364"/>
      <c r="EL232" s="364"/>
      <c r="EM232" s="364"/>
      <c r="EN232" s="364"/>
      <c r="EO232" s="364"/>
      <c r="EP232" s="364"/>
      <c r="EQ232" s="364"/>
      <c r="ER232" s="364"/>
      <c r="ES232" s="364"/>
      <c r="ET232" s="364"/>
      <c r="EU232" s="364"/>
      <c r="EV232" s="364"/>
      <c r="EW232" s="364"/>
      <c r="EX232" s="364"/>
      <c r="EY232" s="364"/>
      <c r="EZ232" s="364"/>
      <c r="FA232" s="364"/>
      <c r="FB232" s="364"/>
      <c r="FC232" s="364"/>
      <c r="FD232" s="364"/>
      <c r="FE232" s="364"/>
      <c r="FF232" s="364"/>
      <c r="FG232" s="364"/>
      <c r="FH232" s="364"/>
      <c r="FI232" s="364"/>
      <c r="FJ232" s="364"/>
      <c r="FK232" s="364"/>
      <c r="FL232" s="364"/>
      <c r="FM232" s="364"/>
      <c r="FN232" s="364"/>
      <c r="FO232" s="364"/>
      <c r="FP232" s="364"/>
      <c r="FQ232" s="364"/>
      <c r="FR232" s="364"/>
      <c r="FS232" s="364"/>
      <c r="FT232" s="364"/>
      <c r="FU232" s="364"/>
      <c r="FV232" s="364"/>
      <c r="FW232" s="364"/>
      <c r="FX232" s="364"/>
      <c r="FY232" s="364"/>
      <c r="FZ232" s="364"/>
      <c r="GA232" s="364"/>
      <c r="GB232" s="364"/>
      <c r="GC232" s="364"/>
      <c r="GD232" s="364"/>
      <c r="GE232" s="364"/>
      <c r="GF232" s="364"/>
      <c r="GG232" s="364"/>
      <c r="GH232" s="364"/>
      <c r="GI232" s="364"/>
      <c r="GJ232" s="364"/>
      <c r="GK232" s="364"/>
      <c r="GL232" s="364"/>
      <c r="GM232" s="364"/>
      <c r="GN232" s="364"/>
      <c r="GO232" s="364"/>
      <c r="GP232" s="364"/>
      <c r="GQ232" s="364"/>
      <c r="GR232" s="364"/>
      <c r="GS232" s="364"/>
      <c r="GT232" s="364"/>
      <c r="GU232" s="364"/>
      <c r="GV232" s="364"/>
      <c r="GW232" s="364"/>
      <c r="GX232" s="364"/>
      <c r="GY232" s="364"/>
      <c r="GZ232" s="364"/>
      <c r="HA232" s="364"/>
      <c r="HB232" s="364"/>
      <c r="HC232" s="364"/>
      <c r="HD232" s="364"/>
      <c r="HE232" s="364"/>
      <c r="HF232" s="364"/>
      <c r="HG232" s="364"/>
      <c r="HH232" s="364"/>
      <c r="HI232" s="364"/>
      <c r="HJ232" s="364"/>
      <c r="HK232" s="364"/>
      <c r="HL232" s="364"/>
    </row>
    <row r="233" spans="2:220" s="287" customFormat="1" ht="22.5" customHeight="1">
      <c r="B233" s="365">
        <v>240118</v>
      </c>
      <c r="C233" s="366" t="s">
        <v>13058</v>
      </c>
      <c r="D233" s="367"/>
      <c r="E233" s="368"/>
      <c r="F233" s="321" t="s">
        <v>162</v>
      </c>
      <c r="G233" s="326" t="s">
        <v>2413</v>
      </c>
      <c r="H233" s="326" t="s">
        <v>2414</v>
      </c>
      <c r="I233" s="326" t="s">
        <v>11</v>
      </c>
      <c r="J233" s="326" t="s">
        <v>12</v>
      </c>
      <c r="K233" s="326" t="s">
        <v>10</v>
      </c>
      <c r="L233" s="323"/>
      <c r="M233" s="326" t="s">
        <v>6509</v>
      </c>
      <c r="N233" s="325" t="s">
        <v>704</v>
      </c>
      <c r="O233" s="326">
        <v>30</v>
      </c>
      <c r="P233" s="327">
        <v>5970.9</v>
      </c>
      <c r="Q233" s="369">
        <v>5837.15</v>
      </c>
      <c r="R233" s="329" t="s">
        <v>447</v>
      </c>
      <c r="S233" s="332" t="s">
        <v>11077</v>
      </c>
      <c r="T233" s="332" t="s">
        <v>11078</v>
      </c>
      <c r="U233" s="332" t="s">
        <v>16355</v>
      </c>
      <c r="V233" s="332" t="s">
        <v>11133</v>
      </c>
      <c r="W233" s="332" t="s">
        <v>432</v>
      </c>
      <c r="X233" s="331" t="s">
        <v>11079</v>
      </c>
      <c r="Y233" s="331" t="s">
        <v>11080</v>
      </c>
      <c r="Z233" s="331" t="s">
        <v>11080</v>
      </c>
      <c r="AA233" s="331" t="s">
        <v>295</v>
      </c>
      <c r="AB233" s="333"/>
      <c r="AC233" s="333"/>
      <c r="AD233" s="334" t="s">
        <v>272</v>
      </c>
      <c r="AE233" s="335" t="s">
        <v>16</v>
      </c>
      <c r="AF233" s="336"/>
      <c r="AG233" s="337"/>
      <c r="AH233" s="417">
        <v>19.8</v>
      </c>
      <c r="AI233" s="392">
        <v>40</v>
      </c>
      <c r="AJ233" s="392">
        <v>41.1</v>
      </c>
      <c r="AK233" s="340">
        <f>SUM(AH233:AJ233)</f>
        <v>100.9</v>
      </c>
      <c r="AL233" s="321" t="s">
        <v>210</v>
      </c>
      <c r="AM233" s="392" t="s">
        <v>15</v>
      </c>
      <c r="AN233" s="392" t="s">
        <v>15</v>
      </c>
      <c r="AO233" s="341" t="s">
        <v>15</v>
      </c>
      <c r="AP233" s="342"/>
      <c r="AQ233" s="343"/>
      <c r="AR233" s="370">
        <v>6842</v>
      </c>
      <c r="AS233" s="326">
        <v>150</v>
      </c>
      <c r="AT233" s="392">
        <v>0.8</v>
      </c>
      <c r="AU233" s="392"/>
      <c r="AV233" s="392">
        <v>0.8</v>
      </c>
      <c r="AW233" s="340"/>
      <c r="AX233" s="347"/>
      <c r="AY233" s="348"/>
      <c r="AZ233" s="377"/>
      <c r="BA233" s="374"/>
      <c r="BB233" s="374"/>
      <c r="BC233" s="374"/>
      <c r="BD233" s="374"/>
      <c r="BE233" s="374"/>
      <c r="BF233" s="374"/>
      <c r="BG233" s="374"/>
      <c r="BH233" s="378"/>
      <c r="BI233" s="376"/>
      <c r="BJ233" s="379"/>
      <c r="BK233" s="380"/>
      <c r="BL233" s="348"/>
      <c r="BM233" s="381"/>
      <c r="BN233" s="321" t="s">
        <v>983</v>
      </c>
      <c r="BO233" s="372">
        <v>1.03</v>
      </c>
      <c r="BP233" s="373" t="s">
        <v>15</v>
      </c>
      <c r="BQ233" s="360"/>
      <c r="BR233" s="361"/>
      <c r="BS233" s="361"/>
      <c r="BT233" s="361"/>
      <c r="BU233" s="342" t="s">
        <v>210</v>
      </c>
      <c r="BV233" s="342" t="s">
        <v>210</v>
      </c>
      <c r="BW233" s="341" t="s">
        <v>15</v>
      </c>
      <c r="BX233" s="361"/>
      <c r="BY233" s="362"/>
      <c r="BZ233" s="363"/>
      <c r="CA233" s="363"/>
      <c r="CB233" s="363"/>
      <c r="CC233" s="363"/>
      <c r="CD233" s="293"/>
      <c r="CE233" s="364"/>
      <c r="CF233" s="364"/>
      <c r="CG233" s="364"/>
      <c r="CH233" s="364"/>
      <c r="CI233" s="364"/>
      <c r="CJ233" s="364"/>
      <c r="CK233" s="364"/>
      <c r="CL233" s="364"/>
      <c r="CM233" s="364"/>
      <c r="CN233" s="364"/>
      <c r="CO233" s="364"/>
      <c r="CP233" s="364"/>
      <c r="CQ233" s="364"/>
      <c r="CR233" s="364"/>
      <c r="CS233" s="364"/>
      <c r="CT233" s="364"/>
      <c r="CU233" s="364"/>
      <c r="CV233" s="364"/>
      <c r="CW233" s="364"/>
      <c r="CX233" s="364"/>
      <c r="CY233" s="364"/>
      <c r="CZ233" s="364"/>
      <c r="DA233" s="364"/>
      <c r="DB233" s="364"/>
      <c r="DC233" s="364"/>
      <c r="DD233" s="364"/>
      <c r="DE233" s="364"/>
      <c r="DF233" s="364"/>
      <c r="DG233" s="364"/>
      <c r="DH233" s="364"/>
      <c r="DI233" s="364"/>
      <c r="DJ233" s="364"/>
      <c r="DK233" s="364"/>
      <c r="DL233" s="364"/>
      <c r="DM233" s="364"/>
      <c r="DN233" s="364"/>
      <c r="DO233" s="364"/>
      <c r="DP233" s="364"/>
      <c r="DQ233" s="364"/>
      <c r="DR233" s="364"/>
      <c r="DS233" s="364"/>
      <c r="DT233" s="364"/>
      <c r="DU233" s="364"/>
      <c r="DV233" s="364"/>
      <c r="DW233" s="364"/>
      <c r="DX233" s="364"/>
      <c r="DY233" s="364"/>
      <c r="DZ233" s="364"/>
      <c r="EA233" s="364"/>
      <c r="EB233" s="364"/>
      <c r="EC233" s="364"/>
      <c r="ED233" s="364"/>
      <c r="EE233" s="364"/>
      <c r="EF233" s="364"/>
      <c r="EG233" s="364"/>
      <c r="EH233" s="364"/>
      <c r="EI233" s="364"/>
      <c r="EJ233" s="364"/>
      <c r="EK233" s="364"/>
      <c r="EL233" s="364"/>
      <c r="EM233" s="364"/>
      <c r="EN233" s="364"/>
      <c r="EO233" s="364"/>
      <c r="EP233" s="364"/>
      <c r="EQ233" s="364"/>
      <c r="ER233" s="364"/>
      <c r="ES233" s="364"/>
      <c r="ET233" s="364"/>
      <c r="EU233" s="364"/>
      <c r="EV233" s="364"/>
      <c r="EW233" s="364"/>
      <c r="EX233" s="364"/>
      <c r="EY233" s="364"/>
      <c r="EZ233" s="364"/>
      <c r="FA233" s="364"/>
      <c r="FB233" s="364"/>
      <c r="FC233" s="364"/>
      <c r="FD233" s="364"/>
      <c r="FE233" s="364"/>
      <c r="FF233" s="364"/>
      <c r="FG233" s="364"/>
      <c r="FH233" s="364"/>
      <c r="FI233" s="364"/>
      <c r="FJ233" s="364"/>
      <c r="FK233" s="364"/>
      <c r="FL233" s="364"/>
      <c r="FM233" s="364"/>
      <c r="FN233" s="364"/>
      <c r="FO233" s="364"/>
      <c r="FP233" s="364"/>
      <c r="FQ233" s="364"/>
      <c r="FR233" s="364"/>
      <c r="FS233" s="364"/>
      <c r="FT233" s="364"/>
      <c r="FU233" s="364"/>
      <c r="FV233" s="364"/>
      <c r="FW233" s="364"/>
      <c r="FX233" s="364"/>
      <c r="FY233" s="364"/>
      <c r="FZ233" s="364"/>
      <c r="GA233" s="364"/>
      <c r="GB233" s="364"/>
      <c r="GC233" s="364"/>
      <c r="GD233" s="364"/>
      <c r="GE233" s="364"/>
      <c r="GF233" s="364"/>
      <c r="GG233" s="364"/>
      <c r="GH233" s="364"/>
      <c r="GI233" s="364"/>
      <c r="GJ233" s="364"/>
      <c r="GK233" s="364"/>
      <c r="GL233" s="364"/>
      <c r="GM233" s="364"/>
      <c r="GN233" s="364"/>
      <c r="GO233" s="364"/>
      <c r="GP233" s="364"/>
      <c r="GQ233" s="364"/>
      <c r="GR233" s="364"/>
      <c r="GS233" s="364"/>
      <c r="GT233" s="364"/>
      <c r="GU233" s="364"/>
      <c r="GV233" s="364"/>
      <c r="GW233" s="364"/>
      <c r="GX233" s="364"/>
      <c r="GY233" s="364"/>
      <c r="GZ233" s="364"/>
      <c r="HA233" s="364"/>
      <c r="HB233" s="364"/>
      <c r="HC233" s="364"/>
      <c r="HD233" s="364"/>
      <c r="HE233" s="364"/>
      <c r="HF233" s="364"/>
      <c r="HG233" s="364"/>
      <c r="HH233" s="364"/>
      <c r="HI233" s="364"/>
      <c r="HJ233" s="364"/>
      <c r="HK233" s="364"/>
      <c r="HL233" s="364"/>
    </row>
    <row r="234" spans="2:220" s="287" customFormat="1" ht="22.5" customHeight="1">
      <c r="B234" s="365">
        <v>240119</v>
      </c>
      <c r="C234" s="366" t="s">
        <v>14431</v>
      </c>
      <c r="D234" s="367"/>
      <c r="E234" s="368"/>
      <c r="F234" s="321" t="s">
        <v>149</v>
      </c>
      <c r="G234" s="326" t="s">
        <v>2411</v>
      </c>
      <c r="H234" s="326" t="s">
        <v>2412</v>
      </c>
      <c r="I234" s="326" t="s">
        <v>11</v>
      </c>
      <c r="J234" s="326" t="s">
        <v>21</v>
      </c>
      <c r="K234" s="326" t="s">
        <v>202</v>
      </c>
      <c r="L234" s="323"/>
      <c r="M234" s="374"/>
      <c r="N234" s="325" t="s">
        <v>704</v>
      </c>
      <c r="O234" s="326">
        <v>0</v>
      </c>
      <c r="P234" s="326" t="s">
        <v>210</v>
      </c>
      <c r="Q234" s="340" t="s">
        <v>15</v>
      </c>
      <c r="R234" s="329" t="s">
        <v>557</v>
      </c>
      <c r="S234" s="331" t="s">
        <v>14432</v>
      </c>
      <c r="T234" s="331" t="s">
        <v>14433</v>
      </c>
      <c r="U234" s="331" t="s">
        <v>16220</v>
      </c>
      <c r="V234" s="331" t="s">
        <v>14434</v>
      </c>
      <c r="W234" s="332" t="s">
        <v>432</v>
      </c>
      <c r="X234" s="331" t="s">
        <v>11079</v>
      </c>
      <c r="Y234" s="331" t="s">
        <v>11080</v>
      </c>
      <c r="Z234" s="331" t="s">
        <v>11080</v>
      </c>
      <c r="AA234" s="331" t="s">
        <v>295</v>
      </c>
      <c r="AB234" s="333" t="s">
        <v>558</v>
      </c>
      <c r="AC234" s="333"/>
      <c r="AD234" s="334" t="s">
        <v>2329</v>
      </c>
      <c r="AE234" s="335" t="s">
        <v>34</v>
      </c>
      <c r="AF234" s="336"/>
      <c r="AG234" s="337"/>
      <c r="AH234" s="376"/>
      <c r="AI234" s="347"/>
      <c r="AJ234" s="347"/>
      <c r="AK234" s="371"/>
      <c r="AL234" s="321" t="s">
        <v>210</v>
      </c>
      <c r="AM234" s="392" t="s">
        <v>15</v>
      </c>
      <c r="AN234" s="392" t="s">
        <v>15</v>
      </c>
      <c r="AO234" s="341" t="s">
        <v>15</v>
      </c>
      <c r="AP234" s="342"/>
      <c r="AQ234" s="343"/>
      <c r="AR234" s="370">
        <v>3549</v>
      </c>
      <c r="AS234" s="326">
        <v>100</v>
      </c>
      <c r="AT234" s="392">
        <v>1</v>
      </c>
      <c r="AU234" s="392"/>
      <c r="AV234" s="392">
        <v>1.5</v>
      </c>
      <c r="AW234" s="340"/>
      <c r="AX234" s="347"/>
      <c r="AY234" s="348"/>
      <c r="AZ234" s="377"/>
      <c r="BA234" s="374"/>
      <c r="BB234" s="374"/>
      <c r="BC234" s="374"/>
      <c r="BD234" s="374"/>
      <c r="BE234" s="374"/>
      <c r="BF234" s="374"/>
      <c r="BG234" s="374"/>
      <c r="BH234" s="378"/>
      <c r="BI234" s="376"/>
      <c r="BJ234" s="379"/>
      <c r="BK234" s="380"/>
      <c r="BL234" s="348"/>
      <c r="BM234" s="381"/>
      <c r="BN234" s="321" t="s">
        <v>15</v>
      </c>
      <c r="BO234" s="372"/>
      <c r="BP234" s="373" t="s">
        <v>15</v>
      </c>
      <c r="BQ234" s="360"/>
      <c r="BR234" s="361"/>
      <c r="BS234" s="361"/>
      <c r="BT234" s="361"/>
      <c r="BU234" s="342" t="s">
        <v>210</v>
      </c>
      <c r="BV234" s="342" t="s">
        <v>210</v>
      </c>
      <c r="BW234" s="341" t="s">
        <v>15</v>
      </c>
      <c r="BX234" s="361"/>
      <c r="BY234" s="362"/>
      <c r="BZ234" s="363"/>
      <c r="CA234" s="363"/>
      <c r="CB234" s="363"/>
      <c r="CC234" s="363"/>
      <c r="CD234" s="293"/>
      <c r="CE234" s="364"/>
      <c r="CF234" s="364"/>
      <c r="CG234" s="364"/>
      <c r="CH234" s="364"/>
      <c r="CI234" s="364"/>
      <c r="CJ234" s="364"/>
      <c r="CK234" s="364"/>
      <c r="CL234" s="364"/>
      <c r="CM234" s="364"/>
      <c r="CN234" s="364"/>
      <c r="CO234" s="364"/>
      <c r="CP234" s="364"/>
      <c r="CQ234" s="364"/>
      <c r="CR234" s="364"/>
      <c r="CS234" s="364"/>
      <c r="CT234" s="364"/>
      <c r="CU234" s="364"/>
      <c r="CV234" s="364"/>
      <c r="CW234" s="364"/>
      <c r="CX234" s="364"/>
      <c r="CY234" s="364"/>
      <c r="CZ234" s="364"/>
      <c r="DA234" s="364"/>
      <c r="DB234" s="364"/>
      <c r="DC234" s="364"/>
      <c r="DD234" s="364"/>
      <c r="DE234" s="364"/>
      <c r="DF234" s="364"/>
      <c r="DG234" s="364"/>
      <c r="DH234" s="364"/>
      <c r="DI234" s="364"/>
      <c r="DJ234" s="364"/>
      <c r="DK234" s="364"/>
      <c r="DL234" s="364"/>
      <c r="DM234" s="364"/>
      <c r="DN234" s="364"/>
      <c r="DO234" s="364"/>
      <c r="DP234" s="364"/>
      <c r="DQ234" s="364"/>
      <c r="DR234" s="364"/>
      <c r="DS234" s="364"/>
      <c r="DT234" s="364"/>
      <c r="DU234" s="364"/>
      <c r="DV234" s="364"/>
      <c r="DW234" s="364"/>
      <c r="DX234" s="364"/>
      <c r="DY234" s="364"/>
      <c r="DZ234" s="364"/>
      <c r="EA234" s="364"/>
      <c r="EB234" s="364"/>
      <c r="EC234" s="364"/>
      <c r="ED234" s="364"/>
      <c r="EE234" s="364"/>
      <c r="EF234" s="364"/>
      <c r="EG234" s="364"/>
      <c r="EH234" s="364"/>
      <c r="EI234" s="364"/>
      <c r="EJ234" s="364"/>
      <c r="EK234" s="364"/>
      <c r="EL234" s="364"/>
      <c r="EM234" s="364"/>
      <c r="EN234" s="364"/>
      <c r="EO234" s="364"/>
      <c r="EP234" s="364"/>
      <c r="EQ234" s="364"/>
      <c r="ER234" s="364"/>
      <c r="ES234" s="364"/>
      <c r="ET234" s="364"/>
      <c r="EU234" s="364"/>
      <c r="EV234" s="364"/>
      <c r="EW234" s="364"/>
      <c r="EX234" s="364"/>
      <c r="EY234" s="364"/>
      <c r="EZ234" s="364"/>
      <c r="FA234" s="364"/>
      <c r="FB234" s="364"/>
      <c r="FC234" s="364"/>
      <c r="FD234" s="364"/>
      <c r="FE234" s="364"/>
      <c r="FF234" s="364"/>
      <c r="FG234" s="364"/>
      <c r="FH234" s="364"/>
      <c r="FI234" s="364"/>
      <c r="FJ234" s="364"/>
      <c r="FK234" s="364"/>
      <c r="FL234" s="364"/>
      <c r="FM234" s="364"/>
      <c r="FN234" s="364"/>
      <c r="FO234" s="364"/>
      <c r="FP234" s="364"/>
      <c r="FQ234" s="364"/>
      <c r="FR234" s="364"/>
      <c r="FS234" s="364"/>
      <c r="FT234" s="364"/>
      <c r="FU234" s="364"/>
      <c r="FV234" s="364"/>
      <c r="FW234" s="364"/>
      <c r="FX234" s="364"/>
      <c r="FY234" s="364"/>
      <c r="FZ234" s="364"/>
      <c r="GA234" s="364"/>
      <c r="GB234" s="364"/>
      <c r="GC234" s="364"/>
      <c r="GD234" s="364"/>
      <c r="GE234" s="364"/>
      <c r="GF234" s="364"/>
      <c r="GG234" s="364"/>
      <c r="GH234" s="364"/>
      <c r="GI234" s="364"/>
      <c r="GJ234" s="364"/>
      <c r="GK234" s="364"/>
      <c r="GL234" s="364"/>
      <c r="GM234" s="364"/>
      <c r="GN234" s="364"/>
      <c r="GO234" s="364"/>
      <c r="GP234" s="364"/>
      <c r="GQ234" s="364"/>
      <c r="GR234" s="364"/>
      <c r="GS234" s="364"/>
      <c r="GT234" s="364"/>
      <c r="GU234" s="364"/>
      <c r="GV234" s="364"/>
      <c r="GW234" s="364"/>
      <c r="GX234" s="364"/>
      <c r="GY234" s="364"/>
      <c r="GZ234" s="364"/>
      <c r="HA234" s="364"/>
      <c r="HB234" s="364"/>
      <c r="HC234" s="364"/>
      <c r="HD234" s="364"/>
      <c r="HE234" s="364"/>
      <c r="HF234" s="364"/>
      <c r="HG234" s="364"/>
      <c r="HH234" s="364"/>
      <c r="HI234" s="364"/>
      <c r="HJ234" s="364"/>
      <c r="HK234" s="364"/>
      <c r="HL234" s="364"/>
    </row>
    <row r="235" spans="2:220" ht="22.5" customHeight="1">
      <c r="B235" s="365">
        <v>240120</v>
      </c>
      <c r="C235" s="366" t="s">
        <v>14428</v>
      </c>
      <c r="D235" s="419"/>
      <c r="E235" s="368"/>
      <c r="F235" s="321" t="s">
        <v>41</v>
      </c>
      <c r="G235" s="326" t="s">
        <v>2409</v>
      </c>
      <c r="H235" s="326" t="s">
        <v>2410</v>
      </c>
      <c r="I235" s="326" t="s">
        <v>11</v>
      </c>
      <c r="J235" s="326" t="s">
        <v>12</v>
      </c>
      <c r="K235" s="326" t="s">
        <v>10</v>
      </c>
      <c r="L235" s="323"/>
      <c r="M235" s="374"/>
      <c r="N235" s="325" t="s">
        <v>437</v>
      </c>
      <c r="O235" s="326">
        <v>30</v>
      </c>
      <c r="P235" s="327">
        <v>692.92</v>
      </c>
      <c r="Q235" s="369">
        <v>692.92</v>
      </c>
      <c r="R235" s="329" t="s">
        <v>708</v>
      </c>
      <c r="S235" s="331" t="s">
        <v>14429</v>
      </c>
      <c r="T235" s="330"/>
      <c r="U235" s="330"/>
      <c r="V235" s="331" t="s">
        <v>14430</v>
      </c>
      <c r="W235" s="332" t="s">
        <v>432</v>
      </c>
      <c r="X235" s="331" t="s">
        <v>11079</v>
      </c>
      <c r="Y235" s="331" t="s">
        <v>11080</v>
      </c>
      <c r="Z235" s="331" t="s">
        <v>11080</v>
      </c>
      <c r="AA235" s="331" t="s">
        <v>295</v>
      </c>
      <c r="AB235" s="333"/>
      <c r="AC235" s="333"/>
      <c r="AD235" s="334" t="s">
        <v>314</v>
      </c>
      <c r="AE235" s="335" t="s">
        <v>15</v>
      </c>
      <c r="AF235" s="336"/>
      <c r="AG235" s="337"/>
      <c r="AH235" s="417">
        <v>5.6</v>
      </c>
      <c r="AI235" s="392">
        <v>17.8</v>
      </c>
      <c r="AJ235" s="392">
        <v>10.8</v>
      </c>
      <c r="AK235" s="340">
        <f>SUM(AH235:AJ235)</f>
        <v>34.200000000000003</v>
      </c>
      <c r="AL235" s="321" t="s">
        <v>210</v>
      </c>
      <c r="AM235" s="392" t="s">
        <v>15</v>
      </c>
      <c r="AN235" s="392" t="s">
        <v>15</v>
      </c>
      <c r="AO235" s="341" t="s">
        <v>15</v>
      </c>
      <c r="AP235" s="342"/>
      <c r="AQ235" s="343"/>
      <c r="AR235" s="370">
        <v>784</v>
      </c>
      <c r="AS235" s="326">
        <v>80</v>
      </c>
      <c r="AT235" s="392">
        <v>0.8</v>
      </c>
      <c r="AU235" s="392"/>
      <c r="AV235" s="392">
        <v>1.2</v>
      </c>
      <c r="AW235" s="340"/>
      <c r="AX235" s="347"/>
      <c r="AY235" s="348"/>
      <c r="AZ235" s="377"/>
      <c r="BA235" s="374"/>
      <c r="BB235" s="374"/>
      <c r="BC235" s="374"/>
      <c r="BD235" s="374"/>
      <c r="BE235" s="374"/>
      <c r="BF235" s="374"/>
      <c r="BG235" s="374"/>
      <c r="BH235" s="378"/>
      <c r="BI235" s="376"/>
      <c r="BJ235" s="379"/>
      <c r="BK235" s="380"/>
      <c r="BL235" s="348"/>
      <c r="BM235" s="381"/>
      <c r="BN235" s="321" t="s">
        <v>15</v>
      </c>
      <c r="BO235" s="372"/>
      <c r="BP235" s="373" t="s">
        <v>983</v>
      </c>
      <c r="BQ235" s="360"/>
      <c r="BR235" s="361"/>
      <c r="BS235" s="361"/>
      <c r="BT235" s="361"/>
      <c r="BU235" s="342" t="s">
        <v>210</v>
      </c>
      <c r="BV235" s="342" t="s">
        <v>210</v>
      </c>
      <c r="BW235" s="341" t="s">
        <v>15</v>
      </c>
      <c r="BX235" s="361"/>
      <c r="BY235" s="362"/>
      <c r="BZ235" s="363"/>
      <c r="CA235" s="363"/>
      <c r="CB235" s="363"/>
      <c r="CC235" s="363"/>
    </row>
    <row r="236" spans="2:220" s="287" customFormat="1" ht="22.5" customHeight="1">
      <c r="B236" s="365">
        <v>240121</v>
      </c>
      <c r="C236" s="366" t="s">
        <v>13662</v>
      </c>
      <c r="D236" s="367"/>
      <c r="E236" s="368"/>
      <c r="F236" s="321" t="s">
        <v>66</v>
      </c>
      <c r="G236" s="326" t="s">
        <v>2406</v>
      </c>
      <c r="H236" s="326" t="s">
        <v>2408</v>
      </c>
      <c r="I236" s="326" t="s">
        <v>11</v>
      </c>
      <c r="J236" s="326" t="s">
        <v>12</v>
      </c>
      <c r="K236" s="326" t="s">
        <v>10</v>
      </c>
      <c r="L236" s="323"/>
      <c r="M236" s="324" t="s">
        <v>10768</v>
      </c>
      <c r="N236" s="325" t="s">
        <v>437</v>
      </c>
      <c r="O236" s="326">
        <v>60</v>
      </c>
      <c r="P236" s="326" t="s">
        <v>210</v>
      </c>
      <c r="Q236" s="340" t="s">
        <v>15</v>
      </c>
      <c r="R236" s="329" t="s">
        <v>1098</v>
      </c>
      <c r="S236" s="331" t="s">
        <v>13396</v>
      </c>
      <c r="T236" s="394" t="s">
        <v>12439</v>
      </c>
      <c r="U236" s="394" t="s">
        <v>16310</v>
      </c>
      <c r="V236" s="331" t="s">
        <v>13395</v>
      </c>
      <c r="W236" s="332" t="s">
        <v>432</v>
      </c>
      <c r="X236" s="331" t="s">
        <v>11079</v>
      </c>
      <c r="Y236" s="331" t="s">
        <v>11080</v>
      </c>
      <c r="Z236" s="331" t="s">
        <v>11080</v>
      </c>
      <c r="AA236" s="331" t="s">
        <v>295</v>
      </c>
      <c r="AB236" s="333"/>
      <c r="AC236" s="333"/>
      <c r="AD236" s="334" t="s">
        <v>315</v>
      </c>
      <c r="AE236" s="335" t="s">
        <v>15</v>
      </c>
      <c r="AF236" s="336"/>
      <c r="AG236" s="337"/>
      <c r="AH236" s="417">
        <v>8</v>
      </c>
      <c r="AI236" s="392">
        <v>13.7</v>
      </c>
      <c r="AJ236" s="392">
        <v>8.5</v>
      </c>
      <c r="AK236" s="340">
        <f>SUM(AH236:AJ236)</f>
        <v>30.2</v>
      </c>
      <c r="AL236" s="321" t="s">
        <v>210</v>
      </c>
      <c r="AM236" s="392" t="s">
        <v>15</v>
      </c>
      <c r="AN236" s="392" t="s">
        <v>15</v>
      </c>
      <c r="AO236" s="341" t="s">
        <v>15</v>
      </c>
      <c r="AP236" s="342"/>
      <c r="AQ236" s="343"/>
      <c r="AR236" s="370">
        <v>842</v>
      </c>
      <c r="AS236" s="326">
        <v>80</v>
      </c>
      <c r="AT236" s="392">
        <v>1</v>
      </c>
      <c r="AU236" s="392"/>
      <c r="AV236" s="392">
        <v>1.2</v>
      </c>
      <c r="AW236" s="340"/>
      <c r="AX236" s="347"/>
      <c r="AY236" s="348"/>
      <c r="AZ236" s="377"/>
      <c r="BA236" s="374"/>
      <c r="BB236" s="374"/>
      <c r="BC236" s="374"/>
      <c r="BD236" s="374"/>
      <c r="BE236" s="374"/>
      <c r="BF236" s="374"/>
      <c r="BG236" s="374"/>
      <c r="BH236" s="378"/>
      <c r="BI236" s="376"/>
      <c r="BJ236" s="379"/>
      <c r="BK236" s="380"/>
      <c r="BL236" s="348"/>
      <c r="BM236" s="381"/>
      <c r="BN236" s="321" t="s">
        <v>983</v>
      </c>
      <c r="BO236" s="372"/>
      <c r="BP236" s="373" t="s">
        <v>983</v>
      </c>
      <c r="BQ236" s="360"/>
      <c r="BR236" s="361"/>
      <c r="BS236" s="361"/>
      <c r="BT236" s="361"/>
      <c r="BU236" s="342" t="s">
        <v>210</v>
      </c>
      <c r="BV236" s="342" t="s">
        <v>210</v>
      </c>
      <c r="BW236" s="341" t="s">
        <v>15</v>
      </c>
      <c r="BX236" s="361"/>
      <c r="BY236" s="362"/>
      <c r="BZ236" s="363"/>
      <c r="CA236" s="363"/>
      <c r="CB236" s="363"/>
      <c r="CC236" s="363"/>
      <c r="CD236" s="293"/>
      <c r="CE236" s="364"/>
      <c r="CF236" s="364"/>
      <c r="CG236" s="364"/>
      <c r="CH236" s="364"/>
      <c r="CI236" s="364"/>
      <c r="CJ236" s="364"/>
      <c r="CK236" s="364"/>
      <c r="CL236" s="364"/>
      <c r="CM236" s="364"/>
      <c r="CN236" s="364"/>
      <c r="CO236" s="364"/>
      <c r="CP236" s="364"/>
      <c r="CQ236" s="364"/>
      <c r="CR236" s="364"/>
      <c r="CS236" s="364"/>
      <c r="CT236" s="364"/>
      <c r="CU236" s="364"/>
      <c r="CV236" s="364"/>
      <c r="CW236" s="364"/>
      <c r="CX236" s="364"/>
      <c r="CY236" s="364"/>
      <c r="CZ236" s="364"/>
      <c r="DA236" s="364"/>
      <c r="DB236" s="364"/>
      <c r="DC236" s="364"/>
      <c r="DD236" s="364"/>
      <c r="DE236" s="364"/>
      <c r="DF236" s="364"/>
      <c r="DG236" s="364"/>
      <c r="DH236" s="364"/>
      <c r="DI236" s="364"/>
      <c r="DJ236" s="364"/>
      <c r="DK236" s="364"/>
      <c r="DL236" s="364"/>
      <c r="DM236" s="364"/>
      <c r="DN236" s="364"/>
      <c r="DO236" s="364"/>
      <c r="DP236" s="364"/>
      <c r="DQ236" s="364"/>
      <c r="DR236" s="364"/>
      <c r="DS236" s="364"/>
      <c r="DT236" s="364"/>
      <c r="DU236" s="364"/>
      <c r="DV236" s="364"/>
      <c r="DW236" s="364"/>
      <c r="DX236" s="364"/>
      <c r="DY236" s="364"/>
      <c r="DZ236" s="364"/>
      <c r="EA236" s="364"/>
      <c r="EB236" s="364"/>
      <c r="EC236" s="364"/>
      <c r="ED236" s="364"/>
      <c r="EE236" s="364"/>
      <c r="EF236" s="364"/>
      <c r="EG236" s="364"/>
      <c r="EH236" s="364"/>
      <c r="EI236" s="364"/>
      <c r="EJ236" s="364"/>
      <c r="EK236" s="364"/>
      <c r="EL236" s="364"/>
      <c r="EM236" s="364"/>
      <c r="EN236" s="364"/>
      <c r="EO236" s="364"/>
      <c r="EP236" s="364"/>
      <c r="EQ236" s="364"/>
      <c r="ER236" s="364"/>
      <c r="ES236" s="364"/>
      <c r="ET236" s="364"/>
      <c r="EU236" s="364"/>
      <c r="EV236" s="364"/>
      <c r="EW236" s="364"/>
      <c r="EX236" s="364"/>
      <c r="EY236" s="364"/>
      <c r="EZ236" s="364"/>
      <c r="FA236" s="364"/>
      <c r="FB236" s="364"/>
      <c r="FC236" s="364"/>
      <c r="FD236" s="364"/>
      <c r="FE236" s="364"/>
      <c r="FF236" s="364"/>
      <c r="FG236" s="364"/>
      <c r="FH236" s="364"/>
      <c r="FI236" s="364"/>
      <c r="FJ236" s="364"/>
      <c r="FK236" s="364"/>
      <c r="FL236" s="364"/>
      <c r="FM236" s="364"/>
      <c r="FN236" s="364"/>
      <c r="FO236" s="364"/>
      <c r="FP236" s="364"/>
      <c r="FQ236" s="364"/>
      <c r="FR236" s="364"/>
      <c r="FS236" s="364"/>
      <c r="FT236" s="364"/>
      <c r="FU236" s="364"/>
      <c r="FV236" s="364"/>
      <c r="FW236" s="364"/>
      <c r="FX236" s="364"/>
      <c r="FY236" s="364"/>
      <c r="FZ236" s="364"/>
      <c r="GA236" s="364"/>
      <c r="GB236" s="364"/>
      <c r="GC236" s="364"/>
      <c r="GD236" s="364"/>
      <c r="GE236" s="364"/>
      <c r="GF236" s="364"/>
      <c r="GG236" s="364"/>
      <c r="GH236" s="364"/>
      <c r="GI236" s="364"/>
      <c r="GJ236" s="364"/>
      <c r="GK236" s="364"/>
      <c r="GL236" s="364"/>
      <c r="GM236" s="364"/>
      <c r="GN236" s="364"/>
      <c r="GO236" s="364"/>
      <c r="GP236" s="364"/>
      <c r="GQ236" s="364"/>
      <c r="GR236" s="364"/>
      <c r="GS236" s="364"/>
      <c r="GT236" s="364"/>
      <c r="GU236" s="364"/>
      <c r="GV236" s="364"/>
      <c r="GW236" s="364"/>
      <c r="GX236" s="364"/>
      <c r="GY236" s="364"/>
      <c r="GZ236" s="364"/>
      <c r="HA236" s="364"/>
      <c r="HB236" s="364"/>
      <c r="HC236" s="364"/>
      <c r="HD236" s="364"/>
      <c r="HE236" s="364"/>
      <c r="HF236" s="364"/>
      <c r="HG236" s="364"/>
      <c r="HH236" s="364"/>
      <c r="HI236" s="364"/>
      <c r="HJ236" s="364"/>
      <c r="HK236" s="364"/>
      <c r="HL236" s="364"/>
    </row>
    <row r="237" spans="2:220" s="287" customFormat="1" ht="22.5" customHeight="1">
      <c r="B237" s="306">
        <v>240122</v>
      </c>
      <c r="C237" s="435" t="s">
        <v>14423</v>
      </c>
      <c r="D237" s="436"/>
      <c r="E237" s="437"/>
      <c r="F237" s="321" t="s">
        <v>709</v>
      </c>
      <c r="G237" s="326" t="s">
        <v>2405</v>
      </c>
      <c r="H237" s="326" t="s">
        <v>2868</v>
      </c>
      <c r="I237" s="326" t="s">
        <v>11</v>
      </c>
      <c r="J237" s="326" t="s">
        <v>12</v>
      </c>
      <c r="K237" s="326" t="s">
        <v>710</v>
      </c>
      <c r="L237" s="323"/>
      <c r="M237" s="374"/>
      <c r="N237" s="325" t="s">
        <v>437</v>
      </c>
      <c r="O237" s="326">
        <v>30</v>
      </c>
      <c r="P237" s="392">
        <v>113.56</v>
      </c>
      <c r="Q237" s="340">
        <v>113.56</v>
      </c>
      <c r="R237" s="329" t="s">
        <v>14424</v>
      </c>
      <c r="S237" s="331" t="s">
        <v>14425</v>
      </c>
      <c r="T237" s="331" t="s">
        <v>14426</v>
      </c>
      <c r="U237" s="331" t="s">
        <v>16270</v>
      </c>
      <c r="V237" s="331" t="s">
        <v>14427</v>
      </c>
      <c r="W237" s="332" t="s">
        <v>432</v>
      </c>
      <c r="X237" s="331" t="s">
        <v>11079</v>
      </c>
      <c r="Y237" s="331" t="s">
        <v>11080</v>
      </c>
      <c r="Z237" s="331" t="s">
        <v>11080</v>
      </c>
      <c r="AA237" s="331" t="s">
        <v>295</v>
      </c>
      <c r="AB237" s="333"/>
      <c r="AC237" s="416"/>
      <c r="AD237" s="375"/>
      <c r="AE237" s="335" t="s">
        <v>210</v>
      </c>
      <c r="AF237" s="336"/>
      <c r="AG237" s="337"/>
      <c r="AH237" s="417" t="s">
        <v>210</v>
      </c>
      <c r="AI237" s="392" t="s">
        <v>210</v>
      </c>
      <c r="AJ237" s="392" t="s">
        <v>210</v>
      </c>
      <c r="AK237" s="340" t="s">
        <v>210</v>
      </c>
      <c r="AL237" s="321" t="s">
        <v>210</v>
      </c>
      <c r="AM237" s="392" t="s">
        <v>15</v>
      </c>
      <c r="AN237" s="392" t="s">
        <v>15</v>
      </c>
      <c r="AO237" s="341" t="s">
        <v>15</v>
      </c>
      <c r="AP237" s="342"/>
      <c r="AQ237" s="343"/>
      <c r="AR237" s="370">
        <v>186</v>
      </c>
      <c r="AS237" s="326">
        <v>80</v>
      </c>
      <c r="AT237" s="392">
        <v>0.6</v>
      </c>
      <c r="AU237" s="392"/>
      <c r="AV237" s="392">
        <v>0.6</v>
      </c>
      <c r="AW237" s="340"/>
      <c r="AX237" s="347"/>
      <c r="AY237" s="348"/>
      <c r="AZ237" s="377"/>
      <c r="BA237" s="374"/>
      <c r="BB237" s="374"/>
      <c r="BC237" s="374"/>
      <c r="BD237" s="374"/>
      <c r="BE237" s="374"/>
      <c r="BF237" s="374"/>
      <c r="BG237" s="374"/>
      <c r="BH237" s="378"/>
      <c r="BI237" s="376"/>
      <c r="BJ237" s="379"/>
      <c r="BK237" s="380"/>
      <c r="BL237" s="348"/>
      <c r="BM237" s="381"/>
      <c r="BN237" s="321" t="s">
        <v>15</v>
      </c>
      <c r="BO237" s="372"/>
      <c r="BP237" s="373" t="s">
        <v>15</v>
      </c>
      <c r="BQ237" s="360"/>
      <c r="BR237" s="361"/>
      <c r="BS237" s="361"/>
      <c r="BT237" s="361"/>
      <c r="BU237" s="342" t="s">
        <v>210</v>
      </c>
      <c r="BV237" s="342" t="s">
        <v>210</v>
      </c>
      <c r="BW237" s="341" t="s">
        <v>15</v>
      </c>
      <c r="BX237" s="361"/>
      <c r="BY237" s="362"/>
      <c r="BZ237" s="363"/>
      <c r="CA237" s="363"/>
      <c r="CB237" s="363"/>
      <c r="CC237" s="363"/>
      <c r="CD237" s="293"/>
      <c r="CE237" s="364"/>
      <c r="CF237" s="364"/>
      <c r="CG237" s="364"/>
      <c r="CH237" s="364"/>
      <c r="CI237" s="364"/>
      <c r="CJ237" s="364"/>
      <c r="CK237" s="364"/>
      <c r="CL237" s="364"/>
      <c r="CM237" s="364"/>
      <c r="CN237" s="364"/>
      <c r="CO237" s="364"/>
      <c r="CP237" s="364"/>
      <c r="CQ237" s="364"/>
      <c r="CR237" s="364"/>
      <c r="CS237" s="364"/>
      <c r="CT237" s="364"/>
      <c r="CU237" s="364"/>
      <c r="CV237" s="364"/>
      <c r="CW237" s="364"/>
      <c r="CX237" s="364"/>
      <c r="CY237" s="364"/>
      <c r="CZ237" s="364"/>
      <c r="DA237" s="364"/>
      <c r="DB237" s="364"/>
      <c r="DC237" s="364"/>
      <c r="DD237" s="364"/>
      <c r="DE237" s="364"/>
      <c r="DF237" s="364"/>
      <c r="DG237" s="364"/>
      <c r="DH237" s="364"/>
      <c r="DI237" s="364"/>
      <c r="DJ237" s="364"/>
      <c r="DK237" s="364"/>
      <c r="DL237" s="364"/>
      <c r="DM237" s="364"/>
      <c r="DN237" s="364"/>
      <c r="DO237" s="364"/>
      <c r="DP237" s="364"/>
      <c r="DQ237" s="364"/>
      <c r="DR237" s="364"/>
      <c r="DS237" s="364"/>
      <c r="DT237" s="364"/>
      <c r="DU237" s="364"/>
      <c r="DV237" s="364"/>
      <c r="DW237" s="364"/>
      <c r="DX237" s="364"/>
      <c r="DY237" s="364"/>
      <c r="DZ237" s="364"/>
      <c r="EA237" s="364"/>
      <c r="EB237" s="364"/>
      <c r="EC237" s="364"/>
      <c r="ED237" s="364"/>
      <c r="EE237" s="364"/>
      <c r="EF237" s="364"/>
      <c r="EG237" s="364"/>
      <c r="EH237" s="364"/>
      <c r="EI237" s="364"/>
      <c r="EJ237" s="364"/>
      <c r="EK237" s="364"/>
      <c r="EL237" s="364"/>
      <c r="EM237" s="364"/>
      <c r="EN237" s="364"/>
      <c r="EO237" s="364"/>
      <c r="EP237" s="364"/>
      <c r="EQ237" s="364"/>
      <c r="ER237" s="364"/>
      <c r="ES237" s="364"/>
      <c r="ET237" s="364"/>
      <c r="EU237" s="364"/>
      <c r="EV237" s="364"/>
      <c r="EW237" s="364"/>
      <c r="EX237" s="364"/>
      <c r="EY237" s="364"/>
      <c r="EZ237" s="364"/>
      <c r="FA237" s="364"/>
      <c r="FB237" s="364"/>
      <c r="FC237" s="364"/>
      <c r="FD237" s="364"/>
      <c r="FE237" s="364"/>
      <c r="FF237" s="364"/>
      <c r="FG237" s="364"/>
      <c r="FH237" s="364"/>
      <c r="FI237" s="364"/>
      <c r="FJ237" s="364"/>
      <c r="FK237" s="364"/>
      <c r="FL237" s="364"/>
      <c r="FM237" s="364"/>
      <c r="FN237" s="364"/>
      <c r="FO237" s="364"/>
      <c r="FP237" s="364"/>
      <c r="FQ237" s="364"/>
      <c r="FR237" s="364"/>
      <c r="FS237" s="364"/>
      <c r="FT237" s="364"/>
      <c r="FU237" s="364"/>
      <c r="FV237" s="364"/>
      <c r="FW237" s="364"/>
      <c r="FX237" s="364"/>
      <c r="FY237" s="364"/>
      <c r="FZ237" s="364"/>
      <c r="GA237" s="364"/>
      <c r="GB237" s="364"/>
      <c r="GC237" s="364"/>
      <c r="GD237" s="364"/>
      <c r="GE237" s="364"/>
      <c r="GF237" s="364"/>
      <c r="GG237" s="364"/>
      <c r="GH237" s="364"/>
      <c r="GI237" s="364"/>
      <c r="GJ237" s="364"/>
      <c r="GK237" s="364"/>
      <c r="GL237" s="364"/>
      <c r="GM237" s="364"/>
      <c r="GN237" s="364"/>
      <c r="GO237" s="364"/>
      <c r="GP237" s="364"/>
      <c r="GQ237" s="364"/>
      <c r="GR237" s="364"/>
      <c r="GS237" s="364"/>
      <c r="GT237" s="364"/>
      <c r="GU237" s="364"/>
      <c r="GV237" s="364"/>
      <c r="GW237" s="364"/>
      <c r="GX237" s="364"/>
      <c r="GY237" s="364"/>
      <c r="GZ237" s="364"/>
      <c r="HA237" s="364"/>
      <c r="HB237" s="364"/>
      <c r="HC237" s="364"/>
      <c r="HD237" s="364"/>
      <c r="HE237" s="364"/>
      <c r="HF237" s="364"/>
      <c r="HG237" s="364"/>
      <c r="HH237" s="364"/>
      <c r="HI237" s="364"/>
      <c r="HJ237" s="364"/>
      <c r="HK237" s="364"/>
      <c r="HL237" s="364"/>
    </row>
    <row r="238" spans="2:220" s="287" customFormat="1" ht="22.5" customHeight="1">
      <c r="B238" s="365">
        <v>240123</v>
      </c>
      <c r="C238" s="366" t="s">
        <v>14422</v>
      </c>
      <c r="D238" s="367"/>
      <c r="E238" s="368"/>
      <c r="F238" s="321" t="s">
        <v>2402</v>
      </c>
      <c r="G238" s="326" t="s">
        <v>2403</v>
      </c>
      <c r="H238" s="326" t="s">
        <v>2404</v>
      </c>
      <c r="I238" s="326" t="s">
        <v>11</v>
      </c>
      <c r="J238" s="326" t="s">
        <v>12</v>
      </c>
      <c r="K238" s="326" t="s">
        <v>10</v>
      </c>
      <c r="L238" s="323"/>
      <c r="M238" s="374"/>
      <c r="N238" s="325" t="s">
        <v>437</v>
      </c>
      <c r="O238" s="326" t="s">
        <v>711</v>
      </c>
      <c r="P238" s="326" t="s">
        <v>210</v>
      </c>
      <c r="Q238" s="340" t="s">
        <v>15</v>
      </c>
      <c r="R238" s="329" t="s">
        <v>530</v>
      </c>
      <c r="S238" s="394" t="s">
        <v>11460</v>
      </c>
      <c r="T238" s="394" t="s">
        <v>11461</v>
      </c>
      <c r="U238" s="394" t="s">
        <v>11462</v>
      </c>
      <c r="V238" s="394" t="s">
        <v>11463</v>
      </c>
      <c r="W238" s="645"/>
      <c r="X238" s="330"/>
      <c r="Y238" s="330"/>
      <c r="Z238" s="330"/>
      <c r="AA238" s="330"/>
      <c r="AB238" s="333"/>
      <c r="AC238" s="416"/>
      <c r="AD238" s="375"/>
      <c r="AE238" s="335" t="s">
        <v>15</v>
      </c>
      <c r="AF238" s="336"/>
      <c r="AG238" s="337"/>
      <c r="AH238" s="417" t="s">
        <v>435</v>
      </c>
      <c r="AI238" s="392" t="s">
        <v>435</v>
      </c>
      <c r="AJ238" s="392" t="s">
        <v>435</v>
      </c>
      <c r="AK238" s="340" t="s">
        <v>435</v>
      </c>
      <c r="AL238" s="321" t="s">
        <v>210</v>
      </c>
      <c r="AM238" s="392" t="s">
        <v>15</v>
      </c>
      <c r="AN238" s="392" t="s">
        <v>15</v>
      </c>
      <c r="AO238" s="341" t="s">
        <v>15</v>
      </c>
      <c r="AP238" s="342"/>
      <c r="AQ238" s="343"/>
      <c r="AR238" s="370">
        <v>1328</v>
      </c>
      <c r="AS238" s="326">
        <v>80</v>
      </c>
      <c r="AT238" s="392">
        <v>0.8</v>
      </c>
      <c r="AU238" s="392"/>
      <c r="AV238" s="392">
        <v>1.4</v>
      </c>
      <c r="AW238" s="340"/>
      <c r="AX238" s="347"/>
      <c r="AY238" s="348"/>
      <c r="AZ238" s="377"/>
      <c r="BA238" s="374"/>
      <c r="BB238" s="374"/>
      <c r="BC238" s="374"/>
      <c r="BD238" s="374"/>
      <c r="BE238" s="374"/>
      <c r="BF238" s="374"/>
      <c r="BG238" s="374"/>
      <c r="BH238" s="378"/>
      <c r="BI238" s="376"/>
      <c r="BJ238" s="379"/>
      <c r="BK238" s="380"/>
      <c r="BL238" s="348"/>
      <c r="BM238" s="381"/>
      <c r="BN238" s="321" t="s">
        <v>983</v>
      </c>
      <c r="BO238" s="372"/>
      <c r="BP238" s="373" t="s">
        <v>15</v>
      </c>
      <c r="BQ238" s="360"/>
      <c r="BR238" s="361"/>
      <c r="BS238" s="361"/>
      <c r="BT238" s="361"/>
      <c r="BU238" s="342" t="s">
        <v>210</v>
      </c>
      <c r="BV238" s="342" t="s">
        <v>210</v>
      </c>
      <c r="BW238" s="341" t="s">
        <v>15</v>
      </c>
      <c r="BX238" s="361"/>
      <c r="BY238" s="362"/>
      <c r="BZ238" s="363"/>
      <c r="CA238" s="363"/>
      <c r="CB238" s="363"/>
      <c r="CC238" s="363"/>
      <c r="CD238" s="293"/>
      <c r="CE238" s="364"/>
      <c r="CF238" s="364"/>
      <c r="CG238" s="364"/>
      <c r="CH238" s="364"/>
      <c r="CI238" s="364"/>
      <c r="CJ238" s="364"/>
      <c r="CK238" s="364"/>
      <c r="CL238" s="364"/>
      <c r="CM238" s="364"/>
      <c r="CN238" s="364"/>
      <c r="CO238" s="364"/>
      <c r="CP238" s="364"/>
      <c r="CQ238" s="364"/>
      <c r="CR238" s="364"/>
      <c r="CS238" s="364"/>
      <c r="CT238" s="364"/>
      <c r="CU238" s="364"/>
      <c r="CV238" s="364"/>
      <c r="CW238" s="364"/>
      <c r="CX238" s="364"/>
      <c r="CY238" s="364"/>
      <c r="CZ238" s="364"/>
      <c r="DA238" s="364"/>
      <c r="DB238" s="364"/>
      <c r="DC238" s="364"/>
      <c r="DD238" s="364"/>
      <c r="DE238" s="364"/>
      <c r="DF238" s="364"/>
      <c r="DG238" s="364"/>
      <c r="DH238" s="364"/>
      <c r="DI238" s="364"/>
      <c r="DJ238" s="364"/>
      <c r="DK238" s="364"/>
      <c r="DL238" s="364"/>
      <c r="DM238" s="364"/>
      <c r="DN238" s="364"/>
      <c r="DO238" s="364"/>
      <c r="DP238" s="364"/>
      <c r="DQ238" s="364"/>
      <c r="DR238" s="364"/>
      <c r="DS238" s="364"/>
      <c r="DT238" s="364"/>
      <c r="DU238" s="364"/>
      <c r="DV238" s="364"/>
      <c r="DW238" s="364"/>
      <c r="DX238" s="364"/>
      <c r="DY238" s="364"/>
      <c r="DZ238" s="364"/>
      <c r="EA238" s="364"/>
      <c r="EB238" s="364"/>
      <c r="EC238" s="364"/>
      <c r="ED238" s="364"/>
      <c r="EE238" s="364"/>
      <c r="EF238" s="364"/>
      <c r="EG238" s="364"/>
      <c r="EH238" s="364"/>
      <c r="EI238" s="364"/>
      <c r="EJ238" s="364"/>
      <c r="EK238" s="364"/>
      <c r="EL238" s="364"/>
      <c r="EM238" s="364"/>
      <c r="EN238" s="364"/>
      <c r="EO238" s="364"/>
      <c r="EP238" s="364"/>
      <c r="EQ238" s="364"/>
      <c r="ER238" s="364"/>
      <c r="ES238" s="364"/>
      <c r="ET238" s="364"/>
      <c r="EU238" s="364"/>
      <c r="EV238" s="364"/>
      <c r="EW238" s="364"/>
      <c r="EX238" s="364"/>
      <c r="EY238" s="364"/>
      <c r="EZ238" s="364"/>
      <c r="FA238" s="364"/>
      <c r="FB238" s="364"/>
      <c r="FC238" s="364"/>
      <c r="FD238" s="364"/>
      <c r="FE238" s="364"/>
      <c r="FF238" s="364"/>
      <c r="FG238" s="364"/>
      <c r="FH238" s="364"/>
      <c r="FI238" s="364"/>
      <c r="FJ238" s="364"/>
      <c r="FK238" s="364"/>
      <c r="FL238" s="364"/>
      <c r="FM238" s="364"/>
      <c r="FN238" s="364"/>
      <c r="FO238" s="364"/>
      <c r="FP238" s="364"/>
      <c r="FQ238" s="364"/>
      <c r="FR238" s="364"/>
      <c r="FS238" s="364"/>
      <c r="FT238" s="364"/>
      <c r="FU238" s="364"/>
      <c r="FV238" s="364"/>
      <c r="FW238" s="364"/>
      <c r="FX238" s="364"/>
      <c r="FY238" s="364"/>
      <c r="FZ238" s="364"/>
      <c r="GA238" s="364"/>
      <c r="GB238" s="364"/>
      <c r="GC238" s="364"/>
      <c r="GD238" s="364"/>
      <c r="GE238" s="364"/>
      <c r="GF238" s="364"/>
      <c r="GG238" s="364"/>
      <c r="GH238" s="364"/>
      <c r="GI238" s="364"/>
      <c r="GJ238" s="364"/>
      <c r="GK238" s="364"/>
      <c r="GL238" s="364"/>
      <c r="GM238" s="364"/>
      <c r="GN238" s="364"/>
      <c r="GO238" s="364"/>
      <c r="GP238" s="364"/>
      <c r="GQ238" s="364"/>
      <c r="GR238" s="364"/>
      <c r="GS238" s="364"/>
      <c r="GT238" s="364"/>
      <c r="GU238" s="364"/>
      <c r="GV238" s="364"/>
      <c r="GW238" s="364"/>
      <c r="GX238" s="364"/>
      <c r="GY238" s="364"/>
      <c r="GZ238" s="364"/>
      <c r="HA238" s="364"/>
      <c r="HB238" s="364"/>
      <c r="HC238" s="364"/>
      <c r="HD238" s="364"/>
      <c r="HE238" s="364"/>
      <c r="HF238" s="364"/>
      <c r="HG238" s="364"/>
      <c r="HH238" s="364"/>
      <c r="HI238" s="364"/>
      <c r="HJ238" s="364"/>
      <c r="HK238" s="364"/>
      <c r="HL238" s="364"/>
    </row>
    <row r="239" spans="2:220" s="287" customFormat="1" ht="22.5" customHeight="1">
      <c r="B239" s="365">
        <v>240124</v>
      </c>
      <c r="C239" s="366" t="s">
        <v>14421</v>
      </c>
      <c r="D239" s="367"/>
      <c r="E239" s="368"/>
      <c r="F239" s="321" t="s">
        <v>57</v>
      </c>
      <c r="G239" s="326" t="s">
        <v>2400</v>
      </c>
      <c r="H239" s="326" t="s">
        <v>2401</v>
      </c>
      <c r="I239" s="326" t="s">
        <v>11</v>
      </c>
      <c r="J239" s="326" t="s">
        <v>12</v>
      </c>
      <c r="K239" s="326" t="s">
        <v>993</v>
      </c>
      <c r="L239" s="323"/>
      <c r="M239" s="374"/>
      <c r="N239" s="325" t="s">
        <v>437</v>
      </c>
      <c r="O239" s="326" t="s">
        <v>711</v>
      </c>
      <c r="P239" s="327">
        <v>445.56</v>
      </c>
      <c r="Q239" s="369">
        <v>495.21</v>
      </c>
      <c r="R239" s="329" t="s">
        <v>713</v>
      </c>
      <c r="S239" s="330"/>
      <c r="T239" s="330"/>
      <c r="U239" s="330"/>
      <c r="V239" s="330"/>
      <c r="W239" s="332" t="s">
        <v>712</v>
      </c>
      <c r="X239" s="394" t="s">
        <v>12488</v>
      </c>
      <c r="Y239" s="394" t="s">
        <v>12491</v>
      </c>
      <c r="Z239" s="394" t="s">
        <v>12490</v>
      </c>
      <c r="AA239" s="394" t="s">
        <v>12489</v>
      </c>
      <c r="AB239" s="333"/>
      <c r="AC239" s="333"/>
      <c r="AD239" s="334" t="s">
        <v>2330</v>
      </c>
      <c r="AE239" s="335" t="s">
        <v>15</v>
      </c>
      <c r="AF239" s="336"/>
      <c r="AG239" s="337"/>
      <c r="AH239" s="417" t="s">
        <v>435</v>
      </c>
      <c r="AI239" s="392" t="s">
        <v>435</v>
      </c>
      <c r="AJ239" s="392" t="s">
        <v>435</v>
      </c>
      <c r="AK239" s="340" t="s">
        <v>435</v>
      </c>
      <c r="AL239" s="321" t="s">
        <v>210</v>
      </c>
      <c r="AM239" s="392" t="s">
        <v>15</v>
      </c>
      <c r="AN239" s="392" t="s">
        <v>15</v>
      </c>
      <c r="AO239" s="341" t="s">
        <v>15</v>
      </c>
      <c r="AP239" s="342"/>
      <c r="AQ239" s="343"/>
      <c r="AR239" s="370">
        <v>714</v>
      </c>
      <c r="AS239" s="326">
        <v>100</v>
      </c>
      <c r="AT239" s="392">
        <v>0.8</v>
      </c>
      <c r="AU239" s="392"/>
      <c r="AV239" s="392">
        <v>1.2</v>
      </c>
      <c r="AW239" s="340"/>
      <c r="AX239" s="347"/>
      <c r="AY239" s="348"/>
      <c r="AZ239" s="377"/>
      <c r="BA239" s="374"/>
      <c r="BB239" s="374"/>
      <c r="BC239" s="374"/>
      <c r="BD239" s="374"/>
      <c r="BE239" s="374"/>
      <c r="BF239" s="374"/>
      <c r="BG239" s="374"/>
      <c r="BH239" s="378"/>
      <c r="BI239" s="376"/>
      <c r="BJ239" s="379"/>
      <c r="BK239" s="380"/>
      <c r="BL239" s="348"/>
      <c r="BM239" s="381"/>
      <c r="BN239" s="321" t="s">
        <v>983</v>
      </c>
      <c r="BO239" s="372"/>
      <c r="BP239" s="373" t="s">
        <v>983</v>
      </c>
      <c r="BQ239" s="360"/>
      <c r="BR239" s="361"/>
      <c r="BS239" s="361"/>
      <c r="BT239" s="361"/>
      <c r="BU239" s="342" t="s">
        <v>210</v>
      </c>
      <c r="BV239" s="342" t="s">
        <v>210</v>
      </c>
      <c r="BW239" s="341" t="s">
        <v>15</v>
      </c>
      <c r="BX239" s="361"/>
      <c r="BY239" s="362"/>
      <c r="BZ239" s="363"/>
      <c r="CA239" s="363"/>
      <c r="CB239" s="363"/>
      <c r="CC239" s="363"/>
      <c r="CD239" s="293"/>
      <c r="CE239" s="364"/>
      <c r="CF239" s="364"/>
      <c r="CG239" s="364"/>
      <c r="CH239" s="364"/>
      <c r="CI239" s="364"/>
      <c r="CJ239" s="364"/>
      <c r="CK239" s="364"/>
      <c r="CL239" s="364"/>
      <c r="CM239" s="364"/>
      <c r="CN239" s="364"/>
      <c r="CO239" s="364"/>
      <c r="CP239" s="364"/>
      <c r="CQ239" s="364"/>
      <c r="CR239" s="364"/>
      <c r="CS239" s="364"/>
      <c r="CT239" s="364"/>
      <c r="CU239" s="364"/>
      <c r="CV239" s="364"/>
      <c r="CW239" s="364"/>
      <c r="CX239" s="364"/>
      <c r="CY239" s="364"/>
      <c r="CZ239" s="364"/>
      <c r="DA239" s="364"/>
      <c r="DB239" s="364"/>
      <c r="DC239" s="364"/>
      <c r="DD239" s="364"/>
      <c r="DE239" s="364"/>
      <c r="DF239" s="364"/>
      <c r="DG239" s="364"/>
      <c r="DH239" s="364"/>
      <c r="DI239" s="364"/>
      <c r="DJ239" s="364"/>
      <c r="DK239" s="364"/>
      <c r="DL239" s="364"/>
      <c r="DM239" s="364"/>
      <c r="DN239" s="364"/>
      <c r="DO239" s="364"/>
      <c r="DP239" s="364"/>
      <c r="DQ239" s="364"/>
      <c r="DR239" s="364"/>
      <c r="DS239" s="364"/>
      <c r="DT239" s="364"/>
      <c r="DU239" s="364"/>
      <c r="DV239" s="364"/>
      <c r="DW239" s="364"/>
      <c r="DX239" s="364"/>
      <c r="DY239" s="364"/>
      <c r="DZ239" s="364"/>
      <c r="EA239" s="364"/>
      <c r="EB239" s="364"/>
      <c r="EC239" s="364"/>
      <c r="ED239" s="364"/>
      <c r="EE239" s="364"/>
      <c r="EF239" s="364"/>
      <c r="EG239" s="364"/>
      <c r="EH239" s="364"/>
      <c r="EI239" s="364"/>
      <c r="EJ239" s="364"/>
      <c r="EK239" s="364"/>
      <c r="EL239" s="364"/>
      <c r="EM239" s="364"/>
      <c r="EN239" s="364"/>
      <c r="EO239" s="364"/>
      <c r="EP239" s="364"/>
      <c r="EQ239" s="364"/>
      <c r="ER239" s="364"/>
      <c r="ES239" s="364"/>
      <c r="ET239" s="364"/>
      <c r="EU239" s="364"/>
      <c r="EV239" s="364"/>
      <c r="EW239" s="364"/>
      <c r="EX239" s="364"/>
      <c r="EY239" s="364"/>
      <c r="EZ239" s="364"/>
      <c r="FA239" s="364"/>
      <c r="FB239" s="364"/>
      <c r="FC239" s="364"/>
      <c r="FD239" s="364"/>
      <c r="FE239" s="364"/>
      <c r="FF239" s="364"/>
      <c r="FG239" s="364"/>
      <c r="FH239" s="364"/>
      <c r="FI239" s="364"/>
      <c r="FJ239" s="364"/>
      <c r="FK239" s="364"/>
      <c r="FL239" s="364"/>
      <c r="FM239" s="364"/>
      <c r="FN239" s="364"/>
      <c r="FO239" s="364"/>
      <c r="FP239" s="364"/>
      <c r="FQ239" s="364"/>
      <c r="FR239" s="364"/>
      <c r="FS239" s="364"/>
      <c r="FT239" s="364"/>
      <c r="FU239" s="364"/>
      <c r="FV239" s="364"/>
      <c r="FW239" s="364"/>
      <c r="FX239" s="364"/>
      <c r="FY239" s="364"/>
      <c r="FZ239" s="364"/>
      <c r="GA239" s="364"/>
      <c r="GB239" s="364"/>
      <c r="GC239" s="364"/>
      <c r="GD239" s="364"/>
      <c r="GE239" s="364"/>
      <c r="GF239" s="364"/>
      <c r="GG239" s="364"/>
      <c r="GH239" s="364"/>
      <c r="GI239" s="364"/>
      <c r="GJ239" s="364"/>
      <c r="GK239" s="364"/>
      <c r="GL239" s="364"/>
      <c r="GM239" s="364"/>
      <c r="GN239" s="364"/>
      <c r="GO239" s="364"/>
      <c r="GP239" s="364"/>
      <c r="GQ239" s="364"/>
      <c r="GR239" s="364"/>
      <c r="GS239" s="364"/>
      <c r="GT239" s="364"/>
      <c r="GU239" s="364"/>
      <c r="GV239" s="364"/>
      <c r="GW239" s="364"/>
      <c r="GX239" s="364"/>
      <c r="GY239" s="364"/>
      <c r="GZ239" s="364"/>
      <c r="HA239" s="364"/>
      <c r="HB239" s="364"/>
      <c r="HC239" s="364"/>
      <c r="HD239" s="364"/>
      <c r="HE239" s="364"/>
      <c r="HF239" s="364"/>
      <c r="HG239" s="364"/>
      <c r="HH239" s="364"/>
      <c r="HI239" s="364"/>
      <c r="HJ239" s="364"/>
      <c r="HK239" s="364"/>
      <c r="HL239" s="364"/>
    </row>
    <row r="240" spans="2:220" s="287" customFormat="1" ht="22.5" customHeight="1">
      <c r="B240" s="365">
        <v>240125</v>
      </c>
      <c r="C240" s="366" t="s">
        <v>14420</v>
      </c>
      <c r="D240" s="367"/>
      <c r="E240" s="368"/>
      <c r="F240" s="321" t="s">
        <v>80</v>
      </c>
      <c r="G240" s="326" t="s">
        <v>2398</v>
      </c>
      <c r="H240" s="326" t="s">
        <v>2399</v>
      </c>
      <c r="I240" s="326" t="s">
        <v>78</v>
      </c>
      <c r="J240" s="326" t="s">
        <v>24</v>
      </c>
      <c r="K240" s="326" t="s">
        <v>203</v>
      </c>
      <c r="L240" s="323"/>
      <c r="M240" s="374"/>
      <c r="N240" s="325" t="s">
        <v>437</v>
      </c>
      <c r="O240" s="326" t="s">
        <v>711</v>
      </c>
      <c r="P240" s="326" t="s">
        <v>210</v>
      </c>
      <c r="Q240" s="340" t="s">
        <v>15</v>
      </c>
      <c r="R240" s="329" t="s">
        <v>714</v>
      </c>
      <c r="S240" s="330"/>
      <c r="T240" s="330"/>
      <c r="U240" s="330"/>
      <c r="V240" s="330"/>
      <c r="W240" s="332" t="s">
        <v>14398</v>
      </c>
      <c r="X240" s="330"/>
      <c r="Y240" s="331" t="s">
        <v>14141</v>
      </c>
      <c r="Z240" s="331" t="s">
        <v>14140</v>
      </c>
      <c r="AA240" s="331" t="s">
        <v>13913</v>
      </c>
      <c r="AB240" s="333"/>
      <c r="AC240" s="416"/>
      <c r="AD240" s="375"/>
      <c r="AE240" s="335" t="s">
        <v>15</v>
      </c>
      <c r="AF240" s="336"/>
      <c r="AG240" s="337"/>
      <c r="AH240" s="417" t="s">
        <v>435</v>
      </c>
      <c r="AI240" s="392" t="s">
        <v>435</v>
      </c>
      <c r="AJ240" s="392" t="s">
        <v>435</v>
      </c>
      <c r="AK240" s="340" t="s">
        <v>435</v>
      </c>
      <c r="AL240" s="321" t="s">
        <v>210</v>
      </c>
      <c r="AM240" s="425" t="s">
        <v>8761</v>
      </c>
      <c r="AN240" s="326" t="s">
        <v>210</v>
      </c>
      <c r="AO240" s="341" t="s">
        <v>15</v>
      </c>
      <c r="AP240" s="418"/>
      <c r="AQ240" s="433" t="s">
        <v>4551</v>
      </c>
      <c r="AR240" s="370">
        <v>117</v>
      </c>
      <c r="AS240" s="326">
        <v>100</v>
      </c>
      <c r="AT240" s="392">
        <v>1.7</v>
      </c>
      <c r="AU240" s="392"/>
      <c r="AV240" s="392" t="s">
        <v>711</v>
      </c>
      <c r="AW240" s="340"/>
      <c r="AX240" s="347"/>
      <c r="AY240" s="348"/>
      <c r="AZ240" s="377"/>
      <c r="BA240" s="374"/>
      <c r="BB240" s="374"/>
      <c r="BC240" s="374"/>
      <c r="BD240" s="374"/>
      <c r="BE240" s="374"/>
      <c r="BF240" s="374"/>
      <c r="BG240" s="374"/>
      <c r="BH240" s="378"/>
      <c r="BI240" s="376"/>
      <c r="BJ240" s="379"/>
      <c r="BK240" s="380"/>
      <c r="BL240" s="348"/>
      <c r="BM240" s="381"/>
      <c r="BN240" s="321" t="s">
        <v>15</v>
      </c>
      <c r="BO240" s="372"/>
      <c r="BP240" s="373" t="s">
        <v>983</v>
      </c>
      <c r="BQ240" s="360"/>
      <c r="BR240" s="361"/>
      <c r="BS240" s="361"/>
      <c r="BT240" s="361"/>
      <c r="BU240" s="361"/>
      <c r="BV240" s="418" t="s">
        <v>5411</v>
      </c>
      <c r="BW240" s="341" t="s">
        <v>15</v>
      </c>
      <c r="BX240" s="361"/>
      <c r="BY240" s="362" t="s">
        <v>1458</v>
      </c>
      <c r="BZ240" s="363"/>
      <c r="CA240" s="363"/>
      <c r="CB240" s="363"/>
      <c r="CC240" s="363"/>
      <c r="CD240" s="293"/>
      <c r="CE240" s="364"/>
      <c r="CF240" s="364"/>
      <c r="CG240" s="364"/>
      <c r="CH240" s="364"/>
      <c r="CI240" s="364"/>
      <c r="CJ240" s="364"/>
      <c r="CK240" s="364"/>
      <c r="CL240" s="364"/>
      <c r="CM240" s="364"/>
      <c r="CN240" s="364"/>
      <c r="CO240" s="364"/>
      <c r="CP240" s="364"/>
      <c r="CQ240" s="364"/>
      <c r="CR240" s="364"/>
      <c r="CS240" s="364"/>
      <c r="CT240" s="364"/>
      <c r="CU240" s="364"/>
      <c r="CV240" s="364"/>
      <c r="CW240" s="364"/>
      <c r="CX240" s="364"/>
      <c r="CY240" s="364"/>
      <c r="CZ240" s="364"/>
      <c r="DA240" s="364"/>
      <c r="DB240" s="364"/>
      <c r="DC240" s="364"/>
      <c r="DD240" s="364"/>
      <c r="DE240" s="364"/>
      <c r="DF240" s="364"/>
      <c r="DG240" s="364"/>
      <c r="DH240" s="364"/>
      <c r="DI240" s="364"/>
      <c r="DJ240" s="364"/>
      <c r="DK240" s="364"/>
      <c r="DL240" s="364"/>
      <c r="DM240" s="364"/>
      <c r="DN240" s="364"/>
      <c r="DO240" s="364"/>
      <c r="DP240" s="364"/>
      <c r="DQ240" s="364"/>
      <c r="DR240" s="364"/>
      <c r="DS240" s="364"/>
      <c r="DT240" s="364"/>
      <c r="DU240" s="364"/>
      <c r="DV240" s="364"/>
      <c r="DW240" s="364"/>
      <c r="DX240" s="364"/>
      <c r="DY240" s="364"/>
      <c r="DZ240" s="364"/>
      <c r="EA240" s="364"/>
      <c r="EB240" s="364"/>
      <c r="EC240" s="364"/>
      <c r="ED240" s="364"/>
      <c r="EE240" s="364"/>
      <c r="EF240" s="364"/>
      <c r="EG240" s="364"/>
      <c r="EH240" s="364"/>
      <c r="EI240" s="364"/>
      <c r="EJ240" s="364"/>
      <c r="EK240" s="364"/>
      <c r="EL240" s="364"/>
      <c r="EM240" s="364"/>
      <c r="EN240" s="364"/>
      <c r="EO240" s="364"/>
      <c r="EP240" s="364"/>
      <c r="EQ240" s="364"/>
      <c r="ER240" s="364"/>
      <c r="ES240" s="364"/>
      <c r="ET240" s="364"/>
      <c r="EU240" s="364"/>
      <c r="EV240" s="364"/>
      <c r="EW240" s="364"/>
      <c r="EX240" s="364"/>
      <c r="EY240" s="364"/>
      <c r="EZ240" s="364"/>
      <c r="FA240" s="364"/>
      <c r="FB240" s="364"/>
      <c r="FC240" s="364"/>
      <c r="FD240" s="364"/>
      <c r="FE240" s="364"/>
      <c r="FF240" s="364"/>
      <c r="FG240" s="364"/>
      <c r="FH240" s="364"/>
      <c r="FI240" s="364"/>
      <c r="FJ240" s="364"/>
      <c r="FK240" s="364"/>
      <c r="FL240" s="364"/>
      <c r="FM240" s="364"/>
      <c r="FN240" s="364"/>
      <c r="FO240" s="364"/>
      <c r="FP240" s="364"/>
      <c r="FQ240" s="364"/>
      <c r="FR240" s="364"/>
      <c r="FS240" s="364"/>
      <c r="FT240" s="364"/>
      <c r="FU240" s="364"/>
      <c r="FV240" s="364"/>
      <c r="FW240" s="364"/>
      <c r="FX240" s="364"/>
      <c r="FY240" s="364"/>
      <c r="FZ240" s="364"/>
      <c r="GA240" s="364"/>
      <c r="GB240" s="364"/>
      <c r="GC240" s="364"/>
      <c r="GD240" s="364"/>
      <c r="GE240" s="364"/>
      <c r="GF240" s="364"/>
      <c r="GG240" s="364"/>
      <c r="GH240" s="364"/>
      <c r="GI240" s="364"/>
      <c r="GJ240" s="364"/>
      <c r="GK240" s="364"/>
      <c r="GL240" s="364"/>
      <c r="GM240" s="364"/>
      <c r="GN240" s="364"/>
      <c r="GO240" s="364"/>
      <c r="GP240" s="364"/>
      <c r="GQ240" s="364"/>
      <c r="GR240" s="364"/>
      <c r="GS240" s="364"/>
      <c r="GT240" s="364"/>
      <c r="GU240" s="364"/>
      <c r="GV240" s="364"/>
      <c r="GW240" s="364"/>
      <c r="GX240" s="364"/>
      <c r="GY240" s="364"/>
      <c r="GZ240" s="364"/>
      <c r="HA240" s="364"/>
      <c r="HB240" s="364"/>
      <c r="HC240" s="364"/>
      <c r="HD240" s="364"/>
      <c r="HE240" s="364"/>
      <c r="HF240" s="364"/>
      <c r="HG240" s="364"/>
      <c r="HH240" s="364"/>
      <c r="HI240" s="364"/>
      <c r="HJ240" s="364"/>
      <c r="HK240" s="364"/>
      <c r="HL240" s="364"/>
    </row>
    <row r="241" spans="2:220" s="287" customFormat="1" ht="22.5" customHeight="1">
      <c r="B241" s="365">
        <v>240126</v>
      </c>
      <c r="C241" s="366" t="s">
        <v>346</v>
      </c>
      <c r="D241" s="367"/>
      <c r="E241" s="368"/>
      <c r="F241" s="321" t="s">
        <v>347</v>
      </c>
      <c r="G241" s="326" t="s">
        <v>2246</v>
      </c>
      <c r="H241" s="326" t="s">
        <v>2247</v>
      </c>
      <c r="I241" s="326" t="s">
        <v>11</v>
      </c>
      <c r="J241" s="326" t="s">
        <v>214</v>
      </c>
      <c r="K241" s="326" t="s">
        <v>324</v>
      </c>
      <c r="L241" s="323"/>
      <c r="M241" s="374"/>
      <c r="N241" s="325" t="s">
        <v>437</v>
      </c>
      <c r="O241" s="326">
        <v>250</v>
      </c>
      <c r="P241" s="327">
        <v>989.68</v>
      </c>
      <c r="Q241" s="340" t="s">
        <v>15</v>
      </c>
      <c r="R241" s="329" t="s">
        <v>1322</v>
      </c>
      <c r="S241" s="331" t="s">
        <v>14419</v>
      </c>
      <c r="T241" s="331" t="s">
        <v>14322</v>
      </c>
      <c r="U241" s="331" t="s">
        <v>16404</v>
      </c>
      <c r="V241" s="331" t="s">
        <v>14324</v>
      </c>
      <c r="W241" s="332" t="s">
        <v>432</v>
      </c>
      <c r="X241" s="331" t="s">
        <v>11079</v>
      </c>
      <c r="Y241" s="331" t="s">
        <v>11080</v>
      </c>
      <c r="Z241" s="331" t="s">
        <v>11080</v>
      </c>
      <c r="AA241" s="331" t="s">
        <v>295</v>
      </c>
      <c r="AB241" s="333"/>
      <c r="AC241" s="333"/>
      <c r="AD241" s="334" t="s">
        <v>348</v>
      </c>
      <c r="AE241" s="335" t="s">
        <v>309</v>
      </c>
      <c r="AF241" s="336"/>
      <c r="AG241" s="337"/>
      <c r="AH241" s="376"/>
      <c r="AI241" s="347"/>
      <c r="AJ241" s="347"/>
      <c r="AK241" s="371"/>
      <c r="AL241" s="321" t="s">
        <v>210</v>
      </c>
      <c r="AM241" s="392" t="s">
        <v>15</v>
      </c>
      <c r="AN241" s="392" t="s">
        <v>15</v>
      </c>
      <c r="AO241" s="341" t="s">
        <v>15</v>
      </c>
      <c r="AP241" s="342"/>
      <c r="AQ241" s="343"/>
      <c r="AR241" s="370">
        <v>1421</v>
      </c>
      <c r="AS241" s="326">
        <v>100</v>
      </c>
      <c r="AT241" s="392">
        <v>1</v>
      </c>
      <c r="AU241" s="392"/>
      <c r="AV241" s="392">
        <v>1.5</v>
      </c>
      <c r="AW241" s="340"/>
      <c r="AX241" s="347"/>
      <c r="AY241" s="348"/>
      <c r="AZ241" s="377"/>
      <c r="BA241" s="374"/>
      <c r="BB241" s="374"/>
      <c r="BC241" s="374"/>
      <c r="BD241" s="374"/>
      <c r="BE241" s="374"/>
      <c r="BF241" s="374"/>
      <c r="BG241" s="374"/>
      <c r="BH241" s="378"/>
      <c r="BI241" s="376"/>
      <c r="BJ241" s="379"/>
      <c r="BK241" s="380"/>
      <c r="BL241" s="348"/>
      <c r="BM241" s="381"/>
      <c r="BN241" s="321" t="s">
        <v>983</v>
      </c>
      <c r="BO241" s="372"/>
      <c r="BP241" s="373" t="s">
        <v>983</v>
      </c>
      <c r="BQ241" s="360"/>
      <c r="BR241" s="361"/>
      <c r="BS241" s="361"/>
      <c r="BT241" s="361"/>
      <c r="BU241" s="342" t="s">
        <v>210</v>
      </c>
      <c r="BV241" s="342" t="s">
        <v>210</v>
      </c>
      <c r="BW241" s="341" t="s">
        <v>15</v>
      </c>
      <c r="BX241" s="361"/>
      <c r="BY241" s="362"/>
      <c r="BZ241" s="363"/>
      <c r="CA241" s="363"/>
      <c r="CB241" s="363"/>
      <c r="CC241" s="363"/>
      <c r="CD241" s="293"/>
      <c r="CE241" s="364"/>
      <c r="CF241" s="364"/>
      <c r="CG241" s="364"/>
      <c r="CH241" s="364"/>
      <c r="CI241" s="364"/>
      <c r="CJ241" s="364"/>
      <c r="CK241" s="364"/>
      <c r="CL241" s="364"/>
      <c r="CM241" s="364"/>
      <c r="CN241" s="364"/>
      <c r="CO241" s="364"/>
      <c r="CP241" s="364"/>
      <c r="CQ241" s="364"/>
      <c r="CR241" s="364"/>
      <c r="CS241" s="364"/>
      <c r="CT241" s="364"/>
      <c r="CU241" s="364"/>
      <c r="CV241" s="364"/>
      <c r="CW241" s="364"/>
      <c r="CX241" s="364"/>
      <c r="CY241" s="364"/>
      <c r="CZ241" s="364"/>
      <c r="DA241" s="364"/>
      <c r="DB241" s="364"/>
      <c r="DC241" s="364"/>
      <c r="DD241" s="364"/>
      <c r="DE241" s="364"/>
      <c r="DF241" s="364"/>
      <c r="DG241" s="364"/>
      <c r="DH241" s="364"/>
      <c r="DI241" s="364"/>
      <c r="DJ241" s="364"/>
      <c r="DK241" s="364"/>
      <c r="DL241" s="364"/>
      <c r="DM241" s="364"/>
      <c r="DN241" s="364"/>
      <c r="DO241" s="364"/>
      <c r="DP241" s="364"/>
      <c r="DQ241" s="364"/>
      <c r="DR241" s="364"/>
      <c r="DS241" s="364"/>
      <c r="DT241" s="364"/>
      <c r="DU241" s="364"/>
      <c r="DV241" s="364"/>
      <c r="DW241" s="364"/>
      <c r="DX241" s="364"/>
      <c r="DY241" s="364"/>
      <c r="DZ241" s="364"/>
      <c r="EA241" s="364"/>
      <c r="EB241" s="364"/>
      <c r="EC241" s="364"/>
      <c r="ED241" s="364"/>
      <c r="EE241" s="364"/>
      <c r="EF241" s="364"/>
      <c r="EG241" s="364"/>
      <c r="EH241" s="364"/>
      <c r="EI241" s="364"/>
      <c r="EJ241" s="364"/>
      <c r="EK241" s="364"/>
      <c r="EL241" s="364"/>
      <c r="EM241" s="364"/>
      <c r="EN241" s="364"/>
      <c r="EO241" s="364"/>
      <c r="EP241" s="364"/>
      <c r="EQ241" s="364"/>
      <c r="ER241" s="364"/>
      <c r="ES241" s="364"/>
      <c r="ET241" s="364"/>
      <c r="EU241" s="364"/>
      <c r="EV241" s="364"/>
      <c r="EW241" s="364"/>
      <c r="EX241" s="364"/>
      <c r="EY241" s="364"/>
      <c r="EZ241" s="364"/>
      <c r="FA241" s="364"/>
      <c r="FB241" s="364"/>
      <c r="FC241" s="364"/>
      <c r="FD241" s="364"/>
      <c r="FE241" s="364"/>
      <c r="FF241" s="364"/>
      <c r="FG241" s="364"/>
      <c r="FH241" s="364"/>
      <c r="FI241" s="364"/>
      <c r="FJ241" s="364"/>
      <c r="FK241" s="364"/>
      <c r="FL241" s="364"/>
      <c r="FM241" s="364"/>
      <c r="FN241" s="364"/>
      <c r="FO241" s="364"/>
      <c r="FP241" s="364"/>
      <c r="FQ241" s="364"/>
      <c r="FR241" s="364"/>
      <c r="FS241" s="364"/>
      <c r="FT241" s="364"/>
      <c r="FU241" s="364"/>
      <c r="FV241" s="364"/>
      <c r="FW241" s="364"/>
      <c r="FX241" s="364"/>
      <c r="FY241" s="364"/>
      <c r="FZ241" s="364"/>
      <c r="GA241" s="364"/>
      <c r="GB241" s="364"/>
      <c r="GC241" s="364"/>
      <c r="GD241" s="364"/>
      <c r="GE241" s="364"/>
      <c r="GF241" s="364"/>
      <c r="GG241" s="364"/>
      <c r="GH241" s="364"/>
      <c r="GI241" s="364"/>
      <c r="GJ241" s="364"/>
      <c r="GK241" s="364"/>
      <c r="GL241" s="364"/>
      <c r="GM241" s="364"/>
      <c r="GN241" s="364"/>
      <c r="GO241" s="364"/>
      <c r="GP241" s="364"/>
      <c r="GQ241" s="364"/>
      <c r="GR241" s="364"/>
      <c r="GS241" s="364"/>
      <c r="GT241" s="364"/>
      <c r="GU241" s="364"/>
      <c r="GV241" s="364"/>
      <c r="GW241" s="364"/>
      <c r="GX241" s="364"/>
      <c r="GY241" s="364"/>
      <c r="GZ241" s="364"/>
      <c r="HA241" s="364"/>
      <c r="HB241" s="364"/>
      <c r="HC241" s="364"/>
      <c r="HD241" s="364"/>
      <c r="HE241" s="364"/>
      <c r="HF241" s="364"/>
      <c r="HG241" s="364"/>
      <c r="HH241" s="364"/>
      <c r="HI241" s="364"/>
      <c r="HJ241" s="364"/>
      <c r="HK241" s="364"/>
      <c r="HL241" s="364"/>
    </row>
    <row r="242" spans="2:220" s="287" customFormat="1" ht="22.5" customHeight="1">
      <c r="B242" s="365">
        <v>240127</v>
      </c>
      <c r="C242" s="366" t="s">
        <v>14414</v>
      </c>
      <c r="D242" s="367"/>
      <c r="E242" s="368"/>
      <c r="F242" s="321" t="s">
        <v>45</v>
      </c>
      <c r="G242" s="326" t="s">
        <v>2396</v>
      </c>
      <c r="H242" s="326" t="s">
        <v>2397</v>
      </c>
      <c r="I242" s="326" t="s">
        <v>11</v>
      </c>
      <c r="J242" s="326" t="s">
        <v>12</v>
      </c>
      <c r="K242" s="326" t="s">
        <v>31</v>
      </c>
      <c r="L242" s="323"/>
      <c r="M242" s="374"/>
      <c r="N242" s="325" t="s">
        <v>438</v>
      </c>
      <c r="O242" s="326" t="s">
        <v>210</v>
      </c>
      <c r="P242" s="326" t="s">
        <v>210</v>
      </c>
      <c r="Q242" s="340" t="s">
        <v>15</v>
      </c>
      <c r="R242" s="329" t="s">
        <v>14415</v>
      </c>
      <c r="S242" s="331" t="s">
        <v>14416</v>
      </c>
      <c r="T242" s="331" t="s">
        <v>14417</v>
      </c>
      <c r="U242" s="330"/>
      <c r="V242" s="331" t="s">
        <v>14418</v>
      </c>
      <c r="W242" s="332" t="s">
        <v>716</v>
      </c>
      <c r="X242" s="331" t="s">
        <v>14148</v>
      </c>
      <c r="Y242" s="331" t="s">
        <v>13332</v>
      </c>
      <c r="Z242" s="331" t="s">
        <v>13501</v>
      </c>
      <c r="AA242" s="331" t="s">
        <v>13499</v>
      </c>
      <c r="AB242" s="333"/>
      <c r="AC242" s="333"/>
      <c r="AD242" s="334" t="s">
        <v>2323</v>
      </c>
      <c r="AE242" s="395" t="s">
        <v>42</v>
      </c>
      <c r="AF242" s="336"/>
      <c r="AG242" s="337"/>
      <c r="AH242" s="417" t="s">
        <v>435</v>
      </c>
      <c r="AI242" s="392" t="s">
        <v>435</v>
      </c>
      <c r="AJ242" s="392" t="s">
        <v>435</v>
      </c>
      <c r="AK242" s="340" t="s">
        <v>435</v>
      </c>
      <c r="AL242" s="321" t="s">
        <v>210</v>
      </c>
      <c r="AM242" s="392" t="s">
        <v>15</v>
      </c>
      <c r="AN242" s="392" t="s">
        <v>15</v>
      </c>
      <c r="AO242" s="655" t="s">
        <v>983</v>
      </c>
      <c r="AP242" s="342"/>
      <c r="AQ242" s="343"/>
      <c r="AR242" s="370">
        <v>3586</v>
      </c>
      <c r="AS242" s="326">
        <v>100</v>
      </c>
      <c r="AT242" s="392">
        <v>0.8</v>
      </c>
      <c r="AU242" s="392"/>
      <c r="AV242" s="392">
        <v>1.2</v>
      </c>
      <c r="AW242" s="340"/>
      <c r="AX242" s="347"/>
      <c r="AY242" s="348"/>
      <c r="AZ242" s="377"/>
      <c r="BA242" s="374"/>
      <c r="BB242" s="374"/>
      <c r="BC242" s="374"/>
      <c r="BD242" s="374"/>
      <c r="BE242" s="374"/>
      <c r="BF242" s="374"/>
      <c r="BG242" s="374"/>
      <c r="BH242" s="378"/>
      <c r="BI242" s="376"/>
      <c r="BJ242" s="379"/>
      <c r="BK242" s="380"/>
      <c r="BL242" s="348"/>
      <c r="BM242" s="381"/>
      <c r="BN242" s="321" t="s">
        <v>983</v>
      </c>
      <c r="BO242" s="372"/>
      <c r="BP242" s="373" t="s">
        <v>15</v>
      </c>
      <c r="BQ242" s="360"/>
      <c r="BR242" s="361"/>
      <c r="BS242" s="361"/>
      <c r="BT242" s="361"/>
      <c r="BU242" s="342" t="s">
        <v>210</v>
      </c>
      <c r="BV242" s="342" t="s">
        <v>210</v>
      </c>
      <c r="BW242" s="341" t="s">
        <v>15</v>
      </c>
      <c r="BX242" s="361"/>
      <c r="BY242" s="362"/>
      <c r="BZ242" s="363"/>
      <c r="CA242" s="363"/>
      <c r="CB242" s="363"/>
      <c r="CC242" s="363"/>
      <c r="CD242" s="293"/>
      <c r="CE242" s="364"/>
      <c r="CF242" s="364"/>
      <c r="CG242" s="364"/>
      <c r="CH242" s="364"/>
      <c r="CI242" s="364"/>
      <c r="CJ242" s="364"/>
      <c r="CK242" s="364"/>
      <c r="CL242" s="364"/>
      <c r="CM242" s="364"/>
      <c r="CN242" s="364"/>
      <c r="CO242" s="364"/>
      <c r="CP242" s="364"/>
      <c r="CQ242" s="364"/>
      <c r="CR242" s="364"/>
      <c r="CS242" s="364"/>
      <c r="CT242" s="364"/>
      <c r="CU242" s="364"/>
      <c r="CV242" s="364"/>
      <c r="CW242" s="364"/>
      <c r="CX242" s="364"/>
      <c r="CY242" s="364"/>
      <c r="CZ242" s="364"/>
      <c r="DA242" s="364"/>
      <c r="DB242" s="364"/>
      <c r="DC242" s="364"/>
      <c r="DD242" s="364"/>
      <c r="DE242" s="364"/>
      <c r="DF242" s="364"/>
      <c r="DG242" s="364"/>
      <c r="DH242" s="364"/>
      <c r="DI242" s="364"/>
      <c r="DJ242" s="364"/>
      <c r="DK242" s="364"/>
      <c r="DL242" s="364"/>
      <c r="DM242" s="364"/>
      <c r="DN242" s="364"/>
      <c r="DO242" s="364"/>
      <c r="DP242" s="364"/>
      <c r="DQ242" s="364"/>
      <c r="DR242" s="364"/>
      <c r="DS242" s="364"/>
      <c r="DT242" s="364"/>
      <c r="DU242" s="364"/>
      <c r="DV242" s="364"/>
      <c r="DW242" s="364"/>
      <c r="DX242" s="364"/>
      <c r="DY242" s="364"/>
      <c r="DZ242" s="364"/>
      <c r="EA242" s="364"/>
      <c r="EB242" s="364"/>
      <c r="EC242" s="364"/>
      <c r="ED242" s="364"/>
      <c r="EE242" s="364"/>
      <c r="EF242" s="364"/>
      <c r="EG242" s="364"/>
      <c r="EH242" s="364"/>
      <c r="EI242" s="364"/>
      <c r="EJ242" s="364"/>
      <c r="EK242" s="364"/>
      <c r="EL242" s="364"/>
      <c r="EM242" s="364"/>
      <c r="EN242" s="364"/>
      <c r="EO242" s="364"/>
      <c r="EP242" s="364"/>
      <c r="EQ242" s="364"/>
      <c r="ER242" s="364"/>
      <c r="ES242" s="364"/>
      <c r="ET242" s="364"/>
      <c r="EU242" s="364"/>
      <c r="EV242" s="364"/>
      <c r="EW242" s="364"/>
      <c r="EX242" s="364"/>
      <c r="EY242" s="364"/>
      <c r="EZ242" s="364"/>
      <c r="FA242" s="364"/>
      <c r="FB242" s="364"/>
      <c r="FC242" s="364"/>
      <c r="FD242" s="364"/>
      <c r="FE242" s="364"/>
      <c r="FF242" s="364"/>
      <c r="FG242" s="364"/>
      <c r="FH242" s="364"/>
      <c r="FI242" s="364"/>
      <c r="FJ242" s="364"/>
      <c r="FK242" s="364"/>
      <c r="FL242" s="364"/>
      <c r="FM242" s="364"/>
      <c r="FN242" s="364"/>
      <c r="FO242" s="364"/>
      <c r="FP242" s="364"/>
      <c r="FQ242" s="364"/>
      <c r="FR242" s="364"/>
      <c r="FS242" s="364"/>
      <c r="FT242" s="364"/>
      <c r="FU242" s="364"/>
      <c r="FV242" s="364"/>
      <c r="FW242" s="364"/>
      <c r="FX242" s="364"/>
      <c r="FY242" s="364"/>
      <c r="FZ242" s="364"/>
      <c r="GA242" s="364"/>
      <c r="GB242" s="364"/>
      <c r="GC242" s="364"/>
      <c r="GD242" s="364"/>
      <c r="GE242" s="364"/>
      <c r="GF242" s="364"/>
      <c r="GG242" s="364"/>
      <c r="GH242" s="364"/>
      <c r="GI242" s="364"/>
      <c r="GJ242" s="364"/>
      <c r="GK242" s="364"/>
      <c r="GL242" s="364"/>
      <c r="GM242" s="364"/>
      <c r="GN242" s="364"/>
      <c r="GO242" s="364"/>
      <c r="GP242" s="364"/>
      <c r="GQ242" s="364"/>
      <c r="GR242" s="364"/>
      <c r="GS242" s="364"/>
      <c r="GT242" s="364"/>
      <c r="GU242" s="364"/>
      <c r="GV242" s="364"/>
      <c r="GW242" s="364"/>
      <c r="GX242" s="364"/>
      <c r="GY242" s="364"/>
      <c r="GZ242" s="364"/>
      <c r="HA242" s="364"/>
      <c r="HB242" s="364"/>
      <c r="HC242" s="364"/>
      <c r="HD242" s="364"/>
      <c r="HE242" s="364"/>
      <c r="HF242" s="364"/>
      <c r="HG242" s="364"/>
      <c r="HH242" s="364"/>
      <c r="HI242" s="364"/>
      <c r="HJ242" s="364"/>
      <c r="HK242" s="364"/>
      <c r="HL242" s="364"/>
    </row>
    <row r="243" spans="2:220" s="287" customFormat="1" ht="22.5" customHeight="1">
      <c r="B243" s="365">
        <v>240128</v>
      </c>
      <c r="C243" s="366" t="s">
        <v>14405</v>
      </c>
      <c r="D243" s="367"/>
      <c r="E243" s="368"/>
      <c r="F243" s="321" t="s">
        <v>201</v>
      </c>
      <c r="G243" s="326" t="s">
        <v>2394</v>
      </c>
      <c r="H243" s="326" t="s">
        <v>2395</v>
      </c>
      <c r="I243" s="326" t="s">
        <v>11</v>
      </c>
      <c r="J243" s="326" t="s">
        <v>12</v>
      </c>
      <c r="K243" s="326" t="s">
        <v>38</v>
      </c>
      <c r="L243" s="323"/>
      <c r="M243" s="374"/>
      <c r="N243" s="325" t="s">
        <v>438</v>
      </c>
      <c r="O243" s="326" t="s">
        <v>210</v>
      </c>
      <c r="P243" s="326" t="s">
        <v>210</v>
      </c>
      <c r="Q243" s="340" t="s">
        <v>15</v>
      </c>
      <c r="R243" s="329" t="s">
        <v>717</v>
      </c>
      <c r="S243" s="331" t="s">
        <v>14406</v>
      </c>
      <c r="T243" s="331" t="s">
        <v>14407</v>
      </c>
      <c r="U243" s="330"/>
      <c r="V243" s="331" t="s">
        <v>14408</v>
      </c>
      <c r="W243" s="332" t="s">
        <v>14409</v>
      </c>
      <c r="X243" s="330"/>
      <c r="Y243" s="331" t="s">
        <v>14410</v>
      </c>
      <c r="Z243" s="330"/>
      <c r="AA243" s="331" t="s">
        <v>14411</v>
      </c>
      <c r="AB243" s="333"/>
      <c r="AC243" s="333"/>
      <c r="AD243" s="334" t="s">
        <v>316</v>
      </c>
      <c r="AE243" s="395" t="s">
        <v>187</v>
      </c>
      <c r="AF243" s="336"/>
      <c r="AG243" s="337"/>
      <c r="AH243" s="417" t="s">
        <v>435</v>
      </c>
      <c r="AI243" s="392" t="s">
        <v>435</v>
      </c>
      <c r="AJ243" s="392" t="s">
        <v>435</v>
      </c>
      <c r="AK243" s="340" t="s">
        <v>435</v>
      </c>
      <c r="AL243" s="321" t="s">
        <v>210</v>
      </c>
      <c r="AM243" s="392" t="s">
        <v>15</v>
      </c>
      <c r="AN243" s="392" t="s">
        <v>15</v>
      </c>
      <c r="AO243" s="341" t="s">
        <v>15</v>
      </c>
      <c r="AP243" s="342"/>
      <c r="AQ243" s="343"/>
      <c r="AR243" s="370">
        <v>3901</v>
      </c>
      <c r="AS243" s="326">
        <v>100</v>
      </c>
      <c r="AT243" s="392">
        <v>1</v>
      </c>
      <c r="AU243" s="392"/>
      <c r="AV243" s="392">
        <v>2</v>
      </c>
      <c r="AW243" s="340"/>
      <c r="AX243" s="347"/>
      <c r="AY243" s="348"/>
      <c r="AZ243" s="377"/>
      <c r="BA243" s="374"/>
      <c r="BB243" s="374"/>
      <c r="BC243" s="374"/>
      <c r="BD243" s="374"/>
      <c r="BE243" s="374"/>
      <c r="BF243" s="374"/>
      <c r="BG243" s="374"/>
      <c r="BH243" s="378"/>
      <c r="BI243" s="376"/>
      <c r="BJ243" s="379"/>
      <c r="BK243" s="380"/>
      <c r="BL243" s="348"/>
      <c r="BM243" s="381"/>
      <c r="BN243" s="321" t="s">
        <v>15</v>
      </c>
      <c r="BO243" s="372"/>
      <c r="BP243" s="373" t="s">
        <v>983</v>
      </c>
      <c r="BQ243" s="360"/>
      <c r="BR243" s="361"/>
      <c r="BS243" s="361"/>
      <c r="BT243" s="361"/>
      <c r="BU243" s="342" t="s">
        <v>210</v>
      </c>
      <c r="BV243" s="342" t="s">
        <v>210</v>
      </c>
      <c r="BW243" s="341" t="s">
        <v>15</v>
      </c>
      <c r="BX243" s="361"/>
      <c r="BY243" s="362"/>
      <c r="BZ243" s="363"/>
      <c r="CA243" s="363"/>
      <c r="CB243" s="363"/>
      <c r="CC243" s="363"/>
      <c r="CD243" s="293"/>
      <c r="CE243" s="364"/>
      <c r="CF243" s="364"/>
      <c r="CG243" s="364"/>
      <c r="CH243" s="364"/>
      <c r="CI243" s="364"/>
      <c r="CJ243" s="364"/>
      <c r="CK243" s="364"/>
      <c r="CL243" s="364"/>
      <c r="CM243" s="364"/>
      <c r="CN243" s="364"/>
      <c r="CO243" s="364"/>
      <c r="CP243" s="364"/>
      <c r="CQ243" s="364"/>
      <c r="CR243" s="364"/>
      <c r="CS243" s="364"/>
      <c r="CT243" s="364"/>
      <c r="CU243" s="364"/>
      <c r="CV243" s="364"/>
      <c r="CW243" s="364"/>
      <c r="CX243" s="364"/>
      <c r="CY243" s="364"/>
      <c r="CZ243" s="364"/>
      <c r="DA243" s="364"/>
      <c r="DB243" s="364"/>
      <c r="DC243" s="364"/>
      <c r="DD243" s="364"/>
      <c r="DE243" s="364"/>
      <c r="DF243" s="364"/>
      <c r="DG243" s="364"/>
      <c r="DH243" s="364"/>
      <c r="DI243" s="364"/>
      <c r="DJ243" s="364"/>
      <c r="DK243" s="364"/>
      <c r="DL243" s="364"/>
      <c r="DM243" s="364"/>
      <c r="DN243" s="364"/>
      <c r="DO243" s="364"/>
      <c r="DP243" s="364"/>
      <c r="DQ243" s="364"/>
      <c r="DR243" s="364"/>
      <c r="DS243" s="364"/>
      <c r="DT243" s="364"/>
      <c r="DU243" s="364"/>
      <c r="DV243" s="364"/>
      <c r="DW243" s="364"/>
      <c r="DX243" s="364"/>
      <c r="DY243" s="364"/>
      <c r="DZ243" s="364"/>
      <c r="EA243" s="364"/>
      <c r="EB243" s="364"/>
      <c r="EC243" s="364"/>
      <c r="ED243" s="364"/>
      <c r="EE243" s="364"/>
      <c r="EF243" s="364"/>
      <c r="EG243" s="364"/>
      <c r="EH243" s="364"/>
      <c r="EI243" s="364"/>
      <c r="EJ243" s="364"/>
      <c r="EK243" s="364"/>
      <c r="EL243" s="364"/>
      <c r="EM243" s="364"/>
      <c r="EN243" s="364"/>
      <c r="EO243" s="364"/>
      <c r="EP243" s="364"/>
      <c r="EQ243" s="364"/>
      <c r="ER243" s="364"/>
      <c r="ES243" s="364"/>
      <c r="ET243" s="364"/>
      <c r="EU243" s="364"/>
      <c r="EV243" s="364"/>
      <c r="EW243" s="364"/>
      <c r="EX243" s="364"/>
      <c r="EY243" s="364"/>
      <c r="EZ243" s="364"/>
      <c r="FA243" s="364"/>
      <c r="FB243" s="364"/>
      <c r="FC243" s="364"/>
      <c r="FD243" s="364"/>
      <c r="FE243" s="364"/>
      <c r="FF243" s="364"/>
      <c r="FG243" s="364"/>
      <c r="FH243" s="364"/>
      <c r="FI243" s="364"/>
      <c r="FJ243" s="364"/>
      <c r="FK243" s="364"/>
      <c r="FL243" s="364"/>
      <c r="FM243" s="364"/>
      <c r="FN243" s="364"/>
      <c r="FO243" s="364"/>
      <c r="FP243" s="364"/>
      <c r="FQ243" s="364"/>
      <c r="FR243" s="364"/>
      <c r="FS243" s="364"/>
      <c r="FT243" s="364"/>
      <c r="FU243" s="364"/>
      <c r="FV243" s="364"/>
      <c r="FW243" s="364"/>
      <c r="FX243" s="364"/>
      <c r="FY243" s="364"/>
      <c r="FZ243" s="364"/>
      <c r="GA243" s="364"/>
      <c r="GB243" s="364"/>
      <c r="GC243" s="364"/>
      <c r="GD243" s="364"/>
      <c r="GE243" s="364"/>
      <c r="GF243" s="364"/>
      <c r="GG243" s="364"/>
      <c r="GH243" s="364"/>
      <c r="GI243" s="364"/>
      <c r="GJ243" s="364"/>
      <c r="GK243" s="364"/>
      <c r="GL243" s="364"/>
      <c r="GM243" s="364"/>
      <c r="GN243" s="364"/>
      <c r="GO243" s="364"/>
      <c r="GP243" s="364"/>
      <c r="GQ243" s="364"/>
      <c r="GR243" s="364"/>
      <c r="GS243" s="364"/>
      <c r="GT243" s="364"/>
      <c r="GU243" s="364"/>
      <c r="GV243" s="364"/>
      <c r="GW243" s="364"/>
      <c r="GX243" s="364"/>
      <c r="GY243" s="364"/>
      <c r="GZ243" s="364"/>
      <c r="HA243" s="364"/>
      <c r="HB243" s="364"/>
      <c r="HC243" s="364"/>
      <c r="HD243" s="364"/>
      <c r="HE243" s="364"/>
      <c r="HF243" s="364"/>
      <c r="HG243" s="364"/>
      <c r="HH243" s="364"/>
      <c r="HI243" s="364"/>
      <c r="HJ243" s="364"/>
      <c r="HK243" s="364"/>
      <c r="HL243" s="364"/>
    </row>
    <row r="244" spans="2:220" s="287" customFormat="1" ht="22.5" customHeight="1">
      <c r="B244" s="365">
        <v>240129</v>
      </c>
      <c r="C244" s="366" t="s">
        <v>14400</v>
      </c>
      <c r="D244" s="367"/>
      <c r="E244" s="368"/>
      <c r="F244" s="321" t="s">
        <v>41</v>
      </c>
      <c r="G244" s="326" t="s">
        <v>2392</v>
      </c>
      <c r="H244" s="326" t="s">
        <v>2393</v>
      </c>
      <c r="I244" s="326" t="s">
        <v>11</v>
      </c>
      <c r="J244" s="326" t="s">
        <v>12</v>
      </c>
      <c r="K244" s="326" t="s">
        <v>23</v>
      </c>
      <c r="L244" s="323"/>
      <c r="M244" s="374"/>
      <c r="N244" s="325" t="s">
        <v>438</v>
      </c>
      <c r="O244" s="326">
        <v>30</v>
      </c>
      <c r="P244" s="327">
        <v>1118.95</v>
      </c>
      <c r="Q244" s="369">
        <v>1103.18</v>
      </c>
      <c r="R244" s="420" t="s">
        <v>14402</v>
      </c>
      <c r="S244" s="394" t="s">
        <v>14401</v>
      </c>
      <c r="T244" s="394" t="s">
        <v>14403</v>
      </c>
      <c r="U244" s="394" t="s">
        <v>16445</v>
      </c>
      <c r="V244" s="394" t="s">
        <v>14404</v>
      </c>
      <c r="W244" s="332" t="s">
        <v>432</v>
      </c>
      <c r="X244" s="331" t="s">
        <v>11079</v>
      </c>
      <c r="Y244" s="331" t="s">
        <v>11080</v>
      </c>
      <c r="Z244" s="331" t="s">
        <v>11080</v>
      </c>
      <c r="AA244" s="331" t="s">
        <v>295</v>
      </c>
      <c r="AB244" s="333"/>
      <c r="AC244" s="333"/>
      <c r="AD244" s="334" t="s">
        <v>2331</v>
      </c>
      <c r="AE244" s="335" t="s">
        <v>43</v>
      </c>
      <c r="AF244" s="336"/>
      <c r="AG244" s="337"/>
      <c r="AH244" s="376"/>
      <c r="AI244" s="347"/>
      <c r="AJ244" s="347"/>
      <c r="AK244" s="371"/>
      <c r="AL244" s="321" t="s">
        <v>210</v>
      </c>
      <c r="AM244" s="392" t="s">
        <v>15</v>
      </c>
      <c r="AN244" s="392" t="s">
        <v>15</v>
      </c>
      <c r="AO244" s="341" t="s">
        <v>15</v>
      </c>
      <c r="AP244" s="342"/>
      <c r="AQ244" s="343"/>
      <c r="AR244" s="370">
        <v>1399</v>
      </c>
      <c r="AS244" s="326">
        <v>80</v>
      </c>
      <c r="AT244" s="392">
        <v>1</v>
      </c>
      <c r="AU244" s="392"/>
      <c r="AV244" s="392">
        <v>1.5</v>
      </c>
      <c r="AW244" s="340"/>
      <c r="AX244" s="347"/>
      <c r="AY244" s="348"/>
      <c r="AZ244" s="377"/>
      <c r="BA244" s="374"/>
      <c r="BB244" s="374"/>
      <c r="BC244" s="374"/>
      <c r="BD244" s="374"/>
      <c r="BE244" s="374"/>
      <c r="BF244" s="374"/>
      <c r="BG244" s="374"/>
      <c r="BH244" s="378"/>
      <c r="BI244" s="376"/>
      <c r="BJ244" s="379"/>
      <c r="BK244" s="380"/>
      <c r="BL244" s="348"/>
      <c r="BM244" s="381"/>
      <c r="BN244" s="321" t="s">
        <v>983</v>
      </c>
      <c r="BO244" s="372"/>
      <c r="BP244" s="373" t="s">
        <v>983</v>
      </c>
      <c r="BQ244" s="360"/>
      <c r="BR244" s="361"/>
      <c r="BS244" s="361"/>
      <c r="BT244" s="361"/>
      <c r="BU244" s="342" t="s">
        <v>210</v>
      </c>
      <c r="BV244" s="342" t="s">
        <v>210</v>
      </c>
      <c r="BW244" s="341" t="s">
        <v>15</v>
      </c>
      <c r="BX244" s="361"/>
      <c r="BY244" s="362"/>
      <c r="BZ244" s="363"/>
      <c r="CA244" s="363"/>
      <c r="CB244" s="363"/>
      <c r="CC244" s="363"/>
      <c r="CD244" s="293"/>
      <c r="CE244" s="364"/>
      <c r="CF244" s="364"/>
      <c r="CG244" s="364"/>
      <c r="CH244" s="364"/>
      <c r="CI244" s="364"/>
      <c r="CJ244" s="364"/>
      <c r="CK244" s="364"/>
      <c r="CL244" s="364"/>
      <c r="CM244" s="364"/>
      <c r="CN244" s="364"/>
      <c r="CO244" s="364"/>
      <c r="CP244" s="364"/>
      <c r="CQ244" s="364"/>
      <c r="CR244" s="364"/>
      <c r="CS244" s="364"/>
      <c r="CT244" s="364"/>
      <c r="CU244" s="364"/>
      <c r="CV244" s="364"/>
      <c r="CW244" s="364"/>
      <c r="CX244" s="364"/>
      <c r="CY244" s="364"/>
      <c r="CZ244" s="364"/>
      <c r="DA244" s="364"/>
      <c r="DB244" s="364"/>
      <c r="DC244" s="364"/>
      <c r="DD244" s="364"/>
      <c r="DE244" s="364"/>
      <c r="DF244" s="364"/>
      <c r="DG244" s="364"/>
      <c r="DH244" s="364"/>
      <c r="DI244" s="364"/>
      <c r="DJ244" s="364"/>
      <c r="DK244" s="364"/>
      <c r="DL244" s="364"/>
      <c r="DM244" s="364"/>
      <c r="DN244" s="364"/>
      <c r="DO244" s="364"/>
      <c r="DP244" s="364"/>
      <c r="DQ244" s="364"/>
      <c r="DR244" s="364"/>
      <c r="DS244" s="364"/>
      <c r="DT244" s="364"/>
      <c r="DU244" s="364"/>
      <c r="DV244" s="364"/>
      <c r="DW244" s="364"/>
      <c r="DX244" s="364"/>
      <c r="DY244" s="364"/>
      <c r="DZ244" s="364"/>
      <c r="EA244" s="364"/>
      <c r="EB244" s="364"/>
      <c r="EC244" s="364"/>
      <c r="ED244" s="364"/>
      <c r="EE244" s="364"/>
      <c r="EF244" s="364"/>
      <c r="EG244" s="364"/>
      <c r="EH244" s="364"/>
      <c r="EI244" s="364"/>
      <c r="EJ244" s="364"/>
      <c r="EK244" s="364"/>
      <c r="EL244" s="364"/>
      <c r="EM244" s="364"/>
      <c r="EN244" s="364"/>
      <c r="EO244" s="364"/>
      <c r="EP244" s="364"/>
      <c r="EQ244" s="364"/>
      <c r="ER244" s="364"/>
      <c r="ES244" s="364"/>
      <c r="ET244" s="364"/>
      <c r="EU244" s="364"/>
      <c r="EV244" s="364"/>
      <c r="EW244" s="364"/>
      <c r="EX244" s="364"/>
      <c r="EY244" s="364"/>
      <c r="EZ244" s="364"/>
      <c r="FA244" s="364"/>
      <c r="FB244" s="364"/>
      <c r="FC244" s="364"/>
      <c r="FD244" s="364"/>
      <c r="FE244" s="364"/>
      <c r="FF244" s="364"/>
      <c r="FG244" s="364"/>
      <c r="FH244" s="364"/>
      <c r="FI244" s="364"/>
      <c r="FJ244" s="364"/>
      <c r="FK244" s="364"/>
      <c r="FL244" s="364"/>
      <c r="FM244" s="364"/>
      <c r="FN244" s="364"/>
      <c r="FO244" s="364"/>
      <c r="FP244" s="364"/>
      <c r="FQ244" s="364"/>
      <c r="FR244" s="364"/>
      <c r="FS244" s="364"/>
      <c r="FT244" s="364"/>
      <c r="FU244" s="364"/>
      <c r="FV244" s="364"/>
      <c r="FW244" s="364"/>
      <c r="FX244" s="364"/>
      <c r="FY244" s="364"/>
      <c r="FZ244" s="364"/>
      <c r="GA244" s="364"/>
      <c r="GB244" s="364"/>
      <c r="GC244" s="364"/>
      <c r="GD244" s="364"/>
      <c r="GE244" s="364"/>
      <c r="GF244" s="364"/>
      <c r="GG244" s="364"/>
      <c r="GH244" s="364"/>
      <c r="GI244" s="364"/>
      <c r="GJ244" s="364"/>
      <c r="GK244" s="364"/>
      <c r="GL244" s="364"/>
      <c r="GM244" s="364"/>
      <c r="GN244" s="364"/>
      <c r="GO244" s="364"/>
      <c r="GP244" s="364"/>
      <c r="GQ244" s="364"/>
      <c r="GR244" s="364"/>
      <c r="GS244" s="364"/>
      <c r="GT244" s="364"/>
      <c r="GU244" s="364"/>
      <c r="GV244" s="364"/>
      <c r="GW244" s="364"/>
      <c r="GX244" s="364"/>
      <c r="GY244" s="364"/>
      <c r="GZ244" s="364"/>
      <c r="HA244" s="364"/>
      <c r="HB244" s="364"/>
      <c r="HC244" s="364"/>
      <c r="HD244" s="364"/>
      <c r="HE244" s="364"/>
      <c r="HF244" s="364"/>
      <c r="HG244" s="364"/>
      <c r="HH244" s="364"/>
      <c r="HI244" s="364"/>
      <c r="HJ244" s="364"/>
      <c r="HK244" s="364"/>
      <c r="HL244" s="364"/>
    </row>
    <row r="245" spans="2:220" s="287" customFormat="1" ht="22.5" customHeight="1">
      <c r="B245" s="365">
        <v>240130</v>
      </c>
      <c r="C245" s="366" t="s">
        <v>14095</v>
      </c>
      <c r="D245" s="367"/>
      <c r="E245" s="368"/>
      <c r="F245" s="321" t="s">
        <v>162</v>
      </c>
      <c r="G245" s="326" t="s">
        <v>2244</v>
      </c>
      <c r="H245" s="326" t="s">
        <v>2245</v>
      </c>
      <c r="I245" s="326" t="s">
        <v>11</v>
      </c>
      <c r="J245" s="326" t="s">
        <v>12</v>
      </c>
      <c r="K245" s="326" t="s">
        <v>10</v>
      </c>
      <c r="L245" s="323"/>
      <c r="M245" s="374"/>
      <c r="N245" s="325" t="s">
        <v>745</v>
      </c>
      <c r="O245" s="326">
        <v>80</v>
      </c>
      <c r="P245" s="326" t="s">
        <v>210</v>
      </c>
      <c r="Q245" s="340" t="s">
        <v>15</v>
      </c>
      <c r="R245" s="329" t="s">
        <v>469</v>
      </c>
      <c r="S245" s="331" t="s">
        <v>12965</v>
      </c>
      <c r="T245" s="394" t="s">
        <v>11205</v>
      </c>
      <c r="U245" s="394" t="s">
        <v>11207</v>
      </c>
      <c r="V245" s="331" t="s">
        <v>12966</v>
      </c>
      <c r="W245" s="332" t="s">
        <v>432</v>
      </c>
      <c r="X245" s="331" t="s">
        <v>11079</v>
      </c>
      <c r="Y245" s="331" t="s">
        <v>11080</v>
      </c>
      <c r="Z245" s="331" t="s">
        <v>11080</v>
      </c>
      <c r="AA245" s="331" t="s">
        <v>295</v>
      </c>
      <c r="AB245" s="333"/>
      <c r="AC245" s="333"/>
      <c r="AD245" s="334" t="s">
        <v>2325</v>
      </c>
      <c r="AE245" s="335" t="s">
        <v>16</v>
      </c>
      <c r="AF245" s="336"/>
      <c r="AG245" s="337"/>
      <c r="AH245" s="421"/>
      <c r="AI245" s="422"/>
      <c r="AJ245" s="422"/>
      <c r="AK245" s="371"/>
      <c r="AL245" s="321" t="s">
        <v>210</v>
      </c>
      <c r="AM245" s="392" t="s">
        <v>15</v>
      </c>
      <c r="AN245" s="392" t="s">
        <v>15</v>
      </c>
      <c r="AO245" s="341" t="s">
        <v>15</v>
      </c>
      <c r="AP245" s="342"/>
      <c r="AQ245" s="343"/>
      <c r="AR245" s="370">
        <v>3180</v>
      </c>
      <c r="AS245" s="326">
        <v>100</v>
      </c>
      <c r="AT245" s="392">
        <v>0.6</v>
      </c>
      <c r="AU245" s="392"/>
      <c r="AV245" s="392">
        <v>0.8</v>
      </c>
      <c r="AW245" s="340"/>
      <c r="AX245" s="347"/>
      <c r="AY245" s="348"/>
      <c r="AZ245" s="377"/>
      <c r="BA245" s="374"/>
      <c r="BB245" s="374"/>
      <c r="BC245" s="374"/>
      <c r="BD245" s="374"/>
      <c r="BE245" s="374"/>
      <c r="BF245" s="374"/>
      <c r="BG245" s="374"/>
      <c r="BH245" s="378"/>
      <c r="BI245" s="376"/>
      <c r="BJ245" s="379"/>
      <c r="BK245" s="380"/>
      <c r="BL245" s="348"/>
      <c r="BM245" s="381"/>
      <c r="BN245" s="321" t="s">
        <v>983</v>
      </c>
      <c r="BO245" s="372"/>
      <c r="BP245" s="373" t="s">
        <v>983</v>
      </c>
      <c r="BQ245" s="360"/>
      <c r="BR245" s="361"/>
      <c r="BS245" s="361"/>
      <c r="BT245" s="361"/>
      <c r="BU245" s="342" t="s">
        <v>210</v>
      </c>
      <c r="BV245" s="342" t="s">
        <v>210</v>
      </c>
      <c r="BW245" s="341" t="s">
        <v>15</v>
      </c>
      <c r="BX245" s="361"/>
      <c r="BY245" s="362"/>
      <c r="BZ245" s="363"/>
      <c r="CA245" s="363"/>
      <c r="CB245" s="363"/>
      <c r="CC245" s="363"/>
      <c r="CD245" s="293"/>
      <c r="CE245" s="364"/>
      <c r="CF245" s="364"/>
      <c r="CG245" s="364"/>
      <c r="CH245" s="364"/>
      <c r="CI245" s="364"/>
      <c r="CJ245" s="364"/>
      <c r="CK245" s="364"/>
      <c r="CL245" s="364"/>
      <c r="CM245" s="364"/>
      <c r="CN245" s="364"/>
      <c r="CO245" s="364"/>
      <c r="CP245" s="364"/>
      <c r="CQ245" s="364"/>
      <c r="CR245" s="364"/>
      <c r="CS245" s="364"/>
      <c r="CT245" s="364"/>
      <c r="CU245" s="364"/>
      <c r="CV245" s="364"/>
      <c r="CW245" s="364"/>
      <c r="CX245" s="364"/>
      <c r="CY245" s="364"/>
      <c r="CZ245" s="364"/>
      <c r="DA245" s="364"/>
      <c r="DB245" s="364"/>
      <c r="DC245" s="364"/>
      <c r="DD245" s="364"/>
      <c r="DE245" s="364"/>
      <c r="DF245" s="364"/>
      <c r="DG245" s="364"/>
      <c r="DH245" s="364"/>
      <c r="DI245" s="364"/>
      <c r="DJ245" s="364"/>
      <c r="DK245" s="364"/>
      <c r="DL245" s="364"/>
      <c r="DM245" s="364"/>
      <c r="DN245" s="364"/>
      <c r="DO245" s="364"/>
      <c r="DP245" s="364"/>
      <c r="DQ245" s="364"/>
      <c r="DR245" s="364"/>
      <c r="DS245" s="364"/>
      <c r="DT245" s="364"/>
      <c r="DU245" s="364"/>
      <c r="DV245" s="364"/>
      <c r="DW245" s="364"/>
      <c r="DX245" s="364"/>
      <c r="DY245" s="364"/>
      <c r="DZ245" s="364"/>
      <c r="EA245" s="364"/>
      <c r="EB245" s="364"/>
      <c r="EC245" s="364"/>
      <c r="ED245" s="364"/>
      <c r="EE245" s="364"/>
      <c r="EF245" s="364"/>
      <c r="EG245" s="364"/>
      <c r="EH245" s="364"/>
      <c r="EI245" s="364"/>
      <c r="EJ245" s="364"/>
      <c r="EK245" s="364"/>
      <c r="EL245" s="364"/>
      <c r="EM245" s="364"/>
      <c r="EN245" s="364"/>
      <c r="EO245" s="364"/>
      <c r="EP245" s="364"/>
      <c r="EQ245" s="364"/>
      <c r="ER245" s="364"/>
      <c r="ES245" s="364"/>
      <c r="ET245" s="364"/>
      <c r="EU245" s="364"/>
      <c r="EV245" s="364"/>
      <c r="EW245" s="364"/>
      <c r="EX245" s="364"/>
      <c r="EY245" s="364"/>
      <c r="EZ245" s="364"/>
      <c r="FA245" s="364"/>
      <c r="FB245" s="364"/>
      <c r="FC245" s="364"/>
      <c r="FD245" s="364"/>
      <c r="FE245" s="364"/>
      <c r="FF245" s="364"/>
      <c r="FG245" s="364"/>
      <c r="FH245" s="364"/>
      <c r="FI245" s="364"/>
      <c r="FJ245" s="364"/>
      <c r="FK245" s="364"/>
      <c r="FL245" s="364"/>
      <c r="FM245" s="364"/>
      <c r="FN245" s="364"/>
      <c r="FO245" s="364"/>
      <c r="FP245" s="364"/>
      <c r="FQ245" s="364"/>
      <c r="FR245" s="364"/>
      <c r="FS245" s="364"/>
      <c r="FT245" s="364"/>
      <c r="FU245" s="364"/>
      <c r="FV245" s="364"/>
      <c r="FW245" s="364"/>
      <c r="FX245" s="364"/>
      <c r="FY245" s="364"/>
      <c r="FZ245" s="364"/>
      <c r="GA245" s="364"/>
      <c r="GB245" s="364"/>
      <c r="GC245" s="364"/>
      <c r="GD245" s="364"/>
      <c r="GE245" s="364"/>
      <c r="GF245" s="364"/>
      <c r="GG245" s="364"/>
      <c r="GH245" s="364"/>
      <c r="GI245" s="364"/>
      <c r="GJ245" s="364"/>
      <c r="GK245" s="364"/>
      <c r="GL245" s="364"/>
      <c r="GM245" s="364"/>
      <c r="GN245" s="364"/>
      <c r="GO245" s="364"/>
      <c r="GP245" s="364"/>
      <c r="GQ245" s="364"/>
      <c r="GR245" s="364"/>
      <c r="GS245" s="364"/>
      <c r="GT245" s="364"/>
      <c r="GU245" s="364"/>
      <c r="GV245" s="364"/>
      <c r="GW245" s="364"/>
      <c r="GX245" s="364"/>
      <c r="GY245" s="364"/>
      <c r="GZ245" s="364"/>
      <c r="HA245" s="364"/>
      <c r="HB245" s="364"/>
      <c r="HC245" s="364"/>
      <c r="HD245" s="364"/>
      <c r="HE245" s="364"/>
      <c r="HF245" s="364"/>
      <c r="HG245" s="364"/>
      <c r="HH245" s="364"/>
      <c r="HI245" s="364"/>
      <c r="HJ245" s="364"/>
      <c r="HK245" s="364"/>
      <c r="HL245" s="364"/>
    </row>
    <row r="246" spans="2:220" s="287" customFormat="1" ht="22.5" customHeight="1">
      <c r="B246" s="365">
        <v>240132</v>
      </c>
      <c r="C246" s="366" t="s">
        <v>14397</v>
      </c>
      <c r="D246" s="367"/>
      <c r="E246" s="368"/>
      <c r="F246" s="321" t="s">
        <v>225</v>
      </c>
      <c r="G246" s="326" t="s">
        <v>1906</v>
      </c>
      <c r="H246" s="326" t="s">
        <v>1907</v>
      </c>
      <c r="I246" s="326" t="s">
        <v>11</v>
      </c>
      <c r="J246" s="326" t="s">
        <v>21</v>
      </c>
      <c r="K246" s="326" t="s">
        <v>307</v>
      </c>
      <c r="L246" s="323"/>
      <c r="M246" s="374"/>
      <c r="N246" s="325" t="s">
        <v>438</v>
      </c>
      <c r="O246" s="326" t="s">
        <v>210</v>
      </c>
      <c r="P246" s="326" t="s">
        <v>210</v>
      </c>
      <c r="Q246" s="340" t="s">
        <v>15</v>
      </c>
      <c r="R246" s="329" t="s">
        <v>691</v>
      </c>
      <c r="S246" s="331" t="s">
        <v>14399</v>
      </c>
      <c r="T246" s="394" t="s">
        <v>12244</v>
      </c>
      <c r="U246" s="394" t="s">
        <v>16219</v>
      </c>
      <c r="V246" s="394" t="s">
        <v>12245</v>
      </c>
      <c r="W246" s="332" t="s">
        <v>644</v>
      </c>
      <c r="X246" s="330"/>
      <c r="Y246" s="394" t="s">
        <v>11201</v>
      </c>
      <c r="Z246" s="394" t="s">
        <v>11200</v>
      </c>
      <c r="AA246" s="330"/>
      <c r="AB246" s="333"/>
      <c r="AC246" s="333"/>
      <c r="AD246" s="396" t="s">
        <v>42</v>
      </c>
      <c r="AE246" s="391"/>
      <c r="AF246" s="336"/>
      <c r="AG246" s="337"/>
      <c r="AH246" s="417" t="s">
        <v>435</v>
      </c>
      <c r="AI246" s="392" t="s">
        <v>435</v>
      </c>
      <c r="AJ246" s="392" t="s">
        <v>435</v>
      </c>
      <c r="AK246" s="340" t="s">
        <v>435</v>
      </c>
      <c r="AL246" s="321" t="s">
        <v>210</v>
      </c>
      <c r="AM246" s="392" t="s">
        <v>15</v>
      </c>
      <c r="AN246" s="392" t="s">
        <v>15</v>
      </c>
      <c r="AO246" s="341" t="s">
        <v>15</v>
      </c>
      <c r="AP246" s="342"/>
      <c r="AQ246" s="343"/>
      <c r="AR246" s="370">
        <v>566</v>
      </c>
      <c r="AS246" s="326">
        <v>120</v>
      </c>
      <c r="AT246" s="392">
        <v>0.6</v>
      </c>
      <c r="AU246" s="392"/>
      <c r="AV246" s="392">
        <v>1</v>
      </c>
      <c r="AW246" s="340"/>
      <c r="AX246" s="347"/>
      <c r="AY246" s="348"/>
      <c r="AZ246" s="377"/>
      <c r="BA246" s="374"/>
      <c r="BB246" s="374"/>
      <c r="BC246" s="374"/>
      <c r="BD246" s="374"/>
      <c r="BE246" s="374"/>
      <c r="BF246" s="374"/>
      <c r="BG246" s="374"/>
      <c r="BH246" s="378"/>
      <c r="BI246" s="376"/>
      <c r="BJ246" s="379"/>
      <c r="BK246" s="380"/>
      <c r="BL246" s="348"/>
      <c r="BM246" s="381"/>
      <c r="BN246" s="321" t="s">
        <v>983</v>
      </c>
      <c r="BO246" s="372"/>
      <c r="BP246" s="373" t="s">
        <v>15</v>
      </c>
      <c r="BQ246" s="360"/>
      <c r="BR246" s="361"/>
      <c r="BS246" s="361"/>
      <c r="BT246" s="361"/>
      <c r="BU246" s="342" t="s">
        <v>210</v>
      </c>
      <c r="BV246" s="342" t="s">
        <v>210</v>
      </c>
      <c r="BW246" s="341" t="s">
        <v>15</v>
      </c>
      <c r="BX246" s="361"/>
      <c r="BY246" s="362"/>
      <c r="BZ246" s="363"/>
      <c r="CA246" s="363"/>
      <c r="CB246" s="363"/>
      <c r="CC246" s="363"/>
      <c r="CD246" s="293"/>
      <c r="CE246" s="364"/>
      <c r="CF246" s="364"/>
      <c r="CG246" s="364"/>
      <c r="CH246" s="364"/>
      <c r="CI246" s="364"/>
      <c r="CJ246" s="364"/>
      <c r="CK246" s="364"/>
      <c r="CL246" s="364"/>
      <c r="CM246" s="364"/>
      <c r="CN246" s="364"/>
      <c r="CO246" s="364"/>
      <c r="CP246" s="364"/>
      <c r="CQ246" s="364"/>
      <c r="CR246" s="364"/>
      <c r="CS246" s="364"/>
      <c r="CT246" s="364"/>
      <c r="CU246" s="364"/>
      <c r="CV246" s="364"/>
      <c r="CW246" s="364"/>
      <c r="CX246" s="364"/>
      <c r="CY246" s="364"/>
      <c r="CZ246" s="364"/>
      <c r="DA246" s="364"/>
      <c r="DB246" s="364"/>
      <c r="DC246" s="364"/>
      <c r="DD246" s="364"/>
      <c r="DE246" s="364"/>
      <c r="DF246" s="364"/>
      <c r="DG246" s="364"/>
      <c r="DH246" s="364"/>
      <c r="DI246" s="364"/>
      <c r="DJ246" s="364"/>
      <c r="DK246" s="364"/>
      <c r="DL246" s="364"/>
      <c r="DM246" s="364"/>
      <c r="DN246" s="364"/>
      <c r="DO246" s="364"/>
      <c r="DP246" s="364"/>
      <c r="DQ246" s="364"/>
      <c r="DR246" s="364"/>
      <c r="DS246" s="364"/>
      <c r="DT246" s="364"/>
      <c r="DU246" s="364"/>
      <c r="DV246" s="364"/>
      <c r="DW246" s="364"/>
      <c r="DX246" s="364"/>
      <c r="DY246" s="364"/>
      <c r="DZ246" s="364"/>
      <c r="EA246" s="364"/>
      <c r="EB246" s="364"/>
      <c r="EC246" s="364"/>
      <c r="ED246" s="364"/>
      <c r="EE246" s="364"/>
      <c r="EF246" s="364"/>
      <c r="EG246" s="364"/>
      <c r="EH246" s="364"/>
      <c r="EI246" s="364"/>
      <c r="EJ246" s="364"/>
      <c r="EK246" s="364"/>
      <c r="EL246" s="364"/>
      <c r="EM246" s="364"/>
      <c r="EN246" s="364"/>
      <c r="EO246" s="364"/>
      <c r="EP246" s="364"/>
      <c r="EQ246" s="364"/>
      <c r="ER246" s="364"/>
      <c r="ES246" s="364"/>
      <c r="ET246" s="364"/>
      <c r="EU246" s="364"/>
      <c r="EV246" s="364"/>
      <c r="EW246" s="364"/>
      <c r="EX246" s="364"/>
      <c r="EY246" s="364"/>
      <c r="EZ246" s="364"/>
      <c r="FA246" s="364"/>
      <c r="FB246" s="364"/>
      <c r="FC246" s="364"/>
      <c r="FD246" s="364"/>
      <c r="FE246" s="364"/>
      <c r="FF246" s="364"/>
      <c r="FG246" s="364"/>
      <c r="FH246" s="364"/>
      <c r="FI246" s="364"/>
      <c r="FJ246" s="364"/>
      <c r="FK246" s="364"/>
      <c r="FL246" s="364"/>
      <c r="FM246" s="364"/>
      <c r="FN246" s="364"/>
      <c r="FO246" s="364"/>
      <c r="FP246" s="364"/>
      <c r="FQ246" s="364"/>
      <c r="FR246" s="364"/>
      <c r="FS246" s="364"/>
      <c r="FT246" s="364"/>
      <c r="FU246" s="364"/>
      <c r="FV246" s="364"/>
      <c r="FW246" s="364"/>
      <c r="FX246" s="364"/>
      <c r="FY246" s="364"/>
      <c r="FZ246" s="364"/>
      <c r="GA246" s="364"/>
      <c r="GB246" s="364"/>
      <c r="GC246" s="364"/>
      <c r="GD246" s="364"/>
      <c r="GE246" s="364"/>
      <c r="GF246" s="364"/>
      <c r="GG246" s="364"/>
      <c r="GH246" s="364"/>
      <c r="GI246" s="364"/>
      <c r="GJ246" s="364"/>
      <c r="GK246" s="364"/>
      <c r="GL246" s="364"/>
      <c r="GM246" s="364"/>
      <c r="GN246" s="364"/>
      <c r="GO246" s="364"/>
      <c r="GP246" s="364"/>
      <c r="GQ246" s="364"/>
      <c r="GR246" s="364"/>
      <c r="GS246" s="364"/>
      <c r="GT246" s="364"/>
      <c r="GU246" s="364"/>
      <c r="GV246" s="364"/>
      <c r="GW246" s="364"/>
      <c r="GX246" s="364"/>
      <c r="GY246" s="364"/>
      <c r="GZ246" s="364"/>
      <c r="HA246" s="364"/>
      <c r="HB246" s="364"/>
      <c r="HC246" s="364"/>
      <c r="HD246" s="364"/>
      <c r="HE246" s="364"/>
      <c r="HF246" s="364"/>
      <c r="HG246" s="364"/>
      <c r="HH246" s="364"/>
      <c r="HI246" s="364"/>
      <c r="HJ246" s="364"/>
      <c r="HK246" s="364"/>
      <c r="HL246" s="364"/>
    </row>
    <row r="247" spans="2:220" s="287" customFormat="1" ht="22.5" customHeight="1">
      <c r="B247" s="365">
        <v>240133</v>
      </c>
      <c r="C247" s="366" t="s">
        <v>408</v>
      </c>
      <c r="D247" s="367"/>
      <c r="E247" s="368"/>
      <c r="F247" s="321" t="s">
        <v>304</v>
      </c>
      <c r="G247" s="326" t="s">
        <v>1904</v>
      </c>
      <c r="H247" s="326" t="s">
        <v>1905</v>
      </c>
      <c r="I247" s="326" t="s">
        <v>11</v>
      </c>
      <c r="J247" s="326" t="s">
        <v>12</v>
      </c>
      <c r="K247" s="326" t="s">
        <v>363</v>
      </c>
      <c r="L247" s="323"/>
      <c r="M247" s="374"/>
      <c r="N247" s="325" t="s">
        <v>438</v>
      </c>
      <c r="O247" s="326" t="s">
        <v>210</v>
      </c>
      <c r="P247" s="326" t="s">
        <v>210</v>
      </c>
      <c r="Q247" s="340" t="s">
        <v>15</v>
      </c>
      <c r="R247" s="329" t="s">
        <v>513</v>
      </c>
      <c r="S247" s="331" t="s">
        <v>14394</v>
      </c>
      <c r="T247" s="331" t="s">
        <v>14395</v>
      </c>
      <c r="U247" s="331" t="s">
        <v>16450</v>
      </c>
      <c r="V247" s="331" t="s">
        <v>14396</v>
      </c>
      <c r="W247" s="332" t="s">
        <v>644</v>
      </c>
      <c r="X247" s="330"/>
      <c r="Y247" s="394" t="s">
        <v>11201</v>
      </c>
      <c r="Z247" s="394" t="s">
        <v>11200</v>
      </c>
      <c r="AA247" s="330"/>
      <c r="AB247" s="333"/>
      <c r="AC247" s="416"/>
      <c r="AD247" s="375"/>
      <c r="AE247" s="391"/>
      <c r="AF247" s="336"/>
      <c r="AG247" s="337"/>
      <c r="AH247" s="417" t="s">
        <v>435</v>
      </c>
      <c r="AI247" s="392" t="s">
        <v>435</v>
      </c>
      <c r="AJ247" s="392" t="s">
        <v>435</v>
      </c>
      <c r="AK247" s="340" t="s">
        <v>435</v>
      </c>
      <c r="AL247" s="321" t="s">
        <v>210</v>
      </c>
      <c r="AM247" s="392" t="s">
        <v>15</v>
      </c>
      <c r="AN247" s="392" t="s">
        <v>15</v>
      </c>
      <c r="AO247" s="341" t="s">
        <v>15</v>
      </c>
      <c r="AP247" s="342"/>
      <c r="AQ247" s="343"/>
      <c r="AR247" s="370">
        <v>1465</v>
      </c>
      <c r="AS247" s="326">
        <v>100</v>
      </c>
      <c r="AT247" s="392">
        <v>1</v>
      </c>
      <c r="AU247" s="392"/>
      <c r="AV247" s="392">
        <v>1.5</v>
      </c>
      <c r="AW247" s="340"/>
      <c r="AX247" s="347"/>
      <c r="AY247" s="348"/>
      <c r="AZ247" s="377"/>
      <c r="BA247" s="374"/>
      <c r="BB247" s="374"/>
      <c r="BC247" s="374"/>
      <c r="BD247" s="374"/>
      <c r="BE247" s="374"/>
      <c r="BF247" s="374"/>
      <c r="BG247" s="374"/>
      <c r="BH247" s="378"/>
      <c r="BI247" s="376"/>
      <c r="BJ247" s="379"/>
      <c r="BK247" s="380"/>
      <c r="BL247" s="348"/>
      <c r="BM247" s="381"/>
      <c r="BN247" s="321" t="s">
        <v>983</v>
      </c>
      <c r="BO247" s="372"/>
      <c r="BP247" s="373" t="s">
        <v>983</v>
      </c>
      <c r="BQ247" s="360"/>
      <c r="BR247" s="361"/>
      <c r="BS247" s="361"/>
      <c r="BT247" s="361"/>
      <c r="BU247" s="342" t="s">
        <v>210</v>
      </c>
      <c r="BV247" s="342" t="s">
        <v>210</v>
      </c>
      <c r="BW247" s="341" t="s">
        <v>15</v>
      </c>
      <c r="BX247" s="361"/>
      <c r="BY247" s="362"/>
      <c r="BZ247" s="363"/>
      <c r="CA247" s="363"/>
      <c r="CB247" s="363"/>
      <c r="CC247" s="363"/>
      <c r="CD247" s="293"/>
      <c r="CE247" s="364"/>
      <c r="CF247" s="364"/>
      <c r="CG247" s="364"/>
      <c r="CH247" s="364"/>
      <c r="CI247" s="364"/>
      <c r="CJ247" s="364"/>
      <c r="CK247" s="364"/>
      <c r="CL247" s="364"/>
      <c r="CM247" s="364"/>
      <c r="CN247" s="364"/>
      <c r="CO247" s="364"/>
      <c r="CP247" s="364"/>
      <c r="CQ247" s="364"/>
      <c r="CR247" s="364"/>
      <c r="CS247" s="364"/>
      <c r="CT247" s="364"/>
      <c r="CU247" s="364"/>
      <c r="CV247" s="364"/>
      <c r="CW247" s="364"/>
      <c r="CX247" s="364"/>
      <c r="CY247" s="364"/>
      <c r="CZ247" s="364"/>
      <c r="DA247" s="364"/>
      <c r="DB247" s="364"/>
      <c r="DC247" s="364"/>
      <c r="DD247" s="364"/>
      <c r="DE247" s="364"/>
      <c r="DF247" s="364"/>
      <c r="DG247" s="364"/>
      <c r="DH247" s="364"/>
      <c r="DI247" s="364"/>
      <c r="DJ247" s="364"/>
      <c r="DK247" s="364"/>
      <c r="DL247" s="364"/>
      <c r="DM247" s="364"/>
      <c r="DN247" s="364"/>
      <c r="DO247" s="364"/>
      <c r="DP247" s="364"/>
      <c r="DQ247" s="364"/>
      <c r="DR247" s="364"/>
      <c r="DS247" s="364"/>
      <c r="DT247" s="364"/>
      <c r="DU247" s="364"/>
      <c r="DV247" s="364"/>
      <c r="DW247" s="364"/>
      <c r="DX247" s="364"/>
      <c r="DY247" s="364"/>
      <c r="DZ247" s="364"/>
      <c r="EA247" s="364"/>
      <c r="EB247" s="364"/>
      <c r="EC247" s="364"/>
      <c r="ED247" s="364"/>
      <c r="EE247" s="364"/>
      <c r="EF247" s="364"/>
      <c r="EG247" s="364"/>
      <c r="EH247" s="364"/>
      <c r="EI247" s="364"/>
      <c r="EJ247" s="364"/>
      <c r="EK247" s="364"/>
      <c r="EL247" s="364"/>
      <c r="EM247" s="364"/>
      <c r="EN247" s="364"/>
      <c r="EO247" s="364"/>
      <c r="EP247" s="364"/>
      <c r="EQ247" s="364"/>
      <c r="ER247" s="364"/>
      <c r="ES247" s="364"/>
      <c r="ET247" s="364"/>
      <c r="EU247" s="364"/>
      <c r="EV247" s="364"/>
      <c r="EW247" s="364"/>
      <c r="EX247" s="364"/>
      <c r="EY247" s="364"/>
      <c r="EZ247" s="364"/>
      <c r="FA247" s="364"/>
      <c r="FB247" s="364"/>
      <c r="FC247" s="364"/>
      <c r="FD247" s="364"/>
      <c r="FE247" s="364"/>
      <c r="FF247" s="364"/>
      <c r="FG247" s="364"/>
      <c r="FH247" s="364"/>
      <c r="FI247" s="364"/>
      <c r="FJ247" s="364"/>
      <c r="FK247" s="364"/>
      <c r="FL247" s="364"/>
      <c r="FM247" s="364"/>
      <c r="FN247" s="364"/>
      <c r="FO247" s="364"/>
      <c r="FP247" s="364"/>
      <c r="FQ247" s="364"/>
      <c r="FR247" s="364"/>
      <c r="FS247" s="364"/>
      <c r="FT247" s="364"/>
      <c r="FU247" s="364"/>
      <c r="FV247" s="364"/>
      <c r="FW247" s="364"/>
      <c r="FX247" s="364"/>
      <c r="FY247" s="364"/>
      <c r="FZ247" s="364"/>
      <c r="GA247" s="364"/>
      <c r="GB247" s="364"/>
      <c r="GC247" s="364"/>
      <c r="GD247" s="364"/>
      <c r="GE247" s="364"/>
      <c r="GF247" s="364"/>
      <c r="GG247" s="364"/>
      <c r="GH247" s="364"/>
      <c r="GI247" s="364"/>
      <c r="GJ247" s="364"/>
      <c r="GK247" s="364"/>
      <c r="GL247" s="364"/>
      <c r="GM247" s="364"/>
      <c r="GN247" s="364"/>
      <c r="GO247" s="364"/>
      <c r="GP247" s="364"/>
      <c r="GQ247" s="364"/>
      <c r="GR247" s="364"/>
      <c r="GS247" s="364"/>
      <c r="GT247" s="364"/>
      <c r="GU247" s="364"/>
      <c r="GV247" s="364"/>
      <c r="GW247" s="364"/>
      <c r="GX247" s="364"/>
      <c r="GY247" s="364"/>
      <c r="GZ247" s="364"/>
      <c r="HA247" s="364"/>
      <c r="HB247" s="364"/>
      <c r="HC247" s="364"/>
      <c r="HD247" s="364"/>
      <c r="HE247" s="364"/>
      <c r="HF247" s="364"/>
      <c r="HG247" s="364"/>
      <c r="HH247" s="364"/>
      <c r="HI247" s="364"/>
      <c r="HJ247" s="364"/>
      <c r="HK247" s="364"/>
      <c r="HL247" s="364"/>
    </row>
    <row r="248" spans="2:220" s="287" customFormat="1" ht="22.5" customHeight="1">
      <c r="B248" s="365">
        <v>240134</v>
      </c>
      <c r="C248" s="366" t="s">
        <v>14385</v>
      </c>
      <c r="D248" s="367"/>
      <c r="E248" s="368"/>
      <c r="F248" s="321" t="s">
        <v>199</v>
      </c>
      <c r="G248" s="326" t="s">
        <v>2390</v>
      </c>
      <c r="H248" s="326" t="s">
        <v>2391</v>
      </c>
      <c r="I248" s="326" t="s">
        <v>11</v>
      </c>
      <c r="J248" s="326" t="s">
        <v>2867</v>
      </c>
      <c r="K248" s="326" t="s">
        <v>10</v>
      </c>
      <c r="L248" s="323"/>
      <c r="M248" s="374"/>
      <c r="N248" s="325" t="s">
        <v>438</v>
      </c>
      <c r="O248" s="326" t="s">
        <v>210</v>
      </c>
      <c r="P248" s="326" t="s">
        <v>210</v>
      </c>
      <c r="Q248" s="340" t="s">
        <v>15</v>
      </c>
      <c r="R248" s="329" t="s">
        <v>719</v>
      </c>
      <c r="S248" s="331" t="s">
        <v>14390</v>
      </c>
      <c r="T248" s="331" t="s">
        <v>14391</v>
      </c>
      <c r="U248" s="331" t="s">
        <v>14392</v>
      </c>
      <c r="V248" s="331" t="s">
        <v>14393</v>
      </c>
      <c r="W248" s="332" t="s">
        <v>718</v>
      </c>
      <c r="X248" s="331" t="s">
        <v>14386</v>
      </c>
      <c r="Y248" s="331" t="s">
        <v>14388</v>
      </c>
      <c r="Z248" s="331" t="s">
        <v>14387</v>
      </c>
      <c r="AA248" s="331" t="s">
        <v>14389</v>
      </c>
      <c r="AB248" s="333"/>
      <c r="AC248" s="333"/>
      <c r="AD248" s="334" t="s">
        <v>885</v>
      </c>
      <c r="AE248" s="395" t="s">
        <v>187</v>
      </c>
      <c r="AF248" s="336"/>
      <c r="AG248" s="337"/>
      <c r="AH248" s="417" t="s">
        <v>435</v>
      </c>
      <c r="AI248" s="392" t="s">
        <v>435</v>
      </c>
      <c r="AJ248" s="392" t="s">
        <v>435</v>
      </c>
      <c r="AK248" s="340" t="s">
        <v>435</v>
      </c>
      <c r="AL248" s="321" t="s">
        <v>210</v>
      </c>
      <c r="AM248" s="392" t="s">
        <v>15</v>
      </c>
      <c r="AN248" s="392" t="s">
        <v>15</v>
      </c>
      <c r="AO248" s="341" t="s">
        <v>15</v>
      </c>
      <c r="AP248" s="342"/>
      <c r="AQ248" s="343"/>
      <c r="AR248" s="387"/>
      <c r="AS248" s="326">
        <v>150</v>
      </c>
      <c r="AT248" s="392">
        <v>0.8</v>
      </c>
      <c r="AU248" s="392"/>
      <c r="AV248" s="392">
        <v>1.5</v>
      </c>
      <c r="AW248" s="340"/>
      <c r="AX248" s="347"/>
      <c r="AY248" s="348"/>
      <c r="AZ248" s="377"/>
      <c r="BA248" s="374"/>
      <c r="BB248" s="374"/>
      <c r="BC248" s="374"/>
      <c r="BD248" s="374"/>
      <c r="BE248" s="374"/>
      <c r="BF248" s="374"/>
      <c r="BG248" s="374"/>
      <c r="BH248" s="378"/>
      <c r="BI248" s="376"/>
      <c r="BJ248" s="379"/>
      <c r="BK248" s="380"/>
      <c r="BL248" s="348"/>
      <c r="BM248" s="381"/>
      <c r="BN248" s="321" t="s">
        <v>983</v>
      </c>
      <c r="BO248" s="372"/>
      <c r="BP248" s="373" t="s">
        <v>983</v>
      </c>
      <c r="BQ248" s="360"/>
      <c r="BR248" s="361"/>
      <c r="BS248" s="361"/>
      <c r="BT248" s="361"/>
      <c r="BU248" s="342" t="s">
        <v>210</v>
      </c>
      <c r="BV248" s="342" t="s">
        <v>210</v>
      </c>
      <c r="BW248" s="341" t="s">
        <v>15</v>
      </c>
      <c r="BX248" s="361"/>
      <c r="BY248" s="362"/>
      <c r="BZ248" s="363"/>
      <c r="CA248" s="363"/>
      <c r="CB248" s="363"/>
      <c r="CC248" s="363"/>
      <c r="CD248" s="293"/>
      <c r="CE248" s="364"/>
      <c r="CF248" s="364"/>
      <c r="CG248" s="364"/>
      <c r="CH248" s="364"/>
      <c r="CI248" s="364"/>
      <c r="CJ248" s="364"/>
      <c r="CK248" s="364"/>
      <c r="CL248" s="364"/>
      <c r="CM248" s="364"/>
      <c r="CN248" s="364"/>
      <c r="CO248" s="364"/>
      <c r="CP248" s="364"/>
      <c r="CQ248" s="364"/>
      <c r="CR248" s="364"/>
      <c r="CS248" s="364"/>
      <c r="CT248" s="364"/>
      <c r="CU248" s="364"/>
      <c r="CV248" s="364"/>
      <c r="CW248" s="364"/>
      <c r="CX248" s="364"/>
      <c r="CY248" s="364"/>
      <c r="CZ248" s="364"/>
      <c r="DA248" s="364"/>
      <c r="DB248" s="364"/>
      <c r="DC248" s="364"/>
      <c r="DD248" s="364"/>
      <c r="DE248" s="364"/>
      <c r="DF248" s="364"/>
      <c r="DG248" s="364"/>
      <c r="DH248" s="364"/>
      <c r="DI248" s="364"/>
      <c r="DJ248" s="364"/>
      <c r="DK248" s="364"/>
      <c r="DL248" s="364"/>
      <c r="DM248" s="364"/>
      <c r="DN248" s="364"/>
      <c r="DO248" s="364"/>
      <c r="DP248" s="364"/>
      <c r="DQ248" s="364"/>
      <c r="DR248" s="364"/>
      <c r="DS248" s="364"/>
      <c r="DT248" s="364"/>
      <c r="DU248" s="364"/>
      <c r="DV248" s="364"/>
      <c r="DW248" s="364"/>
      <c r="DX248" s="364"/>
      <c r="DY248" s="364"/>
      <c r="DZ248" s="364"/>
      <c r="EA248" s="364"/>
      <c r="EB248" s="364"/>
      <c r="EC248" s="364"/>
      <c r="ED248" s="364"/>
      <c r="EE248" s="364"/>
      <c r="EF248" s="364"/>
      <c r="EG248" s="364"/>
      <c r="EH248" s="364"/>
      <c r="EI248" s="364"/>
      <c r="EJ248" s="364"/>
      <c r="EK248" s="364"/>
      <c r="EL248" s="364"/>
      <c r="EM248" s="364"/>
      <c r="EN248" s="364"/>
      <c r="EO248" s="364"/>
      <c r="EP248" s="364"/>
      <c r="EQ248" s="364"/>
      <c r="ER248" s="364"/>
      <c r="ES248" s="364"/>
      <c r="ET248" s="364"/>
      <c r="EU248" s="364"/>
      <c r="EV248" s="364"/>
      <c r="EW248" s="364"/>
      <c r="EX248" s="364"/>
      <c r="EY248" s="364"/>
      <c r="EZ248" s="364"/>
      <c r="FA248" s="364"/>
      <c r="FB248" s="364"/>
      <c r="FC248" s="364"/>
      <c r="FD248" s="364"/>
      <c r="FE248" s="364"/>
      <c r="FF248" s="364"/>
      <c r="FG248" s="364"/>
      <c r="FH248" s="364"/>
      <c r="FI248" s="364"/>
      <c r="FJ248" s="364"/>
      <c r="FK248" s="364"/>
      <c r="FL248" s="364"/>
      <c r="FM248" s="364"/>
      <c r="FN248" s="364"/>
      <c r="FO248" s="364"/>
      <c r="FP248" s="364"/>
      <c r="FQ248" s="364"/>
      <c r="FR248" s="364"/>
      <c r="FS248" s="364"/>
      <c r="FT248" s="364"/>
      <c r="FU248" s="364"/>
      <c r="FV248" s="364"/>
      <c r="FW248" s="364"/>
      <c r="FX248" s="364"/>
      <c r="FY248" s="364"/>
      <c r="FZ248" s="364"/>
      <c r="GA248" s="364"/>
      <c r="GB248" s="364"/>
      <c r="GC248" s="364"/>
      <c r="GD248" s="364"/>
      <c r="GE248" s="364"/>
      <c r="GF248" s="364"/>
      <c r="GG248" s="364"/>
      <c r="GH248" s="364"/>
      <c r="GI248" s="364"/>
      <c r="GJ248" s="364"/>
      <c r="GK248" s="364"/>
      <c r="GL248" s="364"/>
      <c r="GM248" s="364"/>
      <c r="GN248" s="364"/>
      <c r="GO248" s="364"/>
      <c r="GP248" s="364"/>
      <c r="GQ248" s="364"/>
      <c r="GR248" s="364"/>
      <c r="GS248" s="364"/>
      <c r="GT248" s="364"/>
      <c r="GU248" s="364"/>
      <c r="GV248" s="364"/>
      <c r="GW248" s="364"/>
      <c r="GX248" s="364"/>
      <c r="GY248" s="364"/>
      <c r="GZ248" s="364"/>
      <c r="HA248" s="364"/>
      <c r="HB248" s="364"/>
      <c r="HC248" s="364"/>
      <c r="HD248" s="364"/>
      <c r="HE248" s="364"/>
      <c r="HF248" s="364"/>
      <c r="HG248" s="364"/>
      <c r="HH248" s="364"/>
      <c r="HI248" s="364"/>
      <c r="HJ248" s="364"/>
      <c r="HK248" s="364"/>
      <c r="HL248" s="364"/>
    </row>
    <row r="249" spans="2:220" s="287" customFormat="1" ht="22.5" customHeight="1">
      <c r="B249" s="365">
        <v>240135</v>
      </c>
      <c r="C249" s="366" t="s">
        <v>13171</v>
      </c>
      <c r="D249" s="367"/>
      <c r="E249" s="368"/>
      <c r="F249" s="321" t="s">
        <v>226</v>
      </c>
      <c r="G249" s="326" t="s">
        <v>2388</v>
      </c>
      <c r="H249" s="326" t="s">
        <v>2389</v>
      </c>
      <c r="I249" s="326" t="s">
        <v>11</v>
      </c>
      <c r="J249" s="326" t="s">
        <v>12</v>
      </c>
      <c r="K249" s="326" t="s">
        <v>324</v>
      </c>
      <c r="L249" s="323"/>
      <c r="M249" s="324" t="s">
        <v>10767</v>
      </c>
      <c r="N249" s="325" t="s">
        <v>438</v>
      </c>
      <c r="O249" s="326">
        <v>30</v>
      </c>
      <c r="P249" s="327">
        <v>2554.25</v>
      </c>
      <c r="Q249" s="369">
        <v>2462.4</v>
      </c>
      <c r="R249" s="329" t="s">
        <v>516</v>
      </c>
      <c r="S249" s="331" t="s">
        <v>14270</v>
      </c>
      <c r="T249" s="394" t="s">
        <v>11829</v>
      </c>
      <c r="U249" s="394" t="s">
        <v>11828</v>
      </c>
      <c r="V249" s="331" t="s">
        <v>14271</v>
      </c>
      <c r="W249" s="332" t="s">
        <v>432</v>
      </c>
      <c r="X249" s="331" t="s">
        <v>11079</v>
      </c>
      <c r="Y249" s="331" t="s">
        <v>11080</v>
      </c>
      <c r="Z249" s="331" t="s">
        <v>11080</v>
      </c>
      <c r="AA249" s="331" t="s">
        <v>210</v>
      </c>
      <c r="AB249" s="333"/>
      <c r="AC249" s="333"/>
      <c r="AD249" s="334" t="s">
        <v>272</v>
      </c>
      <c r="AE249" s="335" t="s">
        <v>331</v>
      </c>
      <c r="AF249" s="336"/>
      <c r="AG249" s="337"/>
      <c r="AH249" s="338">
        <v>6.4</v>
      </c>
      <c r="AI249" s="339">
        <v>13.5</v>
      </c>
      <c r="AJ249" s="339">
        <v>15.6</v>
      </c>
      <c r="AK249" s="340">
        <f>SUM(AH249:AJ249)</f>
        <v>35.5</v>
      </c>
      <c r="AL249" s="321" t="s">
        <v>210</v>
      </c>
      <c r="AM249" s="392" t="s">
        <v>15</v>
      </c>
      <c r="AN249" s="392" t="s">
        <v>15</v>
      </c>
      <c r="AO249" s="341" t="s">
        <v>15</v>
      </c>
      <c r="AP249" s="342"/>
      <c r="AQ249" s="343"/>
      <c r="AR249" s="370">
        <v>2757</v>
      </c>
      <c r="AS249" s="326">
        <v>100</v>
      </c>
      <c r="AT249" s="392">
        <v>0.6</v>
      </c>
      <c r="AU249" s="392"/>
      <c r="AV249" s="392">
        <v>0.6</v>
      </c>
      <c r="AW249" s="340"/>
      <c r="AX249" s="347"/>
      <c r="AY249" s="348"/>
      <c r="AZ249" s="377"/>
      <c r="BA249" s="374"/>
      <c r="BB249" s="374"/>
      <c r="BC249" s="374"/>
      <c r="BD249" s="374"/>
      <c r="BE249" s="374"/>
      <c r="BF249" s="374"/>
      <c r="BG249" s="374"/>
      <c r="BH249" s="378"/>
      <c r="BI249" s="376"/>
      <c r="BJ249" s="379"/>
      <c r="BK249" s="380"/>
      <c r="BL249" s="348"/>
      <c r="BM249" s="381"/>
      <c r="BN249" s="321" t="s">
        <v>983</v>
      </c>
      <c r="BO249" s="372"/>
      <c r="BP249" s="373" t="s">
        <v>15</v>
      </c>
      <c r="BQ249" s="360"/>
      <c r="BR249" s="361"/>
      <c r="BS249" s="361"/>
      <c r="BT249" s="361"/>
      <c r="BU249" s="342" t="s">
        <v>210</v>
      </c>
      <c r="BV249" s="342" t="s">
        <v>210</v>
      </c>
      <c r="BW249" s="341" t="s">
        <v>15</v>
      </c>
      <c r="BX249" s="361"/>
      <c r="BY249" s="362"/>
      <c r="BZ249" s="363"/>
      <c r="CA249" s="363"/>
      <c r="CB249" s="363"/>
      <c r="CC249" s="363"/>
      <c r="CD249" s="293"/>
      <c r="CE249" s="364"/>
      <c r="CF249" s="364"/>
      <c r="CG249" s="364"/>
      <c r="CH249" s="364"/>
      <c r="CI249" s="364"/>
      <c r="CJ249" s="364"/>
      <c r="CK249" s="364"/>
      <c r="CL249" s="364"/>
      <c r="CM249" s="364"/>
      <c r="CN249" s="364"/>
      <c r="CO249" s="364"/>
      <c r="CP249" s="364"/>
      <c r="CQ249" s="364"/>
      <c r="CR249" s="364"/>
      <c r="CS249" s="364"/>
      <c r="CT249" s="364"/>
      <c r="CU249" s="364"/>
      <c r="CV249" s="364"/>
      <c r="CW249" s="364"/>
      <c r="CX249" s="364"/>
      <c r="CY249" s="364"/>
      <c r="CZ249" s="364"/>
      <c r="DA249" s="364"/>
      <c r="DB249" s="364"/>
      <c r="DC249" s="364"/>
      <c r="DD249" s="364"/>
      <c r="DE249" s="364"/>
      <c r="DF249" s="364"/>
      <c r="DG249" s="364"/>
      <c r="DH249" s="364"/>
      <c r="DI249" s="364"/>
      <c r="DJ249" s="364"/>
      <c r="DK249" s="364"/>
      <c r="DL249" s="364"/>
      <c r="DM249" s="364"/>
      <c r="DN249" s="364"/>
      <c r="DO249" s="364"/>
      <c r="DP249" s="364"/>
      <c r="DQ249" s="364"/>
      <c r="DR249" s="364"/>
      <c r="DS249" s="364"/>
      <c r="DT249" s="364"/>
      <c r="DU249" s="364"/>
      <c r="DV249" s="364"/>
      <c r="DW249" s="364"/>
      <c r="DX249" s="364"/>
      <c r="DY249" s="364"/>
      <c r="DZ249" s="364"/>
      <c r="EA249" s="364"/>
      <c r="EB249" s="364"/>
      <c r="EC249" s="364"/>
      <c r="ED249" s="364"/>
      <c r="EE249" s="364"/>
      <c r="EF249" s="364"/>
      <c r="EG249" s="364"/>
      <c r="EH249" s="364"/>
      <c r="EI249" s="364"/>
      <c r="EJ249" s="364"/>
      <c r="EK249" s="364"/>
      <c r="EL249" s="364"/>
      <c r="EM249" s="364"/>
      <c r="EN249" s="364"/>
      <c r="EO249" s="364"/>
      <c r="EP249" s="364"/>
      <c r="EQ249" s="364"/>
      <c r="ER249" s="364"/>
      <c r="ES249" s="364"/>
      <c r="ET249" s="364"/>
      <c r="EU249" s="364"/>
      <c r="EV249" s="364"/>
      <c r="EW249" s="364"/>
      <c r="EX249" s="364"/>
      <c r="EY249" s="364"/>
      <c r="EZ249" s="364"/>
      <c r="FA249" s="364"/>
      <c r="FB249" s="364"/>
      <c r="FC249" s="364"/>
      <c r="FD249" s="364"/>
      <c r="FE249" s="364"/>
      <c r="FF249" s="364"/>
      <c r="FG249" s="364"/>
      <c r="FH249" s="364"/>
      <c r="FI249" s="364"/>
      <c r="FJ249" s="364"/>
      <c r="FK249" s="364"/>
      <c r="FL249" s="364"/>
      <c r="FM249" s="364"/>
      <c r="FN249" s="364"/>
      <c r="FO249" s="364"/>
      <c r="FP249" s="364"/>
      <c r="FQ249" s="364"/>
      <c r="FR249" s="364"/>
      <c r="FS249" s="364"/>
      <c r="FT249" s="364"/>
      <c r="FU249" s="364"/>
      <c r="FV249" s="364"/>
      <c r="FW249" s="364"/>
      <c r="FX249" s="364"/>
      <c r="FY249" s="364"/>
      <c r="FZ249" s="364"/>
      <c r="GA249" s="364"/>
      <c r="GB249" s="364"/>
      <c r="GC249" s="364"/>
      <c r="GD249" s="364"/>
      <c r="GE249" s="364"/>
      <c r="GF249" s="364"/>
      <c r="GG249" s="364"/>
      <c r="GH249" s="364"/>
      <c r="GI249" s="364"/>
      <c r="GJ249" s="364"/>
      <c r="GK249" s="364"/>
      <c r="GL249" s="364"/>
      <c r="GM249" s="364"/>
      <c r="GN249" s="364"/>
      <c r="GO249" s="364"/>
      <c r="GP249" s="364"/>
      <c r="GQ249" s="364"/>
      <c r="GR249" s="364"/>
      <c r="GS249" s="364"/>
      <c r="GT249" s="364"/>
      <c r="GU249" s="364"/>
      <c r="GV249" s="364"/>
      <c r="GW249" s="364"/>
      <c r="GX249" s="364"/>
      <c r="GY249" s="364"/>
      <c r="GZ249" s="364"/>
      <c r="HA249" s="364"/>
      <c r="HB249" s="364"/>
      <c r="HC249" s="364"/>
      <c r="HD249" s="364"/>
      <c r="HE249" s="364"/>
      <c r="HF249" s="364"/>
      <c r="HG249" s="364"/>
      <c r="HH249" s="364"/>
      <c r="HI249" s="364"/>
      <c r="HJ249" s="364"/>
      <c r="HK249" s="364"/>
      <c r="HL249" s="364"/>
    </row>
    <row r="250" spans="2:220" s="287" customFormat="1" ht="22.5" customHeight="1">
      <c r="B250" s="365">
        <v>240136</v>
      </c>
      <c r="C250" s="366" t="s">
        <v>14094</v>
      </c>
      <c r="D250" s="367"/>
      <c r="E250" s="368"/>
      <c r="F250" s="321" t="s">
        <v>83</v>
      </c>
      <c r="G250" s="326" t="s">
        <v>2386</v>
      </c>
      <c r="H250" s="326" t="s">
        <v>2387</v>
      </c>
      <c r="I250" s="326" t="s">
        <v>11</v>
      </c>
      <c r="J250" s="326" t="s">
        <v>12</v>
      </c>
      <c r="K250" s="326" t="s">
        <v>10</v>
      </c>
      <c r="L250" s="323"/>
      <c r="M250" s="324" t="s">
        <v>10767</v>
      </c>
      <c r="N250" s="325" t="s">
        <v>437</v>
      </c>
      <c r="O250" s="326">
        <v>40</v>
      </c>
      <c r="P250" s="423">
        <v>1001.5</v>
      </c>
      <c r="Q250" s="424">
        <v>1036.5</v>
      </c>
      <c r="R250" s="329" t="s">
        <v>469</v>
      </c>
      <c r="S250" s="331" t="s">
        <v>12965</v>
      </c>
      <c r="T250" s="394" t="s">
        <v>11205</v>
      </c>
      <c r="U250" s="394" t="s">
        <v>11207</v>
      </c>
      <c r="V250" s="331" t="s">
        <v>12966</v>
      </c>
      <c r="W250" s="332" t="s">
        <v>432</v>
      </c>
      <c r="X250" s="331" t="s">
        <v>11079</v>
      </c>
      <c r="Y250" s="331" t="s">
        <v>11080</v>
      </c>
      <c r="Z250" s="331" t="s">
        <v>11080</v>
      </c>
      <c r="AA250" s="331" t="s">
        <v>295</v>
      </c>
      <c r="AB250" s="333"/>
      <c r="AC250" s="333"/>
      <c r="AD250" s="396" t="s">
        <v>2320</v>
      </c>
      <c r="AE250" s="335" t="s">
        <v>15</v>
      </c>
      <c r="AF250" s="336"/>
      <c r="AG250" s="337"/>
      <c r="AH250" s="338">
        <v>7.9</v>
      </c>
      <c r="AI250" s="339">
        <v>18.2</v>
      </c>
      <c r="AJ250" s="339">
        <v>16.7</v>
      </c>
      <c r="AK250" s="340">
        <f>SUBTOTAL(9,AH250:AJ250)</f>
        <v>42.8</v>
      </c>
      <c r="AL250" s="321" t="s">
        <v>210</v>
      </c>
      <c r="AM250" s="392" t="s">
        <v>15</v>
      </c>
      <c r="AN250" s="392" t="s">
        <v>15</v>
      </c>
      <c r="AO250" s="341" t="s">
        <v>15</v>
      </c>
      <c r="AP250" s="342"/>
      <c r="AQ250" s="343"/>
      <c r="AR250" s="370">
        <v>1231</v>
      </c>
      <c r="AS250" s="326">
        <v>100</v>
      </c>
      <c r="AT250" s="392">
        <v>0.8</v>
      </c>
      <c r="AU250" s="392"/>
      <c r="AV250" s="392">
        <v>1.2</v>
      </c>
      <c r="AW250" s="340"/>
      <c r="AX250" s="347"/>
      <c r="AY250" s="348"/>
      <c r="AZ250" s="377"/>
      <c r="BA250" s="374"/>
      <c r="BB250" s="374"/>
      <c r="BC250" s="374"/>
      <c r="BD250" s="374"/>
      <c r="BE250" s="374"/>
      <c r="BF250" s="374"/>
      <c r="BG250" s="374"/>
      <c r="BH250" s="378"/>
      <c r="BI250" s="376"/>
      <c r="BJ250" s="379"/>
      <c r="BK250" s="380"/>
      <c r="BL250" s="348"/>
      <c r="BM250" s="381"/>
      <c r="BN250" s="321" t="s">
        <v>983</v>
      </c>
      <c r="BO250" s="372"/>
      <c r="BP250" s="373" t="s">
        <v>983</v>
      </c>
      <c r="BQ250" s="360"/>
      <c r="BR250" s="361"/>
      <c r="BS250" s="361"/>
      <c r="BT250" s="361"/>
      <c r="BU250" s="342" t="s">
        <v>210</v>
      </c>
      <c r="BV250" s="342" t="s">
        <v>210</v>
      </c>
      <c r="BW250" s="341" t="s">
        <v>15</v>
      </c>
      <c r="BX250" s="361"/>
      <c r="BY250" s="362"/>
      <c r="BZ250" s="363"/>
      <c r="CA250" s="363"/>
      <c r="CB250" s="363"/>
      <c r="CC250" s="363"/>
      <c r="CD250" s="293"/>
      <c r="CE250" s="364"/>
      <c r="CF250" s="364"/>
      <c r="CG250" s="364"/>
      <c r="CH250" s="364"/>
      <c r="CI250" s="364"/>
      <c r="CJ250" s="364"/>
      <c r="CK250" s="364"/>
      <c r="CL250" s="364"/>
      <c r="CM250" s="364"/>
      <c r="CN250" s="364"/>
      <c r="CO250" s="364"/>
      <c r="CP250" s="364"/>
      <c r="CQ250" s="364"/>
      <c r="CR250" s="364"/>
      <c r="CS250" s="364"/>
      <c r="CT250" s="364"/>
      <c r="CU250" s="364"/>
      <c r="CV250" s="364"/>
      <c r="CW250" s="364"/>
      <c r="CX250" s="364"/>
      <c r="CY250" s="364"/>
      <c r="CZ250" s="364"/>
      <c r="DA250" s="364"/>
      <c r="DB250" s="364"/>
      <c r="DC250" s="364"/>
      <c r="DD250" s="364"/>
      <c r="DE250" s="364"/>
      <c r="DF250" s="364"/>
      <c r="DG250" s="364"/>
      <c r="DH250" s="364"/>
      <c r="DI250" s="364"/>
      <c r="DJ250" s="364"/>
      <c r="DK250" s="364"/>
      <c r="DL250" s="364"/>
      <c r="DM250" s="364"/>
      <c r="DN250" s="364"/>
      <c r="DO250" s="364"/>
      <c r="DP250" s="364"/>
      <c r="DQ250" s="364"/>
      <c r="DR250" s="364"/>
      <c r="DS250" s="364"/>
      <c r="DT250" s="364"/>
      <c r="DU250" s="364"/>
      <c r="DV250" s="364"/>
      <c r="DW250" s="364"/>
      <c r="DX250" s="364"/>
      <c r="DY250" s="364"/>
      <c r="DZ250" s="364"/>
      <c r="EA250" s="364"/>
      <c r="EB250" s="364"/>
      <c r="EC250" s="364"/>
      <c r="ED250" s="364"/>
      <c r="EE250" s="364"/>
      <c r="EF250" s="364"/>
      <c r="EG250" s="364"/>
      <c r="EH250" s="364"/>
      <c r="EI250" s="364"/>
      <c r="EJ250" s="364"/>
      <c r="EK250" s="364"/>
      <c r="EL250" s="364"/>
      <c r="EM250" s="364"/>
      <c r="EN250" s="364"/>
      <c r="EO250" s="364"/>
      <c r="EP250" s="364"/>
      <c r="EQ250" s="364"/>
      <c r="ER250" s="364"/>
      <c r="ES250" s="364"/>
      <c r="ET250" s="364"/>
      <c r="EU250" s="364"/>
      <c r="EV250" s="364"/>
      <c r="EW250" s="364"/>
      <c r="EX250" s="364"/>
      <c r="EY250" s="364"/>
      <c r="EZ250" s="364"/>
      <c r="FA250" s="364"/>
      <c r="FB250" s="364"/>
      <c r="FC250" s="364"/>
      <c r="FD250" s="364"/>
      <c r="FE250" s="364"/>
      <c r="FF250" s="364"/>
      <c r="FG250" s="364"/>
      <c r="FH250" s="364"/>
      <c r="FI250" s="364"/>
      <c r="FJ250" s="364"/>
      <c r="FK250" s="364"/>
      <c r="FL250" s="364"/>
      <c r="FM250" s="364"/>
      <c r="FN250" s="364"/>
      <c r="FO250" s="364"/>
      <c r="FP250" s="364"/>
      <c r="FQ250" s="364"/>
      <c r="FR250" s="364"/>
      <c r="FS250" s="364"/>
      <c r="FT250" s="364"/>
      <c r="FU250" s="364"/>
      <c r="FV250" s="364"/>
      <c r="FW250" s="364"/>
      <c r="FX250" s="364"/>
      <c r="FY250" s="364"/>
      <c r="FZ250" s="364"/>
      <c r="GA250" s="364"/>
      <c r="GB250" s="364"/>
      <c r="GC250" s="364"/>
      <c r="GD250" s="364"/>
      <c r="GE250" s="364"/>
      <c r="GF250" s="364"/>
      <c r="GG250" s="364"/>
      <c r="GH250" s="364"/>
      <c r="GI250" s="364"/>
      <c r="GJ250" s="364"/>
      <c r="GK250" s="364"/>
      <c r="GL250" s="364"/>
      <c r="GM250" s="364"/>
      <c r="GN250" s="364"/>
      <c r="GO250" s="364"/>
      <c r="GP250" s="364"/>
      <c r="GQ250" s="364"/>
      <c r="GR250" s="364"/>
      <c r="GS250" s="364"/>
      <c r="GT250" s="364"/>
      <c r="GU250" s="364"/>
      <c r="GV250" s="364"/>
      <c r="GW250" s="364"/>
      <c r="GX250" s="364"/>
      <c r="GY250" s="364"/>
      <c r="GZ250" s="364"/>
      <c r="HA250" s="364"/>
      <c r="HB250" s="364"/>
      <c r="HC250" s="364"/>
      <c r="HD250" s="364"/>
      <c r="HE250" s="364"/>
      <c r="HF250" s="364"/>
      <c r="HG250" s="364"/>
      <c r="HH250" s="364"/>
      <c r="HI250" s="364"/>
      <c r="HJ250" s="364"/>
      <c r="HK250" s="364"/>
      <c r="HL250" s="364"/>
    </row>
    <row r="251" spans="2:220" s="287" customFormat="1" ht="22.5" customHeight="1">
      <c r="B251" s="365">
        <v>240137</v>
      </c>
      <c r="C251" s="366" t="s">
        <v>14093</v>
      </c>
      <c r="D251" s="367"/>
      <c r="E251" s="368"/>
      <c r="F251" s="321" t="s">
        <v>59</v>
      </c>
      <c r="G251" s="326" t="s">
        <v>2384</v>
      </c>
      <c r="H251" s="326" t="s">
        <v>2385</v>
      </c>
      <c r="I251" s="326" t="s">
        <v>11</v>
      </c>
      <c r="J251" s="326" t="s">
        <v>12</v>
      </c>
      <c r="K251" s="326" t="s">
        <v>10</v>
      </c>
      <c r="L251" s="323"/>
      <c r="M251" s="324" t="s">
        <v>10767</v>
      </c>
      <c r="N251" s="325" t="s">
        <v>437</v>
      </c>
      <c r="O251" s="326">
        <v>30</v>
      </c>
      <c r="P251" s="327">
        <v>1785.92</v>
      </c>
      <c r="Q251" s="369">
        <v>1862.91</v>
      </c>
      <c r="R251" s="329" t="s">
        <v>469</v>
      </c>
      <c r="S251" s="394" t="s">
        <v>11204</v>
      </c>
      <c r="T251" s="394" t="s">
        <v>11205</v>
      </c>
      <c r="U251" s="394" t="s">
        <v>11207</v>
      </c>
      <c r="V251" s="394" t="s">
        <v>11206</v>
      </c>
      <c r="W251" s="332" t="s">
        <v>432</v>
      </c>
      <c r="X251" s="331" t="s">
        <v>11079</v>
      </c>
      <c r="Y251" s="331" t="s">
        <v>11080</v>
      </c>
      <c r="Z251" s="331" t="s">
        <v>11080</v>
      </c>
      <c r="AA251" s="331" t="s">
        <v>295</v>
      </c>
      <c r="AB251" s="333"/>
      <c r="AC251" s="333"/>
      <c r="AD251" s="334" t="s">
        <v>2325</v>
      </c>
      <c r="AE251" s="335" t="s">
        <v>15</v>
      </c>
      <c r="AF251" s="336"/>
      <c r="AG251" s="337"/>
      <c r="AH251" s="338">
        <v>10.8</v>
      </c>
      <c r="AI251" s="339">
        <v>32</v>
      </c>
      <c r="AJ251" s="339">
        <v>26.3</v>
      </c>
      <c r="AK251" s="340">
        <f>SUM(AH251:AJ251)</f>
        <v>69.099999999999994</v>
      </c>
      <c r="AL251" s="321" t="s">
        <v>210</v>
      </c>
      <c r="AM251" s="392" t="s">
        <v>15</v>
      </c>
      <c r="AN251" s="392" t="s">
        <v>15</v>
      </c>
      <c r="AO251" s="341" t="s">
        <v>15</v>
      </c>
      <c r="AP251" s="342"/>
      <c r="AQ251" s="343"/>
      <c r="AR251" s="370">
        <v>2126</v>
      </c>
      <c r="AS251" s="326">
        <v>100</v>
      </c>
      <c r="AT251" s="392">
        <v>0.8</v>
      </c>
      <c r="AU251" s="392"/>
      <c r="AV251" s="392">
        <v>1.2</v>
      </c>
      <c r="AW251" s="340"/>
      <c r="AX251" s="347"/>
      <c r="AY251" s="348"/>
      <c r="AZ251" s="377"/>
      <c r="BA251" s="374"/>
      <c r="BB251" s="374"/>
      <c r="BC251" s="374"/>
      <c r="BD251" s="374"/>
      <c r="BE251" s="374"/>
      <c r="BF251" s="374"/>
      <c r="BG251" s="374"/>
      <c r="BH251" s="378"/>
      <c r="BI251" s="376"/>
      <c r="BJ251" s="379"/>
      <c r="BK251" s="380"/>
      <c r="BL251" s="348"/>
      <c r="BM251" s="381"/>
      <c r="BN251" s="321" t="s">
        <v>983</v>
      </c>
      <c r="BO251" s="372"/>
      <c r="BP251" s="373" t="s">
        <v>15</v>
      </c>
      <c r="BQ251" s="360"/>
      <c r="BR251" s="361"/>
      <c r="BS251" s="361"/>
      <c r="BT251" s="361"/>
      <c r="BU251" s="342" t="s">
        <v>210</v>
      </c>
      <c r="BV251" s="342" t="s">
        <v>210</v>
      </c>
      <c r="BW251" s="341" t="s">
        <v>15</v>
      </c>
      <c r="BX251" s="361"/>
      <c r="BY251" s="362"/>
      <c r="BZ251" s="363"/>
      <c r="CA251" s="363"/>
      <c r="CB251" s="363"/>
      <c r="CC251" s="363"/>
      <c r="CD251" s="293"/>
      <c r="CE251" s="364"/>
      <c r="CF251" s="364"/>
      <c r="CG251" s="364"/>
      <c r="CH251" s="364"/>
      <c r="CI251" s="364"/>
      <c r="CJ251" s="364"/>
      <c r="CK251" s="364"/>
      <c r="CL251" s="364"/>
      <c r="CM251" s="364"/>
      <c r="CN251" s="364"/>
      <c r="CO251" s="364"/>
      <c r="CP251" s="364"/>
      <c r="CQ251" s="364"/>
      <c r="CR251" s="364"/>
      <c r="CS251" s="364"/>
      <c r="CT251" s="364"/>
      <c r="CU251" s="364"/>
      <c r="CV251" s="364"/>
      <c r="CW251" s="364"/>
      <c r="CX251" s="364"/>
      <c r="CY251" s="364"/>
      <c r="CZ251" s="364"/>
      <c r="DA251" s="364"/>
      <c r="DB251" s="364"/>
      <c r="DC251" s="364"/>
      <c r="DD251" s="364"/>
      <c r="DE251" s="364"/>
      <c r="DF251" s="364"/>
      <c r="DG251" s="364"/>
      <c r="DH251" s="364"/>
      <c r="DI251" s="364"/>
      <c r="DJ251" s="364"/>
      <c r="DK251" s="364"/>
      <c r="DL251" s="364"/>
      <c r="DM251" s="364"/>
      <c r="DN251" s="364"/>
      <c r="DO251" s="364"/>
      <c r="DP251" s="364"/>
      <c r="DQ251" s="364"/>
      <c r="DR251" s="364"/>
      <c r="DS251" s="364"/>
      <c r="DT251" s="364"/>
      <c r="DU251" s="364"/>
      <c r="DV251" s="364"/>
      <c r="DW251" s="364"/>
      <c r="DX251" s="364"/>
      <c r="DY251" s="364"/>
      <c r="DZ251" s="364"/>
      <c r="EA251" s="364"/>
      <c r="EB251" s="364"/>
      <c r="EC251" s="364"/>
      <c r="ED251" s="364"/>
      <c r="EE251" s="364"/>
      <c r="EF251" s="364"/>
      <c r="EG251" s="364"/>
      <c r="EH251" s="364"/>
      <c r="EI251" s="364"/>
      <c r="EJ251" s="364"/>
      <c r="EK251" s="364"/>
      <c r="EL251" s="364"/>
      <c r="EM251" s="364"/>
      <c r="EN251" s="364"/>
      <c r="EO251" s="364"/>
      <c r="EP251" s="364"/>
      <c r="EQ251" s="364"/>
      <c r="ER251" s="364"/>
      <c r="ES251" s="364"/>
      <c r="ET251" s="364"/>
      <c r="EU251" s="364"/>
      <c r="EV251" s="364"/>
      <c r="EW251" s="364"/>
      <c r="EX251" s="364"/>
      <c r="EY251" s="364"/>
      <c r="EZ251" s="364"/>
      <c r="FA251" s="364"/>
      <c r="FB251" s="364"/>
      <c r="FC251" s="364"/>
      <c r="FD251" s="364"/>
      <c r="FE251" s="364"/>
      <c r="FF251" s="364"/>
      <c r="FG251" s="364"/>
      <c r="FH251" s="364"/>
      <c r="FI251" s="364"/>
      <c r="FJ251" s="364"/>
      <c r="FK251" s="364"/>
      <c r="FL251" s="364"/>
      <c r="FM251" s="364"/>
      <c r="FN251" s="364"/>
      <c r="FO251" s="364"/>
      <c r="FP251" s="364"/>
      <c r="FQ251" s="364"/>
      <c r="FR251" s="364"/>
      <c r="FS251" s="364"/>
      <c r="FT251" s="364"/>
      <c r="FU251" s="364"/>
      <c r="FV251" s="364"/>
      <c r="FW251" s="364"/>
      <c r="FX251" s="364"/>
      <c r="FY251" s="364"/>
      <c r="FZ251" s="364"/>
      <c r="GA251" s="364"/>
      <c r="GB251" s="364"/>
      <c r="GC251" s="364"/>
      <c r="GD251" s="364"/>
      <c r="GE251" s="364"/>
      <c r="GF251" s="364"/>
      <c r="GG251" s="364"/>
      <c r="GH251" s="364"/>
      <c r="GI251" s="364"/>
      <c r="GJ251" s="364"/>
      <c r="GK251" s="364"/>
      <c r="GL251" s="364"/>
      <c r="GM251" s="364"/>
      <c r="GN251" s="364"/>
      <c r="GO251" s="364"/>
      <c r="GP251" s="364"/>
      <c r="GQ251" s="364"/>
      <c r="GR251" s="364"/>
      <c r="GS251" s="364"/>
      <c r="GT251" s="364"/>
      <c r="GU251" s="364"/>
      <c r="GV251" s="364"/>
      <c r="GW251" s="364"/>
      <c r="GX251" s="364"/>
      <c r="GY251" s="364"/>
      <c r="GZ251" s="364"/>
      <c r="HA251" s="364"/>
      <c r="HB251" s="364"/>
      <c r="HC251" s="364"/>
      <c r="HD251" s="364"/>
      <c r="HE251" s="364"/>
      <c r="HF251" s="364"/>
      <c r="HG251" s="364"/>
      <c r="HH251" s="364"/>
      <c r="HI251" s="364"/>
      <c r="HJ251" s="364"/>
      <c r="HK251" s="364"/>
      <c r="HL251" s="364"/>
    </row>
    <row r="252" spans="2:220" s="287" customFormat="1" ht="22.5" customHeight="1">
      <c r="B252" s="365">
        <v>240138</v>
      </c>
      <c r="C252" s="366" t="s">
        <v>219</v>
      </c>
      <c r="D252" s="367"/>
      <c r="E252" s="368"/>
      <c r="F252" s="321" t="s">
        <v>320</v>
      </c>
      <c r="G252" s="326" t="s">
        <v>2382</v>
      </c>
      <c r="H252" s="326" t="s">
        <v>2383</v>
      </c>
      <c r="I252" s="326" t="s">
        <v>11</v>
      </c>
      <c r="J252" s="326" t="s">
        <v>21</v>
      </c>
      <c r="K252" s="326" t="s">
        <v>220</v>
      </c>
      <c r="L252" s="323"/>
      <c r="M252" s="374"/>
      <c r="N252" s="325" t="s">
        <v>438</v>
      </c>
      <c r="O252" s="326" t="s">
        <v>210</v>
      </c>
      <c r="P252" s="326" t="s">
        <v>210</v>
      </c>
      <c r="Q252" s="340" t="s">
        <v>15</v>
      </c>
      <c r="R252" s="329" t="s">
        <v>720</v>
      </c>
      <c r="S252" s="331" t="s">
        <v>14382</v>
      </c>
      <c r="T252" s="331" t="s">
        <v>14383</v>
      </c>
      <c r="U252" s="331" t="s">
        <v>16356</v>
      </c>
      <c r="V252" s="331" t="s">
        <v>14384</v>
      </c>
      <c r="W252" s="332" t="s">
        <v>601</v>
      </c>
      <c r="X252" s="331" t="s">
        <v>14380</v>
      </c>
      <c r="Y252" s="331" t="s">
        <v>14379</v>
      </c>
      <c r="Z252" s="331" t="s">
        <v>16359</v>
      </c>
      <c r="AA252" s="331" t="s">
        <v>14381</v>
      </c>
      <c r="AB252" s="333"/>
      <c r="AC252" s="333"/>
      <c r="AD252" s="396" t="s">
        <v>321</v>
      </c>
      <c r="AE252" s="335" t="s">
        <v>322</v>
      </c>
      <c r="AF252" s="336"/>
      <c r="AG252" s="337"/>
      <c r="AH252" s="417" t="s">
        <v>435</v>
      </c>
      <c r="AI252" s="392" t="s">
        <v>435</v>
      </c>
      <c r="AJ252" s="392" t="s">
        <v>435</v>
      </c>
      <c r="AK252" s="340" t="s">
        <v>435</v>
      </c>
      <c r="AL252" s="321" t="s">
        <v>210</v>
      </c>
      <c r="AM252" s="425" t="s">
        <v>8761</v>
      </c>
      <c r="AN252" s="326" t="s">
        <v>210</v>
      </c>
      <c r="AO252" s="655" t="s">
        <v>210</v>
      </c>
      <c r="AP252" s="418"/>
      <c r="AQ252" s="343"/>
      <c r="AR252" s="370">
        <v>2022</v>
      </c>
      <c r="AS252" s="326">
        <v>120</v>
      </c>
      <c r="AT252" s="392">
        <v>1</v>
      </c>
      <c r="AU252" s="392"/>
      <c r="AV252" s="392">
        <v>1.5</v>
      </c>
      <c r="AW252" s="340"/>
      <c r="AX252" s="347"/>
      <c r="AY252" s="348"/>
      <c r="AZ252" s="377"/>
      <c r="BA252" s="374"/>
      <c r="BB252" s="374"/>
      <c r="BC252" s="374"/>
      <c r="BD252" s="374"/>
      <c r="BE252" s="374"/>
      <c r="BF252" s="374"/>
      <c r="BG252" s="374"/>
      <c r="BH252" s="378"/>
      <c r="BI252" s="376"/>
      <c r="BJ252" s="379"/>
      <c r="BK252" s="380"/>
      <c r="BL252" s="348"/>
      <c r="BM252" s="381"/>
      <c r="BN252" s="321" t="s">
        <v>15</v>
      </c>
      <c r="BO252" s="372"/>
      <c r="BP252" s="373" t="s">
        <v>983</v>
      </c>
      <c r="BQ252" s="360"/>
      <c r="BR252" s="361"/>
      <c r="BS252" s="361"/>
      <c r="BT252" s="361"/>
      <c r="BU252" s="361"/>
      <c r="BV252" s="418" t="s">
        <v>5411</v>
      </c>
      <c r="BW252" s="341" t="s">
        <v>15</v>
      </c>
      <c r="BX252" s="361"/>
      <c r="BY252" s="362"/>
      <c r="BZ252" s="363"/>
      <c r="CA252" s="363"/>
      <c r="CB252" s="363"/>
      <c r="CC252" s="363"/>
      <c r="CD252" s="293"/>
      <c r="CE252" s="364"/>
      <c r="CF252" s="364"/>
      <c r="CG252" s="364"/>
      <c r="CH252" s="364"/>
      <c r="CI252" s="364"/>
      <c r="CJ252" s="364"/>
      <c r="CK252" s="364"/>
      <c r="CL252" s="364"/>
      <c r="CM252" s="364"/>
      <c r="CN252" s="364"/>
      <c r="CO252" s="364"/>
      <c r="CP252" s="364"/>
      <c r="CQ252" s="364"/>
      <c r="CR252" s="364"/>
      <c r="CS252" s="364"/>
      <c r="CT252" s="364"/>
      <c r="CU252" s="364"/>
      <c r="CV252" s="364"/>
      <c r="CW252" s="364"/>
      <c r="CX252" s="364"/>
      <c r="CY252" s="364"/>
      <c r="CZ252" s="364"/>
      <c r="DA252" s="364"/>
      <c r="DB252" s="364"/>
      <c r="DC252" s="364"/>
      <c r="DD252" s="364"/>
      <c r="DE252" s="364"/>
      <c r="DF252" s="364"/>
      <c r="DG252" s="364"/>
      <c r="DH252" s="364"/>
      <c r="DI252" s="364"/>
      <c r="DJ252" s="364"/>
      <c r="DK252" s="364"/>
      <c r="DL252" s="364"/>
      <c r="DM252" s="364"/>
      <c r="DN252" s="364"/>
      <c r="DO252" s="364"/>
      <c r="DP252" s="364"/>
      <c r="DQ252" s="364"/>
      <c r="DR252" s="364"/>
      <c r="DS252" s="364"/>
      <c r="DT252" s="364"/>
      <c r="DU252" s="364"/>
      <c r="DV252" s="364"/>
      <c r="DW252" s="364"/>
      <c r="DX252" s="364"/>
      <c r="DY252" s="364"/>
      <c r="DZ252" s="364"/>
      <c r="EA252" s="364"/>
      <c r="EB252" s="364"/>
      <c r="EC252" s="364"/>
      <c r="ED252" s="364"/>
      <c r="EE252" s="364"/>
      <c r="EF252" s="364"/>
      <c r="EG252" s="364"/>
      <c r="EH252" s="364"/>
      <c r="EI252" s="364"/>
      <c r="EJ252" s="364"/>
      <c r="EK252" s="364"/>
      <c r="EL252" s="364"/>
      <c r="EM252" s="364"/>
      <c r="EN252" s="364"/>
      <c r="EO252" s="364"/>
      <c r="EP252" s="364"/>
      <c r="EQ252" s="364"/>
      <c r="ER252" s="364"/>
      <c r="ES252" s="364"/>
      <c r="ET252" s="364"/>
      <c r="EU252" s="364"/>
      <c r="EV252" s="364"/>
      <c r="EW252" s="364"/>
      <c r="EX252" s="364"/>
      <c r="EY252" s="364"/>
      <c r="EZ252" s="364"/>
      <c r="FA252" s="364"/>
      <c r="FB252" s="364"/>
      <c r="FC252" s="364"/>
      <c r="FD252" s="364"/>
      <c r="FE252" s="364"/>
      <c r="FF252" s="364"/>
      <c r="FG252" s="364"/>
      <c r="FH252" s="364"/>
      <c r="FI252" s="364"/>
      <c r="FJ252" s="364"/>
      <c r="FK252" s="364"/>
      <c r="FL252" s="364"/>
      <c r="FM252" s="364"/>
      <c r="FN252" s="364"/>
      <c r="FO252" s="364"/>
      <c r="FP252" s="364"/>
      <c r="FQ252" s="364"/>
      <c r="FR252" s="364"/>
      <c r="FS252" s="364"/>
      <c r="FT252" s="364"/>
      <c r="FU252" s="364"/>
      <c r="FV252" s="364"/>
      <c r="FW252" s="364"/>
      <c r="FX252" s="364"/>
      <c r="FY252" s="364"/>
      <c r="FZ252" s="364"/>
      <c r="GA252" s="364"/>
      <c r="GB252" s="364"/>
      <c r="GC252" s="364"/>
      <c r="GD252" s="364"/>
      <c r="GE252" s="364"/>
      <c r="GF252" s="364"/>
      <c r="GG252" s="364"/>
      <c r="GH252" s="364"/>
      <c r="GI252" s="364"/>
      <c r="GJ252" s="364"/>
      <c r="GK252" s="364"/>
      <c r="GL252" s="364"/>
      <c r="GM252" s="364"/>
      <c r="GN252" s="364"/>
      <c r="GO252" s="364"/>
      <c r="GP252" s="364"/>
      <c r="GQ252" s="364"/>
      <c r="GR252" s="364"/>
      <c r="GS252" s="364"/>
      <c r="GT252" s="364"/>
      <c r="GU252" s="364"/>
      <c r="GV252" s="364"/>
      <c r="GW252" s="364"/>
      <c r="GX252" s="364"/>
      <c r="GY252" s="364"/>
      <c r="GZ252" s="364"/>
      <c r="HA252" s="364"/>
      <c r="HB252" s="364"/>
      <c r="HC252" s="364"/>
      <c r="HD252" s="364"/>
      <c r="HE252" s="364"/>
      <c r="HF252" s="364"/>
      <c r="HG252" s="364"/>
      <c r="HH252" s="364"/>
      <c r="HI252" s="364"/>
      <c r="HJ252" s="364"/>
      <c r="HK252" s="364"/>
      <c r="HL252" s="364"/>
    </row>
    <row r="253" spans="2:220" s="287" customFormat="1" ht="22.5" customHeight="1">
      <c r="B253" s="365">
        <v>240139</v>
      </c>
      <c r="C253" s="366" t="s">
        <v>14376</v>
      </c>
      <c r="D253" s="367"/>
      <c r="E253" s="368"/>
      <c r="F253" s="321" t="s">
        <v>45</v>
      </c>
      <c r="G253" s="326" t="s">
        <v>2380</v>
      </c>
      <c r="H253" s="326" t="s">
        <v>2381</v>
      </c>
      <c r="I253" s="326" t="s">
        <v>11</v>
      </c>
      <c r="J253" s="326" t="s">
        <v>12</v>
      </c>
      <c r="K253" s="326" t="s">
        <v>204</v>
      </c>
      <c r="L253" s="323"/>
      <c r="M253" s="374"/>
      <c r="N253" s="325" t="s">
        <v>438</v>
      </c>
      <c r="O253" s="326" t="s">
        <v>210</v>
      </c>
      <c r="P253" s="423">
        <v>447.2</v>
      </c>
      <c r="Q253" s="691">
        <v>409.2</v>
      </c>
      <c r="R253" s="329" t="s">
        <v>14377</v>
      </c>
      <c r="S253" s="330"/>
      <c r="T253" s="330"/>
      <c r="U253" s="330"/>
      <c r="V253" s="330"/>
      <c r="W253" s="332" t="s">
        <v>14378</v>
      </c>
      <c r="X253" s="330"/>
      <c r="Y253" s="330"/>
      <c r="Z253" s="330"/>
      <c r="AA253" s="330"/>
      <c r="AB253" s="333"/>
      <c r="AC253" s="333"/>
      <c r="AD253" s="334" t="s">
        <v>318</v>
      </c>
      <c r="AE253" s="335" t="s">
        <v>107</v>
      </c>
      <c r="AF253" s="336"/>
      <c r="AG253" s="337"/>
      <c r="AH253" s="417" t="s">
        <v>435</v>
      </c>
      <c r="AI253" s="392" t="s">
        <v>435</v>
      </c>
      <c r="AJ253" s="392" t="s">
        <v>435</v>
      </c>
      <c r="AK253" s="340" t="s">
        <v>435</v>
      </c>
      <c r="AL253" s="321" t="s">
        <v>210</v>
      </c>
      <c r="AM253" s="392" t="s">
        <v>15</v>
      </c>
      <c r="AN253" s="392" t="s">
        <v>15</v>
      </c>
      <c r="AO253" s="341" t="s">
        <v>15</v>
      </c>
      <c r="AP253" s="342"/>
      <c r="AQ253" s="343"/>
      <c r="AR253" s="370">
        <v>647</v>
      </c>
      <c r="AS253" s="326">
        <v>100</v>
      </c>
      <c r="AT253" s="392">
        <v>1</v>
      </c>
      <c r="AU253" s="392"/>
      <c r="AV253" s="392">
        <v>1</v>
      </c>
      <c r="AW253" s="340"/>
      <c r="AX253" s="347"/>
      <c r="AY253" s="348"/>
      <c r="AZ253" s="377"/>
      <c r="BA253" s="374"/>
      <c r="BB253" s="374"/>
      <c r="BC253" s="374"/>
      <c r="BD253" s="374"/>
      <c r="BE253" s="374"/>
      <c r="BF253" s="374"/>
      <c r="BG253" s="374"/>
      <c r="BH253" s="378"/>
      <c r="BI253" s="376"/>
      <c r="BJ253" s="379"/>
      <c r="BK253" s="380"/>
      <c r="BL253" s="348"/>
      <c r="BM253" s="381"/>
      <c r="BN253" s="321" t="s">
        <v>983</v>
      </c>
      <c r="BO253" s="372"/>
      <c r="BP253" s="373" t="s">
        <v>983</v>
      </c>
      <c r="BQ253" s="360"/>
      <c r="BR253" s="361"/>
      <c r="BS253" s="361"/>
      <c r="BT253" s="361"/>
      <c r="BU253" s="342" t="s">
        <v>210</v>
      </c>
      <c r="BV253" s="342" t="s">
        <v>210</v>
      </c>
      <c r="BW253" s="341" t="s">
        <v>15</v>
      </c>
      <c r="BX253" s="361"/>
      <c r="BY253" s="362"/>
      <c r="BZ253" s="363"/>
      <c r="CA253" s="363"/>
      <c r="CB253" s="363"/>
      <c r="CC253" s="363"/>
      <c r="CD253" s="293"/>
      <c r="CE253" s="364"/>
      <c r="CF253" s="364"/>
      <c r="CG253" s="364"/>
      <c r="CH253" s="364"/>
      <c r="CI253" s="364"/>
      <c r="CJ253" s="364"/>
      <c r="CK253" s="364"/>
      <c r="CL253" s="364"/>
      <c r="CM253" s="364"/>
      <c r="CN253" s="364"/>
      <c r="CO253" s="364"/>
      <c r="CP253" s="364"/>
      <c r="CQ253" s="364"/>
      <c r="CR253" s="364"/>
      <c r="CS253" s="364"/>
      <c r="CT253" s="364"/>
      <c r="CU253" s="364"/>
      <c r="CV253" s="364"/>
      <c r="CW253" s="364"/>
      <c r="CX253" s="364"/>
      <c r="CY253" s="364"/>
      <c r="CZ253" s="364"/>
      <c r="DA253" s="364"/>
      <c r="DB253" s="364"/>
      <c r="DC253" s="364"/>
      <c r="DD253" s="364"/>
      <c r="DE253" s="364"/>
      <c r="DF253" s="364"/>
      <c r="DG253" s="364"/>
      <c r="DH253" s="364"/>
      <c r="DI253" s="364"/>
      <c r="DJ253" s="364"/>
      <c r="DK253" s="364"/>
      <c r="DL253" s="364"/>
      <c r="DM253" s="364"/>
      <c r="DN253" s="364"/>
      <c r="DO253" s="364"/>
      <c r="DP253" s="364"/>
      <c r="DQ253" s="364"/>
      <c r="DR253" s="364"/>
      <c r="DS253" s="364"/>
      <c r="DT253" s="364"/>
      <c r="DU253" s="364"/>
      <c r="DV253" s="364"/>
      <c r="DW253" s="364"/>
      <c r="DX253" s="364"/>
      <c r="DY253" s="364"/>
      <c r="DZ253" s="364"/>
      <c r="EA253" s="364"/>
      <c r="EB253" s="364"/>
      <c r="EC253" s="364"/>
      <c r="ED253" s="364"/>
      <c r="EE253" s="364"/>
      <c r="EF253" s="364"/>
      <c r="EG253" s="364"/>
      <c r="EH253" s="364"/>
      <c r="EI253" s="364"/>
      <c r="EJ253" s="364"/>
      <c r="EK253" s="364"/>
      <c r="EL253" s="364"/>
      <c r="EM253" s="364"/>
      <c r="EN253" s="364"/>
      <c r="EO253" s="364"/>
      <c r="EP253" s="364"/>
      <c r="EQ253" s="364"/>
      <c r="ER253" s="364"/>
      <c r="ES253" s="364"/>
      <c r="ET253" s="364"/>
      <c r="EU253" s="364"/>
      <c r="EV253" s="364"/>
      <c r="EW253" s="364"/>
      <c r="EX253" s="364"/>
      <c r="EY253" s="364"/>
      <c r="EZ253" s="364"/>
      <c r="FA253" s="364"/>
      <c r="FB253" s="364"/>
      <c r="FC253" s="364"/>
      <c r="FD253" s="364"/>
      <c r="FE253" s="364"/>
      <c r="FF253" s="364"/>
      <c r="FG253" s="364"/>
      <c r="FH253" s="364"/>
      <c r="FI253" s="364"/>
      <c r="FJ253" s="364"/>
      <c r="FK253" s="364"/>
      <c r="FL253" s="364"/>
      <c r="FM253" s="364"/>
      <c r="FN253" s="364"/>
      <c r="FO253" s="364"/>
      <c r="FP253" s="364"/>
      <c r="FQ253" s="364"/>
      <c r="FR253" s="364"/>
      <c r="FS253" s="364"/>
      <c r="FT253" s="364"/>
      <c r="FU253" s="364"/>
      <c r="FV253" s="364"/>
      <c r="FW253" s="364"/>
      <c r="FX253" s="364"/>
      <c r="FY253" s="364"/>
      <c r="FZ253" s="364"/>
      <c r="GA253" s="364"/>
      <c r="GB253" s="364"/>
      <c r="GC253" s="364"/>
      <c r="GD253" s="364"/>
      <c r="GE253" s="364"/>
      <c r="GF253" s="364"/>
      <c r="GG253" s="364"/>
      <c r="GH253" s="364"/>
      <c r="GI253" s="364"/>
      <c r="GJ253" s="364"/>
      <c r="GK253" s="364"/>
      <c r="GL253" s="364"/>
      <c r="GM253" s="364"/>
      <c r="GN253" s="364"/>
      <c r="GO253" s="364"/>
      <c r="GP253" s="364"/>
      <c r="GQ253" s="364"/>
      <c r="GR253" s="364"/>
      <c r="GS253" s="364"/>
      <c r="GT253" s="364"/>
      <c r="GU253" s="364"/>
      <c r="GV253" s="364"/>
      <c r="GW253" s="364"/>
      <c r="GX253" s="364"/>
      <c r="GY253" s="364"/>
      <c r="GZ253" s="364"/>
      <c r="HA253" s="364"/>
      <c r="HB253" s="364"/>
      <c r="HC253" s="364"/>
      <c r="HD253" s="364"/>
      <c r="HE253" s="364"/>
      <c r="HF253" s="364"/>
      <c r="HG253" s="364"/>
      <c r="HH253" s="364"/>
      <c r="HI253" s="364"/>
      <c r="HJ253" s="364"/>
      <c r="HK253" s="364"/>
      <c r="HL253" s="364"/>
    </row>
    <row r="254" spans="2:220" s="287" customFormat="1" ht="22.5" customHeight="1">
      <c r="B254" s="365">
        <v>240140</v>
      </c>
      <c r="C254" s="366" t="s">
        <v>14371</v>
      </c>
      <c r="D254" s="367"/>
      <c r="E254" s="368"/>
      <c r="F254" s="321" t="s">
        <v>222</v>
      </c>
      <c r="G254" s="326" t="s">
        <v>2378</v>
      </c>
      <c r="H254" s="326" t="s">
        <v>2379</v>
      </c>
      <c r="I254" s="326" t="s">
        <v>11</v>
      </c>
      <c r="J254" s="326" t="s">
        <v>12</v>
      </c>
      <c r="K254" s="326" t="s">
        <v>324</v>
      </c>
      <c r="L254" s="323"/>
      <c r="M254" s="374"/>
      <c r="N254" s="325" t="s">
        <v>438</v>
      </c>
      <c r="O254" s="326" t="s">
        <v>210</v>
      </c>
      <c r="P254" s="327">
        <v>3447</v>
      </c>
      <c r="Q254" s="369">
        <v>3279.6</v>
      </c>
      <c r="R254" s="329" t="s">
        <v>636</v>
      </c>
      <c r="S254" s="331" t="s">
        <v>13080</v>
      </c>
      <c r="T254" s="394" t="s">
        <v>12276</v>
      </c>
      <c r="U254" s="394" t="s">
        <v>12277</v>
      </c>
      <c r="V254" s="331" t="s">
        <v>13081</v>
      </c>
      <c r="W254" s="332" t="s">
        <v>637</v>
      </c>
      <c r="X254" s="331" t="s">
        <v>14372</v>
      </c>
      <c r="Y254" s="331" t="s">
        <v>14374</v>
      </c>
      <c r="Z254" s="331" t="s">
        <v>14373</v>
      </c>
      <c r="AA254" s="331" t="s">
        <v>14375</v>
      </c>
      <c r="AB254" s="333"/>
      <c r="AC254" s="416"/>
      <c r="AD254" s="375"/>
      <c r="AE254" s="391"/>
      <c r="AF254" s="336"/>
      <c r="AG254" s="337"/>
      <c r="AH254" s="417" t="s">
        <v>435</v>
      </c>
      <c r="AI254" s="392" t="s">
        <v>435</v>
      </c>
      <c r="AJ254" s="392" t="s">
        <v>435</v>
      </c>
      <c r="AK254" s="340" t="s">
        <v>435</v>
      </c>
      <c r="AL254" s="321" t="s">
        <v>210</v>
      </c>
      <c r="AM254" s="392" t="s">
        <v>15</v>
      </c>
      <c r="AN254" s="392" t="s">
        <v>15</v>
      </c>
      <c r="AO254" s="341" t="s">
        <v>15</v>
      </c>
      <c r="AP254" s="342"/>
      <c r="AQ254" s="343"/>
      <c r="AR254" s="370">
        <v>3723</v>
      </c>
      <c r="AS254" s="326">
        <v>100</v>
      </c>
      <c r="AT254" s="392">
        <v>1</v>
      </c>
      <c r="AU254" s="392"/>
      <c r="AV254" s="392">
        <v>1.5</v>
      </c>
      <c r="AW254" s="340"/>
      <c r="AX254" s="347"/>
      <c r="AY254" s="348"/>
      <c r="AZ254" s="377"/>
      <c r="BA254" s="374"/>
      <c r="BB254" s="374"/>
      <c r="BC254" s="374"/>
      <c r="BD254" s="374"/>
      <c r="BE254" s="374"/>
      <c r="BF254" s="374"/>
      <c r="BG254" s="374"/>
      <c r="BH254" s="378"/>
      <c r="BI254" s="376"/>
      <c r="BJ254" s="379"/>
      <c r="BK254" s="380"/>
      <c r="BL254" s="348"/>
      <c r="BM254" s="381"/>
      <c r="BN254" s="321" t="s">
        <v>983</v>
      </c>
      <c r="BO254" s="372"/>
      <c r="BP254" s="373" t="s">
        <v>983</v>
      </c>
      <c r="BQ254" s="360"/>
      <c r="BR254" s="361"/>
      <c r="BS254" s="361"/>
      <c r="BT254" s="361"/>
      <c r="BU254" s="342" t="s">
        <v>210</v>
      </c>
      <c r="BV254" s="342" t="s">
        <v>210</v>
      </c>
      <c r="BW254" s="341" t="s">
        <v>15</v>
      </c>
      <c r="BX254" s="361"/>
      <c r="BY254" s="362"/>
      <c r="BZ254" s="363"/>
      <c r="CA254" s="363"/>
      <c r="CB254" s="363"/>
      <c r="CC254" s="363"/>
      <c r="CD254" s="293"/>
      <c r="CE254" s="364"/>
      <c r="CF254" s="364"/>
      <c r="CG254" s="364"/>
      <c r="CH254" s="364"/>
      <c r="CI254" s="364"/>
      <c r="CJ254" s="364"/>
      <c r="CK254" s="364"/>
      <c r="CL254" s="364"/>
      <c r="CM254" s="364"/>
      <c r="CN254" s="364"/>
      <c r="CO254" s="364"/>
      <c r="CP254" s="364"/>
      <c r="CQ254" s="364"/>
      <c r="CR254" s="364"/>
      <c r="CS254" s="364"/>
      <c r="CT254" s="364"/>
      <c r="CU254" s="364"/>
      <c r="CV254" s="364"/>
      <c r="CW254" s="364"/>
      <c r="CX254" s="364"/>
      <c r="CY254" s="364"/>
      <c r="CZ254" s="364"/>
      <c r="DA254" s="364"/>
      <c r="DB254" s="364"/>
      <c r="DC254" s="364"/>
      <c r="DD254" s="364"/>
      <c r="DE254" s="364"/>
      <c r="DF254" s="364"/>
      <c r="DG254" s="364"/>
      <c r="DH254" s="364"/>
      <c r="DI254" s="364"/>
      <c r="DJ254" s="364"/>
      <c r="DK254" s="364"/>
      <c r="DL254" s="364"/>
      <c r="DM254" s="364"/>
      <c r="DN254" s="364"/>
      <c r="DO254" s="364"/>
      <c r="DP254" s="364"/>
      <c r="DQ254" s="364"/>
      <c r="DR254" s="364"/>
      <c r="DS254" s="364"/>
      <c r="DT254" s="364"/>
      <c r="DU254" s="364"/>
      <c r="DV254" s="364"/>
      <c r="DW254" s="364"/>
      <c r="DX254" s="364"/>
      <c r="DY254" s="364"/>
      <c r="DZ254" s="364"/>
      <c r="EA254" s="364"/>
      <c r="EB254" s="364"/>
      <c r="EC254" s="364"/>
      <c r="ED254" s="364"/>
      <c r="EE254" s="364"/>
      <c r="EF254" s="364"/>
      <c r="EG254" s="364"/>
      <c r="EH254" s="364"/>
      <c r="EI254" s="364"/>
      <c r="EJ254" s="364"/>
      <c r="EK254" s="364"/>
      <c r="EL254" s="364"/>
      <c r="EM254" s="364"/>
      <c r="EN254" s="364"/>
      <c r="EO254" s="364"/>
      <c r="EP254" s="364"/>
      <c r="EQ254" s="364"/>
      <c r="ER254" s="364"/>
      <c r="ES254" s="364"/>
      <c r="ET254" s="364"/>
      <c r="EU254" s="364"/>
      <c r="EV254" s="364"/>
      <c r="EW254" s="364"/>
      <c r="EX254" s="364"/>
      <c r="EY254" s="364"/>
      <c r="EZ254" s="364"/>
      <c r="FA254" s="364"/>
      <c r="FB254" s="364"/>
      <c r="FC254" s="364"/>
      <c r="FD254" s="364"/>
      <c r="FE254" s="364"/>
      <c r="FF254" s="364"/>
      <c r="FG254" s="364"/>
      <c r="FH254" s="364"/>
      <c r="FI254" s="364"/>
      <c r="FJ254" s="364"/>
      <c r="FK254" s="364"/>
      <c r="FL254" s="364"/>
      <c r="FM254" s="364"/>
      <c r="FN254" s="364"/>
      <c r="FO254" s="364"/>
      <c r="FP254" s="364"/>
      <c r="FQ254" s="364"/>
      <c r="FR254" s="364"/>
      <c r="FS254" s="364"/>
      <c r="FT254" s="364"/>
      <c r="FU254" s="364"/>
      <c r="FV254" s="364"/>
      <c r="FW254" s="364"/>
      <c r="FX254" s="364"/>
      <c r="FY254" s="364"/>
      <c r="FZ254" s="364"/>
      <c r="GA254" s="364"/>
      <c r="GB254" s="364"/>
      <c r="GC254" s="364"/>
      <c r="GD254" s="364"/>
      <c r="GE254" s="364"/>
      <c r="GF254" s="364"/>
      <c r="GG254" s="364"/>
      <c r="GH254" s="364"/>
      <c r="GI254" s="364"/>
      <c r="GJ254" s="364"/>
      <c r="GK254" s="364"/>
      <c r="GL254" s="364"/>
      <c r="GM254" s="364"/>
      <c r="GN254" s="364"/>
      <c r="GO254" s="364"/>
      <c r="GP254" s="364"/>
      <c r="GQ254" s="364"/>
      <c r="GR254" s="364"/>
      <c r="GS254" s="364"/>
      <c r="GT254" s="364"/>
      <c r="GU254" s="364"/>
      <c r="GV254" s="364"/>
      <c r="GW254" s="364"/>
      <c r="GX254" s="364"/>
      <c r="GY254" s="364"/>
      <c r="GZ254" s="364"/>
      <c r="HA254" s="364"/>
      <c r="HB254" s="364"/>
      <c r="HC254" s="364"/>
      <c r="HD254" s="364"/>
      <c r="HE254" s="364"/>
      <c r="HF254" s="364"/>
      <c r="HG254" s="364"/>
      <c r="HH254" s="364"/>
      <c r="HI254" s="364"/>
      <c r="HJ254" s="364"/>
      <c r="HK254" s="364"/>
      <c r="HL254" s="364"/>
    </row>
    <row r="255" spans="2:220" s="287" customFormat="1" ht="22.5" customHeight="1">
      <c r="B255" s="365">
        <v>240141</v>
      </c>
      <c r="C255" s="366" t="s">
        <v>14366</v>
      </c>
      <c r="D255" s="367"/>
      <c r="E255" s="368"/>
      <c r="F255" s="321" t="s">
        <v>227</v>
      </c>
      <c r="G255" s="326" t="s">
        <v>2242</v>
      </c>
      <c r="H255" s="326" t="s">
        <v>2243</v>
      </c>
      <c r="I255" s="326" t="s">
        <v>11</v>
      </c>
      <c r="J255" s="326" t="s">
        <v>12</v>
      </c>
      <c r="K255" s="326" t="s">
        <v>333</v>
      </c>
      <c r="L255" s="323"/>
      <c r="M255" s="374"/>
      <c r="N255" s="325" t="s">
        <v>437</v>
      </c>
      <c r="O255" s="326">
        <v>30</v>
      </c>
      <c r="P255" s="327">
        <v>455</v>
      </c>
      <c r="Q255" s="369">
        <v>455</v>
      </c>
      <c r="R255" s="329" t="s">
        <v>513</v>
      </c>
      <c r="S255" s="331" t="s">
        <v>14367</v>
      </c>
      <c r="T255" s="331" t="s">
        <v>14369</v>
      </c>
      <c r="U255" s="331" t="s">
        <v>14368</v>
      </c>
      <c r="V255" s="331" t="s">
        <v>14370</v>
      </c>
      <c r="W255" s="332" t="s">
        <v>432</v>
      </c>
      <c r="X255" s="331" t="s">
        <v>11079</v>
      </c>
      <c r="Y255" s="331" t="s">
        <v>11080</v>
      </c>
      <c r="Z255" s="331" t="s">
        <v>11080</v>
      </c>
      <c r="AA255" s="331" t="s">
        <v>295</v>
      </c>
      <c r="AB255" s="333"/>
      <c r="AC255" s="333"/>
      <c r="AD255" s="334" t="s">
        <v>334</v>
      </c>
      <c r="AE255" s="335" t="s">
        <v>15</v>
      </c>
      <c r="AF255" s="336"/>
      <c r="AG255" s="337"/>
      <c r="AH255" s="417">
        <v>10.7</v>
      </c>
      <c r="AI255" s="392">
        <v>14</v>
      </c>
      <c r="AJ255" s="392">
        <v>12.3</v>
      </c>
      <c r="AK255" s="340">
        <f>SUM(AH255:AJ255)</f>
        <v>37</v>
      </c>
      <c r="AL255" s="321" t="s">
        <v>210</v>
      </c>
      <c r="AM255" s="392" t="s">
        <v>15</v>
      </c>
      <c r="AN255" s="392" t="s">
        <v>15</v>
      </c>
      <c r="AO255" s="341" t="s">
        <v>15</v>
      </c>
      <c r="AP255" s="342"/>
      <c r="AQ255" s="343"/>
      <c r="AR255" s="370">
        <v>533</v>
      </c>
      <c r="AS255" s="326">
        <v>80</v>
      </c>
      <c r="AT255" s="392">
        <v>1</v>
      </c>
      <c r="AU255" s="392"/>
      <c r="AV255" s="392">
        <v>1.5</v>
      </c>
      <c r="AW255" s="340"/>
      <c r="AX255" s="347"/>
      <c r="AY255" s="348"/>
      <c r="AZ255" s="377"/>
      <c r="BA255" s="374"/>
      <c r="BB255" s="374"/>
      <c r="BC255" s="374"/>
      <c r="BD255" s="374"/>
      <c r="BE255" s="374"/>
      <c r="BF255" s="374"/>
      <c r="BG255" s="374"/>
      <c r="BH255" s="378"/>
      <c r="BI255" s="376"/>
      <c r="BJ255" s="379"/>
      <c r="BK255" s="380"/>
      <c r="BL255" s="348"/>
      <c r="BM255" s="381"/>
      <c r="BN255" s="321" t="s">
        <v>983</v>
      </c>
      <c r="BO255" s="372"/>
      <c r="BP255" s="373" t="s">
        <v>983</v>
      </c>
      <c r="BQ255" s="360"/>
      <c r="BR255" s="361"/>
      <c r="BS255" s="361"/>
      <c r="BT255" s="361"/>
      <c r="BU255" s="342" t="s">
        <v>210</v>
      </c>
      <c r="BV255" s="342" t="s">
        <v>210</v>
      </c>
      <c r="BW255" s="341" t="s">
        <v>15</v>
      </c>
      <c r="BX255" s="361"/>
      <c r="BY255" s="362"/>
      <c r="BZ255" s="363"/>
      <c r="CA255" s="363"/>
      <c r="CB255" s="363"/>
      <c r="CC255" s="363"/>
      <c r="CD255" s="293"/>
      <c r="CE255" s="364"/>
      <c r="CF255" s="364"/>
      <c r="CG255" s="364"/>
      <c r="CH255" s="364"/>
      <c r="CI255" s="364"/>
      <c r="CJ255" s="364"/>
      <c r="CK255" s="364"/>
      <c r="CL255" s="364"/>
      <c r="CM255" s="364"/>
      <c r="CN255" s="364"/>
      <c r="CO255" s="364"/>
      <c r="CP255" s="364"/>
      <c r="CQ255" s="364"/>
      <c r="CR255" s="364"/>
      <c r="CS255" s="364"/>
      <c r="CT255" s="364"/>
      <c r="CU255" s="364"/>
      <c r="CV255" s="364"/>
      <c r="CW255" s="364"/>
      <c r="CX255" s="364"/>
      <c r="CY255" s="364"/>
      <c r="CZ255" s="364"/>
      <c r="DA255" s="364"/>
      <c r="DB255" s="364"/>
      <c r="DC255" s="364"/>
      <c r="DD255" s="364"/>
      <c r="DE255" s="364"/>
      <c r="DF255" s="364"/>
      <c r="DG255" s="364"/>
      <c r="DH255" s="364"/>
      <c r="DI255" s="364"/>
      <c r="DJ255" s="364"/>
      <c r="DK255" s="364"/>
      <c r="DL255" s="364"/>
      <c r="DM255" s="364"/>
      <c r="DN255" s="364"/>
      <c r="DO255" s="364"/>
      <c r="DP255" s="364"/>
      <c r="DQ255" s="364"/>
      <c r="DR255" s="364"/>
      <c r="DS255" s="364"/>
      <c r="DT255" s="364"/>
      <c r="DU255" s="364"/>
      <c r="DV255" s="364"/>
      <c r="DW255" s="364"/>
      <c r="DX255" s="364"/>
      <c r="DY255" s="364"/>
      <c r="DZ255" s="364"/>
      <c r="EA255" s="364"/>
      <c r="EB255" s="364"/>
      <c r="EC255" s="364"/>
      <c r="ED255" s="364"/>
      <c r="EE255" s="364"/>
      <c r="EF255" s="364"/>
      <c r="EG255" s="364"/>
      <c r="EH255" s="364"/>
      <c r="EI255" s="364"/>
      <c r="EJ255" s="364"/>
      <c r="EK255" s="364"/>
      <c r="EL255" s="364"/>
      <c r="EM255" s="364"/>
      <c r="EN255" s="364"/>
      <c r="EO255" s="364"/>
      <c r="EP255" s="364"/>
      <c r="EQ255" s="364"/>
      <c r="ER255" s="364"/>
      <c r="ES255" s="364"/>
      <c r="ET255" s="364"/>
      <c r="EU255" s="364"/>
      <c r="EV255" s="364"/>
      <c r="EW255" s="364"/>
      <c r="EX255" s="364"/>
      <c r="EY255" s="364"/>
      <c r="EZ255" s="364"/>
      <c r="FA255" s="364"/>
      <c r="FB255" s="364"/>
      <c r="FC255" s="364"/>
      <c r="FD255" s="364"/>
      <c r="FE255" s="364"/>
      <c r="FF255" s="364"/>
      <c r="FG255" s="364"/>
      <c r="FH255" s="364"/>
      <c r="FI255" s="364"/>
      <c r="FJ255" s="364"/>
      <c r="FK255" s="364"/>
      <c r="FL255" s="364"/>
      <c r="FM255" s="364"/>
      <c r="FN255" s="364"/>
      <c r="FO255" s="364"/>
      <c r="FP255" s="364"/>
      <c r="FQ255" s="364"/>
      <c r="FR255" s="364"/>
      <c r="FS255" s="364"/>
      <c r="FT255" s="364"/>
      <c r="FU255" s="364"/>
      <c r="FV255" s="364"/>
      <c r="FW255" s="364"/>
      <c r="FX255" s="364"/>
      <c r="FY255" s="364"/>
      <c r="FZ255" s="364"/>
      <c r="GA255" s="364"/>
      <c r="GB255" s="364"/>
      <c r="GC255" s="364"/>
      <c r="GD255" s="364"/>
      <c r="GE255" s="364"/>
      <c r="GF255" s="364"/>
      <c r="GG255" s="364"/>
      <c r="GH255" s="364"/>
      <c r="GI255" s="364"/>
      <c r="GJ255" s="364"/>
      <c r="GK255" s="364"/>
      <c r="GL255" s="364"/>
      <c r="GM255" s="364"/>
      <c r="GN255" s="364"/>
      <c r="GO255" s="364"/>
      <c r="GP255" s="364"/>
      <c r="GQ255" s="364"/>
      <c r="GR255" s="364"/>
      <c r="GS255" s="364"/>
      <c r="GT255" s="364"/>
      <c r="GU255" s="364"/>
      <c r="GV255" s="364"/>
      <c r="GW255" s="364"/>
      <c r="GX255" s="364"/>
      <c r="GY255" s="364"/>
      <c r="GZ255" s="364"/>
      <c r="HA255" s="364"/>
      <c r="HB255" s="364"/>
      <c r="HC255" s="364"/>
      <c r="HD255" s="364"/>
      <c r="HE255" s="364"/>
      <c r="HF255" s="364"/>
      <c r="HG255" s="364"/>
      <c r="HH255" s="364"/>
      <c r="HI255" s="364"/>
      <c r="HJ255" s="364"/>
      <c r="HK255" s="364"/>
      <c r="HL255" s="364"/>
    </row>
    <row r="256" spans="2:220" s="287" customFormat="1" ht="22.5" customHeight="1">
      <c r="B256" s="365">
        <v>240142</v>
      </c>
      <c r="C256" s="366" t="s">
        <v>14359</v>
      </c>
      <c r="D256" s="367"/>
      <c r="E256" s="368"/>
      <c r="F256" s="321" t="s">
        <v>206</v>
      </c>
      <c r="G256" s="326" t="s">
        <v>2376</v>
      </c>
      <c r="H256" s="326" t="s">
        <v>2377</v>
      </c>
      <c r="I256" s="326" t="s">
        <v>11</v>
      </c>
      <c r="J256" s="326" t="s">
        <v>12</v>
      </c>
      <c r="K256" s="326" t="s">
        <v>205</v>
      </c>
      <c r="L256" s="323"/>
      <c r="M256" s="374"/>
      <c r="N256" s="325" t="s">
        <v>437</v>
      </c>
      <c r="O256" s="326">
        <v>20</v>
      </c>
      <c r="P256" s="327">
        <v>1199.8399999999999</v>
      </c>
      <c r="Q256" s="369">
        <v>1271.54</v>
      </c>
      <c r="R256" s="329" t="s">
        <v>14361</v>
      </c>
      <c r="S256" s="331" t="s">
        <v>14364</v>
      </c>
      <c r="T256" s="331" t="s">
        <v>14433</v>
      </c>
      <c r="U256" s="331" t="s">
        <v>16220</v>
      </c>
      <c r="V256" s="331" t="s">
        <v>14365</v>
      </c>
      <c r="W256" s="332" t="s">
        <v>432</v>
      </c>
      <c r="X256" s="331" t="s">
        <v>11079</v>
      </c>
      <c r="Y256" s="331" t="s">
        <v>11080</v>
      </c>
      <c r="Z256" s="331" t="s">
        <v>11080</v>
      </c>
      <c r="AA256" s="331" t="s">
        <v>295</v>
      </c>
      <c r="AB256" s="333" t="s">
        <v>14360</v>
      </c>
      <c r="AC256" s="333"/>
      <c r="AD256" s="396" t="s">
        <v>2320</v>
      </c>
      <c r="AE256" s="335" t="s">
        <v>15</v>
      </c>
      <c r="AF256" s="336"/>
      <c r="AG256" s="337"/>
      <c r="AH256" s="417">
        <v>23.3</v>
      </c>
      <c r="AI256" s="392">
        <v>26</v>
      </c>
      <c r="AJ256" s="392">
        <v>19.2</v>
      </c>
      <c r="AK256" s="340">
        <f>SUM(AH256:AJ256)</f>
        <v>68.5</v>
      </c>
      <c r="AL256" s="321" t="s">
        <v>210</v>
      </c>
      <c r="AM256" s="392" t="s">
        <v>15</v>
      </c>
      <c r="AN256" s="392" t="s">
        <v>15</v>
      </c>
      <c r="AO256" s="341" t="s">
        <v>15</v>
      </c>
      <c r="AP256" s="342"/>
      <c r="AQ256" s="343"/>
      <c r="AR256" s="370">
        <v>2157</v>
      </c>
      <c r="AS256" s="326">
        <v>100</v>
      </c>
      <c r="AT256" s="392">
        <v>0.8</v>
      </c>
      <c r="AU256" s="392"/>
      <c r="AV256" s="392">
        <v>1.5</v>
      </c>
      <c r="AW256" s="340"/>
      <c r="AX256" s="347"/>
      <c r="AY256" s="348"/>
      <c r="AZ256" s="377"/>
      <c r="BA256" s="374"/>
      <c r="BB256" s="374"/>
      <c r="BC256" s="374"/>
      <c r="BD256" s="374"/>
      <c r="BE256" s="374"/>
      <c r="BF256" s="374"/>
      <c r="BG256" s="374"/>
      <c r="BH256" s="378"/>
      <c r="BI256" s="376"/>
      <c r="BJ256" s="379"/>
      <c r="BK256" s="380"/>
      <c r="BL256" s="348"/>
      <c r="BM256" s="381"/>
      <c r="BN256" s="321" t="s">
        <v>983</v>
      </c>
      <c r="BO256" s="372"/>
      <c r="BP256" s="373" t="s">
        <v>15</v>
      </c>
      <c r="BQ256" s="360"/>
      <c r="BR256" s="361"/>
      <c r="BS256" s="361"/>
      <c r="BT256" s="361"/>
      <c r="BU256" s="342" t="s">
        <v>210</v>
      </c>
      <c r="BV256" s="342" t="s">
        <v>210</v>
      </c>
      <c r="BW256" s="341" t="s">
        <v>15</v>
      </c>
      <c r="BX256" s="361"/>
      <c r="BY256" s="362"/>
      <c r="BZ256" s="363"/>
      <c r="CA256" s="363"/>
      <c r="CB256" s="363"/>
      <c r="CC256" s="363"/>
      <c r="CD256" s="293"/>
      <c r="CE256" s="364"/>
      <c r="CF256" s="364"/>
      <c r="CG256" s="364"/>
      <c r="CH256" s="364"/>
      <c r="CI256" s="364"/>
      <c r="CJ256" s="364"/>
      <c r="CK256" s="364"/>
      <c r="CL256" s="364"/>
      <c r="CM256" s="364"/>
      <c r="CN256" s="364"/>
      <c r="CO256" s="364"/>
      <c r="CP256" s="364"/>
      <c r="CQ256" s="364"/>
      <c r="CR256" s="364"/>
      <c r="CS256" s="364"/>
      <c r="CT256" s="364"/>
      <c r="CU256" s="364"/>
      <c r="CV256" s="364"/>
      <c r="CW256" s="364"/>
      <c r="CX256" s="364"/>
      <c r="CY256" s="364"/>
      <c r="CZ256" s="364"/>
      <c r="DA256" s="364"/>
      <c r="DB256" s="364"/>
      <c r="DC256" s="364"/>
      <c r="DD256" s="364"/>
      <c r="DE256" s="364"/>
      <c r="DF256" s="364"/>
      <c r="DG256" s="364"/>
      <c r="DH256" s="364"/>
      <c r="DI256" s="364"/>
      <c r="DJ256" s="364"/>
      <c r="DK256" s="364"/>
      <c r="DL256" s="364"/>
      <c r="DM256" s="364"/>
      <c r="DN256" s="364"/>
      <c r="DO256" s="364"/>
      <c r="DP256" s="364"/>
      <c r="DQ256" s="364"/>
      <c r="DR256" s="364"/>
      <c r="DS256" s="364"/>
      <c r="DT256" s="364"/>
      <c r="DU256" s="364"/>
      <c r="DV256" s="364"/>
      <c r="DW256" s="364"/>
      <c r="DX256" s="364"/>
      <c r="DY256" s="364"/>
      <c r="DZ256" s="364"/>
      <c r="EA256" s="364"/>
      <c r="EB256" s="364"/>
      <c r="EC256" s="364"/>
      <c r="ED256" s="364"/>
      <c r="EE256" s="364"/>
      <c r="EF256" s="364"/>
      <c r="EG256" s="364"/>
      <c r="EH256" s="364"/>
      <c r="EI256" s="364"/>
      <c r="EJ256" s="364"/>
      <c r="EK256" s="364"/>
      <c r="EL256" s="364"/>
      <c r="EM256" s="364"/>
      <c r="EN256" s="364"/>
      <c r="EO256" s="364"/>
      <c r="EP256" s="364"/>
      <c r="EQ256" s="364"/>
      <c r="ER256" s="364"/>
      <c r="ES256" s="364"/>
      <c r="ET256" s="364"/>
      <c r="EU256" s="364"/>
      <c r="EV256" s="364"/>
      <c r="EW256" s="364"/>
      <c r="EX256" s="364"/>
      <c r="EY256" s="364"/>
      <c r="EZ256" s="364"/>
      <c r="FA256" s="364"/>
      <c r="FB256" s="364"/>
      <c r="FC256" s="364"/>
      <c r="FD256" s="364"/>
      <c r="FE256" s="364"/>
      <c r="FF256" s="364"/>
      <c r="FG256" s="364"/>
      <c r="FH256" s="364"/>
      <c r="FI256" s="364"/>
      <c r="FJ256" s="364"/>
      <c r="FK256" s="364"/>
      <c r="FL256" s="364"/>
      <c r="FM256" s="364"/>
      <c r="FN256" s="364"/>
      <c r="FO256" s="364"/>
      <c r="FP256" s="364"/>
      <c r="FQ256" s="364"/>
      <c r="FR256" s="364"/>
      <c r="FS256" s="364"/>
      <c r="FT256" s="364"/>
      <c r="FU256" s="364"/>
      <c r="FV256" s="364"/>
      <c r="FW256" s="364"/>
      <c r="FX256" s="364"/>
      <c r="FY256" s="364"/>
      <c r="FZ256" s="364"/>
      <c r="GA256" s="364"/>
      <c r="GB256" s="364"/>
      <c r="GC256" s="364"/>
      <c r="GD256" s="364"/>
      <c r="GE256" s="364"/>
      <c r="GF256" s="364"/>
      <c r="GG256" s="364"/>
      <c r="GH256" s="364"/>
      <c r="GI256" s="364"/>
      <c r="GJ256" s="364"/>
      <c r="GK256" s="364"/>
      <c r="GL256" s="364"/>
      <c r="GM256" s="364"/>
      <c r="GN256" s="364"/>
      <c r="GO256" s="364"/>
      <c r="GP256" s="364"/>
      <c r="GQ256" s="364"/>
      <c r="GR256" s="364"/>
      <c r="GS256" s="364"/>
      <c r="GT256" s="364"/>
      <c r="GU256" s="364"/>
      <c r="GV256" s="364"/>
      <c r="GW256" s="364"/>
      <c r="GX256" s="364"/>
      <c r="GY256" s="364"/>
      <c r="GZ256" s="364"/>
      <c r="HA256" s="364"/>
      <c r="HB256" s="364"/>
      <c r="HC256" s="364"/>
      <c r="HD256" s="364"/>
      <c r="HE256" s="364"/>
      <c r="HF256" s="364"/>
      <c r="HG256" s="364"/>
      <c r="HH256" s="364"/>
      <c r="HI256" s="364"/>
      <c r="HJ256" s="364"/>
      <c r="HK256" s="364"/>
      <c r="HL256" s="364"/>
    </row>
    <row r="257" spans="2:220" s="287" customFormat="1" ht="22.5" customHeight="1">
      <c r="B257" s="365">
        <v>240143</v>
      </c>
      <c r="C257" s="366" t="s">
        <v>221</v>
      </c>
      <c r="D257" s="367"/>
      <c r="E257" s="368"/>
      <c r="F257" s="321" t="s">
        <v>222</v>
      </c>
      <c r="G257" s="326" t="s">
        <v>2374</v>
      </c>
      <c r="H257" s="326" t="s">
        <v>2375</v>
      </c>
      <c r="I257" s="326" t="s">
        <v>11</v>
      </c>
      <c r="J257" s="326" t="s">
        <v>12</v>
      </c>
      <c r="K257" s="326" t="s">
        <v>323</v>
      </c>
      <c r="L257" s="323"/>
      <c r="M257" s="374"/>
      <c r="N257" s="325" t="s">
        <v>437</v>
      </c>
      <c r="O257" s="326">
        <v>180</v>
      </c>
      <c r="P257" s="327">
        <v>2056.08</v>
      </c>
      <c r="Q257" s="369">
        <v>2153.75</v>
      </c>
      <c r="R257" s="329" t="s">
        <v>552</v>
      </c>
      <c r="S257" s="331" t="s">
        <v>11236</v>
      </c>
      <c r="T257" s="331" t="s">
        <v>11237</v>
      </c>
      <c r="U257" s="331" t="s">
        <v>11238</v>
      </c>
      <c r="V257" s="331" t="s">
        <v>11239</v>
      </c>
      <c r="W257" s="332" t="s">
        <v>514</v>
      </c>
      <c r="X257" s="332" t="s">
        <v>11368</v>
      </c>
      <c r="Y257" s="331" t="s">
        <v>12872</v>
      </c>
      <c r="Z257" s="331" t="s">
        <v>12871</v>
      </c>
      <c r="AA257" s="332" t="s">
        <v>11371</v>
      </c>
      <c r="AB257" s="333"/>
      <c r="AC257" s="416"/>
      <c r="AD257" s="375"/>
      <c r="AE257" s="335" t="s">
        <v>15</v>
      </c>
      <c r="AF257" s="336"/>
      <c r="AG257" s="337"/>
      <c r="AH257" s="417" t="s">
        <v>435</v>
      </c>
      <c r="AI257" s="392" t="s">
        <v>435</v>
      </c>
      <c r="AJ257" s="392" t="s">
        <v>435</v>
      </c>
      <c r="AK257" s="340" t="s">
        <v>435</v>
      </c>
      <c r="AL257" s="321" t="s">
        <v>210</v>
      </c>
      <c r="AM257" s="392" t="s">
        <v>15</v>
      </c>
      <c r="AN257" s="392" t="s">
        <v>15</v>
      </c>
      <c r="AO257" s="341" t="s">
        <v>15</v>
      </c>
      <c r="AP257" s="342"/>
      <c r="AQ257" s="343"/>
      <c r="AR257" s="370">
        <v>2583</v>
      </c>
      <c r="AS257" s="326">
        <v>120</v>
      </c>
      <c r="AT257" s="392">
        <v>1</v>
      </c>
      <c r="AU257" s="392"/>
      <c r="AV257" s="392">
        <v>1.5</v>
      </c>
      <c r="AW257" s="340"/>
      <c r="AX257" s="347"/>
      <c r="AY257" s="348"/>
      <c r="AZ257" s="405" t="s">
        <v>622</v>
      </c>
      <c r="BA257" s="324" t="s">
        <v>3893</v>
      </c>
      <c r="BB257" s="326" t="s">
        <v>10127</v>
      </c>
      <c r="BC257" s="324" t="s">
        <v>10117</v>
      </c>
      <c r="BD257" s="326" t="s">
        <v>10127</v>
      </c>
      <c r="BE257" s="326" t="s">
        <v>10131</v>
      </c>
      <c r="BF257" s="326" t="s">
        <v>10119</v>
      </c>
      <c r="BG257" s="326" t="s">
        <v>10133</v>
      </c>
      <c r="BH257" s="373" t="s">
        <v>10134</v>
      </c>
      <c r="BI257" s="376"/>
      <c r="BJ257" s="379"/>
      <c r="BK257" s="380"/>
      <c r="BL257" s="348"/>
      <c r="BM257" s="381"/>
      <c r="BN257" s="321" t="s">
        <v>983</v>
      </c>
      <c r="BO257" s="372"/>
      <c r="BP257" s="373" t="s">
        <v>15</v>
      </c>
      <c r="BQ257" s="360"/>
      <c r="BR257" s="361"/>
      <c r="BS257" s="361"/>
      <c r="BT257" s="361"/>
      <c r="BU257" s="342" t="s">
        <v>210</v>
      </c>
      <c r="BV257" s="342" t="s">
        <v>210</v>
      </c>
      <c r="BW257" s="341" t="s">
        <v>15</v>
      </c>
      <c r="BX257" s="361"/>
      <c r="BY257" s="362"/>
      <c r="BZ257" s="363"/>
      <c r="CA257" s="363"/>
      <c r="CB257" s="363"/>
      <c r="CC257" s="363"/>
      <c r="CD257" s="293"/>
      <c r="CE257" s="364"/>
      <c r="CF257" s="364"/>
      <c r="CG257" s="364"/>
      <c r="CH257" s="364"/>
      <c r="CI257" s="364"/>
      <c r="CJ257" s="364"/>
      <c r="CK257" s="364"/>
      <c r="CL257" s="364"/>
      <c r="CM257" s="364"/>
      <c r="CN257" s="364"/>
      <c r="CO257" s="364"/>
      <c r="CP257" s="364"/>
      <c r="CQ257" s="364"/>
      <c r="CR257" s="364"/>
      <c r="CS257" s="364"/>
      <c r="CT257" s="364"/>
      <c r="CU257" s="364"/>
      <c r="CV257" s="364"/>
      <c r="CW257" s="364"/>
      <c r="CX257" s="364"/>
      <c r="CY257" s="364"/>
      <c r="CZ257" s="364"/>
      <c r="DA257" s="364"/>
      <c r="DB257" s="364"/>
      <c r="DC257" s="364"/>
      <c r="DD257" s="364"/>
      <c r="DE257" s="364"/>
      <c r="DF257" s="364"/>
      <c r="DG257" s="364"/>
      <c r="DH257" s="364"/>
      <c r="DI257" s="364"/>
      <c r="DJ257" s="364"/>
      <c r="DK257" s="364"/>
      <c r="DL257" s="364"/>
      <c r="DM257" s="364"/>
      <c r="DN257" s="364"/>
      <c r="DO257" s="364"/>
      <c r="DP257" s="364"/>
      <c r="DQ257" s="364"/>
      <c r="DR257" s="364"/>
      <c r="DS257" s="364"/>
      <c r="DT257" s="364"/>
      <c r="DU257" s="364"/>
      <c r="DV257" s="364"/>
      <c r="DW257" s="364"/>
      <c r="DX257" s="364"/>
      <c r="DY257" s="364"/>
      <c r="DZ257" s="364"/>
      <c r="EA257" s="364"/>
      <c r="EB257" s="364"/>
      <c r="EC257" s="364"/>
      <c r="ED257" s="364"/>
      <c r="EE257" s="364"/>
      <c r="EF257" s="364"/>
      <c r="EG257" s="364"/>
      <c r="EH257" s="364"/>
      <c r="EI257" s="364"/>
      <c r="EJ257" s="364"/>
      <c r="EK257" s="364"/>
      <c r="EL257" s="364"/>
      <c r="EM257" s="364"/>
      <c r="EN257" s="364"/>
      <c r="EO257" s="364"/>
      <c r="EP257" s="364"/>
      <c r="EQ257" s="364"/>
      <c r="ER257" s="364"/>
      <c r="ES257" s="364"/>
      <c r="ET257" s="364"/>
      <c r="EU257" s="364"/>
      <c r="EV257" s="364"/>
      <c r="EW257" s="364"/>
      <c r="EX257" s="364"/>
      <c r="EY257" s="364"/>
      <c r="EZ257" s="364"/>
      <c r="FA257" s="364"/>
      <c r="FB257" s="364"/>
      <c r="FC257" s="364"/>
      <c r="FD257" s="364"/>
      <c r="FE257" s="364"/>
      <c r="FF257" s="364"/>
      <c r="FG257" s="364"/>
      <c r="FH257" s="364"/>
      <c r="FI257" s="364"/>
      <c r="FJ257" s="364"/>
      <c r="FK257" s="364"/>
      <c r="FL257" s="364"/>
      <c r="FM257" s="364"/>
      <c r="FN257" s="364"/>
      <c r="FO257" s="364"/>
      <c r="FP257" s="364"/>
      <c r="FQ257" s="364"/>
      <c r="FR257" s="364"/>
      <c r="FS257" s="364"/>
      <c r="FT257" s="364"/>
      <c r="FU257" s="364"/>
      <c r="FV257" s="364"/>
      <c r="FW257" s="364"/>
      <c r="FX257" s="364"/>
      <c r="FY257" s="364"/>
      <c r="FZ257" s="364"/>
      <c r="GA257" s="364"/>
      <c r="GB257" s="364"/>
      <c r="GC257" s="364"/>
      <c r="GD257" s="364"/>
      <c r="GE257" s="364"/>
      <c r="GF257" s="364"/>
      <c r="GG257" s="364"/>
      <c r="GH257" s="364"/>
      <c r="GI257" s="364"/>
      <c r="GJ257" s="364"/>
      <c r="GK257" s="364"/>
      <c r="GL257" s="364"/>
      <c r="GM257" s="364"/>
      <c r="GN257" s="364"/>
      <c r="GO257" s="364"/>
      <c r="GP257" s="364"/>
      <c r="GQ257" s="364"/>
      <c r="GR257" s="364"/>
      <c r="GS257" s="364"/>
      <c r="GT257" s="364"/>
      <c r="GU257" s="364"/>
      <c r="GV257" s="364"/>
      <c r="GW257" s="364"/>
      <c r="GX257" s="364"/>
      <c r="GY257" s="364"/>
      <c r="GZ257" s="364"/>
      <c r="HA257" s="364"/>
      <c r="HB257" s="364"/>
      <c r="HC257" s="364"/>
      <c r="HD257" s="364"/>
      <c r="HE257" s="364"/>
      <c r="HF257" s="364"/>
      <c r="HG257" s="364"/>
      <c r="HH257" s="364"/>
      <c r="HI257" s="364"/>
      <c r="HJ257" s="364"/>
      <c r="HK257" s="364"/>
      <c r="HL257" s="364"/>
    </row>
    <row r="258" spans="2:220" s="287" customFormat="1" ht="22.5" customHeight="1">
      <c r="B258" s="365">
        <v>240144</v>
      </c>
      <c r="C258" s="366" t="s">
        <v>14355</v>
      </c>
      <c r="D258" s="367"/>
      <c r="E258" s="368"/>
      <c r="F258" s="321" t="s">
        <v>206</v>
      </c>
      <c r="G258" s="326" t="s">
        <v>2145</v>
      </c>
      <c r="H258" s="326" t="s">
        <v>2262</v>
      </c>
      <c r="I258" s="326" t="s">
        <v>11</v>
      </c>
      <c r="J258" s="326" t="s">
        <v>21</v>
      </c>
      <c r="K258" s="326" t="s">
        <v>148</v>
      </c>
      <c r="L258" s="323"/>
      <c r="M258" s="374"/>
      <c r="N258" s="325" t="s">
        <v>437</v>
      </c>
      <c r="O258" s="326" t="s">
        <v>732</v>
      </c>
      <c r="P258" s="327">
        <v>2237.52</v>
      </c>
      <c r="Q258" s="369">
        <v>1180.05</v>
      </c>
      <c r="R258" s="329" t="s">
        <v>586</v>
      </c>
      <c r="S258" s="331" t="s">
        <v>14356</v>
      </c>
      <c r="T258" s="331" t="s">
        <v>14357</v>
      </c>
      <c r="U258" s="331" t="s">
        <v>16373</v>
      </c>
      <c r="V258" s="331" t="s">
        <v>14358</v>
      </c>
      <c r="W258" s="645"/>
      <c r="X258" s="330"/>
      <c r="Y258" s="330"/>
      <c r="Z258" s="330"/>
      <c r="AA258" s="330"/>
      <c r="AB258" s="333"/>
      <c r="AC258" s="333"/>
      <c r="AD258" s="334" t="s">
        <v>319</v>
      </c>
      <c r="AE258" s="335" t="s">
        <v>15</v>
      </c>
      <c r="AF258" s="336"/>
      <c r="AG258" s="337"/>
      <c r="AH258" s="417" t="s">
        <v>435</v>
      </c>
      <c r="AI258" s="392" t="s">
        <v>435</v>
      </c>
      <c r="AJ258" s="392" t="s">
        <v>435</v>
      </c>
      <c r="AK258" s="340" t="s">
        <v>435</v>
      </c>
      <c r="AL258" s="321" t="s">
        <v>210</v>
      </c>
      <c r="AM258" s="392" t="s">
        <v>15</v>
      </c>
      <c r="AN258" s="392" t="s">
        <v>15</v>
      </c>
      <c r="AO258" s="341" t="s">
        <v>15</v>
      </c>
      <c r="AP258" s="342"/>
      <c r="AQ258" s="343"/>
      <c r="AR258" s="370">
        <v>1322</v>
      </c>
      <c r="AS258" s="326">
        <v>100</v>
      </c>
      <c r="AT258" s="392">
        <v>0.8</v>
      </c>
      <c r="AU258" s="392"/>
      <c r="AV258" s="392">
        <v>1.5</v>
      </c>
      <c r="AW258" s="340"/>
      <c r="AX258" s="347"/>
      <c r="AY258" s="348"/>
      <c r="AZ258" s="377"/>
      <c r="BA258" s="374"/>
      <c r="BB258" s="374"/>
      <c r="BC258" s="374"/>
      <c r="BD258" s="374"/>
      <c r="BE258" s="374"/>
      <c r="BF258" s="374"/>
      <c r="BG258" s="374"/>
      <c r="BH258" s="378"/>
      <c r="BI258" s="376"/>
      <c r="BJ258" s="379"/>
      <c r="BK258" s="380"/>
      <c r="BL258" s="348"/>
      <c r="BM258" s="381"/>
      <c r="BN258" s="321" t="s">
        <v>15</v>
      </c>
      <c r="BO258" s="372"/>
      <c r="BP258" s="373" t="s">
        <v>15</v>
      </c>
      <c r="BQ258" s="360"/>
      <c r="BR258" s="361"/>
      <c r="BS258" s="361"/>
      <c r="BT258" s="361"/>
      <c r="BU258" s="342" t="s">
        <v>210</v>
      </c>
      <c r="BV258" s="342" t="s">
        <v>210</v>
      </c>
      <c r="BW258" s="341" t="s">
        <v>15</v>
      </c>
      <c r="BX258" s="361"/>
      <c r="BY258" s="362"/>
      <c r="BZ258" s="363"/>
      <c r="CA258" s="363"/>
      <c r="CB258" s="363"/>
      <c r="CC258" s="363"/>
      <c r="CD258" s="293"/>
      <c r="CE258" s="364"/>
      <c r="CF258" s="364"/>
      <c r="CG258" s="364"/>
      <c r="CH258" s="364"/>
      <c r="CI258" s="364"/>
      <c r="CJ258" s="364"/>
      <c r="CK258" s="364"/>
      <c r="CL258" s="364"/>
      <c r="CM258" s="364"/>
      <c r="CN258" s="364"/>
      <c r="CO258" s="364"/>
      <c r="CP258" s="364"/>
      <c r="CQ258" s="364"/>
      <c r="CR258" s="364"/>
      <c r="CS258" s="364"/>
      <c r="CT258" s="364"/>
      <c r="CU258" s="364"/>
      <c r="CV258" s="364"/>
      <c r="CW258" s="364"/>
      <c r="CX258" s="364"/>
      <c r="CY258" s="364"/>
      <c r="CZ258" s="364"/>
      <c r="DA258" s="364"/>
      <c r="DB258" s="364"/>
      <c r="DC258" s="364"/>
      <c r="DD258" s="364"/>
      <c r="DE258" s="364"/>
      <c r="DF258" s="364"/>
      <c r="DG258" s="364"/>
      <c r="DH258" s="364"/>
      <c r="DI258" s="364"/>
      <c r="DJ258" s="364"/>
      <c r="DK258" s="364"/>
      <c r="DL258" s="364"/>
      <c r="DM258" s="364"/>
      <c r="DN258" s="364"/>
      <c r="DO258" s="364"/>
      <c r="DP258" s="364"/>
      <c r="DQ258" s="364"/>
      <c r="DR258" s="364"/>
      <c r="DS258" s="364"/>
      <c r="DT258" s="364"/>
      <c r="DU258" s="364"/>
      <c r="DV258" s="364"/>
      <c r="DW258" s="364"/>
      <c r="DX258" s="364"/>
      <c r="DY258" s="364"/>
      <c r="DZ258" s="364"/>
      <c r="EA258" s="364"/>
      <c r="EB258" s="364"/>
      <c r="EC258" s="364"/>
      <c r="ED258" s="364"/>
      <c r="EE258" s="364"/>
      <c r="EF258" s="364"/>
      <c r="EG258" s="364"/>
      <c r="EH258" s="364"/>
      <c r="EI258" s="364"/>
      <c r="EJ258" s="364"/>
      <c r="EK258" s="364"/>
      <c r="EL258" s="364"/>
      <c r="EM258" s="364"/>
      <c r="EN258" s="364"/>
      <c r="EO258" s="364"/>
      <c r="EP258" s="364"/>
      <c r="EQ258" s="364"/>
      <c r="ER258" s="364"/>
      <c r="ES258" s="364"/>
      <c r="ET258" s="364"/>
      <c r="EU258" s="364"/>
      <c r="EV258" s="364"/>
      <c r="EW258" s="364"/>
      <c r="EX258" s="364"/>
      <c r="EY258" s="364"/>
      <c r="EZ258" s="364"/>
      <c r="FA258" s="364"/>
      <c r="FB258" s="364"/>
      <c r="FC258" s="364"/>
      <c r="FD258" s="364"/>
      <c r="FE258" s="364"/>
      <c r="FF258" s="364"/>
      <c r="FG258" s="364"/>
      <c r="FH258" s="364"/>
      <c r="FI258" s="364"/>
      <c r="FJ258" s="364"/>
      <c r="FK258" s="364"/>
      <c r="FL258" s="364"/>
      <c r="FM258" s="364"/>
      <c r="FN258" s="364"/>
      <c r="FO258" s="364"/>
      <c r="FP258" s="364"/>
      <c r="FQ258" s="364"/>
      <c r="FR258" s="364"/>
      <c r="FS258" s="364"/>
      <c r="FT258" s="364"/>
      <c r="FU258" s="364"/>
      <c r="FV258" s="364"/>
      <c r="FW258" s="364"/>
      <c r="FX258" s="364"/>
      <c r="FY258" s="364"/>
      <c r="FZ258" s="364"/>
      <c r="GA258" s="364"/>
      <c r="GB258" s="364"/>
      <c r="GC258" s="364"/>
      <c r="GD258" s="364"/>
      <c r="GE258" s="364"/>
      <c r="GF258" s="364"/>
      <c r="GG258" s="364"/>
      <c r="GH258" s="364"/>
      <c r="GI258" s="364"/>
      <c r="GJ258" s="364"/>
      <c r="GK258" s="364"/>
      <c r="GL258" s="364"/>
      <c r="GM258" s="364"/>
      <c r="GN258" s="364"/>
      <c r="GO258" s="364"/>
      <c r="GP258" s="364"/>
      <c r="GQ258" s="364"/>
      <c r="GR258" s="364"/>
      <c r="GS258" s="364"/>
      <c r="GT258" s="364"/>
      <c r="GU258" s="364"/>
      <c r="GV258" s="364"/>
      <c r="GW258" s="364"/>
      <c r="GX258" s="364"/>
      <c r="GY258" s="364"/>
      <c r="GZ258" s="364"/>
      <c r="HA258" s="364"/>
      <c r="HB258" s="364"/>
      <c r="HC258" s="364"/>
      <c r="HD258" s="364"/>
      <c r="HE258" s="364"/>
      <c r="HF258" s="364"/>
      <c r="HG258" s="364"/>
      <c r="HH258" s="364"/>
      <c r="HI258" s="364"/>
      <c r="HJ258" s="364"/>
      <c r="HK258" s="364"/>
      <c r="HL258" s="364"/>
    </row>
    <row r="259" spans="2:220" s="287" customFormat="1" ht="22.5" customHeight="1">
      <c r="B259" s="365">
        <v>240146</v>
      </c>
      <c r="C259" s="366" t="s">
        <v>14353</v>
      </c>
      <c r="D259" s="367"/>
      <c r="E259" s="368"/>
      <c r="F259" s="321" t="s">
        <v>228</v>
      </c>
      <c r="G259" s="326" t="s">
        <v>1866</v>
      </c>
      <c r="H259" s="326" t="s">
        <v>2261</v>
      </c>
      <c r="I259" s="326" t="s">
        <v>11</v>
      </c>
      <c r="J259" s="326" t="s">
        <v>12</v>
      </c>
      <c r="K259" s="326" t="s">
        <v>324</v>
      </c>
      <c r="L259" s="323"/>
      <c r="M259" s="374"/>
      <c r="N259" s="325" t="s">
        <v>438</v>
      </c>
      <c r="O259" s="326">
        <v>100</v>
      </c>
      <c r="P259" s="327">
        <v>3447</v>
      </c>
      <c r="Q259" s="369">
        <v>3279.6</v>
      </c>
      <c r="R259" s="329" t="s">
        <v>552</v>
      </c>
      <c r="S259" s="331" t="s">
        <v>11236</v>
      </c>
      <c r="T259" s="331" t="s">
        <v>11237</v>
      </c>
      <c r="U259" s="331" t="s">
        <v>11238</v>
      </c>
      <c r="V259" s="331" t="s">
        <v>11239</v>
      </c>
      <c r="W259" s="332" t="s">
        <v>514</v>
      </c>
      <c r="X259" s="332" t="s">
        <v>11368</v>
      </c>
      <c r="Y259" s="331" t="s">
        <v>12872</v>
      </c>
      <c r="Z259" s="331" t="s">
        <v>12871</v>
      </c>
      <c r="AA259" s="332" t="s">
        <v>11371</v>
      </c>
      <c r="AB259" s="333"/>
      <c r="AC259" s="416"/>
      <c r="AD259" s="375"/>
      <c r="AE259" s="335" t="s">
        <v>107</v>
      </c>
      <c r="AF259" s="336"/>
      <c r="AG259" s="337"/>
      <c r="AH259" s="417" t="s">
        <v>435</v>
      </c>
      <c r="AI259" s="392" t="s">
        <v>435</v>
      </c>
      <c r="AJ259" s="392" t="s">
        <v>435</v>
      </c>
      <c r="AK259" s="340" t="s">
        <v>435</v>
      </c>
      <c r="AL259" s="321" t="s">
        <v>210</v>
      </c>
      <c r="AM259" s="392" t="s">
        <v>15</v>
      </c>
      <c r="AN259" s="392" t="s">
        <v>15</v>
      </c>
      <c r="AO259" s="341" t="s">
        <v>15</v>
      </c>
      <c r="AP259" s="342"/>
      <c r="AQ259" s="343"/>
      <c r="AR259" s="370">
        <v>3885</v>
      </c>
      <c r="AS259" s="326">
        <v>150</v>
      </c>
      <c r="AT259" s="392">
        <v>1</v>
      </c>
      <c r="AU259" s="392"/>
      <c r="AV259" s="392">
        <v>1</v>
      </c>
      <c r="AW259" s="340"/>
      <c r="AX259" s="347"/>
      <c r="AY259" s="348"/>
      <c r="AZ259" s="377"/>
      <c r="BA259" s="374"/>
      <c r="BB259" s="374"/>
      <c r="BC259" s="374"/>
      <c r="BD259" s="374"/>
      <c r="BE259" s="374"/>
      <c r="BF259" s="374"/>
      <c r="BG259" s="374"/>
      <c r="BH259" s="378"/>
      <c r="BI259" s="376"/>
      <c r="BJ259" s="379"/>
      <c r="BK259" s="380"/>
      <c r="BL259" s="348"/>
      <c r="BM259" s="381"/>
      <c r="BN259" s="321" t="s">
        <v>983</v>
      </c>
      <c r="BO259" s="372"/>
      <c r="BP259" s="373" t="s">
        <v>983</v>
      </c>
      <c r="BQ259" s="360"/>
      <c r="BR259" s="361"/>
      <c r="BS259" s="361"/>
      <c r="BT259" s="361"/>
      <c r="BU259" s="342" t="s">
        <v>210</v>
      </c>
      <c r="BV259" s="342" t="s">
        <v>210</v>
      </c>
      <c r="BW259" s="341" t="s">
        <v>15</v>
      </c>
      <c r="BX259" s="361"/>
      <c r="BY259" s="362"/>
      <c r="BZ259" s="363"/>
      <c r="CA259" s="363"/>
      <c r="CB259" s="363"/>
      <c r="CC259" s="363"/>
      <c r="CD259" s="293"/>
      <c r="CE259" s="364"/>
      <c r="CF259" s="364"/>
      <c r="CG259" s="364"/>
      <c r="CH259" s="364"/>
      <c r="CI259" s="364"/>
      <c r="CJ259" s="364"/>
      <c r="CK259" s="364"/>
      <c r="CL259" s="364"/>
      <c r="CM259" s="364"/>
      <c r="CN259" s="364"/>
      <c r="CO259" s="364"/>
      <c r="CP259" s="364"/>
      <c r="CQ259" s="364"/>
      <c r="CR259" s="364"/>
      <c r="CS259" s="364"/>
      <c r="CT259" s="364"/>
      <c r="CU259" s="364"/>
      <c r="CV259" s="364"/>
      <c r="CW259" s="364"/>
      <c r="CX259" s="364"/>
      <c r="CY259" s="364"/>
      <c r="CZ259" s="364"/>
      <c r="DA259" s="364"/>
      <c r="DB259" s="364"/>
      <c r="DC259" s="364"/>
      <c r="DD259" s="364"/>
      <c r="DE259" s="364"/>
      <c r="DF259" s="364"/>
      <c r="DG259" s="364"/>
      <c r="DH259" s="364"/>
      <c r="DI259" s="364"/>
      <c r="DJ259" s="364"/>
      <c r="DK259" s="364"/>
      <c r="DL259" s="364"/>
      <c r="DM259" s="364"/>
      <c r="DN259" s="364"/>
      <c r="DO259" s="364"/>
      <c r="DP259" s="364"/>
      <c r="DQ259" s="364"/>
      <c r="DR259" s="364"/>
      <c r="DS259" s="364"/>
      <c r="DT259" s="364"/>
      <c r="DU259" s="364"/>
      <c r="DV259" s="364"/>
      <c r="DW259" s="364"/>
      <c r="DX259" s="364"/>
      <c r="DY259" s="364"/>
      <c r="DZ259" s="364"/>
      <c r="EA259" s="364"/>
      <c r="EB259" s="364"/>
      <c r="EC259" s="364"/>
      <c r="ED259" s="364"/>
      <c r="EE259" s="364"/>
      <c r="EF259" s="364"/>
      <c r="EG259" s="364"/>
      <c r="EH259" s="364"/>
      <c r="EI259" s="364"/>
      <c r="EJ259" s="364"/>
      <c r="EK259" s="364"/>
      <c r="EL259" s="364"/>
      <c r="EM259" s="364"/>
      <c r="EN259" s="364"/>
      <c r="EO259" s="364"/>
      <c r="EP259" s="364"/>
      <c r="EQ259" s="364"/>
      <c r="ER259" s="364"/>
      <c r="ES259" s="364"/>
      <c r="ET259" s="364"/>
      <c r="EU259" s="364"/>
      <c r="EV259" s="364"/>
      <c r="EW259" s="364"/>
      <c r="EX259" s="364"/>
      <c r="EY259" s="364"/>
      <c r="EZ259" s="364"/>
      <c r="FA259" s="364"/>
      <c r="FB259" s="364"/>
      <c r="FC259" s="364"/>
      <c r="FD259" s="364"/>
      <c r="FE259" s="364"/>
      <c r="FF259" s="364"/>
      <c r="FG259" s="364"/>
      <c r="FH259" s="364"/>
      <c r="FI259" s="364"/>
      <c r="FJ259" s="364"/>
      <c r="FK259" s="364"/>
      <c r="FL259" s="364"/>
      <c r="FM259" s="364"/>
      <c r="FN259" s="364"/>
      <c r="FO259" s="364"/>
      <c r="FP259" s="364"/>
      <c r="FQ259" s="364"/>
      <c r="FR259" s="364"/>
      <c r="FS259" s="364"/>
      <c r="FT259" s="364"/>
      <c r="FU259" s="364"/>
      <c r="FV259" s="364"/>
      <c r="FW259" s="364"/>
      <c r="FX259" s="364"/>
      <c r="FY259" s="364"/>
      <c r="FZ259" s="364"/>
      <c r="GA259" s="364"/>
      <c r="GB259" s="364"/>
      <c r="GC259" s="364"/>
      <c r="GD259" s="364"/>
      <c r="GE259" s="364"/>
      <c r="GF259" s="364"/>
      <c r="GG259" s="364"/>
      <c r="GH259" s="364"/>
      <c r="GI259" s="364"/>
      <c r="GJ259" s="364"/>
      <c r="GK259" s="364"/>
      <c r="GL259" s="364"/>
      <c r="GM259" s="364"/>
      <c r="GN259" s="364"/>
      <c r="GO259" s="364"/>
      <c r="GP259" s="364"/>
      <c r="GQ259" s="364"/>
      <c r="GR259" s="364"/>
      <c r="GS259" s="364"/>
      <c r="GT259" s="364"/>
      <c r="GU259" s="364"/>
      <c r="GV259" s="364"/>
      <c r="GW259" s="364"/>
      <c r="GX259" s="364"/>
      <c r="GY259" s="364"/>
      <c r="GZ259" s="364"/>
      <c r="HA259" s="364"/>
      <c r="HB259" s="364"/>
      <c r="HC259" s="364"/>
      <c r="HD259" s="364"/>
      <c r="HE259" s="364"/>
      <c r="HF259" s="364"/>
      <c r="HG259" s="364"/>
      <c r="HH259" s="364"/>
      <c r="HI259" s="364"/>
      <c r="HJ259" s="364"/>
      <c r="HK259" s="364"/>
      <c r="HL259" s="364"/>
    </row>
    <row r="260" spans="2:220" s="287" customFormat="1" ht="22.5" customHeight="1">
      <c r="B260" s="365">
        <v>240147</v>
      </c>
      <c r="C260" s="366" t="s">
        <v>13082</v>
      </c>
      <c r="D260" s="367"/>
      <c r="E260" s="368"/>
      <c r="F260" s="321" t="s">
        <v>229</v>
      </c>
      <c r="G260" s="326" t="s">
        <v>2205</v>
      </c>
      <c r="H260" s="326" t="s">
        <v>2241</v>
      </c>
      <c r="I260" s="326" t="s">
        <v>11</v>
      </c>
      <c r="J260" s="326" t="s">
        <v>12</v>
      </c>
      <c r="K260" s="326" t="s">
        <v>323</v>
      </c>
      <c r="L260" s="323"/>
      <c r="M260" s="326" t="s">
        <v>6509</v>
      </c>
      <c r="N260" s="325" t="s">
        <v>745</v>
      </c>
      <c r="O260" s="326">
        <v>30</v>
      </c>
      <c r="P260" s="326" t="s">
        <v>210</v>
      </c>
      <c r="Q260" s="340" t="s">
        <v>15</v>
      </c>
      <c r="R260" s="329" t="s">
        <v>636</v>
      </c>
      <c r="S260" s="331" t="s">
        <v>13080</v>
      </c>
      <c r="T260" s="394" t="s">
        <v>12276</v>
      </c>
      <c r="U260" s="394" t="s">
        <v>12277</v>
      </c>
      <c r="V260" s="331" t="s">
        <v>13081</v>
      </c>
      <c r="W260" s="332" t="s">
        <v>432</v>
      </c>
      <c r="X260" s="331" t="s">
        <v>11079</v>
      </c>
      <c r="Y260" s="331" t="s">
        <v>11080</v>
      </c>
      <c r="Z260" s="331" t="s">
        <v>11080</v>
      </c>
      <c r="AA260" s="331" t="s">
        <v>295</v>
      </c>
      <c r="AB260" s="333"/>
      <c r="AC260" s="333"/>
      <c r="AD260" s="334" t="s">
        <v>107</v>
      </c>
      <c r="AE260" s="335" t="s">
        <v>335</v>
      </c>
      <c r="AF260" s="336"/>
      <c r="AG260" s="337"/>
      <c r="AH260" s="417">
        <v>12.2</v>
      </c>
      <c r="AI260" s="392">
        <v>34.700000000000003</v>
      </c>
      <c r="AJ260" s="392">
        <v>24.7</v>
      </c>
      <c r="AK260" s="340">
        <f>SUM(AH260:AJ260)</f>
        <v>71.600000000000009</v>
      </c>
      <c r="AL260" s="321" t="s">
        <v>210</v>
      </c>
      <c r="AM260" s="392" t="s">
        <v>15</v>
      </c>
      <c r="AN260" s="392" t="s">
        <v>15</v>
      </c>
      <c r="AO260" s="341" t="s">
        <v>15</v>
      </c>
      <c r="AP260" s="342"/>
      <c r="AQ260" s="343"/>
      <c r="AR260" s="370">
        <v>4628</v>
      </c>
      <c r="AS260" s="326">
        <v>150</v>
      </c>
      <c r="AT260" s="392">
        <v>1</v>
      </c>
      <c r="AU260" s="392"/>
      <c r="AV260" s="392">
        <v>1</v>
      </c>
      <c r="AW260" s="340"/>
      <c r="AX260" s="347"/>
      <c r="AY260" s="348"/>
      <c r="AZ260" s="377"/>
      <c r="BA260" s="374"/>
      <c r="BB260" s="374"/>
      <c r="BC260" s="374"/>
      <c r="BD260" s="374"/>
      <c r="BE260" s="374"/>
      <c r="BF260" s="374"/>
      <c r="BG260" s="374"/>
      <c r="BH260" s="378"/>
      <c r="BI260" s="376"/>
      <c r="BJ260" s="379"/>
      <c r="BK260" s="380"/>
      <c r="BL260" s="348"/>
      <c r="BM260" s="381"/>
      <c r="BN260" s="321" t="s">
        <v>983</v>
      </c>
      <c r="BO260" s="372">
        <v>1.9</v>
      </c>
      <c r="BP260" s="373" t="s">
        <v>983</v>
      </c>
      <c r="BQ260" s="360"/>
      <c r="BR260" s="361"/>
      <c r="BS260" s="361"/>
      <c r="BT260" s="361"/>
      <c r="BU260" s="342" t="s">
        <v>210</v>
      </c>
      <c r="BV260" s="342" t="s">
        <v>210</v>
      </c>
      <c r="BW260" s="341" t="s">
        <v>15</v>
      </c>
      <c r="BX260" s="361"/>
      <c r="BY260" s="362"/>
      <c r="BZ260" s="363"/>
      <c r="CA260" s="363"/>
      <c r="CB260" s="363"/>
      <c r="CC260" s="363"/>
      <c r="CD260" s="293"/>
      <c r="CE260" s="364"/>
      <c r="CF260" s="364"/>
      <c r="CG260" s="364"/>
      <c r="CH260" s="364"/>
      <c r="CI260" s="364"/>
      <c r="CJ260" s="364"/>
      <c r="CK260" s="364"/>
      <c r="CL260" s="364"/>
      <c r="CM260" s="364"/>
      <c r="CN260" s="364"/>
      <c r="CO260" s="364"/>
      <c r="CP260" s="364"/>
      <c r="CQ260" s="364"/>
      <c r="CR260" s="364"/>
      <c r="CS260" s="364"/>
      <c r="CT260" s="364"/>
      <c r="CU260" s="364"/>
      <c r="CV260" s="364"/>
      <c r="CW260" s="364"/>
      <c r="CX260" s="364"/>
      <c r="CY260" s="364"/>
      <c r="CZ260" s="364"/>
      <c r="DA260" s="364"/>
      <c r="DB260" s="364"/>
      <c r="DC260" s="364"/>
      <c r="DD260" s="364"/>
      <c r="DE260" s="364"/>
      <c r="DF260" s="364"/>
      <c r="DG260" s="364"/>
      <c r="DH260" s="364"/>
      <c r="DI260" s="364"/>
      <c r="DJ260" s="364"/>
      <c r="DK260" s="364"/>
      <c r="DL260" s="364"/>
      <c r="DM260" s="364"/>
      <c r="DN260" s="364"/>
      <c r="DO260" s="364"/>
      <c r="DP260" s="364"/>
      <c r="DQ260" s="364"/>
      <c r="DR260" s="364"/>
      <c r="DS260" s="364"/>
      <c r="DT260" s="364"/>
      <c r="DU260" s="364"/>
      <c r="DV260" s="364"/>
      <c r="DW260" s="364"/>
      <c r="DX260" s="364"/>
      <c r="DY260" s="364"/>
      <c r="DZ260" s="364"/>
      <c r="EA260" s="364"/>
      <c r="EB260" s="364"/>
      <c r="EC260" s="364"/>
      <c r="ED260" s="364"/>
      <c r="EE260" s="364"/>
      <c r="EF260" s="364"/>
      <c r="EG260" s="364"/>
      <c r="EH260" s="364"/>
      <c r="EI260" s="364"/>
      <c r="EJ260" s="364"/>
      <c r="EK260" s="364"/>
      <c r="EL260" s="364"/>
      <c r="EM260" s="364"/>
      <c r="EN260" s="364"/>
      <c r="EO260" s="364"/>
      <c r="EP260" s="364"/>
      <c r="EQ260" s="364"/>
      <c r="ER260" s="364"/>
      <c r="ES260" s="364"/>
      <c r="ET260" s="364"/>
      <c r="EU260" s="364"/>
      <c r="EV260" s="364"/>
      <c r="EW260" s="364"/>
      <c r="EX260" s="364"/>
      <c r="EY260" s="364"/>
      <c r="EZ260" s="364"/>
      <c r="FA260" s="364"/>
      <c r="FB260" s="364"/>
      <c r="FC260" s="364"/>
      <c r="FD260" s="364"/>
      <c r="FE260" s="364"/>
      <c r="FF260" s="364"/>
      <c r="FG260" s="364"/>
      <c r="FH260" s="364"/>
      <c r="FI260" s="364"/>
      <c r="FJ260" s="364"/>
      <c r="FK260" s="364"/>
      <c r="FL260" s="364"/>
      <c r="FM260" s="364"/>
      <c r="FN260" s="364"/>
      <c r="FO260" s="364"/>
      <c r="FP260" s="364"/>
      <c r="FQ260" s="364"/>
      <c r="FR260" s="364"/>
      <c r="FS260" s="364"/>
      <c r="FT260" s="364"/>
      <c r="FU260" s="364"/>
      <c r="FV260" s="364"/>
      <c r="FW260" s="364"/>
      <c r="FX260" s="364"/>
      <c r="FY260" s="364"/>
      <c r="FZ260" s="364"/>
      <c r="GA260" s="364"/>
      <c r="GB260" s="364"/>
      <c r="GC260" s="364"/>
      <c r="GD260" s="364"/>
      <c r="GE260" s="364"/>
      <c r="GF260" s="364"/>
      <c r="GG260" s="364"/>
      <c r="GH260" s="364"/>
      <c r="GI260" s="364"/>
      <c r="GJ260" s="364"/>
      <c r="GK260" s="364"/>
      <c r="GL260" s="364"/>
      <c r="GM260" s="364"/>
      <c r="GN260" s="364"/>
      <c r="GO260" s="364"/>
      <c r="GP260" s="364"/>
      <c r="GQ260" s="364"/>
      <c r="GR260" s="364"/>
      <c r="GS260" s="364"/>
      <c r="GT260" s="364"/>
      <c r="GU260" s="364"/>
      <c r="GV260" s="364"/>
      <c r="GW260" s="364"/>
      <c r="GX260" s="364"/>
      <c r="GY260" s="364"/>
      <c r="GZ260" s="364"/>
      <c r="HA260" s="364"/>
      <c r="HB260" s="364"/>
      <c r="HC260" s="364"/>
      <c r="HD260" s="364"/>
      <c r="HE260" s="364"/>
      <c r="HF260" s="364"/>
      <c r="HG260" s="364"/>
      <c r="HH260" s="364"/>
      <c r="HI260" s="364"/>
      <c r="HJ260" s="364"/>
      <c r="HK260" s="364"/>
      <c r="HL260" s="364"/>
    </row>
    <row r="261" spans="2:220" s="287" customFormat="1" ht="22.5" customHeight="1">
      <c r="B261" s="365">
        <v>240148</v>
      </c>
      <c r="C261" s="366" t="s">
        <v>14352</v>
      </c>
      <c r="D261" s="367"/>
      <c r="E261" s="368"/>
      <c r="F261" s="321" t="s">
        <v>327</v>
      </c>
      <c r="G261" s="326" t="s">
        <v>2239</v>
      </c>
      <c r="H261" s="326" t="s">
        <v>2240</v>
      </c>
      <c r="I261" s="326" t="s">
        <v>11</v>
      </c>
      <c r="J261" s="326" t="s">
        <v>12</v>
      </c>
      <c r="K261" s="326" t="s">
        <v>324</v>
      </c>
      <c r="L261" s="323"/>
      <c r="M261" s="374"/>
      <c r="N261" s="325" t="s">
        <v>745</v>
      </c>
      <c r="O261" s="326" t="s">
        <v>746</v>
      </c>
      <c r="P261" s="327">
        <v>6966.1</v>
      </c>
      <c r="Q261" s="369">
        <v>7057.88</v>
      </c>
      <c r="R261" s="329" t="s">
        <v>636</v>
      </c>
      <c r="S261" s="331" t="s">
        <v>13080</v>
      </c>
      <c r="T261" s="394" t="s">
        <v>12276</v>
      </c>
      <c r="U261" s="394" t="s">
        <v>12277</v>
      </c>
      <c r="V261" s="331" t="s">
        <v>13081</v>
      </c>
      <c r="W261" s="332" t="s">
        <v>716</v>
      </c>
      <c r="X261" s="331" t="s">
        <v>14148</v>
      </c>
      <c r="Y261" s="331" t="s">
        <v>13332</v>
      </c>
      <c r="Z261" s="331" t="s">
        <v>13501</v>
      </c>
      <c r="AA261" s="331" t="s">
        <v>13499</v>
      </c>
      <c r="AB261" s="333"/>
      <c r="AC261" s="416"/>
      <c r="AD261" s="375"/>
      <c r="AE261" s="391"/>
      <c r="AF261" s="336"/>
      <c r="AG261" s="337"/>
      <c r="AH261" s="417" t="s">
        <v>435</v>
      </c>
      <c r="AI261" s="392" t="s">
        <v>435</v>
      </c>
      <c r="AJ261" s="392" t="s">
        <v>435</v>
      </c>
      <c r="AK261" s="340" t="s">
        <v>435</v>
      </c>
      <c r="AL261" s="321" t="s">
        <v>210</v>
      </c>
      <c r="AM261" s="392" t="s">
        <v>15</v>
      </c>
      <c r="AN261" s="392" t="s">
        <v>15</v>
      </c>
      <c r="AO261" s="341" t="s">
        <v>15</v>
      </c>
      <c r="AP261" s="342"/>
      <c r="AQ261" s="343"/>
      <c r="AR261" s="370">
        <v>7787</v>
      </c>
      <c r="AS261" s="326">
        <v>100</v>
      </c>
      <c r="AT261" s="392">
        <v>1</v>
      </c>
      <c r="AU261" s="392"/>
      <c r="AV261" s="392">
        <v>1.5</v>
      </c>
      <c r="AW261" s="340"/>
      <c r="AX261" s="347"/>
      <c r="AY261" s="348"/>
      <c r="AZ261" s="377"/>
      <c r="BA261" s="374"/>
      <c r="BB261" s="374"/>
      <c r="BC261" s="374"/>
      <c r="BD261" s="374"/>
      <c r="BE261" s="374"/>
      <c r="BF261" s="374"/>
      <c r="BG261" s="374"/>
      <c r="BH261" s="378"/>
      <c r="BI261" s="376"/>
      <c r="BJ261" s="379"/>
      <c r="BK261" s="380"/>
      <c r="BL261" s="348"/>
      <c r="BM261" s="381"/>
      <c r="BN261" s="321" t="s">
        <v>983</v>
      </c>
      <c r="BO261" s="372"/>
      <c r="BP261" s="373" t="s">
        <v>983</v>
      </c>
      <c r="BQ261" s="360"/>
      <c r="BR261" s="361"/>
      <c r="BS261" s="361"/>
      <c r="BT261" s="361"/>
      <c r="BU261" s="342" t="s">
        <v>210</v>
      </c>
      <c r="BV261" s="342" t="s">
        <v>210</v>
      </c>
      <c r="BW261" s="341" t="s">
        <v>15</v>
      </c>
      <c r="BX261" s="361"/>
      <c r="BY261" s="362"/>
      <c r="BZ261" s="363"/>
      <c r="CA261" s="363"/>
      <c r="CB261" s="363"/>
      <c r="CC261" s="363"/>
      <c r="CD261" s="293"/>
      <c r="CE261" s="364"/>
      <c r="CF261" s="364"/>
      <c r="CG261" s="364"/>
      <c r="CH261" s="364"/>
      <c r="CI261" s="364"/>
      <c r="CJ261" s="364"/>
      <c r="CK261" s="364"/>
      <c r="CL261" s="364"/>
      <c r="CM261" s="364"/>
      <c r="CN261" s="364"/>
      <c r="CO261" s="364"/>
      <c r="CP261" s="364"/>
      <c r="CQ261" s="364"/>
      <c r="CR261" s="364"/>
      <c r="CS261" s="364"/>
      <c r="CT261" s="364"/>
      <c r="CU261" s="364"/>
      <c r="CV261" s="364"/>
      <c r="CW261" s="364"/>
      <c r="CX261" s="364"/>
      <c r="CY261" s="364"/>
      <c r="CZ261" s="364"/>
      <c r="DA261" s="364"/>
      <c r="DB261" s="364"/>
      <c r="DC261" s="364"/>
      <c r="DD261" s="364"/>
      <c r="DE261" s="364"/>
      <c r="DF261" s="364"/>
      <c r="DG261" s="364"/>
      <c r="DH261" s="364"/>
      <c r="DI261" s="364"/>
      <c r="DJ261" s="364"/>
      <c r="DK261" s="364"/>
      <c r="DL261" s="364"/>
      <c r="DM261" s="364"/>
      <c r="DN261" s="364"/>
      <c r="DO261" s="364"/>
      <c r="DP261" s="364"/>
      <c r="DQ261" s="364"/>
      <c r="DR261" s="364"/>
      <c r="DS261" s="364"/>
      <c r="DT261" s="364"/>
      <c r="DU261" s="364"/>
      <c r="DV261" s="364"/>
      <c r="DW261" s="364"/>
      <c r="DX261" s="364"/>
      <c r="DY261" s="364"/>
      <c r="DZ261" s="364"/>
      <c r="EA261" s="364"/>
      <c r="EB261" s="364"/>
      <c r="EC261" s="364"/>
      <c r="ED261" s="364"/>
      <c r="EE261" s="364"/>
      <c r="EF261" s="364"/>
      <c r="EG261" s="364"/>
      <c r="EH261" s="364"/>
      <c r="EI261" s="364"/>
      <c r="EJ261" s="364"/>
      <c r="EK261" s="364"/>
      <c r="EL261" s="364"/>
      <c r="EM261" s="364"/>
      <c r="EN261" s="364"/>
      <c r="EO261" s="364"/>
      <c r="EP261" s="364"/>
      <c r="EQ261" s="364"/>
      <c r="ER261" s="364"/>
      <c r="ES261" s="364"/>
      <c r="ET261" s="364"/>
      <c r="EU261" s="364"/>
      <c r="EV261" s="364"/>
      <c r="EW261" s="364"/>
      <c r="EX261" s="364"/>
      <c r="EY261" s="364"/>
      <c r="EZ261" s="364"/>
      <c r="FA261" s="364"/>
      <c r="FB261" s="364"/>
      <c r="FC261" s="364"/>
      <c r="FD261" s="364"/>
      <c r="FE261" s="364"/>
      <c r="FF261" s="364"/>
      <c r="FG261" s="364"/>
      <c r="FH261" s="364"/>
      <c r="FI261" s="364"/>
      <c r="FJ261" s="364"/>
      <c r="FK261" s="364"/>
      <c r="FL261" s="364"/>
      <c r="FM261" s="364"/>
      <c r="FN261" s="364"/>
      <c r="FO261" s="364"/>
      <c r="FP261" s="364"/>
      <c r="FQ261" s="364"/>
      <c r="FR261" s="364"/>
      <c r="FS261" s="364"/>
      <c r="FT261" s="364"/>
      <c r="FU261" s="364"/>
      <c r="FV261" s="364"/>
      <c r="FW261" s="364"/>
      <c r="FX261" s="364"/>
      <c r="FY261" s="364"/>
      <c r="FZ261" s="364"/>
      <c r="GA261" s="364"/>
      <c r="GB261" s="364"/>
      <c r="GC261" s="364"/>
      <c r="GD261" s="364"/>
      <c r="GE261" s="364"/>
      <c r="GF261" s="364"/>
      <c r="GG261" s="364"/>
      <c r="GH261" s="364"/>
      <c r="GI261" s="364"/>
      <c r="GJ261" s="364"/>
      <c r="GK261" s="364"/>
      <c r="GL261" s="364"/>
      <c r="GM261" s="364"/>
      <c r="GN261" s="364"/>
      <c r="GO261" s="364"/>
      <c r="GP261" s="364"/>
      <c r="GQ261" s="364"/>
      <c r="GR261" s="364"/>
      <c r="GS261" s="364"/>
      <c r="GT261" s="364"/>
      <c r="GU261" s="364"/>
      <c r="GV261" s="364"/>
      <c r="GW261" s="364"/>
      <c r="GX261" s="364"/>
      <c r="GY261" s="364"/>
      <c r="GZ261" s="364"/>
      <c r="HA261" s="364"/>
      <c r="HB261" s="364"/>
      <c r="HC261" s="364"/>
      <c r="HD261" s="364"/>
      <c r="HE261" s="364"/>
      <c r="HF261" s="364"/>
      <c r="HG261" s="364"/>
      <c r="HH261" s="364"/>
      <c r="HI261" s="364"/>
      <c r="HJ261" s="364"/>
      <c r="HK261" s="364"/>
      <c r="HL261" s="364"/>
    </row>
    <row r="262" spans="2:220" s="287" customFormat="1" ht="22.5" customHeight="1">
      <c r="B262" s="365">
        <v>240149</v>
      </c>
      <c r="C262" s="366" t="s">
        <v>14250</v>
      </c>
      <c r="D262" s="367"/>
      <c r="E262" s="368"/>
      <c r="F262" s="321" t="s">
        <v>306</v>
      </c>
      <c r="G262" s="326" t="s">
        <v>2103</v>
      </c>
      <c r="H262" s="326" t="s">
        <v>2260</v>
      </c>
      <c r="I262" s="326" t="s">
        <v>329</v>
      </c>
      <c r="J262" s="326" t="s">
        <v>216</v>
      </c>
      <c r="K262" s="326" t="s">
        <v>224</v>
      </c>
      <c r="L262" s="323"/>
      <c r="M262" s="374"/>
      <c r="N262" s="325" t="s">
        <v>468</v>
      </c>
      <c r="O262" s="326">
        <v>65</v>
      </c>
      <c r="P262" s="327">
        <v>753.39</v>
      </c>
      <c r="Q262" s="369">
        <v>327.85</v>
      </c>
      <c r="R262" s="329" t="s">
        <v>458</v>
      </c>
      <c r="S262" s="331" t="s">
        <v>11185</v>
      </c>
      <c r="T262" s="331" t="s">
        <v>11187</v>
      </c>
      <c r="U262" s="331" t="s">
        <v>11186</v>
      </c>
      <c r="V262" s="331" t="s">
        <v>11184</v>
      </c>
      <c r="W262" s="332" t="s">
        <v>458</v>
      </c>
      <c r="X262" s="331" t="s">
        <v>11185</v>
      </c>
      <c r="Y262" s="331" t="s">
        <v>11187</v>
      </c>
      <c r="Z262" s="331" t="s">
        <v>11186</v>
      </c>
      <c r="AA262" s="331" t="s">
        <v>11184</v>
      </c>
      <c r="AB262" s="333"/>
      <c r="AC262" s="333"/>
      <c r="AD262" s="334" t="s">
        <v>875</v>
      </c>
      <c r="AE262" s="335" t="s">
        <v>15</v>
      </c>
      <c r="AF262" s="336"/>
      <c r="AG262" s="337"/>
      <c r="AH262" s="417" t="s">
        <v>435</v>
      </c>
      <c r="AI262" s="392" t="s">
        <v>435</v>
      </c>
      <c r="AJ262" s="392" t="s">
        <v>435</v>
      </c>
      <c r="AK262" s="340" t="s">
        <v>435</v>
      </c>
      <c r="AL262" s="321" t="s">
        <v>210</v>
      </c>
      <c r="AM262" s="392" t="s">
        <v>15</v>
      </c>
      <c r="AN262" s="392" t="s">
        <v>15</v>
      </c>
      <c r="AO262" s="341" t="s">
        <v>15</v>
      </c>
      <c r="AP262" s="342"/>
      <c r="AQ262" s="343"/>
      <c r="AR262" s="370">
        <v>424</v>
      </c>
      <c r="AS262" s="326">
        <v>150</v>
      </c>
      <c r="AT262" s="392">
        <v>3.3</v>
      </c>
      <c r="AU262" s="392"/>
      <c r="AV262" s="392" t="s">
        <v>732</v>
      </c>
      <c r="AW262" s="340"/>
      <c r="AX262" s="347"/>
      <c r="AY262" s="348"/>
      <c r="AZ262" s="377"/>
      <c r="BA262" s="374"/>
      <c r="BB262" s="374"/>
      <c r="BC262" s="374"/>
      <c r="BD262" s="374"/>
      <c r="BE262" s="374"/>
      <c r="BF262" s="374"/>
      <c r="BG262" s="374"/>
      <c r="BH262" s="378"/>
      <c r="BI262" s="376"/>
      <c r="BJ262" s="379"/>
      <c r="BK262" s="380"/>
      <c r="BL262" s="348"/>
      <c r="BM262" s="381"/>
      <c r="BN262" s="321" t="s">
        <v>983</v>
      </c>
      <c r="BO262" s="372"/>
      <c r="BP262" s="373" t="s">
        <v>15</v>
      </c>
      <c r="BQ262" s="360"/>
      <c r="BR262" s="361"/>
      <c r="BS262" s="361"/>
      <c r="BT262" s="361"/>
      <c r="BU262" s="342" t="s">
        <v>210</v>
      </c>
      <c r="BV262" s="342" t="s">
        <v>210</v>
      </c>
      <c r="BW262" s="341" t="s">
        <v>15</v>
      </c>
      <c r="BX262" s="361"/>
      <c r="BY262" s="362"/>
      <c r="BZ262" s="363"/>
      <c r="CA262" s="363"/>
      <c r="CB262" s="363"/>
      <c r="CC262" s="363"/>
      <c r="CD262" s="293"/>
      <c r="CE262" s="364"/>
      <c r="CF262" s="364"/>
      <c r="CG262" s="364"/>
      <c r="CH262" s="364"/>
      <c r="CI262" s="364"/>
      <c r="CJ262" s="364"/>
      <c r="CK262" s="364"/>
      <c r="CL262" s="364"/>
      <c r="CM262" s="364"/>
      <c r="CN262" s="364"/>
      <c r="CO262" s="364"/>
      <c r="CP262" s="364"/>
      <c r="CQ262" s="364"/>
      <c r="CR262" s="364"/>
      <c r="CS262" s="364"/>
      <c r="CT262" s="364"/>
      <c r="CU262" s="364"/>
      <c r="CV262" s="364"/>
      <c r="CW262" s="364"/>
      <c r="CX262" s="364"/>
      <c r="CY262" s="364"/>
      <c r="CZ262" s="364"/>
      <c r="DA262" s="364"/>
      <c r="DB262" s="364"/>
      <c r="DC262" s="364"/>
      <c r="DD262" s="364"/>
      <c r="DE262" s="364"/>
      <c r="DF262" s="364"/>
      <c r="DG262" s="364"/>
      <c r="DH262" s="364"/>
      <c r="DI262" s="364"/>
      <c r="DJ262" s="364"/>
      <c r="DK262" s="364"/>
      <c r="DL262" s="364"/>
      <c r="DM262" s="364"/>
      <c r="DN262" s="364"/>
      <c r="DO262" s="364"/>
      <c r="DP262" s="364"/>
      <c r="DQ262" s="364"/>
      <c r="DR262" s="364"/>
      <c r="DS262" s="364"/>
      <c r="DT262" s="364"/>
      <c r="DU262" s="364"/>
      <c r="DV262" s="364"/>
      <c r="DW262" s="364"/>
      <c r="DX262" s="364"/>
      <c r="DY262" s="364"/>
      <c r="DZ262" s="364"/>
      <c r="EA262" s="364"/>
      <c r="EB262" s="364"/>
      <c r="EC262" s="364"/>
      <c r="ED262" s="364"/>
      <c r="EE262" s="364"/>
      <c r="EF262" s="364"/>
      <c r="EG262" s="364"/>
      <c r="EH262" s="364"/>
      <c r="EI262" s="364"/>
      <c r="EJ262" s="364"/>
      <c r="EK262" s="364"/>
      <c r="EL262" s="364"/>
      <c r="EM262" s="364"/>
      <c r="EN262" s="364"/>
      <c r="EO262" s="364"/>
      <c r="EP262" s="364"/>
      <c r="EQ262" s="364"/>
      <c r="ER262" s="364"/>
      <c r="ES262" s="364"/>
      <c r="ET262" s="364"/>
      <c r="EU262" s="364"/>
      <c r="EV262" s="364"/>
      <c r="EW262" s="364"/>
      <c r="EX262" s="364"/>
      <c r="EY262" s="364"/>
      <c r="EZ262" s="364"/>
      <c r="FA262" s="364"/>
      <c r="FB262" s="364"/>
      <c r="FC262" s="364"/>
      <c r="FD262" s="364"/>
      <c r="FE262" s="364"/>
      <c r="FF262" s="364"/>
      <c r="FG262" s="364"/>
      <c r="FH262" s="364"/>
      <c r="FI262" s="364"/>
      <c r="FJ262" s="364"/>
      <c r="FK262" s="364"/>
      <c r="FL262" s="364"/>
      <c r="FM262" s="364"/>
      <c r="FN262" s="364"/>
      <c r="FO262" s="364"/>
      <c r="FP262" s="364"/>
      <c r="FQ262" s="364"/>
      <c r="FR262" s="364"/>
      <c r="FS262" s="364"/>
      <c r="FT262" s="364"/>
      <c r="FU262" s="364"/>
      <c r="FV262" s="364"/>
      <c r="FW262" s="364"/>
      <c r="FX262" s="364"/>
      <c r="FY262" s="364"/>
      <c r="FZ262" s="364"/>
      <c r="GA262" s="364"/>
      <c r="GB262" s="364"/>
      <c r="GC262" s="364"/>
      <c r="GD262" s="364"/>
      <c r="GE262" s="364"/>
      <c r="GF262" s="364"/>
      <c r="GG262" s="364"/>
      <c r="GH262" s="364"/>
      <c r="GI262" s="364"/>
      <c r="GJ262" s="364"/>
      <c r="GK262" s="364"/>
      <c r="GL262" s="364"/>
      <c r="GM262" s="364"/>
      <c r="GN262" s="364"/>
      <c r="GO262" s="364"/>
      <c r="GP262" s="364"/>
      <c r="GQ262" s="364"/>
      <c r="GR262" s="364"/>
      <c r="GS262" s="364"/>
      <c r="GT262" s="364"/>
      <c r="GU262" s="364"/>
      <c r="GV262" s="364"/>
      <c r="GW262" s="364"/>
      <c r="GX262" s="364"/>
      <c r="GY262" s="364"/>
      <c r="GZ262" s="364"/>
      <c r="HA262" s="364"/>
      <c r="HB262" s="364"/>
      <c r="HC262" s="364"/>
      <c r="HD262" s="364"/>
      <c r="HE262" s="364"/>
      <c r="HF262" s="364"/>
      <c r="HG262" s="364"/>
      <c r="HH262" s="364"/>
      <c r="HI262" s="364"/>
      <c r="HJ262" s="364"/>
      <c r="HK262" s="364"/>
      <c r="HL262" s="364"/>
    </row>
    <row r="263" spans="2:220" s="287" customFormat="1" ht="22.5" customHeight="1">
      <c r="B263" s="365">
        <v>240150</v>
      </c>
      <c r="C263" s="366" t="s">
        <v>230</v>
      </c>
      <c r="D263" s="367"/>
      <c r="E263" s="368"/>
      <c r="F263" s="321" t="s">
        <v>325</v>
      </c>
      <c r="G263" s="326" t="s">
        <v>2258</v>
      </c>
      <c r="H263" s="326" t="s">
        <v>2259</v>
      </c>
      <c r="I263" s="326" t="s">
        <v>11</v>
      </c>
      <c r="J263" s="326" t="s">
        <v>12</v>
      </c>
      <c r="K263" s="326" t="s">
        <v>324</v>
      </c>
      <c r="L263" s="323"/>
      <c r="M263" s="374"/>
      <c r="N263" s="325" t="s">
        <v>734</v>
      </c>
      <c r="O263" s="326" t="s">
        <v>732</v>
      </c>
      <c r="P263" s="326" t="s">
        <v>210</v>
      </c>
      <c r="Q263" s="340" t="s">
        <v>15</v>
      </c>
      <c r="R263" s="329" t="s">
        <v>444</v>
      </c>
      <c r="S263" s="330"/>
      <c r="T263" s="330"/>
      <c r="U263" s="330"/>
      <c r="V263" s="330"/>
      <c r="W263" s="332" t="s">
        <v>733</v>
      </c>
      <c r="X263" s="331" t="s">
        <v>13397</v>
      </c>
      <c r="Y263" s="331" t="s">
        <v>13398</v>
      </c>
      <c r="Z263" s="331" t="s">
        <v>16487</v>
      </c>
      <c r="AA263" s="331" t="s">
        <v>13400</v>
      </c>
      <c r="AB263" s="333"/>
      <c r="AC263" s="333"/>
      <c r="AD263" s="334" t="s">
        <v>273</v>
      </c>
      <c r="AE263" s="335" t="s">
        <v>326</v>
      </c>
      <c r="AF263" s="336"/>
      <c r="AG263" s="337"/>
      <c r="AH263" s="417" t="s">
        <v>435</v>
      </c>
      <c r="AI263" s="392" t="s">
        <v>435</v>
      </c>
      <c r="AJ263" s="392" t="s">
        <v>435</v>
      </c>
      <c r="AK263" s="340" t="s">
        <v>435</v>
      </c>
      <c r="AL263" s="321" t="s">
        <v>210</v>
      </c>
      <c r="AM263" s="392" t="s">
        <v>15</v>
      </c>
      <c r="AN263" s="326" t="s">
        <v>983</v>
      </c>
      <c r="AO263" s="341" t="s">
        <v>15</v>
      </c>
      <c r="AP263" s="342"/>
      <c r="AQ263" s="343"/>
      <c r="AR263" s="370">
        <v>287</v>
      </c>
      <c r="AS263" s="326">
        <v>100</v>
      </c>
      <c r="AT263" s="392">
        <v>1</v>
      </c>
      <c r="AU263" s="392"/>
      <c r="AV263" s="392">
        <v>1.8</v>
      </c>
      <c r="AW263" s="340"/>
      <c r="AX263" s="347"/>
      <c r="AY263" s="348"/>
      <c r="AZ263" s="377"/>
      <c r="BA263" s="374"/>
      <c r="BB263" s="374"/>
      <c r="BC263" s="374"/>
      <c r="BD263" s="374"/>
      <c r="BE263" s="374"/>
      <c r="BF263" s="374"/>
      <c r="BG263" s="374"/>
      <c r="BH263" s="378"/>
      <c r="BI263" s="376"/>
      <c r="BJ263" s="379"/>
      <c r="BK263" s="380"/>
      <c r="BL263" s="348"/>
      <c r="BM263" s="381"/>
      <c r="BN263" s="321" t="s">
        <v>983</v>
      </c>
      <c r="BO263" s="372"/>
      <c r="BP263" s="373" t="s">
        <v>983</v>
      </c>
      <c r="BQ263" s="360"/>
      <c r="BR263" s="361"/>
      <c r="BS263" s="361"/>
      <c r="BT263" s="361"/>
      <c r="BU263" s="342" t="s">
        <v>210</v>
      </c>
      <c r="BV263" s="342" t="s">
        <v>210</v>
      </c>
      <c r="BW263" s="341" t="s">
        <v>15</v>
      </c>
      <c r="BX263" s="361"/>
      <c r="BY263" s="362"/>
      <c r="BZ263" s="363"/>
      <c r="CA263" s="363"/>
      <c r="CB263" s="363"/>
      <c r="CC263" s="363"/>
      <c r="CD263" s="293"/>
      <c r="CE263" s="364"/>
      <c r="CF263" s="364"/>
      <c r="CG263" s="364"/>
      <c r="CH263" s="364"/>
      <c r="CI263" s="364"/>
      <c r="CJ263" s="364"/>
      <c r="CK263" s="364"/>
      <c r="CL263" s="364"/>
      <c r="CM263" s="364"/>
      <c r="CN263" s="364"/>
      <c r="CO263" s="364"/>
      <c r="CP263" s="364"/>
      <c r="CQ263" s="364"/>
      <c r="CR263" s="364"/>
      <c r="CS263" s="364"/>
      <c r="CT263" s="364"/>
      <c r="CU263" s="364"/>
      <c r="CV263" s="364"/>
      <c r="CW263" s="364"/>
      <c r="CX263" s="364"/>
      <c r="CY263" s="364"/>
      <c r="CZ263" s="364"/>
      <c r="DA263" s="364"/>
      <c r="DB263" s="364"/>
      <c r="DC263" s="364"/>
      <c r="DD263" s="364"/>
      <c r="DE263" s="364"/>
      <c r="DF263" s="364"/>
      <c r="DG263" s="364"/>
      <c r="DH263" s="364"/>
      <c r="DI263" s="364"/>
      <c r="DJ263" s="364"/>
      <c r="DK263" s="364"/>
      <c r="DL263" s="364"/>
      <c r="DM263" s="364"/>
      <c r="DN263" s="364"/>
      <c r="DO263" s="364"/>
      <c r="DP263" s="364"/>
      <c r="DQ263" s="364"/>
      <c r="DR263" s="364"/>
      <c r="DS263" s="364"/>
      <c r="DT263" s="364"/>
      <c r="DU263" s="364"/>
      <c r="DV263" s="364"/>
      <c r="DW263" s="364"/>
      <c r="DX263" s="364"/>
      <c r="DY263" s="364"/>
      <c r="DZ263" s="364"/>
      <c r="EA263" s="364"/>
      <c r="EB263" s="364"/>
      <c r="EC263" s="364"/>
      <c r="ED263" s="364"/>
      <c r="EE263" s="364"/>
      <c r="EF263" s="364"/>
      <c r="EG263" s="364"/>
      <c r="EH263" s="364"/>
      <c r="EI263" s="364"/>
      <c r="EJ263" s="364"/>
      <c r="EK263" s="364"/>
      <c r="EL263" s="364"/>
      <c r="EM263" s="364"/>
      <c r="EN263" s="364"/>
      <c r="EO263" s="364"/>
      <c r="EP263" s="364"/>
      <c r="EQ263" s="364"/>
      <c r="ER263" s="364"/>
      <c r="ES263" s="364"/>
      <c r="ET263" s="364"/>
      <c r="EU263" s="364"/>
      <c r="EV263" s="364"/>
      <c r="EW263" s="364"/>
      <c r="EX263" s="364"/>
      <c r="EY263" s="364"/>
      <c r="EZ263" s="364"/>
      <c r="FA263" s="364"/>
      <c r="FB263" s="364"/>
      <c r="FC263" s="364"/>
      <c r="FD263" s="364"/>
      <c r="FE263" s="364"/>
      <c r="FF263" s="364"/>
      <c r="FG263" s="364"/>
      <c r="FH263" s="364"/>
      <c r="FI263" s="364"/>
      <c r="FJ263" s="364"/>
      <c r="FK263" s="364"/>
      <c r="FL263" s="364"/>
      <c r="FM263" s="364"/>
      <c r="FN263" s="364"/>
      <c r="FO263" s="364"/>
      <c r="FP263" s="364"/>
      <c r="FQ263" s="364"/>
      <c r="FR263" s="364"/>
      <c r="FS263" s="364"/>
      <c r="FT263" s="364"/>
      <c r="FU263" s="364"/>
      <c r="FV263" s="364"/>
      <c r="FW263" s="364"/>
      <c r="FX263" s="364"/>
      <c r="FY263" s="364"/>
      <c r="FZ263" s="364"/>
      <c r="GA263" s="364"/>
      <c r="GB263" s="364"/>
      <c r="GC263" s="364"/>
      <c r="GD263" s="364"/>
      <c r="GE263" s="364"/>
      <c r="GF263" s="364"/>
      <c r="GG263" s="364"/>
      <c r="GH263" s="364"/>
      <c r="GI263" s="364"/>
      <c r="GJ263" s="364"/>
      <c r="GK263" s="364"/>
      <c r="GL263" s="364"/>
      <c r="GM263" s="364"/>
      <c r="GN263" s="364"/>
      <c r="GO263" s="364"/>
      <c r="GP263" s="364"/>
      <c r="GQ263" s="364"/>
      <c r="GR263" s="364"/>
      <c r="GS263" s="364"/>
      <c r="GT263" s="364"/>
      <c r="GU263" s="364"/>
      <c r="GV263" s="364"/>
      <c r="GW263" s="364"/>
      <c r="GX263" s="364"/>
      <c r="GY263" s="364"/>
      <c r="GZ263" s="364"/>
      <c r="HA263" s="364"/>
      <c r="HB263" s="364"/>
      <c r="HC263" s="364"/>
      <c r="HD263" s="364"/>
      <c r="HE263" s="364"/>
      <c r="HF263" s="364"/>
      <c r="HG263" s="364"/>
      <c r="HH263" s="364"/>
      <c r="HI263" s="364"/>
      <c r="HJ263" s="364"/>
      <c r="HK263" s="364"/>
      <c r="HL263" s="364"/>
    </row>
    <row r="264" spans="2:220" s="287" customFormat="1" ht="22.5" customHeight="1">
      <c r="B264" s="365">
        <v>240151</v>
      </c>
      <c r="C264" s="366" t="s">
        <v>13073</v>
      </c>
      <c r="D264" s="367"/>
      <c r="E264" s="368"/>
      <c r="F264" s="321" t="s">
        <v>374</v>
      </c>
      <c r="G264" s="326" t="s">
        <v>2237</v>
      </c>
      <c r="H264" s="326" t="s">
        <v>2238</v>
      </c>
      <c r="I264" s="326" t="s">
        <v>11</v>
      </c>
      <c r="J264" s="326" t="s">
        <v>12</v>
      </c>
      <c r="K264" s="326" t="s">
        <v>324</v>
      </c>
      <c r="L264" s="323"/>
      <c r="M264" s="324" t="s">
        <v>10774</v>
      </c>
      <c r="N264" s="325" t="s">
        <v>745</v>
      </c>
      <c r="O264" s="326">
        <v>45</v>
      </c>
      <c r="P264" s="326" t="s">
        <v>210</v>
      </c>
      <c r="Q264" s="340" t="s">
        <v>15</v>
      </c>
      <c r="R264" s="329" t="s">
        <v>469</v>
      </c>
      <c r="S264" s="330"/>
      <c r="T264" s="394" t="s">
        <v>11205</v>
      </c>
      <c r="U264" s="394" t="s">
        <v>11207</v>
      </c>
      <c r="V264" s="330"/>
      <c r="W264" s="332" t="s">
        <v>432</v>
      </c>
      <c r="X264" s="331" t="s">
        <v>11079</v>
      </c>
      <c r="Y264" s="331" t="s">
        <v>11080</v>
      </c>
      <c r="Z264" s="331" t="s">
        <v>11080</v>
      </c>
      <c r="AA264" s="331" t="s">
        <v>295</v>
      </c>
      <c r="AB264" s="333"/>
      <c r="AC264" s="333"/>
      <c r="AD264" s="334" t="s">
        <v>2325</v>
      </c>
      <c r="AE264" s="335" t="s">
        <v>326</v>
      </c>
      <c r="AF264" s="336"/>
      <c r="AG264" s="337"/>
      <c r="AH264" s="417">
        <v>6.4</v>
      </c>
      <c r="AI264" s="392">
        <v>17.899999999999999</v>
      </c>
      <c r="AJ264" s="392">
        <v>21.5</v>
      </c>
      <c r="AK264" s="340">
        <f>SUM(AH264:AJ264)</f>
        <v>45.8</v>
      </c>
      <c r="AL264" s="321" t="s">
        <v>210</v>
      </c>
      <c r="AM264" s="392" t="s">
        <v>15</v>
      </c>
      <c r="AN264" s="392" t="s">
        <v>15</v>
      </c>
      <c r="AO264" s="341" t="s">
        <v>15</v>
      </c>
      <c r="AP264" s="342"/>
      <c r="AQ264" s="343"/>
      <c r="AR264" s="370">
        <v>3549</v>
      </c>
      <c r="AS264" s="326">
        <v>100</v>
      </c>
      <c r="AT264" s="392">
        <v>0.8</v>
      </c>
      <c r="AU264" s="392"/>
      <c r="AV264" s="392">
        <v>1.5</v>
      </c>
      <c r="AW264" s="340"/>
      <c r="AX264" s="347"/>
      <c r="AY264" s="348"/>
      <c r="AZ264" s="377"/>
      <c r="BA264" s="374"/>
      <c r="BB264" s="374"/>
      <c r="BC264" s="374"/>
      <c r="BD264" s="374"/>
      <c r="BE264" s="374"/>
      <c r="BF264" s="374"/>
      <c r="BG264" s="374"/>
      <c r="BH264" s="378"/>
      <c r="BI264" s="376"/>
      <c r="BJ264" s="379"/>
      <c r="BK264" s="380"/>
      <c r="BL264" s="348"/>
      <c r="BM264" s="381"/>
      <c r="BN264" s="321" t="s">
        <v>983</v>
      </c>
      <c r="BO264" s="372"/>
      <c r="BP264" s="373" t="s">
        <v>983</v>
      </c>
      <c r="BQ264" s="360"/>
      <c r="BR264" s="361"/>
      <c r="BS264" s="361"/>
      <c r="BT264" s="361"/>
      <c r="BU264" s="342" t="s">
        <v>210</v>
      </c>
      <c r="BV264" s="342" t="s">
        <v>210</v>
      </c>
      <c r="BW264" s="341" t="s">
        <v>15</v>
      </c>
      <c r="BX264" s="361"/>
      <c r="BY264" s="362"/>
      <c r="BZ264" s="363"/>
      <c r="CA264" s="363"/>
      <c r="CB264" s="363"/>
      <c r="CC264" s="363"/>
      <c r="CD264" s="293"/>
      <c r="CE264" s="364"/>
      <c r="CF264" s="364"/>
      <c r="CG264" s="364"/>
      <c r="CH264" s="364"/>
      <c r="CI264" s="364"/>
      <c r="CJ264" s="364"/>
      <c r="CK264" s="364"/>
      <c r="CL264" s="364"/>
      <c r="CM264" s="364"/>
      <c r="CN264" s="364"/>
      <c r="CO264" s="364"/>
      <c r="CP264" s="364"/>
      <c r="CQ264" s="364"/>
      <c r="CR264" s="364"/>
      <c r="CS264" s="364"/>
      <c r="CT264" s="364"/>
      <c r="CU264" s="364"/>
      <c r="CV264" s="364"/>
      <c r="CW264" s="364"/>
      <c r="CX264" s="364"/>
      <c r="CY264" s="364"/>
      <c r="CZ264" s="364"/>
      <c r="DA264" s="364"/>
      <c r="DB264" s="364"/>
      <c r="DC264" s="364"/>
      <c r="DD264" s="364"/>
      <c r="DE264" s="364"/>
      <c r="DF264" s="364"/>
      <c r="DG264" s="364"/>
      <c r="DH264" s="364"/>
      <c r="DI264" s="364"/>
      <c r="DJ264" s="364"/>
      <c r="DK264" s="364"/>
      <c r="DL264" s="364"/>
      <c r="DM264" s="364"/>
      <c r="DN264" s="364"/>
      <c r="DO264" s="364"/>
      <c r="DP264" s="364"/>
      <c r="DQ264" s="364"/>
      <c r="DR264" s="364"/>
      <c r="DS264" s="364"/>
      <c r="DT264" s="364"/>
      <c r="DU264" s="364"/>
      <c r="DV264" s="364"/>
      <c r="DW264" s="364"/>
      <c r="DX264" s="364"/>
      <c r="DY264" s="364"/>
      <c r="DZ264" s="364"/>
      <c r="EA264" s="364"/>
      <c r="EB264" s="364"/>
      <c r="EC264" s="364"/>
      <c r="ED264" s="364"/>
      <c r="EE264" s="364"/>
      <c r="EF264" s="364"/>
      <c r="EG264" s="364"/>
      <c r="EH264" s="364"/>
      <c r="EI264" s="364"/>
      <c r="EJ264" s="364"/>
      <c r="EK264" s="364"/>
      <c r="EL264" s="364"/>
      <c r="EM264" s="364"/>
      <c r="EN264" s="364"/>
      <c r="EO264" s="364"/>
      <c r="EP264" s="364"/>
      <c r="EQ264" s="364"/>
      <c r="ER264" s="364"/>
      <c r="ES264" s="364"/>
      <c r="ET264" s="364"/>
      <c r="EU264" s="364"/>
      <c r="EV264" s="364"/>
      <c r="EW264" s="364"/>
      <c r="EX264" s="364"/>
      <c r="EY264" s="364"/>
      <c r="EZ264" s="364"/>
      <c r="FA264" s="364"/>
      <c r="FB264" s="364"/>
      <c r="FC264" s="364"/>
      <c r="FD264" s="364"/>
      <c r="FE264" s="364"/>
      <c r="FF264" s="364"/>
      <c r="FG264" s="364"/>
      <c r="FH264" s="364"/>
      <c r="FI264" s="364"/>
      <c r="FJ264" s="364"/>
      <c r="FK264" s="364"/>
      <c r="FL264" s="364"/>
      <c r="FM264" s="364"/>
      <c r="FN264" s="364"/>
      <c r="FO264" s="364"/>
      <c r="FP264" s="364"/>
      <c r="FQ264" s="364"/>
      <c r="FR264" s="364"/>
      <c r="FS264" s="364"/>
      <c r="FT264" s="364"/>
      <c r="FU264" s="364"/>
      <c r="FV264" s="364"/>
      <c r="FW264" s="364"/>
      <c r="FX264" s="364"/>
      <c r="FY264" s="364"/>
      <c r="FZ264" s="364"/>
      <c r="GA264" s="364"/>
      <c r="GB264" s="364"/>
      <c r="GC264" s="364"/>
      <c r="GD264" s="364"/>
      <c r="GE264" s="364"/>
      <c r="GF264" s="364"/>
      <c r="GG264" s="364"/>
      <c r="GH264" s="364"/>
      <c r="GI264" s="364"/>
      <c r="GJ264" s="364"/>
      <c r="GK264" s="364"/>
      <c r="GL264" s="364"/>
      <c r="GM264" s="364"/>
      <c r="GN264" s="364"/>
      <c r="GO264" s="364"/>
      <c r="GP264" s="364"/>
      <c r="GQ264" s="364"/>
      <c r="GR264" s="364"/>
      <c r="GS264" s="364"/>
      <c r="GT264" s="364"/>
      <c r="GU264" s="364"/>
      <c r="GV264" s="364"/>
      <c r="GW264" s="364"/>
      <c r="GX264" s="364"/>
      <c r="GY264" s="364"/>
      <c r="GZ264" s="364"/>
      <c r="HA264" s="364"/>
      <c r="HB264" s="364"/>
      <c r="HC264" s="364"/>
      <c r="HD264" s="364"/>
      <c r="HE264" s="364"/>
      <c r="HF264" s="364"/>
      <c r="HG264" s="364"/>
      <c r="HH264" s="364"/>
      <c r="HI264" s="364"/>
      <c r="HJ264" s="364"/>
      <c r="HK264" s="364"/>
      <c r="HL264" s="364"/>
    </row>
    <row r="265" spans="2:220" s="287" customFormat="1" ht="22.5" customHeight="1">
      <c r="B265" s="365">
        <v>240152</v>
      </c>
      <c r="C265" s="366" t="s">
        <v>368</v>
      </c>
      <c r="D265" s="367"/>
      <c r="E265" s="368"/>
      <c r="F265" s="321" t="s">
        <v>369</v>
      </c>
      <c r="G265" s="326" t="s">
        <v>2235</v>
      </c>
      <c r="H265" s="326" t="s">
        <v>2236</v>
      </c>
      <c r="I265" s="326" t="s">
        <v>11</v>
      </c>
      <c r="J265" s="326" t="s">
        <v>12</v>
      </c>
      <c r="K265" s="326" t="s">
        <v>324</v>
      </c>
      <c r="L265" s="323"/>
      <c r="M265" s="374"/>
      <c r="N265" s="325" t="s">
        <v>750</v>
      </c>
      <c r="O265" s="326">
        <v>40</v>
      </c>
      <c r="P265" s="326" t="s">
        <v>210</v>
      </c>
      <c r="Q265" s="340" t="s">
        <v>15</v>
      </c>
      <c r="R265" s="329" t="s">
        <v>1104</v>
      </c>
      <c r="S265" s="394" t="s">
        <v>12962</v>
      </c>
      <c r="T265" s="331" t="s">
        <v>11322</v>
      </c>
      <c r="U265" s="331" t="s">
        <v>11321</v>
      </c>
      <c r="V265" s="394" t="s">
        <v>12963</v>
      </c>
      <c r="W265" s="332" t="s">
        <v>432</v>
      </c>
      <c r="X265" s="331" t="s">
        <v>11079</v>
      </c>
      <c r="Y265" s="331" t="s">
        <v>11080</v>
      </c>
      <c r="Z265" s="331" t="s">
        <v>11080</v>
      </c>
      <c r="AA265" s="331" t="s">
        <v>295</v>
      </c>
      <c r="AB265" s="333"/>
      <c r="AC265" s="333"/>
      <c r="AD265" s="334" t="s">
        <v>2327</v>
      </c>
      <c r="AE265" s="335" t="s">
        <v>370</v>
      </c>
      <c r="AF265" s="336"/>
      <c r="AG265" s="337"/>
      <c r="AH265" s="376"/>
      <c r="AI265" s="347"/>
      <c r="AJ265" s="347"/>
      <c r="AK265" s="371"/>
      <c r="AL265" s="321" t="s">
        <v>210</v>
      </c>
      <c r="AM265" s="392" t="s">
        <v>15</v>
      </c>
      <c r="AN265" s="392" t="s">
        <v>15</v>
      </c>
      <c r="AO265" s="341" t="s">
        <v>15</v>
      </c>
      <c r="AP265" s="342"/>
      <c r="AQ265" s="343"/>
      <c r="AR265" s="370">
        <v>2051</v>
      </c>
      <c r="AS265" s="326">
        <v>100</v>
      </c>
      <c r="AT265" s="392">
        <v>0.6</v>
      </c>
      <c r="AU265" s="392"/>
      <c r="AV265" s="392">
        <v>0.6</v>
      </c>
      <c r="AW265" s="340"/>
      <c r="AX265" s="347"/>
      <c r="AY265" s="348"/>
      <c r="AZ265" s="377"/>
      <c r="BA265" s="374"/>
      <c r="BB265" s="374"/>
      <c r="BC265" s="374"/>
      <c r="BD265" s="374"/>
      <c r="BE265" s="374"/>
      <c r="BF265" s="374"/>
      <c r="BG265" s="374"/>
      <c r="BH265" s="378"/>
      <c r="BI265" s="376"/>
      <c r="BJ265" s="379"/>
      <c r="BK265" s="380"/>
      <c r="BL265" s="348"/>
      <c r="BM265" s="381"/>
      <c r="BN265" s="321" t="s">
        <v>983</v>
      </c>
      <c r="BO265" s="372"/>
      <c r="BP265" s="373" t="s">
        <v>15</v>
      </c>
      <c r="BQ265" s="360"/>
      <c r="BR265" s="361"/>
      <c r="BS265" s="361"/>
      <c r="BT265" s="361"/>
      <c r="BU265" s="342" t="s">
        <v>210</v>
      </c>
      <c r="BV265" s="342" t="s">
        <v>210</v>
      </c>
      <c r="BW265" s="341" t="s">
        <v>15</v>
      </c>
      <c r="BX265" s="361"/>
      <c r="BY265" s="362"/>
      <c r="BZ265" s="363"/>
      <c r="CA265" s="363"/>
      <c r="CB265" s="363"/>
      <c r="CC265" s="363"/>
      <c r="CD265" s="293"/>
      <c r="CE265" s="364"/>
      <c r="CF265" s="364"/>
      <c r="CG265" s="364"/>
      <c r="CH265" s="364"/>
      <c r="CI265" s="364"/>
      <c r="CJ265" s="364"/>
      <c r="CK265" s="364"/>
      <c r="CL265" s="364"/>
      <c r="CM265" s="364"/>
      <c r="CN265" s="364"/>
      <c r="CO265" s="364"/>
      <c r="CP265" s="364"/>
      <c r="CQ265" s="364"/>
      <c r="CR265" s="364"/>
      <c r="CS265" s="364"/>
      <c r="CT265" s="364"/>
      <c r="CU265" s="364"/>
      <c r="CV265" s="364"/>
      <c r="CW265" s="364"/>
      <c r="CX265" s="364"/>
      <c r="CY265" s="364"/>
      <c r="CZ265" s="364"/>
      <c r="DA265" s="364"/>
      <c r="DB265" s="364"/>
      <c r="DC265" s="364"/>
      <c r="DD265" s="364"/>
      <c r="DE265" s="364"/>
      <c r="DF265" s="364"/>
      <c r="DG265" s="364"/>
      <c r="DH265" s="364"/>
      <c r="DI265" s="364"/>
      <c r="DJ265" s="364"/>
      <c r="DK265" s="364"/>
      <c r="DL265" s="364"/>
      <c r="DM265" s="364"/>
      <c r="DN265" s="364"/>
      <c r="DO265" s="364"/>
      <c r="DP265" s="364"/>
      <c r="DQ265" s="364"/>
      <c r="DR265" s="364"/>
      <c r="DS265" s="364"/>
      <c r="DT265" s="364"/>
      <c r="DU265" s="364"/>
      <c r="DV265" s="364"/>
      <c r="DW265" s="364"/>
      <c r="DX265" s="364"/>
      <c r="DY265" s="364"/>
      <c r="DZ265" s="364"/>
      <c r="EA265" s="364"/>
      <c r="EB265" s="364"/>
      <c r="EC265" s="364"/>
      <c r="ED265" s="364"/>
      <c r="EE265" s="364"/>
      <c r="EF265" s="364"/>
      <c r="EG265" s="364"/>
      <c r="EH265" s="364"/>
      <c r="EI265" s="364"/>
      <c r="EJ265" s="364"/>
      <c r="EK265" s="364"/>
      <c r="EL265" s="364"/>
      <c r="EM265" s="364"/>
      <c r="EN265" s="364"/>
      <c r="EO265" s="364"/>
      <c r="EP265" s="364"/>
      <c r="EQ265" s="364"/>
      <c r="ER265" s="364"/>
      <c r="ES265" s="364"/>
      <c r="ET265" s="364"/>
      <c r="EU265" s="364"/>
      <c r="EV265" s="364"/>
      <c r="EW265" s="364"/>
      <c r="EX265" s="364"/>
      <c r="EY265" s="364"/>
      <c r="EZ265" s="364"/>
      <c r="FA265" s="364"/>
      <c r="FB265" s="364"/>
      <c r="FC265" s="364"/>
      <c r="FD265" s="364"/>
      <c r="FE265" s="364"/>
      <c r="FF265" s="364"/>
      <c r="FG265" s="364"/>
      <c r="FH265" s="364"/>
      <c r="FI265" s="364"/>
      <c r="FJ265" s="364"/>
      <c r="FK265" s="364"/>
      <c r="FL265" s="364"/>
      <c r="FM265" s="364"/>
      <c r="FN265" s="364"/>
      <c r="FO265" s="364"/>
      <c r="FP265" s="364"/>
      <c r="FQ265" s="364"/>
      <c r="FR265" s="364"/>
      <c r="FS265" s="364"/>
      <c r="FT265" s="364"/>
      <c r="FU265" s="364"/>
      <c r="FV265" s="364"/>
      <c r="FW265" s="364"/>
      <c r="FX265" s="364"/>
      <c r="FY265" s="364"/>
      <c r="FZ265" s="364"/>
      <c r="GA265" s="364"/>
      <c r="GB265" s="364"/>
      <c r="GC265" s="364"/>
      <c r="GD265" s="364"/>
      <c r="GE265" s="364"/>
      <c r="GF265" s="364"/>
      <c r="GG265" s="364"/>
      <c r="GH265" s="364"/>
      <c r="GI265" s="364"/>
      <c r="GJ265" s="364"/>
      <c r="GK265" s="364"/>
      <c r="GL265" s="364"/>
      <c r="GM265" s="364"/>
      <c r="GN265" s="364"/>
      <c r="GO265" s="364"/>
      <c r="GP265" s="364"/>
      <c r="GQ265" s="364"/>
      <c r="GR265" s="364"/>
      <c r="GS265" s="364"/>
      <c r="GT265" s="364"/>
      <c r="GU265" s="364"/>
      <c r="GV265" s="364"/>
      <c r="GW265" s="364"/>
      <c r="GX265" s="364"/>
      <c r="GY265" s="364"/>
      <c r="GZ265" s="364"/>
      <c r="HA265" s="364"/>
      <c r="HB265" s="364"/>
      <c r="HC265" s="364"/>
      <c r="HD265" s="364"/>
      <c r="HE265" s="364"/>
      <c r="HF265" s="364"/>
      <c r="HG265" s="364"/>
      <c r="HH265" s="364"/>
      <c r="HI265" s="364"/>
      <c r="HJ265" s="364"/>
      <c r="HK265" s="364"/>
      <c r="HL265" s="364"/>
    </row>
    <row r="266" spans="2:220" s="287" customFormat="1" ht="22.5" customHeight="1">
      <c r="B266" s="365">
        <v>240153</v>
      </c>
      <c r="C266" s="366" t="s">
        <v>14351</v>
      </c>
      <c r="D266" s="367"/>
      <c r="E266" s="368"/>
      <c r="F266" s="321" t="s">
        <v>237</v>
      </c>
      <c r="G266" s="326" t="s">
        <v>2256</v>
      </c>
      <c r="H266" s="326" t="s">
        <v>2257</v>
      </c>
      <c r="I266" s="326" t="s">
        <v>11</v>
      </c>
      <c r="J266" s="326" t="s">
        <v>12</v>
      </c>
      <c r="K266" s="326" t="s">
        <v>236</v>
      </c>
      <c r="L266" s="323"/>
      <c r="M266" s="374"/>
      <c r="N266" s="325" t="s">
        <v>437</v>
      </c>
      <c r="O266" s="326" t="s">
        <v>732</v>
      </c>
      <c r="P266" s="326" t="s">
        <v>210</v>
      </c>
      <c r="Q266" s="340" t="s">
        <v>15</v>
      </c>
      <c r="R266" s="329" t="s">
        <v>1100</v>
      </c>
      <c r="S266" s="331" t="s">
        <v>14039</v>
      </c>
      <c r="T266" s="331" t="s">
        <v>14040</v>
      </c>
      <c r="U266" s="331" t="s">
        <v>14041</v>
      </c>
      <c r="V266" s="331" t="s">
        <v>14042</v>
      </c>
      <c r="W266" s="645"/>
      <c r="X266" s="330"/>
      <c r="Y266" s="330"/>
      <c r="Z266" s="330"/>
      <c r="AA266" s="330"/>
      <c r="AB266" s="333"/>
      <c r="AC266" s="416"/>
      <c r="AD266" s="375"/>
      <c r="AE266" s="335" t="s">
        <v>210</v>
      </c>
      <c r="AF266" s="336"/>
      <c r="AG266" s="337"/>
      <c r="AH266" s="417" t="s">
        <v>435</v>
      </c>
      <c r="AI266" s="392" t="s">
        <v>435</v>
      </c>
      <c r="AJ266" s="392" t="s">
        <v>435</v>
      </c>
      <c r="AK266" s="340" t="s">
        <v>435</v>
      </c>
      <c r="AL266" s="321" t="s">
        <v>210</v>
      </c>
      <c r="AM266" s="392" t="s">
        <v>15</v>
      </c>
      <c r="AN266" s="392" t="s">
        <v>15</v>
      </c>
      <c r="AO266" s="341" t="s">
        <v>15</v>
      </c>
      <c r="AP266" s="342"/>
      <c r="AQ266" s="343"/>
      <c r="AR266" s="370">
        <v>688</v>
      </c>
      <c r="AS266" s="326">
        <v>100</v>
      </c>
      <c r="AT266" s="392">
        <v>1</v>
      </c>
      <c r="AU266" s="392"/>
      <c r="AV266" s="392">
        <v>1.5</v>
      </c>
      <c r="AW266" s="340"/>
      <c r="AX266" s="374"/>
      <c r="AY266" s="348"/>
      <c r="AZ266" s="405" t="s">
        <v>10384</v>
      </c>
      <c r="BA266" s="326" t="s">
        <v>10394</v>
      </c>
      <c r="BB266" s="326" t="s">
        <v>10388</v>
      </c>
      <c r="BC266" s="326" t="s">
        <v>10395</v>
      </c>
      <c r="BD266" s="326" t="s">
        <v>10388</v>
      </c>
      <c r="BE266" s="326" t="s">
        <v>10396</v>
      </c>
      <c r="BF266" s="326" t="s">
        <v>10388</v>
      </c>
      <c r="BG266" s="326" t="s">
        <v>10397</v>
      </c>
      <c r="BH266" s="324" t="s">
        <v>3392</v>
      </c>
      <c r="BI266" s="376"/>
      <c r="BJ266" s="379"/>
      <c r="BK266" s="380"/>
      <c r="BL266" s="348"/>
      <c r="BM266" s="381"/>
      <c r="BN266" s="321" t="s">
        <v>983</v>
      </c>
      <c r="BO266" s="372"/>
      <c r="BP266" s="373" t="s">
        <v>983</v>
      </c>
      <c r="BQ266" s="360"/>
      <c r="BR266" s="361"/>
      <c r="BS266" s="361"/>
      <c r="BT266" s="361"/>
      <c r="BU266" s="342" t="s">
        <v>210</v>
      </c>
      <c r="BV266" s="342" t="s">
        <v>210</v>
      </c>
      <c r="BW266" s="655" t="s">
        <v>622</v>
      </c>
      <c r="BX266" s="361"/>
      <c r="BY266" s="362"/>
      <c r="BZ266" s="363"/>
      <c r="CA266" s="363"/>
      <c r="CB266" s="363"/>
      <c r="CC266" s="363"/>
      <c r="CD266" s="293"/>
      <c r="CE266" s="364"/>
      <c r="CF266" s="364"/>
      <c r="CG266" s="364"/>
      <c r="CH266" s="364"/>
      <c r="CI266" s="364"/>
      <c r="CJ266" s="364"/>
      <c r="CK266" s="364"/>
      <c r="CL266" s="364"/>
      <c r="CM266" s="364"/>
      <c r="CN266" s="364"/>
      <c r="CO266" s="364"/>
      <c r="CP266" s="364"/>
      <c r="CQ266" s="364"/>
      <c r="CR266" s="364"/>
      <c r="CS266" s="364"/>
      <c r="CT266" s="364"/>
      <c r="CU266" s="364"/>
      <c r="CV266" s="364"/>
      <c r="CW266" s="364"/>
      <c r="CX266" s="364"/>
      <c r="CY266" s="364"/>
      <c r="CZ266" s="364"/>
      <c r="DA266" s="364"/>
      <c r="DB266" s="364"/>
      <c r="DC266" s="364"/>
      <c r="DD266" s="364"/>
      <c r="DE266" s="364"/>
      <c r="DF266" s="364"/>
      <c r="DG266" s="364"/>
      <c r="DH266" s="364"/>
      <c r="DI266" s="364"/>
      <c r="DJ266" s="364"/>
      <c r="DK266" s="364"/>
      <c r="DL266" s="364"/>
      <c r="DM266" s="364"/>
      <c r="DN266" s="364"/>
      <c r="DO266" s="364"/>
      <c r="DP266" s="364"/>
      <c r="DQ266" s="364"/>
      <c r="DR266" s="364"/>
      <c r="DS266" s="364"/>
      <c r="DT266" s="364"/>
      <c r="DU266" s="364"/>
      <c r="DV266" s="364"/>
      <c r="DW266" s="364"/>
      <c r="DX266" s="364"/>
      <c r="DY266" s="364"/>
      <c r="DZ266" s="364"/>
      <c r="EA266" s="364"/>
      <c r="EB266" s="364"/>
      <c r="EC266" s="364"/>
      <c r="ED266" s="364"/>
      <c r="EE266" s="364"/>
      <c r="EF266" s="364"/>
      <c r="EG266" s="364"/>
      <c r="EH266" s="364"/>
      <c r="EI266" s="364"/>
      <c r="EJ266" s="364"/>
      <c r="EK266" s="364"/>
      <c r="EL266" s="364"/>
      <c r="EM266" s="364"/>
      <c r="EN266" s="364"/>
      <c r="EO266" s="364"/>
      <c r="EP266" s="364"/>
      <c r="EQ266" s="364"/>
      <c r="ER266" s="364"/>
      <c r="ES266" s="364"/>
      <c r="ET266" s="364"/>
      <c r="EU266" s="364"/>
      <c r="EV266" s="364"/>
      <c r="EW266" s="364"/>
      <c r="EX266" s="364"/>
      <c r="EY266" s="364"/>
      <c r="EZ266" s="364"/>
      <c r="FA266" s="364"/>
      <c r="FB266" s="364"/>
      <c r="FC266" s="364"/>
      <c r="FD266" s="364"/>
      <c r="FE266" s="364"/>
      <c r="FF266" s="364"/>
      <c r="FG266" s="364"/>
      <c r="FH266" s="364"/>
      <c r="FI266" s="364"/>
      <c r="FJ266" s="364"/>
      <c r="FK266" s="364"/>
      <c r="FL266" s="364"/>
      <c r="FM266" s="364"/>
      <c r="FN266" s="364"/>
      <c r="FO266" s="364"/>
      <c r="FP266" s="364"/>
      <c r="FQ266" s="364"/>
      <c r="FR266" s="364"/>
      <c r="FS266" s="364"/>
      <c r="FT266" s="364"/>
      <c r="FU266" s="364"/>
      <c r="FV266" s="364"/>
      <c r="FW266" s="364"/>
      <c r="FX266" s="364"/>
      <c r="FY266" s="364"/>
      <c r="FZ266" s="364"/>
      <c r="GA266" s="364"/>
      <c r="GB266" s="364"/>
      <c r="GC266" s="364"/>
      <c r="GD266" s="364"/>
      <c r="GE266" s="364"/>
      <c r="GF266" s="364"/>
      <c r="GG266" s="364"/>
      <c r="GH266" s="364"/>
      <c r="GI266" s="364"/>
      <c r="GJ266" s="364"/>
      <c r="GK266" s="364"/>
      <c r="GL266" s="364"/>
      <c r="GM266" s="364"/>
      <c r="GN266" s="364"/>
      <c r="GO266" s="364"/>
      <c r="GP266" s="364"/>
      <c r="GQ266" s="364"/>
      <c r="GR266" s="364"/>
      <c r="GS266" s="364"/>
      <c r="GT266" s="364"/>
      <c r="GU266" s="364"/>
      <c r="GV266" s="364"/>
      <c r="GW266" s="364"/>
      <c r="GX266" s="364"/>
      <c r="GY266" s="364"/>
      <c r="GZ266" s="364"/>
      <c r="HA266" s="364"/>
      <c r="HB266" s="364"/>
      <c r="HC266" s="364"/>
      <c r="HD266" s="364"/>
      <c r="HE266" s="364"/>
      <c r="HF266" s="364"/>
      <c r="HG266" s="364"/>
      <c r="HH266" s="364"/>
      <c r="HI266" s="364"/>
      <c r="HJ266" s="364"/>
      <c r="HK266" s="364"/>
      <c r="HL266" s="364"/>
    </row>
    <row r="267" spans="2:220" s="287" customFormat="1" ht="22.5" customHeight="1">
      <c r="B267" s="365">
        <v>240154</v>
      </c>
      <c r="C267" s="366" t="s">
        <v>235</v>
      </c>
      <c r="D267" s="367"/>
      <c r="E267" s="368"/>
      <c r="F267" s="321" t="s">
        <v>240</v>
      </c>
      <c r="G267" s="326" t="s">
        <v>2233</v>
      </c>
      <c r="H267" s="326" t="s">
        <v>2234</v>
      </c>
      <c r="I267" s="326" t="s">
        <v>11</v>
      </c>
      <c r="J267" s="326" t="s">
        <v>12</v>
      </c>
      <c r="K267" s="326" t="s">
        <v>336</v>
      </c>
      <c r="L267" s="323"/>
      <c r="M267" s="374"/>
      <c r="N267" s="325" t="s">
        <v>437</v>
      </c>
      <c r="O267" s="326" t="s">
        <v>210</v>
      </c>
      <c r="P267" s="327">
        <v>462.25</v>
      </c>
      <c r="Q267" s="369">
        <v>551.82000000000005</v>
      </c>
      <c r="R267" s="329" t="s">
        <v>1136</v>
      </c>
      <c r="S267" s="394" t="s">
        <v>11942</v>
      </c>
      <c r="T267" s="394" t="s">
        <v>11940</v>
      </c>
      <c r="U267" s="394" t="s">
        <v>16215</v>
      </c>
      <c r="V267" s="394" t="s">
        <v>11941</v>
      </c>
      <c r="W267" s="645"/>
      <c r="X267" s="330"/>
      <c r="Y267" s="330"/>
      <c r="Z267" s="330"/>
      <c r="AA267" s="330"/>
      <c r="AB267" s="333"/>
      <c r="AC267" s="333"/>
      <c r="AD267" s="334" t="s">
        <v>337</v>
      </c>
      <c r="AE267" s="335" t="s">
        <v>309</v>
      </c>
      <c r="AF267" s="336"/>
      <c r="AG267" s="337"/>
      <c r="AH267" s="417" t="s">
        <v>435</v>
      </c>
      <c r="AI267" s="392" t="s">
        <v>435</v>
      </c>
      <c r="AJ267" s="392" t="s">
        <v>435</v>
      </c>
      <c r="AK267" s="340" t="s">
        <v>435</v>
      </c>
      <c r="AL267" s="321" t="s">
        <v>210</v>
      </c>
      <c r="AM267" s="392" t="s">
        <v>15</v>
      </c>
      <c r="AN267" s="392" t="s">
        <v>15</v>
      </c>
      <c r="AO267" s="341" t="s">
        <v>15</v>
      </c>
      <c r="AP267" s="342"/>
      <c r="AQ267" s="343"/>
      <c r="AR267" s="370">
        <v>668</v>
      </c>
      <c r="AS267" s="326">
        <v>100</v>
      </c>
      <c r="AT267" s="392">
        <v>1</v>
      </c>
      <c r="AU267" s="392"/>
      <c r="AV267" s="392">
        <v>1</v>
      </c>
      <c r="AW267" s="340"/>
      <c r="AX267" s="347"/>
      <c r="AY267" s="348"/>
      <c r="AZ267" s="377"/>
      <c r="BA267" s="374"/>
      <c r="BB267" s="374"/>
      <c r="BC267" s="374"/>
      <c r="BD267" s="374"/>
      <c r="BE267" s="374"/>
      <c r="BF267" s="374"/>
      <c r="BG267" s="374"/>
      <c r="BH267" s="378"/>
      <c r="BI267" s="376"/>
      <c r="BJ267" s="379"/>
      <c r="BK267" s="380"/>
      <c r="BL267" s="348"/>
      <c r="BM267" s="381"/>
      <c r="BN267" s="321" t="s">
        <v>983</v>
      </c>
      <c r="BO267" s="372"/>
      <c r="BP267" s="373" t="s">
        <v>15</v>
      </c>
      <c r="BQ267" s="360"/>
      <c r="BR267" s="361"/>
      <c r="BS267" s="361"/>
      <c r="BT267" s="361"/>
      <c r="BU267" s="342" t="s">
        <v>210</v>
      </c>
      <c r="BV267" s="342" t="s">
        <v>210</v>
      </c>
      <c r="BW267" s="341" t="s">
        <v>15</v>
      </c>
      <c r="BX267" s="361"/>
      <c r="BY267" s="362"/>
      <c r="BZ267" s="363"/>
      <c r="CA267" s="363"/>
      <c r="CB267" s="363"/>
      <c r="CC267" s="363"/>
      <c r="CD267" s="293"/>
      <c r="CE267" s="364"/>
      <c r="CF267" s="364"/>
      <c r="CG267" s="364"/>
      <c r="CH267" s="364"/>
      <c r="CI267" s="364"/>
      <c r="CJ267" s="364"/>
      <c r="CK267" s="364"/>
      <c r="CL267" s="364"/>
      <c r="CM267" s="364"/>
      <c r="CN267" s="364"/>
      <c r="CO267" s="364"/>
      <c r="CP267" s="364"/>
      <c r="CQ267" s="364"/>
      <c r="CR267" s="364"/>
      <c r="CS267" s="364"/>
      <c r="CT267" s="364"/>
      <c r="CU267" s="364"/>
      <c r="CV267" s="364"/>
      <c r="CW267" s="364"/>
      <c r="CX267" s="364"/>
      <c r="CY267" s="364"/>
      <c r="CZ267" s="364"/>
      <c r="DA267" s="364"/>
      <c r="DB267" s="364"/>
      <c r="DC267" s="364"/>
      <c r="DD267" s="364"/>
      <c r="DE267" s="364"/>
      <c r="DF267" s="364"/>
      <c r="DG267" s="364"/>
      <c r="DH267" s="364"/>
      <c r="DI267" s="364"/>
      <c r="DJ267" s="364"/>
      <c r="DK267" s="364"/>
      <c r="DL267" s="364"/>
      <c r="DM267" s="364"/>
      <c r="DN267" s="364"/>
      <c r="DO267" s="364"/>
      <c r="DP267" s="364"/>
      <c r="DQ267" s="364"/>
      <c r="DR267" s="364"/>
      <c r="DS267" s="364"/>
      <c r="DT267" s="364"/>
      <c r="DU267" s="364"/>
      <c r="DV267" s="364"/>
      <c r="DW267" s="364"/>
      <c r="DX267" s="364"/>
      <c r="DY267" s="364"/>
      <c r="DZ267" s="364"/>
      <c r="EA267" s="364"/>
      <c r="EB267" s="364"/>
      <c r="EC267" s="364"/>
      <c r="ED267" s="364"/>
      <c r="EE267" s="364"/>
      <c r="EF267" s="364"/>
      <c r="EG267" s="364"/>
      <c r="EH267" s="364"/>
      <c r="EI267" s="364"/>
      <c r="EJ267" s="364"/>
      <c r="EK267" s="364"/>
      <c r="EL267" s="364"/>
      <c r="EM267" s="364"/>
      <c r="EN267" s="364"/>
      <c r="EO267" s="364"/>
      <c r="EP267" s="364"/>
      <c r="EQ267" s="364"/>
      <c r="ER267" s="364"/>
      <c r="ES267" s="364"/>
      <c r="ET267" s="364"/>
      <c r="EU267" s="364"/>
      <c r="EV267" s="364"/>
      <c r="EW267" s="364"/>
      <c r="EX267" s="364"/>
      <c r="EY267" s="364"/>
      <c r="EZ267" s="364"/>
      <c r="FA267" s="364"/>
      <c r="FB267" s="364"/>
      <c r="FC267" s="364"/>
      <c r="FD267" s="364"/>
      <c r="FE267" s="364"/>
      <c r="FF267" s="364"/>
      <c r="FG267" s="364"/>
      <c r="FH267" s="364"/>
      <c r="FI267" s="364"/>
      <c r="FJ267" s="364"/>
      <c r="FK267" s="364"/>
      <c r="FL267" s="364"/>
      <c r="FM267" s="364"/>
      <c r="FN267" s="364"/>
      <c r="FO267" s="364"/>
      <c r="FP267" s="364"/>
      <c r="FQ267" s="364"/>
      <c r="FR267" s="364"/>
      <c r="FS267" s="364"/>
      <c r="FT267" s="364"/>
      <c r="FU267" s="364"/>
      <c r="FV267" s="364"/>
      <c r="FW267" s="364"/>
      <c r="FX267" s="364"/>
      <c r="FY267" s="364"/>
      <c r="FZ267" s="364"/>
      <c r="GA267" s="364"/>
      <c r="GB267" s="364"/>
      <c r="GC267" s="364"/>
      <c r="GD267" s="364"/>
      <c r="GE267" s="364"/>
      <c r="GF267" s="364"/>
      <c r="GG267" s="364"/>
      <c r="GH267" s="364"/>
      <c r="GI267" s="364"/>
      <c r="GJ267" s="364"/>
      <c r="GK267" s="364"/>
      <c r="GL267" s="364"/>
      <c r="GM267" s="364"/>
      <c r="GN267" s="364"/>
      <c r="GO267" s="364"/>
      <c r="GP267" s="364"/>
      <c r="GQ267" s="364"/>
      <c r="GR267" s="364"/>
      <c r="GS267" s="364"/>
      <c r="GT267" s="364"/>
      <c r="GU267" s="364"/>
      <c r="GV267" s="364"/>
      <c r="GW267" s="364"/>
      <c r="GX267" s="364"/>
      <c r="GY267" s="364"/>
      <c r="GZ267" s="364"/>
      <c r="HA267" s="364"/>
      <c r="HB267" s="364"/>
      <c r="HC267" s="364"/>
      <c r="HD267" s="364"/>
      <c r="HE267" s="364"/>
      <c r="HF267" s="364"/>
      <c r="HG267" s="364"/>
      <c r="HH267" s="364"/>
      <c r="HI267" s="364"/>
      <c r="HJ267" s="364"/>
      <c r="HK267" s="364"/>
      <c r="HL267" s="364"/>
    </row>
    <row r="268" spans="2:220" s="287" customFormat="1" ht="22.5" customHeight="1">
      <c r="B268" s="365">
        <v>240155</v>
      </c>
      <c r="C268" s="366" t="s">
        <v>14346</v>
      </c>
      <c r="D268" s="367"/>
      <c r="E268" s="368"/>
      <c r="F268" s="321" t="s">
        <v>238</v>
      </c>
      <c r="G268" s="326" t="s">
        <v>1954</v>
      </c>
      <c r="H268" s="326" t="s">
        <v>2232</v>
      </c>
      <c r="I268" s="326" t="s">
        <v>11</v>
      </c>
      <c r="J268" s="326" t="s">
        <v>12</v>
      </c>
      <c r="K268" s="326" t="s">
        <v>324</v>
      </c>
      <c r="L268" s="323"/>
      <c r="M268" s="374"/>
      <c r="N268" s="325" t="s">
        <v>750</v>
      </c>
      <c r="O268" s="326" t="s">
        <v>210</v>
      </c>
      <c r="P268" s="326" t="s">
        <v>210</v>
      </c>
      <c r="Q268" s="340" t="s">
        <v>15</v>
      </c>
      <c r="R268" s="329" t="s">
        <v>752</v>
      </c>
      <c r="S268" s="330"/>
      <c r="T268" s="330"/>
      <c r="U268" s="330"/>
      <c r="V268" s="330"/>
      <c r="W268" s="332" t="s">
        <v>751</v>
      </c>
      <c r="X268" s="331" t="s">
        <v>14347</v>
      </c>
      <c r="Y268" s="331" t="s">
        <v>14349</v>
      </c>
      <c r="Z268" s="331" t="s">
        <v>14348</v>
      </c>
      <c r="AA268" s="331" t="s">
        <v>14350</v>
      </c>
      <c r="AB268" s="333" t="s">
        <v>490</v>
      </c>
      <c r="AC268" s="333"/>
      <c r="AD268" s="396" t="s">
        <v>2320</v>
      </c>
      <c r="AE268" s="335" t="s">
        <v>326</v>
      </c>
      <c r="AF268" s="336"/>
      <c r="AG268" s="337"/>
      <c r="AH268" s="417" t="s">
        <v>435</v>
      </c>
      <c r="AI268" s="392" t="s">
        <v>435</v>
      </c>
      <c r="AJ268" s="392" t="s">
        <v>435</v>
      </c>
      <c r="AK268" s="340" t="s">
        <v>435</v>
      </c>
      <c r="AL268" s="321" t="s">
        <v>210</v>
      </c>
      <c r="AM268" s="392" t="s">
        <v>15</v>
      </c>
      <c r="AN268" s="392" t="s">
        <v>15</v>
      </c>
      <c r="AO268" s="341" t="s">
        <v>15</v>
      </c>
      <c r="AP268" s="342"/>
      <c r="AQ268" s="343"/>
      <c r="AR268" s="370">
        <v>1270</v>
      </c>
      <c r="AS268" s="326">
        <v>150</v>
      </c>
      <c r="AT268" s="392">
        <v>1</v>
      </c>
      <c r="AU268" s="392"/>
      <c r="AV268" s="392">
        <v>1</v>
      </c>
      <c r="AW268" s="340"/>
      <c r="AX268" s="347"/>
      <c r="AY268" s="348"/>
      <c r="AZ268" s="377"/>
      <c r="BA268" s="374"/>
      <c r="BB268" s="374"/>
      <c r="BC268" s="374"/>
      <c r="BD268" s="374"/>
      <c r="BE268" s="374"/>
      <c r="BF268" s="374"/>
      <c r="BG268" s="374"/>
      <c r="BH268" s="378"/>
      <c r="BI268" s="376"/>
      <c r="BJ268" s="379"/>
      <c r="BK268" s="380"/>
      <c r="BL268" s="348"/>
      <c r="BM268" s="381"/>
      <c r="BN268" s="321" t="s">
        <v>983</v>
      </c>
      <c r="BO268" s="372"/>
      <c r="BP268" s="373" t="s">
        <v>15</v>
      </c>
      <c r="BQ268" s="360"/>
      <c r="BR268" s="361"/>
      <c r="BS268" s="361"/>
      <c r="BT268" s="361"/>
      <c r="BU268" s="342" t="s">
        <v>210</v>
      </c>
      <c r="BV268" s="342" t="s">
        <v>210</v>
      </c>
      <c r="BW268" s="341" t="s">
        <v>15</v>
      </c>
      <c r="BX268" s="361"/>
      <c r="BY268" s="362"/>
      <c r="BZ268" s="363"/>
      <c r="CA268" s="363"/>
      <c r="CB268" s="363"/>
      <c r="CC268" s="363"/>
      <c r="CD268" s="293"/>
      <c r="CE268" s="364"/>
      <c r="CF268" s="364"/>
      <c r="CG268" s="364"/>
      <c r="CH268" s="364"/>
      <c r="CI268" s="364"/>
      <c r="CJ268" s="364"/>
      <c r="CK268" s="364"/>
      <c r="CL268" s="364"/>
      <c r="CM268" s="364"/>
      <c r="CN268" s="364"/>
      <c r="CO268" s="364"/>
      <c r="CP268" s="364"/>
      <c r="CQ268" s="364"/>
      <c r="CR268" s="364"/>
      <c r="CS268" s="364"/>
      <c r="CT268" s="364"/>
      <c r="CU268" s="364"/>
      <c r="CV268" s="364"/>
      <c r="CW268" s="364"/>
      <c r="CX268" s="364"/>
      <c r="CY268" s="364"/>
      <c r="CZ268" s="364"/>
      <c r="DA268" s="364"/>
      <c r="DB268" s="364"/>
      <c r="DC268" s="364"/>
      <c r="DD268" s="364"/>
      <c r="DE268" s="364"/>
      <c r="DF268" s="364"/>
      <c r="DG268" s="364"/>
      <c r="DH268" s="364"/>
      <c r="DI268" s="364"/>
      <c r="DJ268" s="364"/>
      <c r="DK268" s="364"/>
      <c r="DL268" s="364"/>
      <c r="DM268" s="364"/>
      <c r="DN268" s="364"/>
      <c r="DO268" s="364"/>
      <c r="DP268" s="364"/>
      <c r="DQ268" s="364"/>
      <c r="DR268" s="364"/>
      <c r="DS268" s="364"/>
      <c r="DT268" s="364"/>
      <c r="DU268" s="364"/>
      <c r="DV268" s="364"/>
      <c r="DW268" s="364"/>
      <c r="DX268" s="364"/>
      <c r="DY268" s="364"/>
      <c r="DZ268" s="364"/>
      <c r="EA268" s="364"/>
      <c r="EB268" s="364"/>
      <c r="EC268" s="364"/>
      <c r="ED268" s="364"/>
      <c r="EE268" s="364"/>
      <c r="EF268" s="364"/>
      <c r="EG268" s="364"/>
      <c r="EH268" s="364"/>
      <c r="EI268" s="364"/>
      <c r="EJ268" s="364"/>
      <c r="EK268" s="364"/>
      <c r="EL268" s="364"/>
      <c r="EM268" s="364"/>
      <c r="EN268" s="364"/>
      <c r="EO268" s="364"/>
      <c r="EP268" s="364"/>
      <c r="EQ268" s="364"/>
      <c r="ER268" s="364"/>
      <c r="ES268" s="364"/>
      <c r="ET268" s="364"/>
      <c r="EU268" s="364"/>
      <c r="EV268" s="364"/>
      <c r="EW268" s="364"/>
      <c r="EX268" s="364"/>
      <c r="EY268" s="364"/>
      <c r="EZ268" s="364"/>
      <c r="FA268" s="364"/>
      <c r="FB268" s="364"/>
      <c r="FC268" s="364"/>
      <c r="FD268" s="364"/>
      <c r="FE268" s="364"/>
      <c r="FF268" s="364"/>
      <c r="FG268" s="364"/>
      <c r="FH268" s="364"/>
      <c r="FI268" s="364"/>
      <c r="FJ268" s="364"/>
      <c r="FK268" s="364"/>
      <c r="FL268" s="364"/>
      <c r="FM268" s="364"/>
      <c r="FN268" s="364"/>
      <c r="FO268" s="364"/>
      <c r="FP268" s="364"/>
      <c r="FQ268" s="364"/>
      <c r="FR268" s="364"/>
      <c r="FS268" s="364"/>
      <c r="FT268" s="364"/>
      <c r="FU268" s="364"/>
      <c r="FV268" s="364"/>
      <c r="FW268" s="364"/>
      <c r="FX268" s="364"/>
      <c r="FY268" s="364"/>
      <c r="FZ268" s="364"/>
      <c r="GA268" s="364"/>
      <c r="GB268" s="364"/>
      <c r="GC268" s="364"/>
      <c r="GD268" s="364"/>
      <c r="GE268" s="364"/>
      <c r="GF268" s="364"/>
      <c r="GG268" s="364"/>
      <c r="GH268" s="364"/>
      <c r="GI268" s="364"/>
      <c r="GJ268" s="364"/>
      <c r="GK268" s="364"/>
      <c r="GL268" s="364"/>
      <c r="GM268" s="364"/>
      <c r="GN268" s="364"/>
      <c r="GO268" s="364"/>
      <c r="GP268" s="364"/>
      <c r="GQ268" s="364"/>
      <c r="GR268" s="364"/>
      <c r="GS268" s="364"/>
      <c r="GT268" s="364"/>
      <c r="GU268" s="364"/>
      <c r="GV268" s="364"/>
      <c r="GW268" s="364"/>
      <c r="GX268" s="364"/>
      <c r="GY268" s="364"/>
      <c r="GZ268" s="364"/>
      <c r="HA268" s="364"/>
      <c r="HB268" s="364"/>
      <c r="HC268" s="364"/>
      <c r="HD268" s="364"/>
      <c r="HE268" s="364"/>
      <c r="HF268" s="364"/>
      <c r="HG268" s="364"/>
      <c r="HH268" s="364"/>
      <c r="HI268" s="364"/>
      <c r="HJ268" s="364"/>
      <c r="HK268" s="364"/>
      <c r="HL268" s="364"/>
    </row>
    <row r="269" spans="2:220" s="287" customFormat="1" ht="22.5" customHeight="1">
      <c r="B269" s="365">
        <v>240156</v>
      </c>
      <c r="C269" s="366" t="s">
        <v>14337</v>
      </c>
      <c r="D269" s="367"/>
      <c r="E269" s="368"/>
      <c r="F269" s="321" t="s">
        <v>350</v>
      </c>
      <c r="G269" s="326" t="s">
        <v>2230</v>
      </c>
      <c r="H269" s="326" t="s">
        <v>2231</v>
      </c>
      <c r="I269" s="326" t="s">
        <v>11</v>
      </c>
      <c r="J269" s="326" t="s">
        <v>21</v>
      </c>
      <c r="K269" s="326" t="s">
        <v>993</v>
      </c>
      <c r="L269" s="323"/>
      <c r="M269" s="374"/>
      <c r="N269" s="325" t="s">
        <v>750</v>
      </c>
      <c r="O269" s="326" t="s">
        <v>210</v>
      </c>
      <c r="P269" s="326" t="s">
        <v>210</v>
      </c>
      <c r="Q269" s="340" t="s">
        <v>15</v>
      </c>
      <c r="R269" s="329" t="s">
        <v>753</v>
      </c>
      <c r="S269" s="331" t="s">
        <v>14338</v>
      </c>
      <c r="T269" s="330"/>
      <c r="U269" s="330"/>
      <c r="V269" s="331" t="s">
        <v>14339</v>
      </c>
      <c r="W269" s="332" t="s">
        <v>14343</v>
      </c>
      <c r="X269" s="331" t="s">
        <v>14340</v>
      </c>
      <c r="Y269" s="331" t="s">
        <v>14341</v>
      </c>
      <c r="Z269" s="331" t="s">
        <v>16429</v>
      </c>
      <c r="AA269" s="331" t="s">
        <v>14342</v>
      </c>
      <c r="AB269" s="333"/>
      <c r="AC269" s="416"/>
      <c r="AD269" s="375"/>
      <c r="AE269" s="335" t="s">
        <v>351</v>
      </c>
      <c r="AF269" s="336"/>
      <c r="AG269" s="337"/>
      <c r="AH269" s="417" t="s">
        <v>435</v>
      </c>
      <c r="AI269" s="392" t="s">
        <v>435</v>
      </c>
      <c r="AJ269" s="392" t="s">
        <v>435</v>
      </c>
      <c r="AK269" s="340" t="s">
        <v>435</v>
      </c>
      <c r="AL269" s="321" t="s">
        <v>210</v>
      </c>
      <c r="AM269" s="392" t="s">
        <v>15</v>
      </c>
      <c r="AN269" s="392" t="s">
        <v>15</v>
      </c>
      <c r="AO269" s="341" t="s">
        <v>15</v>
      </c>
      <c r="AP269" s="342"/>
      <c r="AQ269" s="343"/>
      <c r="AR269" s="370">
        <v>884</v>
      </c>
      <c r="AS269" s="326">
        <v>100</v>
      </c>
      <c r="AT269" s="392">
        <v>1</v>
      </c>
      <c r="AU269" s="392"/>
      <c r="AV269" s="392">
        <v>1.5</v>
      </c>
      <c r="AW269" s="340"/>
      <c r="AX269" s="347"/>
      <c r="AY269" s="348"/>
      <c r="AZ269" s="377"/>
      <c r="BA269" s="374"/>
      <c r="BB269" s="374"/>
      <c r="BC269" s="374"/>
      <c r="BD269" s="374"/>
      <c r="BE269" s="374"/>
      <c r="BF269" s="374"/>
      <c r="BG269" s="374"/>
      <c r="BH269" s="378"/>
      <c r="BI269" s="376"/>
      <c r="BJ269" s="379"/>
      <c r="BK269" s="380"/>
      <c r="BL269" s="348"/>
      <c r="BM269" s="381"/>
      <c r="BN269" s="321" t="s">
        <v>983</v>
      </c>
      <c r="BO269" s="372"/>
      <c r="BP269" s="373" t="s">
        <v>983</v>
      </c>
      <c r="BQ269" s="360"/>
      <c r="BR269" s="361"/>
      <c r="BS269" s="361"/>
      <c r="BT269" s="361"/>
      <c r="BU269" s="342" t="s">
        <v>210</v>
      </c>
      <c r="BV269" s="342" t="s">
        <v>210</v>
      </c>
      <c r="BW269" s="341" t="s">
        <v>15</v>
      </c>
      <c r="BX269" s="361"/>
      <c r="BY269" s="362"/>
      <c r="BZ269" s="363"/>
      <c r="CA269" s="363"/>
      <c r="CB269" s="363"/>
      <c r="CC269" s="363"/>
      <c r="CD269" s="293"/>
      <c r="CE269" s="364"/>
      <c r="CF269" s="364"/>
      <c r="CG269" s="364"/>
      <c r="CH269" s="364"/>
      <c r="CI269" s="364"/>
      <c r="CJ269" s="364"/>
      <c r="CK269" s="364"/>
      <c r="CL269" s="364"/>
      <c r="CM269" s="364"/>
      <c r="CN269" s="364"/>
      <c r="CO269" s="364"/>
      <c r="CP269" s="364"/>
      <c r="CQ269" s="364"/>
      <c r="CR269" s="364"/>
      <c r="CS269" s="364"/>
      <c r="CT269" s="364"/>
      <c r="CU269" s="364"/>
      <c r="CV269" s="364"/>
      <c r="CW269" s="364"/>
      <c r="CX269" s="364"/>
      <c r="CY269" s="364"/>
      <c r="CZ269" s="364"/>
      <c r="DA269" s="364"/>
      <c r="DB269" s="364"/>
      <c r="DC269" s="364"/>
      <c r="DD269" s="364"/>
      <c r="DE269" s="364"/>
      <c r="DF269" s="364"/>
      <c r="DG269" s="364"/>
      <c r="DH269" s="364"/>
      <c r="DI269" s="364"/>
      <c r="DJ269" s="364"/>
      <c r="DK269" s="364"/>
      <c r="DL269" s="364"/>
      <c r="DM269" s="364"/>
      <c r="DN269" s="364"/>
      <c r="DO269" s="364"/>
      <c r="DP269" s="364"/>
      <c r="DQ269" s="364"/>
      <c r="DR269" s="364"/>
      <c r="DS269" s="364"/>
      <c r="DT269" s="364"/>
      <c r="DU269" s="364"/>
      <c r="DV269" s="364"/>
      <c r="DW269" s="364"/>
      <c r="DX269" s="364"/>
      <c r="DY269" s="364"/>
      <c r="DZ269" s="364"/>
      <c r="EA269" s="364"/>
      <c r="EB269" s="364"/>
      <c r="EC269" s="364"/>
      <c r="ED269" s="364"/>
      <c r="EE269" s="364"/>
      <c r="EF269" s="364"/>
      <c r="EG269" s="364"/>
      <c r="EH269" s="364"/>
      <c r="EI269" s="364"/>
      <c r="EJ269" s="364"/>
      <c r="EK269" s="364"/>
      <c r="EL269" s="364"/>
      <c r="EM269" s="364"/>
      <c r="EN269" s="364"/>
      <c r="EO269" s="364"/>
      <c r="EP269" s="364"/>
      <c r="EQ269" s="364"/>
      <c r="ER269" s="364"/>
      <c r="ES269" s="364"/>
      <c r="ET269" s="364"/>
      <c r="EU269" s="364"/>
      <c r="EV269" s="364"/>
      <c r="EW269" s="364"/>
      <c r="EX269" s="364"/>
      <c r="EY269" s="364"/>
      <c r="EZ269" s="364"/>
      <c r="FA269" s="364"/>
      <c r="FB269" s="364"/>
      <c r="FC269" s="364"/>
      <c r="FD269" s="364"/>
      <c r="FE269" s="364"/>
      <c r="FF269" s="364"/>
      <c r="FG269" s="364"/>
      <c r="FH269" s="364"/>
      <c r="FI269" s="364"/>
      <c r="FJ269" s="364"/>
      <c r="FK269" s="364"/>
      <c r="FL269" s="364"/>
      <c r="FM269" s="364"/>
      <c r="FN269" s="364"/>
      <c r="FO269" s="364"/>
      <c r="FP269" s="364"/>
      <c r="FQ269" s="364"/>
      <c r="FR269" s="364"/>
      <c r="FS269" s="364"/>
      <c r="FT269" s="364"/>
      <c r="FU269" s="364"/>
      <c r="FV269" s="364"/>
      <c r="FW269" s="364"/>
      <c r="FX269" s="364"/>
      <c r="FY269" s="364"/>
      <c r="FZ269" s="364"/>
      <c r="GA269" s="364"/>
      <c r="GB269" s="364"/>
      <c r="GC269" s="364"/>
      <c r="GD269" s="364"/>
      <c r="GE269" s="364"/>
      <c r="GF269" s="364"/>
      <c r="GG269" s="364"/>
      <c r="GH269" s="364"/>
      <c r="GI269" s="364"/>
      <c r="GJ269" s="364"/>
      <c r="GK269" s="364"/>
      <c r="GL269" s="364"/>
      <c r="GM269" s="364"/>
      <c r="GN269" s="364"/>
      <c r="GO269" s="364"/>
      <c r="GP269" s="364"/>
      <c r="GQ269" s="364"/>
      <c r="GR269" s="364"/>
      <c r="GS269" s="364"/>
      <c r="GT269" s="364"/>
      <c r="GU269" s="364"/>
      <c r="GV269" s="364"/>
      <c r="GW269" s="364"/>
      <c r="GX269" s="364"/>
      <c r="GY269" s="364"/>
      <c r="GZ269" s="364"/>
      <c r="HA269" s="364"/>
      <c r="HB269" s="364"/>
      <c r="HC269" s="364"/>
      <c r="HD269" s="364"/>
      <c r="HE269" s="364"/>
      <c r="HF269" s="364"/>
      <c r="HG269" s="364"/>
      <c r="HH269" s="364"/>
      <c r="HI269" s="364"/>
      <c r="HJ269" s="364"/>
      <c r="HK269" s="364"/>
      <c r="HL269" s="364"/>
    </row>
    <row r="270" spans="2:220" s="287" customFormat="1" ht="22.5" customHeight="1">
      <c r="B270" s="365">
        <v>240157</v>
      </c>
      <c r="C270" s="366" t="s">
        <v>14332</v>
      </c>
      <c r="D270" s="367"/>
      <c r="E270" s="368"/>
      <c r="F270" s="321" t="s">
        <v>325</v>
      </c>
      <c r="G270" s="326" t="s">
        <v>2228</v>
      </c>
      <c r="H270" s="326" t="s">
        <v>2229</v>
      </c>
      <c r="I270" s="326" t="s">
        <v>11</v>
      </c>
      <c r="J270" s="326" t="s">
        <v>21</v>
      </c>
      <c r="K270" s="326" t="s">
        <v>323</v>
      </c>
      <c r="L270" s="323"/>
      <c r="M270" s="374"/>
      <c r="N270" s="325" t="s">
        <v>750</v>
      </c>
      <c r="O270" s="326" t="s">
        <v>210</v>
      </c>
      <c r="P270" s="326" t="s">
        <v>210</v>
      </c>
      <c r="Q270" s="340" t="s">
        <v>15</v>
      </c>
      <c r="R270" s="329" t="s">
        <v>466</v>
      </c>
      <c r="S270" s="331" t="s">
        <v>14333</v>
      </c>
      <c r="T270" s="331" t="s">
        <v>14334</v>
      </c>
      <c r="U270" s="331" t="s">
        <v>14335</v>
      </c>
      <c r="V270" s="331" t="s">
        <v>14336</v>
      </c>
      <c r="W270" s="332" t="s">
        <v>466</v>
      </c>
      <c r="X270" s="331" t="s">
        <v>14333</v>
      </c>
      <c r="Y270" s="331" t="s">
        <v>14334</v>
      </c>
      <c r="Z270" s="331" t="s">
        <v>14335</v>
      </c>
      <c r="AA270" s="331" t="s">
        <v>14336</v>
      </c>
      <c r="AB270" s="333"/>
      <c r="AC270" s="333"/>
      <c r="AD270" s="334" t="s">
        <v>949</v>
      </c>
      <c r="AE270" s="335" t="s">
        <v>326</v>
      </c>
      <c r="AF270" s="336"/>
      <c r="AG270" s="337"/>
      <c r="AH270" s="417" t="s">
        <v>435</v>
      </c>
      <c r="AI270" s="392" t="s">
        <v>435</v>
      </c>
      <c r="AJ270" s="392" t="s">
        <v>435</v>
      </c>
      <c r="AK270" s="340" t="s">
        <v>435</v>
      </c>
      <c r="AL270" s="321" t="s">
        <v>210</v>
      </c>
      <c r="AM270" s="392" t="s">
        <v>15</v>
      </c>
      <c r="AN270" s="392" t="s">
        <v>15</v>
      </c>
      <c r="AO270" s="341" t="s">
        <v>15</v>
      </c>
      <c r="AP270" s="342"/>
      <c r="AQ270" s="343"/>
      <c r="AR270" s="370">
        <v>26181</v>
      </c>
      <c r="AS270" s="326">
        <v>120</v>
      </c>
      <c r="AT270" s="392">
        <v>1</v>
      </c>
      <c r="AU270" s="392"/>
      <c r="AV270" s="392">
        <v>1.5</v>
      </c>
      <c r="AW270" s="340"/>
      <c r="AX270" s="347"/>
      <c r="AY270" s="348"/>
      <c r="AZ270" s="377"/>
      <c r="BA270" s="374"/>
      <c r="BB270" s="374"/>
      <c r="BC270" s="374"/>
      <c r="BD270" s="374"/>
      <c r="BE270" s="374"/>
      <c r="BF270" s="374"/>
      <c r="BG270" s="374"/>
      <c r="BH270" s="378"/>
      <c r="BI270" s="376"/>
      <c r="BJ270" s="379"/>
      <c r="BK270" s="380"/>
      <c r="BL270" s="348"/>
      <c r="BM270" s="381"/>
      <c r="BN270" s="321" t="s">
        <v>983</v>
      </c>
      <c r="BO270" s="372"/>
      <c r="BP270" s="373" t="s">
        <v>983</v>
      </c>
      <c r="BQ270" s="360"/>
      <c r="BR270" s="361"/>
      <c r="BS270" s="361"/>
      <c r="BT270" s="361"/>
      <c r="BU270" s="342" t="s">
        <v>210</v>
      </c>
      <c r="BV270" s="342" t="s">
        <v>210</v>
      </c>
      <c r="BW270" s="341" t="s">
        <v>15</v>
      </c>
      <c r="BX270" s="361"/>
      <c r="BY270" s="362"/>
      <c r="BZ270" s="363"/>
      <c r="CA270" s="363"/>
      <c r="CB270" s="363"/>
      <c r="CC270" s="363"/>
      <c r="CD270" s="293"/>
      <c r="CE270" s="364"/>
      <c r="CF270" s="364"/>
      <c r="CG270" s="364"/>
      <c r="CH270" s="364"/>
      <c r="CI270" s="364"/>
      <c r="CJ270" s="364"/>
      <c r="CK270" s="364"/>
      <c r="CL270" s="364"/>
      <c r="CM270" s="364"/>
      <c r="CN270" s="364"/>
      <c r="CO270" s="364"/>
      <c r="CP270" s="364"/>
      <c r="CQ270" s="364"/>
      <c r="CR270" s="364"/>
      <c r="CS270" s="364"/>
      <c r="CT270" s="364"/>
      <c r="CU270" s="364"/>
      <c r="CV270" s="364"/>
      <c r="CW270" s="364"/>
      <c r="CX270" s="364"/>
      <c r="CY270" s="364"/>
      <c r="CZ270" s="364"/>
      <c r="DA270" s="364"/>
      <c r="DB270" s="364"/>
      <c r="DC270" s="364"/>
      <c r="DD270" s="364"/>
      <c r="DE270" s="364"/>
      <c r="DF270" s="364"/>
      <c r="DG270" s="364"/>
      <c r="DH270" s="364"/>
      <c r="DI270" s="364"/>
      <c r="DJ270" s="364"/>
      <c r="DK270" s="364"/>
      <c r="DL270" s="364"/>
      <c r="DM270" s="364"/>
      <c r="DN270" s="364"/>
      <c r="DO270" s="364"/>
      <c r="DP270" s="364"/>
      <c r="DQ270" s="364"/>
      <c r="DR270" s="364"/>
      <c r="DS270" s="364"/>
      <c r="DT270" s="364"/>
      <c r="DU270" s="364"/>
      <c r="DV270" s="364"/>
      <c r="DW270" s="364"/>
      <c r="DX270" s="364"/>
      <c r="DY270" s="364"/>
      <c r="DZ270" s="364"/>
      <c r="EA270" s="364"/>
      <c r="EB270" s="364"/>
      <c r="EC270" s="364"/>
      <c r="ED270" s="364"/>
      <c r="EE270" s="364"/>
      <c r="EF270" s="364"/>
      <c r="EG270" s="364"/>
      <c r="EH270" s="364"/>
      <c r="EI270" s="364"/>
      <c r="EJ270" s="364"/>
      <c r="EK270" s="364"/>
      <c r="EL270" s="364"/>
      <c r="EM270" s="364"/>
      <c r="EN270" s="364"/>
      <c r="EO270" s="364"/>
      <c r="EP270" s="364"/>
      <c r="EQ270" s="364"/>
      <c r="ER270" s="364"/>
      <c r="ES270" s="364"/>
      <c r="ET270" s="364"/>
      <c r="EU270" s="364"/>
      <c r="EV270" s="364"/>
      <c r="EW270" s="364"/>
      <c r="EX270" s="364"/>
      <c r="EY270" s="364"/>
      <c r="EZ270" s="364"/>
      <c r="FA270" s="364"/>
      <c r="FB270" s="364"/>
      <c r="FC270" s="364"/>
      <c r="FD270" s="364"/>
      <c r="FE270" s="364"/>
      <c r="FF270" s="364"/>
      <c r="FG270" s="364"/>
      <c r="FH270" s="364"/>
      <c r="FI270" s="364"/>
      <c r="FJ270" s="364"/>
      <c r="FK270" s="364"/>
      <c r="FL270" s="364"/>
      <c r="FM270" s="364"/>
      <c r="FN270" s="364"/>
      <c r="FO270" s="364"/>
      <c r="FP270" s="364"/>
      <c r="FQ270" s="364"/>
      <c r="FR270" s="364"/>
      <c r="FS270" s="364"/>
      <c r="FT270" s="364"/>
      <c r="FU270" s="364"/>
      <c r="FV270" s="364"/>
      <c r="FW270" s="364"/>
      <c r="FX270" s="364"/>
      <c r="FY270" s="364"/>
      <c r="FZ270" s="364"/>
      <c r="GA270" s="364"/>
      <c r="GB270" s="364"/>
      <c r="GC270" s="364"/>
      <c r="GD270" s="364"/>
      <c r="GE270" s="364"/>
      <c r="GF270" s="364"/>
      <c r="GG270" s="364"/>
      <c r="GH270" s="364"/>
      <c r="GI270" s="364"/>
      <c r="GJ270" s="364"/>
      <c r="GK270" s="364"/>
      <c r="GL270" s="364"/>
      <c r="GM270" s="364"/>
      <c r="GN270" s="364"/>
      <c r="GO270" s="364"/>
      <c r="GP270" s="364"/>
      <c r="GQ270" s="364"/>
      <c r="GR270" s="364"/>
      <c r="GS270" s="364"/>
      <c r="GT270" s="364"/>
      <c r="GU270" s="364"/>
      <c r="GV270" s="364"/>
      <c r="GW270" s="364"/>
      <c r="GX270" s="364"/>
      <c r="GY270" s="364"/>
      <c r="GZ270" s="364"/>
      <c r="HA270" s="364"/>
      <c r="HB270" s="364"/>
      <c r="HC270" s="364"/>
      <c r="HD270" s="364"/>
      <c r="HE270" s="364"/>
      <c r="HF270" s="364"/>
      <c r="HG270" s="364"/>
      <c r="HH270" s="364"/>
      <c r="HI270" s="364"/>
      <c r="HJ270" s="364"/>
      <c r="HK270" s="364"/>
      <c r="HL270" s="364"/>
    </row>
    <row r="271" spans="2:220" s="287" customFormat="1" ht="22.5" customHeight="1">
      <c r="B271" s="365">
        <v>240158</v>
      </c>
      <c r="C271" s="366" t="s">
        <v>14329</v>
      </c>
      <c r="D271" s="367"/>
      <c r="E271" s="368"/>
      <c r="F271" s="321" t="s">
        <v>359</v>
      </c>
      <c r="G271" s="326" t="s">
        <v>2226</v>
      </c>
      <c r="H271" s="326" t="s">
        <v>2227</v>
      </c>
      <c r="I271" s="326" t="s">
        <v>11</v>
      </c>
      <c r="J271" s="326" t="s">
        <v>12</v>
      </c>
      <c r="K271" s="326" t="s">
        <v>324</v>
      </c>
      <c r="L271" s="323"/>
      <c r="M271" s="324" t="s">
        <v>10767</v>
      </c>
      <c r="N271" s="325" t="s">
        <v>438</v>
      </c>
      <c r="O271" s="326">
        <v>30</v>
      </c>
      <c r="P271" s="327">
        <v>2587</v>
      </c>
      <c r="Q271" s="340" t="s">
        <v>15</v>
      </c>
      <c r="R271" s="329" t="s">
        <v>456</v>
      </c>
      <c r="S271" s="331" t="s">
        <v>14330</v>
      </c>
      <c r="T271" s="330"/>
      <c r="U271" s="330"/>
      <c r="V271" s="331" t="s">
        <v>14331</v>
      </c>
      <c r="W271" s="332" t="s">
        <v>432</v>
      </c>
      <c r="X271" s="331" t="s">
        <v>11079</v>
      </c>
      <c r="Y271" s="331" t="s">
        <v>11080</v>
      </c>
      <c r="Z271" s="331" t="s">
        <v>11080</v>
      </c>
      <c r="AA271" s="331" t="s">
        <v>295</v>
      </c>
      <c r="AB271" s="333"/>
      <c r="AC271" s="333"/>
      <c r="AD271" s="334" t="s">
        <v>360</v>
      </c>
      <c r="AE271" s="335" t="s">
        <v>361</v>
      </c>
      <c r="AF271" s="336"/>
      <c r="AG271" s="337"/>
      <c r="AH271" s="417">
        <v>7.2</v>
      </c>
      <c r="AI271" s="392">
        <v>13.5</v>
      </c>
      <c r="AJ271" s="392">
        <v>17.600000000000001</v>
      </c>
      <c r="AK271" s="340">
        <f>SUM(AH271:AJ271)</f>
        <v>38.299999999999997</v>
      </c>
      <c r="AL271" s="321" t="s">
        <v>210</v>
      </c>
      <c r="AM271" s="392" t="s">
        <v>15</v>
      </c>
      <c r="AN271" s="392" t="s">
        <v>15</v>
      </c>
      <c r="AO271" s="341" t="s">
        <v>15</v>
      </c>
      <c r="AP271" s="342"/>
      <c r="AQ271" s="343"/>
      <c r="AR271" s="370">
        <v>3324</v>
      </c>
      <c r="AS271" s="326">
        <v>100</v>
      </c>
      <c r="AT271" s="392">
        <v>0.6</v>
      </c>
      <c r="AU271" s="392"/>
      <c r="AV271" s="392">
        <v>1.2</v>
      </c>
      <c r="AW271" s="340"/>
      <c r="AX271" s="347"/>
      <c r="AY271" s="348"/>
      <c r="AZ271" s="377"/>
      <c r="BA271" s="374"/>
      <c r="BB271" s="374"/>
      <c r="BC271" s="374"/>
      <c r="BD271" s="374"/>
      <c r="BE271" s="374"/>
      <c r="BF271" s="374"/>
      <c r="BG271" s="374"/>
      <c r="BH271" s="378"/>
      <c r="BI271" s="376"/>
      <c r="BJ271" s="379"/>
      <c r="BK271" s="380"/>
      <c r="BL271" s="348"/>
      <c r="BM271" s="381"/>
      <c r="BN271" s="321" t="s">
        <v>983</v>
      </c>
      <c r="BO271" s="372"/>
      <c r="BP271" s="373" t="s">
        <v>15</v>
      </c>
      <c r="BQ271" s="360"/>
      <c r="BR271" s="361"/>
      <c r="BS271" s="361"/>
      <c r="BT271" s="361"/>
      <c r="BU271" s="342" t="s">
        <v>210</v>
      </c>
      <c r="BV271" s="342" t="s">
        <v>210</v>
      </c>
      <c r="BW271" s="341" t="s">
        <v>15</v>
      </c>
      <c r="BX271" s="361"/>
      <c r="BY271" s="362"/>
      <c r="BZ271" s="363"/>
      <c r="CA271" s="363"/>
      <c r="CB271" s="363"/>
      <c r="CC271" s="363"/>
      <c r="CD271" s="293"/>
      <c r="CE271" s="364"/>
      <c r="CF271" s="364"/>
      <c r="CG271" s="364"/>
      <c r="CH271" s="364"/>
      <c r="CI271" s="364"/>
      <c r="CJ271" s="364"/>
      <c r="CK271" s="364"/>
      <c r="CL271" s="364"/>
      <c r="CM271" s="364"/>
      <c r="CN271" s="364"/>
      <c r="CO271" s="364"/>
      <c r="CP271" s="364"/>
      <c r="CQ271" s="364"/>
      <c r="CR271" s="364"/>
      <c r="CS271" s="364"/>
      <c r="CT271" s="364"/>
      <c r="CU271" s="364"/>
      <c r="CV271" s="364"/>
      <c r="CW271" s="364"/>
      <c r="CX271" s="364"/>
      <c r="CY271" s="364"/>
      <c r="CZ271" s="364"/>
      <c r="DA271" s="364"/>
      <c r="DB271" s="364"/>
      <c r="DC271" s="364"/>
      <c r="DD271" s="364"/>
      <c r="DE271" s="364"/>
      <c r="DF271" s="364"/>
      <c r="DG271" s="364"/>
      <c r="DH271" s="364"/>
      <c r="DI271" s="364"/>
      <c r="DJ271" s="364"/>
      <c r="DK271" s="364"/>
      <c r="DL271" s="364"/>
      <c r="DM271" s="364"/>
      <c r="DN271" s="364"/>
      <c r="DO271" s="364"/>
      <c r="DP271" s="364"/>
      <c r="DQ271" s="364"/>
      <c r="DR271" s="364"/>
      <c r="DS271" s="364"/>
      <c r="DT271" s="364"/>
      <c r="DU271" s="364"/>
      <c r="DV271" s="364"/>
      <c r="DW271" s="364"/>
      <c r="DX271" s="364"/>
      <c r="DY271" s="364"/>
      <c r="DZ271" s="364"/>
      <c r="EA271" s="364"/>
      <c r="EB271" s="364"/>
      <c r="EC271" s="364"/>
      <c r="ED271" s="364"/>
      <c r="EE271" s="364"/>
      <c r="EF271" s="364"/>
      <c r="EG271" s="364"/>
      <c r="EH271" s="364"/>
      <c r="EI271" s="364"/>
      <c r="EJ271" s="364"/>
      <c r="EK271" s="364"/>
      <c r="EL271" s="364"/>
      <c r="EM271" s="364"/>
      <c r="EN271" s="364"/>
      <c r="EO271" s="364"/>
      <c r="EP271" s="364"/>
      <c r="EQ271" s="364"/>
      <c r="ER271" s="364"/>
      <c r="ES271" s="364"/>
      <c r="ET271" s="364"/>
      <c r="EU271" s="364"/>
      <c r="EV271" s="364"/>
      <c r="EW271" s="364"/>
      <c r="EX271" s="364"/>
      <c r="EY271" s="364"/>
      <c r="EZ271" s="364"/>
      <c r="FA271" s="364"/>
      <c r="FB271" s="364"/>
      <c r="FC271" s="364"/>
      <c r="FD271" s="364"/>
      <c r="FE271" s="364"/>
      <c r="FF271" s="364"/>
      <c r="FG271" s="364"/>
      <c r="FH271" s="364"/>
      <c r="FI271" s="364"/>
      <c r="FJ271" s="364"/>
      <c r="FK271" s="364"/>
      <c r="FL271" s="364"/>
      <c r="FM271" s="364"/>
      <c r="FN271" s="364"/>
      <c r="FO271" s="364"/>
      <c r="FP271" s="364"/>
      <c r="FQ271" s="364"/>
      <c r="FR271" s="364"/>
      <c r="FS271" s="364"/>
      <c r="FT271" s="364"/>
      <c r="FU271" s="364"/>
      <c r="FV271" s="364"/>
      <c r="FW271" s="364"/>
      <c r="FX271" s="364"/>
      <c r="FY271" s="364"/>
      <c r="FZ271" s="364"/>
      <c r="GA271" s="364"/>
      <c r="GB271" s="364"/>
      <c r="GC271" s="364"/>
      <c r="GD271" s="364"/>
      <c r="GE271" s="364"/>
      <c r="GF271" s="364"/>
      <c r="GG271" s="364"/>
      <c r="GH271" s="364"/>
      <c r="GI271" s="364"/>
      <c r="GJ271" s="364"/>
      <c r="GK271" s="364"/>
      <c r="GL271" s="364"/>
      <c r="GM271" s="364"/>
      <c r="GN271" s="364"/>
      <c r="GO271" s="364"/>
      <c r="GP271" s="364"/>
      <c r="GQ271" s="364"/>
      <c r="GR271" s="364"/>
      <c r="GS271" s="364"/>
      <c r="GT271" s="364"/>
      <c r="GU271" s="364"/>
      <c r="GV271" s="364"/>
      <c r="GW271" s="364"/>
      <c r="GX271" s="364"/>
      <c r="GY271" s="364"/>
      <c r="GZ271" s="364"/>
      <c r="HA271" s="364"/>
      <c r="HB271" s="364"/>
      <c r="HC271" s="364"/>
      <c r="HD271" s="364"/>
      <c r="HE271" s="364"/>
      <c r="HF271" s="364"/>
      <c r="HG271" s="364"/>
      <c r="HH271" s="364"/>
      <c r="HI271" s="364"/>
      <c r="HJ271" s="364"/>
      <c r="HK271" s="364"/>
      <c r="HL271" s="364"/>
    </row>
    <row r="272" spans="2:220" s="287" customFormat="1" ht="22.5" customHeight="1">
      <c r="B272" s="365">
        <v>240159</v>
      </c>
      <c r="C272" s="366" t="s">
        <v>14328</v>
      </c>
      <c r="D272" s="367"/>
      <c r="E272" s="368"/>
      <c r="F272" s="321" t="s">
        <v>328</v>
      </c>
      <c r="G272" s="326" t="s">
        <v>2254</v>
      </c>
      <c r="H272" s="326" t="s">
        <v>2255</v>
      </c>
      <c r="I272" s="326" t="s">
        <v>11</v>
      </c>
      <c r="J272" s="326" t="s">
        <v>12</v>
      </c>
      <c r="K272" s="326" t="s">
        <v>323</v>
      </c>
      <c r="L272" s="323"/>
      <c r="M272" s="374"/>
      <c r="N272" s="325" t="s">
        <v>437</v>
      </c>
      <c r="O272" s="326" t="s">
        <v>732</v>
      </c>
      <c r="P272" s="326" t="s">
        <v>210</v>
      </c>
      <c r="Q272" s="340" t="s">
        <v>15</v>
      </c>
      <c r="R272" s="329" t="s">
        <v>1091</v>
      </c>
      <c r="S272" s="330"/>
      <c r="T272" s="330"/>
      <c r="U272" s="330"/>
      <c r="V272" s="330"/>
      <c r="W272" s="332" t="s">
        <v>515</v>
      </c>
      <c r="X272" s="331" t="s">
        <v>13025</v>
      </c>
      <c r="Y272" s="331" t="s">
        <v>13027</v>
      </c>
      <c r="Z272" s="331" t="s">
        <v>13026</v>
      </c>
      <c r="AA272" s="331" t="s">
        <v>13028</v>
      </c>
      <c r="AB272" s="333"/>
      <c r="AC272" s="416"/>
      <c r="AD272" s="375"/>
      <c r="AE272" s="335" t="s">
        <v>15</v>
      </c>
      <c r="AF272" s="336"/>
      <c r="AG272" s="337"/>
      <c r="AH272" s="417" t="s">
        <v>435</v>
      </c>
      <c r="AI272" s="392" t="s">
        <v>435</v>
      </c>
      <c r="AJ272" s="392" t="s">
        <v>435</v>
      </c>
      <c r="AK272" s="340" t="s">
        <v>435</v>
      </c>
      <c r="AL272" s="321" t="s">
        <v>210</v>
      </c>
      <c r="AM272" s="392" t="s">
        <v>15</v>
      </c>
      <c r="AN272" s="392" t="s">
        <v>15</v>
      </c>
      <c r="AO272" s="341" t="s">
        <v>15</v>
      </c>
      <c r="AP272" s="342"/>
      <c r="AQ272" s="343"/>
      <c r="AR272" s="370">
        <v>729</v>
      </c>
      <c r="AS272" s="326">
        <v>100</v>
      </c>
      <c r="AT272" s="392">
        <v>0.8</v>
      </c>
      <c r="AU272" s="392"/>
      <c r="AV272" s="392">
        <v>1.2</v>
      </c>
      <c r="AW272" s="340"/>
      <c r="AX272" s="347"/>
      <c r="AY272" s="348"/>
      <c r="AZ272" s="377"/>
      <c r="BA272" s="374"/>
      <c r="BB272" s="374"/>
      <c r="BC272" s="374"/>
      <c r="BD272" s="374"/>
      <c r="BE272" s="374"/>
      <c r="BF272" s="374"/>
      <c r="BG272" s="374"/>
      <c r="BH272" s="378"/>
      <c r="BI272" s="376"/>
      <c r="BJ272" s="379"/>
      <c r="BK272" s="380"/>
      <c r="BL272" s="348"/>
      <c r="BM272" s="381"/>
      <c r="BN272" s="321" t="s">
        <v>983</v>
      </c>
      <c r="BO272" s="372"/>
      <c r="BP272" s="373" t="s">
        <v>15</v>
      </c>
      <c r="BQ272" s="360"/>
      <c r="BR272" s="361"/>
      <c r="BS272" s="361"/>
      <c r="BT272" s="361"/>
      <c r="BU272" s="342" t="s">
        <v>210</v>
      </c>
      <c r="BV272" s="342" t="s">
        <v>210</v>
      </c>
      <c r="BW272" s="341" t="s">
        <v>15</v>
      </c>
      <c r="BX272" s="361"/>
      <c r="BY272" s="362"/>
      <c r="BZ272" s="363"/>
      <c r="CA272" s="363"/>
      <c r="CB272" s="363"/>
      <c r="CC272" s="363"/>
      <c r="CD272" s="293"/>
      <c r="CE272" s="364"/>
      <c r="CF272" s="364"/>
      <c r="CG272" s="364"/>
      <c r="CH272" s="364"/>
      <c r="CI272" s="364"/>
      <c r="CJ272" s="364"/>
      <c r="CK272" s="364"/>
      <c r="CL272" s="364"/>
      <c r="CM272" s="364"/>
      <c r="CN272" s="364"/>
      <c r="CO272" s="364"/>
      <c r="CP272" s="364"/>
      <c r="CQ272" s="364"/>
      <c r="CR272" s="364"/>
      <c r="CS272" s="364"/>
      <c r="CT272" s="364"/>
      <c r="CU272" s="364"/>
      <c r="CV272" s="364"/>
      <c r="CW272" s="364"/>
      <c r="CX272" s="364"/>
      <c r="CY272" s="364"/>
      <c r="CZ272" s="364"/>
      <c r="DA272" s="364"/>
      <c r="DB272" s="364"/>
      <c r="DC272" s="364"/>
      <c r="DD272" s="364"/>
      <c r="DE272" s="364"/>
      <c r="DF272" s="364"/>
      <c r="DG272" s="364"/>
      <c r="DH272" s="364"/>
      <c r="DI272" s="364"/>
      <c r="DJ272" s="364"/>
      <c r="DK272" s="364"/>
      <c r="DL272" s="364"/>
      <c r="DM272" s="364"/>
      <c r="DN272" s="364"/>
      <c r="DO272" s="364"/>
      <c r="DP272" s="364"/>
      <c r="DQ272" s="364"/>
      <c r="DR272" s="364"/>
      <c r="DS272" s="364"/>
      <c r="DT272" s="364"/>
      <c r="DU272" s="364"/>
      <c r="DV272" s="364"/>
      <c r="DW272" s="364"/>
      <c r="DX272" s="364"/>
      <c r="DY272" s="364"/>
      <c r="DZ272" s="364"/>
      <c r="EA272" s="364"/>
      <c r="EB272" s="364"/>
      <c r="EC272" s="364"/>
      <c r="ED272" s="364"/>
      <c r="EE272" s="364"/>
      <c r="EF272" s="364"/>
      <c r="EG272" s="364"/>
      <c r="EH272" s="364"/>
      <c r="EI272" s="364"/>
      <c r="EJ272" s="364"/>
      <c r="EK272" s="364"/>
      <c r="EL272" s="364"/>
      <c r="EM272" s="364"/>
      <c r="EN272" s="364"/>
      <c r="EO272" s="364"/>
      <c r="EP272" s="364"/>
      <c r="EQ272" s="364"/>
      <c r="ER272" s="364"/>
      <c r="ES272" s="364"/>
      <c r="ET272" s="364"/>
      <c r="EU272" s="364"/>
      <c r="EV272" s="364"/>
      <c r="EW272" s="364"/>
      <c r="EX272" s="364"/>
      <c r="EY272" s="364"/>
      <c r="EZ272" s="364"/>
      <c r="FA272" s="364"/>
      <c r="FB272" s="364"/>
      <c r="FC272" s="364"/>
      <c r="FD272" s="364"/>
      <c r="FE272" s="364"/>
      <c r="FF272" s="364"/>
      <c r="FG272" s="364"/>
      <c r="FH272" s="364"/>
      <c r="FI272" s="364"/>
      <c r="FJ272" s="364"/>
      <c r="FK272" s="364"/>
      <c r="FL272" s="364"/>
      <c r="FM272" s="364"/>
      <c r="FN272" s="364"/>
      <c r="FO272" s="364"/>
      <c r="FP272" s="364"/>
      <c r="FQ272" s="364"/>
      <c r="FR272" s="364"/>
      <c r="FS272" s="364"/>
      <c r="FT272" s="364"/>
      <c r="FU272" s="364"/>
      <c r="FV272" s="364"/>
      <c r="FW272" s="364"/>
      <c r="FX272" s="364"/>
      <c r="FY272" s="364"/>
      <c r="FZ272" s="364"/>
      <c r="GA272" s="364"/>
      <c r="GB272" s="364"/>
      <c r="GC272" s="364"/>
      <c r="GD272" s="364"/>
      <c r="GE272" s="364"/>
      <c r="GF272" s="364"/>
      <c r="GG272" s="364"/>
      <c r="GH272" s="364"/>
      <c r="GI272" s="364"/>
      <c r="GJ272" s="364"/>
      <c r="GK272" s="364"/>
      <c r="GL272" s="364"/>
      <c r="GM272" s="364"/>
      <c r="GN272" s="364"/>
      <c r="GO272" s="364"/>
      <c r="GP272" s="364"/>
      <c r="GQ272" s="364"/>
      <c r="GR272" s="364"/>
      <c r="GS272" s="364"/>
      <c r="GT272" s="364"/>
      <c r="GU272" s="364"/>
      <c r="GV272" s="364"/>
      <c r="GW272" s="364"/>
      <c r="GX272" s="364"/>
      <c r="GY272" s="364"/>
      <c r="GZ272" s="364"/>
      <c r="HA272" s="364"/>
      <c r="HB272" s="364"/>
      <c r="HC272" s="364"/>
      <c r="HD272" s="364"/>
      <c r="HE272" s="364"/>
      <c r="HF272" s="364"/>
      <c r="HG272" s="364"/>
      <c r="HH272" s="364"/>
      <c r="HI272" s="364"/>
      <c r="HJ272" s="364"/>
      <c r="HK272" s="364"/>
      <c r="HL272" s="364"/>
    </row>
    <row r="273" spans="2:220" s="287" customFormat="1" ht="22.5" customHeight="1">
      <c r="B273" s="365">
        <v>240160</v>
      </c>
      <c r="C273" s="366" t="s">
        <v>232</v>
      </c>
      <c r="D273" s="367"/>
      <c r="E273" s="368"/>
      <c r="F273" s="321" t="s">
        <v>233</v>
      </c>
      <c r="G273" s="326" t="s">
        <v>2171</v>
      </c>
      <c r="H273" s="326" t="s">
        <v>2225</v>
      </c>
      <c r="I273" s="326" t="s">
        <v>11</v>
      </c>
      <c r="J273" s="326" t="s">
        <v>12</v>
      </c>
      <c r="K273" s="326" t="s">
        <v>323</v>
      </c>
      <c r="L273" s="323"/>
      <c r="M273" s="324" t="s">
        <v>10767</v>
      </c>
      <c r="N273" s="325" t="s">
        <v>438</v>
      </c>
      <c r="O273" s="326">
        <v>30</v>
      </c>
      <c r="P273" s="326" t="s">
        <v>210</v>
      </c>
      <c r="Q273" s="340" t="s">
        <v>15</v>
      </c>
      <c r="R273" s="329" t="s">
        <v>465</v>
      </c>
      <c r="S273" s="331" t="s">
        <v>14327</v>
      </c>
      <c r="T273" s="394" t="s">
        <v>11825</v>
      </c>
      <c r="U273" s="394" t="s">
        <v>16218</v>
      </c>
      <c r="V273" s="394" t="s">
        <v>11826</v>
      </c>
      <c r="W273" s="332" t="s">
        <v>432</v>
      </c>
      <c r="X273" s="331" t="s">
        <v>11079</v>
      </c>
      <c r="Y273" s="331" t="s">
        <v>11080</v>
      </c>
      <c r="Z273" s="331" t="s">
        <v>11080</v>
      </c>
      <c r="AA273" s="331" t="s">
        <v>295</v>
      </c>
      <c r="AB273" s="333"/>
      <c r="AC273" s="333"/>
      <c r="AD273" s="334" t="s">
        <v>2329</v>
      </c>
      <c r="AE273" s="335" t="s">
        <v>330</v>
      </c>
      <c r="AF273" s="336"/>
      <c r="AG273" s="337"/>
      <c r="AH273" s="417">
        <v>29.2</v>
      </c>
      <c r="AI273" s="392">
        <v>35.700000000000003</v>
      </c>
      <c r="AJ273" s="392">
        <v>27.4</v>
      </c>
      <c r="AK273" s="340">
        <f>SUM(AH273:AJ273)</f>
        <v>92.300000000000011</v>
      </c>
      <c r="AL273" s="321" t="s">
        <v>210</v>
      </c>
      <c r="AM273" s="392" t="s">
        <v>15</v>
      </c>
      <c r="AN273" s="392" t="s">
        <v>15</v>
      </c>
      <c r="AO273" s="341" t="s">
        <v>15</v>
      </c>
      <c r="AP273" s="342"/>
      <c r="AQ273" s="343"/>
      <c r="AR273" s="370">
        <v>6274</v>
      </c>
      <c r="AS273" s="326">
        <v>150</v>
      </c>
      <c r="AT273" s="392">
        <v>1</v>
      </c>
      <c r="AU273" s="392"/>
      <c r="AV273" s="392">
        <v>1.7</v>
      </c>
      <c r="AW273" s="340"/>
      <c r="AX273" s="347"/>
      <c r="AY273" s="348"/>
      <c r="AZ273" s="377"/>
      <c r="BA273" s="374"/>
      <c r="BB273" s="374"/>
      <c r="BC273" s="374"/>
      <c r="BD273" s="374"/>
      <c r="BE273" s="374"/>
      <c r="BF273" s="374"/>
      <c r="BG273" s="374"/>
      <c r="BH273" s="378"/>
      <c r="BI273" s="376"/>
      <c r="BJ273" s="379"/>
      <c r="BK273" s="380"/>
      <c r="BL273" s="348"/>
      <c r="BM273" s="381"/>
      <c r="BN273" s="321" t="s">
        <v>983</v>
      </c>
      <c r="BO273" s="372"/>
      <c r="BP273" s="373" t="s">
        <v>15</v>
      </c>
      <c r="BQ273" s="360"/>
      <c r="BR273" s="361"/>
      <c r="BS273" s="361"/>
      <c r="BT273" s="361"/>
      <c r="BU273" s="342" t="s">
        <v>210</v>
      </c>
      <c r="BV273" s="342" t="s">
        <v>210</v>
      </c>
      <c r="BW273" s="341" t="s">
        <v>15</v>
      </c>
      <c r="BX273" s="361"/>
      <c r="BY273" s="362"/>
      <c r="BZ273" s="363"/>
      <c r="CA273" s="363"/>
      <c r="CB273" s="363"/>
      <c r="CC273" s="363"/>
      <c r="CD273" s="293"/>
      <c r="CE273" s="364"/>
      <c r="CF273" s="364"/>
      <c r="CG273" s="364"/>
      <c r="CH273" s="364"/>
      <c r="CI273" s="364"/>
      <c r="CJ273" s="364"/>
      <c r="CK273" s="364"/>
      <c r="CL273" s="364"/>
      <c r="CM273" s="364"/>
      <c r="CN273" s="364"/>
      <c r="CO273" s="364"/>
      <c r="CP273" s="364"/>
      <c r="CQ273" s="364"/>
      <c r="CR273" s="364"/>
      <c r="CS273" s="364"/>
      <c r="CT273" s="364"/>
      <c r="CU273" s="364"/>
      <c r="CV273" s="364"/>
      <c r="CW273" s="364"/>
      <c r="CX273" s="364"/>
      <c r="CY273" s="364"/>
      <c r="CZ273" s="364"/>
      <c r="DA273" s="364"/>
      <c r="DB273" s="364"/>
      <c r="DC273" s="364"/>
      <c r="DD273" s="364"/>
      <c r="DE273" s="364"/>
      <c r="DF273" s="364"/>
      <c r="DG273" s="364"/>
      <c r="DH273" s="364"/>
      <c r="DI273" s="364"/>
      <c r="DJ273" s="364"/>
      <c r="DK273" s="364"/>
      <c r="DL273" s="364"/>
      <c r="DM273" s="364"/>
      <c r="DN273" s="364"/>
      <c r="DO273" s="364"/>
      <c r="DP273" s="364"/>
      <c r="DQ273" s="364"/>
      <c r="DR273" s="364"/>
      <c r="DS273" s="364"/>
      <c r="DT273" s="364"/>
      <c r="DU273" s="364"/>
      <c r="DV273" s="364"/>
      <c r="DW273" s="364"/>
      <c r="DX273" s="364"/>
      <c r="DY273" s="364"/>
      <c r="DZ273" s="364"/>
      <c r="EA273" s="364"/>
      <c r="EB273" s="364"/>
      <c r="EC273" s="364"/>
      <c r="ED273" s="364"/>
      <c r="EE273" s="364"/>
      <c r="EF273" s="364"/>
      <c r="EG273" s="364"/>
      <c r="EH273" s="364"/>
      <c r="EI273" s="364"/>
      <c r="EJ273" s="364"/>
      <c r="EK273" s="364"/>
      <c r="EL273" s="364"/>
      <c r="EM273" s="364"/>
      <c r="EN273" s="364"/>
      <c r="EO273" s="364"/>
      <c r="EP273" s="364"/>
      <c r="EQ273" s="364"/>
      <c r="ER273" s="364"/>
      <c r="ES273" s="364"/>
      <c r="ET273" s="364"/>
      <c r="EU273" s="364"/>
      <c r="EV273" s="364"/>
      <c r="EW273" s="364"/>
      <c r="EX273" s="364"/>
      <c r="EY273" s="364"/>
      <c r="EZ273" s="364"/>
      <c r="FA273" s="364"/>
      <c r="FB273" s="364"/>
      <c r="FC273" s="364"/>
      <c r="FD273" s="364"/>
      <c r="FE273" s="364"/>
      <c r="FF273" s="364"/>
      <c r="FG273" s="364"/>
      <c r="FH273" s="364"/>
      <c r="FI273" s="364"/>
      <c r="FJ273" s="364"/>
      <c r="FK273" s="364"/>
      <c r="FL273" s="364"/>
      <c r="FM273" s="364"/>
      <c r="FN273" s="364"/>
      <c r="FO273" s="364"/>
      <c r="FP273" s="364"/>
      <c r="FQ273" s="364"/>
      <c r="FR273" s="364"/>
      <c r="FS273" s="364"/>
      <c r="FT273" s="364"/>
      <c r="FU273" s="364"/>
      <c r="FV273" s="364"/>
      <c r="FW273" s="364"/>
      <c r="FX273" s="364"/>
      <c r="FY273" s="364"/>
      <c r="FZ273" s="364"/>
      <c r="GA273" s="364"/>
      <c r="GB273" s="364"/>
      <c r="GC273" s="364"/>
      <c r="GD273" s="364"/>
      <c r="GE273" s="364"/>
      <c r="GF273" s="364"/>
      <c r="GG273" s="364"/>
      <c r="GH273" s="364"/>
      <c r="GI273" s="364"/>
      <c r="GJ273" s="364"/>
      <c r="GK273" s="364"/>
      <c r="GL273" s="364"/>
      <c r="GM273" s="364"/>
      <c r="GN273" s="364"/>
      <c r="GO273" s="364"/>
      <c r="GP273" s="364"/>
      <c r="GQ273" s="364"/>
      <c r="GR273" s="364"/>
      <c r="GS273" s="364"/>
      <c r="GT273" s="364"/>
      <c r="GU273" s="364"/>
      <c r="GV273" s="364"/>
      <c r="GW273" s="364"/>
      <c r="GX273" s="364"/>
      <c r="GY273" s="364"/>
      <c r="GZ273" s="364"/>
      <c r="HA273" s="364"/>
      <c r="HB273" s="364"/>
      <c r="HC273" s="364"/>
      <c r="HD273" s="364"/>
      <c r="HE273" s="364"/>
      <c r="HF273" s="364"/>
      <c r="HG273" s="364"/>
      <c r="HH273" s="364"/>
      <c r="HI273" s="364"/>
      <c r="HJ273" s="364"/>
      <c r="HK273" s="364"/>
      <c r="HL273" s="364"/>
    </row>
    <row r="274" spans="2:220" s="287" customFormat="1" ht="22.5" customHeight="1">
      <c r="B274" s="365">
        <v>240161</v>
      </c>
      <c r="C274" s="366" t="s">
        <v>234</v>
      </c>
      <c r="D274" s="367"/>
      <c r="E274" s="368"/>
      <c r="F274" s="321" t="s">
        <v>320</v>
      </c>
      <c r="G274" s="326" t="s">
        <v>2223</v>
      </c>
      <c r="H274" s="326" t="s">
        <v>2224</v>
      </c>
      <c r="I274" s="326" t="s">
        <v>11</v>
      </c>
      <c r="J274" s="326" t="s">
        <v>21</v>
      </c>
      <c r="K274" s="326" t="s">
        <v>323</v>
      </c>
      <c r="L274" s="323"/>
      <c r="M274" s="374"/>
      <c r="N274" s="325" t="s">
        <v>438</v>
      </c>
      <c r="O274" s="326">
        <v>30</v>
      </c>
      <c r="P274" s="326" t="s">
        <v>210</v>
      </c>
      <c r="Q274" s="340" t="s">
        <v>15</v>
      </c>
      <c r="R274" s="329" t="s">
        <v>464</v>
      </c>
      <c r="S274" s="331" t="s">
        <v>14325</v>
      </c>
      <c r="T274" s="330"/>
      <c r="U274" s="330"/>
      <c r="V274" s="331" t="s">
        <v>14326</v>
      </c>
      <c r="W274" s="332" t="s">
        <v>432</v>
      </c>
      <c r="X274" s="331" t="s">
        <v>11079</v>
      </c>
      <c r="Y274" s="331" t="s">
        <v>11080</v>
      </c>
      <c r="Z274" s="331" t="s">
        <v>11080</v>
      </c>
      <c r="AA274" s="331" t="s">
        <v>295</v>
      </c>
      <c r="AB274" s="333"/>
      <c r="AC274" s="333"/>
      <c r="AD274" s="334" t="s">
        <v>820</v>
      </c>
      <c r="AE274" s="335" t="s">
        <v>342</v>
      </c>
      <c r="AF274" s="336"/>
      <c r="AG274" s="337"/>
      <c r="AH274" s="376"/>
      <c r="AI274" s="347"/>
      <c r="AJ274" s="347"/>
      <c r="AK274" s="371"/>
      <c r="AL274" s="321" t="s">
        <v>210</v>
      </c>
      <c r="AM274" s="392" t="s">
        <v>15</v>
      </c>
      <c r="AN274" s="392" t="s">
        <v>15</v>
      </c>
      <c r="AO274" s="341" t="s">
        <v>15</v>
      </c>
      <c r="AP274" s="342"/>
      <c r="AQ274" s="343"/>
      <c r="AR274" s="370">
        <v>2285</v>
      </c>
      <c r="AS274" s="326">
        <v>120</v>
      </c>
      <c r="AT274" s="392">
        <v>0.8</v>
      </c>
      <c r="AU274" s="392"/>
      <c r="AV274" s="392">
        <v>1.5</v>
      </c>
      <c r="AW274" s="340"/>
      <c r="AX274" s="347"/>
      <c r="AY274" s="348"/>
      <c r="AZ274" s="377"/>
      <c r="BA274" s="374"/>
      <c r="BB274" s="374"/>
      <c r="BC274" s="374"/>
      <c r="BD274" s="374"/>
      <c r="BE274" s="374"/>
      <c r="BF274" s="374"/>
      <c r="BG274" s="374"/>
      <c r="BH274" s="378"/>
      <c r="BI274" s="376"/>
      <c r="BJ274" s="379"/>
      <c r="BK274" s="380"/>
      <c r="BL274" s="348"/>
      <c r="BM274" s="381"/>
      <c r="BN274" s="321" t="s">
        <v>983</v>
      </c>
      <c r="BO274" s="372"/>
      <c r="BP274" s="373" t="s">
        <v>15</v>
      </c>
      <c r="BQ274" s="360"/>
      <c r="BR274" s="361"/>
      <c r="BS274" s="361"/>
      <c r="BT274" s="361"/>
      <c r="BU274" s="342" t="s">
        <v>210</v>
      </c>
      <c r="BV274" s="342" t="s">
        <v>210</v>
      </c>
      <c r="BW274" s="341" t="s">
        <v>15</v>
      </c>
      <c r="BX274" s="361"/>
      <c r="BY274" s="362"/>
      <c r="BZ274" s="363"/>
      <c r="CA274" s="363"/>
      <c r="CB274" s="363"/>
      <c r="CC274" s="363"/>
      <c r="CD274" s="293"/>
      <c r="CE274" s="364"/>
      <c r="CF274" s="364"/>
      <c r="CG274" s="364"/>
      <c r="CH274" s="364"/>
      <c r="CI274" s="364"/>
      <c r="CJ274" s="364"/>
      <c r="CK274" s="364"/>
      <c r="CL274" s="364"/>
      <c r="CM274" s="364"/>
      <c r="CN274" s="364"/>
      <c r="CO274" s="364"/>
      <c r="CP274" s="364"/>
      <c r="CQ274" s="364"/>
      <c r="CR274" s="364"/>
      <c r="CS274" s="364"/>
      <c r="CT274" s="364"/>
      <c r="CU274" s="364"/>
      <c r="CV274" s="364"/>
      <c r="CW274" s="364"/>
      <c r="CX274" s="364"/>
      <c r="CY274" s="364"/>
      <c r="CZ274" s="364"/>
      <c r="DA274" s="364"/>
      <c r="DB274" s="364"/>
      <c r="DC274" s="364"/>
      <c r="DD274" s="364"/>
      <c r="DE274" s="364"/>
      <c r="DF274" s="364"/>
      <c r="DG274" s="364"/>
      <c r="DH274" s="364"/>
      <c r="DI274" s="364"/>
      <c r="DJ274" s="364"/>
      <c r="DK274" s="364"/>
      <c r="DL274" s="364"/>
      <c r="DM274" s="364"/>
      <c r="DN274" s="364"/>
      <c r="DO274" s="364"/>
      <c r="DP274" s="364"/>
      <c r="DQ274" s="364"/>
      <c r="DR274" s="364"/>
      <c r="DS274" s="364"/>
      <c r="DT274" s="364"/>
      <c r="DU274" s="364"/>
      <c r="DV274" s="364"/>
      <c r="DW274" s="364"/>
      <c r="DX274" s="364"/>
      <c r="DY274" s="364"/>
      <c r="DZ274" s="364"/>
      <c r="EA274" s="364"/>
      <c r="EB274" s="364"/>
      <c r="EC274" s="364"/>
      <c r="ED274" s="364"/>
      <c r="EE274" s="364"/>
      <c r="EF274" s="364"/>
      <c r="EG274" s="364"/>
      <c r="EH274" s="364"/>
      <c r="EI274" s="364"/>
      <c r="EJ274" s="364"/>
      <c r="EK274" s="364"/>
      <c r="EL274" s="364"/>
      <c r="EM274" s="364"/>
      <c r="EN274" s="364"/>
      <c r="EO274" s="364"/>
      <c r="EP274" s="364"/>
      <c r="EQ274" s="364"/>
      <c r="ER274" s="364"/>
      <c r="ES274" s="364"/>
      <c r="ET274" s="364"/>
      <c r="EU274" s="364"/>
      <c r="EV274" s="364"/>
      <c r="EW274" s="364"/>
      <c r="EX274" s="364"/>
      <c r="EY274" s="364"/>
      <c r="EZ274" s="364"/>
      <c r="FA274" s="364"/>
      <c r="FB274" s="364"/>
      <c r="FC274" s="364"/>
      <c r="FD274" s="364"/>
      <c r="FE274" s="364"/>
      <c r="FF274" s="364"/>
      <c r="FG274" s="364"/>
      <c r="FH274" s="364"/>
      <c r="FI274" s="364"/>
      <c r="FJ274" s="364"/>
      <c r="FK274" s="364"/>
      <c r="FL274" s="364"/>
      <c r="FM274" s="364"/>
      <c r="FN274" s="364"/>
      <c r="FO274" s="364"/>
      <c r="FP274" s="364"/>
      <c r="FQ274" s="364"/>
      <c r="FR274" s="364"/>
      <c r="FS274" s="364"/>
      <c r="FT274" s="364"/>
      <c r="FU274" s="364"/>
      <c r="FV274" s="364"/>
      <c r="FW274" s="364"/>
      <c r="FX274" s="364"/>
      <c r="FY274" s="364"/>
      <c r="FZ274" s="364"/>
      <c r="GA274" s="364"/>
      <c r="GB274" s="364"/>
      <c r="GC274" s="364"/>
      <c r="GD274" s="364"/>
      <c r="GE274" s="364"/>
      <c r="GF274" s="364"/>
      <c r="GG274" s="364"/>
      <c r="GH274" s="364"/>
      <c r="GI274" s="364"/>
      <c r="GJ274" s="364"/>
      <c r="GK274" s="364"/>
      <c r="GL274" s="364"/>
      <c r="GM274" s="364"/>
      <c r="GN274" s="364"/>
      <c r="GO274" s="364"/>
      <c r="GP274" s="364"/>
      <c r="GQ274" s="364"/>
      <c r="GR274" s="364"/>
      <c r="GS274" s="364"/>
      <c r="GT274" s="364"/>
      <c r="GU274" s="364"/>
      <c r="GV274" s="364"/>
      <c r="GW274" s="364"/>
      <c r="GX274" s="364"/>
      <c r="GY274" s="364"/>
      <c r="GZ274" s="364"/>
      <c r="HA274" s="364"/>
      <c r="HB274" s="364"/>
      <c r="HC274" s="364"/>
      <c r="HD274" s="364"/>
      <c r="HE274" s="364"/>
      <c r="HF274" s="364"/>
      <c r="HG274" s="364"/>
      <c r="HH274" s="364"/>
      <c r="HI274" s="364"/>
      <c r="HJ274" s="364"/>
      <c r="HK274" s="364"/>
      <c r="HL274" s="364"/>
    </row>
    <row r="275" spans="2:220" s="287" customFormat="1" ht="22.5" customHeight="1">
      <c r="B275" s="365">
        <v>240162</v>
      </c>
      <c r="C275" s="366" t="s">
        <v>14320</v>
      </c>
      <c r="D275" s="367"/>
      <c r="E275" s="368"/>
      <c r="F275" s="321" t="s">
        <v>347</v>
      </c>
      <c r="G275" s="326" t="s">
        <v>2221</v>
      </c>
      <c r="H275" s="326" t="s">
        <v>2222</v>
      </c>
      <c r="I275" s="326" t="s">
        <v>11</v>
      </c>
      <c r="J275" s="326" t="s">
        <v>214</v>
      </c>
      <c r="K275" s="326" t="s">
        <v>324</v>
      </c>
      <c r="L275" s="323"/>
      <c r="M275" s="374"/>
      <c r="N275" s="325" t="s">
        <v>438</v>
      </c>
      <c r="O275" s="326">
        <v>250</v>
      </c>
      <c r="P275" s="327">
        <v>529</v>
      </c>
      <c r="Q275" s="369" t="s">
        <v>754</v>
      </c>
      <c r="R275" s="329" t="s">
        <v>1322</v>
      </c>
      <c r="S275" s="331" t="s">
        <v>14323</v>
      </c>
      <c r="T275" s="331" t="s">
        <v>14322</v>
      </c>
      <c r="U275" s="331" t="s">
        <v>14321</v>
      </c>
      <c r="V275" s="331" t="s">
        <v>14324</v>
      </c>
      <c r="W275" s="332" t="s">
        <v>432</v>
      </c>
      <c r="X275" s="331" t="s">
        <v>11079</v>
      </c>
      <c r="Y275" s="331" t="s">
        <v>11080</v>
      </c>
      <c r="Z275" s="331" t="s">
        <v>11080</v>
      </c>
      <c r="AA275" s="331" t="s">
        <v>295</v>
      </c>
      <c r="AB275" s="333"/>
      <c r="AC275" s="333"/>
      <c r="AD275" s="334" t="s">
        <v>348</v>
      </c>
      <c r="AE275" s="335" t="s">
        <v>15362</v>
      </c>
      <c r="AF275" s="336"/>
      <c r="AG275" s="337"/>
      <c r="AH275" s="417">
        <v>16.7</v>
      </c>
      <c r="AI275" s="392">
        <v>27.5</v>
      </c>
      <c r="AJ275" s="392">
        <v>31.2</v>
      </c>
      <c r="AK275" s="340">
        <f>SUM(AH275:AJ275)</f>
        <v>75.400000000000006</v>
      </c>
      <c r="AL275" s="321" t="s">
        <v>210</v>
      </c>
      <c r="AM275" s="392" t="s">
        <v>15</v>
      </c>
      <c r="AN275" s="392" t="s">
        <v>15</v>
      </c>
      <c r="AO275" s="341" t="s">
        <v>15</v>
      </c>
      <c r="AP275" s="342"/>
      <c r="AQ275" s="343"/>
      <c r="AR275" s="370">
        <v>795</v>
      </c>
      <c r="AS275" s="326">
        <v>100</v>
      </c>
      <c r="AT275" s="392">
        <v>1</v>
      </c>
      <c r="AU275" s="392"/>
      <c r="AV275" s="392">
        <v>1.5</v>
      </c>
      <c r="AW275" s="340"/>
      <c r="AX275" s="347"/>
      <c r="AY275" s="348"/>
      <c r="AZ275" s="377"/>
      <c r="BA275" s="374"/>
      <c r="BB275" s="374"/>
      <c r="BC275" s="374"/>
      <c r="BD275" s="374"/>
      <c r="BE275" s="374"/>
      <c r="BF275" s="374"/>
      <c r="BG275" s="374"/>
      <c r="BH275" s="378"/>
      <c r="BI275" s="376"/>
      <c r="BJ275" s="379"/>
      <c r="BK275" s="380"/>
      <c r="BL275" s="348"/>
      <c r="BM275" s="381"/>
      <c r="BN275" s="321" t="s">
        <v>983</v>
      </c>
      <c r="BO275" s="372"/>
      <c r="BP275" s="373" t="s">
        <v>983</v>
      </c>
      <c r="BQ275" s="360"/>
      <c r="BR275" s="361"/>
      <c r="BS275" s="361"/>
      <c r="BT275" s="361"/>
      <c r="BU275" s="342" t="s">
        <v>210</v>
      </c>
      <c r="BV275" s="342" t="s">
        <v>210</v>
      </c>
      <c r="BW275" s="341" t="s">
        <v>15</v>
      </c>
      <c r="BX275" s="361"/>
      <c r="BY275" s="362"/>
      <c r="BZ275" s="363"/>
      <c r="CA275" s="363"/>
      <c r="CB275" s="363"/>
      <c r="CC275" s="363"/>
      <c r="CD275" s="293"/>
      <c r="CE275" s="364"/>
      <c r="CF275" s="364"/>
      <c r="CG275" s="364"/>
      <c r="CH275" s="364"/>
      <c r="CI275" s="364"/>
      <c r="CJ275" s="364"/>
      <c r="CK275" s="364"/>
      <c r="CL275" s="364"/>
      <c r="CM275" s="364"/>
      <c r="CN275" s="364"/>
      <c r="CO275" s="364"/>
      <c r="CP275" s="364"/>
      <c r="CQ275" s="364"/>
      <c r="CR275" s="364"/>
      <c r="CS275" s="364"/>
      <c r="CT275" s="364"/>
      <c r="CU275" s="364"/>
      <c r="CV275" s="364"/>
      <c r="CW275" s="364"/>
      <c r="CX275" s="364"/>
      <c r="CY275" s="364"/>
      <c r="CZ275" s="364"/>
      <c r="DA275" s="364"/>
      <c r="DB275" s="364"/>
      <c r="DC275" s="364"/>
      <c r="DD275" s="364"/>
      <c r="DE275" s="364"/>
      <c r="DF275" s="364"/>
      <c r="DG275" s="364"/>
      <c r="DH275" s="364"/>
      <c r="DI275" s="364"/>
      <c r="DJ275" s="364"/>
      <c r="DK275" s="364"/>
      <c r="DL275" s="364"/>
      <c r="DM275" s="364"/>
      <c r="DN275" s="364"/>
      <c r="DO275" s="364"/>
      <c r="DP275" s="364"/>
      <c r="DQ275" s="364"/>
      <c r="DR275" s="364"/>
      <c r="DS275" s="364"/>
      <c r="DT275" s="364"/>
      <c r="DU275" s="364"/>
      <c r="DV275" s="364"/>
      <c r="DW275" s="364"/>
      <c r="DX275" s="364"/>
      <c r="DY275" s="364"/>
      <c r="DZ275" s="364"/>
      <c r="EA275" s="364"/>
      <c r="EB275" s="364"/>
      <c r="EC275" s="364"/>
      <c r="ED275" s="364"/>
      <c r="EE275" s="364"/>
      <c r="EF275" s="364"/>
      <c r="EG275" s="364"/>
      <c r="EH275" s="364"/>
      <c r="EI275" s="364"/>
      <c r="EJ275" s="364"/>
      <c r="EK275" s="364"/>
      <c r="EL275" s="364"/>
      <c r="EM275" s="364"/>
      <c r="EN275" s="364"/>
      <c r="EO275" s="364"/>
      <c r="EP275" s="364"/>
      <c r="EQ275" s="364"/>
      <c r="ER275" s="364"/>
      <c r="ES275" s="364"/>
      <c r="ET275" s="364"/>
      <c r="EU275" s="364"/>
      <c r="EV275" s="364"/>
      <c r="EW275" s="364"/>
      <c r="EX275" s="364"/>
      <c r="EY275" s="364"/>
      <c r="EZ275" s="364"/>
      <c r="FA275" s="364"/>
      <c r="FB275" s="364"/>
      <c r="FC275" s="364"/>
      <c r="FD275" s="364"/>
      <c r="FE275" s="364"/>
      <c r="FF275" s="364"/>
      <c r="FG275" s="364"/>
      <c r="FH275" s="364"/>
      <c r="FI275" s="364"/>
      <c r="FJ275" s="364"/>
      <c r="FK275" s="364"/>
      <c r="FL275" s="364"/>
      <c r="FM275" s="364"/>
      <c r="FN275" s="364"/>
      <c r="FO275" s="364"/>
      <c r="FP275" s="364"/>
      <c r="FQ275" s="364"/>
      <c r="FR275" s="364"/>
      <c r="FS275" s="364"/>
      <c r="FT275" s="364"/>
      <c r="FU275" s="364"/>
      <c r="FV275" s="364"/>
      <c r="FW275" s="364"/>
      <c r="FX275" s="364"/>
      <c r="FY275" s="364"/>
      <c r="FZ275" s="364"/>
      <c r="GA275" s="364"/>
      <c r="GB275" s="364"/>
      <c r="GC275" s="364"/>
      <c r="GD275" s="364"/>
      <c r="GE275" s="364"/>
      <c r="GF275" s="364"/>
      <c r="GG275" s="364"/>
      <c r="GH275" s="364"/>
      <c r="GI275" s="364"/>
      <c r="GJ275" s="364"/>
      <c r="GK275" s="364"/>
      <c r="GL275" s="364"/>
      <c r="GM275" s="364"/>
      <c r="GN275" s="364"/>
      <c r="GO275" s="364"/>
      <c r="GP275" s="364"/>
      <c r="GQ275" s="364"/>
      <c r="GR275" s="364"/>
      <c r="GS275" s="364"/>
      <c r="GT275" s="364"/>
      <c r="GU275" s="364"/>
      <c r="GV275" s="364"/>
      <c r="GW275" s="364"/>
      <c r="GX275" s="364"/>
      <c r="GY275" s="364"/>
      <c r="GZ275" s="364"/>
      <c r="HA275" s="364"/>
      <c r="HB275" s="364"/>
      <c r="HC275" s="364"/>
      <c r="HD275" s="364"/>
      <c r="HE275" s="364"/>
      <c r="HF275" s="364"/>
      <c r="HG275" s="364"/>
      <c r="HH275" s="364"/>
      <c r="HI275" s="364"/>
      <c r="HJ275" s="364"/>
      <c r="HK275" s="364"/>
      <c r="HL275" s="364"/>
    </row>
    <row r="276" spans="2:220" s="287" customFormat="1" ht="22.5" customHeight="1">
      <c r="B276" s="365">
        <v>240163</v>
      </c>
      <c r="C276" s="366" t="s">
        <v>13052</v>
      </c>
      <c r="D276" s="367"/>
      <c r="E276" s="368"/>
      <c r="F276" s="321" t="s">
        <v>237</v>
      </c>
      <c r="G276" s="326" t="s">
        <v>2219</v>
      </c>
      <c r="H276" s="326" t="s">
        <v>2220</v>
      </c>
      <c r="I276" s="326" t="s">
        <v>11</v>
      </c>
      <c r="J276" s="326" t="s">
        <v>214</v>
      </c>
      <c r="K276" s="326" t="s">
        <v>324</v>
      </c>
      <c r="L276" s="323"/>
      <c r="M276" s="324" t="s">
        <v>10767</v>
      </c>
      <c r="N276" s="325" t="s">
        <v>438</v>
      </c>
      <c r="O276" s="326">
        <v>80</v>
      </c>
      <c r="P276" s="327">
        <v>2970</v>
      </c>
      <c r="Q276" s="369" t="s">
        <v>754</v>
      </c>
      <c r="R276" s="329" t="s">
        <v>447</v>
      </c>
      <c r="S276" s="331" t="s">
        <v>13050</v>
      </c>
      <c r="T276" s="331" t="s">
        <v>11078</v>
      </c>
      <c r="U276" s="331" t="s">
        <v>16355</v>
      </c>
      <c r="V276" s="331" t="s">
        <v>13051</v>
      </c>
      <c r="W276" s="332" t="s">
        <v>432</v>
      </c>
      <c r="X276" s="331" t="s">
        <v>11079</v>
      </c>
      <c r="Y276" s="331" t="s">
        <v>11080</v>
      </c>
      <c r="Z276" s="331" t="s">
        <v>11080</v>
      </c>
      <c r="AA276" s="331" t="s">
        <v>295</v>
      </c>
      <c r="AB276" s="333"/>
      <c r="AC276" s="333"/>
      <c r="AD276" s="334" t="s">
        <v>272</v>
      </c>
      <c r="AE276" s="335" t="s">
        <v>343</v>
      </c>
      <c r="AF276" s="336"/>
      <c r="AG276" s="337"/>
      <c r="AH276" s="417">
        <v>5.5</v>
      </c>
      <c r="AI276" s="392">
        <v>17.100000000000001</v>
      </c>
      <c r="AJ276" s="392">
        <v>18.2</v>
      </c>
      <c r="AK276" s="340">
        <f>SUM(AH276:AJ276)</f>
        <v>40.799999999999997</v>
      </c>
      <c r="AL276" s="321" t="s">
        <v>210</v>
      </c>
      <c r="AM276" s="392" t="s">
        <v>15</v>
      </c>
      <c r="AN276" s="392" t="s">
        <v>15</v>
      </c>
      <c r="AO276" s="341" t="s">
        <v>15</v>
      </c>
      <c r="AP276" s="342"/>
      <c r="AQ276" s="343"/>
      <c r="AR276" s="370">
        <v>2916</v>
      </c>
      <c r="AS276" s="326">
        <v>100</v>
      </c>
      <c r="AT276" s="392">
        <v>0.6</v>
      </c>
      <c r="AU276" s="392"/>
      <c r="AV276" s="392">
        <v>1</v>
      </c>
      <c r="AW276" s="340"/>
      <c r="AX276" s="347"/>
      <c r="AY276" s="348"/>
      <c r="AZ276" s="377"/>
      <c r="BA276" s="374"/>
      <c r="BB276" s="374"/>
      <c r="BC276" s="374"/>
      <c r="BD276" s="374"/>
      <c r="BE276" s="374"/>
      <c r="BF276" s="374"/>
      <c r="BG276" s="374"/>
      <c r="BH276" s="378"/>
      <c r="BI276" s="376"/>
      <c r="BJ276" s="379"/>
      <c r="BK276" s="380"/>
      <c r="BL276" s="348"/>
      <c r="BM276" s="381"/>
      <c r="BN276" s="321" t="s">
        <v>15</v>
      </c>
      <c r="BO276" s="372"/>
      <c r="BP276" s="373" t="s">
        <v>15</v>
      </c>
      <c r="BQ276" s="360"/>
      <c r="BR276" s="361"/>
      <c r="BS276" s="361"/>
      <c r="BT276" s="361"/>
      <c r="BU276" s="342" t="s">
        <v>210</v>
      </c>
      <c r="BV276" s="342" t="s">
        <v>210</v>
      </c>
      <c r="BW276" s="341" t="s">
        <v>15</v>
      </c>
      <c r="BX276" s="361"/>
      <c r="BY276" s="362"/>
      <c r="BZ276" s="363"/>
      <c r="CA276" s="363"/>
      <c r="CB276" s="363"/>
      <c r="CC276" s="363"/>
      <c r="CD276" s="293"/>
      <c r="CE276" s="364"/>
      <c r="CF276" s="364"/>
      <c r="CG276" s="364"/>
      <c r="CH276" s="364"/>
      <c r="CI276" s="364"/>
      <c r="CJ276" s="364"/>
      <c r="CK276" s="364"/>
      <c r="CL276" s="364"/>
      <c r="CM276" s="364"/>
      <c r="CN276" s="364"/>
      <c r="CO276" s="364"/>
      <c r="CP276" s="364"/>
      <c r="CQ276" s="364"/>
      <c r="CR276" s="364"/>
      <c r="CS276" s="364"/>
      <c r="CT276" s="364"/>
      <c r="CU276" s="364"/>
      <c r="CV276" s="364"/>
      <c r="CW276" s="364"/>
      <c r="CX276" s="364"/>
      <c r="CY276" s="364"/>
      <c r="CZ276" s="364"/>
      <c r="DA276" s="364"/>
      <c r="DB276" s="364"/>
      <c r="DC276" s="364"/>
      <c r="DD276" s="364"/>
      <c r="DE276" s="364"/>
      <c r="DF276" s="364"/>
      <c r="DG276" s="364"/>
      <c r="DH276" s="364"/>
      <c r="DI276" s="364"/>
      <c r="DJ276" s="364"/>
      <c r="DK276" s="364"/>
      <c r="DL276" s="364"/>
      <c r="DM276" s="364"/>
      <c r="DN276" s="364"/>
      <c r="DO276" s="364"/>
      <c r="DP276" s="364"/>
      <c r="DQ276" s="364"/>
      <c r="DR276" s="364"/>
      <c r="DS276" s="364"/>
      <c r="DT276" s="364"/>
      <c r="DU276" s="364"/>
      <c r="DV276" s="364"/>
      <c r="DW276" s="364"/>
      <c r="DX276" s="364"/>
      <c r="DY276" s="364"/>
      <c r="DZ276" s="364"/>
      <c r="EA276" s="364"/>
      <c r="EB276" s="364"/>
      <c r="EC276" s="364"/>
      <c r="ED276" s="364"/>
      <c r="EE276" s="364"/>
      <c r="EF276" s="364"/>
      <c r="EG276" s="364"/>
      <c r="EH276" s="364"/>
      <c r="EI276" s="364"/>
      <c r="EJ276" s="364"/>
      <c r="EK276" s="364"/>
      <c r="EL276" s="364"/>
      <c r="EM276" s="364"/>
      <c r="EN276" s="364"/>
      <c r="EO276" s="364"/>
      <c r="EP276" s="364"/>
      <c r="EQ276" s="364"/>
      <c r="ER276" s="364"/>
      <c r="ES276" s="364"/>
      <c r="ET276" s="364"/>
      <c r="EU276" s="364"/>
      <c r="EV276" s="364"/>
      <c r="EW276" s="364"/>
      <c r="EX276" s="364"/>
      <c r="EY276" s="364"/>
      <c r="EZ276" s="364"/>
      <c r="FA276" s="364"/>
      <c r="FB276" s="364"/>
      <c r="FC276" s="364"/>
      <c r="FD276" s="364"/>
      <c r="FE276" s="364"/>
      <c r="FF276" s="364"/>
      <c r="FG276" s="364"/>
      <c r="FH276" s="364"/>
      <c r="FI276" s="364"/>
      <c r="FJ276" s="364"/>
      <c r="FK276" s="364"/>
      <c r="FL276" s="364"/>
      <c r="FM276" s="364"/>
      <c r="FN276" s="364"/>
      <c r="FO276" s="364"/>
      <c r="FP276" s="364"/>
      <c r="FQ276" s="364"/>
      <c r="FR276" s="364"/>
      <c r="FS276" s="364"/>
      <c r="FT276" s="364"/>
      <c r="FU276" s="364"/>
      <c r="FV276" s="364"/>
      <c r="FW276" s="364"/>
      <c r="FX276" s="364"/>
      <c r="FY276" s="364"/>
      <c r="FZ276" s="364"/>
      <c r="GA276" s="364"/>
      <c r="GB276" s="364"/>
      <c r="GC276" s="364"/>
      <c r="GD276" s="364"/>
      <c r="GE276" s="364"/>
      <c r="GF276" s="364"/>
      <c r="GG276" s="364"/>
      <c r="GH276" s="364"/>
      <c r="GI276" s="364"/>
      <c r="GJ276" s="364"/>
      <c r="GK276" s="364"/>
      <c r="GL276" s="364"/>
      <c r="GM276" s="364"/>
      <c r="GN276" s="364"/>
      <c r="GO276" s="364"/>
      <c r="GP276" s="364"/>
      <c r="GQ276" s="364"/>
      <c r="GR276" s="364"/>
      <c r="GS276" s="364"/>
      <c r="GT276" s="364"/>
      <c r="GU276" s="364"/>
      <c r="GV276" s="364"/>
      <c r="GW276" s="364"/>
      <c r="GX276" s="364"/>
      <c r="GY276" s="364"/>
      <c r="GZ276" s="364"/>
      <c r="HA276" s="364"/>
      <c r="HB276" s="364"/>
      <c r="HC276" s="364"/>
      <c r="HD276" s="364"/>
      <c r="HE276" s="364"/>
      <c r="HF276" s="364"/>
      <c r="HG276" s="364"/>
      <c r="HH276" s="364"/>
      <c r="HI276" s="364"/>
      <c r="HJ276" s="364"/>
      <c r="HK276" s="364"/>
      <c r="HL276" s="364"/>
    </row>
    <row r="277" spans="2:220" s="287" customFormat="1" ht="22.5" customHeight="1">
      <c r="B277" s="365">
        <v>240164</v>
      </c>
      <c r="C277" s="366" t="s">
        <v>14316</v>
      </c>
      <c r="D277" s="367"/>
      <c r="E277" s="368"/>
      <c r="F277" s="321" t="s">
        <v>352</v>
      </c>
      <c r="G277" s="326" t="s">
        <v>2217</v>
      </c>
      <c r="H277" s="326" t="s">
        <v>2218</v>
      </c>
      <c r="I277" s="326" t="s">
        <v>11</v>
      </c>
      <c r="J277" s="326" t="s">
        <v>21</v>
      </c>
      <c r="K277" s="326" t="s">
        <v>324</v>
      </c>
      <c r="L277" s="323"/>
      <c r="M277" s="374"/>
      <c r="N277" s="325" t="s">
        <v>438</v>
      </c>
      <c r="O277" s="326" t="s">
        <v>210</v>
      </c>
      <c r="P277" s="326" t="s">
        <v>210</v>
      </c>
      <c r="Q277" s="340" t="s">
        <v>15</v>
      </c>
      <c r="R277" s="329" t="s">
        <v>4399</v>
      </c>
      <c r="S277" s="330"/>
      <c r="T277" s="330"/>
      <c r="U277" s="330"/>
      <c r="V277" s="330"/>
      <c r="W277" s="332" t="s">
        <v>463</v>
      </c>
      <c r="X277" s="331" t="s">
        <v>14317</v>
      </c>
      <c r="Y277" s="331" t="s">
        <v>14318</v>
      </c>
      <c r="Z277" s="331" t="s">
        <v>16498</v>
      </c>
      <c r="AA277" s="331" t="s">
        <v>14319</v>
      </c>
      <c r="AB277" s="333"/>
      <c r="AC277" s="416"/>
      <c r="AD277" s="375"/>
      <c r="AE277" s="335" t="s">
        <v>353</v>
      </c>
      <c r="AF277" s="336"/>
      <c r="AG277" s="337"/>
      <c r="AH277" s="417" t="s">
        <v>435</v>
      </c>
      <c r="AI277" s="392" t="s">
        <v>435</v>
      </c>
      <c r="AJ277" s="392" t="s">
        <v>435</v>
      </c>
      <c r="AK277" s="340" t="s">
        <v>435</v>
      </c>
      <c r="AL277" s="321" t="s">
        <v>210</v>
      </c>
      <c r="AM277" s="392" t="s">
        <v>15</v>
      </c>
      <c r="AN277" s="392" t="s">
        <v>15</v>
      </c>
      <c r="AO277" s="341" t="s">
        <v>15</v>
      </c>
      <c r="AP277" s="342"/>
      <c r="AQ277" s="343"/>
      <c r="AR277" s="370">
        <v>6305</v>
      </c>
      <c r="AS277" s="326">
        <v>150</v>
      </c>
      <c r="AT277" s="392">
        <v>0.8</v>
      </c>
      <c r="AU277" s="392"/>
      <c r="AV277" s="392">
        <v>1.5</v>
      </c>
      <c r="AW277" s="340"/>
      <c r="AX277" s="347"/>
      <c r="AY277" s="348"/>
      <c r="AZ277" s="377"/>
      <c r="BA277" s="374"/>
      <c r="BB277" s="374"/>
      <c r="BC277" s="374"/>
      <c r="BD277" s="374"/>
      <c r="BE277" s="374"/>
      <c r="BF277" s="374"/>
      <c r="BG277" s="374"/>
      <c r="BH277" s="378"/>
      <c r="BI277" s="376"/>
      <c r="BJ277" s="379"/>
      <c r="BK277" s="380"/>
      <c r="BL277" s="348"/>
      <c r="BM277" s="381"/>
      <c r="BN277" s="321" t="s">
        <v>983</v>
      </c>
      <c r="BO277" s="372"/>
      <c r="BP277" s="373" t="s">
        <v>15</v>
      </c>
      <c r="BQ277" s="360"/>
      <c r="BR277" s="361"/>
      <c r="BS277" s="361"/>
      <c r="BT277" s="361"/>
      <c r="BU277" s="342" t="s">
        <v>210</v>
      </c>
      <c r="BV277" s="342" t="s">
        <v>210</v>
      </c>
      <c r="BW277" s="341" t="s">
        <v>15</v>
      </c>
      <c r="BX277" s="361"/>
      <c r="BY277" s="362"/>
      <c r="BZ277" s="363"/>
      <c r="CA277" s="363"/>
      <c r="CB277" s="363"/>
      <c r="CC277" s="363"/>
      <c r="CD277" s="293"/>
      <c r="CE277" s="364"/>
      <c r="CF277" s="364"/>
      <c r="CG277" s="364"/>
      <c r="CH277" s="364"/>
      <c r="CI277" s="364"/>
      <c r="CJ277" s="364"/>
      <c r="CK277" s="364"/>
      <c r="CL277" s="364"/>
      <c r="CM277" s="364"/>
      <c r="CN277" s="364"/>
      <c r="CO277" s="364"/>
      <c r="CP277" s="364"/>
      <c r="CQ277" s="364"/>
      <c r="CR277" s="364"/>
      <c r="CS277" s="364"/>
      <c r="CT277" s="364"/>
      <c r="CU277" s="364"/>
      <c r="CV277" s="364"/>
      <c r="CW277" s="364"/>
      <c r="CX277" s="364"/>
      <c r="CY277" s="364"/>
      <c r="CZ277" s="364"/>
      <c r="DA277" s="364"/>
      <c r="DB277" s="364"/>
      <c r="DC277" s="364"/>
      <c r="DD277" s="364"/>
      <c r="DE277" s="364"/>
      <c r="DF277" s="364"/>
      <c r="DG277" s="364"/>
      <c r="DH277" s="364"/>
      <c r="DI277" s="364"/>
      <c r="DJ277" s="364"/>
      <c r="DK277" s="364"/>
      <c r="DL277" s="364"/>
      <c r="DM277" s="364"/>
      <c r="DN277" s="364"/>
      <c r="DO277" s="364"/>
      <c r="DP277" s="364"/>
      <c r="DQ277" s="364"/>
      <c r="DR277" s="364"/>
      <c r="DS277" s="364"/>
      <c r="DT277" s="364"/>
      <c r="DU277" s="364"/>
      <c r="DV277" s="364"/>
      <c r="DW277" s="364"/>
      <c r="DX277" s="364"/>
      <c r="DY277" s="364"/>
      <c r="DZ277" s="364"/>
      <c r="EA277" s="364"/>
      <c r="EB277" s="364"/>
      <c r="EC277" s="364"/>
      <c r="ED277" s="364"/>
      <c r="EE277" s="364"/>
      <c r="EF277" s="364"/>
      <c r="EG277" s="364"/>
      <c r="EH277" s="364"/>
      <c r="EI277" s="364"/>
      <c r="EJ277" s="364"/>
      <c r="EK277" s="364"/>
      <c r="EL277" s="364"/>
      <c r="EM277" s="364"/>
      <c r="EN277" s="364"/>
      <c r="EO277" s="364"/>
      <c r="EP277" s="364"/>
      <c r="EQ277" s="364"/>
      <c r="ER277" s="364"/>
      <c r="ES277" s="364"/>
      <c r="ET277" s="364"/>
      <c r="EU277" s="364"/>
      <c r="EV277" s="364"/>
      <c r="EW277" s="364"/>
      <c r="EX277" s="364"/>
      <c r="EY277" s="364"/>
      <c r="EZ277" s="364"/>
      <c r="FA277" s="364"/>
      <c r="FB277" s="364"/>
      <c r="FC277" s="364"/>
      <c r="FD277" s="364"/>
      <c r="FE277" s="364"/>
      <c r="FF277" s="364"/>
      <c r="FG277" s="364"/>
      <c r="FH277" s="364"/>
      <c r="FI277" s="364"/>
      <c r="FJ277" s="364"/>
      <c r="FK277" s="364"/>
      <c r="FL277" s="364"/>
      <c r="FM277" s="364"/>
      <c r="FN277" s="364"/>
      <c r="FO277" s="364"/>
      <c r="FP277" s="364"/>
      <c r="FQ277" s="364"/>
      <c r="FR277" s="364"/>
      <c r="FS277" s="364"/>
      <c r="FT277" s="364"/>
      <c r="FU277" s="364"/>
      <c r="FV277" s="364"/>
      <c r="FW277" s="364"/>
      <c r="FX277" s="364"/>
      <c r="FY277" s="364"/>
      <c r="FZ277" s="364"/>
      <c r="GA277" s="364"/>
      <c r="GB277" s="364"/>
      <c r="GC277" s="364"/>
      <c r="GD277" s="364"/>
      <c r="GE277" s="364"/>
      <c r="GF277" s="364"/>
      <c r="GG277" s="364"/>
      <c r="GH277" s="364"/>
      <c r="GI277" s="364"/>
      <c r="GJ277" s="364"/>
      <c r="GK277" s="364"/>
      <c r="GL277" s="364"/>
      <c r="GM277" s="364"/>
      <c r="GN277" s="364"/>
      <c r="GO277" s="364"/>
      <c r="GP277" s="364"/>
      <c r="GQ277" s="364"/>
      <c r="GR277" s="364"/>
      <c r="GS277" s="364"/>
      <c r="GT277" s="364"/>
      <c r="GU277" s="364"/>
      <c r="GV277" s="364"/>
      <c r="GW277" s="364"/>
      <c r="GX277" s="364"/>
      <c r="GY277" s="364"/>
      <c r="GZ277" s="364"/>
      <c r="HA277" s="364"/>
      <c r="HB277" s="364"/>
      <c r="HC277" s="364"/>
      <c r="HD277" s="364"/>
      <c r="HE277" s="364"/>
      <c r="HF277" s="364"/>
      <c r="HG277" s="364"/>
      <c r="HH277" s="364"/>
      <c r="HI277" s="364"/>
      <c r="HJ277" s="364"/>
      <c r="HK277" s="364"/>
      <c r="HL277" s="364"/>
    </row>
    <row r="278" spans="2:220" s="287" customFormat="1" ht="22.5" customHeight="1">
      <c r="B278" s="365">
        <v>240165</v>
      </c>
      <c r="C278" s="366" t="s">
        <v>338</v>
      </c>
      <c r="D278" s="367"/>
      <c r="E278" s="368"/>
      <c r="F278" s="321" t="s">
        <v>339</v>
      </c>
      <c r="G278" s="326" t="s">
        <v>2215</v>
      </c>
      <c r="H278" s="326" t="s">
        <v>2216</v>
      </c>
      <c r="I278" s="326" t="s">
        <v>11</v>
      </c>
      <c r="J278" s="326" t="s">
        <v>214</v>
      </c>
      <c r="K278" s="326" t="s">
        <v>993</v>
      </c>
      <c r="L278" s="323"/>
      <c r="M278" s="374"/>
      <c r="N278" s="325" t="s">
        <v>438</v>
      </c>
      <c r="O278" s="326" t="s">
        <v>210</v>
      </c>
      <c r="P278" s="326" t="s">
        <v>210</v>
      </c>
      <c r="Q278" s="340" t="s">
        <v>15</v>
      </c>
      <c r="R278" s="329" t="s">
        <v>905</v>
      </c>
      <c r="S278" s="330"/>
      <c r="T278" s="330"/>
      <c r="U278" s="330"/>
      <c r="V278" s="330"/>
      <c r="W278" s="332" t="s">
        <v>1108</v>
      </c>
      <c r="X278" s="331" t="s">
        <v>14002</v>
      </c>
      <c r="Y278" s="331" t="s">
        <v>14518</v>
      </c>
      <c r="Z278" s="331" t="s">
        <v>14519</v>
      </c>
      <c r="AA278" s="331" t="s">
        <v>14004</v>
      </c>
      <c r="AB278" s="333"/>
      <c r="AC278" s="333"/>
      <c r="AD278" s="396" t="s">
        <v>2320</v>
      </c>
      <c r="AE278" s="335" t="s">
        <v>340</v>
      </c>
      <c r="AF278" s="336"/>
      <c r="AG278" s="337"/>
      <c r="AH278" s="417" t="s">
        <v>435</v>
      </c>
      <c r="AI278" s="392" t="s">
        <v>435</v>
      </c>
      <c r="AJ278" s="392" t="s">
        <v>435</v>
      </c>
      <c r="AK278" s="340" t="s">
        <v>435</v>
      </c>
      <c r="AL278" s="321" t="s">
        <v>210</v>
      </c>
      <c r="AM278" s="392" t="s">
        <v>15</v>
      </c>
      <c r="AN278" s="392" t="s">
        <v>15</v>
      </c>
      <c r="AO278" s="341" t="s">
        <v>15</v>
      </c>
      <c r="AP278" s="342"/>
      <c r="AQ278" s="343"/>
      <c r="AR278" s="370">
        <v>927</v>
      </c>
      <c r="AS278" s="326">
        <v>100</v>
      </c>
      <c r="AT278" s="392">
        <v>1</v>
      </c>
      <c r="AU278" s="392"/>
      <c r="AV278" s="392">
        <v>1.5</v>
      </c>
      <c r="AW278" s="340"/>
      <c r="AX278" s="347"/>
      <c r="AY278" s="348"/>
      <c r="AZ278" s="377"/>
      <c r="BA278" s="374"/>
      <c r="BB278" s="374"/>
      <c r="BC278" s="374"/>
      <c r="BD278" s="374"/>
      <c r="BE278" s="374"/>
      <c r="BF278" s="374"/>
      <c r="BG278" s="374"/>
      <c r="BH278" s="378"/>
      <c r="BI278" s="376"/>
      <c r="BJ278" s="379"/>
      <c r="BK278" s="380"/>
      <c r="BL278" s="348"/>
      <c r="BM278" s="381"/>
      <c r="BN278" s="321" t="s">
        <v>983</v>
      </c>
      <c r="BO278" s="372"/>
      <c r="BP278" s="373" t="s">
        <v>983</v>
      </c>
      <c r="BQ278" s="360"/>
      <c r="BR278" s="361"/>
      <c r="BS278" s="361"/>
      <c r="BT278" s="361"/>
      <c r="BU278" s="342" t="s">
        <v>210</v>
      </c>
      <c r="BV278" s="342" t="s">
        <v>210</v>
      </c>
      <c r="BW278" s="341" t="s">
        <v>15</v>
      </c>
      <c r="BX278" s="361"/>
      <c r="BY278" s="362"/>
      <c r="BZ278" s="363"/>
      <c r="CA278" s="363"/>
      <c r="CB278" s="363"/>
      <c r="CC278" s="363"/>
      <c r="CD278" s="293"/>
      <c r="CE278" s="364"/>
      <c r="CF278" s="364"/>
      <c r="CG278" s="364"/>
      <c r="CH278" s="364"/>
      <c r="CI278" s="364"/>
      <c r="CJ278" s="364"/>
      <c r="CK278" s="364"/>
      <c r="CL278" s="364"/>
      <c r="CM278" s="364"/>
      <c r="CN278" s="364"/>
      <c r="CO278" s="364"/>
      <c r="CP278" s="364"/>
      <c r="CQ278" s="364"/>
      <c r="CR278" s="364"/>
      <c r="CS278" s="364"/>
      <c r="CT278" s="364"/>
      <c r="CU278" s="364"/>
      <c r="CV278" s="364"/>
      <c r="CW278" s="364"/>
      <c r="CX278" s="364"/>
      <c r="CY278" s="364"/>
      <c r="CZ278" s="364"/>
      <c r="DA278" s="364"/>
      <c r="DB278" s="364"/>
      <c r="DC278" s="364"/>
      <c r="DD278" s="364"/>
      <c r="DE278" s="364"/>
      <c r="DF278" s="364"/>
      <c r="DG278" s="364"/>
      <c r="DH278" s="364"/>
      <c r="DI278" s="364"/>
      <c r="DJ278" s="364"/>
      <c r="DK278" s="364"/>
      <c r="DL278" s="364"/>
      <c r="DM278" s="364"/>
      <c r="DN278" s="364"/>
      <c r="DO278" s="364"/>
      <c r="DP278" s="364"/>
      <c r="DQ278" s="364"/>
      <c r="DR278" s="364"/>
      <c r="DS278" s="364"/>
      <c r="DT278" s="364"/>
      <c r="DU278" s="364"/>
      <c r="DV278" s="364"/>
      <c r="DW278" s="364"/>
      <c r="DX278" s="364"/>
      <c r="DY278" s="364"/>
      <c r="DZ278" s="364"/>
      <c r="EA278" s="364"/>
      <c r="EB278" s="364"/>
      <c r="EC278" s="364"/>
      <c r="ED278" s="364"/>
      <c r="EE278" s="364"/>
      <c r="EF278" s="364"/>
      <c r="EG278" s="364"/>
      <c r="EH278" s="364"/>
      <c r="EI278" s="364"/>
      <c r="EJ278" s="364"/>
      <c r="EK278" s="364"/>
      <c r="EL278" s="364"/>
      <c r="EM278" s="364"/>
      <c r="EN278" s="364"/>
      <c r="EO278" s="364"/>
      <c r="EP278" s="364"/>
      <c r="EQ278" s="364"/>
      <c r="ER278" s="364"/>
      <c r="ES278" s="364"/>
      <c r="ET278" s="364"/>
      <c r="EU278" s="364"/>
      <c r="EV278" s="364"/>
      <c r="EW278" s="364"/>
      <c r="EX278" s="364"/>
      <c r="EY278" s="364"/>
      <c r="EZ278" s="364"/>
      <c r="FA278" s="364"/>
      <c r="FB278" s="364"/>
      <c r="FC278" s="364"/>
      <c r="FD278" s="364"/>
      <c r="FE278" s="364"/>
      <c r="FF278" s="364"/>
      <c r="FG278" s="364"/>
      <c r="FH278" s="364"/>
      <c r="FI278" s="364"/>
      <c r="FJ278" s="364"/>
      <c r="FK278" s="364"/>
      <c r="FL278" s="364"/>
      <c r="FM278" s="364"/>
      <c r="FN278" s="364"/>
      <c r="FO278" s="364"/>
      <c r="FP278" s="364"/>
      <c r="FQ278" s="364"/>
      <c r="FR278" s="364"/>
      <c r="FS278" s="364"/>
      <c r="FT278" s="364"/>
      <c r="FU278" s="364"/>
      <c r="FV278" s="364"/>
      <c r="FW278" s="364"/>
      <c r="FX278" s="364"/>
      <c r="FY278" s="364"/>
      <c r="FZ278" s="364"/>
      <c r="GA278" s="364"/>
      <c r="GB278" s="364"/>
      <c r="GC278" s="364"/>
      <c r="GD278" s="364"/>
      <c r="GE278" s="364"/>
      <c r="GF278" s="364"/>
      <c r="GG278" s="364"/>
      <c r="GH278" s="364"/>
      <c r="GI278" s="364"/>
      <c r="GJ278" s="364"/>
      <c r="GK278" s="364"/>
      <c r="GL278" s="364"/>
      <c r="GM278" s="364"/>
      <c r="GN278" s="364"/>
      <c r="GO278" s="364"/>
      <c r="GP278" s="364"/>
      <c r="GQ278" s="364"/>
      <c r="GR278" s="364"/>
      <c r="GS278" s="364"/>
      <c r="GT278" s="364"/>
      <c r="GU278" s="364"/>
      <c r="GV278" s="364"/>
      <c r="GW278" s="364"/>
      <c r="GX278" s="364"/>
      <c r="GY278" s="364"/>
      <c r="GZ278" s="364"/>
      <c r="HA278" s="364"/>
      <c r="HB278" s="364"/>
      <c r="HC278" s="364"/>
      <c r="HD278" s="364"/>
      <c r="HE278" s="364"/>
      <c r="HF278" s="364"/>
      <c r="HG278" s="364"/>
      <c r="HH278" s="364"/>
      <c r="HI278" s="364"/>
      <c r="HJ278" s="364"/>
      <c r="HK278" s="364"/>
      <c r="HL278" s="364"/>
    </row>
    <row r="279" spans="2:220" s="287" customFormat="1" ht="22.5" customHeight="1">
      <c r="B279" s="365">
        <v>240166</v>
      </c>
      <c r="C279" s="366" t="s">
        <v>344</v>
      </c>
      <c r="D279" s="367"/>
      <c r="E279" s="368"/>
      <c r="F279" s="321" t="s">
        <v>341</v>
      </c>
      <c r="G279" s="326" t="s">
        <v>2154</v>
      </c>
      <c r="H279" s="326" t="s">
        <v>2214</v>
      </c>
      <c r="I279" s="326" t="s">
        <v>11</v>
      </c>
      <c r="J279" s="326" t="s">
        <v>214</v>
      </c>
      <c r="K279" s="326" t="s">
        <v>324</v>
      </c>
      <c r="L279" s="323"/>
      <c r="M279" s="374"/>
      <c r="N279" s="325" t="s">
        <v>437</v>
      </c>
      <c r="O279" s="326">
        <v>30</v>
      </c>
      <c r="P279" s="327">
        <v>660.69</v>
      </c>
      <c r="Q279" s="369">
        <v>689.41</v>
      </c>
      <c r="R279" s="329" t="s">
        <v>906</v>
      </c>
      <c r="S279" s="331" t="s">
        <v>14315</v>
      </c>
      <c r="T279" s="331" t="s">
        <v>14314</v>
      </c>
      <c r="U279" s="331" t="s">
        <v>16486</v>
      </c>
      <c r="V279" s="331" t="s">
        <v>14313</v>
      </c>
      <c r="W279" s="332" t="s">
        <v>432</v>
      </c>
      <c r="X279" s="331" t="s">
        <v>11079</v>
      </c>
      <c r="Y279" s="331" t="s">
        <v>11080</v>
      </c>
      <c r="Z279" s="331" t="s">
        <v>11080</v>
      </c>
      <c r="AA279" s="331" t="s">
        <v>295</v>
      </c>
      <c r="AB279" s="333"/>
      <c r="AC279" s="333"/>
      <c r="AD279" s="396" t="s">
        <v>2320</v>
      </c>
      <c r="AE279" s="335" t="s">
        <v>309</v>
      </c>
      <c r="AF279" s="336"/>
      <c r="AG279" s="337"/>
      <c r="AH279" s="376"/>
      <c r="AI279" s="347"/>
      <c r="AJ279" s="347"/>
      <c r="AK279" s="371"/>
      <c r="AL279" s="321" t="s">
        <v>210</v>
      </c>
      <c r="AM279" s="392" t="s">
        <v>15</v>
      </c>
      <c r="AN279" s="392" t="s">
        <v>15</v>
      </c>
      <c r="AO279" s="341" t="s">
        <v>15</v>
      </c>
      <c r="AP279" s="342"/>
      <c r="AQ279" s="343"/>
      <c r="AR279" s="370">
        <v>807</v>
      </c>
      <c r="AS279" s="326">
        <v>100</v>
      </c>
      <c r="AT279" s="392">
        <v>1</v>
      </c>
      <c r="AU279" s="392"/>
      <c r="AV279" s="392">
        <v>1.5</v>
      </c>
      <c r="AW279" s="340"/>
      <c r="AX279" s="347"/>
      <c r="AY279" s="348"/>
      <c r="AZ279" s="377"/>
      <c r="BA279" s="374"/>
      <c r="BB279" s="374"/>
      <c r="BC279" s="374"/>
      <c r="BD279" s="374"/>
      <c r="BE279" s="374"/>
      <c r="BF279" s="374"/>
      <c r="BG279" s="374"/>
      <c r="BH279" s="378"/>
      <c r="BI279" s="376"/>
      <c r="BJ279" s="379"/>
      <c r="BK279" s="380"/>
      <c r="BL279" s="348"/>
      <c r="BM279" s="381"/>
      <c r="BN279" s="321" t="s">
        <v>983</v>
      </c>
      <c r="BO279" s="372"/>
      <c r="BP279" s="373" t="s">
        <v>983</v>
      </c>
      <c r="BQ279" s="360"/>
      <c r="BR279" s="361"/>
      <c r="BS279" s="361"/>
      <c r="BT279" s="361"/>
      <c r="BU279" s="342" t="s">
        <v>210</v>
      </c>
      <c r="BV279" s="342" t="s">
        <v>210</v>
      </c>
      <c r="BW279" s="341" t="s">
        <v>15</v>
      </c>
      <c r="BX279" s="361"/>
      <c r="BY279" s="362"/>
      <c r="BZ279" s="363"/>
      <c r="CA279" s="363"/>
      <c r="CB279" s="363"/>
      <c r="CC279" s="363"/>
      <c r="CD279" s="293"/>
      <c r="CE279" s="364"/>
      <c r="CF279" s="364"/>
      <c r="CG279" s="364"/>
      <c r="CH279" s="364"/>
      <c r="CI279" s="364"/>
      <c r="CJ279" s="364"/>
      <c r="CK279" s="364"/>
      <c r="CL279" s="364"/>
      <c r="CM279" s="364"/>
      <c r="CN279" s="364"/>
      <c r="CO279" s="364"/>
      <c r="CP279" s="364"/>
      <c r="CQ279" s="364"/>
      <c r="CR279" s="364"/>
      <c r="CS279" s="364"/>
      <c r="CT279" s="364"/>
      <c r="CU279" s="364"/>
      <c r="CV279" s="364"/>
      <c r="CW279" s="364"/>
      <c r="CX279" s="364"/>
      <c r="CY279" s="364"/>
      <c r="CZ279" s="364"/>
      <c r="DA279" s="364"/>
      <c r="DB279" s="364"/>
      <c r="DC279" s="364"/>
      <c r="DD279" s="364"/>
      <c r="DE279" s="364"/>
      <c r="DF279" s="364"/>
      <c r="DG279" s="364"/>
      <c r="DH279" s="364"/>
      <c r="DI279" s="364"/>
      <c r="DJ279" s="364"/>
      <c r="DK279" s="364"/>
      <c r="DL279" s="364"/>
      <c r="DM279" s="364"/>
      <c r="DN279" s="364"/>
      <c r="DO279" s="364"/>
      <c r="DP279" s="364"/>
      <c r="DQ279" s="364"/>
      <c r="DR279" s="364"/>
      <c r="DS279" s="364"/>
      <c r="DT279" s="364"/>
      <c r="DU279" s="364"/>
      <c r="DV279" s="364"/>
      <c r="DW279" s="364"/>
      <c r="DX279" s="364"/>
      <c r="DY279" s="364"/>
      <c r="DZ279" s="364"/>
      <c r="EA279" s="364"/>
      <c r="EB279" s="364"/>
      <c r="EC279" s="364"/>
      <c r="ED279" s="364"/>
      <c r="EE279" s="364"/>
      <c r="EF279" s="364"/>
      <c r="EG279" s="364"/>
      <c r="EH279" s="364"/>
      <c r="EI279" s="364"/>
      <c r="EJ279" s="364"/>
      <c r="EK279" s="364"/>
      <c r="EL279" s="364"/>
      <c r="EM279" s="364"/>
      <c r="EN279" s="364"/>
      <c r="EO279" s="364"/>
      <c r="EP279" s="364"/>
      <c r="EQ279" s="364"/>
      <c r="ER279" s="364"/>
      <c r="ES279" s="364"/>
      <c r="ET279" s="364"/>
      <c r="EU279" s="364"/>
      <c r="EV279" s="364"/>
      <c r="EW279" s="364"/>
      <c r="EX279" s="364"/>
      <c r="EY279" s="364"/>
      <c r="EZ279" s="364"/>
      <c r="FA279" s="364"/>
      <c r="FB279" s="364"/>
      <c r="FC279" s="364"/>
      <c r="FD279" s="364"/>
      <c r="FE279" s="364"/>
      <c r="FF279" s="364"/>
      <c r="FG279" s="364"/>
      <c r="FH279" s="364"/>
      <c r="FI279" s="364"/>
      <c r="FJ279" s="364"/>
      <c r="FK279" s="364"/>
      <c r="FL279" s="364"/>
      <c r="FM279" s="364"/>
      <c r="FN279" s="364"/>
      <c r="FO279" s="364"/>
      <c r="FP279" s="364"/>
      <c r="FQ279" s="364"/>
      <c r="FR279" s="364"/>
      <c r="FS279" s="364"/>
      <c r="FT279" s="364"/>
      <c r="FU279" s="364"/>
      <c r="FV279" s="364"/>
      <c r="FW279" s="364"/>
      <c r="FX279" s="364"/>
      <c r="FY279" s="364"/>
      <c r="FZ279" s="364"/>
      <c r="GA279" s="364"/>
      <c r="GB279" s="364"/>
      <c r="GC279" s="364"/>
      <c r="GD279" s="364"/>
      <c r="GE279" s="364"/>
      <c r="GF279" s="364"/>
      <c r="GG279" s="364"/>
      <c r="GH279" s="364"/>
      <c r="GI279" s="364"/>
      <c r="GJ279" s="364"/>
      <c r="GK279" s="364"/>
      <c r="GL279" s="364"/>
      <c r="GM279" s="364"/>
      <c r="GN279" s="364"/>
      <c r="GO279" s="364"/>
      <c r="GP279" s="364"/>
      <c r="GQ279" s="364"/>
      <c r="GR279" s="364"/>
      <c r="GS279" s="364"/>
      <c r="GT279" s="364"/>
      <c r="GU279" s="364"/>
      <c r="GV279" s="364"/>
      <c r="GW279" s="364"/>
      <c r="GX279" s="364"/>
      <c r="GY279" s="364"/>
      <c r="GZ279" s="364"/>
      <c r="HA279" s="364"/>
      <c r="HB279" s="364"/>
      <c r="HC279" s="364"/>
      <c r="HD279" s="364"/>
      <c r="HE279" s="364"/>
      <c r="HF279" s="364"/>
      <c r="HG279" s="364"/>
      <c r="HH279" s="364"/>
      <c r="HI279" s="364"/>
      <c r="HJ279" s="364"/>
      <c r="HK279" s="364"/>
      <c r="HL279" s="364"/>
    </row>
    <row r="280" spans="2:220" s="287" customFormat="1" ht="22.5" customHeight="1">
      <c r="B280" s="365">
        <v>240166</v>
      </c>
      <c r="C280" s="366" t="s">
        <v>14312</v>
      </c>
      <c r="D280" s="367"/>
      <c r="E280" s="368"/>
      <c r="F280" s="321" t="s">
        <v>341</v>
      </c>
      <c r="G280" s="326" t="s">
        <v>2154</v>
      </c>
      <c r="H280" s="326" t="s">
        <v>2214</v>
      </c>
      <c r="I280" s="326" t="s">
        <v>11</v>
      </c>
      <c r="J280" s="326" t="s">
        <v>21</v>
      </c>
      <c r="K280" s="326" t="s">
        <v>323</v>
      </c>
      <c r="L280" s="323"/>
      <c r="M280" s="374"/>
      <c r="N280" s="325" t="s">
        <v>438</v>
      </c>
      <c r="O280" s="326">
        <v>30</v>
      </c>
      <c r="P280" s="327">
        <v>1503.63</v>
      </c>
      <c r="Q280" s="369">
        <v>1079.02</v>
      </c>
      <c r="R280" s="329" t="s">
        <v>906</v>
      </c>
      <c r="S280" s="331" t="s">
        <v>14315</v>
      </c>
      <c r="T280" s="331" t="s">
        <v>14314</v>
      </c>
      <c r="U280" s="331" t="s">
        <v>16485</v>
      </c>
      <c r="V280" s="331" t="s">
        <v>14313</v>
      </c>
      <c r="W280" s="332" t="s">
        <v>432</v>
      </c>
      <c r="X280" s="331" t="s">
        <v>11079</v>
      </c>
      <c r="Y280" s="331" t="s">
        <v>11080</v>
      </c>
      <c r="Z280" s="331" t="s">
        <v>11080</v>
      </c>
      <c r="AA280" s="331" t="s">
        <v>295</v>
      </c>
      <c r="AB280" s="333"/>
      <c r="AC280" s="333"/>
      <c r="AD280" s="396" t="s">
        <v>2320</v>
      </c>
      <c r="AE280" s="335" t="s">
        <v>345</v>
      </c>
      <c r="AF280" s="336"/>
      <c r="AG280" s="337"/>
      <c r="AH280" s="376"/>
      <c r="AI280" s="347"/>
      <c r="AJ280" s="347"/>
      <c r="AK280" s="371"/>
      <c r="AL280" s="321" t="s">
        <v>210</v>
      </c>
      <c r="AM280" s="392" t="s">
        <v>15</v>
      </c>
      <c r="AN280" s="392" t="s">
        <v>15</v>
      </c>
      <c r="AO280" s="341" t="s">
        <v>15</v>
      </c>
      <c r="AP280" s="342"/>
      <c r="AQ280" s="343"/>
      <c r="AR280" s="370">
        <v>1248</v>
      </c>
      <c r="AS280" s="326">
        <v>150</v>
      </c>
      <c r="AT280" s="392">
        <v>1</v>
      </c>
      <c r="AU280" s="392"/>
      <c r="AV280" s="392">
        <v>1.5</v>
      </c>
      <c r="AW280" s="340"/>
      <c r="AX280" s="347"/>
      <c r="AY280" s="348"/>
      <c r="AZ280" s="377"/>
      <c r="BA280" s="374"/>
      <c r="BB280" s="374"/>
      <c r="BC280" s="374"/>
      <c r="BD280" s="374"/>
      <c r="BE280" s="374"/>
      <c r="BF280" s="374"/>
      <c r="BG280" s="374"/>
      <c r="BH280" s="378"/>
      <c r="BI280" s="376"/>
      <c r="BJ280" s="379"/>
      <c r="BK280" s="380"/>
      <c r="BL280" s="348"/>
      <c r="BM280" s="381"/>
      <c r="BN280" s="321" t="s">
        <v>983</v>
      </c>
      <c r="BO280" s="372"/>
      <c r="BP280" s="373" t="s">
        <v>983</v>
      </c>
      <c r="BQ280" s="360"/>
      <c r="BR280" s="361"/>
      <c r="BS280" s="361"/>
      <c r="BT280" s="361"/>
      <c r="BU280" s="342" t="s">
        <v>210</v>
      </c>
      <c r="BV280" s="342" t="s">
        <v>210</v>
      </c>
      <c r="BW280" s="341" t="s">
        <v>15</v>
      </c>
      <c r="BX280" s="361"/>
      <c r="BY280" s="362"/>
      <c r="BZ280" s="363"/>
      <c r="CA280" s="363"/>
      <c r="CB280" s="363"/>
      <c r="CC280" s="363"/>
      <c r="CD280" s="293"/>
      <c r="CE280" s="364"/>
      <c r="CF280" s="364"/>
      <c r="CG280" s="364"/>
      <c r="CH280" s="364"/>
      <c r="CI280" s="364"/>
      <c r="CJ280" s="364"/>
      <c r="CK280" s="364"/>
      <c r="CL280" s="364"/>
      <c r="CM280" s="364"/>
      <c r="CN280" s="364"/>
      <c r="CO280" s="364"/>
      <c r="CP280" s="364"/>
      <c r="CQ280" s="364"/>
      <c r="CR280" s="364"/>
      <c r="CS280" s="364"/>
      <c r="CT280" s="364"/>
      <c r="CU280" s="364"/>
      <c r="CV280" s="364"/>
      <c r="CW280" s="364"/>
      <c r="CX280" s="364"/>
      <c r="CY280" s="364"/>
      <c r="CZ280" s="364"/>
      <c r="DA280" s="364"/>
      <c r="DB280" s="364"/>
      <c r="DC280" s="364"/>
      <c r="DD280" s="364"/>
      <c r="DE280" s="364"/>
      <c r="DF280" s="364"/>
      <c r="DG280" s="364"/>
      <c r="DH280" s="364"/>
      <c r="DI280" s="364"/>
      <c r="DJ280" s="364"/>
      <c r="DK280" s="364"/>
      <c r="DL280" s="364"/>
      <c r="DM280" s="364"/>
      <c r="DN280" s="364"/>
      <c r="DO280" s="364"/>
      <c r="DP280" s="364"/>
      <c r="DQ280" s="364"/>
      <c r="DR280" s="364"/>
      <c r="DS280" s="364"/>
      <c r="DT280" s="364"/>
      <c r="DU280" s="364"/>
      <c r="DV280" s="364"/>
      <c r="DW280" s="364"/>
      <c r="DX280" s="364"/>
      <c r="DY280" s="364"/>
      <c r="DZ280" s="364"/>
      <c r="EA280" s="364"/>
      <c r="EB280" s="364"/>
      <c r="EC280" s="364"/>
      <c r="ED280" s="364"/>
      <c r="EE280" s="364"/>
      <c r="EF280" s="364"/>
      <c r="EG280" s="364"/>
      <c r="EH280" s="364"/>
      <c r="EI280" s="364"/>
      <c r="EJ280" s="364"/>
      <c r="EK280" s="364"/>
      <c r="EL280" s="364"/>
      <c r="EM280" s="364"/>
      <c r="EN280" s="364"/>
      <c r="EO280" s="364"/>
      <c r="EP280" s="364"/>
      <c r="EQ280" s="364"/>
      <c r="ER280" s="364"/>
      <c r="ES280" s="364"/>
      <c r="ET280" s="364"/>
      <c r="EU280" s="364"/>
      <c r="EV280" s="364"/>
      <c r="EW280" s="364"/>
      <c r="EX280" s="364"/>
      <c r="EY280" s="364"/>
      <c r="EZ280" s="364"/>
      <c r="FA280" s="364"/>
      <c r="FB280" s="364"/>
      <c r="FC280" s="364"/>
      <c r="FD280" s="364"/>
      <c r="FE280" s="364"/>
      <c r="FF280" s="364"/>
      <c r="FG280" s="364"/>
      <c r="FH280" s="364"/>
      <c r="FI280" s="364"/>
      <c r="FJ280" s="364"/>
      <c r="FK280" s="364"/>
      <c r="FL280" s="364"/>
      <c r="FM280" s="364"/>
      <c r="FN280" s="364"/>
      <c r="FO280" s="364"/>
      <c r="FP280" s="364"/>
      <c r="FQ280" s="364"/>
      <c r="FR280" s="364"/>
      <c r="FS280" s="364"/>
      <c r="FT280" s="364"/>
      <c r="FU280" s="364"/>
      <c r="FV280" s="364"/>
      <c r="FW280" s="364"/>
      <c r="FX280" s="364"/>
      <c r="FY280" s="364"/>
      <c r="FZ280" s="364"/>
      <c r="GA280" s="364"/>
      <c r="GB280" s="364"/>
      <c r="GC280" s="364"/>
      <c r="GD280" s="364"/>
      <c r="GE280" s="364"/>
      <c r="GF280" s="364"/>
      <c r="GG280" s="364"/>
      <c r="GH280" s="364"/>
      <c r="GI280" s="364"/>
      <c r="GJ280" s="364"/>
      <c r="GK280" s="364"/>
      <c r="GL280" s="364"/>
      <c r="GM280" s="364"/>
      <c r="GN280" s="364"/>
      <c r="GO280" s="364"/>
      <c r="GP280" s="364"/>
      <c r="GQ280" s="364"/>
      <c r="GR280" s="364"/>
      <c r="GS280" s="364"/>
      <c r="GT280" s="364"/>
      <c r="GU280" s="364"/>
      <c r="GV280" s="364"/>
      <c r="GW280" s="364"/>
      <c r="GX280" s="364"/>
      <c r="GY280" s="364"/>
      <c r="GZ280" s="364"/>
      <c r="HA280" s="364"/>
      <c r="HB280" s="364"/>
      <c r="HC280" s="364"/>
      <c r="HD280" s="364"/>
      <c r="HE280" s="364"/>
      <c r="HF280" s="364"/>
      <c r="HG280" s="364"/>
      <c r="HH280" s="364"/>
      <c r="HI280" s="364"/>
      <c r="HJ280" s="364"/>
      <c r="HK280" s="364"/>
      <c r="HL280" s="364"/>
    </row>
    <row r="281" spans="2:220" s="287" customFormat="1" ht="22.5" customHeight="1">
      <c r="B281" s="365">
        <v>240167</v>
      </c>
      <c r="C281" s="366" t="s">
        <v>14307</v>
      </c>
      <c r="D281" s="367"/>
      <c r="E281" s="368"/>
      <c r="F281" s="321" t="s">
        <v>341</v>
      </c>
      <c r="G281" s="326" t="s">
        <v>2127</v>
      </c>
      <c r="H281" s="326" t="s">
        <v>2213</v>
      </c>
      <c r="I281" s="326" t="s">
        <v>11</v>
      </c>
      <c r="J281" s="326" t="s">
        <v>21</v>
      </c>
      <c r="K281" s="326" t="s">
        <v>323</v>
      </c>
      <c r="L281" s="323"/>
      <c r="M281" s="374"/>
      <c r="N281" s="325" t="s">
        <v>438</v>
      </c>
      <c r="O281" s="326">
        <v>30</v>
      </c>
      <c r="P281" s="327" t="s">
        <v>914</v>
      </c>
      <c r="Q281" s="369" t="s">
        <v>914</v>
      </c>
      <c r="R281" s="329" t="s">
        <v>920</v>
      </c>
      <c r="S281" s="331" t="s">
        <v>14308</v>
      </c>
      <c r="T281" s="331" t="s">
        <v>14309</v>
      </c>
      <c r="U281" s="331" t="s">
        <v>14310</v>
      </c>
      <c r="V281" s="331" t="s">
        <v>14311</v>
      </c>
      <c r="W281" s="332" t="s">
        <v>1108</v>
      </c>
      <c r="X281" s="331" t="s">
        <v>14002</v>
      </c>
      <c r="Y281" s="331" t="s">
        <v>14518</v>
      </c>
      <c r="Z281" s="331" t="s">
        <v>14519</v>
      </c>
      <c r="AA281" s="331" t="s">
        <v>14004</v>
      </c>
      <c r="AB281" s="333"/>
      <c r="AC281" s="333"/>
      <c r="AD281" s="334" t="s">
        <v>1609</v>
      </c>
      <c r="AE281" s="391"/>
      <c r="AF281" s="336"/>
      <c r="AG281" s="337"/>
      <c r="AH281" s="417" t="s">
        <v>435</v>
      </c>
      <c r="AI281" s="392" t="s">
        <v>435</v>
      </c>
      <c r="AJ281" s="392" t="s">
        <v>435</v>
      </c>
      <c r="AK281" s="340" t="s">
        <v>435</v>
      </c>
      <c r="AL281" s="321" t="s">
        <v>210</v>
      </c>
      <c r="AM281" s="392" t="s">
        <v>15</v>
      </c>
      <c r="AN281" s="392" t="s">
        <v>15</v>
      </c>
      <c r="AO281" s="341" t="s">
        <v>15</v>
      </c>
      <c r="AP281" s="342"/>
      <c r="AQ281" s="343"/>
      <c r="AR281" s="370">
        <v>1167</v>
      </c>
      <c r="AS281" s="326">
        <v>100</v>
      </c>
      <c r="AT281" s="392">
        <v>1</v>
      </c>
      <c r="AU281" s="392"/>
      <c r="AV281" s="392">
        <v>1.8</v>
      </c>
      <c r="AW281" s="340"/>
      <c r="AX281" s="347"/>
      <c r="AY281" s="348"/>
      <c r="AZ281" s="377"/>
      <c r="BA281" s="374"/>
      <c r="BB281" s="374"/>
      <c r="BC281" s="374"/>
      <c r="BD281" s="374"/>
      <c r="BE281" s="374"/>
      <c r="BF281" s="374"/>
      <c r="BG281" s="374"/>
      <c r="BH281" s="378"/>
      <c r="BI281" s="376"/>
      <c r="BJ281" s="379"/>
      <c r="BK281" s="380"/>
      <c r="BL281" s="348"/>
      <c r="BM281" s="381"/>
      <c r="BN281" s="321" t="s">
        <v>15</v>
      </c>
      <c r="BO281" s="372"/>
      <c r="BP281" s="373" t="s">
        <v>983</v>
      </c>
      <c r="BQ281" s="360"/>
      <c r="BR281" s="361"/>
      <c r="BS281" s="361"/>
      <c r="BT281" s="361"/>
      <c r="BU281" s="342" t="s">
        <v>210</v>
      </c>
      <c r="BV281" s="342" t="s">
        <v>210</v>
      </c>
      <c r="BW281" s="341" t="s">
        <v>15</v>
      </c>
      <c r="BX281" s="361"/>
      <c r="BY281" s="362"/>
      <c r="BZ281" s="363"/>
      <c r="CA281" s="363"/>
      <c r="CB281" s="363"/>
      <c r="CC281" s="363"/>
      <c r="CD281" s="293"/>
      <c r="CE281" s="364"/>
      <c r="CF281" s="364"/>
      <c r="CG281" s="364"/>
      <c r="CH281" s="364"/>
      <c r="CI281" s="364"/>
      <c r="CJ281" s="364"/>
      <c r="CK281" s="364"/>
      <c r="CL281" s="364"/>
      <c r="CM281" s="364"/>
      <c r="CN281" s="364"/>
      <c r="CO281" s="364"/>
      <c r="CP281" s="364"/>
      <c r="CQ281" s="364"/>
      <c r="CR281" s="364"/>
      <c r="CS281" s="364"/>
      <c r="CT281" s="364"/>
      <c r="CU281" s="364"/>
      <c r="CV281" s="364"/>
      <c r="CW281" s="364"/>
      <c r="CX281" s="364"/>
      <c r="CY281" s="364"/>
      <c r="CZ281" s="364"/>
      <c r="DA281" s="364"/>
      <c r="DB281" s="364"/>
      <c r="DC281" s="364"/>
      <c r="DD281" s="364"/>
      <c r="DE281" s="364"/>
      <c r="DF281" s="364"/>
      <c r="DG281" s="364"/>
      <c r="DH281" s="364"/>
      <c r="DI281" s="364"/>
      <c r="DJ281" s="364"/>
      <c r="DK281" s="364"/>
      <c r="DL281" s="364"/>
      <c r="DM281" s="364"/>
      <c r="DN281" s="364"/>
      <c r="DO281" s="364"/>
      <c r="DP281" s="364"/>
      <c r="DQ281" s="364"/>
      <c r="DR281" s="364"/>
      <c r="DS281" s="364"/>
      <c r="DT281" s="364"/>
      <c r="DU281" s="364"/>
      <c r="DV281" s="364"/>
      <c r="DW281" s="364"/>
      <c r="DX281" s="364"/>
      <c r="DY281" s="364"/>
      <c r="DZ281" s="364"/>
      <c r="EA281" s="364"/>
      <c r="EB281" s="364"/>
      <c r="EC281" s="364"/>
      <c r="ED281" s="364"/>
      <c r="EE281" s="364"/>
      <c r="EF281" s="364"/>
      <c r="EG281" s="364"/>
      <c r="EH281" s="364"/>
      <c r="EI281" s="364"/>
      <c r="EJ281" s="364"/>
      <c r="EK281" s="364"/>
      <c r="EL281" s="364"/>
      <c r="EM281" s="364"/>
      <c r="EN281" s="364"/>
      <c r="EO281" s="364"/>
      <c r="EP281" s="364"/>
      <c r="EQ281" s="364"/>
      <c r="ER281" s="364"/>
      <c r="ES281" s="364"/>
      <c r="ET281" s="364"/>
      <c r="EU281" s="364"/>
      <c r="EV281" s="364"/>
      <c r="EW281" s="364"/>
      <c r="EX281" s="364"/>
      <c r="EY281" s="364"/>
      <c r="EZ281" s="364"/>
      <c r="FA281" s="364"/>
      <c r="FB281" s="364"/>
      <c r="FC281" s="364"/>
      <c r="FD281" s="364"/>
      <c r="FE281" s="364"/>
      <c r="FF281" s="364"/>
      <c r="FG281" s="364"/>
      <c r="FH281" s="364"/>
      <c r="FI281" s="364"/>
      <c r="FJ281" s="364"/>
      <c r="FK281" s="364"/>
      <c r="FL281" s="364"/>
      <c r="FM281" s="364"/>
      <c r="FN281" s="364"/>
      <c r="FO281" s="364"/>
      <c r="FP281" s="364"/>
      <c r="FQ281" s="364"/>
      <c r="FR281" s="364"/>
      <c r="FS281" s="364"/>
      <c r="FT281" s="364"/>
      <c r="FU281" s="364"/>
      <c r="FV281" s="364"/>
      <c r="FW281" s="364"/>
      <c r="FX281" s="364"/>
      <c r="FY281" s="364"/>
      <c r="FZ281" s="364"/>
      <c r="GA281" s="364"/>
      <c r="GB281" s="364"/>
      <c r="GC281" s="364"/>
      <c r="GD281" s="364"/>
      <c r="GE281" s="364"/>
      <c r="GF281" s="364"/>
      <c r="GG281" s="364"/>
      <c r="GH281" s="364"/>
      <c r="GI281" s="364"/>
      <c r="GJ281" s="364"/>
      <c r="GK281" s="364"/>
      <c r="GL281" s="364"/>
      <c r="GM281" s="364"/>
      <c r="GN281" s="364"/>
      <c r="GO281" s="364"/>
      <c r="GP281" s="364"/>
      <c r="GQ281" s="364"/>
      <c r="GR281" s="364"/>
      <c r="GS281" s="364"/>
      <c r="GT281" s="364"/>
      <c r="GU281" s="364"/>
      <c r="GV281" s="364"/>
      <c r="GW281" s="364"/>
      <c r="GX281" s="364"/>
      <c r="GY281" s="364"/>
      <c r="GZ281" s="364"/>
      <c r="HA281" s="364"/>
      <c r="HB281" s="364"/>
      <c r="HC281" s="364"/>
      <c r="HD281" s="364"/>
      <c r="HE281" s="364"/>
      <c r="HF281" s="364"/>
      <c r="HG281" s="364"/>
      <c r="HH281" s="364"/>
      <c r="HI281" s="364"/>
      <c r="HJ281" s="364"/>
      <c r="HK281" s="364"/>
      <c r="HL281" s="364"/>
    </row>
    <row r="282" spans="2:220" s="287" customFormat="1" ht="22.5" customHeight="1">
      <c r="B282" s="365">
        <v>240169</v>
      </c>
      <c r="C282" s="366" t="s">
        <v>14303</v>
      </c>
      <c r="D282" s="367"/>
      <c r="E282" s="368"/>
      <c r="F282" s="321" t="s">
        <v>249</v>
      </c>
      <c r="G282" s="326" t="s">
        <v>2211</v>
      </c>
      <c r="H282" s="326" t="s">
        <v>2212</v>
      </c>
      <c r="I282" s="326" t="s">
        <v>11</v>
      </c>
      <c r="J282" s="326" t="s">
        <v>21</v>
      </c>
      <c r="K282" s="326" t="s">
        <v>363</v>
      </c>
      <c r="L282" s="323"/>
      <c r="M282" s="374"/>
      <c r="N282" s="325" t="s">
        <v>438</v>
      </c>
      <c r="O282" s="326">
        <v>105</v>
      </c>
      <c r="P282" s="327">
        <v>968.55</v>
      </c>
      <c r="Q282" s="369">
        <v>961.66</v>
      </c>
      <c r="R282" s="329" t="s">
        <v>921</v>
      </c>
      <c r="S282" s="331" t="s">
        <v>14304</v>
      </c>
      <c r="T282" s="331" t="s">
        <v>14306</v>
      </c>
      <c r="U282" s="331" t="s">
        <v>16371</v>
      </c>
      <c r="V282" s="331" t="s">
        <v>14305</v>
      </c>
      <c r="W282" s="332" t="s">
        <v>921</v>
      </c>
      <c r="X282" s="331" t="s">
        <v>14304</v>
      </c>
      <c r="Y282" s="331" t="s">
        <v>14306</v>
      </c>
      <c r="Z282" s="331" t="s">
        <v>16532</v>
      </c>
      <c r="AA282" s="331" t="s">
        <v>14305</v>
      </c>
      <c r="AB282" s="333" t="s">
        <v>1438</v>
      </c>
      <c r="AC282" s="333"/>
      <c r="AD282" s="334" t="s">
        <v>364</v>
      </c>
      <c r="AE282" s="335" t="s">
        <v>922</v>
      </c>
      <c r="AF282" s="336"/>
      <c r="AG282" s="337"/>
      <c r="AH282" s="417" t="s">
        <v>435</v>
      </c>
      <c r="AI282" s="392" t="s">
        <v>435</v>
      </c>
      <c r="AJ282" s="392" t="s">
        <v>435</v>
      </c>
      <c r="AK282" s="340" t="s">
        <v>435</v>
      </c>
      <c r="AL282" s="321" t="s">
        <v>210</v>
      </c>
      <c r="AM282" s="392" t="s">
        <v>15</v>
      </c>
      <c r="AN282" s="392" t="s">
        <v>15</v>
      </c>
      <c r="AO282" s="341" t="s">
        <v>15</v>
      </c>
      <c r="AP282" s="342"/>
      <c r="AQ282" s="343"/>
      <c r="AR282" s="370">
        <v>776</v>
      </c>
      <c r="AS282" s="326">
        <v>100</v>
      </c>
      <c r="AT282" s="392">
        <v>1</v>
      </c>
      <c r="AU282" s="392"/>
      <c r="AV282" s="392">
        <v>1.5</v>
      </c>
      <c r="AW282" s="340"/>
      <c r="AX282" s="347"/>
      <c r="AY282" s="348"/>
      <c r="AZ282" s="377"/>
      <c r="BA282" s="374"/>
      <c r="BB282" s="374"/>
      <c r="BC282" s="374"/>
      <c r="BD282" s="374"/>
      <c r="BE282" s="374"/>
      <c r="BF282" s="374"/>
      <c r="BG282" s="374"/>
      <c r="BH282" s="378"/>
      <c r="BI282" s="376"/>
      <c r="BJ282" s="379"/>
      <c r="BK282" s="380"/>
      <c r="BL282" s="348"/>
      <c r="BM282" s="381"/>
      <c r="BN282" s="321" t="s">
        <v>983</v>
      </c>
      <c r="BO282" s="372"/>
      <c r="BP282" s="373" t="s">
        <v>983</v>
      </c>
      <c r="BQ282" s="360"/>
      <c r="BR282" s="361"/>
      <c r="BS282" s="361"/>
      <c r="BT282" s="361"/>
      <c r="BU282" s="342" t="s">
        <v>210</v>
      </c>
      <c r="BV282" s="342" t="s">
        <v>210</v>
      </c>
      <c r="BW282" s="341" t="s">
        <v>15</v>
      </c>
      <c r="BX282" s="361"/>
      <c r="BY282" s="362"/>
      <c r="BZ282" s="363"/>
      <c r="CA282" s="363"/>
      <c r="CB282" s="363"/>
      <c r="CC282" s="363"/>
      <c r="CD282" s="293"/>
      <c r="CE282" s="364"/>
      <c r="CF282" s="364"/>
      <c r="CG282" s="364"/>
      <c r="CH282" s="364"/>
      <c r="CI282" s="364"/>
      <c r="CJ282" s="364"/>
      <c r="CK282" s="364"/>
      <c r="CL282" s="364"/>
      <c r="CM282" s="364"/>
      <c r="CN282" s="364"/>
      <c r="CO282" s="364"/>
      <c r="CP282" s="364"/>
      <c r="CQ282" s="364"/>
      <c r="CR282" s="364"/>
      <c r="CS282" s="364"/>
      <c r="CT282" s="364"/>
      <c r="CU282" s="364"/>
      <c r="CV282" s="364"/>
      <c r="CW282" s="364"/>
      <c r="CX282" s="364"/>
      <c r="CY282" s="364"/>
      <c r="CZ282" s="364"/>
      <c r="DA282" s="364"/>
      <c r="DB282" s="364"/>
      <c r="DC282" s="364"/>
      <c r="DD282" s="364"/>
      <c r="DE282" s="364"/>
      <c r="DF282" s="364"/>
      <c r="DG282" s="364"/>
      <c r="DH282" s="364"/>
      <c r="DI282" s="364"/>
      <c r="DJ282" s="364"/>
      <c r="DK282" s="364"/>
      <c r="DL282" s="364"/>
      <c r="DM282" s="364"/>
      <c r="DN282" s="364"/>
      <c r="DO282" s="364"/>
      <c r="DP282" s="364"/>
      <c r="DQ282" s="364"/>
      <c r="DR282" s="364"/>
      <c r="DS282" s="364"/>
      <c r="DT282" s="364"/>
      <c r="DU282" s="364"/>
      <c r="DV282" s="364"/>
      <c r="DW282" s="364"/>
      <c r="DX282" s="364"/>
      <c r="DY282" s="364"/>
      <c r="DZ282" s="364"/>
      <c r="EA282" s="364"/>
      <c r="EB282" s="364"/>
      <c r="EC282" s="364"/>
      <c r="ED282" s="364"/>
      <c r="EE282" s="364"/>
      <c r="EF282" s="364"/>
      <c r="EG282" s="364"/>
      <c r="EH282" s="364"/>
      <c r="EI282" s="364"/>
      <c r="EJ282" s="364"/>
      <c r="EK282" s="364"/>
      <c r="EL282" s="364"/>
      <c r="EM282" s="364"/>
      <c r="EN282" s="364"/>
      <c r="EO282" s="364"/>
      <c r="EP282" s="364"/>
      <c r="EQ282" s="364"/>
      <c r="ER282" s="364"/>
      <c r="ES282" s="364"/>
      <c r="ET282" s="364"/>
      <c r="EU282" s="364"/>
      <c r="EV282" s="364"/>
      <c r="EW282" s="364"/>
      <c r="EX282" s="364"/>
      <c r="EY282" s="364"/>
      <c r="EZ282" s="364"/>
      <c r="FA282" s="364"/>
      <c r="FB282" s="364"/>
      <c r="FC282" s="364"/>
      <c r="FD282" s="364"/>
      <c r="FE282" s="364"/>
      <c r="FF282" s="364"/>
      <c r="FG282" s="364"/>
      <c r="FH282" s="364"/>
      <c r="FI282" s="364"/>
      <c r="FJ282" s="364"/>
      <c r="FK282" s="364"/>
      <c r="FL282" s="364"/>
      <c r="FM282" s="364"/>
      <c r="FN282" s="364"/>
      <c r="FO282" s="364"/>
      <c r="FP282" s="364"/>
      <c r="FQ282" s="364"/>
      <c r="FR282" s="364"/>
      <c r="FS282" s="364"/>
      <c r="FT282" s="364"/>
      <c r="FU282" s="364"/>
      <c r="FV282" s="364"/>
      <c r="FW282" s="364"/>
      <c r="FX282" s="364"/>
      <c r="FY282" s="364"/>
      <c r="FZ282" s="364"/>
      <c r="GA282" s="364"/>
      <c r="GB282" s="364"/>
      <c r="GC282" s="364"/>
      <c r="GD282" s="364"/>
      <c r="GE282" s="364"/>
      <c r="GF282" s="364"/>
      <c r="GG282" s="364"/>
      <c r="GH282" s="364"/>
      <c r="GI282" s="364"/>
      <c r="GJ282" s="364"/>
      <c r="GK282" s="364"/>
      <c r="GL282" s="364"/>
      <c r="GM282" s="364"/>
      <c r="GN282" s="364"/>
      <c r="GO282" s="364"/>
      <c r="GP282" s="364"/>
      <c r="GQ282" s="364"/>
      <c r="GR282" s="364"/>
      <c r="GS282" s="364"/>
      <c r="GT282" s="364"/>
      <c r="GU282" s="364"/>
      <c r="GV282" s="364"/>
      <c r="GW282" s="364"/>
      <c r="GX282" s="364"/>
      <c r="GY282" s="364"/>
      <c r="GZ282" s="364"/>
      <c r="HA282" s="364"/>
      <c r="HB282" s="364"/>
      <c r="HC282" s="364"/>
      <c r="HD282" s="364"/>
      <c r="HE282" s="364"/>
      <c r="HF282" s="364"/>
      <c r="HG282" s="364"/>
      <c r="HH282" s="364"/>
      <c r="HI282" s="364"/>
      <c r="HJ282" s="364"/>
      <c r="HK282" s="364"/>
      <c r="HL282" s="364"/>
    </row>
    <row r="283" spans="2:220" s="287" customFormat="1" ht="22.5" customHeight="1">
      <c r="B283" s="365">
        <v>240170</v>
      </c>
      <c r="C283" s="366" t="s">
        <v>242</v>
      </c>
      <c r="D283" s="367"/>
      <c r="E283" s="368"/>
      <c r="F283" s="321" t="s">
        <v>243</v>
      </c>
      <c r="G283" s="326" t="s">
        <v>2119</v>
      </c>
      <c r="H283" s="326" t="s">
        <v>2120</v>
      </c>
      <c r="I283" s="326" t="s">
        <v>11</v>
      </c>
      <c r="J283" s="326" t="s">
        <v>214</v>
      </c>
      <c r="K283" s="326" t="s">
        <v>324</v>
      </c>
      <c r="L283" s="323"/>
      <c r="M283" s="374"/>
      <c r="N283" s="325" t="s">
        <v>438</v>
      </c>
      <c r="O283" s="326">
        <v>15</v>
      </c>
      <c r="P283" s="326" t="s">
        <v>210</v>
      </c>
      <c r="Q283" s="340" t="s">
        <v>15</v>
      </c>
      <c r="R283" s="329" t="s">
        <v>1105</v>
      </c>
      <c r="S283" s="330"/>
      <c r="T283" s="330"/>
      <c r="U283" s="330"/>
      <c r="V283" s="330"/>
      <c r="W283" s="332" t="s">
        <v>462</v>
      </c>
      <c r="X283" s="331" t="s">
        <v>14300</v>
      </c>
      <c r="Y283" s="331" t="s">
        <v>14301</v>
      </c>
      <c r="Z283" s="331" t="s">
        <v>16469</v>
      </c>
      <c r="AA283" s="331" t="s">
        <v>14302</v>
      </c>
      <c r="AB283" s="333"/>
      <c r="AC283" s="333"/>
      <c r="AD283" s="334" t="s">
        <v>2332</v>
      </c>
      <c r="AE283" s="335" t="s">
        <v>243</v>
      </c>
      <c r="AF283" s="336"/>
      <c r="AG283" s="337"/>
      <c r="AH283" s="417" t="s">
        <v>435</v>
      </c>
      <c r="AI283" s="392" t="s">
        <v>435</v>
      </c>
      <c r="AJ283" s="392" t="s">
        <v>435</v>
      </c>
      <c r="AK283" s="340" t="s">
        <v>435</v>
      </c>
      <c r="AL283" s="321" t="s">
        <v>210</v>
      </c>
      <c r="AM283" s="392" t="s">
        <v>15</v>
      </c>
      <c r="AN283" s="392" t="s">
        <v>15</v>
      </c>
      <c r="AO283" s="341" t="s">
        <v>15</v>
      </c>
      <c r="AP283" s="342"/>
      <c r="AQ283" s="343"/>
      <c r="AR283" s="370">
        <v>3227</v>
      </c>
      <c r="AS283" s="326">
        <v>120</v>
      </c>
      <c r="AT283" s="392">
        <v>1</v>
      </c>
      <c r="AU283" s="392"/>
      <c r="AV283" s="392">
        <v>1.5</v>
      </c>
      <c r="AW283" s="340"/>
      <c r="AX283" s="347"/>
      <c r="AY283" s="348"/>
      <c r="AZ283" s="377"/>
      <c r="BA283" s="374"/>
      <c r="BB283" s="374"/>
      <c r="BC283" s="374"/>
      <c r="BD283" s="374"/>
      <c r="BE283" s="374"/>
      <c r="BF283" s="374"/>
      <c r="BG283" s="374"/>
      <c r="BH283" s="378"/>
      <c r="BI283" s="376"/>
      <c r="BJ283" s="379"/>
      <c r="BK283" s="380"/>
      <c r="BL283" s="348"/>
      <c r="BM283" s="381"/>
      <c r="BN283" s="321" t="s">
        <v>15</v>
      </c>
      <c r="BO283" s="372"/>
      <c r="BP283" s="373" t="s">
        <v>983</v>
      </c>
      <c r="BQ283" s="360"/>
      <c r="BR283" s="361"/>
      <c r="BS283" s="361"/>
      <c r="BT283" s="361"/>
      <c r="BU283" s="342" t="s">
        <v>210</v>
      </c>
      <c r="BV283" s="342" t="s">
        <v>210</v>
      </c>
      <c r="BW283" s="341" t="s">
        <v>15</v>
      </c>
      <c r="BX283" s="361"/>
      <c r="BY283" s="362"/>
      <c r="BZ283" s="363"/>
      <c r="CA283" s="363"/>
      <c r="CB283" s="363"/>
      <c r="CC283" s="363"/>
      <c r="CD283" s="293"/>
      <c r="CE283" s="364"/>
      <c r="CF283" s="364"/>
      <c r="CG283" s="364"/>
      <c r="CH283" s="364"/>
      <c r="CI283" s="364"/>
      <c r="CJ283" s="364"/>
      <c r="CK283" s="364"/>
      <c r="CL283" s="364"/>
      <c r="CM283" s="364"/>
      <c r="CN283" s="364"/>
      <c r="CO283" s="364"/>
      <c r="CP283" s="364"/>
      <c r="CQ283" s="364"/>
      <c r="CR283" s="364"/>
      <c r="CS283" s="364"/>
      <c r="CT283" s="364"/>
      <c r="CU283" s="364"/>
      <c r="CV283" s="364"/>
      <c r="CW283" s="364"/>
      <c r="CX283" s="364"/>
      <c r="CY283" s="364"/>
      <c r="CZ283" s="364"/>
      <c r="DA283" s="364"/>
      <c r="DB283" s="364"/>
      <c r="DC283" s="364"/>
      <c r="DD283" s="364"/>
      <c r="DE283" s="364"/>
      <c r="DF283" s="364"/>
      <c r="DG283" s="364"/>
      <c r="DH283" s="364"/>
      <c r="DI283" s="364"/>
      <c r="DJ283" s="364"/>
      <c r="DK283" s="364"/>
      <c r="DL283" s="364"/>
      <c r="DM283" s="364"/>
      <c r="DN283" s="364"/>
      <c r="DO283" s="364"/>
      <c r="DP283" s="364"/>
      <c r="DQ283" s="364"/>
      <c r="DR283" s="364"/>
      <c r="DS283" s="364"/>
      <c r="DT283" s="364"/>
      <c r="DU283" s="364"/>
      <c r="DV283" s="364"/>
      <c r="DW283" s="364"/>
      <c r="DX283" s="364"/>
      <c r="DY283" s="364"/>
      <c r="DZ283" s="364"/>
      <c r="EA283" s="364"/>
      <c r="EB283" s="364"/>
      <c r="EC283" s="364"/>
      <c r="ED283" s="364"/>
      <c r="EE283" s="364"/>
      <c r="EF283" s="364"/>
      <c r="EG283" s="364"/>
      <c r="EH283" s="364"/>
      <c r="EI283" s="364"/>
      <c r="EJ283" s="364"/>
      <c r="EK283" s="364"/>
      <c r="EL283" s="364"/>
      <c r="EM283" s="364"/>
      <c r="EN283" s="364"/>
      <c r="EO283" s="364"/>
      <c r="EP283" s="364"/>
      <c r="EQ283" s="364"/>
      <c r="ER283" s="364"/>
      <c r="ES283" s="364"/>
      <c r="ET283" s="364"/>
      <c r="EU283" s="364"/>
      <c r="EV283" s="364"/>
      <c r="EW283" s="364"/>
      <c r="EX283" s="364"/>
      <c r="EY283" s="364"/>
      <c r="EZ283" s="364"/>
      <c r="FA283" s="364"/>
      <c r="FB283" s="364"/>
      <c r="FC283" s="364"/>
      <c r="FD283" s="364"/>
      <c r="FE283" s="364"/>
      <c r="FF283" s="364"/>
      <c r="FG283" s="364"/>
      <c r="FH283" s="364"/>
      <c r="FI283" s="364"/>
      <c r="FJ283" s="364"/>
      <c r="FK283" s="364"/>
      <c r="FL283" s="364"/>
      <c r="FM283" s="364"/>
      <c r="FN283" s="364"/>
      <c r="FO283" s="364"/>
      <c r="FP283" s="364"/>
      <c r="FQ283" s="364"/>
      <c r="FR283" s="364"/>
      <c r="FS283" s="364"/>
      <c r="FT283" s="364"/>
      <c r="FU283" s="364"/>
      <c r="FV283" s="364"/>
      <c r="FW283" s="364"/>
      <c r="FX283" s="364"/>
      <c r="FY283" s="364"/>
      <c r="FZ283" s="364"/>
      <c r="GA283" s="364"/>
      <c r="GB283" s="364"/>
      <c r="GC283" s="364"/>
      <c r="GD283" s="364"/>
      <c r="GE283" s="364"/>
      <c r="GF283" s="364"/>
      <c r="GG283" s="364"/>
      <c r="GH283" s="364"/>
      <c r="GI283" s="364"/>
      <c r="GJ283" s="364"/>
      <c r="GK283" s="364"/>
      <c r="GL283" s="364"/>
      <c r="GM283" s="364"/>
      <c r="GN283" s="364"/>
      <c r="GO283" s="364"/>
      <c r="GP283" s="364"/>
      <c r="GQ283" s="364"/>
      <c r="GR283" s="364"/>
      <c r="GS283" s="364"/>
      <c r="GT283" s="364"/>
      <c r="GU283" s="364"/>
      <c r="GV283" s="364"/>
      <c r="GW283" s="364"/>
      <c r="GX283" s="364"/>
      <c r="GY283" s="364"/>
      <c r="GZ283" s="364"/>
      <c r="HA283" s="364"/>
      <c r="HB283" s="364"/>
      <c r="HC283" s="364"/>
      <c r="HD283" s="364"/>
      <c r="HE283" s="364"/>
      <c r="HF283" s="364"/>
      <c r="HG283" s="364"/>
      <c r="HH283" s="364"/>
      <c r="HI283" s="364"/>
      <c r="HJ283" s="364"/>
      <c r="HK283" s="364"/>
      <c r="HL283" s="364"/>
    </row>
    <row r="284" spans="2:220" s="287" customFormat="1" ht="22.5" customHeight="1">
      <c r="B284" s="365">
        <v>240171</v>
      </c>
      <c r="C284" s="366" t="s">
        <v>354</v>
      </c>
      <c r="D284" s="367"/>
      <c r="E284" s="368"/>
      <c r="F284" s="321" t="s">
        <v>356</v>
      </c>
      <c r="G284" s="326" t="s">
        <v>2209</v>
      </c>
      <c r="H284" s="326" t="s">
        <v>2210</v>
      </c>
      <c r="I284" s="326" t="s">
        <v>11</v>
      </c>
      <c r="J284" s="326" t="s">
        <v>216</v>
      </c>
      <c r="K284" s="326" t="s">
        <v>355</v>
      </c>
      <c r="L284" s="323"/>
      <c r="M284" s="374"/>
      <c r="N284" s="325" t="s">
        <v>918</v>
      </c>
      <c r="O284" s="326" t="s">
        <v>210</v>
      </c>
      <c r="P284" s="327">
        <v>3141.61</v>
      </c>
      <c r="Q284" s="369">
        <v>1057.1600000000001</v>
      </c>
      <c r="R284" s="329" t="s">
        <v>461</v>
      </c>
      <c r="S284" s="331" t="s">
        <v>14296</v>
      </c>
      <c r="T284" s="331" t="s">
        <v>14298</v>
      </c>
      <c r="U284" s="331" t="s">
        <v>14297</v>
      </c>
      <c r="V284" s="331" t="s">
        <v>14299</v>
      </c>
      <c r="W284" s="460" t="s">
        <v>3016</v>
      </c>
      <c r="X284" s="331" t="s">
        <v>12915</v>
      </c>
      <c r="Y284" s="331" t="s">
        <v>12914</v>
      </c>
      <c r="Z284" s="331" t="s">
        <v>12913</v>
      </c>
      <c r="AA284" s="331" t="s">
        <v>12912</v>
      </c>
      <c r="AB284" s="333"/>
      <c r="AC284" s="333"/>
      <c r="AD284" s="334" t="s">
        <v>357</v>
      </c>
      <c r="AE284" s="335" t="s">
        <v>358</v>
      </c>
      <c r="AF284" s="336"/>
      <c r="AG284" s="337"/>
      <c r="AH284" s="417" t="s">
        <v>435</v>
      </c>
      <c r="AI284" s="392" t="s">
        <v>435</v>
      </c>
      <c r="AJ284" s="392" t="s">
        <v>435</v>
      </c>
      <c r="AK284" s="340" t="s">
        <v>435</v>
      </c>
      <c r="AL284" s="321" t="s">
        <v>210</v>
      </c>
      <c r="AM284" s="392" t="s">
        <v>15</v>
      </c>
      <c r="AN284" s="392" t="s">
        <v>15</v>
      </c>
      <c r="AO284" s="341" t="s">
        <v>15</v>
      </c>
      <c r="AP284" s="342"/>
      <c r="AQ284" s="343"/>
      <c r="AR284" s="370">
        <v>1402</v>
      </c>
      <c r="AS284" s="326">
        <v>200</v>
      </c>
      <c r="AT284" s="392">
        <v>1</v>
      </c>
      <c r="AU284" s="392"/>
      <c r="AV284" s="392">
        <v>1</v>
      </c>
      <c r="AW284" s="340"/>
      <c r="AX284" s="347"/>
      <c r="AY284" s="348"/>
      <c r="AZ284" s="377"/>
      <c r="BA284" s="374"/>
      <c r="BB284" s="374"/>
      <c r="BC284" s="374"/>
      <c r="BD284" s="374"/>
      <c r="BE284" s="374"/>
      <c r="BF284" s="374"/>
      <c r="BG284" s="374"/>
      <c r="BH284" s="378"/>
      <c r="BI284" s="376"/>
      <c r="BJ284" s="379"/>
      <c r="BK284" s="380"/>
      <c r="BL284" s="348"/>
      <c r="BM284" s="381"/>
      <c r="BN284" s="321" t="s">
        <v>983</v>
      </c>
      <c r="BO284" s="372"/>
      <c r="BP284" s="373" t="s">
        <v>15</v>
      </c>
      <c r="BQ284" s="360"/>
      <c r="BR284" s="361"/>
      <c r="BS284" s="361"/>
      <c r="BT284" s="361"/>
      <c r="BU284" s="342" t="s">
        <v>210</v>
      </c>
      <c r="BV284" s="342" t="s">
        <v>210</v>
      </c>
      <c r="BW284" s="341" t="s">
        <v>15</v>
      </c>
      <c r="BX284" s="361"/>
      <c r="BY284" s="362"/>
      <c r="BZ284" s="363"/>
      <c r="CA284" s="363"/>
      <c r="CB284" s="363"/>
      <c r="CC284" s="363"/>
      <c r="CD284" s="293"/>
      <c r="CE284" s="364"/>
      <c r="CF284" s="364"/>
      <c r="CG284" s="364"/>
      <c r="CH284" s="364"/>
      <c r="CI284" s="364"/>
      <c r="CJ284" s="364"/>
      <c r="CK284" s="364"/>
      <c r="CL284" s="364"/>
      <c r="CM284" s="364"/>
      <c r="CN284" s="364"/>
      <c r="CO284" s="364"/>
      <c r="CP284" s="364"/>
      <c r="CQ284" s="364"/>
      <c r="CR284" s="364"/>
      <c r="CS284" s="364"/>
      <c r="CT284" s="364"/>
      <c r="CU284" s="364"/>
      <c r="CV284" s="364"/>
      <c r="CW284" s="364"/>
      <c r="CX284" s="364"/>
      <c r="CY284" s="364"/>
      <c r="CZ284" s="364"/>
      <c r="DA284" s="364"/>
      <c r="DB284" s="364"/>
      <c r="DC284" s="364"/>
      <c r="DD284" s="364"/>
      <c r="DE284" s="364"/>
      <c r="DF284" s="364"/>
      <c r="DG284" s="364"/>
      <c r="DH284" s="364"/>
      <c r="DI284" s="364"/>
      <c r="DJ284" s="364"/>
      <c r="DK284" s="364"/>
      <c r="DL284" s="364"/>
      <c r="DM284" s="364"/>
      <c r="DN284" s="364"/>
      <c r="DO284" s="364"/>
      <c r="DP284" s="364"/>
      <c r="DQ284" s="364"/>
      <c r="DR284" s="364"/>
      <c r="DS284" s="364"/>
      <c r="DT284" s="364"/>
      <c r="DU284" s="364"/>
      <c r="DV284" s="364"/>
      <c r="DW284" s="364"/>
      <c r="DX284" s="364"/>
      <c r="DY284" s="364"/>
      <c r="DZ284" s="364"/>
      <c r="EA284" s="364"/>
      <c r="EB284" s="364"/>
      <c r="EC284" s="364"/>
      <c r="ED284" s="364"/>
      <c r="EE284" s="364"/>
      <c r="EF284" s="364"/>
      <c r="EG284" s="364"/>
      <c r="EH284" s="364"/>
      <c r="EI284" s="364"/>
      <c r="EJ284" s="364"/>
      <c r="EK284" s="364"/>
      <c r="EL284" s="364"/>
      <c r="EM284" s="364"/>
      <c r="EN284" s="364"/>
      <c r="EO284" s="364"/>
      <c r="EP284" s="364"/>
      <c r="EQ284" s="364"/>
      <c r="ER284" s="364"/>
      <c r="ES284" s="364"/>
      <c r="ET284" s="364"/>
      <c r="EU284" s="364"/>
      <c r="EV284" s="364"/>
      <c r="EW284" s="364"/>
      <c r="EX284" s="364"/>
      <c r="EY284" s="364"/>
      <c r="EZ284" s="364"/>
      <c r="FA284" s="364"/>
      <c r="FB284" s="364"/>
      <c r="FC284" s="364"/>
      <c r="FD284" s="364"/>
      <c r="FE284" s="364"/>
      <c r="FF284" s="364"/>
      <c r="FG284" s="364"/>
      <c r="FH284" s="364"/>
      <c r="FI284" s="364"/>
      <c r="FJ284" s="364"/>
      <c r="FK284" s="364"/>
      <c r="FL284" s="364"/>
      <c r="FM284" s="364"/>
      <c r="FN284" s="364"/>
      <c r="FO284" s="364"/>
      <c r="FP284" s="364"/>
      <c r="FQ284" s="364"/>
      <c r="FR284" s="364"/>
      <c r="FS284" s="364"/>
      <c r="FT284" s="364"/>
      <c r="FU284" s="364"/>
      <c r="FV284" s="364"/>
      <c r="FW284" s="364"/>
      <c r="FX284" s="364"/>
      <c r="FY284" s="364"/>
      <c r="FZ284" s="364"/>
      <c r="GA284" s="364"/>
      <c r="GB284" s="364"/>
      <c r="GC284" s="364"/>
      <c r="GD284" s="364"/>
      <c r="GE284" s="364"/>
      <c r="GF284" s="364"/>
      <c r="GG284" s="364"/>
      <c r="GH284" s="364"/>
      <c r="GI284" s="364"/>
      <c r="GJ284" s="364"/>
      <c r="GK284" s="364"/>
      <c r="GL284" s="364"/>
      <c r="GM284" s="364"/>
      <c r="GN284" s="364"/>
      <c r="GO284" s="364"/>
      <c r="GP284" s="364"/>
      <c r="GQ284" s="364"/>
      <c r="GR284" s="364"/>
      <c r="GS284" s="364"/>
      <c r="GT284" s="364"/>
      <c r="GU284" s="364"/>
      <c r="GV284" s="364"/>
      <c r="GW284" s="364"/>
      <c r="GX284" s="364"/>
      <c r="GY284" s="364"/>
      <c r="GZ284" s="364"/>
      <c r="HA284" s="364"/>
      <c r="HB284" s="364"/>
      <c r="HC284" s="364"/>
      <c r="HD284" s="364"/>
      <c r="HE284" s="364"/>
      <c r="HF284" s="364"/>
      <c r="HG284" s="364"/>
      <c r="HH284" s="364"/>
      <c r="HI284" s="364"/>
      <c r="HJ284" s="364"/>
      <c r="HK284" s="364"/>
      <c r="HL284" s="364"/>
    </row>
    <row r="285" spans="2:220" s="287" customFormat="1" ht="22.5" customHeight="1">
      <c r="B285" s="365">
        <v>240172</v>
      </c>
      <c r="C285" s="366" t="s">
        <v>349</v>
      </c>
      <c r="D285" s="367"/>
      <c r="E285" s="368"/>
      <c r="F285" s="321" t="s">
        <v>301</v>
      </c>
      <c r="G285" s="326" t="s">
        <v>2207</v>
      </c>
      <c r="H285" s="326" t="s">
        <v>2208</v>
      </c>
      <c r="I285" s="326" t="s">
        <v>11</v>
      </c>
      <c r="J285" s="326" t="s">
        <v>21</v>
      </c>
      <c r="K285" s="326" t="s">
        <v>324</v>
      </c>
      <c r="L285" s="323"/>
      <c r="M285" s="324" t="s">
        <v>10767</v>
      </c>
      <c r="N285" s="325" t="s">
        <v>438</v>
      </c>
      <c r="O285" s="326">
        <v>30</v>
      </c>
      <c r="P285" s="327">
        <v>2098</v>
      </c>
      <c r="Q285" s="369">
        <v>2122.15</v>
      </c>
      <c r="R285" s="329" t="s">
        <v>447</v>
      </c>
      <c r="S285" s="332" t="s">
        <v>11077</v>
      </c>
      <c r="T285" s="332" t="s">
        <v>11078</v>
      </c>
      <c r="U285" s="332" t="s">
        <v>16355</v>
      </c>
      <c r="V285" s="332" t="s">
        <v>11133</v>
      </c>
      <c r="W285" s="332" t="s">
        <v>432</v>
      </c>
      <c r="X285" s="331" t="s">
        <v>11079</v>
      </c>
      <c r="Y285" s="331" t="s">
        <v>11080</v>
      </c>
      <c r="Z285" s="331" t="s">
        <v>11080</v>
      </c>
      <c r="AA285" s="331" t="s">
        <v>295</v>
      </c>
      <c r="AB285" s="333"/>
      <c r="AC285" s="333"/>
      <c r="AD285" s="334" t="s">
        <v>272</v>
      </c>
      <c r="AE285" s="335" t="s">
        <v>302</v>
      </c>
      <c r="AF285" s="336"/>
      <c r="AG285" s="337"/>
      <c r="AH285" s="417">
        <v>9</v>
      </c>
      <c r="AI285" s="392">
        <v>18.600000000000001</v>
      </c>
      <c r="AJ285" s="392">
        <v>18.600000000000001</v>
      </c>
      <c r="AK285" s="340">
        <f>SUM(AH285:AJ285)</f>
        <v>46.2</v>
      </c>
      <c r="AL285" s="321" t="s">
        <v>210</v>
      </c>
      <c r="AM285" s="392" t="s">
        <v>15</v>
      </c>
      <c r="AN285" s="392" t="s">
        <v>15</v>
      </c>
      <c r="AO285" s="341" t="s">
        <v>15</v>
      </c>
      <c r="AP285" s="342"/>
      <c r="AQ285" s="343"/>
      <c r="AR285" s="370">
        <v>2463</v>
      </c>
      <c r="AS285" s="326">
        <v>100</v>
      </c>
      <c r="AT285" s="392">
        <v>1</v>
      </c>
      <c r="AU285" s="392"/>
      <c r="AV285" s="392">
        <v>1</v>
      </c>
      <c r="AW285" s="340"/>
      <c r="AX285" s="347"/>
      <c r="AY285" s="348"/>
      <c r="AZ285" s="377"/>
      <c r="BA285" s="374"/>
      <c r="BB285" s="374"/>
      <c r="BC285" s="374"/>
      <c r="BD285" s="374"/>
      <c r="BE285" s="374"/>
      <c r="BF285" s="374"/>
      <c r="BG285" s="374"/>
      <c r="BH285" s="378"/>
      <c r="BI285" s="376"/>
      <c r="BJ285" s="379"/>
      <c r="BK285" s="380"/>
      <c r="BL285" s="348"/>
      <c r="BM285" s="381"/>
      <c r="BN285" s="321" t="s">
        <v>983</v>
      </c>
      <c r="BO285" s="372"/>
      <c r="BP285" s="373" t="s">
        <v>983</v>
      </c>
      <c r="BQ285" s="360"/>
      <c r="BR285" s="361"/>
      <c r="BS285" s="361"/>
      <c r="BT285" s="361"/>
      <c r="BU285" s="342" t="s">
        <v>210</v>
      </c>
      <c r="BV285" s="342" t="s">
        <v>210</v>
      </c>
      <c r="BW285" s="341" t="s">
        <v>15</v>
      </c>
      <c r="BX285" s="361"/>
      <c r="BY285" s="362"/>
      <c r="BZ285" s="363"/>
      <c r="CA285" s="363"/>
      <c r="CB285" s="363"/>
      <c r="CC285" s="363"/>
      <c r="CD285" s="293"/>
      <c r="CE285" s="364"/>
      <c r="CF285" s="364"/>
      <c r="CG285" s="364"/>
      <c r="CH285" s="364"/>
      <c r="CI285" s="364"/>
      <c r="CJ285" s="364"/>
      <c r="CK285" s="364"/>
      <c r="CL285" s="364"/>
      <c r="CM285" s="364"/>
      <c r="CN285" s="364"/>
      <c r="CO285" s="364"/>
      <c r="CP285" s="364"/>
      <c r="CQ285" s="364"/>
      <c r="CR285" s="364"/>
      <c r="CS285" s="364"/>
      <c r="CT285" s="364"/>
      <c r="CU285" s="364"/>
      <c r="CV285" s="364"/>
      <c r="CW285" s="364"/>
      <c r="CX285" s="364"/>
      <c r="CY285" s="364"/>
      <c r="CZ285" s="364"/>
      <c r="DA285" s="364"/>
      <c r="DB285" s="364"/>
      <c r="DC285" s="364"/>
      <c r="DD285" s="364"/>
      <c r="DE285" s="364"/>
      <c r="DF285" s="364"/>
      <c r="DG285" s="364"/>
      <c r="DH285" s="364"/>
      <c r="DI285" s="364"/>
      <c r="DJ285" s="364"/>
      <c r="DK285" s="364"/>
      <c r="DL285" s="364"/>
      <c r="DM285" s="364"/>
      <c r="DN285" s="364"/>
      <c r="DO285" s="364"/>
      <c r="DP285" s="364"/>
      <c r="DQ285" s="364"/>
      <c r="DR285" s="364"/>
      <c r="DS285" s="364"/>
      <c r="DT285" s="364"/>
      <c r="DU285" s="364"/>
      <c r="DV285" s="364"/>
      <c r="DW285" s="364"/>
      <c r="DX285" s="364"/>
      <c r="DY285" s="364"/>
      <c r="DZ285" s="364"/>
      <c r="EA285" s="364"/>
      <c r="EB285" s="364"/>
      <c r="EC285" s="364"/>
      <c r="ED285" s="364"/>
      <c r="EE285" s="364"/>
      <c r="EF285" s="364"/>
      <c r="EG285" s="364"/>
      <c r="EH285" s="364"/>
      <c r="EI285" s="364"/>
      <c r="EJ285" s="364"/>
      <c r="EK285" s="364"/>
      <c r="EL285" s="364"/>
      <c r="EM285" s="364"/>
      <c r="EN285" s="364"/>
      <c r="EO285" s="364"/>
      <c r="EP285" s="364"/>
      <c r="EQ285" s="364"/>
      <c r="ER285" s="364"/>
      <c r="ES285" s="364"/>
      <c r="ET285" s="364"/>
      <c r="EU285" s="364"/>
      <c r="EV285" s="364"/>
      <c r="EW285" s="364"/>
      <c r="EX285" s="364"/>
      <c r="EY285" s="364"/>
      <c r="EZ285" s="364"/>
      <c r="FA285" s="364"/>
      <c r="FB285" s="364"/>
      <c r="FC285" s="364"/>
      <c r="FD285" s="364"/>
      <c r="FE285" s="364"/>
      <c r="FF285" s="364"/>
      <c r="FG285" s="364"/>
      <c r="FH285" s="364"/>
      <c r="FI285" s="364"/>
      <c r="FJ285" s="364"/>
      <c r="FK285" s="364"/>
      <c r="FL285" s="364"/>
      <c r="FM285" s="364"/>
      <c r="FN285" s="364"/>
      <c r="FO285" s="364"/>
      <c r="FP285" s="364"/>
      <c r="FQ285" s="364"/>
      <c r="FR285" s="364"/>
      <c r="FS285" s="364"/>
      <c r="FT285" s="364"/>
      <c r="FU285" s="364"/>
      <c r="FV285" s="364"/>
      <c r="FW285" s="364"/>
      <c r="FX285" s="364"/>
      <c r="FY285" s="364"/>
      <c r="FZ285" s="364"/>
      <c r="GA285" s="364"/>
      <c r="GB285" s="364"/>
      <c r="GC285" s="364"/>
      <c r="GD285" s="364"/>
      <c r="GE285" s="364"/>
      <c r="GF285" s="364"/>
      <c r="GG285" s="364"/>
      <c r="GH285" s="364"/>
      <c r="GI285" s="364"/>
      <c r="GJ285" s="364"/>
      <c r="GK285" s="364"/>
      <c r="GL285" s="364"/>
      <c r="GM285" s="364"/>
      <c r="GN285" s="364"/>
      <c r="GO285" s="364"/>
      <c r="GP285" s="364"/>
      <c r="GQ285" s="364"/>
      <c r="GR285" s="364"/>
      <c r="GS285" s="364"/>
      <c r="GT285" s="364"/>
      <c r="GU285" s="364"/>
      <c r="GV285" s="364"/>
      <c r="GW285" s="364"/>
      <c r="GX285" s="364"/>
      <c r="GY285" s="364"/>
      <c r="GZ285" s="364"/>
      <c r="HA285" s="364"/>
      <c r="HB285" s="364"/>
      <c r="HC285" s="364"/>
      <c r="HD285" s="364"/>
      <c r="HE285" s="364"/>
      <c r="HF285" s="364"/>
      <c r="HG285" s="364"/>
      <c r="HH285" s="364"/>
      <c r="HI285" s="364"/>
      <c r="HJ285" s="364"/>
      <c r="HK285" s="364"/>
      <c r="HL285" s="364"/>
    </row>
    <row r="286" spans="2:220" s="287" customFormat="1" ht="22.5" customHeight="1">
      <c r="B286" s="365">
        <v>240173</v>
      </c>
      <c r="C286" s="366" t="s">
        <v>241</v>
      </c>
      <c r="D286" s="367"/>
      <c r="E286" s="368"/>
      <c r="F286" s="321" t="s">
        <v>229</v>
      </c>
      <c r="G286" s="326" t="s">
        <v>2205</v>
      </c>
      <c r="H286" s="326" t="s">
        <v>2206</v>
      </c>
      <c r="I286" s="326" t="s">
        <v>11</v>
      </c>
      <c r="J286" s="326" t="s">
        <v>214</v>
      </c>
      <c r="K286" s="326" t="s">
        <v>324</v>
      </c>
      <c r="L286" s="323"/>
      <c r="M286" s="374"/>
      <c r="N286" s="325" t="s">
        <v>438</v>
      </c>
      <c r="O286" s="326" t="s">
        <v>210</v>
      </c>
      <c r="P286" s="326" t="s">
        <v>210</v>
      </c>
      <c r="Q286" s="340" t="s">
        <v>15</v>
      </c>
      <c r="R286" s="329" t="s">
        <v>923</v>
      </c>
      <c r="S286" s="331" t="s">
        <v>14292</v>
      </c>
      <c r="T286" s="331" t="s">
        <v>14295</v>
      </c>
      <c r="U286" s="331" t="s">
        <v>14294</v>
      </c>
      <c r="V286" s="331" t="s">
        <v>14293</v>
      </c>
      <c r="W286" s="332" t="s">
        <v>6415</v>
      </c>
      <c r="X286" s="331" t="s">
        <v>14289</v>
      </c>
      <c r="Y286" s="331" t="s">
        <v>14290</v>
      </c>
      <c r="Z286" s="331" t="s">
        <v>16398</v>
      </c>
      <c r="AA286" s="331" t="s">
        <v>14291</v>
      </c>
      <c r="AB286" s="333"/>
      <c r="AC286" s="333"/>
      <c r="AD286" s="396" t="s">
        <v>2320</v>
      </c>
      <c r="AE286" s="335" t="s">
        <v>335</v>
      </c>
      <c r="AF286" s="336"/>
      <c r="AG286" s="337"/>
      <c r="AH286" s="417" t="s">
        <v>435</v>
      </c>
      <c r="AI286" s="392" t="s">
        <v>435</v>
      </c>
      <c r="AJ286" s="392" t="s">
        <v>435</v>
      </c>
      <c r="AK286" s="340" t="s">
        <v>435</v>
      </c>
      <c r="AL286" s="321" t="s">
        <v>210</v>
      </c>
      <c r="AM286" s="392" t="s">
        <v>15</v>
      </c>
      <c r="AN286" s="392" t="s">
        <v>15</v>
      </c>
      <c r="AO286" s="341" t="s">
        <v>15</v>
      </c>
      <c r="AP286" s="342"/>
      <c r="AQ286" s="343"/>
      <c r="AR286" s="370">
        <v>8864</v>
      </c>
      <c r="AS286" s="326">
        <v>100</v>
      </c>
      <c r="AT286" s="392">
        <v>1</v>
      </c>
      <c r="AU286" s="392"/>
      <c r="AV286" s="392">
        <v>1</v>
      </c>
      <c r="AW286" s="340"/>
      <c r="AX286" s="347"/>
      <c r="AY286" s="348"/>
      <c r="AZ286" s="377"/>
      <c r="BA286" s="374"/>
      <c r="BB286" s="374"/>
      <c r="BC286" s="374"/>
      <c r="BD286" s="374"/>
      <c r="BE286" s="374"/>
      <c r="BF286" s="374"/>
      <c r="BG286" s="374"/>
      <c r="BH286" s="378"/>
      <c r="BI286" s="376"/>
      <c r="BJ286" s="379"/>
      <c r="BK286" s="380"/>
      <c r="BL286" s="348"/>
      <c r="BM286" s="381"/>
      <c r="BN286" s="321" t="s">
        <v>983</v>
      </c>
      <c r="BO286" s="372">
        <v>1.07</v>
      </c>
      <c r="BP286" s="373" t="s">
        <v>983</v>
      </c>
      <c r="BQ286" s="360"/>
      <c r="BR286" s="361"/>
      <c r="BS286" s="361"/>
      <c r="BT286" s="361"/>
      <c r="BU286" s="342" t="s">
        <v>210</v>
      </c>
      <c r="BV286" s="342" t="s">
        <v>210</v>
      </c>
      <c r="BW286" s="341" t="s">
        <v>15</v>
      </c>
      <c r="BX286" s="361"/>
      <c r="BY286" s="362"/>
      <c r="BZ286" s="363"/>
      <c r="CA286" s="363"/>
      <c r="CB286" s="363"/>
      <c r="CC286" s="363"/>
      <c r="CD286" s="293"/>
      <c r="CE286" s="364"/>
      <c r="CF286" s="364"/>
      <c r="CG286" s="364"/>
      <c r="CH286" s="364"/>
      <c r="CI286" s="364"/>
      <c r="CJ286" s="364"/>
      <c r="CK286" s="364"/>
      <c r="CL286" s="364"/>
      <c r="CM286" s="364"/>
      <c r="CN286" s="364"/>
      <c r="CO286" s="364"/>
      <c r="CP286" s="364"/>
      <c r="CQ286" s="364"/>
      <c r="CR286" s="364"/>
      <c r="CS286" s="364"/>
      <c r="CT286" s="364"/>
      <c r="CU286" s="364"/>
      <c r="CV286" s="364"/>
      <c r="CW286" s="364"/>
      <c r="CX286" s="364"/>
      <c r="CY286" s="364"/>
      <c r="CZ286" s="364"/>
      <c r="DA286" s="364"/>
      <c r="DB286" s="364"/>
      <c r="DC286" s="364"/>
      <c r="DD286" s="364"/>
      <c r="DE286" s="364"/>
      <c r="DF286" s="364"/>
      <c r="DG286" s="364"/>
      <c r="DH286" s="364"/>
      <c r="DI286" s="364"/>
      <c r="DJ286" s="364"/>
      <c r="DK286" s="364"/>
      <c r="DL286" s="364"/>
      <c r="DM286" s="364"/>
      <c r="DN286" s="364"/>
      <c r="DO286" s="364"/>
      <c r="DP286" s="364"/>
      <c r="DQ286" s="364"/>
      <c r="DR286" s="364"/>
      <c r="DS286" s="364"/>
      <c r="DT286" s="364"/>
      <c r="DU286" s="364"/>
      <c r="DV286" s="364"/>
      <c r="DW286" s="364"/>
      <c r="DX286" s="364"/>
      <c r="DY286" s="364"/>
      <c r="DZ286" s="364"/>
      <c r="EA286" s="364"/>
      <c r="EB286" s="364"/>
      <c r="EC286" s="364"/>
      <c r="ED286" s="364"/>
      <c r="EE286" s="364"/>
      <c r="EF286" s="364"/>
      <c r="EG286" s="364"/>
      <c r="EH286" s="364"/>
      <c r="EI286" s="364"/>
      <c r="EJ286" s="364"/>
      <c r="EK286" s="364"/>
      <c r="EL286" s="364"/>
      <c r="EM286" s="364"/>
      <c r="EN286" s="364"/>
      <c r="EO286" s="364"/>
      <c r="EP286" s="364"/>
      <c r="EQ286" s="364"/>
      <c r="ER286" s="364"/>
      <c r="ES286" s="364"/>
      <c r="ET286" s="364"/>
      <c r="EU286" s="364"/>
      <c r="EV286" s="364"/>
      <c r="EW286" s="364"/>
      <c r="EX286" s="364"/>
      <c r="EY286" s="364"/>
      <c r="EZ286" s="364"/>
      <c r="FA286" s="364"/>
      <c r="FB286" s="364"/>
      <c r="FC286" s="364"/>
      <c r="FD286" s="364"/>
      <c r="FE286" s="364"/>
      <c r="FF286" s="364"/>
      <c r="FG286" s="364"/>
      <c r="FH286" s="364"/>
      <c r="FI286" s="364"/>
      <c r="FJ286" s="364"/>
      <c r="FK286" s="364"/>
      <c r="FL286" s="364"/>
      <c r="FM286" s="364"/>
      <c r="FN286" s="364"/>
      <c r="FO286" s="364"/>
      <c r="FP286" s="364"/>
      <c r="FQ286" s="364"/>
      <c r="FR286" s="364"/>
      <c r="FS286" s="364"/>
      <c r="FT286" s="364"/>
      <c r="FU286" s="364"/>
      <c r="FV286" s="364"/>
      <c r="FW286" s="364"/>
      <c r="FX286" s="364"/>
      <c r="FY286" s="364"/>
      <c r="FZ286" s="364"/>
      <c r="GA286" s="364"/>
      <c r="GB286" s="364"/>
      <c r="GC286" s="364"/>
      <c r="GD286" s="364"/>
      <c r="GE286" s="364"/>
      <c r="GF286" s="364"/>
      <c r="GG286" s="364"/>
      <c r="GH286" s="364"/>
      <c r="GI286" s="364"/>
      <c r="GJ286" s="364"/>
      <c r="GK286" s="364"/>
      <c r="GL286" s="364"/>
      <c r="GM286" s="364"/>
      <c r="GN286" s="364"/>
      <c r="GO286" s="364"/>
      <c r="GP286" s="364"/>
      <c r="GQ286" s="364"/>
      <c r="GR286" s="364"/>
      <c r="GS286" s="364"/>
      <c r="GT286" s="364"/>
      <c r="GU286" s="364"/>
      <c r="GV286" s="364"/>
      <c r="GW286" s="364"/>
      <c r="GX286" s="364"/>
      <c r="GY286" s="364"/>
      <c r="GZ286" s="364"/>
      <c r="HA286" s="364"/>
      <c r="HB286" s="364"/>
      <c r="HC286" s="364"/>
      <c r="HD286" s="364"/>
      <c r="HE286" s="364"/>
      <c r="HF286" s="364"/>
      <c r="HG286" s="364"/>
      <c r="HH286" s="364"/>
      <c r="HI286" s="364"/>
      <c r="HJ286" s="364"/>
      <c r="HK286" s="364"/>
      <c r="HL286" s="364"/>
    </row>
    <row r="287" spans="2:220" s="287" customFormat="1" ht="22.5" customHeight="1">
      <c r="B287" s="365">
        <v>240174</v>
      </c>
      <c r="C287" s="366" t="s">
        <v>14287</v>
      </c>
      <c r="D287" s="367"/>
      <c r="E287" s="368"/>
      <c r="F287" s="321" t="s">
        <v>250</v>
      </c>
      <c r="G287" s="326" t="s">
        <v>2203</v>
      </c>
      <c r="H287" s="326" t="s">
        <v>2204</v>
      </c>
      <c r="I287" s="326" t="s">
        <v>11</v>
      </c>
      <c r="J287" s="326" t="s">
        <v>12</v>
      </c>
      <c r="K287" s="326" t="s">
        <v>324</v>
      </c>
      <c r="L287" s="323"/>
      <c r="M287" s="374"/>
      <c r="N287" s="325" t="s">
        <v>438</v>
      </c>
      <c r="O287" s="326" t="s">
        <v>210</v>
      </c>
      <c r="P287" s="326" t="s">
        <v>210</v>
      </c>
      <c r="Q287" s="340" t="s">
        <v>15</v>
      </c>
      <c r="R287" s="329" t="s">
        <v>924</v>
      </c>
      <c r="S287" s="330"/>
      <c r="T287" s="330"/>
      <c r="U287" s="330"/>
      <c r="V287" s="330"/>
      <c r="W287" s="332" t="s">
        <v>1106</v>
      </c>
      <c r="X287" s="331" t="s">
        <v>14288</v>
      </c>
      <c r="Y287" s="394" t="s">
        <v>11486</v>
      </c>
      <c r="Z287" s="394" t="s">
        <v>11487</v>
      </c>
      <c r="AA287" s="394" t="s">
        <v>11488</v>
      </c>
      <c r="AB287" s="333"/>
      <c r="AC287" s="416"/>
      <c r="AD287" s="375"/>
      <c r="AE287" s="335" t="s">
        <v>337</v>
      </c>
      <c r="AF287" s="336"/>
      <c r="AG287" s="337"/>
      <c r="AH287" s="417" t="s">
        <v>435</v>
      </c>
      <c r="AI287" s="392" t="s">
        <v>435</v>
      </c>
      <c r="AJ287" s="392" t="s">
        <v>435</v>
      </c>
      <c r="AK287" s="340" t="s">
        <v>435</v>
      </c>
      <c r="AL287" s="321" t="s">
        <v>210</v>
      </c>
      <c r="AM287" s="392" t="s">
        <v>15</v>
      </c>
      <c r="AN287" s="392" t="s">
        <v>15</v>
      </c>
      <c r="AO287" s="341" t="s">
        <v>15</v>
      </c>
      <c r="AP287" s="342"/>
      <c r="AQ287" s="343"/>
      <c r="AR287" s="370">
        <v>2960</v>
      </c>
      <c r="AS287" s="326">
        <v>100</v>
      </c>
      <c r="AT287" s="392">
        <v>0.8</v>
      </c>
      <c r="AU287" s="392"/>
      <c r="AV287" s="392">
        <v>1.5</v>
      </c>
      <c r="AW287" s="340"/>
      <c r="AX287" s="347"/>
      <c r="AY287" s="348"/>
      <c r="AZ287" s="377"/>
      <c r="BA287" s="374"/>
      <c r="BB287" s="374"/>
      <c r="BC287" s="374"/>
      <c r="BD287" s="374"/>
      <c r="BE287" s="374"/>
      <c r="BF287" s="374"/>
      <c r="BG287" s="374"/>
      <c r="BH287" s="378"/>
      <c r="BI287" s="376"/>
      <c r="BJ287" s="379"/>
      <c r="BK287" s="380"/>
      <c r="BL287" s="348"/>
      <c r="BM287" s="381"/>
      <c r="BN287" s="321" t="s">
        <v>983</v>
      </c>
      <c r="BO287" s="372"/>
      <c r="BP287" s="373" t="s">
        <v>983</v>
      </c>
      <c r="BQ287" s="360"/>
      <c r="BR287" s="361"/>
      <c r="BS287" s="361"/>
      <c r="BT287" s="361"/>
      <c r="BU287" s="342" t="s">
        <v>210</v>
      </c>
      <c r="BV287" s="342" t="s">
        <v>210</v>
      </c>
      <c r="BW287" s="341" t="s">
        <v>15</v>
      </c>
      <c r="BX287" s="361"/>
      <c r="BY287" s="362"/>
      <c r="BZ287" s="363"/>
      <c r="CA287" s="363"/>
      <c r="CB287" s="363"/>
      <c r="CC287" s="363"/>
      <c r="CD287" s="293"/>
      <c r="CE287" s="364"/>
      <c r="CF287" s="364"/>
      <c r="CG287" s="364"/>
      <c r="CH287" s="364"/>
      <c r="CI287" s="364"/>
      <c r="CJ287" s="364"/>
      <c r="CK287" s="364"/>
      <c r="CL287" s="364"/>
      <c r="CM287" s="364"/>
      <c r="CN287" s="364"/>
      <c r="CO287" s="364"/>
      <c r="CP287" s="364"/>
      <c r="CQ287" s="364"/>
      <c r="CR287" s="364"/>
      <c r="CS287" s="364"/>
      <c r="CT287" s="364"/>
      <c r="CU287" s="364"/>
      <c r="CV287" s="364"/>
      <c r="CW287" s="364"/>
      <c r="CX287" s="364"/>
      <c r="CY287" s="364"/>
      <c r="CZ287" s="364"/>
      <c r="DA287" s="364"/>
      <c r="DB287" s="364"/>
      <c r="DC287" s="364"/>
      <c r="DD287" s="364"/>
      <c r="DE287" s="364"/>
      <c r="DF287" s="364"/>
      <c r="DG287" s="364"/>
      <c r="DH287" s="364"/>
      <c r="DI287" s="364"/>
      <c r="DJ287" s="364"/>
      <c r="DK287" s="364"/>
      <c r="DL287" s="364"/>
      <c r="DM287" s="364"/>
      <c r="DN287" s="364"/>
      <c r="DO287" s="364"/>
      <c r="DP287" s="364"/>
      <c r="DQ287" s="364"/>
      <c r="DR287" s="364"/>
      <c r="DS287" s="364"/>
      <c r="DT287" s="364"/>
      <c r="DU287" s="364"/>
      <c r="DV287" s="364"/>
      <c r="DW287" s="364"/>
      <c r="DX287" s="364"/>
      <c r="DY287" s="364"/>
      <c r="DZ287" s="364"/>
      <c r="EA287" s="364"/>
      <c r="EB287" s="364"/>
      <c r="EC287" s="364"/>
      <c r="ED287" s="364"/>
      <c r="EE287" s="364"/>
      <c r="EF287" s="364"/>
      <c r="EG287" s="364"/>
      <c r="EH287" s="364"/>
      <c r="EI287" s="364"/>
      <c r="EJ287" s="364"/>
      <c r="EK287" s="364"/>
      <c r="EL287" s="364"/>
      <c r="EM287" s="364"/>
      <c r="EN287" s="364"/>
      <c r="EO287" s="364"/>
      <c r="EP287" s="364"/>
      <c r="EQ287" s="364"/>
      <c r="ER287" s="364"/>
      <c r="ES287" s="364"/>
      <c r="ET287" s="364"/>
      <c r="EU287" s="364"/>
      <c r="EV287" s="364"/>
      <c r="EW287" s="364"/>
      <c r="EX287" s="364"/>
      <c r="EY287" s="364"/>
      <c r="EZ287" s="364"/>
      <c r="FA287" s="364"/>
      <c r="FB287" s="364"/>
      <c r="FC287" s="364"/>
      <c r="FD287" s="364"/>
      <c r="FE287" s="364"/>
      <c r="FF287" s="364"/>
      <c r="FG287" s="364"/>
      <c r="FH287" s="364"/>
      <c r="FI287" s="364"/>
      <c r="FJ287" s="364"/>
      <c r="FK287" s="364"/>
      <c r="FL287" s="364"/>
      <c r="FM287" s="364"/>
      <c r="FN287" s="364"/>
      <c r="FO287" s="364"/>
      <c r="FP287" s="364"/>
      <c r="FQ287" s="364"/>
      <c r="FR287" s="364"/>
      <c r="FS287" s="364"/>
      <c r="FT287" s="364"/>
      <c r="FU287" s="364"/>
      <c r="FV287" s="364"/>
      <c r="FW287" s="364"/>
      <c r="FX287" s="364"/>
      <c r="FY287" s="364"/>
      <c r="FZ287" s="364"/>
      <c r="GA287" s="364"/>
      <c r="GB287" s="364"/>
      <c r="GC287" s="364"/>
      <c r="GD287" s="364"/>
      <c r="GE287" s="364"/>
      <c r="GF287" s="364"/>
      <c r="GG287" s="364"/>
      <c r="GH287" s="364"/>
      <c r="GI287" s="364"/>
      <c r="GJ287" s="364"/>
      <c r="GK287" s="364"/>
      <c r="GL287" s="364"/>
      <c r="GM287" s="364"/>
      <c r="GN287" s="364"/>
      <c r="GO287" s="364"/>
      <c r="GP287" s="364"/>
      <c r="GQ287" s="364"/>
      <c r="GR287" s="364"/>
      <c r="GS287" s="364"/>
      <c r="GT287" s="364"/>
      <c r="GU287" s="364"/>
      <c r="GV287" s="364"/>
      <c r="GW287" s="364"/>
      <c r="GX287" s="364"/>
      <c r="GY287" s="364"/>
      <c r="GZ287" s="364"/>
      <c r="HA287" s="364"/>
      <c r="HB287" s="364"/>
      <c r="HC287" s="364"/>
      <c r="HD287" s="364"/>
      <c r="HE287" s="364"/>
      <c r="HF287" s="364"/>
      <c r="HG287" s="364"/>
      <c r="HH287" s="364"/>
      <c r="HI287" s="364"/>
      <c r="HJ287" s="364"/>
      <c r="HK287" s="364"/>
      <c r="HL287" s="364"/>
    </row>
    <row r="288" spans="2:220" s="287" customFormat="1" ht="22.5" customHeight="1">
      <c r="B288" s="365">
        <v>240175</v>
      </c>
      <c r="C288" s="366" t="s">
        <v>7771</v>
      </c>
      <c r="D288" s="367"/>
      <c r="E288" s="368"/>
      <c r="F288" s="321" t="s">
        <v>375</v>
      </c>
      <c r="G288" s="326" t="s">
        <v>2201</v>
      </c>
      <c r="H288" s="326" t="s">
        <v>2202</v>
      </c>
      <c r="I288" s="326" t="s">
        <v>11</v>
      </c>
      <c r="J288" s="326" t="s">
        <v>21</v>
      </c>
      <c r="K288" s="326" t="s">
        <v>323</v>
      </c>
      <c r="L288" s="323"/>
      <c r="M288" s="326" t="s">
        <v>6509</v>
      </c>
      <c r="N288" s="325" t="s">
        <v>438</v>
      </c>
      <c r="O288" s="326">
        <v>21</v>
      </c>
      <c r="P288" s="327">
        <v>1927.11</v>
      </c>
      <c r="Q288" s="369">
        <v>1927.11</v>
      </c>
      <c r="R288" s="329" t="s">
        <v>432</v>
      </c>
      <c r="S288" s="331" t="s">
        <v>11079</v>
      </c>
      <c r="T288" s="331" t="s">
        <v>11079</v>
      </c>
      <c r="U288" s="331" t="s">
        <v>11079</v>
      </c>
      <c r="V288" s="331" t="s">
        <v>210</v>
      </c>
      <c r="W288" s="332" t="s">
        <v>432</v>
      </c>
      <c r="X288" s="331" t="s">
        <v>11079</v>
      </c>
      <c r="Y288" s="331" t="s">
        <v>11080</v>
      </c>
      <c r="Z288" s="331" t="s">
        <v>11080</v>
      </c>
      <c r="AA288" s="331" t="s">
        <v>210</v>
      </c>
      <c r="AB288" s="333" t="s">
        <v>500</v>
      </c>
      <c r="AC288" s="333"/>
      <c r="AD288" s="334" t="s">
        <v>2333</v>
      </c>
      <c r="AE288" s="335" t="s">
        <v>397</v>
      </c>
      <c r="AF288" s="336"/>
      <c r="AG288" s="337"/>
      <c r="AH288" s="417">
        <v>16.3</v>
      </c>
      <c r="AI288" s="392">
        <v>42.6</v>
      </c>
      <c r="AJ288" s="392">
        <v>25.4</v>
      </c>
      <c r="AK288" s="340">
        <f>SUM(AH288:AJ288)</f>
        <v>84.300000000000011</v>
      </c>
      <c r="AL288" s="321" t="s">
        <v>210</v>
      </c>
      <c r="AM288" s="392" t="s">
        <v>15</v>
      </c>
      <c r="AN288" s="392" t="s">
        <v>15</v>
      </c>
      <c r="AO288" s="341" t="s">
        <v>15</v>
      </c>
      <c r="AP288" s="342"/>
      <c r="AQ288" s="343"/>
      <c r="AR288" s="370">
        <v>2581</v>
      </c>
      <c r="AS288" s="326">
        <v>150</v>
      </c>
      <c r="AT288" s="392">
        <v>1</v>
      </c>
      <c r="AU288" s="392"/>
      <c r="AV288" s="392">
        <v>1.2</v>
      </c>
      <c r="AW288" s="340"/>
      <c r="AX288" s="347"/>
      <c r="AY288" s="348"/>
      <c r="AZ288" s="377"/>
      <c r="BA288" s="374"/>
      <c r="BB288" s="374"/>
      <c r="BC288" s="374"/>
      <c r="BD288" s="374"/>
      <c r="BE288" s="374"/>
      <c r="BF288" s="374"/>
      <c r="BG288" s="374"/>
      <c r="BH288" s="378"/>
      <c r="BI288" s="376"/>
      <c r="BJ288" s="379"/>
      <c r="BK288" s="380"/>
      <c r="BL288" s="348"/>
      <c r="BM288" s="381"/>
      <c r="BN288" s="321" t="s">
        <v>983</v>
      </c>
      <c r="BO288" s="372">
        <v>1.02</v>
      </c>
      <c r="BP288" s="373" t="s">
        <v>983</v>
      </c>
      <c r="BQ288" s="360"/>
      <c r="BR288" s="361"/>
      <c r="BS288" s="361"/>
      <c r="BT288" s="361"/>
      <c r="BU288" s="342" t="s">
        <v>210</v>
      </c>
      <c r="BV288" s="342" t="s">
        <v>210</v>
      </c>
      <c r="BW288" s="341" t="s">
        <v>15</v>
      </c>
      <c r="BX288" s="361"/>
      <c r="BY288" s="362"/>
      <c r="BZ288" s="363"/>
      <c r="CA288" s="363"/>
      <c r="CB288" s="363"/>
      <c r="CC288" s="363"/>
      <c r="CD288" s="293"/>
      <c r="CE288" s="364"/>
      <c r="CF288" s="364"/>
      <c r="CG288" s="364"/>
      <c r="CH288" s="364"/>
      <c r="CI288" s="364"/>
      <c r="CJ288" s="364"/>
      <c r="CK288" s="364"/>
      <c r="CL288" s="364"/>
      <c r="CM288" s="364"/>
      <c r="CN288" s="364"/>
      <c r="CO288" s="364"/>
      <c r="CP288" s="364"/>
      <c r="CQ288" s="364"/>
      <c r="CR288" s="364"/>
      <c r="CS288" s="364"/>
      <c r="CT288" s="364"/>
      <c r="CU288" s="364"/>
      <c r="CV288" s="364"/>
      <c r="CW288" s="364"/>
      <c r="CX288" s="364"/>
      <c r="CY288" s="364"/>
      <c r="CZ288" s="364"/>
      <c r="DA288" s="364"/>
      <c r="DB288" s="364"/>
      <c r="DC288" s="364"/>
      <c r="DD288" s="364"/>
      <c r="DE288" s="364"/>
      <c r="DF288" s="364"/>
      <c r="DG288" s="364"/>
      <c r="DH288" s="364"/>
      <c r="DI288" s="364"/>
      <c r="DJ288" s="364"/>
      <c r="DK288" s="364"/>
      <c r="DL288" s="364"/>
      <c r="DM288" s="364"/>
      <c r="DN288" s="364"/>
      <c r="DO288" s="364"/>
      <c r="DP288" s="364"/>
      <c r="DQ288" s="364"/>
      <c r="DR288" s="364"/>
      <c r="DS288" s="364"/>
      <c r="DT288" s="364"/>
      <c r="DU288" s="364"/>
      <c r="DV288" s="364"/>
      <c r="DW288" s="364"/>
      <c r="DX288" s="364"/>
      <c r="DY288" s="364"/>
      <c r="DZ288" s="364"/>
      <c r="EA288" s="364"/>
      <c r="EB288" s="364"/>
      <c r="EC288" s="364"/>
      <c r="ED288" s="364"/>
      <c r="EE288" s="364"/>
      <c r="EF288" s="364"/>
      <c r="EG288" s="364"/>
      <c r="EH288" s="364"/>
      <c r="EI288" s="364"/>
      <c r="EJ288" s="364"/>
      <c r="EK288" s="364"/>
      <c r="EL288" s="364"/>
      <c r="EM288" s="364"/>
      <c r="EN288" s="364"/>
      <c r="EO288" s="364"/>
      <c r="EP288" s="364"/>
      <c r="EQ288" s="364"/>
      <c r="ER288" s="364"/>
      <c r="ES288" s="364"/>
      <c r="ET288" s="364"/>
      <c r="EU288" s="364"/>
      <c r="EV288" s="364"/>
      <c r="EW288" s="364"/>
      <c r="EX288" s="364"/>
      <c r="EY288" s="364"/>
      <c r="EZ288" s="364"/>
      <c r="FA288" s="364"/>
      <c r="FB288" s="364"/>
      <c r="FC288" s="364"/>
      <c r="FD288" s="364"/>
      <c r="FE288" s="364"/>
      <c r="FF288" s="364"/>
      <c r="FG288" s="364"/>
      <c r="FH288" s="364"/>
      <c r="FI288" s="364"/>
      <c r="FJ288" s="364"/>
      <c r="FK288" s="364"/>
      <c r="FL288" s="364"/>
      <c r="FM288" s="364"/>
      <c r="FN288" s="364"/>
      <c r="FO288" s="364"/>
      <c r="FP288" s="364"/>
      <c r="FQ288" s="364"/>
      <c r="FR288" s="364"/>
      <c r="FS288" s="364"/>
      <c r="FT288" s="364"/>
      <c r="FU288" s="364"/>
      <c r="FV288" s="364"/>
      <c r="FW288" s="364"/>
      <c r="FX288" s="364"/>
      <c r="FY288" s="364"/>
      <c r="FZ288" s="364"/>
      <c r="GA288" s="364"/>
      <c r="GB288" s="364"/>
      <c r="GC288" s="364"/>
      <c r="GD288" s="364"/>
      <c r="GE288" s="364"/>
      <c r="GF288" s="364"/>
      <c r="GG288" s="364"/>
      <c r="GH288" s="364"/>
      <c r="GI288" s="364"/>
      <c r="GJ288" s="364"/>
      <c r="GK288" s="364"/>
      <c r="GL288" s="364"/>
      <c r="GM288" s="364"/>
      <c r="GN288" s="364"/>
      <c r="GO288" s="364"/>
      <c r="GP288" s="364"/>
      <c r="GQ288" s="364"/>
      <c r="GR288" s="364"/>
      <c r="GS288" s="364"/>
      <c r="GT288" s="364"/>
      <c r="GU288" s="364"/>
      <c r="GV288" s="364"/>
      <c r="GW288" s="364"/>
      <c r="GX288" s="364"/>
      <c r="GY288" s="364"/>
      <c r="GZ288" s="364"/>
      <c r="HA288" s="364"/>
      <c r="HB288" s="364"/>
      <c r="HC288" s="364"/>
      <c r="HD288" s="364"/>
      <c r="HE288" s="364"/>
      <c r="HF288" s="364"/>
      <c r="HG288" s="364"/>
      <c r="HH288" s="364"/>
      <c r="HI288" s="364"/>
      <c r="HJ288" s="364"/>
      <c r="HK288" s="364"/>
      <c r="HL288" s="364"/>
    </row>
    <row r="289" spans="2:220" s="287" customFormat="1" ht="22.5" customHeight="1">
      <c r="B289" s="365">
        <v>240176</v>
      </c>
      <c r="C289" s="366" t="s">
        <v>14286</v>
      </c>
      <c r="D289" s="367"/>
      <c r="E289" s="368"/>
      <c r="F289" s="321" t="s">
        <v>222</v>
      </c>
      <c r="G289" s="326" t="s">
        <v>2143</v>
      </c>
      <c r="H289" s="326" t="s">
        <v>2144</v>
      </c>
      <c r="I289" s="326" t="s">
        <v>11</v>
      </c>
      <c r="J289" s="326" t="s">
        <v>216</v>
      </c>
      <c r="K289" s="326" t="s">
        <v>806</v>
      </c>
      <c r="L289" s="323"/>
      <c r="M289" s="374"/>
      <c r="N289" s="325" t="s">
        <v>438</v>
      </c>
      <c r="O289" s="326" t="s">
        <v>210</v>
      </c>
      <c r="P289" s="326" t="s">
        <v>210</v>
      </c>
      <c r="Q289" s="340" t="s">
        <v>15</v>
      </c>
      <c r="R289" s="329" t="s">
        <v>986</v>
      </c>
      <c r="S289" s="330"/>
      <c r="T289" s="330"/>
      <c r="U289" s="330"/>
      <c r="V289" s="330"/>
      <c r="W289" s="332" t="s">
        <v>1096</v>
      </c>
      <c r="X289" s="331" t="s">
        <v>12845</v>
      </c>
      <c r="Y289" s="331" t="s">
        <v>11249</v>
      </c>
      <c r="Z289" s="331" t="s">
        <v>12847</v>
      </c>
      <c r="AA289" s="331" t="s">
        <v>12846</v>
      </c>
      <c r="AB289" s="333"/>
      <c r="AC289" s="333"/>
      <c r="AD289" s="334" t="s">
        <v>889</v>
      </c>
      <c r="AE289" s="335" t="s">
        <v>371</v>
      </c>
      <c r="AF289" s="336"/>
      <c r="AG289" s="337"/>
      <c r="AH289" s="417" t="s">
        <v>435</v>
      </c>
      <c r="AI289" s="392" t="s">
        <v>435</v>
      </c>
      <c r="AJ289" s="392" t="s">
        <v>435</v>
      </c>
      <c r="AK289" s="340" t="s">
        <v>435</v>
      </c>
      <c r="AL289" s="321" t="s">
        <v>210</v>
      </c>
      <c r="AM289" s="392" t="s">
        <v>15</v>
      </c>
      <c r="AN289" s="392" t="s">
        <v>15</v>
      </c>
      <c r="AO289" s="341" t="s">
        <v>15</v>
      </c>
      <c r="AP289" s="342"/>
      <c r="AQ289" s="343"/>
      <c r="AR289" s="370">
        <v>1706</v>
      </c>
      <c r="AS289" s="326">
        <v>100</v>
      </c>
      <c r="AT289" s="392">
        <v>1</v>
      </c>
      <c r="AU289" s="392"/>
      <c r="AV289" s="392">
        <v>1.5</v>
      </c>
      <c r="AW289" s="340"/>
      <c r="AX289" s="347"/>
      <c r="AY289" s="348"/>
      <c r="AZ289" s="377"/>
      <c r="BA289" s="374"/>
      <c r="BB289" s="374"/>
      <c r="BC289" s="374"/>
      <c r="BD289" s="374"/>
      <c r="BE289" s="374"/>
      <c r="BF289" s="374"/>
      <c r="BG289" s="374"/>
      <c r="BH289" s="378"/>
      <c r="BI289" s="376"/>
      <c r="BJ289" s="379"/>
      <c r="BK289" s="380"/>
      <c r="BL289" s="348"/>
      <c r="BM289" s="381"/>
      <c r="BN289" s="321" t="s">
        <v>15</v>
      </c>
      <c r="BO289" s="372"/>
      <c r="BP289" s="373" t="s">
        <v>15</v>
      </c>
      <c r="BQ289" s="360"/>
      <c r="BR289" s="361"/>
      <c r="BS289" s="361"/>
      <c r="BT289" s="361"/>
      <c r="BU289" s="342" t="s">
        <v>210</v>
      </c>
      <c r="BV289" s="342" t="s">
        <v>210</v>
      </c>
      <c r="BW289" s="341" t="s">
        <v>15</v>
      </c>
      <c r="BX289" s="361"/>
      <c r="BY289" s="362"/>
      <c r="BZ289" s="363"/>
      <c r="CA289" s="363"/>
      <c r="CB289" s="363"/>
      <c r="CC289" s="363"/>
      <c r="CD289" s="293"/>
      <c r="CE289" s="364"/>
      <c r="CF289" s="364"/>
      <c r="CG289" s="364"/>
      <c r="CH289" s="364"/>
      <c r="CI289" s="364"/>
      <c r="CJ289" s="364"/>
      <c r="CK289" s="364"/>
      <c r="CL289" s="364"/>
      <c r="CM289" s="364"/>
      <c r="CN289" s="364"/>
      <c r="CO289" s="364"/>
      <c r="CP289" s="364"/>
      <c r="CQ289" s="364"/>
      <c r="CR289" s="364"/>
      <c r="CS289" s="364"/>
      <c r="CT289" s="364"/>
      <c r="CU289" s="364"/>
      <c r="CV289" s="364"/>
      <c r="CW289" s="364"/>
      <c r="CX289" s="364"/>
      <c r="CY289" s="364"/>
      <c r="CZ289" s="364"/>
      <c r="DA289" s="364"/>
      <c r="DB289" s="364"/>
      <c r="DC289" s="364"/>
      <c r="DD289" s="364"/>
      <c r="DE289" s="364"/>
      <c r="DF289" s="364"/>
      <c r="DG289" s="364"/>
      <c r="DH289" s="364"/>
      <c r="DI289" s="364"/>
      <c r="DJ289" s="364"/>
      <c r="DK289" s="364"/>
      <c r="DL289" s="364"/>
      <c r="DM289" s="364"/>
      <c r="DN289" s="364"/>
      <c r="DO289" s="364"/>
      <c r="DP289" s="364"/>
      <c r="DQ289" s="364"/>
      <c r="DR289" s="364"/>
      <c r="DS289" s="364"/>
      <c r="DT289" s="364"/>
      <c r="DU289" s="364"/>
      <c r="DV289" s="364"/>
      <c r="DW289" s="364"/>
      <c r="DX289" s="364"/>
      <c r="DY289" s="364"/>
      <c r="DZ289" s="364"/>
      <c r="EA289" s="364"/>
      <c r="EB289" s="364"/>
      <c r="EC289" s="364"/>
      <c r="ED289" s="364"/>
      <c r="EE289" s="364"/>
      <c r="EF289" s="364"/>
      <c r="EG289" s="364"/>
      <c r="EH289" s="364"/>
      <c r="EI289" s="364"/>
      <c r="EJ289" s="364"/>
      <c r="EK289" s="364"/>
      <c r="EL289" s="364"/>
      <c r="EM289" s="364"/>
      <c r="EN289" s="364"/>
      <c r="EO289" s="364"/>
      <c r="EP289" s="364"/>
      <c r="EQ289" s="364"/>
      <c r="ER289" s="364"/>
      <c r="ES289" s="364"/>
      <c r="ET289" s="364"/>
      <c r="EU289" s="364"/>
      <c r="EV289" s="364"/>
      <c r="EW289" s="364"/>
      <c r="EX289" s="364"/>
      <c r="EY289" s="364"/>
      <c r="EZ289" s="364"/>
      <c r="FA289" s="364"/>
      <c r="FB289" s="364"/>
      <c r="FC289" s="364"/>
      <c r="FD289" s="364"/>
      <c r="FE289" s="364"/>
      <c r="FF289" s="364"/>
      <c r="FG289" s="364"/>
      <c r="FH289" s="364"/>
      <c r="FI289" s="364"/>
      <c r="FJ289" s="364"/>
      <c r="FK289" s="364"/>
      <c r="FL289" s="364"/>
      <c r="FM289" s="364"/>
      <c r="FN289" s="364"/>
      <c r="FO289" s="364"/>
      <c r="FP289" s="364"/>
      <c r="FQ289" s="364"/>
      <c r="FR289" s="364"/>
      <c r="FS289" s="364"/>
      <c r="FT289" s="364"/>
      <c r="FU289" s="364"/>
      <c r="FV289" s="364"/>
      <c r="FW289" s="364"/>
      <c r="FX289" s="364"/>
      <c r="FY289" s="364"/>
      <c r="FZ289" s="364"/>
      <c r="GA289" s="364"/>
      <c r="GB289" s="364"/>
      <c r="GC289" s="364"/>
      <c r="GD289" s="364"/>
      <c r="GE289" s="364"/>
      <c r="GF289" s="364"/>
      <c r="GG289" s="364"/>
      <c r="GH289" s="364"/>
      <c r="GI289" s="364"/>
      <c r="GJ289" s="364"/>
      <c r="GK289" s="364"/>
      <c r="GL289" s="364"/>
      <c r="GM289" s="364"/>
      <c r="GN289" s="364"/>
      <c r="GO289" s="364"/>
      <c r="GP289" s="364"/>
      <c r="GQ289" s="364"/>
      <c r="GR289" s="364"/>
      <c r="GS289" s="364"/>
      <c r="GT289" s="364"/>
      <c r="GU289" s="364"/>
      <c r="GV289" s="364"/>
      <c r="GW289" s="364"/>
      <c r="GX289" s="364"/>
      <c r="GY289" s="364"/>
      <c r="GZ289" s="364"/>
      <c r="HA289" s="364"/>
      <c r="HB289" s="364"/>
      <c r="HC289" s="364"/>
      <c r="HD289" s="364"/>
      <c r="HE289" s="364"/>
      <c r="HF289" s="364"/>
      <c r="HG289" s="364"/>
      <c r="HH289" s="364"/>
      <c r="HI289" s="364"/>
      <c r="HJ289" s="364"/>
      <c r="HK289" s="364"/>
      <c r="HL289" s="364"/>
    </row>
    <row r="290" spans="2:220" s="287" customFormat="1" ht="22.5" customHeight="1">
      <c r="B290" s="365">
        <v>240177</v>
      </c>
      <c r="C290" s="366" t="s">
        <v>13997</v>
      </c>
      <c r="D290" s="367"/>
      <c r="E290" s="368"/>
      <c r="F290" s="321" t="s">
        <v>372</v>
      </c>
      <c r="G290" s="326" t="s">
        <v>2199</v>
      </c>
      <c r="H290" s="326" t="s">
        <v>2200</v>
      </c>
      <c r="I290" s="326" t="s">
        <v>11</v>
      </c>
      <c r="J290" s="326" t="s">
        <v>21</v>
      </c>
      <c r="K290" s="326" t="s">
        <v>324</v>
      </c>
      <c r="L290" s="323"/>
      <c r="M290" s="374"/>
      <c r="N290" s="325" t="s">
        <v>438</v>
      </c>
      <c r="O290" s="326" t="s">
        <v>210</v>
      </c>
      <c r="P290" s="326" t="s">
        <v>210</v>
      </c>
      <c r="Q290" s="340" t="s">
        <v>15</v>
      </c>
      <c r="R290" s="329" t="s">
        <v>987</v>
      </c>
      <c r="S290" s="330"/>
      <c r="T290" s="330"/>
      <c r="U290" s="330"/>
      <c r="V290" s="330"/>
      <c r="W290" s="332" t="s">
        <v>7952</v>
      </c>
      <c r="X290" s="394" t="s">
        <v>13121</v>
      </c>
      <c r="Y290" s="394" t="s">
        <v>11852</v>
      </c>
      <c r="Z290" s="394" t="s">
        <v>16280</v>
      </c>
      <c r="AA290" s="394" t="s">
        <v>13122</v>
      </c>
      <c r="AB290" s="333"/>
      <c r="AC290" s="333"/>
      <c r="AD290" s="334" t="s">
        <v>2327</v>
      </c>
      <c r="AE290" s="335" t="s">
        <v>373</v>
      </c>
      <c r="AF290" s="336"/>
      <c r="AG290" s="337"/>
      <c r="AH290" s="417" t="s">
        <v>435</v>
      </c>
      <c r="AI290" s="392" t="s">
        <v>435</v>
      </c>
      <c r="AJ290" s="392" t="s">
        <v>435</v>
      </c>
      <c r="AK290" s="340" t="s">
        <v>435</v>
      </c>
      <c r="AL290" s="321" t="s">
        <v>210</v>
      </c>
      <c r="AM290" s="392" t="s">
        <v>15</v>
      </c>
      <c r="AN290" s="392" t="s">
        <v>15</v>
      </c>
      <c r="AO290" s="341" t="s">
        <v>15</v>
      </c>
      <c r="AP290" s="342"/>
      <c r="AQ290" s="343"/>
      <c r="AR290" s="370">
        <v>3890</v>
      </c>
      <c r="AS290" s="326">
        <v>150</v>
      </c>
      <c r="AT290" s="392">
        <v>0.8</v>
      </c>
      <c r="AU290" s="392"/>
      <c r="AV290" s="392">
        <v>1.2</v>
      </c>
      <c r="AW290" s="340"/>
      <c r="AX290" s="347"/>
      <c r="AY290" s="348"/>
      <c r="AZ290" s="377"/>
      <c r="BA290" s="374"/>
      <c r="BB290" s="374"/>
      <c r="BC290" s="374"/>
      <c r="BD290" s="374"/>
      <c r="BE290" s="374"/>
      <c r="BF290" s="374"/>
      <c r="BG290" s="374"/>
      <c r="BH290" s="378"/>
      <c r="BI290" s="376"/>
      <c r="BJ290" s="379"/>
      <c r="BK290" s="380"/>
      <c r="BL290" s="348"/>
      <c r="BM290" s="381"/>
      <c r="BN290" s="321" t="s">
        <v>983</v>
      </c>
      <c r="BO290" s="372">
        <v>2.52</v>
      </c>
      <c r="BP290" s="373" t="s">
        <v>15</v>
      </c>
      <c r="BQ290" s="360"/>
      <c r="BR290" s="361"/>
      <c r="BS290" s="361"/>
      <c r="BT290" s="361"/>
      <c r="BU290" s="342" t="s">
        <v>210</v>
      </c>
      <c r="BV290" s="342" t="s">
        <v>210</v>
      </c>
      <c r="BW290" s="341" t="s">
        <v>15</v>
      </c>
      <c r="BX290" s="361"/>
      <c r="BY290" s="362"/>
      <c r="BZ290" s="363"/>
      <c r="CA290" s="363"/>
      <c r="CB290" s="363"/>
      <c r="CC290" s="363"/>
      <c r="CD290" s="293"/>
      <c r="CE290" s="364"/>
      <c r="CF290" s="364"/>
      <c r="CG290" s="364"/>
      <c r="CH290" s="364"/>
      <c r="CI290" s="364"/>
      <c r="CJ290" s="364"/>
      <c r="CK290" s="364"/>
      <c r="CL290" s="364"/>
      <c r="CM290" s="364"/>
      <c r="CN290" s="364"/>
      <c r="CO290" s="364"/>
      <c r="CP290" s="364"/>
      <c r="CQ290" s="364"/>
      <c r="CR290" s="364"/>
      <c r="CS290" s="364"/>
      <c r="CT290" s="364"/>
      <c r="CU290" s="364"/>
      <c r="CV290" s="364"/>
      <c r="CW290" s="364"/>
      <c r="CX290" s="364"/>
      <c r="CY290" s="364"/>
      <c r="CZ290" s="364"/>
      <c r="DA290" s="364"/>
      <c r="DB290" s="364"/>
      <c r="DC290" s="364"/>
      <c r="DD290" s="364"/>
      <c r="DE290" s="364"/>
      <c r="DF290" s="364"/>
      <c r="DG290" s="364"/>
      <c r="DH290" s="364"/>
      <c r="DI290" s="364"/>
      <c r="DJ290" s="364"/>
      <c r="DK290" s="364"/>
      <c r="DL290" s="364"/>
      <c r="DM290" s="364"/>
      <c r="DN290" s="364"/>
      <c r="DO290" s="364"/>
      <c r="DP290" s="364"/>
      <c r="DQ290" s="364"/>
      <c r="DR290" s="364"/>
      <c r="DS290" s="364"/>
      <c r="DT290" s="364"/>
      <c r="DU290" s="364"/>
      <c r="DV290" s="364"/>
      <c r="DW290" s="364"/>
      <c r="DX290" s="364"/>
      <c r="DY290" s="364"/>
      <c r="DZ290" s="364"/>
      <c r="EA290" s="364"/>
      <c r="EB290" s="364"/>
      <c r="EC290" s="364"/>
      <c r="ED290" s="364"/>
      <c r="EE290" s="364"/>
      <c r="EF290" s="364"/>
      <c r="EG290" s="364"/>
      <c r="EH290" s="364"/>
      <c r="EI290" s="364"/>
      <c r="EJ290" s="364"/>
      <c r="EK290" s="364"/>
      <c r="EL290" s="364"/>
      <c r="EM290" s="364"/>
      <c r="EN290" s="364"/>
      <c r="EO290" s="364"/>
      <c r="EP290" s="364"/>
      <c r="EQ290" s="364"/>
      <c r="ER290" s="364"/>
      <c r="ES290" s="364"/>
      <c r="ET290" s="364"/>
      <c r="EU290" s="364"/>
      <c r="EV290" s="364"/>
      <c r="EW290" s="364"/>
      <c r="EX290" s="364"/>
      <c r="EY290" s="364"/>
      <c r="EZ290" s="364"/>
      <c r="FA290" s="364"/>
      <c r="FB290" s="364"/>
      <c r="FC290" s="364"/>
      <c r="FD290" s="364"/>
      <c r="FE290" s="364"/>
      <c r="FF290" s="364"/>
      <c r="FG290" s="364"/>
      <c r="FH290" s="364"/>
      <c r="FI290" s="364"/>
      <c r="FJ290" s="364"/>
      <c r="FK290" s="364"/>
      <c r="FL290" s="364"/>
      <c r="FM290" s="364"/>
      <c r="FN290" s="364"/>
      <c r="FO290" s="364"/>
      <c r="FP290" s="364"/>
      <c r="FQ290" s="364"/>
      <c r="FR290" s="364"/>
      <c r="FS290" s="364"/>
      <c r="FT290" s="364"/>
      <c r="FU290" s="364"/>
      <c r="FV290" s="364"/>
      <c r="FW290" s="364"/>
      <c r="FX290" s="364"/>
      <c r="FY290" s="364"/>
      <c r="FZ290" s="364"/>
      <c r="GA290" s="364"/>
      <c r="GB290" s="364"/>
      <c r="GC290" s="364"/>
      <c r="GD290" s="364"/>
      <c r="GE290" s="364"/>
      <c r="GF290" s="364"/>
      <c r="GG290" s="364"/>
      <c r="GH290" s="364"/>
      <c r="GI290" s="364"/>
      <c r="GJ290" s="364"/>
      <c r="GK290" s="364"/>
      <c r="GL290" s="364"/>
      <c r="GM290" s="364"/>
      <c r="GN290" s="364"/>
      <c r="GO290" s="364"/>
      <c r="GP290" s="364"/>
      <c r="GQ290" s="364"/>
      <c r="GR290" s="364"/>
      <c r="GS290" s="364"/>
      <c r="GT290" s="364"/>
      <c r="GU290" s="364"/>
      <c r="GV290" s="364"/>
      <c r="GW290" s="364"/>
      <c r="GX290" s="364"/>
      <c r="GY290" s="364"/>
      <c r="GZ290" s="364"/>
      <c r="HA290" s="364"/>
      <c r="HB290" s="364"/>
      <c r="HC290" s="364"/>
      <c r="HD290" s="364"/>
      <c r="HE290" s="364"/>
      <c r="HF290" s="364"/>
      <c r="HG290" s="364"/>
      <c r="HH290" s="364"/>
      <c r="HI290" s="364"/>
      <c r="HJ290" s="364"/>
      <c r="HK290" s="364"/>
      <c r="HL290" s="364"/>
    </row>
    <row r="291" spans="2:220" s="287" customFormat="1" ht="22.5" customHeight="1">
      <c r="B291" s="365">
        <v>240178</v>
      </c>
      <c r="C291" s="366" t="s">
        <v>470</v>
      </c>
      <c r="D291" s="367"/>
      <c r="E291" s="368"/>
      <c r="F291" s="321" t="s">
        <v>250</v>
      </c>
      <c r="G291" s="326" t="s">
        <v>2197</v>
      </c>
      <c r="H291" s="326" t="s">
        <v>2198</v>
      </c>
      <c r="I291" s="326" t="s">
        <v>11</v>
      </c>
      <c r="J291" s="326" t="s">
        <v>12</v>
      </c>
      <c r="K291" s="326" t="s">
        <v>323</v>
      </c>
      <c r="L291" s="323"/>
      <c r="M291" s="374"/>
      <c r="N291" s="325" t="s">
        <v>438</v>
      </c>
      <c r="O291" s="326" t="s">
        <v>210</v>
      </c>
      <c r="P291" s="326" t="s">
        <v>210</v>
      </c>
      <c r="Q291" s="340" t="s">
        <v>15</v>
      </c>
      <c r="R291" s="329" t="s">
        <v>1088</v>
      </c>
      <c r="S291" s="330"/>
      <c r="T291" s="330"/>
      <c r="U291" s="330"/>
      <c r="V291" s="330"/>
      <c r="W291" s="332" t="s">
        <v>988</v>
      </c>
      <c r="X291" s="331" t="s">
        <v>14283</v>
      </c>
      <c r="Y291" s="331" t="s">
        <v>14284</v>
      </c>
      <c r="Z291" s="330"/>
      <c r="AA291" s="331" t="s">
        <v>14285</v>
      </c>
      <c r="AB291" s="333"/>
      <c r="AC291" s="333"/>
      <c r="AD291" s="334" t="s">
        <v>2324</v>
      </c>
      <c r="AE291" s="335" t="s">
        <v>326</v>
      </c>
      <c r="AF291" s="336"/>
      <c r="AG291" s="337"/>
      <c r="AH291" s="417" t="s">
        <v>435</v>
      </c>
      <c r="AI291" s="392" t="s">
        <v>435</v>
      </c>
      <c r="AJ291" s="392" t="s">
        <v>435</v>
      </c>
      <c r="AK291" s="340" t="s">
        <v>435</v>
      </c>
      <c r="AL291" s="321" t="s">
        <v>210</v>
      </c>
      <c r="AM291" s="392" t="s">
        <v>15</v>
      </c>
      <c r="AN291" s="392" t="s">
        <v>15</v>
      </c>
      <c r="AO291" s="341" t="s">
        <v>15</v>
      </c>
      <c r="AP291" s="342"/>
      <c r="AQ291" s="343"/>
      <c r="AR291" s="370">
        <v>21826</v>
      </c>
      <c r="AS291" s="326">
        <v>150</v>
      </c>
      <c r="AT291" s="392">
        <v>1</v>
      </c>
      <c r="AU291" s="392"/>
      <c r="AV291" s="392">
        <v>1.8</v>
      </c>
      <c r="AW291" s="340"/>
      <c r="AX291" s="347"/>
      <c r="AY291" s="348"/>
      <c r="AZ291" s="377"/>
      <c r="BA291" s="374"/>
      <c r="BB291" s="374"/>
      <c r="BC291" s="374"/>
      <c r="BD291" s="374"/>
      <c r="BE291" s="374"/>
      <c r="BF291" s="374"/>
      <c r="BG291" s="374"/>
      <c r="BH291" s="378"/>
      <c r="BI291" s="376"/>
      <c r="BJ291" s="431">
        <v>0.74</v>
      </c>
      <c r="BK291" s="380"/>
      <c r="BL291" s="348"/>
      <c r="BM291" s="381"/>
      <c r="BN291" s="321" t="s">
        <v>983</v>
      </c>
      <c r="BO291" s="372"/>
      <c r="BP291" s="373" t="s">
        <v>983</v>
      </c>
      <c r="BQ291" s="360"/>
      <c r="BR291" s="361"/>
      <c r="BS291" s="361"/>
      <c r="BT291" s="361"/>
      <c r="BU291" s="342" t="s">
        <v>210</v>
      </c>
      <c r="BV291" s="342" t="s">
        <v>210</v>
      </c>
      <c r="BW291" s="341" t="s">
        <v>15</v>
      </c>
      <c r="BX291" s="361"/>
      <c r="BY291" s="362"/>
      <c r="BZ291" s="363"/>
      <c r="CA291" s="363"/>
      <c r="CB291" s="363"/>
      <c r="CC291" s="363"/>
      <c r="CD291" s="293"/>
      <c r="CE291" s="364"/>
      <c r="CF291" s="364"/>
      <c r="CG291" s="364"/>
      <c r="CH291" s="364"/>
      <c r="CI291" s="364"/>
      <c r="CJ291" s="364"/>
      <c r="CK291" s="364"/>
      <c r="CL291" s="364"/>
      <c r="CM291" s="364"/>
      <c r="CN291" s="364"/>
      <c r="CO291" s="364"/>
      <c r="CP291" s="364"/>
      <c r="CQ291" s="364"/>
      <c r="CR291" s="364"/>
      <c r="CS291" s="364"/>
      <c r="CT291" s="364"/>
      <c r="CU291" s="364"/>
      <c r="CV291" s="364"/>
      <c r="CW291" s="364"/>
      <c r="CX291" s="364"/>
      <c r="CY291" s="364"/>
      <c r="CZ291" s="364"/>
      <c r="DA291" s="364"/>
      <c r="DB291" s="364"/>
      <c r="DC291" s="364"/>
      <c r="DD291" s="364"/>
      <c r="DE291" s="364"/>
      <c r="DF291" s="364"/>
      <c r="DG291" s="364"/>
      <c r="DH291" s="364"/>
      <c r="DI291" s="364"/>
      <c r="DJ291" s="364"/>
      <c r="DK291" s="364"/>
      <c r="DL291" s="364"/>
      <c r="DM291" s="364"/>
      <c r="DN291" s="364"/>
      <c r="DO291" s="364"/>
      <c r="DP291" s="364"/>
      <c r="DQ291" s="364"/>
      <c r="DR291" s="364"/>
      <c r="DS291" s="364"/>
      <c r="DT291" s="364"/>
      <c r="DU291" s="364"/>
      <c r="DV291" s="364"/>
      <c r="DW291" s="364"/>
      <c r="DX291" s="364"/>
      <c r="DY291" s="364"/>
      <c r="DZ291" s="364"/>
      <c r="EA291" s="364"/>
      <c r="EB291" s="364"/>
      <c r="EC291" s="364"/>
      <c r="ED291" s="364"/>
      <c r="EE291" s="364"/>
      <c r="EF291" s="364"/>
      <c r="EG291" s="364"/>
      <c r="EH291" s="364"/>
      <c r="EI291" s="364"/>
      <c r="EJ291" s="364"/>
      <c r="EK291" s="364"/>
      <c r="EL291" s="364"/>
      <c r="EM291" s="364"/>
      <c r="EN291" s="364"/>
      <c r="EO291" s="364"/>
      <c r="EP291" s="364"/>
      <c r="EQ291" s="364"/>
      <c r="ER291" s="364"/>
      <c r="ES291" s="364"/>
      <c r="ET291" s="364"/>
      <c r="EU291" s="364"/>
      <c r="EV291" s="364"/>
      <c r="EW291" s="364"/>
      <c r="EX291" s="364"/>
      <c r="EY291" s="364"/>
      <c r="EZ291" s="364"/>
      <c r="FA291" s="364"/>
      <c r="FB291" s="364"/>
      <c r="FC291" s="364"/>
      <c r="FD291" s="364"/>
      <c r="FE291" s="364"/>
      <c r="FF291" s="364"/>
      <c r="FG291" s="364"/>
      <c r="FH291" s="364"/>
      <c r="FI291" s="364"/>
      <c r="FJ291" s="364"/>
      <c r="FK291" s="364"/>
      <c r="FL291" s="364"/>
      <c r="FM291" s="364"/>
      <c r="FN291" s="364"/>
      <c r="FO291" s="364"/>
      <c r="FP291" s="364"/>
      <c r="FQ291" s="364"/>
      <c r="FR291" s="364"/>
      <c r="FS291" s="364"/>
      <c r="FT291" s="364"/>
      <c r="FU291" s="364"/>
      <c r="FV291" s="364"/>
      <c r="FW291" s="364"/>
      <c r="FX291" s="364"/>
      <c r="FY291" s="364"/>
      <c r="FZ291" s="364"/>
      <c r="GA291" s="364"/>
      <c r="GB291" s="364"/>
      <c r="GC291" s="364"/>
      <c r="GD291" s="364"/>
      <c r="GE291" s="364"/>
      <c r="GF291" s="364"/>
      <c r="GG291" s="364"/>
      <c r="GH291" s="364"/>
      <c r="GI291" s="364"/>
      <c r="GJ291" s="364"/>
      <c r="GK291" s="364"/>
      <c r="GL291" s="364"/>
      <c r="GM291" s="364"/>
      <c r="GN291" s="364"/>
      <c r="GO291" s="364"/>
      <c r="GP291" s="364"/>
      <c r="GQ291" s="364"/>
      <c r="GR291" s="364"/>
      <c r="GS291" s="364"/>
      <c r="GT291" s="364"/>
      <c r="GU291" s="364"/>
      <c r="GV291" s="364"/>
      <c r="GW291" s="364"/>
      <c r="GX291" s="364"/>
      <c r="GY291" s="364"/>
      <c r="GZ291" s="364"/>
      <c r="HA291" s="364"/>
      <c r="HB291" s="364"/>
      <c r="HC291" s="364"/>
      <c r="HD291" s="364"/>
      <c r="HE291" s="364"/>
      <c r="HF291" s="364"/>
      <c r="HG291" s="364"/>
      <c r="HH291" s="364"/>
      <c r="HI291" s="364"/>
      <c r="HJ291" s="364"/>
      <c r="HK291" s="364"/>
      <c r="HL291" s="364"/>
    </row>
    <row r="292" spans="2:220" s="287" customFormat="1" ht="22.5" customHeight="1">
      <c r="B292" s="365">
        <v>240179</v>
      </c>
      <c r="C292" s="366" t="s">
        <v>13572</v>
      </c>
      <c r="D292" s="367"/>
      <c r="E292" s="368"/>
      <c r="F292" s="321" t="s">
        <v>250</v>
      </c>
      <c r="G292" s="326" t="s">
        <v>1794</v>
      </c>
      <c r="H292" s="326" t="s">
        <v>2196</v>
      </c>
      <c r="I292" s="326" t="s">
        <v>11</v>
      </c>
      <c r="J292" s="326" t="s">
        <v>21</v>
      </c>
      <c r="K292" s="326" t="s">
        <v>324</v>
      </c>
      <c r="L292" s="323"/>
      <c r="M292" s="374"/>
      <c r="N292" s="325" t="s">
        <v>438</v>
      </c>
      <c r="O292" s="326" t="s">
        <v>210</v>
      </c>
      <c r="P292" s="327">
        <v>661</v>
      </c>
      <c r="Q292" s="340" t="s">
        <v>15</v>
      </c>
      <c r="R292" s="329" t="s">
        <v>990</v>
      </c>
      <c r="S292" s="330"/>
      <c r="T292" s="330"/>
      <c r="U292" s="330"/>
      <c r="V292" s="330"/>
      <c r="W292" s="332" t="s">
        <v>989</v>
      </c>
      <c r="X292" s="330"/>
      <c r="Y292" s="330"/>
      <c r="Z292" s="330"/>
      <c r="AA292" s="330"/>
      <c r="AB292" s="333"/>
      <c r="AC292" s="333"/>
      <c r="AD292" s="334" t="s">
        <v>362</v>
      </c>
      <c r="AE292" s="391"/>
      <c r="AF292" s="336"/>
      <c r="AG292" s="337"/>
      <c r="AH292" s="417" t="s">
        <v>435</v>
      </c>
      <c r="AI292" s="392" t="s">
        <v>435</v>
      </c>
      <c r="AJ292" s="392" t="s">
        <v>435</v>
      </c>
      <c r="AK292" s="340" t="s">
        <v>435</v>
      </c>
      <c r="AL292" s="321" t="s">
        <v>210</v>
      </c>
      <c r="AM292" s="392" t="s">
        <v>15</v>
      </c>
      <c r="AN292" s="392" t="s">
        <v>15</v>
      </c>
      <c r="AO292" s="341" t="s">
        <v>15</v>
      </c>
      <c r="AP292" s="342"/>
      <c r="AQ292" s="343"/>
      <c r="AR292" s="370">
        <v>482</v>
      </c>
      <c r="AS292" s="326">
        <v>100</v>
      </c>
      <c r="AT292" s="392">
        <v>1</v>
      </c>
      <c r="AU292" s="392"/>
      <c r="AV292" s="392">
        <v>1.5</v>
      </c>
      <c r="AW292" s="340"/>
      <c r="AX292" s="347"/>
      <c r="AY292" s="348"/>
      <c r="AZ292" s="377"/>
      <c r="BA292" s="374"/>
      <c r="BB292" s="374"/>
      <c r="BC292" s="374"/>
      <c r="BD292" s="374"/>
      <c r="BE292" s="374"/>
      <c r="BF292" s="374"/>
      <c r="BG292" s="374"/>
      <c r="BH292" s="378"/>
      <c r="BI292" s="376"/>
      <c r="BJ292" s="379"/>
      <c r="BK292" s="380"/>
      <c r="BL292" s="348"/>
      <c r="BM292" s="381"/>
      <c r="BN292" s="321" t="s">
        <v>983</v>
      </c>
      <c r="BO292" s="372"/>
      <c r="BP292" s="373" t="s">
        <v>15</v>
      </c>
      <c r="BQ292" s="360"/>
      <c r="BR292" s="361"/>
      <c r="BS292" s="361"/>
      <c r="BT292" s="361"/>
      <c r="BU292" s="342" t="s">
        <v>210</v>
      </c>
      <c r="BV292" s="342" t="s">
        <v>210</v>
      </c>
      <c r="BW292" s="341" t="s">
        <v>15</v>
      </c>
      <c r="BX292" s="361"/>
      <c r="BY292" s="362"/>
      <c r="BZ292" s="363"/>
      <c r="CA292" s="363"/>
      <c r="CB292" s="363"/>
      <c r="CC292" s="363"/>
      <c r="CD292" s="293"/>
      <c r="CE292" s="364"/>
      <c r="CF292" s="364"/>
      <c r="CG292" s="364"/>
      <c r="CH292" s="364"/>
      <c r="CI292" s="364"/>
      <c r="CJ292" s="364"/>
      <c r="CK292" s="364"/>
      <c r="CL292" s="364"/>
      <c r="CM292" s="364"/>
      <c r="CN292" s="364"/>
      <c r="CO292" s="364"/>
      <c r="CP292" s="364"/>
      <c r="CQ292" s="364"/>
      <c r="CR292" s="364"/>
      <c r="CS292" s="364"/>
      <c r="CT292" s="364"/>
      <c r="CU292" s="364"/>
      <c r="CV292" s="364"/>
      <c r="CW292" s="364"/>
      <c r="CX292" s="364"/>
      <c r="CY292" s="364"/>
      <c r="CZ292" s="364"/>
      <c r="DA292" s="364"/>
      <c r="DB292" s="364"/>
      <c r="DC292" s="364"/>
      <c r="DD292" s="364"/>
      <c r="DE292" s="364"/>
      <c r="DF292" s="364"/>
      <c r="DG292" s="364"/>
      <c r="DH292" s="364"/>
      <c r="DI292" s="364"/>
      <c r="DJ292" s="364"/>
      <c r="DK292" s="364"/>
      <c r="DL292" s="364"/>
      <c r="DM292" s="364"/>
      <c r="DN292" s="364"/>
      <c r="DO292" s="364"/>
      <c r="DP292" s="364"/>
      <c r="DQ292" s="364"/>
      <c r="DR292" s="364"/>
      <c r="DS292" s="364"/>
      <c r="DT292" s="364"/>
      <c r="DU292" s="364"/>
      <c r="DV292" s="364"/>
      <c r="DW292" s="364"/>
      <c r="DX292" s="364"/>
      <c r="DY292" s="364"/>
      <c r="DZ292" s="364"/>
      <c r="EA292" s="364"/>
      <c r="EB292" s="364"/>
      <c r="EC292" s="364"/>
      <c r="ED292" s="364"/>
      <c r="EE292" s="364"/>
      <c r="EF292" s="364"/>
      <c r="EG292" s="364"/>
      <c r="EH292" s="364"/>
      <c r="EI292" s="364"/>
      <c r="EJ292" s="364"/>
      <c r="EK292" s="364"/>
      <c r="EL292" s="364"/>
      <c r="EM292" s="364"/>
      <c r="EN292" s="364"/>
      <c r="EO292" s="364"/>
      <c r="EP292" s="364"/>
      <c r="EQ292" s="364"/>
      <c r="ER292" s="364"/>
      <c r="ES292" s="364"/>
      <c r="ET292" s="364"/>
      <c r="EU292" s="364"/>
      <c r="EV292" s="364"/>
      <c r="EW292" s="364"/>
      <c r="EX292" s="364"/>
      <c r="EY292" s="364"/>
      <c r="EZ292" s="364"/>
      <c r="FA292" s="364"/>
      <c r="FB292" s="364"/>
      <c r="FC292" s="364"/>
      <c r="FD292" s="364"/>
      <c r="FE292" s="364"/>
      <c r="FF292" s="364"/>
      <c r="FG292" s="364"/>
      <c r="FH292" s="364"/>
      <c r="FI292" s="364"/>
      <c r="FJ292" s="364"/>
      <c r="FK292" s="364"/>
      <c r="FL292" s="364"/>
      <c r="FM292" s="364"/>
      <c r="FN292" s="364"/>
      <c r="FO292" s="364"/>
      <c r="FP292" s="364"/>
      <c r="FQ292" s="364"/>
      <c r="FR292" s="364"/>
      <c r="FS292" s="364"/>
      <c r="FT292" s="364"/>
      <c r="FU292" s="364"/>
      <c r="FV292" s="364"/>
      <c r="FW292" s="364"/>
      <c r="FX292" s="364"/>
      <c r="FY292" s="364"/>
      <c r="FZ292" s="364"/>
      <c r="GA292" s="364"/>
      <c r="GB292" s="364"/>
      <c r="GC292" s="364"/>
      <c r="GD292" s="364"/>
      <c r="GE292" s="364"/>
      <c r="GF292" s="364"/>
      <c r="GG292" s="364"/>
      <c r="GH292" s="364"/>
      <c r="GI292" s="364"/>
      <c r="GJ292" s="364"/>
      <c r="GK292" s="364"/>
      <c r="GL292" s="364"/>
      <c r="GM292" s="364"/>
      <c r="GN292" s="364"/>
      <c r="GO292" s="364"/>
      <c r="GP292" s="364"/>
      <c r="GQ292" s="364"/>
      <c r="GR292" s="364"/>
      <c r="GS292" s="364"/>
      <c r="GT292" s="364"/>
      <c r="GU292" s="364"/>
      <c r="GV292" s="364"/>
      <c r="GW292" s="364"/>
      <c r="GX292" s="364"/>
      <c r="GY292" s="364"/>
      <c r="GZ292" s="364"/>
      <c r="HA292" s="364"/>
      <c r="HB292" s="364"/>
      <c r="HC292" s="364"/>
      <c r="HD292" s="364"/>
      <c r="HE292" s="364"/>
      <c r="HF292" s="364"/>
      <c r="HG292" s="364"/>
      <c r="HH292" s="364"/>
      <c r="HI292" s="364"/>
      <c r="HJ292" s="364"/>
      <c r="HK292" s="364"/>
      <c r="HL292" s="364"/>
    </row>
    <row r="293" spans="2:220" s="287" customFormat="1" ht="22.5" customHeight="1">
      <c r="B293" s="365">
        <v>240180</v>
      </c>
      <c r="C293" s="366" t="s">
        <v>365</v>
      </c>
      <c r="D293" s="367"/>
      <c r="E293" s="368"/>
      <c r="F293" s="321" t="s">
        <v>366</v>
      </c>
      <c r="G293" s="326" t="s">
        <v>2194</v>
      </c>
      <c r="H293" s="326" t="s">
        <v>2195</v>
      </c>
      <c r="I293" s="326" t="s">
        <v>11</v>
      </c>
      <c r="J293" s="326" t="s">
        <v>12</v>
      </c>
      <c r="K293" s="326" t="s">
        <v>251</v>
      </c>
      <c r="L293" s="323"/>
      <c r="M293" s="374"/>
      <c r="N293" s="325" t="s">
        <v>437</v>
      </c>
      <c r="O293" s="326">
        <v>30</v>
      </c>
      <c r="P293" s="326">
        <v>710</v>
      </c>
      <c r="Q293" s="340">
        <v>737</v>
      </c>
      <c r="R293" s="329" t="s">
        <v>991</v>
      </c>
      <c r="S293" s="330"/>
      <c r="T293" s="330"/>
      <c r="U293" s="330"/>
      <c r="V293" s="330"/>
      <c r="W293" s="332" t="s">
        <v>1095</v>
      </c>
      <c r="X293" s="394" t="s">
        <v>13121</v>
      </c>
      <c r="Y293" s="394" t="s">
        <v>11852</v>
      </c>
      <c r="Z293" s="394" t="s">
        <v>16280</v>
      </c>
      <c r="AA293" s="394" t="s">
        <v>13122</v>
      </c>
      <c r="AB293" s="333"/>
      <c r="AC293" s="333"/>
      <c r="AD293" s="396" t="s">
        <v>2320</v>
      </c>
      <c r="AE293" s="335" t="s">
        <v>309</v>
      </c>
      <c r="AF293" s="336"/>
      <c r="AG293" s="337"/>
      <c r="AH293" s="417" t="s">
        <v>435</v>
      </c>
      <c r="AI293" s="392" t="s">
        <v>435</v>
      </c>
      <c r="AJ293" s="392" t="s">
        <v>435</v>
      </c>
      <c r="AK293" s="340" t="s">
        <v>435</v>
      </c>
      <c r="AL293" s="321" t="s">
        <v>210</v>
      </c>
      <c r="AM293" s="392" t="s">
        <v>15</v>
      </c>
      <c r="AN293" s="326" t="s">
        <v>622</v>
      </c>
      <c r="AO293" s="341" t="s">
        <v>15</v>
      </c>
      <c r="AP293" s="342"/>
      <c r="AQ293" s="343"/>
      <c r="AR293" s="370">
        <v>944</v>
      </c>
      <c r="AS293" s="326">
        <v>100</v>
      </c>
      <c r="AT293" s="392">
        <v>0.8</v>
      </c>
      <c r="AU293" s="392"/>
      <c r="AV293" s="392">
        <v>1.5</v>
      </c>
      <c r="AW293" s="340"/>
      <c r="AX293" s="347"/>
      <c r="AY293" s="348"/>
      <c r="AZ293" s="377"/>
      <c r="BA293" s="374"/>
      <c r="BB293" s="374"/>
      <c r="BC293" s="374"/>
      <c r="BD293" s="374"/>
      <c r="BE293" s="374"/>
      <c r="BF293" s="374"/>
      <c r="BG293" s="374"/>
      <c r="BH293" s="378"/>
      <c r="BI293" s="376"/>
      <c r="BJ293" s="379"/>
      <c r="BK293" s="380"/>
      <c r="BL293" s="348"/>
      <c r="BM293" s="381"/>
      <c r="BN293" s="321" t="s">
        <v>983</v>
      </c>
      <c r="BO293" s="372"/>
      <c r="BP293" s="373" t="s">
        <v>15</v>
      </c>
      <c r="BQ293" s="360"/>
      <c r="BR293" s="361"/>
      <c r="BS293" s="361"/>
      <c r="BT293" s="361"/>
      <c r="BU293" s="342" t="s">
        <v>210</v>
      </c>
      <c r="BV293" s="342" t="s">
        <v>210</v>
      </c>
      <c r="BW293" s="341" t="s">
        <v>15</v>
      </c>
      <c r="BX293" s="361"/>
      <c r="BY293" s="362"/>
      <c r="BZ293" s="363"/>
      <c r="CA293" s="363"/>
      <c r="CB293" s="363"/>
      <c r="CC293" s="363"/>
      <c r="CD293" s="293"/>
      <c r="CE293" s="364"/>
      <c r="CF293" s="364"/>
      <c r="CG293" s="364"/>
      <c r="CH293" s="364"/>
      <c r="CI293" s="364"/>
      <c r="CJ293" s="364"/>
      <c r="CK293" s="364"/>
      <c r="CL293" s="364"/>
      <c r="CM293" s="364"/>
      <c r="CN293" s="364"/>
      <c r="CO293" s="364"/>
      <c r="CP293" s="364"/>
      <c r="CQ293" s="364"/>
      <c r="CR293" s="364"/>
      <c r="CS293" s="364"/>
      <c r="CT293" s="364"/>
      <c r="CU293" s="364"/>
      <c r="CV293" s="364"/>
      <c r="CW293" s="364"/>
      <c r="CX293" s="364"/>
      <c r="CY293" s="364"/>
      <c r="CZ293" s="364"/>
      <c r="DA293" s="364"/>
      <c r="DB293" s="364"/>
      <c r="DC293" s="364"/>
      <c r="DD293" s="364"/>
      <c r="DE293" s="364"/>
      <c r="DF293" s="364"/>
      <c r="DG293" s="364"/>
      <c r="DH293" s="364"/>
      <c r="DI293" s="364"/>
      <c r="DJ293" s="364"/>
      <c r="DK293" s="364"/>
      <c r="DL293" s="364"/>
      <c r="DM293" s="364"/>
      <c r="DN293" s="364"/>
      <c r="DO293" s="364"/>
      <c r="DP293" s="364"/>
      <c r="DQ293" s="364"/>
      <c r="DR293" s="364"/>
      <c r="DS293" s="364"/>
      <c r="DT293" s="364"/>
      <c r="DU293" s="364"/>
      <c r="DV293" s="364"/>
      <c r="DW293" s="364"/>
      <c r="DX293" s="364"/>
      <c r="DY293" s="364"/>
      <c r="DZ293" s="364"/>
      <c r="EA293" s="364"/>
      <c r="EB293" s="364"/>
      <c r="EC293" s="364"/>
      <c r="ED293" s="364"/>
      <c r="EE293" s="364"/>
      <c r="EF293" s="364"/>
      <c r="EG293" s="364"/>
      <c r="EH293" s="364"/>
      <c r="EI293" s="364"/>
      <c r="EJ293" s="364"/>
      <c r="EK293" s="364"/>
      <c r="EL293" s="364"/>
      <c r="EM293" s="364"/>
      <c r="EN293" s="364"/>
      <c r="EO293" s="364"/>
      <c r="EP293" s="364"/>
      <c r="EQ293" s="364"/>
      <c r="ER293" s="364"/>
      <c r="ES293" s="364"/>
      <c r="ET293" s="364"/>
      <c r="EU293" s="364"/>
      <c r="EV293" s="364"/>
      <c r="EW293" s="364"/>
      <c r="EX293" s="364"/>
      <c r="EY293" s="364"/>
      <c r="EZ293" s="364"/>
      <c r="FA293" s="364"/>
      <c r="FB293" s="364"/>
      <c r="FC293" s="364"/>
      <c r="FD293" s="364"/>
      <c r="FE293" s="364"/>
      <c r="FF293" s="364"/>
      <c r="FG293" s="364"/>
      <c r="FH293" s="364"/>
      <c r="FI293" s="364"/>
      <c r="FJ293" s="364"/>
      <c r="FK293" s="364"/>
      <c r="FL293" s="364"/>
      <c r="FM293" s="364"/>
      <c r="FN293" s="364"/>
      <c r="FO293" s="364"/>
      <c r="FP293" s="364"/>
      <c r="FQ293" s="364"/>
      <c r="FR293" s="364"/>
      <c r="FS293" s="364"/>
      <c r="FT293" s="364"/>
      <c r="FU293" s="364"/>
      <c r="FV293" s="364"/>
      <c r="FW293" s="364"/>
      <c r="FX293" s="364"/>
      <c r="FY293" s="364"/>
      <c r="FZ293" s="364"/>
      <c r="GA293" s="364"/>
      <c r="GB293" s="364"/>
      <c r="GC293" s="364"/>
      <c r="GD293" s="364"/>
      <c r="GE293" s="364"/>
      <c r="GF293" s="364"/>
      <c r="GG293" s="364"/>
      <c r="GH293" s="364"/>
      <c r="GI293" s="364"/>
      <c r="GJ293" s="364"/>
      <c r="GK293" s="364"/>
      <c r="GL293" s="364"/>
      <c r="GM293" s="364"/>
      <c r="GN293" s="364"/>
      <c r="GO293" s="364"/>
      <c r="GP293" s="364"/>
      <c r="GQ293" s="364"/>
      <c r="GR293" s="364"/>
      <c r="GS293" s="364"/>
      <c r="GT293" s="364"/>
      <c r="GU293" s="364"/>
      <c r="GV293" s="364"/>
      <c r="GW293" s="364"/>
      <c r="GX293" s="364"/>
      <c r="GY293" s="364"/>
      <c r="GZ293" s="364"/>
      <c r="HA293" s="364"/>
      <c r="HB293" s="364"/>
      <c r="HC293" s="364"/>
      <c r="HD293" s="364"/>
      <c r="HE293" s="364"/>
      <c r="HF293" s="364"/>
      <c r="HG293" s="364"/>
      <c r="HH293" s="364"/>
      <c r="HI293" s="364"/>
      <c r="HJ293" s="364"/>
      <c r="HK293" s="364"/>
      <c r="HL293" s="364"/>
    </row>
    <row r="294" spans="2:220" s="287" customFormat="1" ht="22.5" customHeight="1">
      <c r="B294" s="365">
        <v>240181</v>
      </c>
      <c r="C294" s="366" t="s">
        <v>14280</v>
      </c>
      <c r="D294" s="367"/>
      <c r="E294" s="368"/>
      <c r="F294" s="321" t="s">
        <v>304</v>
      </c>
      <c r="G294" s="326" t="s">
        <v>2192</v>
      </c>
      <c r="H294" s="326" t="s">
        <v>2193</v>
      </c>
      <c r="I294" s="326" t="s">
        <v>11</v>
      </c>
      <c r="J294" s="326" t="s">
        <v>21</v>
      </c>
      <c r="K294" s="326" t="s">
        <v>247</v>
      </c>
      <c r="L294" s="323"/>
      <c r="M294" s="374"/>
      <c r="N294" s="325" t="s">
        <v>438</v>
      </c>
      <c r="O294" s="326">
        <v>40</v>
      </c>
      <c r="P294" s="327">
        <v>722</v>
      </c>
      <c r="Q294" s="369" t="s">
        <v>997</v>
      </c>
      <c r="R294" s="329" t="s">
        <v>998</v>
      </c>
      <c r="S294" s="331" t="s">
        <v>14281</v>
      </c>
      <c r="T294" s="330"/>
      <c r="U294" s="330"/>
      <c r="V294" s="331" t="s">
        <v>14282</v>
      </c>
      <c r="W294" s="332" t="s">
        <v>432</v>
      </c>
      <c r="X294" s="331" t="s">
        <v>11079</v>
      </c>
      <c r="Y294" s="331" t="s">
        <v>11080</v>
      </c>
      <c r="Z294" s="331" t="s">
        <v>11080</v>
      </c>
      <c r="AA294" s="331"/>
      <c r="AB294" s="333" t="s">
        <v>513</v>
      </c>
      <c r="AC294" s="333"/>
      <c r="AD294" s="334" t="s">
        <v>274</v>
      </c>
      <c r="AE294" s="335" t="s">
        <v>305</v>
      </c>
      <c r="AF294" s="336"/>
      <c r="AG294" s="337"/>
      <c r="AH294" s="376"/>
      <c r="AI294" s="347"/>
      <c r="AJ294" s="347"/>
      <c r="AK294" s="371"/>
      <c r="AL294" s="417" t="s">
        <v>15</v>
      </c>
      <c r="AM294" s="425" t="s">
        <v>8761</v>
      </c>
      <c r="AN294" s="326" t="s">
        <v>210</v>
      </c>
      <c r="AO294" s="341" t="s">
        <v>15</v>
      </c>
      <c r="AP294" s="418"/>
      <c r="AQ294" s="343"/>
      <c r="AR294" s="370">
        <v>839</v>
      </c>
      <c r="AS294" s="326">
        <v>100</v>
      </c>
      <c r="AT294" s="392">
        <v>1</v>
      </c>
      <c r="AU294" s="392"/>
      <c r="AV294" s="392">
        <v>1.5</v>
      </c>
      <c r="AW294" s="340"/>
      <c r="AX294" s="347"/>
      <c r="AY294" s="348"/>
      <c r="AZ294" s="377"/>
      <c r="BA294" s="374"/>
      <c r="BB294" s="374"/>
      <c r="BC294" s="374"/>
      <c r="BD294" s="374"/>
      <c r="BE294" s="374"/>
      <c r="BF294" s="374"/>
      <c r="BG294" s="374"/>
      <c r="BH294" s="378"/>
      <c r="BI294" s="376"/>
      <c r="BJ294" s="379"/>
      <c r="BK294" s="380"/>
      <c r="BL294" s="348"/>
      <c r="BM294" s="381"/>
      <c r="BN294" s="321" t="s">
        <v>983</v>
      </c>
      <c r="BO294" s="372"/>
      <c r="BP294" s="373" t="s">
        <v>983</v>
      </c>
      <c r="BQ294" s="360"/>
      <c r="BR294" s="361"/>
      <c r="BS294" s="361"/>
      <c r="BT294" s="361"/>
      <c r="BU294" s="361"/>
      <c r="BV294" s="418">
        <v>-25</v>
      </c>
      <c r="BW294" s="341" t="s">
        <v>15</v>
      </c>
      <c r="BX294" s="361"/>
      <c r="BY294" s="362"/>
      <c r="BZ294" s="363"/>
      <c r="CA294" s="363"/>
      <c r="CB294" s="363"/>
      <c r="CC294" s="363"/>
      <c r="CD294" s="293"/>
      <c r="CE294" s="364"/>
      <c r="CF294" s="364"/>
      <c r="CG294" s="364"/>
      <c r="CH294" s="364"/>
      <c r="CI294" s="364"/>
      <c r="CJ294" s="364"/>
      <c r="CK294" s="364"/>
      <c r="CL294" s="364"/>
      <c r="CM294" s="364"/>
      <c r="CN294" s="364"/>
      <c r="CO294" s="364"/>
      <c r="CP294" s="364"/>
      <c r="CQ294" s="364"/>
      <c r="CR294" s="364"/>
      <c r="CS294" s="364"/>
      <c r="CT294" s="364"/>
      <c r="CU294" s="364"/>
      <c r="CV294" s="364"/>
      <c r="CW294" s="364"/>
      <c r="CX294" s="364"/>
      <c r="CY294" s="364"/>
      <c r="CZ294" s="364"/>
      <c r="DA294" s="364"/>
      <c r="DB294" s="364"/>
      <c r="DC294" s="364"/>
      <c r="DD294" s="364"/>
      <c r="DE294" s="364"/>
      <c r="DF294" s="364"/>
      <c r="DG294" s="364"/>
      <c r="DH294" s="364"/>
      <c r="DI294" s="364"/>
      <c r="DJ294" s="364"/>
      <c r="DK294" s="364"/>
      <c r="DL294" s="364"/>
      <c r="DM294" s="364"/>
      <c r="DN294" s="364"/>
      <c r="DO294" s="364"/>
      <c r="DP294" s="364"/>
      <c r="DQ294" s="364"/>
      <c r="DR294" s="364"/>
      <c r="DS294" s="364"/>
      <c r="DT294" s="364"/>
      <c r="DU294" s="364"/>
      <c r="DV294" s="364"/>
      <c r="DW294" s="364"/>
      <c r="DX294" s="364"/>
      <c r="DY294" s="364"/>
      <c r="DZ294" s="364"/>
      <c r="EA294" s="364"/>
      <c r="EB294" s="364"/>
      <c r="EC294" s="364"/>
      <c r="ED294" s="364"/>
      <c r="EE294" s="364"/>
      <c r="EF294" s="364"/>
      <c r="EG294" s="364"/>
      <c r="EH294" s="364"/>
      <c r="EI294" s="364"/>
      <c r="EJ294" s="364"/>
      <c r="EK294" s="364"/>
      <c r="EL294" s="364"/>
      <c r="EM294" s="364"/>
      <c r="EN294" s="364"/>
      <c r="EO294" s="364"/>
      <c r="EP294" s="364"/>
      <c r="EQ294" s="364"/>
      <c r="ER294" s="364"/>
      <c r="ES294" s="364"/>
      <c r="ET294" s="364"/>
      <c r="EU294" s="364"/>
      <c r="EV294" s="364"/>
      <c r="EW294" s="364"/>
      <c r="EX294" s="364"/>
      <c r="EY294" s="364"/>
      <c r="EZ294" s="364"/>
      <c r="FA294" s="364"/>
      <c r="FB294" s="364"/>
      <c r="FC294" s="364"/>
      <c r="FD294" s="364"/>
      <c r="FE294" s="364"/>
      <c r="FF294" s="364"/>
      <c r="FG294" s="364"/>
      <c r="FH294" s="364"/>
      <c r="FI294" s="364"/>
      <c r="FJ294" s="364"/>
      <c r="FK294" s="364"/>
      <c r="FL294" s="364"/>
      <c r="FM294" s="364"/>
      <c r="FN294" s="364"/>
      <c r="FO294" s="364"/>
      <c r="FP294" s="364"/>
      <c r="FQ294" s="364"/>
      <c r="FR294" s="364"/>
      <c r="FS294" s="364"/>
      <c r="FT294" s="364"/>
      <c r="FU294" s="364"/>
      <c r="FV294" s="364"/>
      <c r="FW294" s="364"/>
      <c r="FX294" s="364"/>
      <c r="FY294" s="364"/>
      <c r="FZ294" s="364"/>
      <c r="GA294" s="364"/>
      <c r="GB294" s="364"/>
      <c r="GC294" s="364"/>
      <c r="GD294" s="364"/>
      <c r="GE294" s="364"/>
      <c r="GF294" s="364"/>
      <c r="GG294" s="364"/>
      <c r="GH294" s="364"/>
      <c r="GI294" s="364"/>
      <c r="GJ294" s="364"/>
      <c r="GK294" s="364"/>
      <c r="GL294" s="364"/>
      <c r="GM294" s="364"/>
      <c r="GN294" s="364"/>
      <c r="GO294" s="364"/>
      <c r="GP294" s="364"/>
      <c r="GQ294" s="364"/>
      <c r="GR294" s="364"/>
      <c r="GS294" s="364"/>
      <c r="GT294" s="364"/>
      <c r="GU294" s="364"/>
      <c r="GV294" s="364"/>
      <c r="GW294" s="364"/>
      <c r="GX294" s="364"/>
      <c r="GY294" s="364"/>
      <c r="GZ294" s="364"/>
      <c r="HA294" s="364"/>
      <c r="HB294" s="364"/>
      <c r="HC294" s="364"/>
      <c r="HD294" s="364"/>
      <c r="HE294" s="364"/>
      <c r="HF294" s="364"/>
      <c r="HG294" s="364"/>
      <c r="HH294" s="364"/>
      <c r="HI294" s="364"/>
      <c r="HJ294" s="364"/>
      <c r="HK294" s="364"/>
      <c r="HL294" s="364"/>
    </row>
    <row r="295" spans="2:220" s="287" customFormat="1" ht="22.5" customHeight="1">
      <c r="B295" s="365">
        <v>250101</v>
      </c>
      <c r="C295" s="366" t="s">
        <v>7785</v>
      </c>
      <c r="D295" s="367"/>
      <c r="E295" s="368"/>
      <c r="F295" s="321" t="s">
        <v>308</v>
      </c>
      <c r="G295" s="326" t="s">
        <v>2111</v>
      </c>
      <c r="H295" s="326" t="s">
        <v>2191</v>
      </c>
      <c r="I295" s="326" t="s">
        <v>11</v>
      </c>
      <c r="J295" s="326" t="s">
        <v>12</v>
      </c>
      <c r="K295" s="326" t="s">
        <v>323</v>
      </c>
      <c r="L295" s="323"/>
      <c r="M295" s="324" t="s">
        <v>10767</v>
      </c>
      <c r="N295" s="325" t="s">
        <v>437</v>
      </c>
      <c r="O295" s="326" t="s">
        <v>997</v>
      </c>
      <c r="P295" s="327" t="s">
        <v>997</v>
      </c>
      <c r="Q295" s="369" t="s">
        <v>997</v>
      </c>
      <c r="R295" s="329" t="s">
        <v>999</v>
      </c>
      <c r="S295" s="330"/>
      <c r="T295" s="394" t="s">
        <v>11262</v>
      </c>
      <c r="U295" s="394" t="s">
        <v>16414</v>
      </c>
      <c r="V295" s="394" t="s">
        <v>11263</v>
      </c>
      <c r="W295" s="332" t="s">
        <v>459</v>
      </c>
      <c r="X295" s="331" t="s">
        <v>14276</v>
      </c>
      <c r="Y295" s="331" t="s">
        <v>14278</v>
      </c>
      <c r="Z295" s="331" t="s">
        <v>14277</v>
      </c>
      <c r="AA295" s="331" t="s">
        <v>14279</v>
      </c>
      <c r="AB295" s="333"/>
      <c r="AC295" s="333"/>
      <c r="AD295" s="334" t="s">
        <v>2321</v>
      </c>
      <c r="AE295" s="335" t="s">
        <v>309</v>
      </c>
      <c r="AF295" s="336"/>
      <c r="AG295" s="337"/>
      <c r="AH295" s="417" t="s">
        <v>435</v>
      </c>
      <c r="AI295" s="392" t="s">
        <v>435</v>
      </c>
      <c r="AJ295" s="392" t="s">
        <v>435</v>
      </c>
      <c r="AK295" s="340" t="s">
        <v>435</v>
      </c>
      <c r="AL295" s="321" t="s">
        <v>210</v>
      </c>
      <c r="AM295" s="392" t="s">
        <v>15</v>
      </c>
      <c r="AN295" s="392" t="s">
        <v>15</v>
      </c>
      <c r="AO295" s="341" t="s">
        <v>15</v>
      </c>
      <c r="AP295" s="342"/>
      <c r="AQ295" s="343"/>
      <c r="AR295" s="370">
        <v>1163</v>
      </c>
      <c r="AS295" s="326">
        <v>100</v>
      </c>
      <c r="AT295" s="392">
        <v>1</v>
      </c>
      <c r="AU295" s="392"/>
      <c r="AV295" s="392">
        <v>1.5</v>
      </c>
      <c r="AW295" s="340"/>
      <c r="AX295" s="347"/>
      <c r="AY295" s="348"/>
      <c r="AZ295" s="377"/>
      <c r="BA295" s="374"/>
      <c r="BB295" s="374"/>
      <c r="BC295" s="374"/>
      <c r="BD295" s="374"/>
      <c r="BE295" s="374"/>
      <c r="BF295" s="374"/>
      <c r="BG295" s="374"/>
      <c r="BH295" s="378"/>
      <c r="BI295" s="376"/>
      <c r="BJ295" s="379"/>
      <c r="BK295" s="380"/>
      <c r="BL295" s="348"/>
      <c r="BM295" s="381"/>
      <c r="BN295" s="321" t="s">
        <v>983</v>
      </c>
      <c r="BO295" s="372"/>
      <c r="BP295" s="373" t="s">
        <v>15</v>
      </c>
      <c r="BQ295" s="360"/>
      <c r="BR295" s="361"/>
      <c r="BS295" s="361"/>
      <c r="BT295" s="361"/>
      <c r="BU295" s="342" t="s">
        <v>210</v>
      </c>
      <c r="BV295" s="342" t="s">
        <v>210</v>
      </c>
      <c r="BW295" s="341" t="s">
        <v>15</v>
      </c>
      <c r="BX295" s="361"/>
      <c r="BY295" s="362"/>
      <c r="BZ295" s="363"/>
      <c r="CA295" s="363"/>
      <c r="CB295" s="363"/>
      <c r="CC295" s="363"/>
      <c r="CD295" s="293"/>
      <c r="CE295" s="364"/>
      <c r="CF295" s="364"/>
      <c r="CG295" s="364"/>
      <c r="CH295" s="364"/>
      <c r="CI295" s="364"/>
      <c r="CJ295" s="364"/>
      <c r="CK295" s="364"/>
      <c r="CL295" s="364"/>
      <c r="CM295" s="364"/>
      <c r="CN295" s="364"/>
      <c r="CO295" s="364"/>
      <c r="CP295" s="364"/>
      <c r="CQ295" s="364"/>
      <c r="CR295" s="364"/>
      <c r="CS295" s="364"/>
      <c r="CT295" s="364"/>
      <c r="CU295" s="364"/>
      <c r="CV295" s="364"/>
      <c r="CW295" s="364"/>
      <c r="CX295" s="364"/>
      <c r="CY295" s="364"/>
      <c r="CZ295" s="364"/>
      <c r="DA295" s="364"/>
      <c r="DB295" s="364"/>
      <c r="DC295" s="364"/>
      <c r="DD295" s="364"/>
      <c r="DE295" s="364"/>
      <c r="DF295" s="364"/>
      <c r="DG295" s="364"/>
      <c r="DH295" s="364"/>
      <c r="DI295" s="364"/>
      <c r="DJ295" s="364"/>
      <c r="DK295" s="364"/>
      <c r="DL295" s="364"/>
      <c r="DM295" s="364"/>
      <c r="DN295" s="364"/>
      <c r="DO295" s="364"/>
      <c r="DP295" s="364"/>
      <c r="DQ295" s="364"/>
      <c r="DR295" s="364"/>
      <c r="DS295" s="364"/>
      <c r="DT295" s="364"/>
      <c r="DU295" s="364"/>
      <c r="DV295" s="364"/>
      <c r="DW295" s="364"/>
      <c r="DX295" s="364"/>
      <c r="DY295" s="364"/>
      <c r="DZ295" s="364"/>
      <c r="EA295" s="364"/>
      <c r="EB295" s="364"/>
      <c r="EC295" s="364"/>
      <c r="ED295" s="364"/>
      <c r="EE295" s="364"/>
      <c r="EF295" s="364"/>
      <c r="EG295" s="364"/>
      <c r="EH295" s="364"/>
      <c r="EI295" s="364"/>
      <c r="EJ295" s="364"/>
      <c r="EK295" s="364"/>
      <c r="EL295" s="364"/>
      <c r="EM295" s="364"/>
      <c r="EN295" s="364"/>
      <c r="EO295" s="364"/>
      <c r="EP295" s="364"/>
      <c r="EQ295" s="364"/>
      <c r="ER295" s="364"/>
      <c r="ES295" s="364"/>
      <c r="ET295" s="364"/>
      <c r="EU295" s="364"/>
      <c r="EV295" s="364"/>
      <c r="EW295" s="364"/>
      <c r="EX295" s="364"/>
      <c r="EY295" s="364"/>
      <c r="EZ295" s="364"/>
      <c r="FA295" s="364"/>
      <c r="FB295" s="364"/>
      <c r="FC295" s="364"/>
      <c r="FD295" s="364"/>
      <c r="FE295" s="364"/>
      <c r="FF295" s="364"/>
      <c r="FG295" s="364"/>
      <c r="FH295" s="364"/>
      <c r="FI295" s="364"/>
      <c r="FJ295" s="364"/>
      <c r="FK295" s="364"/>
      <c r="FL295" s="364"/>
      <c r="FM295" s="364"/>
      <c r="FN295" s="364"/>
      <c r="FO295" s="364"/>
      <c r="FP295" s="364"/>
      <c r="FQ295" s="364"/>
      <c r="FR295" s="364"/>
      <c r="FS295" s="364"/>
      <c r="FT295" s="364"/>
      <c r="FU295" s="364"/>
      <c r="FV295" s="364"/>
      <c r="FW295" s="364"/>
      <c r="FX295" s="364"/>
      <c r="FY295" s="364"/>
      <c r="FZ295" s="364"/>
      <c r="GA295" s="364"/>
      <c r="GB295" s="364"/>
      <c r="GC295" s="364"/>
      <c r="GD295" s="364"/>
      <c r="GE295" s="364"/>
      <c r="GF295" s="364"/>
      <c r="GG295" s="364"/>
      <c r="GH295" s="364"/>
      <c r="GI295" s="364"/>
      <c r="GJ295" s="364"/>
      <c r="GK295" s="364"/>
      <c r="GL295" s="364"/>
      <c r="GM295" s="364"/>
      <c r="GN295" s="364"/>
      <c r="GO295" s="364"/>
      <c r="GP295" s="364"/>
      <c r="GQ295" s="364"/>
      <c r="GR295" s="364"/>
      <c r="GS295" s="364"/>
      <c r="GT295" s="364"/>
      <c r="GU295" s="364"/>
      <c r="GV295" s="364"/>
      <c r="GW295" s="364"/>
      <c r="GX295" s="364"/>
      <c r="GY295" s="364"/>
      <c r="GZ295" s="364"/>
      <c r="HA295" s="364"/>
      <c r="HB295" s="364"/>
      <c r="HC295" s="364"/>
      <c r="HD295" s="364"/>
      <c r="HE295" s="364"/>
      <c r="HF295" s="364"/>
      <c r="HG295" s="364"/>
      <c r="HH295" s="364"/>
      <c r="HI295" s="364"/>
      <c r="HJ295" s="364"/>
      <c r="HK295" s="364"/>
      <c r="HL295" s="364"/>
    </row>
    <row r="296" spans="2:220" s="287" customFormat="1" ht="22.5" customHeight="1">
      <c r="B296" s="365">
        <v>250102</v>
      </c>
      <c r="C296" s="366" t="s">
        <v>377</v>
      </c>
      <c r="D296" s="367"/>
      <c r="E296" s="368"/>
      <c r="F296" s="321" t="s">
        <v>352</v>
      </c>
      <c r="G296" s="326" t="s">
        <v>2188</v>
      </c>
      <c r="H296" s="326" t="s">
        <v>2190</v>
      </c>
      <c r="I296" s="326" t="s">
        <v>11</v>
      </c>
      <c r="J296" s="326" t="s">
        <v>12</v>
      </c>
      <c r="K296" s="326" t="s">
        <v>324</v>
      </c>
      <c r="L296" s="323"/>
      <c r="M296" s="374"/>
      <c r="N296" s="325" t="s">
        <v>460</v>
      </c>
      <c r="O296" s="326" t="s">
        <v>997</v>
      </c>
      <c r="P296" s="327">
        <v>7004</v>
      </c>
      <c r="Q296" s="369" t="s">
        <v>997</v>
      </c>
      <c r="R296" s="329" t="s">
        <v>1086</v>
      </c>
      <c r="S296" s="331" t="s">
        <v>11142</v>
      </c>
      <c r="T296" s="331" t="s">
        <v>14922</v>
      </c>
      <c r="U296" s="330"/>
      <c r="V296" s="331" t="s">
        <v>11143</v>
      </c>
      <c r="W296" s="332" t="s">
        <v>519</v>
      </c>
      <c r="X296" s="331" t="s">
        <v>15444</v>
      </c>
      <c r="Y296" s="330"/>
      <c r="Z296" s="330"/>
      <c r="AA296" s="331" t="s">
        <v>11144</v>
      </c>
      <c r="AB296" s="333"/>
      <c r="AC296" s="416"/>
      <c r="AD296" s="375"/>
      <c r="AE296" s="391"/>
      <c r="AF296" s="336"/>
      <c r="AG296" s="337"/>
      <c r="AH296" s="417" t="s">
        <v>435</v>
      </c>
      <c r="AI296" s="392" t="s">
        <v>435</v>
      </c>
      <c r="AJ296" s="392" t="s">
        <v>435</v>
      </c>
      <c r="AK296" s="340" t="s">
        <v>435</v>
      </c>
      <c r="AL296" s="321" t="s">
        <v>210</v>
      </c>
      <c r="AM296" s="392" t="s">
        <v>15</v>
      </c>
      <c r="AN296" s="392" t="s">
        <v>15</v>
      </c>
      <c r="AO296" s="341" t="s">
        <v>15</v>
      </c>
      <c r="AP296" s="342"/>
      <c r="AQ296" s="343"/>
      <c r="AR296" s="370">
        <v>8728</v>
      </c>
      <c r="AS296" s="326">
        <v>100</v>
      </c>
      <c r="AT296" s="392">
        <v>1</v>
      </c>
      <c r="AU296" s="392"/>
      <c r="AV296" s="392">
        <v>1.5</v>
      </c>
      <c r="AW296" s="340"/>
      <c r="AX296" s="347"/>
      <c r="AY296" s="348"/>
      <c r="AZ296" s="377"/>
      <c r="BA296" s="374"/>
      <c r="BB296" s="374"/>
      <c r="BC296" s="374"/>
      <c r="BD296" s="374"/>
      <c r="BE296" s="374"/>
      <c r="BF296" s="374"/>
      <c r="BG296" s="374"/>
      <c r="BH296" s="378"/>
      <c r="BI296" s="376"/>
      <c r="BJ296" s="379"/>
      <c r="BK296" s="380"/>
      <c r="BL296" s="348"/>
      <c r="BM296" s="381"/>
      <c r="BN296" s="321" t="s">
        <v>983</v>
      </c>
      <c r="BO296" s="372"/>
      <c r="BP296" s="373" t="s">
        <v>983</v>
      </c>
      <c r="BQ296" s="360"/>
      <c r="BR296" s="361"/>
      <c r="BS296" s="361"/>
      <c r="BT296" s="361"/>
      <c r="BU296" s="342" t="s">
        <v>210</v>
      </c>
      <c r="BV296" s="342" t="s">
        <v>210</v>
      </c>
      <c r="BW296" s="341" t="s">
        <v>15</v>
      </c>
      <c r="BX296" s="361"/>
      <c r="BY296" s="362"/>
      <c r="BZ296" s="363"/>
      <c r="CA296" s="363"/>
      <c r="CB296" s="363"/>
      <c r="CC296" s="363"/>
      <c r="CD296" s="293"/>
      <c r="CE296" s="364"/>
      <c r="CF296" s="364"/>
      <c r="CG296" s="364"/>
      <c r="CH296" s="364"/>
      <c r="CI296" s="364"/>
      <c r="CJ296" s="364"/>
      <c r="CK296" s="364"/>
      <c r="CL296" s="364"/>
      <c r="CM296" s="364"/>
      <c r="CN296" s="364"/>
      <c r="CO296" s="364"/>
      <c r="CP296" s="364"/>
      <c r="CQ296" s="364"/>
      <c r="CR296" s="364"/>
      <c r="CS296" s="364"/>
      <c r="CT296" s="364"/>
      <c r="CU296" s="364"/>
      <c r="CV296" s="364"/>
      <c r="CW296" s="364"/>
      <c r="CX296" s="364"/>
      <c r="CY296" s="364"/>
      <c r="CZ296" s="364"/>
      <c r="DA296" s="364"/>
      <c r="DB296" s="364"/>
      <c r="DC296" s="364"/>
      <c r="DD296" s="364"/>
      <c r="DE296" s="364"/>
      <c r="DF296" s="364"/>
      <c r="DG296" s="364"/>
      <c r="DH296" s="364"/>
      <c r="DI296" s="364"/>
      <c r="DJ296" s="364"/>
      <c r="DK296" s="364"/>
      <c r="DL296" s="364"/>
      <c r="DM296" s="364"/>
      <c r="DN296" s="364"/>
      <c r="DO296" s="364"/>
      <c r="DP296" s="364"/>
      <c r="DQ296" s="364"/>
      <c r="DR296" s="364"/>
      <c r="DS296" s="364"/>
      <c r="DT296" s="364"/>
      <c r="DU296" s="364"/>
      <c r="DV296" s="364"/>
      <c r="DW296" s="364"/>
      <c r="DX296" s="364"/>
      <c r="DY296" s="364"/>
      <c r="DZ296" s="364"/>
      <c r="EA296" s="364"/>
      <c r="EB296" s="364"/>
      <c r="EC296" s="364"/>
      <c r="ED296" s="364"/>
      <c r="EE296" s="364"/>
      <c r="EF296" s="364"/>
      <c r="EG296" s="364"/>
      <c r="EH296" s="364"/>
      <c r="EI296" s="364"/>
      <c r="EJ296" s="364"/>
      <c r="EK296" s="364"/>
      <c r="EL296" s="364"/>
      <c r="EM296" s="364"/>
      <c r="EN296" s="364"/>
      <c r="EO296" s="364"/>
      <c r="EP296" s="364"/>
      <c r="EQ296" s="364"/>
      <c r="ER296" s="364"/>
      <c r="ES296" s="364"/>
      <c r="ET296" s="364"/>
      <c r="EU296" s="364"/>
      <c r="EV296" s="364"/>
      <c r="EW296" s="364"/>
      <c r="EX296" s="364"/>
      <c r="EY296" s="364"/>
      <c r="EZ296" s="364"/>
      <c r="FA296" s="364"/>
      <c r="FB296" s="364"/>
      <c r="FC296" s="364"/>
      <c r="FD296" s="364"/>
      <c r="FE296" s="364"/>
      <c r="FF296" s="364"/>
      <c r="FG296" s="364"/>
      <c r="FH296" s="364"/>
      <c r="FI296" s="364"/>
      <c r="FJ296" s="364"/>
      <c r="FK296" s="364"/>
      <c r="FL296" s="364"/>
      <c r="FM296" s="364"/>
      <c r="FN296" s="364"/>
      <c r="FO296" s="364"/>
      <c r="FP296" s="364"/>
      <c r="FQ296" s="364"/>
      <c r="FR296" s="364"/>
      <c r="FS296" s="364"/>
      <c r="FT296" s="364"/>
      <c r="FU296" s="364"/>
      <c r="FV296" s="364"/>
      <c r="FW296" s="364"/>
      <c r="FX296" s="364"/>
      <c r="FY296" s="364"/>
      <c r="FZ296" s="364"/>
      <c r="GA296" s="364"/>
      <c r="GB296" s="364"/>
      <c r="GC296" s="364"/>
      <c r="GD296" s="364"/>
      <c r="GE296" s="364"/>
      <c r="GF296" s="364"/>
      <c r="GG296" s="364"/>
      <c r="GH296" s="364"/>
      <c r="GI296" s="364"/>
      <c r="GJ296" s="364"/>
      <c r="GK296" s="364"/>
      <c r="GL296" s="364"/>
      <c r="GM296" s="364"/>
      <c r="GN296" s="364"/>
      <c r="GO296" s="364"/>
      <c r="GP296" s="364"/>
      <c r="GQ296" s="364"/>
      <c r="GR296" s="364"/>
      <c r="GS296" s="364"/>
      <c r="GT296" s="364"/>
      <c r="GU296" s="364"/>
      <c r="GV296" s="364"/>
      <c r="GW296" s="364"/>
      <c r="GX296" s="364"/>
      <c r="GY296" s="364"/>
      <c r="GZ296" s="364"/>
      <c r="HA296" s="364"/>
      <c r="HB296" s="364"/>
      <c r="HC296" s="364"/>
      <c r="HD296" s="364"/>
      <c r="HE296" s="364"/>
      <c r="HF296" s="364"/>
      <c r="HG296" s="364"/>
      <c r="HH296" s="364"/>
      <c r="HI296" s="364"/>
      <c r="HJ296" s="364"/>
      <c r="HK296" s="364"/>
      <c r="HL296" s="364"/>
    </row>
    <row r="297" spans="2:220" s="287" customFormat="1" ht="22.5" customHeight="1">
      <c r="B297" s="365">
        <v>250103</v>
      </c>
      <c r="C297" s="366" t="s">
        <v>14272</v>
      </c>
      <c r="D297" s="367"/>
      <c r="E297" s="368"/>
      <c r="F297" s="321" t="s">
        <v>352</v>
      </c>
      <c r="G297" s="326" t="s">
        <v>2188</v>
      </c>
      <c r="H297" s="326" t="s">
        <v>2189</v>
      </c>
      <c r="I297" s="326" t="s">
        <v>11</v>
      </c>
      <c r="J297" s="326" t="s">
        <v>12</v>
      </c>
      <c r="K297" s="326" t="s">
        <v>363</v>
      </c>
      <c r="L297" s="323"/>
      <c r="M297" s="374"/>
      <c r="N297" s="325" t="s">
        <v>438</v>
      </c>
      <c r="O297" s="326" t="s">
        <v>997</v>
      </c>
      <c r="P297" s="327" t="s">
        <v>997</v>
      </c>
      <c r="Q297" s="369" t="s">
        <v>997</v>
      </c>
      <c r="R297" s="329" t="s">
        <v>1000</v>
      </c>
      <c r="S297" s="330"/>
      <c r="T297" s="330"/>
      <c r="U297" s="330"/>
      <c r="V297" s="330"/>
      <c r="W297" s="332" t="s">
        <v>463</v>
      </c>
      <c r="X297" s="331" t="s">
        <v>14273</v>
      </c>
      <c r="Y297" s="331" t="s">
        <v>14274</v>
      </c>
      <c r="Z297" s="331" t="s">
        <v>16499</v>
      </c>
      <c r="AA297" s="331" t="s">
        <v>14275</v>
      </c>
      <c r="AB297" s="333"/>
      <c r="AC297" s="333"/>
      <c r="AD297" s="334" t="s">
        <v>385</v>
      </c>
      <c r="AE297" s="335" t="s">
        <v>353</v>
      </c>
      <c r="AF297" s="336"/>
      <c r="AG297" s="337"/>
      <c r="AH297" s="417" t="s">
        <v>435</v>
      </c>
      <c r="AI297" s="392" t="s">
        <v>435</v>
      </c>
      <c r="AJ297" s="392" t="s">
        <v>435</v>
      </c>
      <c r="AK297" s="340" t="s">
        <v>435</v>
      </c>
      <c r="AL297" s="321" t="s">
        <v>210</v>
      </c>
      <c r="AM297" s="392" t="s">
        <v>15</v>
      </c>
      <c r="AN297" s="392" t="s">
        <v>15</v>
      </c>
      <c r="AO297" s="341" t="s">
        <v>15</v>
      </c>
      <c r="AP297" s="342"/>
      <c r="AQ297" s="343"/>
      <c r="AR297" s="370">
        <v>1866</v>
      </c>
      <c r="AS297" s="326">
        <v>150</v>
      </c>
      <c r="AT297" s="392">
        <v>1</v>
      </c>
      <c r="AU297" s="392"/>
      <c r="AV297" s="392">
        <v>1.5</v>
      </c>
      <c r="AW297" s="340"/>
      <c r="AX297" s="347"/>
      <c r="AY297" s="348"/>
      <c r="AZ297" s="377"/>
      <c r="BA297" s="374"/>
      <c r="BB297" s="374"/>
      <c r="BC297" s="374"/>
      <c r="BD297" s="374"/>
      <c r="BE297" s="374"/>
      <c r="BF297" s="374"/>
      <c r="BG297" s="374"/>
      <c r="BH297" s="378"/>
      <c r="BI297" s="376"/>
      <c r="BJ297" s="431">
        <v>1.53</v>
      </c>
      <c r="BK297" s="380"/>
      <c r="BL297" s="348"/>
      <c r="BM297" s="381"/>
      <c r="BN297" s="321" t="s">
        <v>15</v>
      </c>
      <c r="BO297" s="372"/>
      <c r="BP297" s="373" t="s">
        <v>983</v>
      </c>
      <c r="BQ297" s="360"/>
      <c r="BR297" s="361"/>
      <c r="BS297" s="361"/>
      <c r="BT297" s="361"/>
      <c r="BU297" s="342" t="s">
        <v>210</v>
      </c>
      <c r="BV297" s="342" t="s">
        <v>210</v>
      </c>
      <c r="BW297" s="341" t="s">
        <v>15</v>
      </c>
      <c r="BX297" s="361"/>
      <c r="BY297" s="362"/>
      <c r="BZ297" s="363"/>
      <c r="CA297" s="363"/>
      <c r="CB297" s="363"/>
      <c r="CC297" s="363"/>
      <c r="CD297" s="293"/>
      <c r="CE297" s="364"/>
      <c r="CF297" s="364"/>
      <c r="CG297" s="364"/>
      <c r="CH297" s="364"/>
      <c r="CI297" s="364"/>
      <c r="CJ297" s="364"/>
      <c r="CK297" s="364"/>
      <c r="CL297" s="364"/>
      <c r="CM297" s="364"/>
      <c r="CN297" s="364"/>
      <c r="CO297" s="364"/>
      <c r="CP297" s="364"/>
      <c r="CQ297" s="364"/>
      <c r="CR297" s="364"/>
      <c r="CS297" s="364"/>
      <c r="CT297" s="364"/>
      <c r="CU297" s="364"/>
      <c r="CV297" s="364"/>
      <c r="CW297" s="364"/>
      <c r="CX297" s="364"/>
      <c r="CY297" s="364"/>
      <c r="CZ297" s="364"/>
      <c r="DA297" s="364"/>
      <c r="DB297" s="364"/>
      <c r="DC297" s="364"/>
      <c r="DD297" s="364"/>
      <c r="DE297" s="364"/>
      <c r="DF297" s="364"/>
      <c r="DG297" s="364"/>
      <c r="DH297" s="364"/>
      <c r="DI297" s="364"/>
      <c r="DJ297" s="364"/>
      <c r="DK297" s="364"/>
      <c r="DL297" s="364"/>
      <c r="DM297" s="364"/>
      <c r="DN297" s="364"/>
      <c r="DO297" s="364"/>
      <c r="DP297" s="364"/>
      <c r="DQ297" s="364"/>
      <c r="DR297" s="364"/>
      <c r="DS297" s="364"/>
      <c r="DT297" s="364"/>
      <c r="DU297" s="364"/>
      <c r="DV297" s="364"/>
      <c r="DW297" s="364"/>
      <c r="DX297" s="364"/>
      <c r="DY297" s="364"/>
      <c r="DZ297" s="364"/>
      <c r="EA297" s="364"/>
      <c r="EB297" s="364"/>
      <c r="EC297" s="364"/>
      <c r="ED297" s="364"/>
      <c r="EE297" s="364"/>
      <c r="EF297" s="364"/>
      <c r="EG297" s="364"/>
      <c r="EH297" s="364"/>
      <c r="EI297" s="364"/>
      <c r="EJ297" s="364"/>
      <c r="EK297" s="364"/>
      <c r="EL297" s="364"/>
      <c r="EM297" s="364"/>
      <c r="EN297" s="364"/>
      <c r="EO297" s="364"/>
      <c r="EP297" s="364"/>
      <c r="EQ297" s="364"/>
      <c r="ER297" s="364"/>
      <c r="ES297" s="364"/>
      <c r="ET297" s="364"/>
      <c r="EU297" s="364"/>
      <c r="EV297" s="364"/>
      <c r="EW297" s="364"/>
      <c r="EX297" s="364"/>
      <c r="EY297" s="364"/>
      <c r="EZ297" s="364"/>
      <c r="FA297" s="364"/>
      <c r="FB297" s="364"/>
      <c r="FC297" s="364"/>
      <c r="FD297" s="364"/>
      <c r="FE297" s="364"/>
      <c r="FF297" s="364"/>
      <c r="FG297" s="364"/>
      <c r="FH297" s="364"/>
      <c r="FI297" s="364"/>
      <c r="FJ297" s="364"/>
      <c r="FK297" s="364"/>
      <c r="FL297" s="364"/>
      <c r="FM297" s="364"/>
      <c r="FN297" s="364"/>
      <c r="FO297" s="364"/>
      <c r="FP297" s="364"/>
      <c r="FQ297" s="364"/>
      <c r="FR297" s="364"/>
      <c r="FS297" s="364"/>
      <c r="FT297" s="364"/>
      <c r="FU297" s="364"/>
      <c r="FV297" s="364"/>
      <c r="FW297" s="364"/>
      <c r="FX297" s="364"/>
      <c r="FY297" s="364"/>
      <c r="FZ297" s="364"/>
      <c r="GA297" s="364"/>
      <c r="GB297" s="364"/>
      <c r="GC297" s="364"/>
      <c r="GD297" s="364"/>
      <c r="GE297" s="364"/>
      <c r="GF297" s="364"/>
      <c r="GG297" s="364"/>
      <c r="GH297" s="364"/>
      <c r="GI297" s="364"/>
      <c r="GJ297" s="364"/>
      <c r="GK297" s="364"/>
      <c r="GL297" s="364"/>
      <c r="GM297" s="364"/>
      <c r="GN297" s="364"/>
      <c r="GO297" s="364"/>
      <c r="GP297" s="364"/>
      <c r="GQ297" s="364"/>
      <c r="GR297" s="364"/>
      <c r="GS297" s="364"/>
      <c r="GT297" s="364"/>
      <c r="GU297" s="364"/>
      <c r="GV297" s="364"/>
      <c r="GW297" s="364"/>
      <c r="GX297" s="364"/>
      <c r="GY297" s="364"/>
      <c r="GZ297" s="364"/>
      <c r="HA297" s="364"/>
      <c r="HB297" s="364"/>
      <c r="HC297" s="364"/>
      <c r="HD297" s="364"/>
      <c r="HE297" s="364"/>
      <c r="HF297" s="364"/>
      <c r="HG297" s="364"/>
      <c r="HH297" s="364"/>
      <c r="HI297" s="364"/>
      <c r="HJ297" s="364"/>
      <c r="HK297" s="364"/>
      <c r="HL297" s="364"/>
    </row>
    <row r="298" spans="2:220" s="287" customFormat="1" ht="22.5" customHeight="1">
      <c r="B298" s="365">
        <v>250104</v>
      </c>
      <c r="C298" s="366" t="s">
        <v>14269</v>
      </c>
      <c r="D298" s="367"/>
      <c r="E298" s="368"/>
      <c r="F298" s="321" t="s">
        <v>226</v>
      </c>
      <c r="G298" s="326" t="s">
        <v>2186</v>
      </c>
      <c r="H298" s="326" t="s">
        <v>2187</v>
      </c>
      <c r="I298" s="326" t="s">
        <v>11</v>
      </c>
      <c r="J298" s="326" t="s">
        <v>12</v>
      </c>
      <c r="K298" s="326" t="s">
        <v>323</v>
      </c>
      <c r="L298" s="323"/>
      <c r="M298" s="374"/>
      <c r="N298" s="325" t="s">
        <v>438</v>
      </c>
      <c r="O298" s="326" t="s">
        <v>997</v>
      </c>
      <c r="P298" s="327" t="s">
        <v>997</v>
      </c>
      <c r="Q298" s="369" t="s">
        <v>997</v>
      </c>
      <c r="R298" s="329" t="s">
        <v>516</v>
      </c>
      <c r="S298" s="331" t="s">
        <v>14270</v>
      </c>
      <c r="T298" s="394" t="s">
        <v>11829</v>
      </c>
      <c r="U298" s="394" t="s">
        <v>11828</v>
      </c>
      <c r="V298" s="331" t="s">
        <v>14271</v>
      </c>
      <c r="W298" s="332" t="s">
        <v>790</v>
      </c>
      <c r="X298" s="330"/>
      <c r="Y298" s="394" t="s">
        <v>13170</v>
      </c>
      <c r="Z298" s="394" t="s">
        <v>16507</v>
      </c>
      <c r="AA298" s="394" t="s">
        <v>13169</v>
      </c>
      <c r="AB298" s="333"/>
      <c r="AC298" s="333"/>
      <c r="AD298" s="396" t="s">
        <v>332</v>
      </c>
      <c r="AE298" s="335" t="s">
        <v>331</v>
      </c>
      <c r="AF298" s="336"/>
      <c r="AG298" s="337"/>
      <c r="AH298" s="417" t="s">
        <v>435</v>
      </c>
      <c r="AI298" s="392" t="s">
        <v>435</v>
      </c>
      <c r="AJ298" s="392" t="s">
        <v>435</v>
      </c>
      <c r="AK298" s="340" t="s">
        <v>435</v>
      </c>
      <c r="AL298" s="321" t="s">
        <v>210</v>
      </c>
      <c r="AM298" s="392" t="s">
        <v>15</v>
      </c>
      <c r="AN298" s="392" t="s">
        <v>15</v>
      </c>
      <c r="AO298" s="655" t="s">
        <v>622</v>
      </c>
      <c r="AP298" s="342"/>
      <c r="AQ298" s="343"/>
      <c r="AR298" s="370">
        <v>15878</v>
      </c>
      <c r="AS298" s="326">
        <v>120</v>
      </c>
      <c r="AT298" s="392">
        <v>1</v>
      </c>
      <c r="AU298" s="392"/>
      <c r="AV298" s="392">
        <v>1.5</v>
      </c>
      <c r="AW298" s="340"/>
      <c r="AX298" s="347"/>
      <c r="AY298" s="348"/>
      <c r="AZ298" s="377"/>
      <c r="BA298" s="374"/>
      <c r="BB298" s="374"/>
      <c r="BC298" s="374"/>
      <c r="BD298" s="374"/>
      <c r="BE298" s="374"/>
      <c r="BF298" s="374"/>
      <c r="BG298" s="374"/>
      <c r="BH298" s="378"/>
      <c r="BI298" s="376"/>
      <c r="BJ298" s="379"/>
      <c r="BK298" s="380"/>
      <c r="BL298" s="348"/>
      <c r="BM298" s="381"/>
      <c r="BN298" s="321" t="s">
        <v>983</v>
      </c>
      <c r="BO298" s="372"/>
      <c r="BP298" s="373" t="s">
        <v>15</v>
      </c>
      <c r="BQ298" s="360"/>
      <c r="BR298" s="361"/>
      <c r="BS298" s="361"/>
      <c r="BT298" s="361"/>
      <c r="BU298" s="342" t="s">
        <v>210</v>
      </c>
      <c r="BV298" s="342" t="s">
        <v>210</v>
      </c>
      <c r="BW298" s="341" t="s">
        <v>15</v>
      </c>
      <c r="BX298" s="361"/>
      <c r="BY298" s="362"/>
      <c r="BZ298" s="363"/>
      <c r="CA298" s="363"/>
      <c r="CB298" s="363"/>
      <c r="CC298" s="363"/>
      <c r="CD298" s="293"/>
      <c r="CE298" s="364"/>
      <c r="CF298" s="364"/>
      <c r="CG298" s="364"/>
      <c r="CH298" s="364"/>
      <c r="CI298" s="364"/>
      <c r="CJ298" s="364"/>
      <c r="CK298" s="364"/>
      <c r="CL298" s="364"/>
      <c r="CM298" s="364"/>
      <c r="CN298" s="364"/>
      <c r="CO298" s="364"/>
      <c r="CP298" s="364"/>
      <c r="CQ298" s="364"/>
      <c r="CR298" s="364"/>
      <c r="CS298" s="364"/>
      <c r="CT298" s="364"/>
      <c r="CU298" s="364"/>
      <c r="CV298" s="364"/>
      <c r="CW298" s="364"/>
      <c r="CX298" s="364"/>
      <c r="CY298" s="364"/>
      <c r="CZ298" s="364"/>
      <c r="DA298" s="364"/>
      <c r="DB298" s="364"/>
      <c r="DC298" s="364"/>
      <c r="DD298" s="364"/>
      <c r="DE298" s="364"/>
      <c r="DF298" s="364"/>
      <c r="DG298" s="364"/>
      <c r="DH298" s="364"/>
      <c r="DI298" s="364"/>
      <c r="DJ298" s="364"/>
      <c r="DK298" s="364"/>
      <c r="DL298" s="364"/>
      <c r="DM298" s="364"/>
      <c r="DN298" s="364"/>
      <c r="DO298" s="364"/>
      <c r="DP298" s="364"/>
      <c r="DQ298" s="364"/>
      <c r="DR298" s="364"/>
      <c r="DS298" s="364"/>
      <c r="DT298" s="364"/>
      <c r="DU298" s="364"/>
      <c r="DV298" s="364"/>
      <c r="DW298" s="364"/>
      <c r="DX298" s="364"/>
      <c r="DY298" s="364"/>
      <c r="DZ298" s="364"/>
      <c r="EA298" s="364"/>
      <c r="EB298" s="364"/>
      <c r="EC298" s="364"/>
      <c r="ED298" s="364"/>
      <c r="EE298" s="364"/>
      <c r="EF298" s="364"/>
      <c r="EG298" s="364"/>
      <c r="EH298" s="364"/>
      <c r="EI298" s="364"/>
      <c r="EJ298" s="364"/>
      <c r="EK298" s="364"/>
      <c r="EL298" s="364"/>
      <c r="EM298" s="364"/>
      <c r="EN298" s="364"/>
      <c r="EO298" s="364"/>
      <c r="EP298" s="364"/>
      <c r="EQ298" s="364"/>
      <c r="ER298" s="364"/>
      <c r="ES298" s="364"/>
      <c r="ET298" s="364"/>
      <c r="EU298" s="364"/>
      <c r="EV298" s="364"/>
      <c r="EW298" s="364"/>
      <c r="EX298" s="364"/>
      <c r="EY298" s="364"/>
      <c r="EZ298" s="364"/>
      <c r="FA298" s="364"/>
      <c r="FB298" s="364"/>
      <c r="FC298" s="364"/>
      <c r="FD298" s="364"/>
      <c r="FE298" s="364"/>
      <c r="FF298" s="364"/>
      <c r="FG298" s="364"/>
      <c r="FH298" s="364"/>
      <c r="FI298" s="364"/>
      <c r="FJ298" s="364"/>
      <c r="FK298" s="364"/>
      <c r="FL298" s="364"/>
      <c r="FM298" s="364"/>
      <c r="FN298" s="364"/>
      <c r="FO298" s="364"/>
      <c r="FP298" s="364"/>
      <c r="FQ298" s="364"/>
      <c r="FR298" s="364"/>
      <c r="FS298" s="364"/>
      <c r="FT298" s="364"/>
      <c r="FU298" s="364"/>
      <c r="FV298" s="364"/>
      <c r="FW298" s="364"/>
      <c r="FX298" s="364"/>
      <c r="FY298" s="364"/>
      <c r="FZ298" s="364"/>
      <c r="GA298" s="364"/>
      <c r="GB298" s="364"/>
      <c r="GC298" s="364"/>
      <c r="GD298" s="364"/>
      <c r="GE298" s="364"/>
      <c r="GF298" s="364"/>
      <c r="GG298" s="364"/>
      <c r="GH298" s="364"/>
      <c r="GI298" s="364"/>
      <c r="GJ298" s="364"/>
      <c r="GK298" s="364"/>
      <c r="GL298" s="364"/>
      <c r="GM298" s="364"/>
      <c r="GN298" s="364"/>
      <c r="GO298" s="364"/>
      <c r="GP298" s="364"/>
      <c r="GQ298" s="364"/>
      <c r="GR298" s="364"/>
      <c r="GS298" s="364"/>
      <c r="GT298" s="364"/>
      <c r="GU298" s="364"/>
      <c r="GV298" s="364"/>
      <c r="GW298" s="364"/>
      <c r="GX298" s="364"/>
      <c r="GY298" s="364"/>
      <c r="GZ298" s="364"/>
      <c r="HA298" s="364"/>
      <c r="HB298" s="364"/>
      <c r="HC298" s="364"/>
      <c r="HD298" s="364"/>
      <c r="HE298" s="364"/>
      <c r="HF298" s="364"/>
      <c r="HG298" s="364"/>
      <c r="HH298" s="364"/>
      <c r="HI298" s="364"/>
      <c r="HJ298" s="364"/>
      <c r="HK298" s="364"/>
      <c r="HL298" s="364"/>
    </row>
    <row r="299" spans="2:220" s="287" customFormat="1" ht="22.5" customHeight="1">
      <c r="B299" s="365">
        <v>250107</v>
      </c>
      <c r="C299" s="366" t="s">
        <v>254</v>
      </c>
      <c r="D299" s="367"/>
      <c r="E299" s="368"/>
      <c r="F299" s="321" t="s">
        <v>308</v>
      </c>
      <c r="G299" s="326" t="s">
        <v>2184</v>
      </c>
      <c r="H299" s="326" t="s">
        <v>2185</v>
      </c>
      <c r="I299" s="326" t="s">
        <v>11</v>
      </c>
      <c r="J299" s="326" t="s">
        <v>21</v>
      </c>
      <c r="K299" s="326" t="s">
        <v>247</v>
      </c>
      <c r="L299" s="323"/>
      <c r="M299" s="374"/>
      <c r="N299" s="325" t="s">
        <v>438</v>
      </c>
      <c r="O299" s="326" t="s">
        <v>997</v>
      </c>
      <c r="P299" s="327" t="s">
        <v>997</v>
      </c>
      <c r="Q299" s="369" t="s">
        <v>997</v>
      </c>
      <c r="R299" s="329" t="s">
        <v>6264</v>
      </c>
      <c r="S299" s="331" t="s">
        <v>14259</v>
      </c>
      <c r="T299" s="331" t="s">
        <v>14261</v>
      </c>
      <c r="U299" s="331" t="s">
        <v>14260</v>
      </c>
      <c r="V299" s="331" t="s">
        <v>14262</v>
      </c>
      <c r="W299" s="332" t="s">
        <v>459</v>
      </c>
      <c r="X299" s="331" t="s">
        <v>14255</v>
      </c>
      <c r="Y299" s="331" t="s">
        <v>14257</v>
      </c>
      <c r="Z299" s="331" t="s">
        <v>14256</v>
      </c>
      <c r="AA299" s="331" t="s">
        <v>14258</v>
      </c>
      <c r="AB299" s="333"/>
      <c r="AC299" s="333"/>
      <c r="AD299" s="334" t="s">
        <v>274</v>
      </c>
      <c r="AE299" s="335" t="s">
        <v>809</v>
      </c>
      <c r="AF299" s="336"/>
      <c r="AG299" s="337"/>
      <c r="AH299" s="417" t="s">
        <v>435</v>
      </c>
      <c r="AI299" s="392" t="s">
        <v>435</v>
      </c>
      <c r="AJ299" s="392" t="s">
        <v>435</v>
      </c>
      <c r="AK299" s="340" t="s">
        <v>435</v>
      </c>
      <c r="AL299" s="321" t="s">
        <v>210</v>
      </c>
      <c r="AM299" s="392" t="s">
        <v>15</v>
      </c>
      <c r="AN299" s="392" t="s">
        <v>15</v>
      </c>
      <c r="AO299" s="341" t="s">
        <v>15</v>
      </c>
      <c r="AP299" s="342"/>
      <c r="AQ299" s="343"/>
      <c r="AR299" s="370">
        <v>1261</v>
      </c>
      <c r="AS299" s="326">
        <v>100</v>
      </c>
      <c r="AT299" s="392">
        <v>1</v>
      </c>
      <c r="AU299" s="392"/>
      <c r="AV299" s="392">
        <v>1.5</v>
      </c>
      <c r="AW299" s="340"/>
      <c r="AX299" s="347"/>
      <c r="AY299" s="348"/>
      <c r="AZ299" s="377"/>
      <c r="BA299" s="374"/>
      <c r="BB299" s="374"/>
      <c r="BC299" s="374"/>
      <c r="BD299" s="374"/>
      <c r="BE299" s="374"/>
      <c r="BF299" s="374"/>
      <c r="BG299" s="374"/>
      <c r="BH299" s="378"/>
      <c r="BI299" s="376"/>
      <c r="BJ299" s="379"/>
      <c r="BK299" s="380"/>
      <c r="BL299" s="348"/>
      <c r="BM299" s="381"/>
      <c r="BN299" s="321" t="s">
        <v>983</v>
      </c>
      <c r="BO299" s="372"/>
      <c r="BP299" s="373" t="s">
        <v>15</v>
      </c>
      <c r="BQ299" s="360"/>
      <c r="BR299" s="361"/>
      <c r="BS299" s="361"/>
      <c r="BT299" s="361"/>
      <c r="BU299" s="342" t="s">
        <v>210</v>
      </c>
      <c r="BV299" s="342" t="s">
        <v>210</v>
      </c>
      <c r="BW299" s="341" t="s">
        <v>15</v>
      </c>
      <c r="BX299" s="361"/>
      <c r="BY299" s="362"/>
      <c r="BZ299" s="363"/>
      <c r="CA299" s="363"/>
      <c r="CB299" s="363"/>
      <c r="CC299" s="363"/>
      <c r="CD299" s="293"/>
      <c r="CE299" s="364"/>
      <c r="CF299" s="364"/>
      <c r="CG299" s="364"/>
      <c r="CH299" s="364"/>
      <c r="CI299" s="364"/>
      <c r="CJ299" s="364"/>
      <c r="CK299" s="364"/>
      <c r="CL299" s="364"/>
      <c r="CM299" s="364"/>
      <c r="CN299" s="364"/>
      <c r="CO299" s="364"/>
      <c r="CP299" s="364"/>
      <c r="CQ299" s="364"/>
      <c r="CR299" s="364"/>
      <c r="CS299" s="364"/>
      <c r="CT299" s="364"/>
      <c r="CU299" s="364"/>
      <c r="CV299" s="364"/>
      <c r="CW299" s="364"/>
      <c r="CX299" s="364"/>
      <c r="CY299" s="364"/>
      <c r="CZ299" s="364"/>
      <c r="DA299" s="364"/>
      <c r="DB299" s="364"/>
      <c r="DC299" s="364"/>
      <c r="DD299" s="364"/>
      <c r="DE299" s="364"/>
      <c r="DF299" s="364"/>
      <c r="DG299" s="364"/>
      <c r="DH299" s="364"/>
      <c r="DI299" s="364"/>
      <c r="DJ299" s="364"/>
      <c r="DK299" s="364"/>
      <c r="DL299" s="364"/>
      <c r="DM299" s="364"/>
      <c r="DN299" s="364"/>
      <c r="DO299" s="364"/>
      <c r="DP299" s="364"/>
      <c r="DQ299" s="364"/>
      <c r="DR299" s="364"/>
      <c r="DS299" s="364"/>
      <c r="DT299" s="364"/>
      <c r="DU299" s="364"/>
      <c r="DV299" s="364"/>
      <c r="DW299" s="364"/>
      <c r="DX299" s="364"/>
      <c r="DY299" s="364"/>
      <c r="DZ299" s="364"/>
      <c r="EA299" s="364"/>
      <c r="EB299" s="364"/>
      <c r="EC299" s="364"/>
      <c r="ED299" s="364"/>
      <c r="EE299" s="364"/>
      <c r="EF299" s="364"/>
      <c r="EG299" s="364"/>
      <c r="EH299" s="364"/>
      <c r="EI299" s="364"/>
      <c r="EJ299" s="364"/>
      <c r="EK299" s="364"/>
      <c r="EL299" s="364"/>
      <c r="EM299" s="364"/>
      <c r="EN299" s="364"/>
      <c r="EO299" s="364"/>
      <c r="EP299" s="364"/>
      <c r="EQ299" s="364"/>
      <c r="ER299" s="364"/>
      <c r="ES299" s="364"/>
      <c r="ET299" s="364"/>
      <c r="EU299" s="364"/>
      <c r="EV299" s="364"/>
      <c r="EW299" s="364"/>
      <c r="EX299" s="364"/>
      <c r="EY299" s="364"/>
      <c r="EZ299" s="364"/>
      <c r="FA299" s="364"/>
      <c r="FB299" s="364"/>
      <c r="FC299" s="364"/>
      <c r="FD299" s="364"/>
      <c r="FE299" s="364"/>
      <c r="FF299" s="364"/>
      <c r="FG299" s="364"/>
      <c r="FH299" s="364"/>
      <c r="FI299" s="364"/>
      <c r="FJ299" s="364"/>
      <c r="FK299" s="364"/>
      <c r="FL299" s="364"/>
      <c r="FM299" s="364"/>
      <c r="FN299" s="364"/>
      <c r="FO299" s="364"/>
      <c r="FP299" s="364"/>
      <c r="FQ299" s="364"/>
      <c r="FR299" s="364"/>
      <c r="FS299" s="364"/>
      <c r="FT299" s="364"/>
      <c r="FU299" s="364"/>
      <c r="FV299" s="364"/>
      <c r="FW299" s="364"/>
      <c r="FX299" s="364"/>
      <c r="FY299" s="364"/>
      <c r="FZ299" s="364"/>
      <c r="GA299" s="364"/>
      <c r="GB299" s="364"/>
      <c r="GC299" s="364"/>
      <c r="GD299" s="364"/>
      <c r="GE299" s="364"/>
      <c r="GF299" s="364"/>
      <c r="GG299" s="364"/>
      <c r="GH299" s="364"/>
      <c r="GI299" s="364"/>
      <c r="GJ299" s="364"/>
      <c r="GK299" s="364"/>
      <c r="GL299" s="364"/>
      <c r="GM299" s="364"/>
      <c r="GN299" s="364"/>
      <c r="GO299" s="364"/>
      <c r="GP299" s="364"/>
      <c r="GQ299" s="364"/>
      <c r="GR299" s="364"/>
      <c r="GS299" s="364"/>
      <c r="GT299" s="364"/>
      <c r="GU299" s="364"/>
      <c r="GV299" s="364"/>
      <c r="GW299" s="364"/>
      <c r="GX299" s="364"/>
      <c r="GY299" s="364"/>
      <c r="GZ299" s="364"/>
      <c r="HA299" s="364"/>
      <c r="HB299" s="364"/>
      <c r="HC299" s="364"/>
      <c r="HD299" s="364"/>
      <c r="HE299" s="364"/>
      <c r="HF299" s="364"/>
      <c r="HG299" s="364"/>
      <c r="HH299" s="364"/>
      <c r="HI299" s="364"/>
      <c r="HJ299" s="364"/>
      <c r="HK299" s="364"/>
      <c r="HL299" s="364"/>
    </row>
    <row r="300" spans="2:220" s="287" customFormat="1" ht="22.5" customHeight="1">
      <c r="B300" s="365">
        <v>250108</v>
      </c>
      <c r="C300" s="366" t="s">
        <v>367</v>
      </c>
      <c r="D300" s="367"/>
      <c r="E300" s="368"/>
      <c r="F300" s="321" t="s">
        <v>306</v>
      </c>
      <c r="G300" s="326" t="s">
        <v>2182</v>
      </c>
      <c r="H300" s="326" t="s">
        <v>2183</v>
      </c>
      <c r="I300" s="326" t="s">
        <v>11</v>
      </c>
      <c r="J300" s="326" t="s">
        <v>21</v>
      </c>
      <c r="K300" s="326" t="s">
        <v>806</v>
      </c>
      <c r="L300" s="323"/>
      <c r="M300" s="374"/>
      <c r="N300" s="325" t="s">
        <v>438</v>
      </c>
      <c r="O300" s="326">
        <v>58</v>
      </c>
      <c r="P300" s="327">
        <v>898</v>
      </c>
      <c r="Q300" s="369" t="s">
        <v>997</v>
      </c>
      <c r="R300" s="329" t="s">
        <v>458</v>
      </c>
      <c r="S300" s="394" t="s">
        <v>12115</v>
      </c>
      <c r="T300" s="331" t="s">
        <v>11187</v>
      </c>
      <c r="U300" s="331" t="s">
        <v>11186</v>
      </c>
      <c r="V300" s="331" t="s">
        <v>11184</v>
      </c>
      <c r="W300" s="332" t="s">
        <v>432</v>
      </c>
      <c r="X300" s="331" t="s">
        <v>11079</v>
      </c>
      <c r="Y300" s="331" t="s">
        <v>11080</v>
      </c>
      <c r="Z300" s="331" t="s">
        <v>210</v>
      </c>
      <c r="AA300" s="331" t="s">
        <v>210</v>
      </c>
      <c r="AB300" s="333"/>
      <c r="AC300" s="333"/>
      <c r="AD300" s="334" t="s">
        <v>8768</v>
      </c>
      <c r="AE300" s="395" t="s">
        <v>300</v>
      </c>
      <c r="AF300" s="336"/>
      <c r="AG300" s="337"/>
      <c r="AH300" s="376"/>
      <c r="AI300" s="347"/>
      <c r="AJ300" s="347"/>
      <c r="AK300" s="371"/>
      <c r="AL300" s="321" t="s">
        <v>210</v>
      </c>
      <c r="AM300" s="392" t="s">
        <v>15</v>
      </c>
      <c r="AN300" s="392" t="s">
        <v>15</v>
      </c>
      <c r="AO300" s="341" t="s">
        <v>15</v>
      </c>
      <c r="AP300" s="342"/>
      <c r="AQ300" s="343"/>
      <c r="AR300" s="370">
        <v>655</v>
      </c>
      <c r="AS300" s="326">
        <v>100</v>
      </c>
      <c r="AT300" s="392">
        <v>1</v>
      </c>
      <c r="AU300" s="392"/>
      <c r="AV300" s="392">
        <v>1.5</v>
      </c>
      <c r="AW300" s="340"/>
      <c r="AX300" s="347"/>
      <c r="AY300" s="348"/>
      <c r="AZ300" s="377"/>
      <c r="BA300" s="374"/>
      <c r="BB300" s="374"/>
      <c r="BC300" s="374"/>
      <c r="BD300" s="374"/>
      <c r="BE300" s="374"/>
      <c r="BF300" s="374"/>
      <c r="BG300" s="374"/>
      <c r="BH300" s="378"/>
      <c r="BI300" s="376"/>
      <c r="BJ300" s="379"/>
      <c r="BK300" s="380"/>
      <c r="BL300" s="348"/>
      <c r="BM300" s="381"/>
      <c r="BN300" s="321" t="s">
        <v>983</v>
      </c>
      <c r="BO300" s="372"/>
      <c r="BP300" s="373" t="s">
        <v>983</v>
      </c>
      <c r="BQ300" s="360"/>
      <c r="BR300" s="361"/>
      <c r="BS300" s="361"/>
      <c r="BT300" s="361"/>
      <c r="BU300" s="342" t="s">
        <v>210</v>
      </c>
      <c r="BV300" s="342" t="s">
        <v>210</v>
      </c>
      <c r="BW300" s="341" t="s">
        <v>15</v>
      </c>
      <c r="BX300" s="361"/>
      <c r="BY300" s="362"/>
      <c r="BZ300" s="363"/>
      <c r="CA300" s="363"/>
      <c r="CB300" s="363"/>
      <c r="CC300" s="363"/>
      <c r="CD300" s="293"/>
      <c r="CE300" s="364"/>
      <c r="CF300" s="364"/>
      <c r="CG300" s="364"/>
      <c r="CH300" s="364"/>
      <c r="CI300" s="364"/>
      <c r="CJ300" s="364"/>
      <c r="CK300" s="364"/>
      <c r="CL300" s="364"/>
      <c r="CM300" s="364"/>
      <c r="CN300" s="364"/>
      <c r="CO300" s="364"/>
      <c r="CP300" s="364"/>
      <c r="CQ300" s="364"/>
      <c r="CR300" s="364"/>
      <c r="CS300" s="364"/>
      <c r="CT300" s="364"/>
      <c r="CU300" s="364"/>
      <c r="CV300" s="364"/>
      <c r="CW300" s="364"/>
      <c r="CX300" s="364"/>
      <c r="CY300" s="364"/>
      <c r="CZ300" s="364"/>
      <c r="DA300" s="364"/>
      <c r="DB300" s="364"/>
      <c r="DC300" s="364"/>
      <c r="DD300" s="364"/>
      <c r="DE300" s="364"/>
      <c r="DF300" s="364"/>
      <c r="DG300" s="364"/>
      <c r="DH300" s="364"/>
      <c r="DI300" s="364"/>
      <c r="DJ300" s="364"/>
      <c r="DK300" s="364"/>
      <c r="DL300" s="364"/>
      <c r="DM300" s="364"/>
      <c r="DN300" s="364"/>
      <c r="DO300" s="364"/>
      <c r="DP300" s="364"/>
      <c r="DQ300" s="364"/>
      <c r="DR300" s="364"/>
      <c r="DS300" s="364"/>
      <c r="DT300" s="364"/>
      <c r="DU300" s="364"/>
      <c r="DV300" s="364"/>
      <c r="DW300" s="364"/>
      <c r="DX300" s="364"/>
      <c r="DY300" s="364"/>
      <c r="DZ300" s="364"/>
      <c r="EA300" s="364"/>
      <c r="EB300" s="364"/>
      <c r="EC300" s="364"/>
      <c r="ED300" s="364"/>
      <c r="EE300" s="364"/>
      <c r="EF300" s="364"/>
      <c r="EG300" s="364"/>
      <c r="EH300" s="364"/>
      <c r="EI300" s="364"/>
      <c r="EJ300" s="364"/>
      <c r="EK300" s="364"/>
      <c r="EL300" s="364"/>
      <c r="EM300" s="364"/>
      <c r="EN300" s="364"/>
      <c r="EO300" s="364"/>
      <c r="EP300" s="364"/>
      <c r="EQ300" s="364"/>
      <c r="ER300" s="364"/>
      <c r="ES300" s="364"/>
      <c r="ET300" s="364"/>
      <c r="EU300" s="364"/>
      <c r="EV300" s="364"/>
      <c r="EW300" s="364"/>
      <c r="EX300" s="364"/>
      <c r="EY300" s="364"/>
      <c r="EZ300" s="364"/>
      <c r="FA300" s="364"/>
      <c r="FB300" s="364"/>
      <c r="FC300" s="364"/>
      <c r="FD300" s="364"/>
      <c r="FE300" s="364"/>
      <c r="FF300" s="364"/>
      <c r="FG300" s="364"/>
      <c r="FH300" s="364"/>
      <c r="FI300" s="364"/>
      <c r="FJ300" s="364"/>
      <c r="FK300" s="364"/>
      <c r="FL300" s="364"/>
      <c r="FM300" s="364"/>
      <c r="FN300" s="364"/>
      <c r="FO300" s="364"/>
      <c r="FP300" s="364"/>
      <c r="FQ300" s="364"/>
      <c r="FR300" s="364"/>
      <c r="FS300" s="364"/>
      <c r="FT300" s="364"/>
      <c r="FU300" s="364"/>
      <c r="FV300" s="364"/>
      <c r="FW300" s="364"/>
      <c r="FX300" s="364"/>
      <c r="FY300" s="364"/>
      <c r="FZ300" s="364"/>
      <c r="GA300" s="364"/>
      <c r="GB300" s="364"/>
      <c r="GC300" s="364"/>
      <c r="GD300" s="364"/>
      <c r="GE300" s="364"/>
      <c r="GF300" s="364"/>
      <c r="GG300" s="364"/>
      <c r="GH300" s="364"/>
      <c r="GI300" s="364"/>
      <c r="GJ300" s="364"/>
      <c r="GK300" s="364"/>
      <c r="GL300" s="364"/>
      <c r="GM300" s="364"/>
      <c r="GN300" s="364"/>
      <c r="GO300" s="364"/>
      <c r="GP300" s="364"/>
      <c r="GQ300" s="364"/>
      <c r="GR300" s="364"/>
      <c r="GS300" s="364"/>
      <c r="GT300" s="364"/>
      <c r="GU300" s="364"/>
      <c r="GV300" s="364"/>
      <c r="GW300" s="364"/>
      <c r="GX300" s="364"/>
      <c r="GY300" s="364"/>
      <c r="GZ300" s="364"/>
      <c r="HA300" s="364"/>
      <c r="HB300" s="364"/>
      <c r="HC300" s="364"/>
      <c r="HD300" s="364"/>
      <c r="HE300" s="364"/>
      <c r="HF300" s="364"/>
      <c r="HG300" s="364"/>
      <c r="HH300" s="364"/>
      <c r="HI300" s="364"/>
      <c r="HJ300" s="364"/>
      <c r="HK300" s="364"/>
      <c r="HL300" s="364"/>
    </row>
    <row r="301" spans="2:220" s="287" customFormat="1" ht="22.5" customHeight="1">
      <c r="B301" s="365">
        <v>250109</v>
      </c>
      <c r="C301" s="366" t="s">
        <v>14248</v>
      </c>
      <c r="D301" s="367"/>
      <c r="E301" s="368"/>
      <c r="F301" s="321" t="s">
        <v>222</v>
      </c>
      <c r="G301" s="326" t="s">
        <v>2181</v>
      </c>
      <c r="H301" s="326" t="s">
        <v>10731</v>
      </c>
      <c r="I301" s="326" t="s">
        <v>11</v>
      </c>
      <c r="J301" s="326" t="s">
        <v>21</v>
      </c>
      <c r="K301" s="326" t="s">
        <v>409</v>
      </c>
      <c r="L301" s="323"/>
      <c r="M301" s="374"/>
      <c r="N301" s="325" t="s">
        <v>510</v>
      </c>
      <c r="O301" s="327" t="s">
        <v>498</v>
      </c>
      <c r="P301" s="327" t="s">
        <v>498</v>
      </c>
      <c r="Q301" s="369" t="s">
        <v>498</v>
      </c>
      <c r="R301" s="329" t="s">
        <v>10064</v>
      </c>
      <c r="S301" s="330"/>
      <c r="T301" s="330"/>
      <c r="U301" s="330"/>
      <c r="V301" s="330"/>
      <c r="W301" s="332" t="s">
        <v>14249</v>
      </c>
      <c r="X301" s="331" t="s">
        <v>12845</v>
      </c>
      <c r="Y301" s="331" t="s">
        <v>11249</v>
      </c>
      <c r="Z301" s="331" t="s">
        <v>12847</v>
      </c>
      <c r="AA301" s="331" t="s">
        <v>12846</v>
      </c>
      <c r="AB301" s="333"/>
      <c r="AC301" s="416"/>
      <c r="AD301" s="375"/>
      <c r="AE301" s="335" t="s">
        <v>210</v>
      </c>
      <c r="AF301" s="336"/>
      <c r="AG301" s="337"/>
      <c r="AH301" s="417" t="s">
        <v>435</v>
      </c>
      <c r="AI301" s="392" t="s">
        <v>435</v>
      </c>
      <c r="AJ301" s="392" t="s">
        <v>435</v>
      </c>
      <c r="AK301" s="340" t="s">
        <v>435</v>
      </c>
      <c r="AL301" s="321" t="s">
        <v>210</v>
      </c>
      <c r="AM301" s="392" t="s">
        <v>15</v>
      </c>
      <c r="AN301" s="392" t="s">
        <v>15</v>
      </c>
      <c r="AO301" s="341" t="s">
        <v>15</v>
      </c>
      <c r="AP301" s="342"/>
      <c r="AQ301" s="343"/>
      <c r="AR301" s="370">
        <v>1165</v>
      </c>
      <c r="AS301" s="326">
        <v>100</v>
      </c>
      <c r="AT301" s="392">
        <v>1</v>
      </c>
      <c r="AU301" s="392"/>
      <c r="AV301" s="392">
        <v>1.5</v>
      </c>
      <c r="AW301" s="340"/>
      <c r="AX301" s="347"/>
      <c r="AY301" s="348"/>
      <c r="AZ301" s="377"/>
      <c r="BA301" s="374"/>
      <c r="BB301" s="374"/>
      <c r="BC301" s="374"/>
      <c r="BD301" s="374"/>
      <c r="BE301" s="374"/>
      <c r="BF301" s="374"/>
      <c r="BG301" s="374"/>
      <c r="BH301" s="378"/>
      <c r="BI301" s="376"/>
      <c r="BJ301" s="379"/>
      <c r="BK301" s="380"/>
      <c r="BL301" s="348"/>
      <c r="BM301" s="381"/>
      <c r="BN301" s="321" t="s">
        <v>983</v>
      </c>
      <c r="BO301" s="372"/>
      <c r="BP301" s="373" t="s">
        <v>983</v>
      </c>
      <c r="BQ301" s="360"/>
      <c r="BR301" s="361"/>
      <c r="BS301" s="361"/>
      <c r="BT301" s="361"/>
      <c r="BU301" s="342" t="s">
        <v>210</v>
      </c>
      <c r="BV301" s="342" t="s">
        <v>210</v>
      </c>
      <c r="BW301" s="341" t="s">
        <v>15</v>
      </c>
      <c r="BX301" s="361"/>
      <c r="BY301" s="362"/>
      <c r="BZ301" s="363"/>
      <c r="CA301" s="363"/>
      <c r="CB301" s="363"/>
      <c r="CC301" s="363"/>
      <c r="CD301" s="293"/>
      <c r="CE301" s="364"/>
      <c r="CF301" s="364"/>
      <c r="CG301" s="364"/>
      <c r="CH301" s="364"/>
      <c r="CI301" s="364"/>
      <c r="CJ301" s="364"/>
      <c r="CK301" s="364"/>
      <c r="CL301" s="364"/>
      <c r="CM301" s="364"/>
      <c r="CN301" s="364"/>
      <c r="CO301" s="364"/>
      <c r="CP301" s="364"/>
      <c r="CQ301" s="364"/>
      <c r="CR301" s="364"/>
      <c r="CS301" s="364"/>
      <c r="CT301" s="364"/>
      <c r="CU301" s="364"/>
      <c r="CV301" s="364"/>
      <c r="CW301" s="364"/>
      <c r="CX301" s="364"/>
      <c r="CY301" s="364"/>
      <c r="CZ301" s="364"/>
      <c r="DA301" s="364"/>
      <c r="DB301" s="364"/>
      <c r="DC301" s="364"/>
      <c r="DD301" s="364"/>
      <c r="DE301" s="364"/>
      <c r="DF301" s="364"/>
      <c r="DG301" s="364"/>
      <c r="DH301" s="364"/>
      <c r="DI301" s="364"/>
      <c r="DJ301" s="364"/>
      <c r="DK301" s="364"/>
      <c r="DL301" s="364"/>
      <c r="DM301" s="364"/>
      <c r="DN301" s="364"/>
      <c r="DO301" s="364"/>
      <c r="DP301" s="364"/>
      <c r="DQ301" s="364"/>
      <c r="DR301" s="364"/>
      <c r="DS301" s="364"/>
      <c r="DT301" s="364"/>
      <c r="DU301" s="364"/>
      <c r="DV301" s="364"/>
      <c r="DW301" s="364"/>
      <c r="DX301" s="364"/>
      <c r="DY301" s="364"/>
      <c r="DZ301" s="364"/>
      <c r="EA301" s="364"/>
      <c r="EB301" s="364"/>
      <c r="EC301" s="364"/>
      <c r="ED301" s="364"/>
      <c r="EE301" s="364"/>
      <c r="EF301" s="364"/>
      <c r="EG301" s="364"/>
      <c r="EH301" s="364"/>
      <c r="EI301" s="364"/>
      <c r="EJ301" s="364"/>
      <c r="EK301" s="364"/>
      <c r="EL301" s="364"/>
      <c r="EM301" s="364"/>
      <c r="EN301" s="364"/>
      <c r="EO301" s="364"/>
      <c r="EP301" s="364"/>
      <c r="EQ301" s="364"/>
      <c r="ER301" s="364"/>
      <c r="ES301" s="364"/>
      <c r="ET301" s="364"/>
      <c r="EU301" s="364"/>
      <c r="EV301" s="364"/>
      <c r="EW301" s="364"/>
      <c r="EX301" s="364"/>
      <c r="EY301" s="364"/>
      <c r="EZ301" s="364"/>
      <c r="FA301" s="364"/>
      <c r="FB301" s="364"/>
      <c r="FC301" s="364"/>
      <c r="FD301" s="364"/>
      <c r="FE301" s="364"/>
      <c r="FF301" s="364"/>
      <c r="FG301" s="364"/>
      <c r="FH301" s="364"/>
      <c r="FI301" s="364"/>
      <c r="FJ301" s="364"/>
      <c r="FK301" s="364"/>
      <c r="FL301" s="364"/>
      <c r="FM301" s="364"/>
      <c r="FN301" s="364"/>
      <c r="FO301" s="364"/>
      <c r="FP301" s="364"/>
      <c r="FQ301" s="364"/>
      <c r="FR301" s="364"/>
      <c r="FS301" s="364"/>
      <c r="FT301" s="364"/>
      <c r="FU301" s="364"/>
      <c r="FV301" s="364"/>
      <c r="FW301" s="364"/>
      <c r="FX301" s="364"/>
      <c r="FY301" s="364"/>
      <c r="FZ301" s="364"/>
      <c r="GA301" s="364"/>
      <c r="GB301" s="364"/>
      <c r="GC301" s="364"/>
      <c r="GD301" s="364"/>
      <c r="GE301" s="364"/>
      <c r="GF301" s="364"/>
      <c r="GG301" s="364"/>
      <c r="GH301" s="364"/>
      <c r="GI301" s="364"/>
      <c r="GJ301" s="364"/>
      <c r="GK301" s="364"/>
      <c r="GL301" s="364"/>
      <c r="GM301" s="364"/>
      <c r="GN301" s="364"/>
      <c r="GO301" s="364"/>
      <c r="GP301" s="364"/>
      <c r="GQ301" s="364"/>
      <c r="GR301" s="364"/>
      <c r="GS301" s="364"/>
      <c r="GT301" s="364"/>
      <c r="GU301" s="364"/>
      <c r="GV301" s="364"/>
      <c r="GW301" s="364"/>
      <c r="GX301" s="364"/>
      <c r="GY301" s="364"/>
      <c r="GZ301" s="364"/>
      <c r="HA301" s="364"/>
      <c r="HB301" s="364"/>
      <c r="HC301" s="364"/>
      <c r="HD301" s="364"/>
      <c r="HE301" s="364"/>
      <c r="HF301" s="364"/>
      <c r="HG301" s="364"/>
      <c r="HH301" s="364"/>
      <c r="HI301" s="364"/>
      <c r="HJ301" s="364"/>
      <c r="HK301" s="364"/>
      <c r="HL301" s="364"/>
    </row>
    <row r="302" spans="2:220" s="287" customFormat="1" ht="22.5" customHeight="1">
      <c r="B302" s="365">
        <v>250110</v>
      </c>
      <c r="C302" s="366" t="s">
        <v>14247</v>
      </c>
      <c r="D302" s="367"/>
      <c r="E302" s="368"/>
      <c r="F302" s="321" t="s">
        <v>369</v>
      </c>
      <c r="G302" s="326" t="s">
        <v>2179</v>
      </c>
      <c r="H302" s="326" t="s">
        <v>2180</v>
      </c>
      <c r="I302" s="326" t="s">
        <v>11</v>
      </c>
      <c r="J302" s="326" t="s">
        <v>12</v>
      </c>
      <c r="K302" s="326" t="s">
        <v>324</v>
      </c>
      <c r="L302" s="323"/>
      <c r="M302" s="324" t="s">
        <v>10767</v>
      </c>
      <c r="N302" s="325" t="s">
        <v>438</v>
      </c>
      <c r="O302" s="326" t="s">
        <v>1014</v>
      </c>
      <c r="P302" s="327">
        <v>1159</v>
      </c>
      <c r="Q302" s="369" t="s">
        <v>1014</v>
      </c>
      <c r="R302" s="329" t="s">
        <v>1015</v>
      </c>
      <c r="S302" s="330"/>
      <c r="T302" s="330"/>
      <c r="U302" s="330"/>
      <c r="V302" s="330"/>
      <c r="W302" s="332" t="s">
        <v>1108</v>
      </c>
      <c r="X302" s="331" t="s">
        <v>14002</v>
      </c>
      <c r="Y302" s="331" t="s">
        <v>14518</v>
      </c>
      <c r="Z302" s="331" t="s">
        <v>14519</v>
      </c>
      <c r="AA302" s="331" t="s">
        <v>14004</v>
      </c>
      <c r="AB302" s="333" t="s">
        <v>1095</v>
      </c>
      <c r="AC302" s="333"/>
      <c r="AD302" s="334" t="s">
        <v>2327</v>
      </c>
      <c r="AE302" s="335" t="s">
        <v>370</v>
      </c>
      <c r="AF302" s="336"/>
      <c r="AG302" s="337"/>
      <c r="AH302" s="417" t="s">
        <v>435</v>
      </c>
      <c r="AI302" s="392" t="s">
        <v>435</v>
      </c>
      <c r="AJ302" s="392" t="s">
        <v>435</v>
      </c>
      <c r="AK302" s="340" t="s">
        <v>435</v>
      </c>
      <c r="AL302" s="321" t="s">
        <v>210</v>
      </c>
      <c r="AM302" s="392" t="s">
        <v>15</v>
      </c>
      <c r="AN302" s="392" t="s">
        <v>15</v>
      </c>
      <c r="AO302" s="341" t="s">
        <v>15</v>
      </c>
      <c r="AP302" s="342"/>
      <c r="AQ302" s="343"/>
      <c r="AR302" s="370">
        <v>1143</v>
      </c>
      <c r="AS302" s="326">
        <v>100</v>
      </c>
      <c r="AT302" s="392">
        <v>0.8</v>
      </c>
      <c r="AU302" s="392"/>
      <c r="AV302" s="392">
        <v>1.5</v>
      </c>
      <c r="AW302" s="340"/>
      <c r="AX302" s="347"/>
      <c r="AY302" s="348"/>
      <c r="AZ302" s="377"/>
      <c r="BA302" s="374"/>
      <c r="BB302" s="374"/>
      <c r="BC302" s="374"/>
      <c r="BD302" s="374"/>
      <c r="BE302" s="374"/>
      <c r="BF302" s="374"/>
      <c r="BG302" s="374"/>
      <c r="BH302" s="378"/>
      <c r="BI302" s="376"/>
      <c r="BJ302" s="379"/>
      <c r="BK302" s="380"/>
      <c r="BL302" s="348"/>
      <c r="BM302" s="381"/>
      <c r="BN302" s="321" t="s">
        <v>983</v>
      </c>
      <c r="BO302" s="372"/>
      <c r="BP302" s="373" t="s">
        <v>15</v>
      </c>
      <c r="BQ302" s="360"/>
      <c r="BR302" s="361"/>
      <c r="BS302" s="361"/>
      <c r="BT302" s="361"/>
      <c r="BU302" s="342" t="s">
        <v>210</v>
      </c>
      <c r="BV302" s="342" t="s">
        <v>210</v>
      </c>
      <c r="BW302" s="341" t="s">
        <v>15</v>
      </c>
      <c r="BX302" s="361"/>
      <c r="BY302" s="362"/>
      <c r="BZ302" s="363"/>
      <c r="CA302" s="363"/>
      <c r="CB302" s="363"/>
      <c r="CC302" s="363"/>
      <c r="CD302" s="293"/>
      <c r="CE302" s="364"/>
      <c r="CF302" s="364"/>
      <c r="CG302" s="364"/>
      <c r="CH302" s="364"/>
      <c r="CI302" s="364"/>
      <c r="CJ302" s="364"/>
      <c r="CK302" s="364"/>
      <c r="CL302" s="364"/>
      <c r="CM302" s="364"/>
      <c r="CN302" s="364"/>
      <c r="CO302" s="364"/>
      <c r="CP302" s="364"/>
      <c r="CQ302" s="364"/>
      <c r="CR302" s="364"/>
      <c r="CS302" s="364"/>
      <c r="CT302" s="364"/>
      <c r="CU302" s="364"/>
      <c r="CV302" s="364"/>
      <c r="CW302" s="364"/>
      <c r="CX302" s="364"/>
      <c r="CY302" s="364"/>
      <c r="CZ302" s="364"/>
      <c r="DA302" s="364"/>
      <c r="DB302" s="364"/>
      <c r="DC302" s="364"/>
      <c r="DD302" s="364"/>
      <c r="DE302" s="364"/>
      <c r="DF302" s="364"/>
      <c r="DG302" s="364"/>
      <c r="DH302" s="364"/>
      <c r="DI302" s="364"/>
      <c r="DJ302" s="364"/>
      <c r="DK302" s="364"/>
      <c r="DL302" s="364"/>
      <c r="DM302" s="364"/>
      <c r="DN302" s="364"/>
      <c r="DO302" s="364"/>
      <c r="DP302" s="364"/>
      <c r="DQ302" s="364"/>
      <c r="DR302" s="364"/>
      <c r="DS302" s="364"/>
      <c r="DT302" s="364"/>
      <c r="DU302" s="364"/>
      <c r="DV302" s="364"/>
      <c r="DW302" s="364"/>
      <c r="DX302" s="364"/>
      <c r="DY302" s="364"/>
      <c r="DZ302" s="364"/>
      <c r="EA302" s="364"/>
      <c r="EB302" s="364"/>
      <c r="EC302" s="364"/>
      <c r="ED302" s="364"/>
      <c r="EE302" s="364"/>
      <c r="EF302" s="364"/>
      <c r="EG302" s="364"/>
      <c r="EH302" s="364"/>
      <c r="EI302" s="364"/>
      <c r="EJ302" s="364"/>
      <c r="EK302" s="364"/>
      <c r="EL302" s="364"/>
      <c r="EM302" s="364"/>
      <c r="EN302" s="364"/>
      <c r="EO302" s="364"/>
      <c r="EP302" s="364"/>
      <c r="EQ302" s="364"/>
      <c r="ER302" s="364"/>
      <c r="ES302" s="364"/>
      <c r="ET302" s="364"/>
      <c r="EU302" s="364"/>
      <c r="EV302" s="364"/>
      <c r="EW302" s="364"/>
      <c r="EX302" s="364"/>
      <c r="EY302" s="364"/>
      <c r="EZ302" s="364"/>
      <c r="FA302" s="364"/>
      <c r="FB302" s="364"/>
      <c r="FC302" s="364"/>
      <c r="FD302" s="364"/>
      <c r="FE302" s="364"/>
      <c r="FF302" s="364"/>
      <c r="FG302" s="364"/>
      <c r="FH302" s="364"/>
      <c r="FI302" s="364"/>
      <c r="FJ302" s="364"/>
      <c r="FK302" s="364"/>
      <c r="FL302" s="364"/>
      <c r="FM302" s="364"/>
      <c r="FN302" s="364"/>
      <c r="FO302" s="364"/>
      <c r="FP302" s="364"/>
      <c r="FQ302" s="364"/>
      <c r="FR302" s="364"/>
      <c r="FS302" s="364"/>
      <c r="FT302" s="364"/>
      <c r="FU302" s="364"/>
      <c r="FV302" s="364"/>
      <c r="FW302" s="364"/>
      <c r="FX302" s="364"/>
      <c r="FY302" s="364"/>
      <c r="FZ302" s="364"/>
      <c r="GA302" s="364"/>
      <c r="GB302" s="364"/>
      <c r="GC302" s="364"/>
      <c r="GD302" s="364"/>
      <c r="GE302" s="364"/>
      <c r="GF302" s="364"/>
      <c r="GG302" s="364"/>
      <c r="GH302" s="364"/>
      <c r="GI302" s="364"/>
      <c r="GJ302" s="364"/>
      <c r="GK302" s="364"/>
      <c r="GL302" s="364"/>
      <c r="GM302" s="364"/>
      <c r="GN302" s="364"/>
      <c r="GO302" s="364"/>
      <c r="GP302" s="364"/>
      <c r="GQ302" s="364"/>
      <c r="GR302" s="364"/>
      <c r="GS302" s="364"/>
      <c r="GT302" s="364"/>
      <c r="GU302" s="364"/>
      <c r="GV302" s="364"/>
      <c r="GW302" s="364"/>
      <c r="GX302" s="364"/>
      <c r="GY302" s="364"/>
      <c r="GZ302" s="364"/>
      <c r="HA302" s="364"/>
      <c r="HB302" s="364"/>
      <c r="HC302" s="364"/>
      <c r="HD302" s="364"/>
      <c r="HE302" s="364"/>
      <c r="HF302" s="364"/>
      <c r="HG302" s="364"/>
      <c r="HH302" s="364"/>
      <c r="HI302" s="364"/>
      <c r="HJ302" s="364"/>
      <c r="HK302" s="364"/>
      <c r="HL302" s="364"/>
    </row>
    <row r="303" spans="2:220" s="287" customFormat="1" ht="22.5" customHeight="1">
      <c r="B303" s="365">
        <v>250111</v>
      </c>
      <c r="C303" s="366" t="s">
        <v>248</v>
      </c>
      <c r="D303" s="367"/>
      <c r="E303" s="368"/>
      <c r="F303" s="321" t="s">
        <v>237</v>
      </c>
      <c r="G303" s="326" t="s">
        <v>2175</v>
      </c>
      <c r="H303" s="326" t="s">
        <v>2178</v>
      </c>
      <c r="I303" s="326" t="s">
        <v>11</v>
      </c>
      <c r="J303" s="326" t="s">
        <v>12</v>
      </c>
      <c r="K303" s="326" t="s">
        <v>324</v>
      </c>
      <c r="L303" s="323"/>
      <c r="M303" s="374"/>
      <c r="N303" s="325" t="s">
        <v>1016</v>
      </c>
      <c r="O303" s="327" t="s">
        <v>210</v>
      </c>
      <c r="P303" s="327" t="s">
        <v>210</v>
      </c>
      <c r="Q303" s="369" t="s">
        <v>210</v>
      </c>
      <c r="R303" s="329" t="s">
        <v>1017</v>
      </c>
      <c r="S303" s="331" t="s">
        <v>14236</v>
      </c>
      <c r="T303" s="331" t="s">
        <v>14238</v>
      </c>
      <c r="U303" s="331" t="s">
        <v>14237</v>
      </c>
      <c r="V303" s="331" t="s">
        <v>14239</v>
      </c>
      <c r="W303" s="332" t="s">
        <v>14242</v>
      </c>
      <c r="X303" s="331" t="s">
        <v>14243</v>
      </c>
      <c r="Y303" s="331" t="s">
        <v>14245</v>
      </c>
      <c r="Z303" s="331" t="s">
        <v>14244</v>
      </c>
      <c r="AA303" s="331" t="s">
        <v>14246</v>
      </c>
      <c r="AB303" s="333"/>
      <c r="AC303" s="333"/>
      <c r="AD303" s="396" t="s">
        <v>332</v>
      </c>
      <c r="AE303" s="335" t="s">
        <v>343</v>
      </c>
      <c r="AF303" s="336"/>
      <c r="AG303" s="337"/>
      <c r="AH303" s="417" t="s">
        <v>435</v>
      </c>
      <c r="AI303" s="392" t="s">
        <v>435</v>
      </c>
      <c r="AJ303" s="392" t="s">
        <v>435</v>
      </c>
      <c r="AK303" s="340" t="s">
        <v>435</v>
      </c>
      <c r="AL303" s="321" t="s">
        <v>210</v>
      </c>
      <c r="AM303" s="392" t="s">
        <v>15</v>
      </c>
      <c r="AN303" s="392" t="s">
        <v>15</v>
      </c>
      <c r="AO303" s="341" t="s">
        <v>15</v>
      </c>
      <c r="AP303" s="342"/>
      <c r="AQ303" s="343"/>
      <c r="AR303" s="370">
        <v>1811</v>
      </c>
      <c r="AS303" s="326">
        <v>80</v>
      </c>
      <c r="AT303" s="392">
        <v>1</v>
      </c>
      <c r="AU303" s="392"/>
      <c r="AV303" s="392">
        <v>1.2</v>
      </c>
      <c r="AW303" s="340"/>
      <c r="AX303" s="347"/>
      <c r="AY303" s="348"/>
      <c r="AZ303" s="377"/>
      <c r="BA303" s="374"/>
      <c r="BB303" s="374"/>
      <c r="BC303" s="374"/>
      <c r="BD303" s="374"/>
      <c r="BE303" s="374"/>
      <c r="BF303" s="374"/>
      <c r="BG303" s="374"/>
      <c r="BH303" s="378"/>
      <c r="BI303" s="376"/>
      <c r="BJ303" s="379"/>
      <c r="BK303" s="380"/>
      <c r="BL303" s="348"/>
      <c r="BM303" s="381"/>
      <c r="BN303" s="321" t="s">
        <v>983</v>
      </c>
      <c r="BO303" s="372"/>
      <c r="BP303" s="373" t="s">
        <v>983</v>
      </c>
      <c r="BQ303" s="360"/>
      <c r="BR303" s="361"/>
      <c r="BS303" s="361"/>
      <c r="BT303" s="361"/>
      <c r="BU303" s="342" t="s">
        <v>210</v>
      </c>
      <c r="BV303" s="342" t="s">
        <v>210</v>
      </c>
      <c r="BW303" s="341" t="s">
        <v>15</v>
      </c>
      <c r="BX303" s="361"/>
      <c r="BY303" s="362"/>
      <c r="BZ303" s="363"/>
      <c r="CA303" s="363"/>
      <c r="CB303" s="363"/>
      <c r="CC303" s="363"/>
      <c r="CD303" s="293"/>
      <c r="CE303" s="364"/>
      <c r="CF303" s="364"/>
      <c r="CG303" s="364"/>
      <c r="CH303" s="364"/>
      <c r="CI303" s="364"/>
      <c r="CJ303" s="364"/>
      <c r="CK303" s="364"/>
      <c r="CL303" s="364"/>
      <c r="CM303" s="364"/>
      <c r="CN303" s="364"/>
      <c r="CO303" s="364"/>
      <c r="CP303" s="364"/>
      <c r="CQ303" s="364"/>
      <c r="CR303" s="364"/>
      <c r="CS303" s="364"/>
      <c r="CT303" s="364"/>
      <c r="CU303" s="364"/>
      <c r="CV303" s="364"/>
      <c r="CW303" s="364"/>
      <c r="CX303" s="364"/>
      <c r="CY303" s="364"/>
      <c r="CZ303" s="364"/>
      <c r="DA303" s="364"/>
      <c r="DB303" s="364"/>
      <c r="DC303" s="364"/>
      <c r="DD303" s="364"/>
      <c r="DE303" s="364"/>
      <c r="DF303" s="364"/>
      <c r="DG303" s="364"/>
      <c r="DH303" s="364"/>
      <c r="DI303" s="364"/>
      <c r="DJ303" s="364"/>
      <c r="DK303" s="364"/>
      <c r="DL303" s="364"/>
      <c r="DM303" s="364"/>
      <c r="DN303" s="364"/>
      <c r="DO303" s="364"/>
      <c r="DP303" s="364"/>
      <c r="DQ303" s="364"/>
      <c r="DR303" s="364"/>
      <c r="DS303" s="364"/>
      <c r="DT303" s="364"/>
      <c r="DU303" s="364"/>
      <c r="DV303" s="364"/>
      <c r="DW303" s="364"/>
      <c r="DX303" s="364"/>
      <c r="DY303" s="364"/>
      <c r="DZ303" s="364"/>
      <c r="EA303" s="364"/>
      <c r="EB303" s="364"/>
      <c r="EC303" s="364"/>
      <c r="ED303" s="364"/>
      <c r="EE303" s="364"/>
      <c r="EF303" s="364"/>
      <c r="EG303" s="364"/>
      <c r="EH303" s="364"/>
      <c r="EI303" s="364"/>
      <c r="EJ303" s="364"/>
      <c r="EK303" s="364"/>
      <c r="EL303" s="364"/>
      <c r="EM303" s="364"/>
      <c r="EN303" s="364"/>
      <c r="EO303" s="364"/>
      <c r="EP303" s="364"/>
      <c r="EQ303" s="364"/>
      <c r="ER303" s="364"/>
      <c r="ES303" s="364"/>
      <c r="ET303" s="364"/>
      <c r="EU303" s="364"/>
      <c r="EV303" s="364"/>
      <c r="EW303" s="364"/>
      <c r="EX303" s="364"/>
      <c r="EY303" s="364"/>
      <c r="EZ303" s="364"/>
      <c r="FA303" s="364"/>
      <c r="FB303" s="364"/>
      <c r="FC303" s="364"/>
      <c r="FD303" s="364"/>
      <c r="FE303" s="364"/>
      <c r="FF303" s="364"/>
      <c r="FG303" s="364"/>
      <c r="FH303" s="364"/>
      <c r="FI303" s="364"/>
      <c r="FJ303" s="364"/>
      <c r="FK303" s="364"/>
      <c r="FL303" s="364"/>
      <c r="FM303" s="364"/>
      <c r="FN303" s="364"/>
      <c r="FO303" s="364"/>
      <c r="FP303" s="364"/>
      <c r="FQ303" s="364"/>
      <c r="FR303" s="364"/>
      <c r="FS303" s="364"/>
      <c r="FT303" s="364"/>
      <c r="FU303" s="364"/>
      <c r="FV303" s="364"/>
      <c r="FW303" s="364"/>
      <c r="FX303" s="364"/>
      <c r="FY303" s="364"/>
      <c r="FZ303" s="364"/>
      <c r="GA303" s="364"/>
      <c r="GB303" s="364"/>
      <c r="GC303" s="364"/>
      <c r="GD303" s="364"/>
      <c r="GE303" s="364"/>
      <c r="GF303" s="364"/>
      <c r="GG303" s="364"/>
      <c r="GH303" s="364"/>
      <c r="GI303" s="364"/>
      <c r="GJ303" s="364"/>
      <c r="GK303" s="364"/>
      <c r="GL303" s="364"/>
      <c r="GM303" s="364"/>
      <c r="GN303" s="364"/>
      <c r="GO303" s="364"/>
      <c r="GP303" s="364"/>
      <c r="GQ303" s="364"/>
      <c r="GR303" s="364"/>
      <c r="GS303" s="364"/>
      <c r="GT303" s="364"/>
      <c r="GU303" s="364"/>
      <c r="GV303" s="364"/>
      <c r="GW303" s="364"/>
      <c r="GX303" s="364"/>
      <c r="GY303" s="364"/>
      <c r="GZ303" s="364"/>
      <c r="HA303" s="364"/>
      <c r="HB303" s="364"/>
      <c r="HC303" s="364"/>
      <c r="HD303" s="364"/>
      <c r="HE303" s="364"/>
      <c r="HF303" s="364"/>
      <c r="HG303" s="364"/>
      <c r="HH303" s="364"/>
      <c r="HI303" s="364"/>
      <c r="HJ303" s="364"/>
      <c r="HK303" s="364"/>
      <c r="HL303" s="364"/>
    </row>
    <row r="304" spans="2:220" s="287" customFormat="1" ht="22.5" customHeight="1">
      <c r="B304" s="365">
        <v>250112</v>
      </c>
      <c r="C304" s="366" t="s">
        <v>14240</v>
      </c>
      <c r="D304" s="367"/>
      <c r="E304" s="368"/>
      <c r="F304" s="321" t="s">
        <v>372</v>
      </c>
      <c r="G304" s="326" t="s">
        <v>2147</v>
      </c>
      <c r="H304" s="326" t="s">
        <v>2177</v>
      </c>
      <c r="I304" s="326" t="s">
        <v>11</v>
      </c>
      <c r="J304" s="326" t="s">
        <v>12</v>
      </c>
      <c r="K304" s="326" t="s">
        <v>324</v>
      </c>
      <c r="L304" s="323"/>
      <c r="M304" s="324" t="s">
        <v>10767</v>
      </c>
      <c r="N304" s="325" t="s">
        <v>437</v>
      </c>
      <c r="O304" s="326">
        <v>50</v>
      </c>
      <c r="P304" s="327">
        <v>361.1</v>
      </c>
      <c r="Q304" s="369">
        <v>418.17</v>
      </c>
      <c r="R304" s="329" t="s">
        <v>1094</v>
      </c>
      <c r="S304" s="331" t="s">
        <v>14241</v>
      </c>
      <c r="T304" s="331" t="s">
        <v>11123</v>
      </c>
      <c r="U304" s="331" t="s">
        <v>16209</v>
      </c>
      <c r="V304" s="331" t="s">
        <v>11124</v>
      </c>
      <c r="W304" s="332" t="s">
        <v>432</v>
      </c>
      <c r="X304" s="331" t="s">
        <v>11079</v>
      </c>
      <c r="Y304" s="331" t="s">
        <v>11080</v>
      </c>
      <c r="Z304" s="331" t="s">
        <v>11080</v>
      </c>
      <c r="AA304" s="331" t="s">
        <v>210</v>
      </c>
      <c r="AB304" s="416" t="s">
        <v>16099</v>
      </c>
      <c r="AC304" s="416"/>
      <c r="AD304" s="396" t="s">
        <v>2320</v>
      </c>
      <c r="AE304" s="335" t="s">
        <v>309</v>
      </c>
      <c r="AF304" s="336"/>
      <c r="AG304" s="337"/>
      <c r="AH304" s="417">
        <v>11.2</v>
      </c>
      <c r="AI304" s="392">
        <v>23</v>
      </c>
      <c r="AJ304" s="392">
        <v>17.399999999999999</v>
      </c>
      <c r="AK304" s="340">
        <f>SUM(AH304:AJ304)</f>
        <v>51.6</v>
      </c>
      <c r="AL304" s="321" t="s">
        <v>210</v>
      </c>
      <c r="AM304" s="392" t="s">
        <v>15</v>
      </c>
      <c r="AN304" s="392" t="s">
        <v>15</v>
      </c>
      <c r="AO304" s="341" t="s">
        <v>15</v>
      </c>
      <c r="AP304" s="342"/>
      <c r="AQ304" s="343"/>
      <c r="AR304" s="370">
        <v>579</v>
      </c>
      <c r="AS304" s="326">
        <v>80</v>
      </c>
      <c r="AT304" s="392">
        <v>0.6</v>
      </c>
      <c r="AU304" s="392"/>
      <c r="AV304" s="392">
        <v>0.6</v>
      </c>
      <c r="AW304" s="340"/>
      <c r="AX304" s="347"/>
      <c r="AY304" s="348"/>
      <c r="AZ304" s="405" t="s">
        <v>3367</v>
      </c>
      <c r="BA304" s="324" t="s">
        <v>210</v>
      </c>
      <c r="BB304" s="324" t="s">
        <v>210</v>
      </c>
      <c r="BC304" s="324" t="s">
        <v>210</v>
      </c>
      <c r="BD304" s="324" t="s">
        <v>210</v>
      </c>
      <c r="BE304" s="324" t="s">
        <v>210</v>
      </c>
      <c r="BF304" s="324" t="s">
        <v>210</v>
      </c>
      <c r="BG304" s="324" t="s">
        <v>3728</v>
      </c>
      <c r="BH304" s="426" t="s">
        <v>3729</v>
      </c>
      <c r="BI304" s="376"/>
      <c r="BJ304" s="427" t="s">
        <v>210</v>
      </c>
      <c r="BK304" s="428"/>
      <c r="BL304" s="429"/>
      <c r="BM304" s="430"/>
      <c r="BN304" s="321" t="s">
        <v>15</v>
      </c>
      <c r="BO304" s="372"/>
      <c r="BP304" s="373" t="s">
        <v>15</v>
      </c>
      <c r="BQ304" s="360"/>
      <c r="BR304" s="361"/>
      <c r="BS304" s="361"/>
      <c r="BT304" s="361"/>
      <c r="BU304" s="342" t="s">
        <v>210</v>
      </c>
      <c r="BV304" s="342" t="s">
        <v>210</v>
      </c>
      <c r="BW304" s="341" t="s">
        <v>15</v>
      </c>
      <c r="BX304" s="361"/>
      <c r="BY304" s="362"/>
      <c r="BZ304" s="363"/>
      <c r="CA304" s="363"/>
      <c r="CB304" s="363"/>
      <c r="CC304" s="363"/>
      <c r="CD304" s="293"/>
      <c r="CE304" s="364"/>
      <c r="CF304" s="364"/>
      <c r="CG304" s="364"/>
      <c r="CH304" s="364"/>
      <c r="CI304" s="364"/>
      <c r="CJ304" s="364"/>
      <c r="CK304" s="364"/>
      <c r="CL304" s="364"/>
      <c r="CM304" s="364"/>
      <c r="CN304" s="364"/>
      <c r="CO304" s="364"/>
      <c r="CP304" s="364"/>
      <c r="CQ304" s="364"/>
      <c r="CR304" s="364"/>
      <c r="CS304" s="364"/>
      <c r="CT304" s="364"/>
      <c r="CU304" s="364"/>
      <c r="CV304" s="364"/>
      <c r="CW304" s="364"/>
      <c r="CX304" s="364"/>
      <c r="CY304" s="364"/>
      <c r="CZ304" s="364"/>
      <c r="DA304" s="364"/>
      <c r="DB304" s="364"/>
      <c r="DC304" s="364"/>
      <c r="DD304" s="364"/>
      <c r="DE304" s="364"/>
      <c r="DF304" s="364"/>
      <c r="DG304" s="364"/>
      <c r="DH304" s="364"/>
      <c r="DI304" s="364"/>
      <c r="DJ304" s="364"/>
      <c r="DK304" s="364"/>
      <c r="DL304" s="364"/>
      <c r="DM304" s="364"/>
      <c r="DN304" s="364"/>
      <c r="DO304" s="364"/>
      <c r="DP304" s="364"/>
      <c r="DQ304" s="364"/>
      <c r="DR304" s="364"/>
      <c r="DS304" s="364"/>
      <c r="DT304" s="364"/>
      <c r="DU304" s="364"/>
      <c r="DV304" s="364"/>
      <c r="DW304" s="364"/>
      <c r="DX304" s="364"/>
      <c r="DY304" s="364"/>
      <c r="DZ304" s="364"/>
      <c r="EA304" s="364"/>
      <c r="EB304" s="364"/>
      <c r="EC304" s="364"/>
      <c r="ED304" s="364"/>
      <c r="EE304" s="364"/>
      <c r="EF304" s="364"/>
      <c r="EG304" s="364"/>
      <c r="EH304" s="364"/>
      <c r="EI304" s="364"/>
      <c r="EJ304" s="364"/>
      <c r="EK304" s="364"/>
      <c r="EL304" s="364"/>
      <c r="EM304" s="364"/>
      <c r="EN304" s="364"/>
      <c r="EO304" s="364"/>
      <c r="EP304" s="364"/>
      <c r="EQ304" s="364"/>
      <c r="ER304" s="364"/>
      <c r="ES304" s="364"/>
      <c r="ET304" s="364"/>
      <c r="EU304" s="364"/>
      <c r="EV304" s="364"/>
      <c r="EW304" s="364"/>
      <c r="EX304" s="364"/>
      <c r="EY304" s="364"/>
      <c r="EZ304" s="364"/>
      <c r="FA304" s="364"/>
      <c r="FB304" s="364"/>
      <c r="FC304" s="364"/>
      <c r="FD304" s="364"/>
      <c r="FE304" s="364"/>
      <c r="FF304" s="364"/>
      <c r="FG304" s="364"/>
      <c r="FH304" s="364"/>
      <c r="FI304" s="364"/>
      <c r="FJ304" s="364"/>
      <c r="FK304" s="364"/>
      <c r="FL304" s="364"/>
      <c r="FM304" s="364"/>
      <c r="FN304" s="364"/>
      <c r="FO304" s="364"/>
      <c r="FP304" s="364"/>
      <c r="FQ304" s="364"/>
      <c r="FR304" s="364"/>
      <c r="FS304" s="364"/>
      <c r="FT304" s="364"/>
      <c r="FU304" s="364"/>
      <c r="FV304" s="364"/>
      <c r="FW304" s="364"/>
      <c r="FX304" s="364"/>
      <c r="FY304" s="364"/>
      <c r="FZ304" s="364"/>
      <c r="GA304" s="364"/>
      <c r="GB304" s="364"/>
      <c r="GC304" s="364"/>
      <c r="GD304" s="364"/>
      <c r="GE304" s="364"/>
      <c r="GF304" s="364"/>
      <c r="GG304" s="364"/>
      <c r="GH304" s="364"/>
      <c r="GI304" s="364"/>
      <c r="GJ304" s="364"/>
      <c r="GK304" s="364"/>
      <c r="GL304" s="364"/>
      <c r="GM304" s="364"/>
      <c r="GN304" s="364"/>
      <c r="GO304" s="364"/>
      <c r="GP304" s="364"/>
      <c r="GQ304" s="364"/>
      <c r="GR304" s="364"/>
      <c r="GS304" s="364"/>
      <c r="GT304" s="364"/>
      <c r="GU304" s="364"/>
      <c r="GV304" s="364"/>
      <c r="GW304" s="364"/>
      <c r="GX304" s="364"/>
      <c r="GY304" s="364"/>
      <c r="GZ304" s="364"/>
      <c r="HA304" s="364"/>
      <c r="HB304" s="364"/>
      <c r="HC304" s="364"/>
      <c r="HD304" s="364"/>
      <c r="HE304" s="364"/>
      <c r="HF304" s="364"/>
      <c r="HG304" s="364"/>
      <c r="HH304" s="364"/>
      <c r="HI304" s="364"/>
      <c r="HJ304" s="364"/>
      <c r="HK304" s="364"/>
      <c r="HL304" s="364"/>
    </row>
    <row r="305" spans="2:220" s="287" customFormat="1" ht="22.5" customHeight="1">
      <c r="B305" s="365">
        <v>250113</v>
      </c>
      <c r="C305" s="366" t="s">
        <v>14235</v>
      </c>
      <c r="D305" s="367"/>
      <c r="E305" s="368"/>
      <c r="F305" s="321" t="s">
        <v>237</v>
      </c>
      <c r="G305" s="326" t="s">
        <v>2175</v>
      </c>
      <c r="H305" s="326" t="s">
        <v>2176</v>
      </c>
      <c r="I305" s="326" t="s">
        <v>11</v>
      </c>
      <c r="J305" s="326" t="s">
        <v>12</v>
      </c>
      <c r="K305" s="326" t="s">
        <v>324</v>
      </c>
      <c r="L305" s="323"/>
      <c r="M305" s="374"/>
      <c r="N305" s="325" t="s">
        <v>1016</v>
      </c>
      <c r="O305" s="327" t="s">
        <v>210</v>
      </c>
      <c r="P305" s="327" t="s">
        <v>210</v>
      </c>
      <c r="Q305" s="369" t="s">
        <v>210</v>
      </c>
      <c r="R305" s="329" t="s">
        <v>1017</v>
      </c>
      <c r="S305" s="331" t="s">
        <v>14236</v>
      </c>
      <c r="T305" s="331" t="s">
        <v>14238</v>
      </c>
      <c r="U305" s="331" t="s">
        <v>14237</v>
      </c>
      <c r="V305" s="331" t="s">
        <v>14239</v>
      </c>
      <c r="W305" s="645"/>
      <c r="X305" s="330"/>
      <c r="Y305" s="330"/>
      <c r="Z305" s="330"/>
      <c r="AA305" s="330"/>
      <c r="AB305" s="333"/>
      <c r="AC305" s="416"/>
      <c r="AD305" s="375"/>
      <c r="AE305" s="335" t="s">
        <v>309</v>
      </c>
      <c r="AF305" s="336"/>
      <c r="AG305" s="337"/>
      <c r="AH305" s="417" t="s">
        <v>435</v>
      </c>
      <c r="AI305" s="392" t="s">
        <v>435</v>
      </c>
      <c r="AJ305" s="392" t="s">
        <v>435</v>
      </c>
      <c r="AK305" s="340" t="s">
        <v>435</v>
      </c>
      <c r="AL305" s="321" t="s">
        <v>210</v>
      </c>
      <c r="AM305" s="392" t="s">
        <v>15</v>
      </c>
      <c r="AN305" s="392" t="s">
        <v>15</v>
      </c>
      <c r="AO305" s="341" t="s">
        <v>15</v>
      </c>
      <c r="AP305" s="342"/>
      <c r="AQ305" s="343"/>
      <c r="AR305" s="370">
        <f>1762+1648+2337+1900+1949+1949+2388+1077+885+1149</f>
        <v>17044</v>
      </c>
      <c r="AS305" s="326">
        <v>80</v>
      </c>
      <c r="AT305" s="392">
        <v>0.8</v>
      </c>
      <c r="AU305" s="392"/>
      <c r="AV305" s="392">
        <v>1.2</v>
      </c>
      <c r="AW305" s="340"/>
      <c r="AX305" s="347"/>
      <c r="AY305" s="348"/>
      <c r="AZ305" s="377"/>
      <c r="BA305" s="374"/>
      <c r="BB305" s="374"/>
      <c r="BC305" s="374"/>
      <c r="BD305" s="374"/>
      <c r="BE305" s="374"/>
      <c r="BF305" s="374"/>
      <c r="BG305" s="374"/>
      <c r="BH305" s="378"/>
      <c r="BI305" s="376"/>
      <c r="BJ305" s="431">
        <v>1.08</v>
      </c>
      <c r="BK305" s="380"/>
      <c r="BL305" s="348"/>
      <c r="BM305" s="381"/>
      <c r="BN305" s="321" t="s">
        <v>983</v>
      </c>
      <c r="BO305" s="372"/>
      <c r="BP305" s="373" t="s">
        <v>983</v>
      </c>
      <c r="BQ305" s="360"/>
      <c r="BR305" s="361"/>
      <c r="BS305" s="361"/>
      <c r="BT305" s="361"/>
      <c r="BU305" s="342" t="s">
        <v>210</v>
      </c>
      <c r="BV305" s="342" t="s">
        <v>210</v>
      </c>
      <c r="BW305" s="341" t="s">
        <v>15</v>
      </c>
      <c r="BX305" s="361"/>
      <c r="BY305" s="362"/>
      <c r="BZ305" s="363"/>
      <c r="CA305" s="363"/>
      <c r="CB305" s="363"/>
      <c r="CC305" s="363"/>
      <c r="CD305" s="293"/>
      <c r="CE305" s="364"/>
      <c r="CF305" s="364"/>
      <c r="CG305" s="364"/>
      <c r="CH305" s="364"/>
      <c r="CI305" s="364"/>
      <c r="CJ305" s="364"/>
      <c r="CK305" s="364"/>
      <c r="CL305" s="364"/>
      <c r="CM305" s="364"/>
      <c r="CN305" s="364"/>
      <c r="CO305" s="364"/>
      <c r="CP305" s="364"/>
      <c r="CQ305" s="364"/>
      <c r="CR305" s="364"/>
      <c r="CS305" s="364"/>
      <c r="CT305" s="364"/>
      <c r="CU305" s="364"/>
      <c r="CV305" s="364"/>
      <c r="CW305" s="364"/>
      <c r="CX305" s="364"/>
      <c r="CY305" s="364"/>
      <c r="CZ305" s="364"/>
      <c r="DA305" s="364"/>
      <c r="DB305" s="364"/>
      <c r="DC305" s="364"/>
      <c r="DD305" s="364"/>
      <c r="DE305" s="364"/>
      <c r="DF305" s="364"/>
      <c r="DG305" s="364"/>
      <c r="DH305" s="364"/>
      <c r="DI305" s="364"/>
      <c r="DJ305" s="364"/>
      <c r="DK305" s="364"/>
      <c r="DL305" s="364"/>
      <c r="DM305" s="364"/>
      <c r="DN305" s="364"/>
      <c r="DO305" s="364"/>
      <c r="DP305" s="364"/>
      <c r="DQ305" s="364"/>
      <c r="DR305" s="364"/>
      <c r="DS305" s="364"/>
      <c r="DT305" s="364"/>
      <c r="DU305" s="364"/>
      <c r="DV305" s="364"/>
      <c r="DW305" s="364"/>
      <c r="DX305" s="364"/>
      <c r="DY305" s="364"/>
      <c r="DZ305" s="364"/>
      <c r="EA305" s="364"/>
      <c r="EB305" s="364"/>
      <c r="EC305" s="364"/>
      <c r="ED305" s="364"/>
      <c r="EE305" s="364"/>
      <c r="EF305" s="364"/>
      <c r="EG305" s="364"/>
      <c r="EH305" s="364"/>
      <c r="EI305" s="364"/>
      <c r="EJ305" s="364"/>
      <c r="EK305" s="364"/>
      <c r="EL305" s="364"/>
      <c r="EM305" s="364"/>
      <c r="EN305" s="364"/>
      <c r="EO305" s="364"/>
      <c r="EP305" s="364"/>
      <c r="EQ305" s="364"/>
      <c r="ER305" s="364"/>
      <c r="ES305" s="364"/>
      <c r="ET305" s="364"/>
      <c r="EU305" s="364"/>
      <c r="EV305" s="364"/>
      <c r="EW305" s="364"/>
      <c r="EX305" s="364"/>
      <c r="EY305" s="364"/>
      <c r="EZ305" s="364"/>
      <c r="FA305" s="364"/>
      <c r="FB305" s="364"/>
      <c r="FC305" s="364"/>
      <c r="FD305" s="364"/>
      <c r="FE305" s="364"/>
      <c r="FF305" s="364"/>
      <c r="FG305" s="364"/>
      <c r="FH305" s="364"/>
      <c r="FI305" s="364"/>
      <c r="FJ305" s="364"/>
      <c r="FK305" s="364"/>
      <c r="FL305" s="364"/>
      <c r="FM305" s="364"/>
      <c r="FN305" s="364"/>
      <c r="FO305" s="364"/>
      <c r="FP305" s="364"/>
      <c r="FQ305" s="364"/>
      <c r="FR305" s="364"/>
      <c r="FS305" s="364"/>
      <c r="FT305" s="364"/>
      <c r="FU305" s="364"/>
      <c r="FV305" s="364"/>
      <c r="FW305" s="364"/>
      <c r="FX305" s="364"/>
      <c r="FY305" s="364"/>
      <c r="FZ305" s="364"/>
      <c r="GA305" s="364"/>
      <c r="GB305" s="364"/>
      <c r="GC305" s="364"/>
      <c r="GD305" s="364"/>
      <c r="GE305" s="364"/>
      <c r="GF305" s="364"/>
      <c r="GG305" s="364"/>
      <c r="GH305" s="364"/>
      <c r="GI305" s="364"/>
      <c r="GJ305" s="364"/>
      <c r="GK305" s="364"/>
      <c r="GL305" s="364"/>
      <c r="GM305" s="364"/>
      <c r="GN305" s="364"/>
      <c r="GO305" s="364"/>
      <c r="GP305" s="364"/>
      <c r="GQ305" s="364"/>
      <c r="GR305" s="364"/>
      <c r="GS305" s="364"/>
      <c r="GT305" s="364"/>
      <c r="GU305" s="364"/>
      <c r="GV305" s="364"/>
      <c r="GW305" s="364"/>
      <c r="GX305" s="364"/>
      <c r="GY305" s="364"/>
      <c r="GZ305" s="364"/>
      <c r="HA305" s="364"/>
      <c r="HB305" s="364"/>
      <c r="HC305" s="364"/>
      <c r="HD305" s="364"/>
      <c r="HE305" s="364"/>
      <c r="HF305" s="364"/>
      <c r="HG305" s="364"/>
      <c r="HH305" s="364"/>
      <c r="HI305" s="364"/>
      <c r="HJ305" s="364"/>
      <c r="HK305" s="364"/>
      <c r="HL305" s="364"/>
    </row>
    <row r="306" spans="2:220" s="287" customFormat="1" ht="22.5" customHeight="1">
      <c r="B306" s="365">
        <v>250114</v>
      </c>
      <c r="C306" s="366" t="s">
        <v>14231</v>
      </c>
      <c r="D306" s="367"/>
      <c r="E306" s="368"/>
      <c r="F306" s="321" t="s">
        <v>250</v>
      </c>
      <c r="G306" s="326" t="s">
        <v>2173</v>
      </c>
      <c r="H306" s="326" t="s">
        <v>2174</v>
      </c>
      <c r="I306" s="326" t="s">
        <v>11</v>
      </c>
      <c r="J306" s="326" t="s">
        <v>12</v>
      </c>
      <c r="K306" s="326" t="s">
        <v>363</v>
      </c>
      <c r="L306" s="323"/>
      <c r="M306" s="374"/>
      <c r="N306" s="325" t="s">
        <v>1016</v>
      </c>
      <c r="O306" s="327" t="s">
        <v>210</v>
      </c>
      <c r="P306" s="327" t="s">
        <v>210</v>
      </c>
      <c r="Q306" s="369" t="s">
        <v>210</v>
      </c>
      <c r="R306" s="329" t="s">
        <v>632</v>
      </c>
      <c r="S306" s="330"/>
      <c r="T306" s="330"/>
      <c r="U306" s="330"/>
      <c r="V306" s="330"/>
      <c r="W306" s="332" t="s">
        <v>1019</v>
      </c>
      <c r="X306" s="331" t="s">
        <v>14232</v>
      </c>
      <c r="Y306" s="331" t="s">
        <v>14233</v>
      </c>
      <c r="Z306" s="330"/>
      <c r="AA306" s="331" t="s">
        <v>14234</v>
      </c>
      <c r="AB306" s="333"/>
      <c r="AC306" s="333"/>
      <c r="AD306" s="334" t="s">
        <v>2323</v>
      </c>
      <c r="AE306" s="395" t="s">
        <v>321</v>
      </c>
      <c r="AF306" s="336"/>
      <c r="AG306" s="337"/>
      <c r="AH306" s="417" t="s">
        <v>435</v>
      </c>
      <c r="AI306" s="392" t="s">
        <v>435</v>
      </c>
      <c r="AJ306" s="392" t="s">
        <v>435</v>
      </c>
      <c r="AK306" s="340" t="s">
        <v>435</v>
      </c>
      <c r="AL306" s="321" t="s">
        <v>210</v>
      </c>
      <c r="AM306" s="392" t="s">
        <v>15</v>
      </c>
      <c r="AN306" s="392" t="s">
        <v>15</v>
      </c>
      <c r="AO306" s="341" t="s">
        <v>15</v>
      </c>
      <c r="AP306" s="342"/>
      <c r="AQ306" s="343"/>
      <c r="AR306" s="370">
        <v>3808</v>
      </c>
      <c r="AS306" s="326">
        <v>100</v>
      </c>
      <c r="AT306" s="392">
        <v>1</v>
      </c>
      <c r="AU306" s="392"/>
      <c r="AV306" s="392">
        <v>1.8</v>
      </c>
      <c r="AW306" s="340"/>
      <c r="AX306" s="347"/>
      <c r="AY306" s="348"/>
      <c r="AZ306" s="377"/>
      <c r="BA306" s="374"/>
      <c r="BB306" s="374"/>
      <c r="BC306" s="374"/>
      <c r="BD306" s="374"/>
      <c r="BE306" s="374"/>
      <c r="BF306" s="374"/>
      <c r="BG306" s="374"/>
      <c r="BH306" s="378"/>
      <c r="BI306" s="376"/>
      <c r="BJ306" s="431">
        <v>1.05</v>
      </c>
      <c r="BK306" s="380"/>
      <c r="BL306" s="348"/>
      <c r="BM306" s="381"/>
      <c r="BN306" s="321" t="s">
        <v>983</v>
      </c>
      <c r="BO306" s="372"/>
      <c r="BP306" s="373" t="s">
        <v>983</v>
      </c>
      <c r="BQ306" s="360"/>
      <c r="BR306" s="361"/>
      <c r="BS306" s="361"/>
      <c r="BT306" s="361"/>
      <c r="BU306" s="342" t="s">
        <v>210</v>
      </c>
      <c r="BV306" s="342" t="s">
        <v>210</v>
      </c>
      <c r="BW306" s="341" t="s">
        <v>15</v>
      </c>
      <c r="BX306" s="361"/>
      <c r="BY306" s="362"/>
      <c r="BZ306" s="363"/>
      <c r="CA306" s="363"/>
      <c r="CB306" s="363"/>
      <c r="CC306" s="363"/>
      <c r="CD306" s="293"/>
      <c r="CE306" s="364"/>
      <c r="CF306" s="364"/>
      <c r="CG306" s="364"/>
      <c r="CH306" s="364"/>
      <c r="CI306" s="364"/>
      <c r="CJ306" s="364"/>
      <c r="CK306" s="364"/>
      <c r="CL306" s="364"/>
      <c r="CM306" s="364"/>
      <c r="CN306" s="364"/>
      <c r="CO306" s="364"/>
      <c r="CP306" s="364"/>
      <c r="CQ306" s="364"/>
      <c r="CR306" s="364"/>
      <c r="CS306" s="364"/>
      <c r="CT306" s="364"/>
      <c r="CU306" s="364"/>
      <c r="CV306" s="364"/>
      <c r="CW306" s="364"/>
      <c r="CX306" s="364"/>
      <c r="CY306" s="364"/>
      <c r="CZ306" s="364"/>
      <c r="DA306" s="364"/>
      <c r="DB306" s="364"/>
      <c r="DC306" s="364"/>
      <c r="DD306" s="364"/>
      <c r="DE306" s="364"/>
      <c r="DF306" s="364"/>
      <c r="DG306" s="364"/>
      <c r="DH306" s="364"/>
      <c r="DI306" s="364"/>
      <c r="DJ306" s="364"/>
      <c r="DK306" s="364"/>
      <c r="DL306" s="364"/>
      <c r="DM306" s="364"/>
      <c r="DN306" s="364"/>
      <c r="DO306" s="364"/>
      <c r="DP306" s="364"/>
      <c r="DQ306" s="364"/>
      <c r="DR306" s="364"/>
      <c r="DS306" s="364"/>
      <c r="DT306" s="364"/>
      <c r="DU306" s="364"/>
      <c r="DV306" s="364"/>
      <c r="DW306" s="364"/>
      <c r="DX306" s="364"/>
      <c r="DY306" s="364"/>
      <c r="DZ306" s="364"/>
      <c r="EA306" s="364"/>
      <c r="EB306" s="364"/>
      <c r="EC306" s="364"/>
      <c r="ED306" s="364"/>
      <c r="EE306" s="364"/>
      <c r="EF306" s="364"/>
      <c r="EG306" s="364"/>
      <c r="EH306" s="364"/>
      <c r="EI306" s="364"/>
      <c r="EJ306" s="364"/>
      <c r="EK306" s="364"/>
      <c r="EL306" s="364"/>
      <c r="EM306" s="364"/>
      <c r="EN306" s="364"/>
      <c r="EO306" s="364"/>
      <c r="EP306" s="364"/>
      <c r="EQ306" s="364"/>
      <c r="ER306" s="364"/>
      <c r="ES306" s="364"/>
      <c r="ET306" s="364"/>
      <c r="EU306" s="364"/>
      <c r="EV306" s="364"/>
      <c r="EW306" s="364"/>
      <c r="EX306" s="364"/>
      <c r="EY306" s="364"/>
      <c r="EZ306" s="364"/>
      <c r="FA306" s="364"/>
      <c r="FB306" s="364"/>
      <c r="FC306" s="364"/>
      <c r="FD306" s="364"/>
      <c r="FE306" s="364"/>
      <c r="FF306" s="364"/>
      <c r="FG306" s="364"/>
      <c r="FH306" s="364"/>
      <c r="FI306" s="364"/>
      <c r="FJ306" s="364"/>
      <c r="FK306" s="364"/>
      <c r="FL306" s="364"/>
      <c r="FM306" s="364"/>
      <c r="FN306" s="364"/>
      <c r="FO306" s="364"/>
      <c r="FP306" s="364"/>
      <c r="FQ306" s="364"/>
      <c r="FR306" s="364"/>
      <c r="FS306" s="364"/>
      <c r="FT306" s="364"/>
      <c r="FU306" s="364"/>
      <c r="FV306" s="364"/>
      <c r="FW306" s="364"/>
      <c r="FX306" s="364"/>
      <c r="FY306" s="364"/>
      <c r="FZ306" s="364"/>
      <c r="GA306" s="364"/>
      <c r="GB306" s="364"/>
      <c r="GC306" s="364"/>
      <c r="GD306" s="364"/>
      <c r="GE306" s="364"/>
      <c r="GF306" s="364"/>
      <c r="GG306" s="364"/>
      <c r="GH306" s="364"/>
      <c r="GI306" s="364"/>
      <c r="GJ306" s="364"/>
      <c r="GK306" s="364"/>
      <c r="GL306" s="364"/>
      <c r="GM306" s="364"/>
      <c r="GN306" s="364"/>
      <c r="GO306" s="364"/>
      <c r="GP306" s="364"/>
      <c r="GQ306" s="364"/>
      <c r="GR306" s="364"/>
      <c r="GS306" s="364"/>
      <c r="GT306" s="364"/>
      <c r="GU306" s="364"/>
      <c r="GV306" s="364"/>
      <c r="GW306" s="364"/>
      <c r="GX306" s="364"/>
      <c r="GY306" s="364"/>
      <c r="GZ306" s="364"/>
      <c r="HA306" s="364"/>
      <c r="HB306" s="364"/>
      <c r="HC306" s="364"/>
      <c r="HD306" s="364"/>
      <c r="HE306" s="364"/>
      <c r="HF306" s="364"/>
      <c r="HG306" s="364"/>
      <c r="HH306" s="364"/>
      <c r="HI306" s="364"/>
      <c r="HJ306" s="364"/>
      <c r="HK306" s="364"/>
      <c r="HL306" s="364"/>
    </row>
    <row r="307" spans="2:220" s="287" customFormat="1" ht="22.5" customHeight="1">
      <c r="B307" s="365">
        <v>250115</v>
      </c>
      <c r="C307" s="366" t="s">
        <v>13049</v>
      </c>
      <c r="D307" s="367"/>
      <c r="E307" s="368"/>
      <c r="F307" s="321" t="s">
        <v>233</v>
      </c>
      <c r="G307" s="326" t="s">
        <v>2171</v>
      </c>
      <c r="H307" s="326" t="s">
        <v>2172</v>
      </c>
      <c r="I307" s="326" t="s">
        <v>11</v>
      </c>
      <c r="J307" s="326" t="s">
        <v>21</v>
      </c>
      <c r="K307" s="326" t="s">
        <v>307</v>
      </c>
      <c r="L307" s="323"/>
      <c r="M307" s="374"/>
      <c r="N307" s="325" t="s">
        <v>438</v>
      </c>
      <c r="O307" s="326">
        <v>30</v>
      </c>
      <c r="P307" s="327">
        <v>956.66</v>
      </c>
      <c r="Q307" s="369">
        <v>496.28</v>
      </c>
      <c r="R307" s="329" t="s">
        <v>447</v>
      </c>
      <c r="S307" s="331" t="s">
        <v>13050</v>
      </c>
      <c r="T307" s="331" t="s">
        <v>11087</v>
      </c>
      <c r="U307" s="331" t="s">
        <v>16355</v>
      </c>
      <c r="V307" s="331" t="s">
        <v>13051</v>
      </c>
      <c r="W307" s="332" t="s">
        <v>432</v>
      </c>
      <c r="X307" s="331" t="s">
        <v>11079</v>
      </c>
      <c r="Y307" s="331" t="s">
        <v>11080</v>
      </c>
      <c r="Z307" s="331" t="s">
        <v>11080</v>
      </c>
      <c r="AA307" s="331" t="s">
        <v>210</v>
      </c>
      <c r="AB307" s="333"/>
      <c r="AC307" s="333"/>
      <c r="AD307" s="334" t="s">
        <v>272</v>
      </c>
      <c r="AE307" s="335" t="s">
        <v>330</v>
      </c>
      <c r="AF307" s="336"/>
      <c r="AG307" s="337"/>
      <c r="AH307" s="376"/>
      <c r="AI307" s="347"/>
      <c r="AJ307" s="347"/>
      <c r="AK307" s="371"/>
      <c r="AL307" s="321" t="s">
        <v>210</v>
      </c>
      <c r="AM307" s="392" t="s">
        <v>15</v>
      </c>
      <c r="AN307" s="392" t="s">
        <v>15</v>
      </c>
      <c r="AO307" s="341" t="s">
        <v>15</v>
      </c>
      <c r="AP307" s="342"/>
      <c r="AQ307" s="343"/>
      <c r="AR307" s="370">
        <v>602</v>
      </c>
      <c r="AS307" s="326">
        <v>150</v>
      </c>
      <c r="AT307" s="392">
        <v>0.8</v>
      </c>
      <c r="AU307" s="392"/>
      <c r="AV307" s="392">
        <v>0.8</v>
      </c>
      <c r="AW307" s="340"/>
      <c r="AX307" s="347"/>
      <c r="AY307" s="348"/>
      <c r="AZ307" s="377"/>
      <c r="BA307" s="374"/>
      <c r="BB307" s="374"/>
      <c r="BC307" s="374"/>
      <c r="BD307" s="374"/>
      <c r="BE307" s="374"/>
      <c r="BF307" s="374"/>
      <c r="BG307" s="374"/>
      <c r="BH307" s="378"/>
      <c r="BI307" s="376"/>
      <c r="BJ307" s="379"/>
      <c r="BK307" s="380"/>
      <c r="BL307" s="348"/>
      <c r="BM307" s="381"/>
      <c r="BN307" s="321" t="s">
        <v>983</v>
      </c>
      <c r="BO307" s="372"/>
      <c r="BP307" s="373" t="s">
        <v>983</v>
      </c>
      <c r="BQ307" s="360"/>
      <c r="BR307" s="361"/>
      <c r="BS307" s="361"/>
      <c r="BT307" s="361"/>
      <c r="BU307" s="342" t="s">
        <v>210</v>
      </c>
      <c r="BV307" s="342" t="s">
        <v>210</v>
      </c>
      <c r="BW307" s="341" t="s">
        <v>15</v>
      </c>
      <c r="BX307" s="361"/>
      <c r="BY307" s="362"/>
      <c r="BZ307" s="363"/>
      <c r="CA307" s="363"/>
      <c r="CB307" s="363"/>
      <c r="CC307" s="363"/>
      <c r="CD307" s="293"/>
      <c r="CE307" s="364"/>
      <c r="CF307" s="364"/>
      <c r="CG307" s="364"/>
      <c r="CH307" s="364"/>
      <c r="CI307" s="364"/>
      <c r="CJ307" s="364"/>
      <c r="CK307" s="364"/>
      <c r="CL307" s="364"/>
      <c r="CM307" s="364"/>
      <c r="CN307" s="364"/>
      <c r="CO307" s="364"/>
      <c r="CP307" s="364"/>
      <c r="CQ307" s="364"/>
      <c r="CR307" s="364"/>
      <c r="CS307" s="364"/>
      <c r="CT307" s="364"/>
      <c r="CU307" s="364"/>
      <c r="CV307" s="364"/>
      <c r="CW307" s="364"/>
      <c r="CX307" s="364"/>
      <c r="CY307" s="364"/>
      <c r="CZ307" s="364"/>
      <c r="DA307" s="364"/>
      <c r="DB307" s="364"/>
      <c r="DC307" s="364"/>
      <c r="DD307" s="364"/>
      <c r="DE307" s="364"/>
      <c r="DF307" s="364"/>
      <c r="DG307" s="364"/>
      <c r="DH307" s="364"/>
      <c r="DI307" s="364"/>
      <c r="DJ307" s="364"/>
      <c r="DK307" s="364"/>
      <c r="DL307" s="364"/>
      <c r="DM307" s="364"/>
      <c r="DN307" s="364"/>
      <c r="DO307" s="364"/>
      <c r="DP307" s="364"/>
      <c r="DQ307" s="364"/>
      <c r="DR307" s="364"/>
      <c r="DS307" s="364"/>
      <c r="DT307" s="364"/>
      <c r="DU307" s="364"/>
      <c r="DV307" s="364"/>
      <c r="DW307" s="364"/>
      <c r="DX307" s="364"/>
      <c r="DY307" s="364"/>
      <c r="DZ307" s="364"/>
      <c r="EA307" s="364"/>
      <c r="EB307" s="364"/>
      <c r="EC307" s="364"/>
      <c r="ED307" s="364"/>
      <c r="EE307" s="364"/>
      <c r="EF307" s="364"/>
      <c r="EG307" s="364"/>
      <c r="EH307" s="364"/>
      <c r="EI307" s="364"/>
      <c r="EJ307" s="364"/>
      <c r="EK307" s="364"/>
      <c r="EL307" s="364"/>
      <c r="EM307" s="364"/>
      <c r="EN307" s="364"/>
      <c r="EO307" s="364"/>
      <c r="EP307" s="364"/>
      <c r="EQ307" s="364"/>
      <c r="ER307" s="364"/>
      <c r="ES307" s="364"/>
      <c r="ET307" s="364"/>
      <c r="EU307" s="364"/>
      <c r="EV307" s="364"/>
      <c r="EW307" s="364"/>
      <c r="EX307" s="364"/>
      <c r="EY307" s="364"/>
      <c r="EZ307" s="364"/>
      <c r="FA307" s="364"/>
      <c r="FB307" s="364"/>
      <c r="FC307" s="364"/>
      <c r="FD307" s="364"/>
      <c r="FE307" s="364"/>
      <c r="FF307" s="364"/>
      <c r="FG307" s="364"/>
      <c r="FH307" s="364"/>
      <c r="FI307" s="364"/>
      <c r="FJ307" s="364"/>
      <c r="FK307" s="364"/>
      <c r="FL307" s="364"/>
      <c r="FM307" s="364"/>
      <c r="FN307" s="364"/>
      <c r="FO307" s="364"/>
      <c r="FP307" s="364"/>
      <c r="FQ307" s="364"/>
      <c r="FR307" s="364"/>
      <c r="FS307" s="364"/>
      <c r="FT307" s="364"/>
      <c r="FU307" s="364"/>
      <c r="FV307" s="364"/>
      <c r="FW307" s="364"/>
      <c r="FX307" s="364"/>
      <c r="FY307" s="364"/>
      <c r="FZ307" s="364"/>
      <c r="GA307" s="364"/>
      <c r="GB307" s="364"/>
      <c r="GC307" s="364"/>
      <c r="GD307" s="364"/>
      <c r="GE307" s="364"/>
      <c r="GF307" s="364"/>
      <c r="GG307" s="364"/>
      <c r="GH307" s="364"/>
      <c r="GI307" s="364"/>
      <c r="GJ307" s="364"/>
      <c r="GK307" s="364"/>
      <c r="GL307" s="364"/>
      <c r="GM307" s="364"/>
      <c r="GN307" s="364"/>
      <c r="GO307" s="364"/>
      <c r="GP307" s="364"/>
      <c r="GQ307" s="364"/>
      <c r="GR307" s="364"/>
      <c r="GS307" s="364"/>
      <c r="GT307" s="364"/>
      <c r="GU307" s="364"/>
      <c r="GV307" s="364"/>
      <c r="GW307" s="364"/>
      <c r="GX307" s="364"/>
      <c r="GY307" s="364"/>
      <c r="GZ307" s="364"/>
      <c r="HA307" s="364"/>
      <c r="HB307" s="364"/>
      <c r="HC307" s="364"/>
      <c r="HD307" s="364"/>
      <c r="HE307" s="364"/>
      <c r="HF307" s="364"/>
      <c r="HG307" s="364"/>
      <c r="HH307" s="364"/>
      <c r="HI307" s="364"/>
      <c r="HJ307" s="364"/>
      <c r="HK307" s="364"/>
      <c r="HL307" s="364"/>
    </row>
    <row r="308" spans="2:220" s="287" customFormat="1" ht="22.5" customHeight="1">
      <c r="B308" s="365">
        <v>250116</v>
      </c>
      <c r="C308" s="366" t="s">
        <v>14230</v>
      </c>
      <c r="D308" s="367"/>
      <c r="E308" s="368"/>
      <c r="F308" s="321" t="s">
        <v>352</v>
      </c>
      <c r="G308" s="326" t="s">
        <v>2099</v>
      </c>
      <c r="H308" s="326" t="s">
        <v>2100</v>
      </c>
      <c r="I308" s="326" t="s">
        <v>11</v>
      </c>
      <c r="J308" s="326" t="s">
        <v>214</v>
      </c>
      <c r="K308" s="326" t="s">
        <v>376</v>
      </c>
      <c r="L308" s="323"/>
      <c r="M308" s="374"/>
      <c r="N308" s="325" t="s">
        <v>437</v>
      </c>
      <c r="O308" s="327" t="s">
        <v>210</v>
      </c>
      <c r="P308" s="327" t="s">
        <v>210</v>
      </c>
      <c r="Q308" s="369" t="s">
        <v>210</v>
      </c>
      <c r="R308" s="399"/>
      <c r="S308" s="400"/>
      <c r="T308" s="400"/>
      <c r="U308" s="400"/>
      <c r="V308" s="400"/>
      <c r="W308" s="645"/>
      <c r="X308" s="400"/>
      <c r="Y308" s="400"/>
      <c r="Z308" s="400"/>
      <c r="AA308" s="400"/>
      <c r="AB308" s="333"/>
      <c r="AC308" s="333"/>
      <c r="AD308" s="396" t="s">
        <v>332</v>
      </c>
      <c r="AE308" s="335" t="s">
        <v>309</v>
      </c>
      <c r="AF308" s="336"/>
      <c r="AG308" s="337"/>
      <c r="AH308" s="417" t="s">
        <v>435</v>
      </c>
      <c r="AI308" s="392" t="s">
        <v>435</v>
      </c>
      <c r="AJ308" s="392" t="s">
        <v>435</v>
      </c>
      <c r="AK308" s="340" t="s">
        <v>435</v>
      </c>
      <c r="AL308" s="321" t="s">
        <v>210</v>
      </c>
      <c r="AM308" s="392" t="s">
        <v>15</v>
      </c>
      <c r="AN308" s="392" t="s">
        <v>15</v>
      </c>
      <c r="AO308" s="341" t="s">
        <v>15</v>
      </c>
      <c r="AP308" s="342"/>
      <c r="AQ308" s="343"/>
      <c r="AR308" s="370">
        <v>753</v>
      </c>
      <c r="AS308" s="326">
        <v>100</v>
      </c>
      <c r="AT308" s="392">
        <v>1</v>
      </c>
      <c r="AU308" s="392"/>
      <c r="AV308" s="392">
        <v>1.5</v>
      </c>
      <c r="AW308" s="340"/>
      <c r="AX308" s="347"/>
      <c r="AY308" s="348"/>
      <c r="AZ308" s="377"/>
      <c r="BA308" s="374"/>
      <c r="BB308" s="374"/>
      <c r="BC308" s="374"/>
      <c r="BD308" s="374"/>
      <c r="BE308" s="374"/>
      <c r="BF308" s="374"/>
      <c r="BG308" s="374"/>
      <c r="BH308" s="378"/>
      <c r="BI308" s="376"/>
      <c r="BJ308" s="379"/>
      <c r="BK308" s="380"/>
      <c r="BL308" s="348"/>
      <c r="BM308" s="381"/>
      <c r="BN308" s="321" t="s">
        <v>983</v>
      </c>
      <c r="BO308" s="372"/>
      <c r="BP308" s="373" t="s">
        <v>983</v>
      </c>
      <c r="BQ308" s="360"/>
      <c r="BR308" s="361"/>
      <c r="BS308" s="361"/>
      <c r="BT308" s="361"/>
      <c r="BU308" s="342" t="s">
        <v>210</v>
      </c>
      <c r="BV308" s="342" t="s">
        <v>210</v>
      </c>
      <c r="BW308" s="341" t="s">
        <v>15</v>
      </c>
      <c r="BX308" s="361"/>
      <c r="BY308" s="362"/>
      <c r="BZ308" s="363"/>
      <c r="CA308" s="363"/>
      <c r="CB308" s="363"/>
      <c r="CC308" s="363"/>
      <c r="CD308" s="293"/>
      <c r="CE308" s="364"/>
      <c r="CF308" s="364"/>
      <c r="CG308" s="364"/>
      <c r="CH308" s="364"/>
      <c r="CI308" s="364"/>
      <c r="CJ308" s="364"/>
      <c r="CK308" s="364"/>
      <c r="CL308" s="364"/>
      <c r="CM308" s="364"/>
      <c r="CN308" s="364"/>
      <c r="CO308" s="364"/>
      <c r="CP308" s="364"/>
      <c r="CQ308" s="364"/>
      <c r="CR308" s="364"/>
      <c r="CS308" s="364"/>
      <c r="CT308" s="364"/>
      <c r="CU308" s="364"/>
      <c r="CV308" s="364"/>
      <c r="CW308" s="364"/>
      <c r="CX308" s="364"/>
      <c r="CY308" s="364"/>
      <c r="CZ308" s="364"/>
      <c r="DA308" s="364"/>
      <c r="DB308" s="364"/>
      <c r="DC308" s="364"/>
      <c r="DD308" s="364"/>
      <c r="DE308" s="364"/>
      <c r="DF308" s="364"/>
      <c r="DG308" s="364"/>
      <c r="DH308" s="364"/>
      <c r="DI308" s="364"/>
      <c r="DJ308" s="364"/>
      <c r="DK308" s="364"/>
      <c r="DL308" s="364"/>
      <c r="DM308" s="364"/>
      <c r="DN308" s="364"/>
      <c r="DO308" s="364"/>
      <c r="DP308" s="364"/>
      <c r="DQ308" s="364"/>
      <c r="DR308" s="364"/>
      <c r="DS308" s="364"/>
      <c r="DT308" s="364"/>
      <c r="DU308" s="364"/>
      <c r="DV308" s="364"/>
      <c r="DW308" s="364"/>
      <c r="DX308" s="364"/>
      <c r="DY308" s="364"/>
      <c r="DZ308" s="364"/>
      <c r="EA308" s="364"/>
      <c r="EB308" s="364"/>
      <c r="EC308" s="364"/>
      <c r="ED308" s="364"/>
      <c r="EE308" s="364"/>
      <c r="EF308" s="364"/>
      <c r="EG308" s="364"/>
      <c r="EH308" s="364"/>
      <c r="EI308" s="364"/>
      <c r="EJ308" s="364"/>
      <c r="EK308" s="364"/>
      <c r="EL308" s="364"/>
      <c r="EM308" s="364"/>
      <c r="EN308" s="364"/>
      <c r="EO308" s="364"/>
      <c r="EP308" s="364"/>
      <c r="EQ308" s="364"/>
      <c r="ER308" s="364"/>
      <c r="ES308" s="364"/>
      <c r="ET308" s="364"/>
      <c r="EU308" s="364"/>
      <c r="EV308" s="364"/>
      <c r="EW308" s="364"/>
      <c r="EX308" s="364"/>
      <c r="EY308" s="364"/>
      <c r="EZ308" s="364"/>
      <c r="FA308" s="364"/>
      <c r="FB308" s="364"/>
      <c r="FC308" s="364"/>
      <c r="FD308" s="364"/>
      <c r="FE308" s="364"/>
      <c r="FF308" s="364"/>
      <c r="FG308" s="364"/>
      <c r="FH308" s="364"/>
      <c r="FI308" s="364"/>
      <c r="FJ308" s="364"/>
      <c r="FK308" s="364"/>
      <c r="FL308" s="364"/>
      <c r="FM308" s="364"/>
      <c r="FN308" s="364"/>
      <c r="FO308" s="364"/>
      <c r="FP308" s="364"/>
      <c r="FQ308" s="364"/>
      <c r="FR308" s="364"/>
      <c r="FS308" s="364"/>
      <c r="FT308" s="364"/>
      <c r="FU308" s="364"/>
      <c r="FV308" s="364"/>
      <c r="FW308" s="364"/>
      <c r="FX308" s="364"/>
      <c r="FY308" s="364"/>
      <c r="FZ308" s="364"/>
      <c r="GA308" s="364"/>
      <c r="GB308" s="364"/>
      <c r="GC308" s="364"/>
      <c r="GD308" s="364"/>
      <c r="GE308" s="364"/>
      <c r="GF308" s="364"/>
      <c r="GG308" s="364"/>
      <c r="GH308" s="364"/>
      <c r="GI308" s="364"/>
      <c r="GJ308" s="364"/>
      <c r="GK308" s="364"/>
      <c r="GL308" s="364"/>
      <c r="GM308" s="364"/>
      <c r="GN308" s="364"/>
      <c r="GO308" s="364"/>
      <c r="GP308" s="364"/>
      <c r="GQ308" s="364"/>
      <c r="GR308" s="364"/>
      <c r="GS308" s="364"/>
      <c r="GT308" s="364"/>
      <c r="GU308" s="364"/>
      <c r="GV308" s="364"/>
      <c r="GW308" s="364"/>
      <c r="GX308" s="364"/>
      <c r="GY308" s="364"/>
      <c r="GZ308" s="364"/>
      <c r="HA308" s="364"/>
      <c r="HB308" s="364"/>
      <c r="HC308" s="364"/>
      <c r="HD308" s="364"/>
      <c r="HE308" s="364"/>
      <c r="HF308" s="364"/>
      <c r="HG308" s="364"/>
      <c r="HH308" s="364"/>
      <c r="HI308" s="364"/>
      <c r="HJ308" s="364"/>
      <c r="HK308" s="364"/>
      <c r="HL308" s="364"/>
    </row>
    <row r="309" spans="2:220" s="287" customFormat="1" ht="22.5" customHeight="1">
      <c r="B309" s="365">
        <v>250117</v>
      </c>
      <c r="C309" s="366" t="s">
        <v>255</v>
      </c>
      <c r="D309" s="367"/>
      <c r="E309" s="368"/>
      <c r="F309" s="321" t="s">
        <v>304</v>
      </c>
      <c r="G309" s="326" t="s">
        <v>2169</v>
      </c>
      <c r="H309" s="326" t="s">
        <v>2170</v>
      </c>
      <c r="I309" s="326" t="s">
        <v>11</v>
      </c>
      <c r="J309" s="326" t="s">
        <v>12</v>
      </c>
      <c r="K309" s="326" t="s">
        <v>363</v>
      </c>
      <c r="L309" s="323"/>
      <c r="M309" s="374"/>
      <c r="N309" s="325" t="s">
        <v>437</v>
      </c>
      <c r="O309" s="326" t="s">
        <v>1014</v>
      </c>
      <c r="P309" s="327" t="s">
        <v>1014</v>
      </c>
      <c r="Q309" s="369" t="s">
        <v>1014</v>
      </c>
      <c r="R309" s="329" t="s">
        <v>1020</v>
      </c>
      <c r="S309" s="330"/>
      <c r="T309" s="330"/>
      <c r="U309" s="330"/>
      <c r="V309" s="330"/>
      <c r="W309" s="332" t="s">
        <v>1114</v>
      </c>
      <c r="X309" s="332" t="s">
        <v>13835</v>
      </c>
      <c r="Y309" s="332" t="s">
        <v>11625</v>
      </c>
      <c r="Z309" s="332" t="s">
        <v>16479</v>
      </c>
      <c r="AA309" s="332" t="s">
        <v>11627</v>
      </c>
      <c r="AB309" s="333" t="s">
        <v>3028</v>
      </c>
      <c r="AC309" s="333"/>
      <c r="AD309" s="334" t="s">
        <v>305</v>
      </c>
      <c r="AE309" s="335" t="s">
        <v>309</v>
      </c>
      <c r="AF309" s="336"/>
      <c r="AG309" s="337"/>
      <c r="AH309" s="417" t="s">
        <v>435</v>
      </c>
      <c r="AI309" s="392" t="s">
        <v>435</v>
      </c>
      <c r="AJ309" s="392" t="s">
        <v>435</v>
      </c>
      <c r="AK309" s="340" t="s">
        <v>435</v>
      </c>
      <c r="AL309" s="321" t="s">
        <v>210</v>
      </c>
      <c r="AM309" s="392" t="s">
        <v>15</v>
      </c>
      <c r="AN309" s="392" t="s">
        <v>15</v>
      </c>
      <c r="AO309" s="341" t="s">
        <v>15</v>
      </c>
      <c r="AP309" s="342"/>
      <c r="AQ309" s="343"/>
      <c r="AR309" s="370">
        <v>498</v>
      </c>
      <c r="AS309" s="326">
        <v>80</v>
      </c>
      <c r="AT309" s="392">
        <v>1</v>
      </c>
      <c r="AU309" s="392"/>
      <c r="AV309" s="392">
        <v>1.5</v>
      </c>
      <c r="AW309" s="340"/>
      <c r="AX309" s="347"/>
      <c r="AY309" s="348"/>
      <c r="AZ309" s="377"/>
      <c r="BA309" s="374"/>
      <c r="BB309" s="374"/>
      <c r="BC309" s="374"/>
      <c r="BD309" s="374"/>
      <c r="BE309" s="374"/>
      <c r="BF309" s="374"/>
      <c r="BG309" s="374"/>
      <c r="BH309" s="378"/>
      <c r="BI309" s="376"/>
      <c r="BJ309" s="379"/>
      <c r="BK309" s="380"/>
      <c r="BL309" s="348"/>
      <c r="BM309" s="381"/>
      <c r="BN309" s="321" t="s">
        <v>983</v>
      </c>
      <c r="BO309" s="372"/>
      <c r="BP309" s="373" t="s">
        <v>983</v>
      </c>
      <c r="BQ309" s="360"/>
      <c r="BR309" s="361"/>
      <c r="BS309" s="361"/>
      <c r="BT309" s="361"/>
      <c r="BU309" s="342" t="s">
        <v>210</v>
      </c>
      <c r="BV309" s="342" t="s">
        <v>210</v>
      </c>
      <c r="BW309" s="341" t="s">
        <v>15</v>
      </c>
      <c r="BX309" s="361"/>
      <c r="BY309" s="362"/>
      <c r="BZ309" s="363"/>
      <c r="CA309" s="363"/>
      <c r="CB309" s="363"/>
      <c r="CC309" s="363"/>
      <c r="CD309" s="293"/>
      <c r="CE309" s="364"/>
      <c r="CF309" s="364"/>
      <c r="CG309" s="364"/>
      <c r="CH309" s="364"/>
      <c r="CI309" s="364"/>
      <c r="CJ309" s="364"/>
      <c r="CK309" s="364"/>
      <c r="CL309" s="364"/>
      <c r="CM309" s="364"/>
      <c r="CN309" s="364"/>
      <c r="CO309" s="364"/>
      <c r="CP309" s="364"/>
      <c r="CQ309" s="364"/>
      <c r="CR309" s="364"/>
      <c r="CS309" s="364"/>
      <c r="CT309" s="364"/>
      <c r="CU309" s="364"/>
      <c r="CV309" s="364"/>
      <c r="CW309" s="364"/>
      <c r="CX309" s="364"/>
      <c r="CY309" s="364"/>
      <c r="CZ309" s="364"/>
      <c r="DA309" s="364"/>
      <c r="DB309" s="364"/>
      <c r="DC309" s="364"/>
      <c r="DD309" s="364"/>
      <c r="DE309" s="364"/>
      <c r="DF309" s="364"/>
      <c r="DG309" s="364"/>
      <c r="DH309" s="364"/>
      <c r="DI309" s="364"/>
      <c r="DJ309" s="364"/>
      <c r="DK309" s="364"/>
      <c r="DL309" s="364"/>
      <c r="DM309" s="364"/>
      <c r="DN309" s="364"/>
      <c r="DO309" s="364"/>
      <c r="DP309" s="364"/>
      <c r="DQ309" s="364"/>
      <c r="DR309" s="364"/>
      <c r="DS309" s="364"/>
      <c r="DT309" s="364"/>
      <c r="DU309" s="364"/>
      <c r="DV309" s="364"/>
      <c r="DW309" s="364"/>
      <c r="DX309" s="364"/>
      <c r="DY309" s="364"/>
      <c r="DZ309" s="364"/>
      <c r="EA309" s="364"/>
      <c r="EB309" s="364"/>
      <c r="EC309" s="364"/>
      <c r="ED309" s="364"/>
      <c r="EE309" s="364"/>
      <c r="EF309" s="364"/>
      <c r="EG309" s="364"/>
      <c r="EH309" s="364"/>
      <c r="EI309" s="364"/>
      <c r="EJ309" s="364"/>
      <c r="EK309" s="364"/>
      <c r="EL309" s="364"/>
      <c r="EM309" s="364"/>
      <c r="EN309" s="364"/>
      <c r="EO309" s="364"/>
      <c r="EP309" s="364"/>
      <c r="EQ309" s="364"/>
      <c r="ER309" s="364"/>
      <c r="ES309" s="364"/>
      <c r="ET309" s="364"/>
      <c r="EU309" s="364"/>
      <c r="EV309" s="364"/>
      <c r="EW309" s="364"/>
      <c r="EX309" s="364"/>
      <c r="EY309" s="364"/>
      <c r="EZ309" s="364"/>
      <c r="FA309" s="364"/>
      <c r="FB309" s="364"/>
      <c r="FC309" s="364"/>
      <c r="FD309" s="364"/>
      <c r="FE309" s="364"/>
      <c r="FF309" s="364"/>
      <c r="FG309" s="364"/>
      <c r="FH309" s="364"/>
      <c r="FI309" s="364"/>
      <c r="FJ309" s="364"/>
      <c r="FK309" s="364"/>
      <c r="FL309" s="364"/>
      <c r="FM309" s="364"/>
      <c r="FN309" s="364"/>
      <c r="FO309" s="364"/>
      <c r="FP309" s="364"/>
      <c r="FQ309" s="364"/>
      <c r="FR309" s="364"/>
      <c r="FS309" s="364"/>
      <c r="FT309" s="364"/>
      <c r="FU309" s="364"/>
      <c r="FV309" s="364"/>
      <c r="FW309" s="364"/>
      <c r="FX309" s="364"/>
      <c r="FY309" s="364"/>
      <c r="FZ309" s="364"/>
      <c r="GA309" s="364"/>
      <c r="GB309" s="364"/>
      <c r="GC309" s="364"/>
      <c r="GD309" s="364"/>
      <c r="GE309" s="364"/>
      <c r="GF309" s="364"/>
      <c r="GG309" s="364"/>
      <c r="GH309" s="364"/>
      <c r="GI309" s="364"/>
      <c r="GJ309" s="364"/>
      <c r="GK309" s="364"/>
      <c r="GL309" s="364"/>
      <c r="GM309" s="364"/>
      <c r="GN309" s="364"/>
      <c r="GO309" s="364"/>
      <c r="GP309" s="364"/>
      <c r="GQ309" s="364"/>
      <c r="GR309" s="364"/>
      <c r="GS309" s="364"/>
      <c r="GT309" s="364"/>
      <c r="GU309" s="364"/>
      <c r="GV309" s="364"/>
      <c r="GW309" s="364"/>
      <c r="GX309" s="364"/>
      <c r="GY309" s="364"/>
      <c r="GZ309" s="364"/>
      <c r="HA309" s="364"/>
      <c r="HB309" s="364"/>
      <c r="HC309" s="364"/>
      <c r="HD309" s="364"/>
      <c r="HE309" s="364"/>
      <c r="HF309" s="364"/>
      <c r="HG309" s="364"/>
      <c r="HH309" s="364"/>
      <c r="HI309" s="364"/>
      <c r="HJ309" s="364"/>
      <c r="HK309" s="364"/>
      <c r="HL309" s="364"/>
    </row>
    <row r="310" spans="2:220" s="287" customFormat="1" ht="22.5" customHeight="1">
      <c r="B310" s="365">
        <v>250118</v>
      </c>
      <c r="C310" s="366" t="s">
        <v>14225</v>
      </c>
      <c r="D310" s="367"/>
      <c r="E310" s="368"/>
      <c r="F310" s="321" t="s">
        <v>375</v>
      </c>
      <c r="G310" s="326" t="s">
        <v>2131</v>
      </c>
      <c r="H310" s="326" t="s">
        <v>2168</v>
      </c>
      <c r="I310" s="326" t="s">
        <v>11</v>
      </c>
      <c r="J310" s="326" t="s">
        <v>12</v>
      </c>
      <c r="K310" s="326" t="s">
        <v>324</v>
      </c>
      <c r="L310" s="323"/>
      <c r="M310" s="374"/>
      <c r="N310" s="325" t="s">
        <v>437</v>
      </c>
      <c r="O310" s="326" t="s">
        <v>1014</v>
      </c>
      <c r="P310" s="327">
        <v>524.24</v>
      </c>
      <c r="Q310" s="369">
        <v>524.24</v>
      </c>
      <c r="R310" s="329" t="s">
        <v>1139</v>
      </c>
      <c r="S310" s="330"/>
      <c r="T310" s="330"/>
      <c r="U310" s="330"/>
      <c r="V310" s="330"/>
      <c r="W310" s="332" t="s">
        <v>1021</v>
      </c>
      <c r="X310" s="331" t="s">
        <v>14227</v>
      </c>
      <c r="Y310" s="331" t="s">
        <v>14228</v>
      </c>
      <c r="Z310" s="331" t="s">
        <v>16533</v>
      </c>
      <c r="AA310" s="331" t="s">
        <v>14226</v>
      </c>
      <c r="AB310" s="333" t="s">
        <v>14229</v>
      </c>
      <c r="AC310" s="333"/>
      <c r="AD310" s="334" t="s">
        <v>866</v>
      </c>
      <c r="AE310" s="335" t="s">
        <v>309</v>
      </c>
      <c r="AF310" s="336"/>
      <c r="AG310" s="337"/>
      <c r="AH310" s="417" t="s">
        <v>435</v>
      </c>
      <c r="AI310" s="392" t="s">
        <v>435</v>
      </c>
      <c r="AJ310" s="392" t="s">
        <v>435</v>
      </c>
      <c r="AK310" s="340" t="s">
        <v>435</v>
      </c>
      <c r="AL310" s="321" t="s">
        <v>210</v>
      </c>
      <c r="AM310" s="392" t="s">
        <v>15</v>
      </c>
      <c r="AN310" s="392" t="s">
        <v>15</v>
      </c>
      <c r="AO310" s="341" t="s">
        <v>15</v>
      </c>
      <c r="AP310" s="342"/>
      <c r="AQ310" s="343"/>
      <c r="AR310" s="370">
        <v>570</v>
      </c>
      <c r="AS310" s="326">
        <v>100</v>
      </c>
      <c r="AT310" s="392">
        <v>1</v>
      </c>
      <c r="AU310" s="392"/>
      <c r="AV310" s="392">
        <v>0.9</v>
      </c>
      <c r="AW310" s="340"/>
      <c r="AX310" s="347"/>
      <c r="AY310" s="348"/>
      <c r="AZ310" s="377"/>
      <c r="BA310" s="374"/>
      <c r="BB310" s="374"/>
      <c r="BC310" s="374"/>
      <c r="BD310" s="374"/>
      <c r="BE310" s="374"/>
      <c r="BF310" s="374"/>
      <c r="BG310" s="374"/>
      <c r="BH310" s="378"/>
      <c r="BI310" s="376"/>
      <c r="BJ310" s="379"/>
      <c r="BK310" s="380"/>
      <c r="BL310" s="348"/>
      <c r="BM310" s="381"/>
      <c r="BN310" s="321" t="s">
        <v>983</v>
      </c>
      <c r="BO310" s="372">
        <v>1.6</v>
      </c>
      <c r="BP310" s="373" t="s">
        <v>15</v>
      </c>
      <c r="BQ310" s="360"/>
      <c r="BR310" s="361"/>
      <c r="BS310" s="361"/>
      <c r="BT310" s="361"/>
      <c r="BU310" s="342" t="s">
        <v>210</v>
      </c>
      <c r="BV310" s="342" t="s">
        <v>210</v>
      </c>
      <c r="BW310" s="341" t="s">
        <v>15</v>
      </c>
      <c r="BX310" s="361"/>
      <c r="BY310" s="362"/>
      <c r="BZ310" s="363"/>
      <c r="CA310" s="363"/>
      <c r="CB310" s="363"/>
      <c r="CC310" s="363"/>
      <c r="CD310" s="293"/>
      <c r="CE310" s="364"/>
      <c r="CF310" s="364"/>
      <c r="CG310" s="364"/>
      <c r="CH310" s="364"/>
      <c r="CI310" s="364"/>
      <c r="CJ310" s="364"/>
      <c r="CK310" s="364"/>
      <c r="CL310" s="364"/>
      <c r="CM310" s="364"/>
      <c r="CN310" s="364"/>
      <c r="CO310" s="364"/>
      <c r="CP310" s="364"/>
      <c r="CQ310" s="364"/>
      <c r="CR310" s="364"/>
      <c r="CS310" s="364"/>
      <c r="CT310" s="364"/>
      <c r="CU310" s="364"/>
      <c r="CV310" s="364"/>
      <c r="CW310" s="364"/>
      <c r="CX310" s="364"/>
      <c r="CY310" s="364"/>
      <c r="CZ310" s="364"/>
      <c r="DA310" s="364"/>
      <c r="DB310" s="364"/>
      <c r="DC310" s="364"/>
      <c r="DD310" s="364"/>
      <c r="DE310" s="364"/>
      <c r="DF310" s="364"/>
      <c r="DG310" s="364"/>
      <c r="DH310" s="364"/>
      <c r="DI310" s="364"/>
      <c r="DJ310" s="364"/>
      <c r="DK310" s="364"/>
      <c r="DL310" s="364"/>
      <c r="DM310" s="364"/>
      <c r="DN310" s="364"/>
      <c r="DO310" s="364"/>
      <c r="DP310" s="364"/>
      <c r="DQ310" s="364"/>
      <c r="DR310" s="364"/>
      <c r="DS310" s="364"/>
      <c r="DT310" s="364"/>
      <c r="DU310" s="364"/>
      <c r="DV310" s="364"/>
      <c r="DW310" s="364"/>
      <c r="DX310" s="364"/>
      <c r="DY310" s="364"/>
      <c r="DZ310" s="364"/>
      <c r="EA310" s="364"/>
      <c r="EB310" s="364"/>
      <c r="EC310" s="364"/>
      <c r="ED310" s="364"/>
      <c r="EE310" s="364"/>
      <c r="EF310" s="364"/>
      <c r="EG310" s="364"/>
      <c r="EH310" s="364"/>
      <c r="EI310" s="364"/>
      <c r="EJ310" s="364"/>
      <c r="EK310" s="364"/>
      <c r="EL310" s="364"/>
      <c r="EM310" s="364"/>
      <c r="EN310" s="364"/>
      <c r="EO310" s="364"/>
      <c r="EP310" s="364"/>
      <c r="EQ310" s="364"/>
      <c r="ER310" s="364"/>
      <c r="ES310" s="364"/>
      <c r="ET310" s="364"/>
      <c r="EU310" s="364"/>
      <c r="EV310" s="364"/>
      <c r="EW310" s="364"/>
      <c r="EX310" s="364"/>
      <c r="EY310" s="364"/>
      <c r="EZ310" s="364"/>
      <c r="FA310" s="364"/>
      <c r="FB310" s="364"/>
      <c r="FC310" s="364"/>
      <c r="FD310" s="364"/>
      <c r="FE310" s="364"/>
      <c r="FF310" s="364"/>
      <c r="FG310" s="364"/>
      <c r="FH310" s="364"/>
      <c r="FI310" s="364"/>
      <c r="FJ310" s="364"/>
      <c r="FK310" s="364"/>
      <c r="FL310" s="364"/>
      <c r="FM310" s="364"/>
      <c r="FN310" s="364"/>
      <c r="FO310" s="364"/>
      <c r="FP310" s="364"/>
      <c r="FQ310" s="364"/>
      <c r="FR310" s="364"/>
      <c r="FS310" s="364"/>
      <c r="FT310" s="364"/>
      <c r="FU310" s="364"/>
      <c r="FV310" s="364"/>
      <c r="FW310" s="364"/>
      <c r="FX310" s="364"/>
      <c r="FY310" s="364"/>
      <c r="FZ310" s="364"/>
      <c r="GA310" s="364"/>
      <c r="GB310" s="364"/>
      <c r="GC310" s="364"/>
      <c r="GD310" s="364"/>
      <c r="GE310" s="364"/>
      <c r="GF310" s="364"/>
      <c r="GG310" s="364"/>
      <c r="GH310" s="364"/>
      <c r="GI310" s="364"/>
      <c r="GJ310" s="364"/>
      <c r="GK310" s="364"/>
      <c r="GL310" s="364"/>
      <c r="GM310" s="364"/>
      <c r="GN310" s="364"/>
      <c r="GO310" s="364"/>
      <c r="GP310" s="364"/>
      <c r="GQ310" s="364"/>
      <c r="GR310" s="364"/>
      <c r="GS310" s="364"/>
      <c r="GT310" s="364"/>
      <c r="GU310" s="364"/>
      <c r="GV310" s="364"/>
      <c r="GW310" s="364"/>
      <c r="GX310" s="364"/>
      <c r="GY310" s="364"/>
      <c r="GZ310" s="364"/>
      <c r="HA310" s="364"/>
      <c r="HB310" s="364"/>
      <c r="HC310" s="364"/>
      <c r="HD310" s="364"/>
      <c r="HE310" s="364"/>
      <c r="HF310" s="364"/>
      <c r="HG310" s="364"/>
      <c r="HH310" s="364"/>
      <c r="HI310" s="364"/>
      <c r="HJ310" s="364"/>
      <c r="HK310" s="364"/>
      <c r="HL310" s="364"/>
    </row>
    <row r="311" spans="2:220" s="287" customFormat="1" ht="22.5" customHeight="1">
      <c r="B311" s="365">
        <v>250119</v>
      </c>
      <c r="C311" s="366" t="s">
        <v>14220</v>
      </c>
      <c r="D311" s="367"/>
      <c r="E311" s="368"/>
      <c r="F311" s="321" t="s">
        <v>374</v>
      </c>
      <c r="G311" s="326" t="s">
        <v>2097</v>
      </c>
      <c r="H311" s="326" t="s">
        <v>2098</v>
      </c>
      <c r="I311" s="326" t="s">
        <v>11</v>
      </c>
      <c r="J311" s="326" t="s">
        <v>216</v>
      </c>
      <c r="K311" s="326" t="s">
        <v>806</v>
      </c>
      <c r="L311" s="323"/>
      <c r="M311" s="374"/>
      <c r="N311" s="325" t="s">
        <v>494</v>
      </c>
      <c r="O311" s="327" t="s">
        <v>210</v>
      </c>
      <c r="P311" s="327" t="s">
        <v>210</v>
      </c>
      <c r="Q311" s="369" t="s">
        <v>210</v>
      </c>
      <c r="R311" s="329" t="s">
        <v>1090</v>
      </c>
      <c r="S311" s="330"/>
      <c r="T311" s="330"/>
      <c r="U311" s="330"/>
      <c r="V311" s="330"/>
      <c r="W311" s="332" t="s">
        <v>512</v>
      </c>
      <c r="X311" s="331" t="s">
        <v>14221</v>
      </c>
      <c r="Y311" s="331" t="s">
        <v>14222</v>
      </c>
      <c r="Z311" s="331" t="s">
        <v>14223</v>
      </c>
      <c r="AA311" s="331" t="s">
        <v>14224</v>
      </c>
      <c r="AB311" s="333" t="s">
        <v>7330</v>
      </c>
      <c r="AC311" s="333"/>
      <c r="AD311" s="334" t="s">
        <v>407</v>
      </c>
      <c r="AE311" s="335" t="s">
        <v>34</v>
      </c>
      <c r="AF311" s="336"/>
      <c r="AG311" s="337"/>
      <c r="AH311" s="417" t="s">
        <v>435</v>
      </c>
      <c r="AI311" s="392" t="s">
        <v>435</v>
      </c>
      <c r="AJ311" s="392" t="s">
        <v>435</v>
      </c>
      <c r="AK311" s="340" t="s">
        <v>435</v>
      </c>
      <c r="AL311" s="321" t="s">
        <v>210</v>
      </c>
      <c r="AM311" s="392" t="s">
        <v>15</v>
      </c>
      <c r="AN311" s="392" t="s">
        <v>15</v>
      </c>
      <c r="AO311" s="341" t="s">
        <v>15</v>
      </c>
      <c r="AP311" s="342"/>
      <c r="AQ311" s="343"/>
      <c r="AR311" s="370">
        <v>2614</v>
      </c>
      <c r="AS311" s="326">
        <v>150</v>
      </c>
      <c r="AT311" s="392">
        <v>1</v>
      </c>
      <c r="AU311" s="392"/>
      <c r="AV311" s="392">
        <v>2</v>
      </c>
      <c r="AW311" s="340"/>
      <c r="AX311" s="347"/>
      <c r="AY311" s="348"/>
      <c r="AZ311" s="377"/>
      <c r="BA311" s="374"/>
      <c r="BB311" s="374"/>
      <c r="BC311" s="374"/>
      <c r="BD311" s="374"/>
      <c r="BE311" s="374"/>
      <c r="BF311" s="374"/>
      <c r="BG311" s="374"/>
      <c r="BH311" s="378"/>
      <c r="BI311" s="376"/>
      <c r="BJ311" s="431">
        <v>1.07</v>
      </c>
      <c r="BK311" s="380"/>
      <c r="BL311" s="348"/>
      <c r="BM311" s="381"/>
      <c r="BN311" s="321" t="s">
        <v>983</v>
      </c>
      <c r="BO311" s="372"/>
      <c r="BP311" s="373" t="s">
        <v>983</v>
      </c>
      <c r="BQ311" s="360"/>
      <c r="BR311" s="361"/>
      <c r="BS311" s="361"/>
      <c r="BT311" s="361"/>
      <c r="BU311" s="342" t="s">
        <v>210</v>
      </c>
      <c r="BV311" s="342" t="s">
        <v>210</v>
      </c>
      <c r="BW311" s="341" t="s">
        <v>15</v>
      </c>
      <c r="BX311" s="361"/>
      <c r="BY311" s="362"/>
      <c r="BZ311" s="363"/>
      <c r="CA311" s="363"/>
      <c r="CB311" s="363"/>
      <c r="CC311" s="363"/>
      <c r="CD311" s="293"/>
      <c r="CE311" s="364"/>
      <c r="CF311" s="364"/>
      <c r="CG311" s="364"/>
      <c r="CH311" s="364"/>
      <c r="CI311" s="364"/>
      <c r="CJ311" s="364"/>
      <c r="CK311" s="364"/>
      <c r="CL311" s="364"/>
      <c r="CM311" s="364"/>
      <c r="CN311" s="364"/>
      <c r="CO311" s="364"/>
      <c r="CP311" s="364"/>
      <c r="CQ311" s="364"/>
      <c r="CR311" s="364"/>
      <c r="CS311" s="364"/>
      <c r="CT311" s="364"/>
      <c r="CU311" s="364"/>
      <c r="CV311" s="364"/>
      <c r="CW311" s="364"/>
      <c r="CX311" s="364"/>
      <c r="CY311" s="364"/>
      <c r="CZ311" s="364"/>
      <c r="DA311" s="364"/>
      <c r="DB311" s="364"/>
      <c r="DC311" s="364"/>
      <c r="DD311" s="364"/>
      <c r="DE311" s="364"/>
      <c r="DF311" s="364"/>
      <c r="DG311" s="364"/>
      <c r="DH311" s="364"/>
      <c r="DI311" s="364"/>
      <c r="DJ311" s="364"/>
      <c r="DK311" s="364"/>
      <c r="DL311" s="364"/>
      <c r="DM311" s="364"/>
      <c r="DN311" s="364"/>
      <c r="DO311" s="364"/>
      <c r="DP311" s="364"/>
      <c r="DQ311" s="364"/>
      <c r="DR311" s="364"/>
      <c r="DS311" s="364"/>
      <c r="DT311" s="364"/>
      <c r="DU311" s="364"/>
      <c r="DV311" s="364"/>
      <c r="DW311" s="364"/>
      <c r="DX311" s="364"/>
      <c r="DY311" s="364"/>
      <c r="DZ311" s="364"/>
      <c r="EA311" s="364"/>
      <c r="EB311" s="364"/>
      <c r="EC311" s="364"/>
      <c r="ED311" s="364"/>
      <c r="EE311" s="364"/>
      <c r="EF311" s="364"/>
      <c r="EG311" s="364"/>
      <c r="EH311" s="364"/>
      <c r="EI311" s="364"/>
      <c r="EJ311" s="364"/>
      <c r="EK311" s="364"/>
      <c r="EL311" s="364"/>
      <c r="EM311" s="364"/>
      <c r="EN311" s="364"/>
      <c r="EO311" s="364"/>
      <c r="EP311" s="364"/>
      <c r="EQ311" s="364"/>
      <c r="ER311" s="364"/>
      <c r="ES311" s="364"/>
      <c r="ET311" s="364"/>
      <c r="EU311" s="364"/>
      <c r="EV311" s="364"/>
      <c r="EW311" s="364"/>
      <c r="EX311" s="364"/>
      <c r="EY311" s="364"/>
      <c r="EZ311" s="364"/>
      <c r="FA311" s="364"/>
      <c r="FB311" s="364"/>
      <c r="FC311" s="364"/>
      <c r="FD311" s="364"/>
      <c r="FE311" s="364"/>
      <c r="FF311" s="364"/>
      <c r="FG311" s="364"/>
      <c r="FH311" s="364"/>
      <c r="FI311" s="364"/>
      <c r="FJ311" s="364"/>
      <c r="FK311" s="364"/>
      <c r="FL311" s="364"/>
      <c r="FM311" s="364"/>
      <c r="FN311" s="364"/>
      <c r="FO311" s="364"/>
      <c r="FP311" s="364"/>
      <c r="FQ311" s="364"/>
      <c r="FR311" s="364"/>
      <c r="FS311" s="364"/>
      <c r="FT311" s="364"/>
      <c r="FU311" s="364"/>
      <c r="FV311" s="364"/>
      <c r="FW311" s="364"/>
      <c r="FX311" s="364"/>
      <c r="FY311" s="364"/>
      <c r="FZ311" s="364"/>
      <c r="GA311" s="364"/>
      <c r="GB311" s="364"/>
      <c r="GC311" s="364"/>
      <c r="GD311" s="364"/>
      <c r="GE311" s="364"/>
      <c r="GF311" s="364"/>
      <c r="GG311" s="364"/>
      <c r="GH311" s="364"/>
      <c r="GI311" s="364"/>
      <c r="GJ311" s="364"/>
      <c r="GK311" s="364"/>
      <c r="GL311" s="364"/>
      <c r="GM311" s="364"/>
      <c r="GN311" s="364"/>
      <c r="GO311" s="364"/>
      <c r="GP311" s="364"/>
      <c r="GQ311" s="364"/>
      <c r="GR311" s="364"/>
      <c r="GS311" s="364"/>
      <c r="GT311" s="364"/>
      <c r="GU311" s="364"/>
      <c r="GV311" s="364"/>
      <c r="GW311" s="364"/>
      <c r="GX311" s="364"/>
      <c r="GY311" s="364"/>
      <c r="GZ311" s="364"/>
      <c r="HA311" s="364"/>
      <c r="HB311" s="364"/>
      <c r="HC311" s="364"/>
      <c r="HD311" s="364"/>
      <c r="HE311" s="364"/>
      <c r="HF311" s="364"/>
      <c r="HG311" s="364"/>
      <c r="HH311" s="364"/>
      <c r="HI311" s="364"/>
      <c r="HJ311" s="364"/>
      <c r="HK311" s="364"/>
      <c r="HL311" s="364"/>
    </row>
    <row r="312" spans="2:220" s="287" customFormat="1" ht="22.5" customHeight="1">
      <c r="B312" s="365">
        <v>250121</v>
      </c>
      <c r="C312" s="366" t="s">
        <v>15361</v>
      </c>
      <c r="D312" s="367"/>
      <c r="E312" s="368"/>
      <c r="F312" s="321" t="s">
        <v>347</v>
      </c>
      <c r="G312" s="326" t="s">
        <v>2167</v>
      </c>
      <c r="H312" s="326" t="s">
        <v>2166</v>
      </c>
      <c r="I312" s="326" t="s">
        <v>11</v>
      </c>
      <c r="J312" s="326" t="s">
        <v>12</v>
      </c>
      <c r="K312" s="326" t="s">
        <v>363</v>
      </c>
      <c r="L312" s="323"/>
      <c r="M312" s="374"/>
      <c r="N312" s="325" t="s">
        <v>438</v>
      </c>
      <c r="O312" s="327">
        <v>100</v>
      </c>
      <c r="P312" s="327">
        <v>858</v>
      </c>
      <c r="Q312" s="369" t="s">
        <v>210</v>
      </c>
      <c r="R312" s="329" t="s">
        <v>1022</v>
      </c>
      <c r="S312" s="330"/>
      <c r="T312" s="330"/>
      <c r="U312" s="330"/>
      <c r="V312" s="330"/>
      <c r="W312" s="332" t="s">
        <v>1108</v>
      </c>
      <c r="X312" s="331" t="s">
        <v>14002</v>
      </c>
      <c r="Y312" s="331" t="s">
        <v>14518</v>
      </c>
      <c r="Z312" s="331" t="s">
        <v>14519</v>
      </c>
      <c r="AA312" s="331" t="s">
        <v>14004</v>
      </c>
      <c r="AB312" s="333"/>
      <c r="AC312" s="333"/>
      <c r="AD312" s="334" t="s">
        <v>348</v>
      </c>
      <c r="AE312" s="335" t="s">
        <v>15362</v>
      </c>
      <c r="AF312" s="336"/>
      <c r="AG312" s="337"/>
      <c r="AH312" s="417" t="s">
        <v>435</v>
      </c>
      <c r="AI312" s="392" t="s">
        <v>435</v>
      </c>
      <c r="AJ312" s="392" t="s">
        <v>435</v>
      </c>
      <c r="AK312" s="340" t="s">
        <v>435</v>
      </c>
      <c r="AL312" s="321" t="s">
        <v>210</v>
      </c>
      <c r="AM312" s="392" t="s">
        <v>15</v>
      </c>
      <c r="AN312" s="392" t="s">
        <v>15</v>
      </c>
      <c r="AO312" s="341" t="s">
        <v>15</v>
      </c>
      <c r="AP312" s="342"/>
      <c r="AQ312" s="343"/>
      <c r="AR312" s="370">
        <v>882</v>
      </c>
      <c r="AS312" s="326">
        <v>100</v>
      </c>
      <c r="AT312" s="392">
        <v>1</v>
      </c>
      <c r="AU312" s="392"/>
      <c r="AV312" s="392">
        <v>1.5</v>
      </c>
      <c r="AW312" s="340"/>
      <c r="AX312" s="347"/>
      <c r="AY312" s="348"/>
      <c r="AZ312" s="377"/>
      <c r="BA312" s="374"/>
      <c r="BB312" s="374"/>
      <c r="BC312" s="374"/>
      <c r="BD312" s="374"/>
      <c r="BE312" s="374"/>
      <c r="BF312" s="374"/>
      <c r="BG312" s="374"/>
      <c r="BH312" s="378"/>
      <c r="BI312" s="376"/>
      <c r="BJ312" s="379"/>
      <c r="BK312" s="380"/>
      <c r="BL312" s="348"/>
      <c r="BM312" s="381"/>
      <c r="BN312" s="321" t="s">
        <v>983</v>
      </c>
      <c r="BO312" s="372"/>
      <c r="BP312" s="373" t="s">
        <v>983</v>
      </c>
      <c r="BQ312" s="360"/>
      <c r="BR312" s="361"/>
      <c r="BS312" s="361"/>
      <c r="BT312" s="361"/>
      <c r="BU312" s="342" t="s">
        <v>210</v>
      </c>
      <c r="BV312" s="342" t="s">
        <v>210</v>
      </c>
      <c r="BW312" s="341" t="s">
        <v>15</v>
      </c>
      <c r="BX312" s="361"/>
      <c r="BY312" s="362"/>
      <c r="BZ312" s="363"/>
      <c r="CA312" s="363"/>
      <c r="CB312" s="363"/>
      <c r="CC312" s="363"/>
      <c r="CD312" s="293"/>
      <c r="CE312" s="364"/>
      <c r="CF312" s="364"/>
      <c r="CG312" s="364"/>
      <c r="CH312" s="364"/>
      <c r="CI312" s="364"/>
      <c r="CJ312" s="364"/>
      <c r="CK312" s="364"/>
      <c r="CL312" s="364"/>
      <c r="CM312" s="364"/>
      <c r="CN312" s="364"/>
      <c r="CO312" s="364"/>
      <c r="CP312" s="364"/>
      <c r="CQ312" s="364"/>
      <c r="CR312" s="364"/>
      <c r="CS312" s="364"/>
      <c r="CT312" s="364"/>
      <c r="CU312" s="364"/>
      <c r="CV312" s="364"/>
      <c r="CW312" s="364"/>
      <c r="CX312" s="364"/>
      <c r="CY312" s="364"/>
      <c r="CZ312" s="364"/>
      <c r="DA312" s="364"/>
      <c r="DB312" s="364"/>
      <c r="DC312" s="364"/>
      <c r="DD312" s="364"/>
      <c r="DE312" s="364"/>
      <c r="DF312" s="364"/>
      <c r="DG312" s="364"/>
      <c r="DH312" s="364"/>
      <c r="DI312" s="364"/>
      <c r="DJ312" s="364"/>
      <c r="DK312" s="364"/>
      <c r="DL312" s="364"/>
      <c r="DM312" s="364"/>
      <c r="DN312" s="364"/>
      <c r="DO312" s="364"/>
      <c r="DP312" s="364"/>
      <c r="DQ312" s="364"/>
      <c r="DR312" s="364"/>
      <c r="DS312" s="364"/>
      <c r="DT312" s="364"/>
      <c r="DU312" s="364"/>
      <c r="DV312" s="364"/>
      <c r="DW312" s="364"/>
      <c r="DX312" s="364"/>
      <c r="DY312" s="364"/>
      <c r="DZ312" s="364"/>
      <c r="EA312" s="364"/>
      <c r="EB312" s="364"/>
      <c r="EC312" s="364"/>
      <c r="ED312" s="364"/>
      <c r="EE312" s="364"/>
      <c r="EF312" s="364"/>
      <c r="EG312" s="364"/>
      <c r="EH312" s="364"/>
      <c r="EI312" s="364"/>
      <c r="EJ312" s="364"/>
      <c r="EK312" s="364"/>
      <c r="EL312" s="364"/>
      <c r="EM312" s="364"/>
      <c r="EN312" s="364"/>
      <c r="EO312" s="364"/>
      <c r="EP312" s="364"/>
      <c r="EQ312" s="364"/>
      <c r="ER312" s="364"/>
      <c r="ES312" s="364"/>
      <c r="ET312" s="364"/>
      <c r="EU312" s="364"/>
      <c r="EV312" s="364"/>
      <c r="EW312" s="364"/>
      <c r="EX312" s="364"/>
      <c r="EY312" s="364"/>
      <c r="EZ312" s="364"/>
      <c r="FA312" s="364"/>
      <c r="FB312" s="364"/>
      <c r="FC312" s="364"/>
      <c r="FD312" s="364"/>
      <c r="FE312" s="364"/>
      <c r="FF312" s="364"/>
      <c r="FG312" s="364"/>
      <c r="FH312" s="364"/>
      <c r="FI312" s="364"/>
      <c r="FJ312" s="364"/>
      <c r="FK312" s="364"/>
      <c r="FL312" s="364"/>
      <c r="FM312" s="364"/>
      <c r="FN312" s="364"/>
      <c r="FO312" s="364"/>
      <c r="FP312" s="364"/>
      <c r="FQ312" s="364"/>
      <c r="FR312" s="364"/>
      <c r="FS312" s="364"/>
      <c r="FT312" s="364"/>
      <c r="FU312" s="364"/>
      <c r="FV312" s="364"/>
      <c r="FW312" s="364"/>
      <c r="FX312" s="364"/>
      <c r="FY312" s="364"/>
      <c r="FZ312" s="364"/>
      <c r="GA312" s="364"/>
      <c r="GB312" s="364"/>
      <c r="GC312" s="364"/>
      <c r="GD312" s="364"/>
      <c r="GE312" s="364"/>
      <c r="GF312" s="364"/>
      <c r="GG312" s="364"/>
      <c r="GH312" s="364"/>
      <c r="GI312" s="364"/>
      <c r="GJ312" s="364"/>
      <c r="GK312" s="364"/>
      <c r="GL312" s="364"/>
      <c r="GM312" s="364"/>
      <c r="GN312" s="364"/>
      <c r="GO312" s="364"/>
      <c r="GP312" s="364"/>
      <c r="GQ312" s="364"/>
      <c r="GR312" s="364"/>
      <c r="GS312" s="364"/>
      <c r="GT312" s="364"/>
      <c r="GU312" s="364"/>
      <c r="GV312" s="364"/>
      <c r="GW312" s="364"/>
      <c r="GX312" s="364"/>
      <c r="GY312" s="364"/>
      <c r="GZ312" s="364"/>
      <c r="HA312" s="364"/>
      <c r="HB312" s="364"/>
      <c r="HC312" s="364"/>
      <c r="HD312" s="364"/>
      <c r="HE312" s="364"/>
      <c r="HF312" s="364"/>
      <c r="HG312" s="364"/>
      <c r="HH312" s="364"/>
      <c r="HI312" s="364"/>
      <c r="HJ312" s="364"/>
      <c r="HK312" s="364"/>
      <c r="HL312" s="364"/>
    </row>
    <row r="313" spans="2:220" s="287" customFormat="1" ht="22.5" customHeight="1">
      <c r="B313" s="365">
        <v>250122</v>
      </c>
      <c r="C313" s="366" t="s">
        <v>14214</v>
      </c>
      <c r="D313" s="367"/>
      <c r="E313" s="368"/>
      <c r="F313" s="321" t="s">
        <v>359</v>
      </c>
      <c r="G313" s="326" t="s">
        <v>2164</v>
      </c>
      <c r="H313" s="326" t="s">
        <v>2165</v>
      </c>
      <c r="I313" s="326" t="s">
        <v>11</v>
      </c>
      <c r="J313" s="326" t="s">
        <v>216</v>
      </c>
      <c r="K313" s="326" t="s">
        <v>363</v>
      </c>
      <c r="L313" s="323"/>
      <c r="M313" s="374"/>
      <c r="N313" s="325" t="s">
        <v>438</v>
      </c>
      <c r="O313" s="327" t="s">
        <v>210</v>
      </c>
      <c r="P313" s="327">
        <v>2970</v>
      </c>
      <c r="Q313" s="369" t="s">
        <v>210</v>
      </c>
      <c r="R313" s="329" t="s">
        <v>456</v>
      </c>
      <c r="S313" s="331" t="s">
        <v>14216</v>
      </c>
      <c r="T313" s="331" t="s">
        <v>14218</v>
      </c>
      <c r="U313" s="331" t="s">
        <v>14217</v>
      </c>
      <c r="V313" s="331" t="s">
        <v>14219</v>
      </c>
      <c r="W313" s="332" t="s">
        <v>14215</v>
      </c>
      <c r="X313" s="394" t="s">
        <v>11707</v>
      </c>
      <c r="Y313" s="394" t="s">
        <v>11710</v>
      </c>
      <c r="Z313" s="394" t="s">
        <v>11709</v>
      </c>
      <c r="AA313" s="394" t="s">
        <v>11708</v>
      </c>
      <c r="AB313" s="333"/>
      <c r="AC313" s="333"/>
      <c r="AD313" s="334" t="s">
        <v>360</v>
      </c>
      <c r="AE313" s="335" t="s">
        <v>358</v>
      </c>
      <c r="AF313" s="336"/>
      <c r="AG313" s="337"/>
      <c r="AH313" s="417" t="s">
        <v>435</v>
      </c>
      <c r="AI313" s="392" t="s">
        <v>435</v>
      </c>
      <c r="AJ313" s="392" t="s">
        <v>435</v>
      </c>
      <c r="AK313" s="340" t="s">
        <v>435</v>
      </c>
      <c r="AL313" s="321" t="s">
        <v>210</v>
      </c>
      <c r="AM313" s="392" t="s">
        <v>15</v>
      </c>
      <c r="AN313" s="392" t="s">
        <v>15</v>
      </c>
      <c r="AO313" s="341" t="s">
        <v>15</v>
      </c>
      <c r="AP313" s="342"/>
      <c r="AQ313" s="343"/>
      <c r="AR313" s="370">
        <v>1300</v>
      </c>
      <c r="AS313" s="326">
        <v>150</v>
      </c>
      <c r="AT313" s="392">
        <v>1</v>
      </c>
      <c r="AU313" s="392"/>
      <c r="AV313" s="392">
        <v>1</v>
      </c>
      <c r="AW313" s="340"/>
      <c r="AX313" s="347"/>
      <c r="AY313" s="348"/>
      <c r="AZ313" s="377"/>
      <c r="BA313" s="374"/>
      <c r="BB313" s="374"/>
      <c r="BC313" s="374"/>
      <c r="BD313" s="374"/>
      <c r="BE313" s="374"/>
      <c r="BF313" s="374"/>
      <c r="BG313" s="374"/>
      <c r="BH313" s="378"/>
      <c r="BI313" s="376"/>
      <c r="BJ313" s="379"/>
      <c r="BK313" s="380"/>
      <c r="BL313" s="348"/>
      <c r="BM313" s="381"/>
      <c r="BN313" s="321" t="s">
        <v>983</v>
      </c>
      <c r="BO313" s="372"/>
      <c r="BP313" s="373" t="s">
        <v>15</v>
      </c>
      <c r="BQ313" s="360"/>
      <c r="BR313" s="361"/>
      <c r="BS313" s="361"/>
      <c r="BT313" s="361"/>
      <c r="BU313" s="342" t="s">
        <v>210</v>
      </c>
      <c r="BV313" s="342" t="s">
        <v>210</v>
      </c>
      <c r="BW313" s="341" t="s">
        <v>15</v>
      </c>
      <c r="BX313" s="361"/>
      <c r="BY313" s="362"/>
      <c r="BZ313" s="363"/>
      <c r="CA313" s="363"/>
      <c r="CB313" s="363"/>
      <c r="CC313" s="363"/>
      <c r="CD313" s="293"/>
      <c r="CE313" s="364"/>
      <c r="CF313" s="364"/>
      <c r="CG313" s="364"/>
      <c r="CH313" s="364"/>
      <c r="CI313" s="364"/>
      <c r="CJ313" s="364"/>
      <c r="CK313" s="364"/>
      <c r="CL313" s="364"/>
      <c r="CM313" s="364"/>
      <c r="CN313" s="364"/>
      <c r="CO313" s="364"/>
      <c r="CP313" s="364"/>
      <c r="CQ313" s="364"/>
      <c r="CR313" s="364"/>
      <c r="CS313" s="364"/>
      <c r="CT313" s="364"/>
      <c r="CU313" s="364"/>
      <c r="CV313" s="364"/>
      <c r="CW313" s="364"/>
      <c r="CX313" s="364"/>
      <c r="CY313" s="364"/>
      <c r="CZ313" s="364"/>
      <c r="DA313" s="364"/>
      <c r="DB313" s="364"/>
      <c r="DC313" s="364"/>
      <c r="DD313" s="364"/>
      <c r="DE313" s="364"/>
      <c r="DF313" s="364"/>
      <c r="DG313" s="364"/>
      <c r="DH313" s="364"/>
      <c r="DI313" s="364"/>
      <c r="DJ313" s="364"/>
      <c r="DK313" s="364"/>
      <c r="DL313" s="364"/>
      <c r="DM313" s="364"/>
      <c r="DN313" s="364"/>
      <c r="DO313" s="364"/>
      <c r="DP313" s="364"/>
      <c r="DQ313" s="364"/>
      <c r="DR313" s="364"/>
      <c r="DS313" s="364"/>
      <c r="DT313" s="364"/>
      <c r="DU313" s="364"/>
      <c r="DV313" s="364"/>
      <c r="DW313" s="364"/>
      <c r="DX313" s="364"/>
      <c r="DY313" s="364"/>
      <c r="DZ313" s="364"/>
      <c r="EA313" s="364"/>
      <c r="EB313" s="364"/>
      <c r="EC313" s="364"/>
      <c r="ED313" s="364"/>
      <c r="EE313" s="364"/>
      <c r="EF313" s="364"/>
      <c r="EG313" s="364"/>
      <c r="EH313" s="364"/>
      <c r="EI313" s="364"/>
      <c r="EJ313" s="364"/>
      <c r="EK313" s="364"/>
      <c r="EL313" s="364"/>
      <c r="EM313" s="364"/>
      <c r="EN313" s="364"/>
      <c r="EO313" s="364"/>
      <c r="EP313" s="364"/>
      <c r="EQ313" s="364"/>
      <c r="ER313" s="364"/>
      <c r="ES313" s="364"/>
      <c r="ET313" s="364"/>
      <c r="EU313" s="364"/>
      <c r="EV313" s="364"/>
      <c r="EW313" s="364"/>
      <c r="EX313" s="364"/>
      <c r="EY313" s="364"/>
      <c r="EZ313" s="364"/>
      <c r="FA313" s="364"/>
      <c r="FB313" s="364"/>
      <c r="FC313" s="364"/>
      <c r="FD313" s="364"/>
      <c r="FE313" s="364"/>
      <c r="FF313" s="364"/>
      <c r="FG313" s="364"/>
      <c r="FH313" s="364"/>
      <c r="FI313" s="364"/>
      <c r="FJ313" s="364"/>
      <c r="FK313" s="364"/>
      <c r="FL313" s="364"/>
      <c r="FM313" s="364"/>
      <c r="FN313" s="364"/>
      <c r="FO313" s="364"/>
      <c r="FP313" s="364"/>
      <c r="FQ313" s="364"/>
      <c r="FR313" s="364"/>
      <c r="FS313" s="364"/>
      <c r="FT313" s="364"/>
      <c r="FU313" s="364"/>
      <c r="FV313" s="364"/>
      <c r="FW313" s="364"/>
      <c r="FX313" s="364"/>
      <c r="FY313" s="364"/>
      <c r="FZ313" s="364"/>
      <c r="GA313" s="364"/>
      <c r="GB313" s="364"/>
      <c r="GC313" s="364"/>
      <c r="GD313" s="364"/>
      <c r="GE313" s="364"/>
      <c r="GF313" s="364"/>
      <c r="GG313" s="364"/>
      <c r="GH313" s="364"/>
      <c r="GI313" s="364"/>
      <c r="GJ313" s="364"/>
      <c r="GK313" s="364"/>
      <c r="GL313" s="364"/>
      <c r="GM313" s="364"/>
      <c r="GN313" s="364"/>
      <c r="GO313" s="364"/>
      <c r="GP313" s="364"/>
      <c r="GQ313" s="364"/>
      <c r="GR313" s="364"/>
      <c r="GS313" s="364"/>
      <c r="GT313" s="364"/>
      <c r="GU313" s="364"/>
      <c r="GV313" s="364"/>
      <c r="GW313" s="364"/>
      <c r="GX313" s="364"/>
      <c r="GY313" s="364"/>
      <c r="GZ313" s="364"/>
      <c r="HA313" s="364"/>
      <c r="HB313" s="364"/>
      <c r="HC313" s="364"/>
      <c r="HD313" s="364"/>
      <c r="HE313" s="364"/>
      <c r="HF313" s="364"/>
      <c r="HG313" s="364"/>
      <c r="HH313" s="364"/>
      <c r="HI313" s="364"/>
      <c r="HJ313" s="364"/>
      <c r="HK313" s="364"/>
      <c r="HL313" s="364"/>
    </row>
    <row r="314" spans="2:220" s="287" customFormat="1" ht="22.5" customHeight="1">
      <c r="B314" s="365">
        <v>250123</v>
      </c>
      <c r="C314" s="366" t="s">
        <v>10393</v>
      </c>
      <c r="D314" s="367"/>
      <c r="E314" s="368"/>
      <c r="F314" s="321" t="s">
        <v>250</v>
      </c>
      <c r="G314" s="326" t="s">
        <v>2162</v>
      </c>
      <c r="H314" s="326" t="s">
        <v>2163</v>
      </c>
      <c r="I314" s="326" t="s">
        <v>11</v>
      </c>
      <c r="J314" s="326" t="s">
        <v>216</v>
      </c>
      <c r="K314" s="326" t="s">
        <v>256</v>
      </c>
      <c r="L314" s="323"/>
      <c r="M314" s="374"/>
      <c r="N314" s="325" t="s">
        <v>1023</v>
      </c>
      <c r="O314" s="327" t="s">
        <v>210</v>
      </c>
      <c r="P314" s="327" t="s">
        <v>210</v>
      </c>
      <c r="Q314" s="369" t="s">
        <v>210</v>
      </c>
      <c r="R314" s="645"/>
      <c r="S314" s="330"/>
      <c r="T314" s="330"/>
      <c r="U314" s="330"/>
      <c r="V314" s="330"/>
      <c r="W314" s="332" t="s">
        <v>679</v>
      </c>
      <c r="X314" s="331" t="s">
        <v>14028</v>
      </c>
      <c r="Y314" s="331" t="s">
        <v>14030</v>
      </c>
      <c r="Z314" s="331" t="s">
        <v>14031</v>
      </c>
      <c r="AA314" s="331" t="s">
        <v>14029</v>
      </c>
      <c r="AB314" s="333"/>
      <c r="AC314" s="333"/>
      <c r="AD314" s="334" t="s">
        <v>362</v>
      </c>
      <c r="AE314" s="391"/>
      <c r="AF314" s="336"/>
      <c r="AG314" s="337"/>
      <c r="AH314" s="417" t="s">
        <v>435</v>
      </c>
      <c r="AI314" s="392" t="s">
        <v>435</v>
      </c>
      <c r="AJ314" s="392" t="s">
        <v>435</v>
      </c>
      <c r="AK314" s="340" t="s">
        <v>435</v>
      </c>
      <c r="AL314" s="321" t="s">
        <v>210</v>
      </c>
      <c r="AM314" s="392" t="s">
        <v>15</v>
      </c>
      <c r="AN314" s="392" t="s">
        <v>15</v>
      </c>
      <c r="AO314" s="341" t="s">
        <v>15</v>
      </c>
      <c r="AP314" s="342"/>
      <c r="AQ314" s="343"/>
      <c r="AR314" s="370">
        <v>528</v>
      </c>
      <c r="AS314" s="326">
        <v>150</v>
      </c>
      <c r="AT314" s="392">
        <v>1</v>
      </c>
      <c r="AU314" s="392"/>
      <c r="AV314" s="392">
        <v>1.5</v>
      </c>
      <c r="AW314" s="340"/>
      <c r="AX314" s="374"/>
      <c r="AY314" s="348"/>
      <c r="AZ314" s="405" t="s">
        <v>10384</v>
      </c>
      <c r="BA314" s="326" t="s">
        <v>10392</v>
      </c>
      <c r="BB314" s="324" t="s">
        <v>3392</v>
      </c>
      <c r="BC314" s="326" t="s">
        <v>10382</v>
      </c>
      <c r="BD314" s="324" t="s">
        <v>3392</v>
      </c>
      <c r="BE314" s="326" t="s">
        <v>10382</v>
      </c>
      <c r="BF314" s="326" t="s">
        <v>10383</v>
      </c>
      <c r="BG314" s="326" t="s">
        <v>10382</v>
      </c>
      <c r="BH314" s="326" t="s">
        <v>10383</v>
      </c>
      <c r="BI314" s="376"/>
      <c r="BJ314" s="379"/>
      <c r="BK314" s="380"/>
      <c r="BL314" s="348"/>
      <c r="BM314" s="381"/>
      <c r="BN314" s="321" t="s">
        <v>983</v>
      </c>
      <c r="BO314" s="372"/>
      <c r="BP314" s="373" t="s">
        <v>983</v>
      </c>
      <c r="BQ314" s="360"/>
      <c r="BR314" s="361"/>
      <c r="BS314" s="361"/>
      <c r="BT314" s="361"/>
      <c r="BU314" s="342" t="s">
        <v>210</v>
      </c>
      <c r="BV314" s="342" t="s">
        <v>210</v>
      </c>
      <c r="BW314" s="655" t="s">
        <v>622</v>
      </c>
      <c r="BX314" s="361"/>
      <c r="BY314" s="362"/>
      <c r="BZ314" s="363"/>
      <c r="CA314" s="363"/>
      <c r="CB314" s="363"/>
      <c r="CC314" s="363"/>
      <c r="CD314" s="293"/>
      <c r="CE314" s="364"/>
      <c r="CF314" s="364"/>
      <c r="CG314" s="364"/>
      <c r="CH314" s="364"/>
      <c r="CI314" s="364"/>
      <c r="CJ314" s="364"/>
      <c r="CK314" s="364"/>
      <c r="CL314" s="364"/>
      <c r="CM314" s="364"/>
      <c r="CN314" s="364"/>
      <c r="CO314" s="364"/>
      <c r="CP314" s="364"/>
      <c r="CQ314" s="364"/>
      <c r="CR314" s="364"/>
      <c r="CS314" s="364"/>
      <c r="CT314" s="364"/>
      <c r="CU314" s="364"/>
      <c r="CV314" s="364"/>
      <c r="CW314" s="364"/>
      <c r="CX314" s="364"/>
      <c r="CY314" s="364"/>
      <c r="CZ314" s="364"/>
      <c r="DA314" s="364"/>
      <c r="DB314" s="364"/>
      <c r="DC314" s="364"/>
      <c r="DD314" s="364"/>
      <c r="DE314" s="364"/>
      <c r="DF314" s="364"/>
      <c r="DG314" s="364"/>
      <c r="DH314" s="364"/>
      <c r="DI314" s="364"/>
      <c r="DJ314" s="364"/>
      <c r="DK314" s="364"/>
      <c r="DL314" s="364"/>
      <c r="DM314" s="364"/>
      <c r="DN314" s="364"/>
      <c r="DO314" s="364"/>
      <c r="DP314" s="364"/>
      <c r="DQ314" s="364"/>
      <c r="DR314" s="364"/>
      <c r="DS314" s="364"/>
      <c r="DT314" s="364"/>
      <c r="DU314" s="364"/>
      <c r="DV314" s="364"/>
      <c r="DW314" s="364"/>
      <c r="DX314" s="364"/>
      <c r="DY314" s="364"/>
      <c r="DZ314" s="364"/>
      <c r="EA314" s="364"/>
      <c r="EB314" s="364"/>
      <c r="EC314" s="364"/>
      <c r="ED314" s="364"/>
      <c r="EE314" s="364"/>
      <c r="EF314" s="364"/>
      <c r="EG314" s="364"/>
      <c r="EH314" s="364"/>
      <c r="EI314" s="364"/>
      <c r="EJ314" s="364"/>
      <c r="EK314" s="364"/>
      <c r="EL314" s="364"/>
      <c r="EM314" s="364"/>
      <c r="EN314" s="364"/>
      <c r="EO314" s="364"/>
      <c r="EP314" s="364"/>
      <c r="EQ314" s="364"/>
      <c r="ER314" s="364"/>
      <c r="ES314" s="364"/>
      <c r="ET314" s="364"/>
      <c r="EU314" s="364"/>
      <c r="EV314" s="364"/>
      <c r="EW314" s="364"/>
      <c r="EX314" s="364"/>
      <c r="EY314" s="364"/>
      <c r="EZ314" s="364"/>
      <c r="FA314" s="364"/>
      <c r="FB314" s="364"/>
      <c r="FC314" s="364"/>
      <c r="FD314" s="364"/>
      <c r="FE314" s="364"/>
      <c r="FF314" s="364"/>
      <c r="FG314" s="364"/>
      <c r="FH314" s="364"/>
      <c r="FI314" s="364"/>
      <c r="FJ314" s="364"/>
      <c r="FK314" s="364"/>
      <c r="FL314" s="364"/>
      <c r="FM314" s="364"/>
      <c r="FN314" s="364"/>
      <c r="FO314" s="364"/>
      <c r="FP314" s="364"/>
      <c r="FQ314" s="364"/>
      <c r="FR314" s="364"/>
      <c r="FS314" s="364"/>
      <c r="FT314" s="364"/>
      <c r="FU314" s="364"/>
      <c r="FV314" s="364"/>
      <c r="FW314" s="364"/>
      <c r="FX314" s="364"/>
      <c r="FY314" s="364"/>
      <c r="FZ314" s="364"/>
      <c r="GA314" s="364"/>
      <c r="GB314" s="364"/>
      <c r="GC314" s="364"/>
      <c r="GD314" s="364"/>
      <c r="GE314" s="364"/>
      <c r="GF314" s="364"/>
      <c r="GG314" s="364"/>
      <c r="GH314" s="364"/>
      <c r="GI314" s="364"/>
      <c r="GJ314" s="364"/>
      <c r="GK314" s="364"/>
      <c r="GL314" s="364"/>
      <c r="GM314" s="364"/>
      <c r="GN314" s="364"/>
      <c r="GO314" s="364"/>
      <c r="GP314" s="364"/>
      <c r="GQ314" s="364"/>
      <c r="GR314" s="364"/>
      <c r="GS314" s="364"/>
      <c r="GT314" s="364"/>
      <c r="GU314" s="364"/>
      <c r="GV314" s="364"/>
      <c r="GW314" s="364"/>
      <c r="GX314" s="364"/>
      <c r="GY314" s="364"/>
      <c r="GZ314" s="364"/>
      <c r="HA314" s="364"/>
      <c r="HB314" s="364"/>
      <c r="HC314" s="364"/>
      <c r="HD314" s="364"/>
      <c r="HE314" s="364"/>
      <c r="HF314" s="364"/>
      <c r="HG314" s="364"/>
      <c r="HH314" s="364"/>
      <c r="HI314" s="364"/>
      <c r="HJ314" s="364"/>
      <c r="HK314" s="364"/>
      <c r="HL314" s="364"/>
    </row>
    <row r="315" spans="2:220" s="287" customFormat="1" ht="22.5" customHeight="1">
      <c r="B315" s="365">
        <v>250124</v>
      </c>
      <c r="C315" s="366" t="s">
        <v>378</v>
      </c>
      <c r="D315" s="367"/>
      <c r="E315" s="368"/>
      <c r="F315" s="321" t="s">
        <v>229</v>
      </c>
      <c r="G315" s="326" t="s">
        <v>2160</v>
      </c>
      <c r="H315" s="326" t="s">
        <v>2161</v>
      </c>
      <c r="I315" s="326" t="s">
        <v>11</v>
      </c>
      <c r="J315" s="326" t="s">
        <v>21</v>
      </c>
      <c r="K315" s="326" t="s">
        <v>379</v>
      </c>
      <c r="L315" s="323"/>
      <c r="M315" s="374"/>
      <c r="N315" s="325" t="s">
        <v>438</v>
      </c>
      <c r="O315" s="327" t="s">
        <v>210</v>
      </c>
      <c r="P315" s="327" t="s">
        <v>210</v>
      </c>
      <c r="Q315" s="369" t="s">
        <v>210</v>
      </c>
      <c r="R315" s="329" t="s">
        <v>1087</v>
      </c>
      <c r="S315" s="330"/>
      <c r="T315" s="330"/>
      <c r="U315" s="330"/>
      <c r="V315" s="330"/>
      <c r="W315" s="332" t="s">
        <v>515</v>
      </c>
      <c r="X315" s="331" t="s">
        <v>14211</v>
      </c>
      <c r="Y315" s="331" t="s">
        <v>14212</v>
      </c>
      <c r="Z315" s="331" t="s">
        <v>16388</v>
      </c>
      <c r="AA315" s="331" t="s">
        <v>14213</v>
      </c>
      <c r="AB315" s="333"/>
      <c r="AC315" s="333"/>
      <c r="AD315" s="334" t="s">
        <v>904</v>
      </c>
      <c r="AE315" s="335" t="s">
        <v>335</v>
      </c>
      <c r="AF315" s="336"/>
      <c r="AG315" s="337"/>
      <c r="AH315" s="417" t="s">
        <v>435</v>
      </c>
      <c r="AI315" s="392" t="s">
        <v>435</v>
      </c>
      <c r="AJ315" s="392" t="s">
        <v>435</v>
      </c>
      <c r="AK315" s="340" t="s">
        <v>435</v>
      </c>
      <c r="AL315" s="321" t="s">
        <v>210</v>
      </c>
      <c r="AM315" s="392" t="s">
        <v>15</v>
      </c>
      <c r="AN315" s="326" t="s">
        <v>622</v>
      </c>
      <c r="AO315" s="341" t="s">
        <v>15</v>
      </c>
      <c r="AP315" s="342"/>
      <c r="AQ315" s="343"/>
      <c r="AR315" s="370">
        <v>1476</v>
      </c>
      <c r="AS315" s="326">
        <v>80</v>
      </c>
      <c r="AT315" s="392">
        <v>0.8</v>
      </c>
      <c r="AU315" s="392"/>
      <c r="AV315" s="392">
        <v>1.7</v>
      </c>
      <c r="AW315" s="340"/>
      <c r="AX315" s="347"/>
      <c r="AY315" s="348"/>
      <c r="AZ315" s="377"/>
      <c r="BA315" s="374"/>
      <c r="BB315" s="374"/>
      <c r="BC315" s="374"/>
      <c r="BD315" s="374"/>
      <c r="BE315" s="374"/>
      <c r="BF315" s="374"/>
      <c r="BG315" s="374"/>
      <c r="BH315" s="378"/>
      <c r="BI315" s="376"/>
      <c r="BJ315" s="379"/>
      <c r="BK315" s="380"/>
      <c r="BL315" s="348"/>
      <c r="BM315" s="381"/>
      <c r="BN315" s="321" t="s">
        <v>983</v>
      </c>
      <c r="BO315" s="372">
        <v>1.02</v>
      </c>
      <c r="BP315" s="373" t="s">
        <v>983</v>
      </c>
      <c r="BQ315" s="360"/>
      <c r="BR315" s="361"/>
      <c r="BS315" s="361"/>
      <c r="BT315" s="361"/>
      <c r="BU315" s="342" t="s">
        <v>210</v>
      </c>
      <c r="BV315" s="342" t="s">
        <v>210</v>
      </c>
      <c r="BW315" s="341" t="s">
        <v>15</v>
      </c>
      <c r="BX315" s="361"/>
      <c r="BY315" s="362"/>
      <c r="BZ315" s="363"/>
      <c r="CA315" s="363"/>
      <c r="CB315" s="363"/>
      <c r="CC315" s="363"/>
      <c r="CD315" s="293"/>
      <c r="CE315" s="364"/>
      <c r="CF315" s="364"/>
      <c r="CG315" s="364"/>
      <c r="CH315" s="364"/>
      <c r="CI315" s="364"/>
      <c r="CJ315" s="364"/>
      <c r="CK315" s="364"/>
      <c r="CL315" s="364"/>
      <c r="CM315" s="364"/>
      <c r="CN315" s="364"/>
      <c r="CO315" s="364"/>
      <c r="CP315" s="364"/>
      <c r="CQ315" s="364"/>
      <c r="CR315" s="364"/>
      <c r="CS315" s="364"/>
      <c r="CT315" s="364"/>
      <c r="CU315" s="364"/>
      <c r="CV315" s="364"/>
      <c r="CW315" s="364"/>
      <c r="CX315" s="364"/>
      <c r="CY315" s="364"/>
      <c r="CZ315" s="364"/>
      <c r="DA315" s="364"/>
      <c r="DB315" s="364"/>
      <c r="DC315" s="364"/>
      <c r="DD315" s="364"/>
      <c r="DE315" s="364"/>
      <c r="DF315" s="364"/>
      <c r="DG315" s="364"/>
      <c r="DH315" s="364"/>
      <c r="DI315" s="364"/>
      <c r="DJ315" s="364"/>
      <c r="DK315" s="364"/>
      <c r="DL315" s="364"/>
      <c r="DM315" s="364"/>
      <c r="DN315" s="364"/>
      <c r="DO315" s="364"/>
      <c r="DP315" s="364"/>
      <c r="DQ315" s="364"/>
      <c r="DR315" s="364"/>
      <c r="DS315" s="364"/>
      <c r="DT315" s="364"/>
      <c r="DU315" s="364"/>
      <c r="DV315" s="364"/>
      <c r="DW315" s="364"/>
      <c r="DX315" s="364"/>
      <c r="DY315" s="364"/>
      <c r="DZ315" s="364"/>
      <c r="EA315" s="364"/>
      <c r="EB315" s="364"/>
      <c r="EC315" s="364"/>
      <c r="ED315" s="364"/>
      <c r="EE315" s="364"/>
      <c r="EF315" s="364"/>
      <c r="EG315" s="364"/>
      <c r="EH315" s="364"/>
      <c r="EI315" s="364"/>
      <c r="EJ315" s="364"/>
      <c r="EK315" s="364"/>
      <c r="EL315" s="364"/>
      <c r="EM315" s="364"/>
      <c r="EN315" s="364"/>
      <c r="EO315" s="364"/>
      <c r="EP315" s="364"/>
      <c r="EQ315" s="364"/>
      <c r="ER315" s="364"/>
      <c r="ES315" s="364"/>
      <c r="ET315" s="364"/>
      <c r="EU315" s="364"/>
      <c r="EV315" s="364"/>
      <c r="EW315" s="364"/>
      <c r="EX315" s="364"/>
      <c r="EY315" s="364"/>
      <c r="EZ315" s="364"/>
      <c r="FA315" s="364"/>
      <c r="FB315" s="364"/>
      <c r="FC315" s="364"/>
      <c r="FD315" s="364"/>
      <c r="FE315" s="364"/>
      <c r="FF315" s="364"/>
      <c r="FG315" s="364"/>
      <c r="FH315" s="364"/>
      <c r="FI315" s="364"/>
      <c r="FJ315" s="364"/>
      <c r="FK315" s="364"/>
      <c r="FL315" s="364"/>
      <c r="FM315" s="364"/>
      <c r="FN315" s="364"/>
      <c r="FO315" s="364"/>
      <c r="FP315" s="364"/>
      <c r="FQ315" s="364"/>
      <c r="FR315" s="364"/>
      <c r="FS315" s="364"/>
      <c r="FT315" s="364"/>
      <c r="FU315" s="364"/>
      <c r="FV315" s="364"/>
      <c r="FW315" s="364"/>
      <c r="FX315" s="364"/>
      <c r="FY315" s="364"/>
      <c r="FZ315" s="364"/>
      <c r="GA315" s="364"/>
      <c r="GB315" s="364"/>
      <c r="GC315" s="364"/>
      <c r="GD315" s="364"/>
      <c r="GE315" s="364"/>
      <c r="GF315" s="364"/>
      <c r="GG315" s="364"/>
      <c r="GH315" s="364"/>
      <c r="GI315" s="364"/>
      <c r="GJ315" s="364"/>
      <c r="GK315" s="364"/>
      <c r="GL315" s="364"/>
      <c r="GM315" s="364"/>
      <c r="GN315" s="364"/>
      <c r="GO315" s="364"/>
      <c r="GP315" s="364"/>
      <c r="GQ315" s="364"/>
      <c r="GR315" s="364"/>
      <c r="GS315" s="364"/>
      <c r="GT315" s="364"/>
      <c r="GU315" s="364"/>
      <c r="GV315" s="364"/>
      <c r="GW315" s="364"/>
      <c r="GX315" s="364"/>
      <c r="GY315" s="364"/>
      <c r="GZ315" s="364"/>
      <c r="HA315" s="364"/>
      <c r="HB315" s="364"/>
      <c r="HC315" s="364"/>
      <c r="HD315" s="364"/>
      <c r="HE315" s="364"/>
      <c r="HF315" s="364"/>
      <c r="HG315" s="364"/>
      <c r="HH315" s="364"/>
      <c r="HI315" s="364"/>
      <c r="HJ315" s="364"/>
      <c r="HK315" s="364"/>
      <c r="HL315" s="364"/>
    </row>
    <row r="316" spans="2:220" s="287" customFormat="1" ht="22.5" customHeight="1">
      <c r="B316" s="365">
        <v>250125</v>
      </c>
      <c r="C316" s="366" t="s">
        <v>257</v>
      </c>
      <c r="D316" s="367"/>
      <c r="E316" s="368"/>
      <c r="F316" s="321" t="s">
        <v>304</v>
      </c>
      <c r="G316" s="326" t="s">
        <v>2158</v>
      </c>
      <c r="H316" s="326" t="s">
        <v>2159</v>
      </c>
      <c r="I316" s="326" t="s">
        <v>11</v>
      </c>
      <c r="J316" s="326" t="s">
        <v>12</v>
      </c>
      <c r="K316" s="326" t="s">
        <v>247</v>
      </c>
      <c r="L316" s="323"/>
      <c r="M316" s="374"/>
      <c r="N316" s="325" t="s">
        <v>438</v>
      </c>
      <c r="O316" s="326">
        <v>40</v>
      </c>
      <c r="P316" s="327" t="s">
        <v>210</v>
      </c>
      <c r="Q316" s="369" t="s">
        <v>210</v>
      </c>
      <c r="R316" s="329" t="s">
        <v>455</v>
      </c>
      <c r="S316" s="394" t="s">
        <v>13381</v>
      </c>
      <c r="T316" s="394" t="s">
        <v>13382</v>
      </c>
      <c r="U316" s="394" t="s">
        <v>13383</v>
      </c>
      <c r="V316" s="394" t="s">
        <v>13384</v>
      </c>
      <c r="W316" s="332" t="s">
        <v>432</v>
      </c>
      <c r="X316" s="331" t="s">
        <v>11079</v>
      </c>
      <c r="Y316" s="331" t="s">
        <v>11080</v>
      </c>
      <c r="Z316" s="331" t="s">
        <v>11080</v>
      </c>
      <c r="AA316" s="331" t="s">
        <v>210</v>
      </c>
      <c r="AB316" s="333"/>
      <c r="AC316" s="333"/>
      <c r="AD316" s="334" t="s">
        <v>2323</v>
      </c>
      <c r="AE316" s="335" t="s">
        <v>300</v>
      </c>
      <c r="AF316" s="336"/>
      <c r="AG316" s="337"/>
      <c r="AH316" s="417">
        <v>12.7</v>
      </c>
      <c r="AI316" s="392">
        <v>16.899999999999999</v>
      </c>
      <c r="AJ316" s="392">
        <v>18.8</v>
      </c>
      <c r="AK316" s="340">
        <f>SUM(AH316:AJ316)</f>
        <v>48.4</v>
      </c>
      <c r="AL316" s="321" t="s">
        <v>210</v>
      </c>
      <c r="AM316" s="392" t="s">
        <v>15</v>
      </c>
      <c r="AN316" s="392" t="s">
        <v>15</v>
      </c>
      <c r="AO316" s="341" t="s">
        <v>15</v>
      </c>
      <c r="AP316" s="342"/>
      <c r="AQ316" s="343"/>
      <c r="AR316" s="370">
        <v>1108</v>
      </c>
      <c r="AS316" s="326">
        <v>80</v>
      </c>
      <c r="AT316" s="392">
        <v>1</v>
      </c>
      <c r="AU316" s="392"/>
      <c r="AV316" s="392">
        <v>1.5</v>
      </c>
      <c r="AW316" s="340"/>
      <c r="AX316" s="347"/>
      <c r="AY316" s="348"/>
      <c r="AZ316" s="377"/>
      <c r="BA316" s="374"/>
      <c r="BB316" s="374"/>
      <c r="BC316" s="374"/>
      <c r="BD316" s="374"/>
      <c r="BE316" s="374"/>
      <c r="BF316" s="374"/>
      <c r="BG316" s="374"/>
      <c r="BH316" s="378"/>
      <c r="BI316" s="376"/>
      <c r="BJ316" s="379"/>
      <c r="BK316" s="380"/>
      <c r="BL316" s="348"/>
      <c r="BM316" s="381"/>
      <c r="BN316" s="321" t="s">
        <v>983</v>
      </c>
      <c r="BO316" s="372"/>
      <c r="BP316" s="373" t="s">
        <v>15</v>
      </c>
      <c r="BQ316" s="360"/>
      <c r="BR316" s="361"/>
      <c r="BS316" s="361"/>
      <c r="BT316" s="361"/>
      <c r="BU316" s="342" t="s">
        <v>210</v>
      </c>
      <c r="BV316" s="342" t="s">
        <v>210</v>
      </c>
      <c r="BW316" s="341" t="s">
        <v>15</v>
      </c>
      <c r="BX316" s="361"/>
      <c r="BY316" s="362"/>
      <c r="BZ316" s="363"/>
      <c r="CA316" s="363"/>
      <c r="CB316" s="363"/>
      <c r="CC316" s="363"/>
      <c r="CD316" s="293"/>
      <c r="CE316" s="364"/>
      <c r="CF316" s="364"/>
      <c r="CG316" s="364"/>
      <c r="CH316" s="364"/>
      <c r="CI316" s="364"/>
      <c r="CJ316" s="364"/>
      <c r="CK316" s="364"/>
      <c r="CL316" s="364"/>
      <c r="CM316" s="364"/>
      <c r="CN316" s="364"/>
      <c r="CO316" s="364"/>
      <c r="CP316" s="364"/>
      <c r="CQ316" s="364"/>
      <c r="CR316" s="364"/>
      <c r="CS316" s="364"/>
      <c r="CT316" s="364"/>
      <c r="CU316" s="364"/>
      <c r="CV316" s="364"/>
      <c r="CW316" s="364"/>
      <c r="CX316" s="364"/>
      <c r="CY316" s="364"/>
      <c r="CZ316" s="364"/>
      <c r="DA316" s="364"/>
      <c r="DB316" s="364"/>
      <c r="DC316" s="364"/>
      <c r="DD316" s="364"/>
      <c r="DE316" s="364"/>
      <c r="DF316" s="364"/>
      <c r="DG316" s="364"/>
      <c r="DH316" s="364"/>
      <c r="DI316" s="364"/>
      <c r="DJ316" s="364"/>
      <c r="DK316" s="364"/>
      <c r="DL316" s="364"/>
      <c r="DM316" s="364"/>
      <c r="DN316" s="364"/>
      <c r="DO316" s="364"/>
      <c r="DP316" s="364"/>
      <c r="DQ316" s="364"/>
      <c r="DR316" s="364"/>
      <c r="DS316" s="364"/>
      <c r="DT316" s="364"/>
      <c r="DU316" s="364"/>
      <c r="DV316" s="364"/>
      <c r="DW316" s="364"/>
      <c r="DX316" s="364"/>
      <c r="DY316" s="364"/>
      <c r="DZ316" s="364"/>
      <c r="EA316" s="364"/>
      <c r="EB316" s="364"/>
      <c r="EC316" s="364"/>
      <c r="ED316" s="364"/>
      <c r="EE316" s="364"/>
      <c r="EF316" s="364"/>
      <c r="EG316" s="364"/>
      <c r="EH316" s="364"/>
      <c r="EI316" s="364"/>
      <c r="EJ316" s="364"/>
      <c r="EK316" s="364"/>
      <c r="EL316" s="364"/>
      <c r="EM316" s="364"/>
      <c r="EN316" s="364"/>
      <c r="EO316" s="364"/>
      <c r="EP316" s="364"/>
      <c r="EQ316" s="364"/>
      <c r="ER316" s="364"/>
      <c r="ES316" s="364"/>
      <c r="ET316" s="364"/>
      <c r="EU316" s="364"/>
      <c r="EV316" s="364"/>
      <c r="EW316" s="364"/>
      <c r="EX316" s="364"/>
      <c r="EY316" s="364"/>
      <c r="EZ316" s="364"/>
      <c r="FA316" s="364"/>
      <c r="FB316" s="364"/>
      <c r="FC316" s="364"/>
      <c r="FD316" s="364"/>
      <c r="FE316" s="364"/>
      <c r="FF316" s="364"/>
      <c r="FG316" s="364"/>
      <c r="FH316" s="364"/>
      <c r="FI316" s="364"/>
      <c r="FJ316" s="364"/>
      <c r="FK316" s="364"/>
      <c r="FL316" s="364"/>
      <c r="FM316" s="364"/>
      <c r="FN316" s="364"/>
      <c r="FO316" s="364"/>
      <c r="FP316" s="364"/>
      <c r="FQ316" s="364"/>
      <c r="FR316" s="364"/>
      <c r="FS316" s="364"/>
      <c r="FT316" s="364"/>
      <c r="FU316" s="364"/>
      <c r="FV316" s="364"/>
      <c r="FW316" s="364"/>
      <c r="FX316" s="364"/>
      <c r="FY316" s="364"/>
      <c r="FZ316" s="364"/>
      <c r="GA316" s="364"/>
      <c r="GB316" s="364"/>
      <c r="GC316" s="364"/>
      <c r="GD316" s="364"/>
      <c r="GE316" s="364"/>
      <c r="GF316" s="364"/>
      <c r="GG316" s="364"/>
      <c r="GH316" s="364"/>
      <c r="GI316" s="364"/>
      <c r="GJ316" s="364"/>
      <c r="GK316" s="364"/>
      <c r="GL316" s="364"/>
      <c r="GM316" s="364"/>
      <c r="GN316" s="364"/>
      <c r="GO316" s="364"/>
      <c r="GP316" s="364"/>
      <c r="GQ316" s="364"/>
      <c r="GR316" s="364"/>
      <c r="GS316" s="364"/>
      <c r="GT316" s="364"/>
      <c r="GU316" s="364"/>
      <c r="GV316" s="364"/>
      <c r="GW316" s="364"/>
      <c r="GX316" s="364"/>
      <c r="GY316" s="364"/>
      <c r="GZ316" s="364"/>
      <c r="HA316" s="364"/>
      <c r="HB316" s="364"/>
      <c r="HC316" s="364"/>
      <c r="HD316" s="364"/>
      <c r="HE316" s="364"/>
      <c r="HF316" s="364"/>
      <c r="HG316" s="364"/>
      <c r="HH316" s="364"/>
      <c r="HI316" s="364"/>
      <c r="HJ316" s="364"/>
      <c r="HK316" s="364"/>
      <c r="HL316" s="364"/>
    </row>
    <row r="317" spans="2:220" s="287" customFormat="1" ht="22.5" customHeight="1">
      <c r="B317" s="365">
        <v>250126</v>
      </c>
      <c r="C317" s="366" t="s">
        <v>404</v>
      </c>
      <c r="D317" s="367"/>
      <c r="E317" s="368"/>
      <c r="F317" s="321" t="s">
        <v>320</v>
      </c>
      <c r="G317" s="326" t="s">
        <v>2095</v>
      </c>
      <c r="H317" s="326" t="s">
        <v>2096</v>
      </c>
      <c r="I317" s="326" t="s">
        <v>11</v>
      </c>
      <c r="J317" s="326" t="s">
        <v>21</v>
      </c>
      <c r="K317" s="326" t="s">
        <v>324</v>
      </c>
      <c r="L317" s="323"/>
      <c r="M317" s="374"/>
      <c r="N317" s="325" t="s">
        <v>494</v>
      </c>
      <c r="O317" s="327" t="s">
        <v>210</v>
      </c>
      <c r="P317" s="327" t="s">
        <v>210</v>
      </c>
      <c r="Q317" s="369" t="s">
        <v>210</v>
      </c>
      <c r="R317" s="375"/>
      <c r="S317" s="656"/>
      <c r="T317" s="656"/>
      <c r="U317" s="656"/>
      <c r="V317" s="656"/>
      <c r="W317" s="332"/>
      <c r="X317" s="656"/>
      <c r="Y317" s="656"/>
      <c r="Z317" s="656"/>
      <c r="AA317" s="656"/>
      <c r="AB317" s="333"/>
      <c r="AC317" s="333"/>
      <c r="AD317" s="396" t="s">
        <v>321</v>
      </c>
      <c r="AE317" s="335" t="s">
        <v>342</v>
      </c>
      <c r="AF317" s="336"/>
      <c r="AG317" s="337"/>
      <c r="AH317" s="417" t="s">
        <v>435</v>
      </c>
      <c r="AI317" s="392" t="s">
        <v>435</v>
      </c>
      <c r="AJ317" s="392" t="s">
        <v>435</v>
      </c>
      <c r="AK317" s="340" t="s">
        <v>435</v>
      </c>
      <c r="AL317" s="321" t="s">
        <v>210</v>
      </c>
      <c r="AM317" s="392" t="s">
        <v>15</v>
      </c>
      <c r="AN317" s="392" t="s">
        <v>15</v>
      </c>
      <c r="AO317" s="341" t="s">
        <v>15</v>
      </c>
      <c r="AP317" s="342"/>
      <c r="AQ317" s="343"/>
      <c r="AR317" s="370">
        <v>16800</v>
      </c>
      <c r="AS317" s="326">
        <v>150</v>
      </c>
      <c r="AT317" s="392">
        <v>1</v>
      </c>
      <c r="AU317" s="392"/>
      <c r="AV317" s="392">
        <v>1.5</v>
      </c>
      <c r="AW317" s="340"/>
      <c r="AX317" s="347"/>
      <c r="AY317" s="348"/>
      <c r="AZ317" s="377"/>
      <c r="BA317" s="374"/>
      <c r="BB317" s="374"/>
      <c r="BC317" s="374"/>
      <c r="BD317" s="374"/>
      <c r="BE317" s="374"/>
      <c r="BF317" s="374"/>
      <c r="BG317" s="374"/>
      <c r="BH317" s="378"/>
      <c r="BI317" s="376"/>
      <c r="BJ317" s="379"/>
      <c r="BK317" s="380"/>
      <c r="BL317" s="348"/>
      <c r="BM317" s="381"/>
      <c r="BN317" s="321" t="s">
        <v>983</v>
      </c>
      <c r="BO317" s="372"/>
      <c r="BP317" s="373" t="s">
        <v>983</v>
      </c>
      <c r="BQ317" s="360"/>
      <c r="BR317" s="361"/>
      <c r="BS317" s="361"/>
      <c r="BT317" s="361"/>
      <c r="BU317" s="342" t="s">
        <v>210</v>
      </c>
      <c r="BV317" s="342" t="s">
        <v>210</v>
      </c>
      <c r="BW317" s="341" t="s">
        <v>15</v>
      </c>
      <c r="BX317" s="361"/>
      <c r="BY317" s="362"/>
      <c r="BZ317" s="363"/>
      <c r="CA317" s="363"/>
      <c r="CB317" s="363"/>
      <c r="CC317" s="363"/>
      <c r="CD317" s="293"/>
      <c r="CE317" s="364"/>
      <c r="CF317" s="364"/>
      <c r="CG317" s="364"/>
      <c r="CH317" s="364"/>
      <c r="CI317" s="364"/>
      <c r="CJ317" s="364"/>
      <c r="CK317" s="364"/>
      <c r="CL317" s="364"/>
      <c r="CM317" s="364"/>
      <c r="CN317" s="364"/>
      <c r="CO317" s="364"/>
      <c r="CP317" s="364"/>
      <c r="CQ317" s="364"/>
      <c r="CR317" s="364"/>
      <c r="CS317" s="364"/>
      <c r="CT317" s="364"/>
      <c r="CU317" s="364"/>
      <c r="CV317" s="364"/>
      <c r="CW317" s="364"/>
      <c r="CX317" s="364"/>
      <c r="CY317" s="364"/>
      <c r="CZ317" s="364"/>
      <c r="DA317" s="364"/>
      <c r="DB317" s="364"/>
      <c r="DC317" s="364"/>
      <c r="DD317" s="364"/>
      <c r="DE317" s="364"/>
      <c r="DF317" s="364"/>
      <c r="DG317" s="364"/>
      <c r="DH317" s="364"/>
      <c r="DI317" s="364"/>
      <c r="DJ317" s="364"/>
      <c r="DK317" s="364"/>
      <c r="DL317" s="364"/>
      <c r="DM317" s="364"/>
      <c r="DN317" s="364"/>
      <c r="DO317" s="364"/>
      <c r="DP317" s="364"/>
      <c r="DQ317" s="364"/>
      <c r="DR317" s="364"/>
      <c r="DS317" s="364"/>
      <c r="DT317" s="364"/>
      <c r="DU317" s="364"/>
      <c r="DV317" s="364"/>
      <c r="DW317" s="364"/>
      <c r="DX317" s="364"/>
      <c r="DY317" s="364"/>
      <c r="DZ317" s="364"/>
      <c r="EA317" s="364"/>
      <c r="EB317" s="364"/>
      <c r="EC317" s="364"/>
      <c r="ED317" s="364"/>
      <c r="EE317" s="364"/>
      <c r="EF317" s="364"/>
      <c r="EG317" s="364"/>
      <c r="EH317" s="364"/>
      <c r="EI317" s="364"/>
      <c r="EJ317" s="364"/>
      <c r="EK317" s="364"/>
      <c r="EL317" s="364"/>
      <c r="EM317" s="364"/>
      <c r="EN317" s="364"/>
      <c r="EO317" s="364"/>
      <c r="EP317" s="364"/>
      <c r="EQ317" s="364"/>
      <c r="ER317" s="364"/>
      <c r="ES317" s="364"/>
      <c r="ET317" s="364"/>
      <c r="EU317" s="364"/>
      <c r="EV317" s="364"/>
      <c r="EW317" s="364"/>
      <c r="EX317" s="364"/>
      <c r="EY317" s="364"/>
      <c r="EZ317" s="364"/>
      <c r="FA317" s="364"/>
      <c r="FB317" s="364"/>
      <c r="FC317" s="364"/>
      <c r="FD317" s="364"/>
      <c r="FE317" s="364"/>
      <c r="FF317" s="364"/>
      <c r="FG317" s="364"/>
      <c r="FH317" s="364"/>
      <c r="FI317" s="364"/>
      <c r="FJ317" s="364"/>
      <c r="FK317" s="364"/>
      <c r="FL317" s="364"/>
      <c r="FM317" s="364"/>
      <c r="FN317" s="364"/>
      <c r="FO317" s="364"/>
      <c r="FP317" s="364"/>
      <c r="FQ317" s="364"/>
      <c r="FR317" s="364"/>
      <c r="FS317" s="364"/>
      <c r="FT317" s="364"/>
      <c r="FU317" s="364"/>
      <c r="FV317" s="364"/>
      <c r="FW317" s="364"/>
      <c r="FX317" s="364"/>
      <c r="FY317" s="364"/>
      <c r="FZ317" s="364"/>
      <c r="GA317" s="364"/>
      <c r="GB317" s="364"/>
      <c r="GC317" s="364"/>
      <c r="GD317" s="364"/>
      <c r="GE317" s="364"/>
      <c r="GF317" s="364"/>
      <c r="GG317" s="364"/>
      <c r="GH317" s="364"/>
      <c r="GI317" s="364"/>
      <c r="GJ317" s="364"/>
      <c r="GK317" s="364"/>
      <c r="GL317" s="364"/>
      <c r="GM317" s="364"/>
      <c r="GN317" s="364"/>
      <c r="GO317" s="364"/>
      <c r="GP317" s="364"/>
      <c r="GQ317" s="364"/>
      <c r="GR317" s="364"/>
      <c r="GS317" s="364"/>
      <c r="GT317" s="364"/>
      <c r="GU317" s="364"/>
      <c r="GV317" s="364"/>
      <c r="GW317" s="364"/>
      <c r="GX317" s="364"/>
      <c r="GY317" s="364"/>
      <c r="GZ317" s="364"/>
      <c r="HA317" s="364"/>
      <c r="HB317" s="364"/>
      <c r="HC317" s="364"/>
      <c r="HD317" s="364"/>
      <c r="HE317" s="364"/>
      <c r="HF317" s="364"/>
      <c r="HG317" s="364"/>
      <c r="HH317" s="364"/>
      <c r="HI317" s="364"/>
      <c r="HJ317" s="364"/>
      <c r="HK317" s="364"/>
      <c r="HL317" s="364"/>
    </row>
    <row r="318" spans="2:220" s="287" customFormat="1" ht="22.5" customHeight="1">
      <c r="B318" s="365">
        <v>250127</v>
      </c>
      <c r="C318" s="366" t="s">
        <v>14206</v>
      </c>
      <c r="D318" s="367"/>
      <c r="E318" s="368"/>
      <c r="F318" s="321" t="s">
        <v>308</v>
      </c>
      <c r="G318" s="326" t="s">
        <v>2129</v>
      </c>
      <c r="H318" s="326" t="s">
        <v>2130</v>
      </c>
      <c r="I318" s="326" t="s">
        <v>11</v>
      </c>
      <c r="J318" s="326" t="s">
        <v>12</v>
      </c>
      <c r="K318" s="326" t="s">
        <v>324</v>
      </c>
      <c r="L318" s="323"/>
      <c r="M318" s="324" t="s">
        <v>10767</v>
      </c>
      <c r="N318" s="325" t="s">
        <v>437</v>
      </c>
      <c r="O318" s="327" t="s">
        <v>210</v>
      </c>
      <c r="P318" s="327">
        <v>998.2</v>
      </c>
      <c r="Q318" s="369">
        <v>1049.3</v>
      </c>
      <c r="R318" s="329" t="s">
        <v>14191</v>
      </c>
      <c r="S318" s="331" t="s">
        <v>14207</v>
      </c>
      <c r="T318" s="331" t="s">
        <v>14209</v>
      </c>
      <c r="U318" s="331" t="s">
        <v>14208</v>
      </c>
      <c r="V318" s="331" t="s">
        <v>14210</v>
      </c>
      <c r="W318" s="332" t="s">
        <v>454</v>
      </c>
      <c r="X318" s="330"/>
      <c r="Y318" s="330"/>
      <c r="Z318" s="330"/>
      <c r="AA318" s="330"/>
      <c r="AB318" s="333"/>
      <c r="AC318" s="333"/>
      <c r="AD318" s="334" t="s">
        <v>2321</v>
      </c>
      <c r="AE318" s="335" t="s">
        <v>309</v>
      </c>
      <c r="AF318" s="336"/>
      <c r="AG318" s="337"/>
      <c r="AH318" s="417" t="s">
        <v>435</v>
      </c>
      <c r="AI318" s="392" t="s">
        <v>435</v>
      </c>
      <c r="AJ318" s="392" t="s">
        <v>435</v>
      </c>
      <c r="AK318" s="340" t="s">
        <v>435</v>
      </c>
      <c r="AL318" s="321" t="s">
        <v>210</v>
      </c>
      <c r="AM318" s="392" t="s">
        <v>15</v>
      </c>
      <c r="AN318" s="392" t="s">
        <v>15</v>
      </c>
      <c r="AO318" s="341" t="s">
        <v>15</v>
      </c>
      <c r="AP318" s="342"/>
      <c r="AQ318" s="343"/>
      <c r="AR318" s="370">
        <v>1378</v>
      </c>
      <c r="AS318" s="326">
        <v>100</v>
      </c>
      <c r="AT318" s="392">
        <v>1</v>
      </c>
      <c r="AU318" s="392"/>
      <c r="AV318" s="392">
        <v>1.2</v>
      </c>
      <c r="AW318" s="340"/>
      <c r="AX318" s="347"/>
      <c r="AY318" s="348"/>
      <c r="AZ318" s="377"/>
      <c r="BA318" s="374"/>
      <c r="BB318" s="374"/>
      <c r="BC318" s="374"/>
      <c r="BD318" s="374"/>
      <c r="BE318" s="374"/>
      <c r="BF318" s="374"/>
      <c r="BG318" s="374"/>
      <c r="BH318" s="378"/>
      <c r="BI318" s="376"/>
      <c r="BJ318" s="379"/>
      <c r="BK318" s="380"/>
      <c r="BL318" s="348"/>
      <c r="BM318" s="381"/>
      <c r="BN318" s="321" t="s">
        <v>15</v>
      </c>
      <c r="BO318" s="372"/>
      <c r="BP318" s="373" t="s">
        <v>15</v>
      </c>
      <c r="BQ318" s="360"/>
      <c r="BR318" s="361"/>
      <c r="BS318" s="361"/>
      <c r="BT318" s="361"/>
      <c r="BU318" s="342" t="s">
        <v>210</v>
      </c>
      <c r="BV318" s="342" t="s">
        <v>210</v>
      </c>
      <c r="BW318" s="341" t="s">
        <v>15</v>
      </c>
      <c r="BX318" s="361"/>
      <c r="BY318" s="362"/>
      <c r="BZ318" s="363"/>
      <c r="CA318" s="363"/>
      <c r="CB318" s="363"/>
      <c r="CC318" s="363"/>
      <c r="CD318" s="293"/>
      <c r="CE318" s="364"/>
      <c r="CF318" s="364"/>
      <c r="CG318" s="364"/>
      <c r="CH318" s="364"/>
      <c r="CI318" s="364"/>
      <c r="CJ318" s="364"/>
      <c r="CK318" s="364"/>
      <c r="CL318" s="364"/>
      <c r="CM318" s="364"/>
      <c r="CN318" s="364"/>
      <c r="CO318" s="364"/>
      <c r="CP318" s="364"/>
      <c r="CQ318" s="364"/>
      <c r="CR318" s="364"/>
      <c r="CS318" s="364"/>
      <c r="CT318" s="364"/>
      <c r="CU318" s="364"/>
      <c r="CV318" s="364"/>
      <c r="CW318" s="364"/>
      <c r="CX318" s="364"/>
      <c r="CY318" s="364"/>
      <c r="CZ318" s="364"/>
      <c r="DA318" s="364"/>
      <c r="DB318" s="364"/>
      <c r="DC318" s="364"/>
      <c r="DD318" s="364"/>
      <c r="DE318" s="364"/>
      <c r="DF318" s="364"/>
      <c r="DG318" s="364"/>
      <c r="DH318" s="364"/>
      <c r="DI318" s="364"/>
      <c r="DJ318" s="364"/>
      <c r="DK318" s="364"/>
      <c r="DL318" s="364"/>
      <c r="DM318" s="364"/>
      <c r="DN318" s="364"/>
      <c r="DO318" s="364"/>
      <c r="DP318" s="364"/>
      <c r="DQ318" s="364"/>
      <c r="DR318" s="364"/>
      <c r="DS318" s="364"/>
      <c r="DT318" s="364"/>
      <c r="DU318" s="364"/>
      <c r="DV318" s="364"/>
      <c r="DW318" s="364"/>
      <c r="DX318" s="364"/>
      <c r="DY318" s="364"/>
      <c r="DZ318" s="364"/>
      <c r="EA318" s="364"/>
      <c r="EB318" s="364"/>
      <c r="EC318" s="364"/>
      <c r="ED318" s="364"/>
      <c r="EE318" s="364"/>
      <c r="EF318" s="364"/>
      <c r="EG318" s="364"/>
      <c r="EH318" s="364"/>
      <c r="EI318" s="364"/>
      <c r="EJ318" s="364"/>
      <c r="EK318" s="364"/>
      <c r="EL318" s="364"/>
      <c r="EM318" s="364"/>
      <c r="EN318" s="364"/>
      <c r="EO318" s="364"/>
      <c r="EP318" s="364"/>
      <c r="EQ318" s="364"/>
      <c r="ER318" s="364"/>
      <c r="ES318" s="364"/>
      <c r="ET318" s="364"/>
      <c r="EU318" s="364"/>
      <c r="EV318" s="364"/>
      <c r="EW318" s="364"/>
      <c r="EX318" s="364"/>
      <c r="EY318" s="364"/>
      <c r="EZ318" s="364"/>
      <c r="FA318" s="364"/>
      <c r="FB318" s="364"/>
      <c r="FC318" s="364"/>
      <c r="FD318" s="364"/>
      <c r="FE318" s="364"/>
      <c r="FF318" s="364"/>
      <c r="FG318" s="364"/>
      <c r="FH318" s="364"/>
      <c r="FI318" s="364"/>
      <c r="FJ318" s="364"/>
      <c r="FK318" s="364"/>
      <c r="FL318" s="364"/>
      <c r="FM318" s="364"/>
      <c r="FN318" s="364"/>
      <c r="FO318" s="364"/>
      <c r="FP318" s="364"/>
      <c r="FQ318" s="364"/>
      <c r="FR318" s="364"/>
      <c r="FS318" s="364"/>
      <c r="FT318" s="364"/>
      <c r="FU318" s="364"/>
      <c r="FV318" s="364"/>
      <c r="FW318" s="364"/>
      <c r="FX318" s="364"/>
      <c r="FY318" s="364"/>
      <c r="FZ318" s="364"/>
      <c r="GA318" s="364"/>
      <c r="GB318" s="364"/>
      <c r="GC318" s="364"/>
      <c r="GD318" s="364"/>
      <c r="GE318" s="364"/>
      <c r="GF318" s="364"/>
      <c r="GG318" s="364"/>
      <c r="GH318" s="364"/>
      <c r="GI318" s="364"/>
      <c r="GJ318" s="364"/>
      <c r="GK318" s="364"/>
      <c r="GL318" s="364"/>
      <c r="GM318" s="364"/>
      <c r="GN318" s="364"/>
      <c r="GO318" s="364"/>
      <c r="GP318" s="364"/>
      <c r="GQ318" s="364"/>
      <c r="GR318" s="364"/>
      <c r="GS318" s="364"/>
      <c r="GT318" s="364"/>
      <c r="GU318" s="364"/>
      <c r="GV318" s="364"/>
      <c r="GW318" s="364"/>
      <c r="GX318" s="364"/>
      <c r="GY318" s="364"/>
      <c r="GZ318" s="364"/>
      <c r="HA318" s="364"/>
      <c r="HB318" s="364"/>
      <c r="HC318" s="364"/>
      <c r="HD318" s="364"/>
      <c r="HE318" s="364"/>
      <c r="HF318" s="364"/>
      <c r="HG318" s="364"/>
      <c r="HH318" s="364"/>
      <c r="HI318" s="364"/>
      <c r="HJ318" s="364"/>
      <c r="HK318" s="364"/>
      <c r="HL318" s="364"/>
    </row>
    <row r="319" spans="2:220" s="287" customFormat="1" ht="22.5" customHeight="1">
      <c r="B319" s="365">
        <v>250128</v>
      </c>
      <c r="C319" s="366" t="s">
        <v>14183</v>
      </c>
      <c r="D319" s="367"/>
      <c r="E319" s="368"/>
      <c r="F319" s="321" t="s">
        <v>352</v>
      </c>
      <c r="G319" s="326" t="s">
        <v>2156</v>
      </c>
      <c r="H319" s="326" t="s">
        <v>2157</v>
      </c>
      <c r="I319" s="326" t="s">
        <v>11</v>
      </c>
      <c r="J319" s="326" t="s">
        <v>21</v>
      </c>
      <c r="K319" s="326" t="s">
        <v>324</v>
      </c>
      <c r="L319" s="323"/>
      <c r="M319" s="374"/>
      <c r="N319" s="325" t="s">
        <v>437</v>
      </c>
      <c r="O319" s="327" t="s">
        <v>210</v>
      </c>
      <c r="P319" s="327" t="s">
        <v>210</v>
      </c>
      <c r="Q319" s="369" t="s">
        <v>210</v>
      </c>
      <c r="R319" s="420" t="s">
        <v>14188</v>
      </c>
      <c r="S319" s="394" t="s">
        <v>14184</v>
      </c>
      <c r="T319" s="394" t="s">
        <v>14186</v>
      </c>
      <c r="U319" s="394" t="s">
        <v>14185</v>
      </c>
      <c r="V319" s="394" t="s">
        <v>14187</v>
      </c>
      <c r="W319" s="645"/>
      <c r="X319" s="400"/>
      <c r="Y319" s="400"/>
      <c r="Z319" s="400"/>
      <c r="AA319" s="400"/>
      <c r="AB319" s="333"/>
      <c r="AC319" s="416"/>
      <c r="AD319" s="375"/>
      <c r="AE319" s="335" t="s">
        <v>210</v>
      </c>
      <c r="AF319" s="336"/>
      <c r="AG319" s="337"/>
      <c r="AH319" s="417" t="s">
        <v>435</v>
      </c>
      <c r="AI319" s="392" t="s">
        <v>435</v>
      </c>
      <c r="AJ319" s="392" t="s">
        <v>435</v>
      </c>
      <c r="AK319" s="340" t="s">
        <v>435</v>
      </c>
      <c r="AL319" s="321" t="s">
        <v>210</v>
      </c>
      <c r="AM319" s="425" t="s">
        <v>8761</v>
      </c>
      <c r="AN319" s="392" t="s">
        <v>15</v>
      </c>
      <c r="AO319" s="341" t="s">
        <v>15</v>
      </c>
      <c r="AP319" s="418"/>
      <c r="AQ319" s="343"/>
      <c r="AR319" s="370">
        <v>314</v>
      </c>
      <c r="AS319" s="326">
        <v>120</v>
      </c>
      <c r="AT319" s="392">
        <v>1</v>
      </c>
      <c r="AU319" s="392"/>
      <c r="AV319" s="392">
        <v>1</v>
      </c>
      <c r="AW319" s="340"/>
      <c r="AX319" s="347"/>
      <c r="AY319" s="348"/>
      <c r="AZ319" s="377"/>
      <c r="BA319" s="374"/>
      <c r="BB319" s="374"/>
      <c r="BC319" s="374"/>
      <c r="BD319" s="374"/>
      <c r="BE319" s="374"/>
      <c r="BF319" s="374"/>
      <c r="BG319" s="374"/>
      <c r="BH319" s="378"/>
      <c r="BI319" s="376"/>
      <c r="BJ319" s="379"/>
      <c r="BK319" s="380"/>
      <c r="BL319" s="348"/>
      <c r="BM319" s="381"/>
      <c r="BN319" s="321" t="s">
        <v>15</v>
      </c>
      <c r="BO319" s="372"/>
      <c r="BP319" s="373" t="s">
        <v>15</v>
      </c>
      <c r="BQ319" s="360"/>
      <c r="BR319" s="361"/>
      <c r="BS319" s="361"/>
      <c r="BT319" s="361"/>
      <c r="BU319" s="361"/>
      <c r="BV319" s="418" t="s">
        <v>5411</v>
      </c>
      <c r="BW319" s="341" t="s">
        <v>15</v>
      </c>
      <c r="BX319" s="361"/>
      <c r="BY319" s="362"/>
      <c r="BZ319" s="363"/>
      <c r="CA319" s="363"/>
      <c r="CB319" s="363"/>
      <c r="CC319" s="363"/>
      <c r="CD319" s="293"/>
      <c r="CE319" s="364"/>
      <c r="CF319" s="364"/>
      <c r="CG319" s="364"/>
      <c r="CH319" s="364"/>
      <c r="CI319" s="364"/>
      <c r="CJ319" s="364"/>
      <c r="CK319" s="364"/>
      <c r="CL319" s="364"/>
      <c r="CM319" s="364"/>
      <c r="CN319" s="364"/>
      <c r="CO319" s="364"/>
      <c r="CP319" s="364"/>
      <c r="CQ319" s="364"/>
      <c r="CR319" s="364"/>
      <c r="CS319" s="364"/>
      <c r="CT319" s="364"/>
      <c r="CU319" s="364"/>
      <c r="CV319" s="364"/>
      <c r="CW319" s="364"/>
      <c r="CX319" s="364"/>
      <c r="CY319" s="364"/>
      <c r="CZ319" s="364"/>
      <c r="DA319" s="364"/>
      <c r="DB319" s="364"/>
      <c r="DC319" s="364"/>
      <c r="DD319" s="364"/>
      <c r="DE319" s="364"/>
      <c r="DF319" s="364"/>
      <c r="DG319" s="364"/>
      <c r="DH319" s="364"/>
      <c r="DI319" s="364"/>
      <c r="DJ319" s="364"/>
      <c r="DK319" s="364"/>
      <c r="DL319" s="364"/>
      <c r="DM319" s="364"/>
      <c r="DN319" s="364"/>
      <c r="DO319" s="364"/>
      <c r="DP319" s="364"/>
      <c r="DQ319" s="364"/>
      <c r="DR319" s="364"/>
      <c r="DS319" s="364"/>
      <c r="DT319" s="364"/>
      <c r="DU319" s="364"/>
      <c r="DV319" s="364"/>
      <c r="DW319" s="364"/>
      <c r="DX319" s="364"/>
      <c r="DY319" s="364"/>
      <c r="DZ319" s="364"/>
      <c r="EA319" s="364"/>
      <c r="EB319" s="364"/>
      <c r="EC319" s="364"/>
      <c r="ED319" s="364"/>
      <c r="EE319" s="364"/>
      <c r="EF319" s="364"/>
      <c r="EG319" s="364"/>
      <c r="EH319" s="364"/>
      <c r="EI319" s="364"/>
      <c r="EJ319" s="364"/>
      <c r="EK319" s="364"/>
      <c r="EL319" s="364"/>
      <c r="EM319" s="364"/>
      <c r="EN319" s="364"/>
      <c r="EO319" s="364"/>
      <c r="EP319" s="364"/>
      <c r="EQ319" s="364"/>
      <c r="ER319" s="364"/>
      <c r="ES319" s="364"/>
      <c r="ET319" s="364"/>
      <c r="EU319" s="364"/>
      <c r="EV319" s="364"/>
      <c r="EW319" s="364"/>
      <c r="EX319" s="364"/>
      <c r="EY319" s="364"/>
      <c r="EZ319" s="364"/>
      <c r="FA319" s="364"/>
      <c r="FB319" s="364"/>
      <c r="FC319" s="364"/>
      <c r="FD319" s="364"/>
      <c r="FE319" s="364"/>
      <c r="FF319" s="364"/>
      <c r="FG319" s="364"/>
      <c r="FH319" s="364"/>
      <c r="FI319" s="364"/>
      <c r="FJ319" s="364"/>
      <c r="FK319" s="364"/>
      <c r="FL319" s="364"/>
      <c r="FM319" s="364"/>
      <c r="FN319" s="364"/>
      <c r="FO319" s="364"/>
      <c r="FP319" s="364"/>
      <c r="FQ319" s="364"/>
      <c r="FR319" s="364"/>
      <c r="FS319" s="364"/>
      <c r="FT319" s="364"/>
      <c r="FU319" s="364"/>
      <c r="FV319" s="364"/>
      <c r="FW319" s="364"/>
      <c r="FX319" s="364"/>
      <c r="FY319" s="364"/>
      <c r="FZ319" s="364"/>
      <c r="GA319" s="364"/>
      <c r="GB319" s="364"/>
      <c r="GC319" s="364"/>
      <c r="GD319" s="364"/>
      <c r="GE319" s="364"/>
      <c r="GF319" s="364"/>
      <c r="GG319" s="364"/>
      <c r="GH319" s="364"/>
      <c r="GI319" s="364"/>
      <c r="GJ319" s="364"/>
      <c r="GK319" s="364"/>
      <c r="GL319" s="364"/>
      <c r="GM319" s="364"/>
      <c r="GN319" s="364"/>
      <c r="GO319" s="364"/>
      <c r="GP319" s="364"/>
      <c r="GQ319" s="364"/>
      <c r="GR319" s="364"/>
      <c r="GS319" s="364"/>
      <c r="GT319" s="364"/>
      <c r="GU319" s="364"/>
      <c r="GV319" s="364"/>
      <c r="GW319" s="364"/>
      <c r="GX319" s="364"/>
      <c r="GY319" s="364"/>
      <c r="GZ319" s="364"/>
      <c r="HA319" s="364"/>
      <c r="HB319" s="364"/>
      <c r="HC319" s="364"/>
      <c r="HD319" s="364"/>
      <c r="HE319" s="364"/>
      <c r="HF319" s="364"/>
      <c r="HG319" s="364"/>
      <c r="HH319" s="364"/>
      <c r="HI319" s="364"/>
      <c r="HJ319" s="364"/>
      <c r="HK319" s="364"/>
      <c r="HL319" s="364"/>
    </row>
    <row r="320" spans="2:220" s="287" customFormat="1" ht="22.5" customHeight="1">
      <c r="B320" s="365">
        <v>250129</v>
      </c>
      <c r="C320" s="366" t="s">
        <v>380</v>
      </c>
      <c r="D320" s="367"/>
      <c r="E320" s="368"/>
      <c r="F320" s="321" t="s">
        <v>341</v>
      </c>
      <c r="G320" s="326" t="s">
        <v>2154</v>
      </c>
      <c r="H320" s="326" t="s">
        <v>2155</v>
      </c>
      <c r="I320" s="326" t="s">
        <v>11</v>
      </c>
      <c r="J320" s="326" t="s">
        <v>216</v>
      </c>
      <c r="K320" s="326" t="s">
        <v>203</v>
      </c>
      <c r="L320" s="323"/>
      <c r="M320" s="374"/>
      <c r="N320" s="325" t="s">
        <v>449</v>
      </c>
      <c r="O320" s="326">
        <v>30</v>
      </c>
      <c r="P320" s="327">
        <v>232.26</v>
      </c>
      <c r="Q320" s="369">
        <v>77.42</v>
      </c>
      <c r="R320" s="329" t="s">
        <v>450</v>
      </c>
      <c r="S320" s="331" t="s">
        <v>14180</v>
      </c>
      <c r="T320" s="331" t="s">
        <v>14181</v>
      </c>
      <c r="U320" s="330"/>
      <c r="V320" s="331" t="s">
        <v>14182</v>
      </c>
      <c r="W320" s="332" t="s">
        <v>432</v>
      </c>
      <c r="X320" s="331" t="s">
        <v>11079</v>
      </c>
      <c r="Y320" s="331" t="s">
        <v>11080</v>
      </c>
      <c r="Z320" s="331" t="s">
        <v>11080</v>
      </c>
      <c r="AA320" s="331" t="s">
        <v>210</v>
      </c>
      <c r="AB320" s="333"/>
      <c r="AC320" s="333"/>
      <c r="AD320" s="334" t="s">
        <v>381</v>
      </c>
      <c r="AE320" s="335" t="s">
        <v>309</v>
      </c>
      <c r="AF320" s="336"/>
      <c r="AG320" s="337"/>
      <c r="AH320" s="417">
        <v>13.2</v>
      </c>
      <c r="AI320" s="392">
        <v>28.7</v>
      </c>
      <c r="AJ320" s="392">
        <v>3</v>
      </c>
      <c r="AK320" s="340">
        <f>SUM(AH320:AJ320)</f>
        <v>44.9</v>
      </c>
      <c r="AL320" s="321" t="s">
        <v>210</v>
      </c>
      <c r="AM320" s="392" t="s">
        <v>15</v>
      </c>
      <c r="AN320" s="392" t="s">
        <v>15</v>
      </c>
      <c r="AO320" s="341" t="s">
        <v>15</v>
      </c>
      <c r="AP320" s="342"/>
      <c r="AQ320" s="343"/>
      <c r="AR320" s="370">
        <v>97</v>
      </c>
      <c r="AS320" s="326">
        <v>100</v>
      </c>
      <c r="AT320" s="392">
        <v>2.2999999999999998</v>
      </c>
      <c r="AU320" s="392"/>
      <c r="AV320" s="392" t="s">
        <v>1024</v>
      </c>
      <c r="AW320" s="340"/>
      <c r="AX320" s="347"/>
      <c r="AY320" s="348"/>
      <c r="AZ320" s="377"/>
      <c r="BA320" s="374"/>
      <c r="BB320" s="374"/>
      <c r="BC320" s="374"/>
      <c r="BD320" s="374"/>
      <c r="BE320" s="374"/>
      <c r="BF320" s="374"/>
      <c r="BG320" s="374"/>
      <c r="BH320" s="378"/>
      <c r="BI320" s="376"/>
      <c r="BJ320" s="379"/>
      <c r="BK320" s="380"/>
      <c r="BL320" s="348"/>
      <c r="BM320" s="381"/>
      <c r="BN320" s="321" t="s">
        <v>983</v>
      </c>
      <c r="BO320" s="372"/>
      <c r="BP320" s="373" t="s">
        <v>983</v>
      </c>
      <c r="BQ320" s="360"/>
      <c r="BR320" s="361"/>
      <c r="BS320" s="361"/>
      <c r="BT320" s="361"/>
      <c r="BU320" s="342" t="s">
        <v>210</v>
      </c>
      <c r="BV320" s="342" t="s">
        <v>210</v>
      </c>
      <c r="BW320" s="341" t="s">
        <v>15</v>
      </c>
      <c r="BX320" s="361"/>
      <c r="BY320" s="362" t="s">
        <v>452</v>
      </c>
      <c r="BZ320" s="363"/>
      <c r="CA320" s="363"/>
      <c r="CB320" s="363"/>
      <c r="CC320" s="363"/>
      <c r="CD320" s="293"/>
      <c r="CE320" s="364"/>
      <c r="CF320" s="364"/>
      <c r="CG320" s="364"/>
      <c r="CH320" s="364"/>
      <c r="CI320" s="364"/>
      <c r="CJ320" s="364"/>
      <c r="CK320" s="364"/>
      <c r="CL320" s="364"/>
      <c r="CM320" s="364"/>
      <c r="CN320" s="364"/>
      <c r="CO320" s="364"/>
      <c r="CP320" s="364"/>
      <c r="CQ320" s="364"/>
      <c r="CR320" s="364"/>
      <c r="CS320" s="364"/>
      <c r="CT320" s="364"/>
      <c r="CU320" s="364"/>
      <c r="CV320" s="364"/>
      <c r="CW320" s="364"/>
      <c r="CX320" s="364"/>
      <c r="CY320" s="364"/>
      <c r="CZ320" s="364"/>
      <c r="DA320" s="364"/>
      <c r="DB320" s="364"/>
      <c r="DC320" s="364"/>
      <c r="DD320" s="364"/>
      <c r="DE320" s="364"/>
      <c r="DF320" s="364"/>
      <c r="DG320" s="364"/>
      <c r="DH320" s="364"/>
      <c r="DI320" s="364"/>
      <c r="DJ320" s="364"/>
      <c r="DK320" s="364"/>
      <c r="DL320" s="364"/>
      <c r="DM320" s="364"/>
      <c r="DN320" s="364"/>
      <c r="DO320" s="364"/>
      <c r="DP320" s="364"/>
      <c r="DQ320" s="364"/>
      <c r="DR320" s="364"/>
      <c r="DS320" s="364"/>
      <c r="DT320" s="364"/>
      <c r="DU320" s="364"/>
      <c r="DV320" s="364"/>
      <c r="DW320" s="364"/>
      <c r="DX320" s="364"/>
      <c r="DY320" s="364"/>
      <c r="DZ320" s="364"/>
      <c r="EA320" s="364"/>
      <c r="EB320" s="364"/>
      <c r="EC320" s="364"/>
      <c r="ED320" s="364"/>
      <c r="EE320" s="364"/>
      <c r="EF320" s="364"/>
      <c r="EG320" s="364"/>
      <c r="EH320" s="364"/>
      <c r="EI320" s="364"/>
      <c r="EJ320" s="364"/>
      <c r="EK320" s="364"/>
      <c r="EL320" s="364"/>
      <c r="EM320" s="364"/>
      <c r="EN320" s="364"/>
      <c r="EO320" s="364"/>
      <c r="EP320" s="364"/>
      <c r="EQ320" s="364"/>
      <c r="ER320" s="364"/>
      <c r="ES320" s="364"/>
      <c r="ET320" s="364"/>
      <c r="EU320" s="364"/>
      <c r="EV320" s="364"/>
      <c r="EW320" s="364"/>
      <c r="EX320" s="364"/>
      <c r="EY320" s="364"/>
      <c r="EZ320" s="364"/>
      <c r="FA320" s="364"/>
      <c r="FB320" s="364"/>
      <c r="FC320" s="364"/>
      <c r="FD320" s="364"/>
      <c r="FE320" s="364"/>
      <c r="FF320" s="364"/>
      <c r="FG320" s="364"/>
      <c r="FH320" s="364"/>
      <c r="FI320" s="364"/>
      <c r="FJ320" s="364"/>
      <c r="FK320" s="364"/>
      <c r="FL320" s="364"/>
      <c r="FM320" s="364"/>
      <c r="FN320" s="364"/>
      <c r="FO320" s="364"/>
      <c r="FP320" s="364"/>
      <c r="FQ320" s="364"/>
      <c r="FR320" s="364"/>
      <c r="FS320" s="364"/>
      <c r="FT320" s="364"/>
      <c r="FU320" s="364"/>
      <c r="FV320" s="364"/>
      <c r="FW320" s="364"/>
      <c r="FX320" s="364"/>
      <c r="FY320" s="364"/>
      <c r="FZ320" s="364"/>
      <c r="GA320" s="364"/>
      <c r="GB320" s="364"/>
      <c r="GC320" s="364"/>
      <c r="GD320" s="364"/>
      <c r="GE320" s="364"/>
      <c r="GF320" s="364"/>
      <c r="GG320" s="364"/>
      <c r="GH320" s="364"/>
      <c r="GI320" s="364"/>
      <c r="GJ320" s="364"/>
      <c r="GK320" s="364"/>
      <c r="GL320" s="364"/>
      <c r="GM320" s="364"/>
      <c r="GN320" s="364"/>
      <c r="GO320" s="364"/>
      <c r="GP320" s="364"/>
      <c r="GQ320" s="364"/>
      <c r="GR320" s="364"/>
      <c r="GS320" s="364"/>
      <c r="GT320" s="364"/>
      <c r="GU320" s="364"/>
      <c r="GV320" s="364"/>
      <c r="GW320" s="364"/>
      <c r="GX320" s="364"/>
      <c r="GY320" s="364"/>
      <c r="GZ320" s="364"/>
      <c r="HA320" s="364"/>
      <c r="HB320" s="364"/>
      <c r="HC320" s="364"/>
      <c r="HD320" s="364"/>
      <c r="HE320" s="364"/>
      <c r="HF320" s="364"/>
      <c r="HG320" s="364"/>
      <c r="HH320" s="364"/>
      <c r="HI320" s="364"/>
      <c r="HJ320" s="364"/>
      <c r="HK320" s="364"/>
      <c r="HL320" s="364"/>
    </row>
    <row r="321" spans="1:220" s="287" customFormat="1" ht="22.5" customHeight="1">
      <c r="B321" s="365">
        <v>250130</v>
      </c>
      <c r="C321" s="366" t="s">
        <v>382</v>
      </c>
      <c r="D321" s="367"/>
      <c r="E321" s="368"/>
      <c r="F321" s="321" t="s">
        <v>372</v>
      </c>
      <c r="G321" s="326" t="s">
        <v>2152</v>
      </c>
      <c r="H321" s="326" t="s">
        <v>2153</v>
      </c>
      <c r="I321" s="326" t="s">
        <v>383</v>
      </c>
      <c r="J321" s="326" t="s">
        <v>12</v>
      </c>
      <c r="K321" s="326" t="s">
        <v>324</v>
      </c>
      <c r="L321" s="323"/>
      <c r="M321" s="374"/>
      <c r="N321" s="325" t="s">
        <v>438</v>
      </c>
      <c r="O321" s="327" t="s">
        <v>210</v>
      </c>
      <c r="P321" s="327" t="s">
        <v>210</v>
      </c>
      <c r="Q321" s="369" t="s">
        <v>210</v>
      </c>
      <c r="R321" s="399"/>
      <c r="S321" s="400"/>
      <c r="T321" s="400"/>
      <c r="U321" s="400"/>
      <c r="V321" s="400"/>
      <c r="W321" s="332" t="s">
        <v>1107</v>
      </c>
      <c r="X321" s="394" t="s">
        <v>14177</v>
      </c>
      <c r="Y321" s="394" t="s">
        <v>14178</v>
      </c>
      <c r="Z321" s="394" t="s">
        <v>16261</v>
      </c>
      <c r="AA321" s="394" t="s">
        <v>14179</v>
      </c>
      <c r="AB321" s="333"/>
      <c r="AC321" s="333"/>
      <c r="AD321" s="334" t="s">
        <v>384</v>
      </c>
      <c r="AE321" s="335" t="s">
        <v>373</v>
      </c>
      <c r="AF321" s="336"/>
      <c r="AG321" s="337"/>
      <c r="AH321" s="417" t="s">
        <v>435</v>
      </c>
      <c r="AI321" s="392" t="s">
        <v>435</v>
      </c>
      <c r="AJ321" s="392" t="s">
        <v>435</v>
      </c>
      <c r="AK321" s="340" t="s">
        <v>435</v>
      </c>
      <c r="AL321" s="321" t="s">
        <v>210</v>
      </c>
      <c r="AM321" s="392" t="s">
        <v>15</v>
      </c>
      <c r="AN321" s="392" t="s">
        <v>15</v>
      </c>
      <c r="AO321" s="341" t="s">
        <v>15</v>
      </c>
      <c r="AP321" s="342"/>
      <c r="AQ321" s="343"/>
      <c r="AR321" s="370">
        <v>2165</v>
      </c>
      <c r="AS321" s="326">
        <v>100</v>
      </c>
      <c r="AT321" s="392">
        <v>1</v>
      </c>
      <c r="AU321" s="392"/>
      <c r="AV321" s="392">
        <v>1</v>
      </c>
      <c r="AW321" s="340"/>
      <c r="AX321" s="347"/>
      <c r="AY321" s="348"/>
      <c r="AZ321" s="377"/>
      <c r="BA321" s="374"/>
      <c r="BB321" s="374"/>
      <c r="BC321" s="374"/>
      <c r="BD321" s="374"/>
      <c r="BE321" s="374"/>
      <c r="BF321" s="374"/>
      <c r="BG321" s="374"/>
      <c r="BH321" s="378"/>
      <c r="BI321" s="376"/>
      <c r="BJ321" s="379"/>
      <c r="BK321" s="380"/>
      <c r="BL321" s="348"/>
      <c r="BM321" s="381"/>
      <c r="BN321" s="321" t="s">
        <v>983</v>
      </c>
      <c r="BO321" s="372"/>
      <c r="BP321" s="373" t="s">
        <v>15</v>
      </c>
      <c r="BQ321" s="360"/>
      <c r="BR321" s="361"/>
      <c r="BS321" s="361"/>
      <c r="BT321" s="361"/>
      <c r="BU321" s="342" t="s">
        <v>210</v>
      </c>
      <c r="BV321" s="342" t="s">
        <v>210</v>
      </c>
      <c r="BW321" s="341" t="s">
        <v>15</v>
      </c>
      <c r="BX321" s="361"/>
      <c r="BY321" s="362"/>
      <c r="BZ321" s="363"/>
      <c r="CA321" s="363"/>
      <c r="CB321" s="363"/>
      <c r="CC321" s="363"/>
      <c r="CD321" s="293"/>
      <c r="CE321" s="364"/>
      <c r="CF321" s="364"/>
      <c r="CG321" s="364"/>
      <c r="CH321" s="364"/>
      <c r="CI321" s="364"/>
      <c r="CJ321" s="364"/>
      <c r="CK321" s="364"/>
      <c r="CL321" s="364"/>
      <c r="CM321" s="364"/>
      <c r="CN321" s="364"/>
      <c r="CO321" s="364"/>
      <c r="CP321" s="364"/>
      <c r="CQ321" s="364"/>
      <c r="CR321" s="364"/>
      <c r="CS321" s="364"/>
      <c r="CT321" s="364"/>
      <c r="CU321" s="364"/>
      <c r="CV321" s="364"/>
      <c r="CW321" s="364"/>
      <c r="CX321" s="364"/>
      <c r="CY321" s="364"/>
      <c r="CZ321" s="364"/>
      <c r="DA321" s="364"/>
      <c r="DB321" s="364"/>
      <c r="DC321" s="364"/>
      <c r="DD321" s="364"/>
      <c r="DE321" s="364"/>
      <c r="DF321" s="364"/>
      <c r="DG321" s="364"/>
      <c r="DH321" s="364"/>
      <c r="DI321" s="364"/>
      <c r="DJ321" s="364"/>
      <c r="DK321" s="364"/>
      <c r="DL321" s="364"/>
      <c r="DM321" s="364"/>
      <c r="DN321" s="364"/>
      <c r="DO321" s="364"/>
      <c r="DP321" s="364"/>
      <c r="DQ321" s="364"/>
      <c r="DR321" s="364"/>
      <c r="DS321" s="364"/>
      <c r="DT321" s="364"/>
      <c r="DU321" s="364"/>
      <c r="DV321" s="364"/>
      <c r="DW321" s="364"/>
      <c r="DX321" s="364"/>
      <c r="DY321" s="364"/>
      <c r="DZ321" s="364"/>
      <c r="EA321" s="364"/>
      <c r="EB321" s="364"/>
      <c r="EC321" s="364"/>
      <c r="ED321" s="364"/>
      <c r="EE321" s="364"/>
      <c r="EF321" s="364"/>
      <c r="EG321" s="364"/>
      <c r="EH321" s="364"/>
      <c r="EI321" s="364"/>
      <c r="EJ321" s="364"/>
      <c r="EK321" s="364"/>
      <c r="EL321" s="364"/>
      <c r="EM321" s="364"/>
      <c r="EN321" s="364"/>
      <c r="EO321" s="364"/>
      <c r="EP321" s="364"/>
      <c r="EQ321" s="364"/>
      <c r="ER321" s="364"/>
      <c r="ES321" s="364"/>
      <c r="ET321" s="364"/>
      <c r="EU321" s="364"/>
      <c r="EV321" s="364"/>
      <c r="EW321" s="364"/>
      <c r="EX321" s="364"/>
      <c r="EY321" s="364"/>
      <c r="EZ321" s="364"/>
      <c r="FA321" s="364"/>
      <c r="FB321" s="364"/>
      <c r="FC321" s="364"/>
      <c r="FD321" s="364"/>
      <c r="FE321" s="364"/>
      <c r="FF321" s="364"/>
      <c r="FG321" s="364"/>
      <c r="FH321" s="364"/>
      <c r="FI321" s="364"/>
      <c r="FJ321" s="364"/>
      <c r="FK321" s="364"/>
      <c r="FL321" s="364"/>
      <c r="FM321" s="364"/>
      <c r="FN321" s="364"/>
      <c r="FO321" s="364"/>
      <c r="FP321" s="364"/>
      <c r="FQ321" s="364"/>
      <c r="FR321" s="364"/>
      <c r="FS321" s="364"/>
      <c r="FT321" s="364"/>
      <c r="FU321" s="364"/>
      <c r="FV321" s="364"/>
      <c r="FW321" s="364"/>
      <c r="FX321" s="364"/>
      <c r="FY321" s="364"/>
      <c r="FZ321" s="364"/>
      <c r="GA321" s="364"/>
      <c r="GB321" s="364"/>
      <c r="GC321" s="364"/>
      <c r="GD321" s="364"/>
      <c r="GE321" s="364"/>
      <c r="GF321" s="364"/>
      <c r="GG321" s="364"/>
      <c r="GH321" s="364"/>
      <c r="GI321" s="364"/>
      <c r="GJ321" s="364"/>
      <c r="GK321" s="364"/>
      <c r="GL321" s="364"/>
      <c r="GM321" s="364"/>
      <c r="GN321" s="364"/>
      <c r="GO321" s="364"/>
      <c r="GP321" s="364"/>
      <c r="GQ321" s="364"/>
      <c r="GR321" s="364"/>
      <c r="GS321" s="364"/>
      <c r="GT321" s="364"/>
      <c r="GU321" s="364"/>
      <c r="GV321" s="364"/>
      <c r="GW321" s="364"/>
      <c r="GX321" s="364"/>
      <c r="GY321" s="364"/>
      <c r="GZ321" s="364"/>
      <c r="HA321" s="364"/>
      <c r="HB321" s="364"/>
      <c r="HC321" s="364"/>
      <c r="HD321" s="364"/>
      <c r="HE321" s="364"/>
      <c r="HF321" s="364"/>
      <c r="HG321" s="364"/>
      <c r="HH321" s="364"/>
      <c r="HI321" s="364"/>
      <c r="HJ321" s="364"/>
      <c r="HK321" s="364"/>
      <c r="HL321" s="364"/>
    </row>
    <row r="322" spans="1:220" s="287" customFormat="1" ht="22.5" customHeight="1">
      <c r="B322" s="365">
        <v>250131</v>
      </c>
      <c r="C322" s="366" t="s">
        <v>14169</v>
      </c>
      <c r="D322" s="367"/>
      <c r="E322" s="368"/>
      <c r="F322" s="321" t="s">
        <v>266</v>
      </c>
      <c r="G322" s="326" t="s">
        <v>2127</v>
      </c>
      <c r="H322" s="326" t="s">
        <v>2151</v>
      </c>
      <c r="I322" s="326" t="s">
        <v>11</v>
      </c>
      <c r="J322" s="326" t="s">
        <v>387</v>
      </c>
      <c r="K322" s="326" t="s">
        <v>324</v>
      </c>
      <c r="L322" s="323"/>
      <c r="M322" s="374"/>
      <c r="N322" s="325" t="s">
        <v>438</v>
      </c>
      <c r="O322" s="326">
        <v>30</v>
      </c>
      <c r="P322" s="327">
        <v>6323</v>
      </c>
      <c r="Q322" s="369" t="s">
        <v>210</v>
      </c>
      <c r="R322" s="420" t="s">
        <v>14171</v>
      </c>
      <c r="S322" s="394" t="s">
        <v>14174</v>
      </c>
      <c r="T322" s="394" t="s">
        <v>14175</v>
      </c>
      <c r="U322" s="394" t="s">
        <v>14176</v>
      </c>
      <c r="V322" s="394" t="s">
        <v>14170</v>
      </c>
      <c r="W322" s="645"/>
      <c r="X322" s="400"/>
      <c r="Y322" s="400"/>
      <c r="Z322" s="400"/>
      <c r="AA322" s="400"/>
      <c r="AB322" s="333"/>
      <c r="AC322" s="416"/>
      <c r="AD322" s="375"/>
      <c r="AE322" s="335" t="s">
        <v>294</v>
      </c>
      <c r="AF322" s="336"/>
      <c r="AG322" s="337"/>
      <c r="AH322" s="417" t="s">
        <v>435</v>
      </c>
      <c r="AI322" s="392" t="s">
        <v>435</v>
      </c>
      <c r="AJ322" s="392" t="s">
        <v>435</v>
      </c>
      <c r="AK322" s="340" t="s">
        <v>435</v>
      </c>
      <c r="AL322" s="321" t="s">
        <v>210</v>
      </c>
      <c r="AM322" s="392" t="s">
        <v>15</v>
      </c>
      <c r="AN322" s="392" t="s">
        <v>15</v>
      </c>
      <c r="AO322" s="341" t="s">
        <v>15</v>
      </c>
      <c r="AP322" s="342"/>
      <c r="AQ322" s="343"/>
      <c r="AR322" s="370">
        <v>6354</v>
      </c>
      <c r="AS322" s="326">
        <v>150</v>
      </c>
      <c r="AT322" s="392">
        <v>1</v>
      </c>
      <c r="AU322" s="392"/>
      <c r="AV322" s="392">
        <v>1.5</v>
      </c>
      <c r="AW322" s="340"/>
      <c r="AX322" s="347"/>
      <c r="AY322" s="348"/>
      <c r="AZ322" s="377"/>
      <c r="BA322" s="374"/>
      <c r="BB322" s="374"/>
      <c r="BC322" s="374"/>
      <c r="BD322" s="374"/>
      <c r="BE322" s="374"/>
      <c r="BF322" s="374"/>
      <c r="BG322" s="374"/>
      <c r="BH322" s="378"/>
      <c r="BI322" s="376"/>
      <c r="BJ322" s="431">
        <v>0.66</v>
      </c>
      <c r="BK322" s="380"/>
      <c r="BL322" s="348"/>
      <c r="BM322" s="381"/>
      <c r="BN322" s="321" t="s">
        <v>983</v>
      </c>
      <c r="BO322" s="372"/>
      <c r="BP322" s="373" t="s">
        <v>983</v>
      </c>
      <c r="BQ322" s="360"/>
      <c r="BR322" s="361"/>
      <c r="BS322" s="361"/>
      <c r="BT322" s="361"/>
      <c r="BU322" s="342" t="s">
        <v>210</v>
      </c>
      <c r="BV322" s="342" t="s">
        <v>210</v>
      </c>
      <c r="BW322" s="341" t="s">
        <v>15</v>
      </c>
      <c r="BX322" s="361"/>
      <c r="BY322" s="362"/>
      <c r="BZ322" s="363"/>
      <c r="CA322" s="363"/>
      <c r="CB322" s="363"/>
      <c r="CC322" s="363"/>
      <c r="CD322" s="293"/>
      <c r="CE322" s="364"/>
      <c r="CF322" s="364"/>
      <c r="CG322" s="364"/>
      <c r="CH322" s="364"/>
      <c r="CI322" s="364"/>
      <c r="CJ322" s="364"/>
      <c r="CK322" s="364"/>
      <c r="CL322" s="364"/>
      <c r="CM322" s="364"/>
      <c r="CN322" s="364"/>
      <c r="CO322" s="364"/>
      <c r="CP322" s="364"/>
      <c r="CQ322" s="364"/>
      <c r="CR322" s="364"/>
      <c r="CS322" s="364"/>
      <c r="CT322" s="364"/>
      <c r="CU322" s="364"/>
      <c r="CV322" s="364"/>
      <c r="CW322" s="364"/>
      <c r="CX322" s="364"/>
      <c r="CY322" s="364"/>
      <c r="CZ322" s="364"/>
      <c r="DA322" s="364"/>
      <c r="DB322" s="364"/>
      <c r="DC322" s="364"/>
      <c r="DD322" s="364"/>
      <c r="DE322" s="364"/>
      <c r="DF322" s="364"/>
      <c r="DG322" s="364"/>
      <c r="DH322" s="364"/>
      <c r="DI322" s="364"/>
      <c r="DJ322" s="364"/>
      <c r="DK322" s="364"/>
      <c r="DL322" s="364"/>
      <c r="DM322" s="364"/>
      <c r="DN322" s="364"/>
      <c r="DO322" s="364"/>
      <c r="DP322" s="364"/>
      <c r="DQ322" s="364"/>
      <c r="DR322" s="364"/>
      <c r="DS322" s="364"/>
      <c r="DT322" s="364"/>
      <c r="DU322" s="364"/>
      <c r="DV322" s="364"/>
      <c r="DW322" s="364"/>
      <c r="DX322" s="364"/>
      <c r="DY322" s="364"/>
      <c r="DZ322" s="364"/>
      <c r="EA322" s="364"/>
      <c r="EB322" s="364"/>
      <c r="EC322" s="364"/>
      <c r="ED322" s="364"/>
      <c r="EE322" s="364"/>
      <c r="EF322" s="364"/>
      <c r="EG322" s="364"/>
      <c r="EH322" s="364"/>
      <c r="EI322" s="364"/>
      <c r="EJ322" s="364"/>
      <c r="EK322" s="364"/>
      <c r="EL322" s="364"/>
      <c r="EM322" s="364"/>
      <c r="EN322" s="364"/>
      <c r="EO322" s="364"/>
      <c r="EP322" s="364"/>
      <c r="EQ322" s="364"/>
      <c r="ER322" s="364"/>
      <c r="ES322" s="364"/>
      <c r="ET322" s="364"/>
      <c r="EU322" s="364"/>
      <c r="EV322" s="364"/>
      <c r="EW322" s="364"/>
      <c r="EX322" s="364"/>
      <c r="EY322" s="364"/>
      <c r="EZ322" s="364"/>
      <c r="FA322" s="364"/>
      <c r="FB322" s="364"/>
      <c r="FC322" s="364"/>
      <c r="FD322" s="364"/>
      <c r="FE322" s="364"/>
      <c r="FF322" s="364"/>
      <c r="FG322" s="364"/>
      <c r="FH322" s="364"/>
      <c r="FI322" s="364"/>
      <c r="FJ322" s="364"/>
      <c r="FK322" s="364"/>
      <c r="FL322" s="364"/>
      <c r="FM322" s="364"/>
      <c r="FN322" s="364"/>
      <c r="FO322" s="364"/>
      <c r="FP322" s="364"/>
      <c r="FQ322" s="364"/>
      <c r="FR322" s="364"/>
      <c r="FS322" s="364"/>
      <c r="FT322" s="364"/>
      <c r="FU322" s="364"/>
      <c r="FV322" s="364"/>
      <c r="FW322" s="364"/>
      <c r="FX322" s="364"/>
      <c r="FY322" s="364"/>
      <c r="FZ322" s="364"/>
      <c r="GA322" s="364"/>
      <c r="GB322" s="364"/>
      <c r="GC322" s="364"/>
      <c r="GD322" s="364"/>
      <c r="GE322" s="364"/>
      <c r="GF322" s="364"/>
      <c r="GG322" s="364"/>
      <c r="GH322" s="364"/>
      <c r="GI322" s="364"/>
      <c r="GJ322" s="364"/>
      <c r="GK322" s="364"/>
      <c r="GL322" s="364"/>
      <c r="GM322" s="364"/>
      <c r="GN322" s="364"/>
      <c r="GO322" s="364"/>
      <c r="GP322" s="364"/>
      <c r="GQ322" s="364"/>
      <c r="GR322" s="364"/>
      <c r="GS322" s="364"/>
      <c r="GT322" s="364"/>
      <c r="GU322" s="364"/>
      <c r="GV322" s="364"/>
      <c r="GW322" s="364"/>
      <c r="GX322" s="364"/>
      <c r="GY322" s="364"/>
      <c r="GZ322" s="364"/>
      <c r="HA322" s="364"/>
      <c r="HB322" s="364"/>
      <c r="HC322" s="364"/>
      <c r="HD322" s="364"/>
      <c r="HE322" s="364"/>
      <c r="HF322" s="364"/>
      <c r="HG322" s="364"/>
      <c r="HH322" s="364"/>
      <c r="HI322" s="364"/>
      <c r="HJ322" s="364"/>
      <c r="HK322" s="364"/>
      <c r="HL322" s="364"/>
    </row>
    <row r="323" spans="1:220" s="287" customFormat="1" ht="22.5" customHeight="1">
      <c r="B323" s="365">
        <v>250132</v>
      </c>
      <c r="C323" s="366" t="s">
        <v>386</v>
      </c>
      <c r="D323" s="367"/>
      <c r="E323" s="368"/>
      <c r="F323" s="321" t="s">
        <v>388</v>
      </c>
      <c r="G323" s="326" t="s">
        <v>2149</v>
      </c>
      <c r="H323" s="326" t="s">
        <v>2150</v>
      </c>
      <c r="I323" s="326" t="s">
        <v>11</v>
      </c>
      <c r="J323" s="326" t="s">
        <v>387</v>
      </c>
      <c r="K323" s="326" t="s">
        <v>247</v>
      </c>
      <c r="L323" s="323"/>
      <c r="M323" s="374"/>
      <c r="N323" s="325" t="s">
        <v>1028</v>
      </c>
      <c r="O323" s="327" t="s">
        <v>210</v>
      </c>
      <c r="P323" s="327" t="s">
        <v>210</v>
      </c>
      <c r="Q323" s="369" t="s">
        <v>210</v>
      </c>
      <c r="R323" s="399"/>
      <c r="S323" s="400"/>
      <c r="T323" s="400"/>
      <c r="U323" s="400"/>
      <c r="V323" s="400"/>
      <c r="W323" s="332" t="s">
        <v>3601</v>
      </c>
      <c r="X323" s="332" t="s">
        <v>12614</v>
      </c>
      <c r="Y323" s="332" t="s">
        <v>12617</v>
      </c>
      <c r="Z323" s="332" t="s">
        <v>12615</v>
      </c>
      <c r="AA323" s="394" t="s">
        <v>12616</v>
      </c>
      <c r="AB323" s="333"/>
      <c r="AC323" s="333"/>
      <c r="AD323" s="334" t="s">
        <v>389</v>
      </c>
      <c r="AE323" s="391"/>
      <c r="AF323" s="336"/>
      <c r="AG323" s="337"/>
      <c r="AH323" s="417" t="s">
        <v>435</v>
      </c>
      <c r="AI323" s="392" t="s">
        <v>435</v>
      </c>
      <c r="AJ323" s="392" t="s">
        <v>435</v>
      </c>
      <c r="AK323" s="340" t="s">
        <v>435</v>
      </c>
      <c r="AL323" s="321" t="s">
        <v>210</v>
      </c>
      <c r="AM323" s="392" t="s">
        <v>15</v>
      </c>
      <c r="AN323" s="392" t="s">
        <v>15</v>
      </c>
      <c r="AO323" s="341" t="s">
        <v>15</v>
      </c>
      <c r="AP323" s="342"/>
      <c r="AQ323" s="343"/>
      <c r="AR323" s="370">
        <v>1733</v>
      </c>
      <c r="AS323" s="326">
        <v>150</v>
      </c>
      <c r="AT323" s="392">
        <v>0.8</v>
      </c>
      <c r="AU323" s="392"/>
      <c r="AV323" s="392">
        <v>1.4</v>
      </c>
      <c r="AW323" s="340"/>
      <c r="AX323" s="347"/>
      <c r="AY323" s="348"/>
      <c r="AZ323" s="377"/>
      <c r="BA323" s="374"/>
      <c r="BB323" s="374"/>
      <c r="BC323" s="374"/>
      <c r="BD323" s="374"/>
      <c r="BE323" s="374"/>
      <c r="BF323" s="374"/>
      <c r="BG323" s="374"/>
      <c r="BH323" s="378"/>
      <c r="BI323" s="376"/>
      <c r="BJ323" s="379"/>
      <c r="BK323" s="380"/>
      <c r="BL323" s="348"/>
      <c r="BM323" s="381"/>
      <c r="BN323" s="321" t="s">
        <v>983</v>
      </c>
      <c r="BO323" s="372"/>
      <c r="BP323" s="373" t="s">
        <v>15</v>
      </c>
      <c r="BQ323" s="360"/>
      <c r="BR323" s="361"/>
      <c r="BS323" s="361"/>
      <c r="BT323" s="361"/>
      <c r="BU323" s="342" t="s">
        <v>210</v>
      </c>
      <c r="BV323" s="342" t="s">
        <v>210</v>
      </c>
      <c r="BW323" s="341" t="s">
        <v>15</v>
      </c>
      <c r="BX323" s="361"/>
      <c r="BY323" s="362"/>
      <c r="BZ323" s="363"/>
      <c r="CA323" s="363"/>
      <c r="CB323" s="363"/>
      <c r="CC323" s="363"/>
      <c r="CD323" s="293"/>
      <c r="CE323" s="364"/>
      <c r="CF323" s="364"/>
      <c r="CG323" s="364"/>
      <c r="CH323" s="364"/>
      <c r="CI323" s="364"/>
      <c r="CJ323" s="364"/>
      <c r="CK323" s="364"/>
      <c r="CL323" s="364"/>
      <c r="CM323" s="364"/>
      <c r="CN323" s="364"/>
      <c r="CO323" s="364"/>
      <c r="CP323" s="364"/>
      <c r="CQ323" s="364"/>
      <c r="CR323" s="364"/>
      <c r="CS323" s="364"/>
      <c r="CT323" s="364"/>
      <c r="CU323" s="364"/>
      <c r="CV323" s="364"/>
      <c r="CW323" s="364"/>
      <c r="CX323" s="364"/>
      <c r="CY323" s="364"/>
      <c r="CZ323" s="364"/>
      <c r="DA323" s="364"/>
      <c r="DB323" s="364"/>
      <c r="DC323" s="364"/>
      <c r="DD323" s="364"/>
      <c r="DE323" s="364"/>
      <c r="DF323" s="364"/>
      <c r="DG323" s="364"/>
      <c r="DH323" s="364"/>
      <c r="DI323" s="364"/>
      <c r="DJ323" s="364"/>
      <c r="DK323" s="364"/>
      <c r="DL323" s="364"/>
      <c r="DM323" s="364"/>
      <c r="DN323" s="364"/>
      <c r="DO323" s="364"/>
      <c r="DP323" s="364"/>
      <c r="DQ323" s="364"/>
      <c r="DR323" s="364"/>
      <c r="DS323" s="364"/>
      <c r="DT323" s="364"/>
      <c r="DU323" s="364"/>
      <c r="DV323" s="364"/>
      <c r="DW323" s="364"/>
      <c r="DX323" s="364"/>
      <c r="DY323" s="364"/>
      <c r="DZ323" s="364"/>
      <c r="EA323" s="364"/>
      <c r="EB323" s="364"/>
      <c r="EC323" s="364"/>
      <c r="ED323" s="364"/>
      <c r="EE323" s="364"/>
      <c r="EF323" s="364"/>
      <c r="EG323" s="364"/>
      <c r="EH323" s="364"/>
      <c r="EI323" s="364"/>
      <c r="EJ323" s="364"/>
      <c r="EK323" s="364"/>
      <c r="EL323" s="364"/>
      <c r="EM323" s="364"/>
      <c r="EN323" s="364"/>
      <c r="EO323" s="364"/>
      <c r="EP323" s="364"/>
      <c r="EQ323" s="364"/>
      <c r="ER323" s="364"/>
      <c r="ES323" s="364"/>
      <c r="ET323" s="364"/>
      <c r="EU323" s="364"/>
      <c r="EV323" s="364"/>
      <c r="EW323" s="364"/>
      <c r="EX323" s="364"/>
      <c r="EY323" s="364"/>
      <c r="EZ323" s="364"/>
      <c r="FA323" s="364"/>
      <c r="FB323" s="364"/>
      <c r="FC323" s="364"/>
      <c r="FD323" s="364"/>
      <c r="FE323" s="364"/>
      <c r="FF323" s="364"/>
      <c r="FG323" s="364"/>
      <c r="FH323" s="364"/>
      <c r="FI323" s="364"/>
      <c r="FJ323" s="364"/>
      <c r="FK323" s="364"/>
      <c r="FL323" s="364"/>
      <c r="FM323" s="364"/>
      <c r="FN323" s="364"/>
      <c r="FO323" s="364"/>
      <c r="FP323" s="364"/>
      <c r="FQ323" s="364"/>
      <c r="FR323" s="364"/>
      <c r="FS323" s="364"/>
      <c r="FT323" s="364"/>
      <c r="FU323" s="364"/>
      <c r="FV323" s="364"/>
      <c r="FW323" s="364"/>
      <c r="FX323" s="364"/>
      <c r="FY323" s="364"/>
      <c r="FZ323" s="364"/>
      <c r="GA323" s="364"/>
      <c r="GB323" s="364"/>
      <c r="GC323" s="364"/>
      <c r="GD323" s="364"/>
      <c r="GE323" s="364"/>
      <c r="GF323" s="364"/>
      <c r="GG323" s="364"/>
      <c r="GH323" s="364"/>
      <c r="GI323" s="364"/>
      <c r="GJ323" s="364"/>
      <c r="GK323" s="364"/>
      <c r="GL323" s="364"/>
      <c r="GM323" s="364"/>
      <c r="GN323" s="364"/>
      <c r="GO323" s="364"/>
      <c r="GP323" s="364"/>
      <c r="GQ323" s="364"/>
      <c r="GR323" s="364"/>
      <c r="GS323" s="364"/>
      <c r="GT323" s="364"/>
      <c r="GU323" s="364"/>
      <c r="GV323" s="364"/>
      <c r="GW323" s="364"/>
      <c r="GX323" s="364"/>
      <c r="GY323" s="364"/>
      <c r="GZ323" s="364"/>
      <c r="HA323" s="364"/>
      <c r="HB323" s="364"/>
      <c r="HC323" s="364"/>
      <c r="HD323" s="364"/>
      <c r="HE323" s="364"/>
      <c r="HF323" s="364"/>
      <c r="HG323" s="364"/>
      <c r="HH323" s="364"/>
      <c r="HI323" s="364"/>
      <c r="HJ323" s="364"/>
      <c r="HK323" s="364"/>
      <c r="HL323" s="364"/>
    </row>
    <row r="324" spans="1:220" s="287" customFormat="1" ht="22.5" customHeight="1">
      <c r="B324" s="365">
        <v>250134</v>
      </c>
      <c r="C324" s="366" t="s">
        <v>13404</v>
      </c>
      <c r="D324" s="367"/>
      <c r="E324" s="368"/>
      <c r="F324" s="321" t="s">
        <v>372</v>
      </c>
      <c r="G324" s="326" t="s">
        <v>2147</v>
      </c>
      <c r="H324" s="326" t="s">
        <v>2148</v>
      </c>
      <c r="I324" s="326" t="s">
        <v>383</v>
      </c>
      <c r="J324" s="326" t="s">
        <v>12</v>
      </c>
      <c r="K324" s="326" t="s">
        <v>324</v>
      </c>
      <c r="L324" s="323"/>
      <c r="M324" s="324" t="s">
        <v>10768</v>
      </c>
      <c r="N324" s="325" t="s">
        <v>437</v>
      </c>
      <c r="O324" s="326">
        <v>30</v>
      </c>
      <c r="P324" s="327">
        <v>1837.75</v>
      </c>
      <c r="Q324" s="369">
        <v>1840</v>
      </c>
      <c r="R324" s="329" t="s">
        <v>1094</v>
      </c>
      <c r="S324" s="331" t="s">
        <v>12949</v>
      </c>
      <c r="T324" s="331" t="s">
        <v>11123</v>
      </c>
      <c r="U324" s="331" t="s">
        <v>16209</v>
      </c>
      <c r="V324" s="331" t="s">
        <v>11124</v>
      </c>
      <c r="W324" s="332" t="s">
        <v>432</v>
      </c>
      <c r="X324" s="331" t="s">
        <v>11079</v>
      </c>
      <c r="Y324" s="331" t="s">
        <v>11080</v>
      </c>
      <c r="Z324" s="331" t="s">
        <v>11080</v>
      </c>
      <c r="AA324" s="331" t="s">
        <v>210</v>
      </c>
      <c r="AB324" s="416" t="s">
        <v>16099</v>
      </c>
      <c r="AC324" s="416"/>
      <c r="AD324" s="334" t="s">
        <v>2329</v>
      </c>
      <c r="AE324" s="335" t="s">
        <v>309</v>
      </c>
      <c r="AF324" s="336"/>
      <c r="AG324" s="337"/>
      <c r="AH324" s="417">
        <v>8.6999999999999993</v>
      </c>
      <c r="AI324" s="392">
        <v>16.600000000000001</v>
      </c>
      <c r="AJ324" s="392">
        <v>12.4</v>
      </c>
      <c r="AK324" s="340">
        <f>SUM(AH324:AJ324)</f>
        <v>37.700000000000003</v>
      </c>
      <c r="AL324" s="321" t="s">
        <v>210</v>
      </c>
      <c r="AM324" s="392" t="s">
        <v>15</v>
      </c>
      <c r="AN324" s="392" t="s">
        <v>15</v>
      </c>
      <c r="AO324" s="341" t="s">
        <v>15</v>
      </c>
      <c r="AP324" s="342"/>
      <c r="AQ324" s="343"/>
      <c r="AR324" s="370">
        <v>2087</v>
      </c>
      <c r="AS324" s="326">
        <v>80</v>
      </c>
      <c r="AT324" s="392">
        <v>1</v>
      </c>
      <c r="AU324" s="392"/>
      <c r="AV324" s="392">
        <v>1.2</v>
      </c>
      <c r="AW324" s="340"/>
      <c r="AX324" s="347"/>
      <c r="AY324" s="348"/>
      <c r="AZ324" s="377"/>
      <c r="BA324" s="374"/>
      <c r="BB324" s="374"/>
      <c r="BC324" s="374"/>
      <c r="BD324" s="374"/>
      <c r="BE324" s="374"/>
      <c r="BF324" s="374"/>
      <c r="BG324" s="374"/>
      <c r="BH324" s="378"/>
      <c r="BI324" s="376"/>
      <c r="BJ324" s="379"/>
      <c r="BK324" s="380"/>
      <c r="BL324" s="348"/>
      <c r="BM324" s="381"/>
      <c r="BN324" s="321" t="s">
        <v>983</v>
      </c>
      <c r="BO324" s="372"/>
      <c r="BP324" s="373" t="s">
        <v>983</v>
      </c>
      <c r="BQ324" s="360"/>
      <c r="BR324" s="361"/>
      <c r="BS324" s="361"/>
      <c r="BT324" s="361"/>
      <c r="BU324" s="342" t="s">
        <v>210</v>
      </c>
      <c r="BV324" s="342" t="s">
        <v>210</v>
      </c>
      <c r="BW324" s="341" t="s">
        <v>15</v>
      </c>
      <c r="BX324" s="361"/>
      <c r="BY324" s="362"/>
      <c r="BZ324" s="363"/>
      <c r="CA324" s="363"/>
      <c r="CB324" s="363"/>
      <c r="CC324" s="363"/>
      <c r="CD324" s="293"/>
      <c r="CE324" s="364"/>
      <c r="CF324" s="364"/>
      <c r="CG324" s="364"/>
      <c r="CH324" s="364"/>
      <c r="CI324" s="364"/>
      <c r="CJ324" s="364"/>
      <c r="CK324" s="364"/>
      <c r="CL324" s="364"/>
      <c r="CM324" s="364"/>
      <c r="CN324" s="364"/>
      <c r="CO324" s="364"/>
      <c r="CP324" s="364"/>
      <c r="CQ324" s="364"/>
      <c r="CR324" s="364"/>
      <c r="CS324" s="364"/>
      <c r="CT324" s="364"/>
      <c r="CU324" s="364"/>
      <c r="CV324" s="364"/>
      <c r="CW324" s="364"/>
      <c r="CX324" s="364"/>
      <c r="CY324" s="364"/>
      <c r="CZ324" s="364"/>
      <c r="DA324" s="364"/>
      <c r="DB324" s="364"/>
      <c r="DC324" s="364"/>
      <c r="DD324" s="364"/>
      <c r="DE324" s="364"/>
      <c r="DF324" s="364"/>
      <c r="DG324" s="364"/>
      <c r="DH324" s="364"/>
      <c r="DI324" s="364"/>
      <c r="DJ324" s="364"/>
      <c r="DK324" s="364"/>
      <c r="DL324" s="364"/>
      <c r="DM324" s="364"/>
      <c r="DN324" s="364"/>
      <c r="DO324" s="364"/>
      <c r="DP324" s="364"/>
      <c r="DQ324" s="364"/>
      <c r="DR324" s="364"/>
      <c r="DS324" s="364"/>
      <c r="DT324" s="364"/>
      <c r="DU324" s="364"/>
      <c r="DV324" s="364"/>
      <c r="DW324" s="364"/>
      <c r="DX324" s="364"/>
      <c r="DY324" s="364"/>
      <c r="DZ324" s="364"/>
      <c r="EA324" s="364"/>
      <c r="EB324" s="364"/>
      <c r="EC324" s="364"/>
      <c r="ED324" s="364"/>
      <c r="EE324" s="364"/>
      <c r="EF324" s="364"/>
      <c r="EG324" s="364"/>
      <c r="EH324" s="364"/>
      <c r="EI324" s="364"/>
      <c r="EJ324" s="364"/>
      <c r="EK324" s="364"/>
      <c r="EL324" s="364"/>
      <c r="EM324" s="364"/>
      <c r="EN324" s="364"/>
      <c r="EO324" s="364"/>
      <c r="EP324" s="364"/>
      <c r="EQ324" s="364"/>
      <c r="ER324" s="364"/>
      <c r="ES324" s="364"/>
      <c r="ET324" s="364"/>
      <c r="EU324" s="364"/>
      <c r="EV324" s="364"/>
      <c r="EW324" s="364"/>
      <c r="EX324" s="364"/>
      <c r="EY324" s="364"/>
      <c r="EZ324" s="364"/>
      <c r="FA324" s="364"/>
      <c r="FB324" s="364"/>
      <c r="FC324" s="364"/>
      <c r="FD324" s="364"/>
      <c r="FE324" s="364"/>
      <c r="FF324" s="364"/>
      <c r="FG324" s="364"/>
      <c r="FH324" s="364"/>
      <c r="FI324" s="364"/>
      <c r="FJ324" s="364"/>
      <c r="FK324" s="364"/>
      <c r="FL324" s="364"/>
      <c r="FM324" s="364"/>
      <c r="FN324" s="364"/>
      <c r="FO324" s="364"/>
      <c r="FP324" s="364"/>
      <c r="FQ324" s="364"/>
      <c r="FR324" s="364"/>
      <c r="FS324" s="364"/>
      <c r="FT324" s="364"/>
      <c r="FU324" s="364"/>
      <c r="FV324" s="364"/>
      <c r="FW324" s="364"/>
      <c r="FX324" s="364"/>
      <c r="FY324" s="364"/>
      <c r="FZ324" s="364"/>
      <c r="GA324" s="364"/>
      <c r="GB324" s="364"/>
      <c r="GC324" s="364"/>
      <c r="GD324" s="364"/>
      <c r="GE324" s="364"/>
      <c r="GF324" s="364"/>
      <c r="GG324" s="364"/>
      <c r="GH324" s="364"/>
      <c r="GI324" s="364"/>
      <c r="GJ324" s="364"/>
      <c r="GK324" s="364"/>
      <c r="GL324" s="364"/>
      <c r="GM324" s="364"/>
      <c r="GN324" s="364"/>
      <c r="GO324" s="364"/>
      <c r="GP324" s="364"/>
      <c r="GQ324" s="364"/>
      <c r="GR324" s="364"/>
      <c r="GS324" s="364"/>
      <c r="GT324" s="364"/>
      <c r="GU324" s="364"/>
      <c r="GV324" s="364"/>
      <c r="GW324" s="364"/>
      <c r="GX324" s="364"/>
      <c r="GY324" s="364"/>
      <c r="GZ324" s="364"/>
      <c r="HA324" s="364"/>
      <c r="HB324" s="364"/>
      <c r="HC324" s="364"/>
      <c r="HD324" s="364"/>
      <c r="HE324" s="364"/>
      <c r="HF324" s="364"/>
      <c r="HG324" s="364"/>
      <c r="HH324" s="364"/>
      <c r="HI324" s="364"/>
      <c r="HJ324" s="364"/>
      <c r="HK324" s="364"/>
      <c r="HL324" s="364"/>
    </row>
    <row r="325" spans="1:220" s="287" customFormat="1" ht="22.5" customHeight="1">
      <c r="B325" s="365">
        <v>250135</v>
      </c>
      <c r="C325" s="366" t="s">
        <v>14165</v>
      </c>
      <c r="D325" s="367"/>
      <c r="E325" s="368"/>
      <c r="F325" s="321" t="s">
        <v>400</v>
      </c>
      <c r="G325" s="326" t="s">
        <v>2145</v>
      </c>
      <c r="H325" s="326" t="s">
        <v>2146</v>
      </c>
      <c r="I325" s="326" t="s">
        <v>383</v>
      </c>
      <c r="J325" s="326" t="s">
        <v>399</v>
      </c>
      <c r="K325" s="326" t="s">
        <v>247</v>
      </c>
      <c r="L325" s="323"/>
      <c r="M325" s="374"/>
      <c r="N325" s="325" t="s">
        <v>438</v>
      </c>
      <c r="O325" s="327" t="s">
        <v>210</v>
      </c>
      <c r="P325" s="327" t="s">
        <v>210</v>
      </c>
      <c r="Q325" s="369" t="s">
        <v>210</v>
      </c>
      <c r="R325" s="399"/>
      <c r="S325" s="400"/>
      <c r="T325" s="400"/>
      <c r="U325" s="400"/>
      <c r="V325" s="400"/>
      <c r="W325" s="332" t="s">
        <v>555</v>
      </c>
      <c r="X325" s="394" t="s">
        <v>14166</v>
      </c>
      <c r="Y325" s="394" t="s">
        <v>14167</v>
      </c>
      <c r="Z325" s="394" t="s">
        <v>16491</v>
      </c>
      <c r="AA325" s="394" t="s">
        <v>14168</v>
      </c>
      <c r="AB325" s="333"/>
      <c r="AC325" s="333"/>
      <c r="AD325" s="334" t="s">
        <v>816</v>
      </c>
      <c r="AE325" s="335" t="s">
        <v>810</v>
      </c>
      <c r="AF325" s="336"/>
      <c r="AG325" s="337"/>
      <c r="AH325" s="417" t="s">
        <v>435</v>
      </c>
      <c r="AI325" s="392" t="s">
        <v>435</v>
      </c>
      <c r="AJ325" s="392" t="s">
        <v>435</v>
      </c>
      <c r="AK325" s="340" t="s">
        <v>435</v>
      </c>
      <c r="AL325" s="417" t="s">
        <v>210</v>
      </c>
      <c r="AM325" s="392" t="s">
        <v>210</v>
      </c>
      <c r="AN325" s="392" t="s">
        <v>210</v>
      </c>
      <c r="AO325" s="341" t="s">
        <v>210</v>
      </c>
      <c r="AP325" s="342"/>
      <c r="AQ325" s="343"/>
      <c r="AR325" s="370">
        <v>1234</v>
      </c>
      <c r="AS325" s="326">
        <v>100</v>
      </c>
      <c r="AT325" s="392">
        <v>1</v>
      </c>
      <c r="AU325" s="392"/>
      <c r="AV325" s="392">
        <v>1.2</v>
      </c>
      <c r="AW325" s="340"/>
      <c r="AX325" s="347"/>
      <c r="AY325" s="348"/>
      <c r="AZ325" s="377"/>
      <c r="BA325" s="374"/>
      <c r="BB325" s="374"/>
      <c r="BC325" s="374"/>
      <c r="BD325" s="374"/>
      <c r="BE325" s="374"/>
      <c r="BF325" s="374"/>
      <c r="BG325" s="374"/>
      <c r="BH325" s="378"/>
      <c r="BI325" s="376"/>
      <c r="BJ325" s="379"/>
      <c r="BK325" s="380"/>
      <c r="BL325" s="348"/>
      <c r="BM325" s="381"/>
      <c r="BN325" s="321" t="s">
        <v>983</v>
      </c>
      <c r="BO325" s="372"/>
      <c r="BP325" s="373" t="s">
        <v>15</v>
      </c>
      <c r="BQ325" s="360"/>
      <c r="BR325" s="361"/>
      <c r="BS325" s="361"/>
      <c r="BT325" s="361"/>
      <c r="BU325" s="342" t="s">
        <v>210</v>
      </c>
      <c r="BV325" s="342" t="s">
        <v>210</v>
      </c>
      <c r="BW325" s="341" t="s">
        <v>15</v>
      </c>
      <c r="BX325" s="361"/>
      <c r="BY325" s="362"/>
      <c r="BZ325" s="363"/>
      <c r="CA325" s="363"/>
      <c r="CB325" s="363"/>
      <c r="CC325" s="363"/>
      <c r="CD325" s="293"/>
      <c r="CE325" s="364"/>
      <c r="CF325" s="364"/>
      <c r="CG325" s="364"/>
      <c r="CH325" s="364"/>
      <c r="CI325" s="364"/>
      <c r="CJ325" s="364"/>
      <c r="CK325" s="364"/>
      <c r="CL325" s="364"/>
      <c r="CM325" s="364"/>
      <c r="CN325" s="364"/>
      <c r="CO325" s="364"/>
      <c r="CP325" s="364"/>
      <c r="CQ325" s="364"/>
      <c r="CR325" s="364"/>
      <c r="CS325" s="364"/>
      <c r="CT325" s="364"/>
      <c r="CU325" s="364"/>
      <c r="CV325" s="364"/>
      <c r="CW325" s="364"/>
      <c r="CX325" s="364"/>
      <c r="CY325" s="364"/>
      <c r="CZ325" s="364"/>
      <c r="DA325" s="364"/>
      <c r="DB325" s="364"/>
      <c r="DC325" s="364"/>
      <c r="DD325" s="364"/>
      <c r="DE325" s="364"/>
      <c r="DF325" s="364"/>
      <c r="DG325" s="364"/>
      <c r="DH325" s="364"/>
      <c r="DI325" s="364"/>
      <c r="DJ325" s="364"/>
      <c r="DK325" s="364"/>
      <c r="DL325" s="364"/>
      <c r="DM325" s="364"/>
      <c r="DN325" s="364"/>
      <c r="DO325" s="364"/>
      <c r="DP325" s="364"/>
      <c r="DQ325" s="364"/>
      <c r="DR325" s="364"/>
      <c r="DS325" s="364"/>
      <c r="DT325" s="364"/>
      <c r="DU325" s="364"/>
      <c r="DV325" s="364"/>
      <c r="DW325" s="364"/>
      <c r="DX325" s="364"/>
      <c r="DY325" s="364"/>
      <c r="DZ325" s="364"/>
      <c r="EA325" s="364"/>
      <c r="EB325" s="364"/>
      <c r="EC325" s="364"/>
      <c r="ED325" s="364"/>
      <c r="EE325" s="364"/>
      <c r="EF325" s="364"/>
      <c r="EG325" s="364"/>
      <c r="EH325" s="364"/>
      <c r="EI325" s="364"/>
      <c r="EJ325" s="364"/>
      <c r="EK325" s="364"/>
      <c r="EL325" s="364"/>
      <c r="EM325" s="364"/>
      <c r="EN325" s="364"/>
      <c r="EO325" s="364"/>
      <c r="EP325" s="364"/>
      <c r="EQ325" s="364"/>
      <c r="ER325" s="364"/>
      <c r="ES325" s="364"/>
      <c r="ET325" s="364"/>
      <c r="EU325" s="364"/>
      <c r="EV325" s="364"/>
      <c r="EW325" s="364"/>
      <c r="EX325" s="364"/>
      <c r="EY325" s="364"/>
      <c r="EZ325" s="364"/>
      <c r="FA325" s="364"/>
      <c r="FB325" s="364"/>
      <c r="FC325" s="364"/>
      <c r="FD325" s="364"/>
      <c r="FE325" s="364"/>
      <c r="FF325" s="364"/>
      <c r="FG325" s="364"/>
      <c r="FH325" s="364"/>
      <c r="FI325" s="364"/>
      <c r="FJ325" s="364"/>
      <c r="FK325" s="364"/>
      <c r="FL325" s="364"/>
      <c r="FM325" s="364"/>
      <c r="FN325" s="364"/>
      <c r="FO325" s="364"/>
      <c r="FP325" s="364"/>
      <c r="FQ325" s="364"/>
      <c r="FR325" s="364"/>
      <c r="FS325" s="364"/>
      <c r="FT325" s="364"/>
      <c r="FU325" s="364"/>
      <c r="FV325" s="364"/>
      <c r="FW325" s="364"/>
      <c r="FX325" s="364"/>
      <c r="FY325" s="364"/>
      <c r="FZ325" s="364"/>
      <c r="GA325" s="364"/>
      <c r="GB325" s="364"/>
      <c r="GC325" s="364"/>
      <c r="GD325" s="364"/>
      <c r="GE325" s="364"/>
      <c r="GF325" s="364"/>
      <c r="GG325" s="364"/>
      <c r="GH325" s="364"/>
      <c r="GI325" s="364"/>
      <c r="GJ325" s="364"/>
      <c r="GK325" s="364"/>
      <c r="GL325" s="364"/>
      <c r="GM325" s="364"/>
      <c r="GN325" s="364"/>
      <c r="GO325" s="364"/>
      <c r="GP325" s="364"/>
      <c r="GQ325" s="364"/>
      <c r="GR325" s="364"/>
      <c r="GS325" s="364"/>
      <c r="GT325" s="364"/>
      <c r="GU325" s="364"/>
      <c r="GV325" s="364"/>
      <c r="GW325" s="364"/>
      <c r="GX325" s="364"/>
      <c r="GY325" s="364"/>
      <c r="GZ325" s="364"/>
      <c r="HA325" s="364"/>
      <c r="HB325" s="364"/>
      <c r="HC325" s="364"/>
      <c r="HD325" s="364"/>
      <c r="HE325" s="364"/>
      <c r="HF325" s="364"/>
      <c r="HG325" s="364"/>
      <c r="HH325" s="364"/>
      <c r="HI325" s="364"/>
      <c r="HJ325" s="364"/>
      <c r="HK325" s="364"/>
      <c r="HL325" s="364"/>
    </row>
    <row r="326" spans="1:220" s="465" customFormat="1" ht="22.5" customHeight="1">
      <c r="A326" s="287"/>
      <c r="B326" s="657">
        <v>250136</v>
      </c>
      <c r="C326" s="658" t="s">
        <v>14164</v>
      </c>
      <c r="D326" s="659"/>
      <c r="E326" s="660"/>
      <c r="F326" s="661"/>
      <c r="G326" s="662"/>
      <c r="H326" s="662"/>
      <c r="I326" s="662" t="s">
        <v>383</v>
      </c>
      <c r="J326" s="662"/>
      <c r="K326" s="662" t="s">
        <v>324</v>
      </c>
      <c r="L326" s="663"/>
      <c r="M326" s="662"/>
      <c r="N326" s="664" t="s">
        <v>438</v>
      </c>
      <c r="O326" s="665" t="s">
        <v>210</v>
      </c>
      <c r="P326" s="665" t="s">
        <v>210</v>
      </c>
      <c r="Q326" s="666" t="s">
        <v>210</v>
      </c>
      <c r="R326" s="667" t="s">
        <v>1086</v>
      </c>
      <c r="S326" s="668" t="s">
        <v>11142</v>
      </c>
      <c r="T326" s="668" t="s">
        <v>14922</v>
      </c>
      <c r="U326" s="668"/>
      <c r="V326" s="668" t="s">
        <v>11143</v>
      </c>
      <c r="W326" s="669" t="s">
        <v>519</v>
      </c>
      <c r="X326" s="668" t="s">
        <v>15444</v>
      </c>
      <c r="Y326" s="668"/>
      <c r="Z326" s="668"/>
      <c r="AA326" s="668" t="s">
        <v>11144</v>
      </c>
      <c r="AB326" s="670"/>
      <c r="AC326" s="670"/>
      <c r="AD326" s="671"/>
      <c r="AE326" s="672"/>
      <c r="AF326" s="673"/>
      <c r="AG326" s="674" t="s">
        <v>10514</v>
      </c>
      <c r="AH326" s="675" t="s">
        <v>435</v>
      </c>
      <c r="AI326" s="676" t="s">
        <v>435</v>
      </c>
      <c r="AJ326" s="676" t="s">
        <v>435</v>
      </c>
      <c r="AK326" s="677" t="s">
        <v>435</v>
      </c>
      <c r="AL326" s="675" t="s">
        <v>210</v>
      </c>
      <c r="AM326" s="676" t="s">
        <v>210</v>
      </c>
      <c r="AN326" s="676" t="s">
        <v>210</v>
      </c>
      <c r="AO326" s="678" t="s">
        <v>210</v>
      </c>
      <c r="AP326" s="663"/>
      <c r="AQ326" s="679"/>
      <c r="AR326" s="680"/>
      <c r="AS326" s="662">
        <v>100</v>
      </c>
      <c r="AT326" s="676">
        <v>1</v>
      </c>
      <c r="AU326" s="676"/>
      <c r="AV326" s="676">
        <v>1.5</v>
      </c>
      <c r="AW326" s="677"/>
      <c r="AX326" s="676"/>
      <c r="AY326" s="681"/>
      <c r="AZ326" s="661"/>
      <c r="BA326" s="662"/>
      <c r="BB326" s="662"/>
      <c r="BC326" s="662"/>
      <c r="BD326" s="662"/>
      <c r="BE326" s="662"/>
      <c r="BF326" s="662"/>
      <c r="BG326" s="662"/>
      <c r="BH326" s="682"/>
      <c r="BI326" s="675"/>
      <c r="BJ326" s="683"/>
      <c r="BK326" s="684"/>
      <c r="BL326" s="681"/>
      <c r="BM326" s="685"/>
      <c r="BN326" s="661"/>
      <c r="BO326" s="686"/>
      <c r="BP326" s="682"/>
      <c r="BQ326" s="687"/>
      <c r="BR326" s="663"/>
      <c r="BS326" s="663"/>
      <c r="BT326" s="663"/>
      <c r="BU326" s="663" t="s">
        <v>5510</v>
      </c>
      <c r="BV326" s="663" t="s">
        <v>5510</v>
      </c>
      <c r="BW326" s="678"/>
      <c r="BX326" s="688"/>
      <c r="BY326" s="689" t="s">
        <v>1076</v>
      </c>
      <c r="BZ326" s="483"/>
      <c r="CA326" s="483"/>
      <c r="CB326" s="483"/>
      <c r="CC326" s="483"/>
      <c r="CD326" s="484"/>
      <c r="CE326" s="690"/>
      <c r="CF326" s="690"/>
      <c r="CG326" s="690"/>
      <c r="CH326" s="690"/>
      <c r="CI326" s="690"/>
      <c r="CJ326" s="690"/>
      <c r="CK326" s="690"/>
      <c r="CL326" s="690"/>
      <c r="CM326" s="690"/>
      <c r="CN326" s="690"/>
      <c r="CO326" s="690"/>
      <c r="CP326" s="690"/>
      <c r="CQ326" s="690"/>
      <c r="CR326" s="690"/>
      <c r="CS326" s="690"/>
      <c r="CT326" s="690"/>
      <c r="CU326" s="690"/>
      <c r="CV326" s="690"/>
      <c r="CW326" s="690"/>
      <c r="CX326" s="690"/>
      <c r="CY326" s="690"/>
      <c r="CZ326" s="690"/>
      <c r="DA326" s="690"/>
      <c r="DB326" s="690"/>
      <c r="DC326" s="690"/>
      <c r="DD326" s="690"/>
      <c r="DE326" s="690"/>
      <c r="DF326" s="690"/>
      <c r="DG326" s="690"/>
      <c r="DH326" s="690"/>
      <c r="DI326" s="690"/>
      <c r="DJ326" s="690"/>
      <c r="DK326" s="690"/>
      <c r="DL326" s="690"/>
      <c r="DM326" s="690"/>
      <c r="DN326" s="690"/>
      <c r="DO326" s="690"/>
      <c r="DP326" s="690"/>
      <c r="DQ326" s="690"/>
      <c r="DR326" s="690"/>
      <c r="DS326" s="690"/>
      <c r="DT326" s="690"/>
      <c r="DU326" s="690"/>
      <c r="DV326" s="690"/>
      <c r="DW326" s="690"/>
      <c r="DX326" s="690"/>
      <c r="DY326" s="690"/>
      <c r="DZ326" s="690"/>
      <c r="EA326" s="690"/>
      <c r="EB326" s="690"/>
      <c r="EC326" s="690"/>
      <c r="ED326" s="690"/>
      <c r="EE326" s="690"/>
      <c r="EF326" s="690"/>
      <c r="EG326" s="690"/>
      <c r="EH326" s="690"/>
      <c r="EI326" s="690"/>
      <c r="EJ326" s="690"/>
      <c r="EK326" s="690"/>
      <c r="EL326" s="690"/>
      <c r="EM326" s="690"/>
      <c r="EN326" s="690"/>
      <c r="EO326" s="690"/>
      <c r="EP326" s="690"/>
      <c r="EQ326" s="690"/>
      <c r="ER326" s="690"/>
      <c r="ES326" s="690"/>
      <c r="ET326" s="690"/>
      <c r="EU326" s="690"/>
      <c r="EV326" s="690"/>
      <c r="EW326" s="690"/>
      <c r="EX326" s="690"/>
      <c r="EY326" s="690"/>
      <c r="EZ326" s="690"/>
      <c r="FA326" s="690"/>
      <c r="FB326" s="690"/>
      <c r="FC326" s="690"/>
      <c r="FD326" s="690"/>
      <c r="FE326" s="690"/>
      <c r="FF326" s="690"/>
      <c r="FG326" s="690"/>
      <c r="FH326" s="690"/>
      <c r="FI326" s="690"/>
      <c r="FJ326" s="690"/>
      <c r="FK326" s="690"/>
      <c r="FL326" s="690"/>
      <c r="FM326" s="690"/>
      <c r="FN326" s="690"/>
      <c r="FO326" s="690"/>
      <c r="FP326" s="690"/>
      <c r="FQ326" s="690"/>
      <c r="FR326" s="690"/>
      <c r="FS326" s="690"/>
      <c r="FT326" s="690"/>
      <c r="FU326" s="690"/>
      <c r="FV326" s="690"/>
      <c r="FW326" s="690"/>
      <c r="FX326" s="690"/>
      <c r="FY326" s="690"/>
      <c r="FZ326" s="690"/>
      <c r="GA326" s="690"/>
      <c r="GB326" s="690"/>
      <c r="GC326" s="690"/>
      <c r="GD326" s="690"/>
      <c r="GE326" s="690"/>
      <c r="GF326" s="690"/>
      <c r="GG326" s="690"/>
      <c r="GH326" s="690"/>
      <c r="GI326" s="690"/>
      <c r="GJ326" s="690"/>
      <c r="GK326" s="690"/>
      <c r="GL326" s="690"/>
      <c r="GM326" s="690"/>
      <c r="GN326" s="690"/>
      <c r="GO326" s="690"/>
      <c r="GP326" s="690"/>
      <c r="GQ326" s="690"/>
      <c r="GR326" s="690"/>
      <c r="GS326" s="690"/>
      <c r="GT326" s="690"/>
      <c r="GU326" s="690"/>
      <c r="GV326" s="690"/>
      <c r="GW326" s="690"/>
      <c r="GX326" s="690"/>
      <c r="GY326" s="690"/>
      <c r="GZ326" s="690"/>
      <c r="HA326" s="690"/>
      <c r="HB326" s="690"/>
      <c r="HC326" s="690"/>
      <c r="HD326" s="690"/>
      <c r="HE326" s="690"/>
      <c r="HF326" s="690"/>
      <c r="HG326" s="690"/>
      <c r="HH326" s="690"/>
      <c r="HI326" s="690"/>
      <c r="HJ326" s="690"/>
      <c r="HK326" s="690"/>
      <c r="HL326" s="690"/>
    </row>
    <row r="327" spans="1:220" s="287" customFormat="1" ht="22.5" customHeight="1">
      <c r="B327" s="365">
        <v>250137</v>
      </c>
      <c r="C327" s="366" t="s">
        <v>410</v>
      </c>
      <c r="D327" s="367"/>
      <c r="E327" s="368"/>
      <c r="F327" s="321" t="s">
        <v>222</v>
      </c>
      <c r="G327" s="326" t="s">
        <v>2143</v>
      </c>
      <c r="H327" s="326" t="s">
        <v>2144</v>
      </c>
      <c r="I327" s="326" t="s">
        <v>11</v>
      </c>
      <c r="J327" s="326" t="s">
        <v>491</v>
      </c>
      <c r="K327" s="326" t="s">
        <v>324</v>
      </c>
      <c r="L327" s="323"/>
      <c r="M327" s="374"/>
      <c r="N327" s="325" t="s">
        <v>438</v>
      </c>
      <c r="O327" s="326">
        <v>90</v>
      </c>
      <c r="P327" s="327" t="s">
        <v>498</v>
      </c>
      <c r="Q327" s="369" t="s">
        <v>498</v>
      </c>
      <c r="R327" s="329" t="s">
        <v>1103</v>
      </c>
      <c r="S327" s="330"/>
      <c r="T327" s="330"/>
      <c r="U327" s="330"/>
      <c r="V327" s="330"/>
      <c r="W327" s="332" t="s">
        <v>1096</v>
      </c>
      <c r="X327" s="331" t="s">
        <v>12845</v>
      </c>
      <c r="Y327" s="331" t="s">
        <v>11249</v>
      </c>
      <c r="Z327" s="331" t="s">
        <v>12847</v>
      </c>
      <c r="AA327" s="331" t="s">
        <v>12846</v>
      </c>
      <c r="AB327" s="333"/>
      <c r="AC327" s="416"/>
      <c r="AD327" s="375"/>
      <c r="AE327" s="391"/>
      <c r="AF327" s="336"/>
      <c r="AG327" s="337"/>
      <c r="AH327" s="417" t="s">
        <v>435</v>
      </c>
      <c r="AI327" s="392" t="s">
        <v>435</v>
      </c>
      <c r="AJ327" s="392" t="s">
        <v>435</v>
      </c>
      <c r="AK327" s="340" t="s">
        <v>435</v>
      </c>
      <c r="AL327" s="417" t="s">
        <v>210</v>
      </c>
      <c r="AM327" s="392" t="s">
        <v>210</v>
      </c>
      <c r="AN327" s="392" t="s">
        <v>210</v>
      </c>
      <c r="AO327" s="341" t="s">
        <v>210</v>
      </c>
      <c r="AP327" s="342"/>
      <c r="AQ327" s="343"/>
      <c r="AR327" s="370">
        <v>707</v>
      </c>
      <c r="AS327" s="326">
        <v>100</v>
      </c>
      <c r="AT327" s="392">
        <v>1</v>
      </c>
      <c r="AU327" s="392"/>
      <c r="AV327" s="392">
        <v>1.5</v>
      </c>
      <c r="AW327" s="340"/>
      <c r="AX327" s="347"/>
      <c r="AY327" s="348"/>
      <c r="AZ327" s="377"/>
      <c r="BA327" s="374"/>
      <c r="BB327" s="374"/>
      <c r="BC327" s="374"/>
      <c r="BD327" s="374"/>
      <c r="BE327" s="374"/>
      <c r="BF327" s="374"/>
      <c r="BG327" s="374"/>
      <c r="BH327" s="378"/>
      <c r="BI327" s="376"/>
      <c r="BJ327" s="379"/>
      <c r="BK327" s="380"/>
      <c r="BL327" s="348"/>
      <c r="BM327" s="381"/>
      <c r="BN327" s="321" t="s">
        <v>15</v>
      </c>
      <c r="BO327" s="372"/>
      <c r="BP327" s="373" t="s">
        <v>983</v>
      </c>
      <c r="BQ327" s="360"/>
      <c r="BR327" s="361"/>
      <c r="BS327" s="361"/>
      <c r="BT327" s="361"/>
      <c r="BU327" s="342" t="s">
        <v>210</v>
      </c>
      <c r="BV327" s="342" t="s">
        <v>210</v>
      </c>
      <c r="BW327" s="341" t="s">
        <v>15</v>
      </c>
      <c r="BX327" s="361"/>
      <c r="BY327" s="362"/>
      <c r="BZ327" s="363"/>
      <c r="CA327" s="363"/>
      <c r="CB327" s="363"/>
      <c r="CC327" s="363"/>
      <c r="CD327" s="293"/>
      <c r="CE327" s="364"/>
      <c r="CF327" s="364"/>
      <c r="CG327" s="364"/>
      <c r="CH327" s="364"/>
      <c r="CI327" s="364"/>
      <c r="CJ327" s="364"/>
      <c r="CK327" s="364"/>
      <c r="CL327" s="364"/>
      <c r="CM327" s="364"/>
      <c r="CN327" s="364"/>
      <c r="CO327" s="364"/>
      <c r="CP327" s="364"/>
      <c r="CQ327" s="364"/>
      <c r="CR327" s="364"/>
      <c r="CS327" s="364"/>
      <c r="CT327" s="364"/>
      <c r="CU327" s="364"/>
      <c r="CV327" s="364"/>
      <c r="CW327" s="364"/>
      <c r="CX327" s="364"/>
      <c r="CY327" s="364"/>
      <c r="CZ327" s="364"/>
      <c r="DA327" s="364"/>
      <c r="DB327" s="364"/>
      <c r="DC327" s="364"/>
      <c r="DD327" s="364"/>
      <c r="DE327" s="364"/>
      <c r="DF327" s="364"/>
      <c r="DG327" s="364"/>
      <c r="DH327" s="364"/>
      <c r="DI327" s="364"/>
      <c r="DJ327" s="364"/>
      <c r="DK327" s="364"/>
      <c r="DL327" s="364"/>
      <c r="DM327" s="364"/>
      <c r="DN327" s="364"/>
      <c r="DO327" s="364"/>
      <c r="DP327" s="364"/>
      <c r="DQ327" s="364"/>
      <c r="DR327" s="364"/>
      <c r="DS327" s="364"/>
      <c r="DT327" s="364"/>
      <c r="DU327" s="364"/>
      <c r="DV327" s="364"/>
      <c r="DW327" s="364"/>
      <c r="DX327" s="364"/>
      <c r="DY327" s="364"/>
      <c r="DZ327" s="364"/>
      <c r="EA327" s="364"/>
      <c r="EB327" s="364"/>
      <c r="EC327" s="364"/>
      <c r="ED327" s="364"/>
      <c r="EE327" s="364"/>
      <c r="EF327" s="364"/>
      <c r="EG327" s="364"/>
      <c r="EH327" s="364"/>
      <c r="EI327" s="364"/>
      <c r="EJ327" s="364"/>
      <c r="EK327" s="364"/>
      <c r="EL327" s="364"/>
      <c r="EM327" s="364"/>
      <c r="EN327" s="364"/>
      <c r="EO327" s="364"/>
      <c r="EP327" s="364"/>
      <c r="EQ327" s="364"/>
      <c r="ER327" s="364"/>
      <c r="ES327" s="364"/>
      <c r="ET327" s="364"/>
      <c r="EU327" s="364"/>
      <c r="EV327" s="364"/>
      <c r="EW327" s="364"/>
      <c r="EX327" s="364"/>
      <c r="EY327" s="364"/>
      <c r="EZ327" s="364"/>
      <c r="FA327" s="364"/>
      <c r="FB327" s="364"/>
      <c r="FC327" s="364"/>
      <c r="FD327" s="364"/>
      <c r="FE327" s="364"/>
      <c r="FF327" s="364"/>
      <c r="FG327" s="364"/>
      <c r="FH327" s="364"/>
      <c r="FI327" s="364"/>
      <c r="FJ327" s="364"/>
      <c r="FK327" s="364"/>
      <c r="FL327" s="364"/>
      <c r="FM327" s="364"/>
      <c r="FN327" s="364"/>
      <c r="FO327" s="364"/>
      <c r="FP327" s="364"/>
      <c r="FQ327" s="364"/>
      <c r="FR327" s="364"/>
      <c r="FS327" s="364"/>
      <c r="FT327" s="364"/>
      <c r="FU327" s="364"/>
      <c r="FV327" s="364"/>
      <c r="FW327" s="364"/>
      <c r="FX327" s="364"/>
      <c r="FY327" s="364"/>
      <c r="FZ327" s="364"/>
      <c r="GA327" s="364"/>
      <c r="GB327" s="364"/>
      <c r="GC327" s="364"/>
      <c r="GD327" s="364"/>
      <c r="GE327" s="364"/>
      <c r="GF327" s="364"/>
      <c r="GG327" s="364"/>
      <c r="GH327" s="364"/>
      <c r="GI327" s="364"/>
      <c r="GJ327" s="364"/>
      <c r="GK327" s="364"/>
      <c r="GL327" s="364"/>
      <c r="GM327" s="364"/>
      <c r="GN327" s="364"/>
      <c r="GO327" s="364"/>
      <c r="GP327" s="364"/>
      <c r="GQ327" s="364"/>
      <c r="GR327" s="364"/>
      <c r="GS327" s="364"/>
      <c r="GT327" s="364"/>
      <c r="GU327" s="364"/>
      <c r="GV327" s="364"/>
      <c r="GW327" s="364"/>
      <c r="GX327" s="364"/>
      <c r="GY327" s="364"/>
      <c r="GZ327" s="364"/>
      <c r="HA327" s="364"/>
      <c r="HB327" s="364"/>
      <c r="HC327" s="364"/>
      <c r="HD327" s="364"/>
      <c r="HE327" s="364"/>
      <c r="HF327" s="364"/>
      <c r="HG327" s="364"/>
      <c r="HH327" s="364"/>
      <c r="HI327" s="364"/>
      <c r="HJ327" s="364"/>
      <c r="HK327" s="364"/>
      <c r="HL327" s="364"/>
    </row>
    <row r="328" spans="1:220" s="287" customFormat="1" ht="22.5" customHeight="1">
      <c r="B328" s="365">
        <v>250138</v>
      </c>
      <c r="C328" s="366" t="s">
        <v>14147</v>
      </c>
      <c r="D328" s="367"/>
      <c r="E328" s="368"/>
      <c r="F328" s="321" t="s">
        <v>375</v>
      </c>
      <c r="G328" s="326" t="s">
        <v>2141</v>
      </c>
      <c r="H328" s="326" t="s">
        <v>2142</v>
      </c>
      <c r="I328" s="326" t="s">
        <v>11</v>
      </c>
      <c r="J328" s="326" t="s">
        <v>387</v>
      </c>
      <c r="K328" s="326" t="s">
        <v>363</v>
      </c>
      <c r="L328" s="323"/>
      <c r="M328" s="374"/>
      <c r="N328" s="325" t="s">
        <v>448</v>
      </c>
      <c r="O328" s="326">
        <v>30</v>
      </c>
      <c r="P328" s="327" t="s">
        <v>210</v>
      </c>
      <c r="Q328" s="369" t="s">
        <v>210</v>
      </c>
      <c r="R328" s="329" t="s">
        <v>14149</v>
      </c>
      <c r="S328" s="331" t="s">
        <v>14150</v>
      </c>
      <c r="T328" s="331" t="s">
        <v>14152</v>
      </c>
      <c r="U328" s="331" t="s">
        <v>14151</v>
      </c>
      <c r="V328" s="331" t="s">
        <v>14153</v>
      </c>
      <c r="W328" s="332" t="s">
        <v>716</v>
      </c>
      <c r="X328" s="331" t="s">
        <v>14148</v>
      </c>
      <c r="Y328" s="331" t="s">
        <v>13332</v>
      </c>
      <c r="Z328" s="331" t="s">
        <v>13501</v>
      </c>
      <c r="AA328" s="331" t="s">
        <v>13499</v>
      </c>
      <c r="AB328" s="333"/>
      <c r="AC328" s="333"/>
      <c r="AD328" s="334" t="s">
        <v>276</v>
      </c>
      <c r="AE328" s="335" t="s">
        <v>397</v>
      </c>
      <c r="AF328" s="336"/>
      <c r="AG328" s="337"/>
      <c r="AH328" s="417" t="s">
        <v>435</v>
      </c>
      <c r="AI328" s="392" t="s">
        <v>435</v>
      </c>
      <c r="AJ328" s="392" t="s">
        <v>435</v>
      </c>
      <c r="AK328" s="340" t="s">
        <v>435</v>
      </c>
      <c r="AL328" s="417" t="s">
        <v>210</v>
      </c>
      <c r="AM328" s="425" t="s">
        <v>8762</v>
      </c>
      <c r="AN328" s="392" t="s">
        <v>210</v>
      </c>
      <c r="AO328" s="341" t="s">
        <v>210</v>
      </c>
      <c r="AP328" s="418"/>
      <c r="AQ328" s="343"/>
      <c r="AR328" s="370">
        <v>1652</v>
      </c>
      <c r="AS328" s="326">
        <v>100</v>
      </c>
      <c r="AT328" s="392">
        <v>1</v>
      </c>
      <c r="AU328" s="392"/>
      <c r="AV328" s="392">
        <v>1.5</v>
      </c>
      <c r="AW328" s="340"/>
      <c r="AX328" s="347"/>
      <c r="AY328" s="348"/>
      <c r="AZ328" s="377"/>
      <c r="BA328" s="374"/>
      <c r="BB328" s="374"/>
      <c r="BC328" s="374"/>
      <c r="BD328" s="374"/>
      <c r="BE328" s="374"/>
      <c r="BF328" s="374"/>
      <c r="BG328" s="374"/>
      <c r="BH328" s="378"/>
      <c r="BI328" s="376"/>
      <c r="BJ328" s="379"/>
      <c r="BK328" s="380"/>
      <c r="BL328" s="348"/>
      <c r="BM328" s="381"/>
      <c r="BN328" s="321" t="s">
        <v>983</v>
      </c>
      <c r="BO328" s="372">
        <v>1.25</v>
      </c>
      <c r="BP328" s="373" t="s">
        <v>983</v>
      </c>
      <c r="BQ328" s="360"/>
      <c r="BR328" s="361"/>
      <c r="BS328" s="361"/>
      <c r="BT328" s="361"/>
      <c r="BU328" s="361"/>
      <c r="BV328" s="418">
        <v>-25</v>
      </c>
      <c r="BW328" s="341" t="s">
        <v>15</v>
      </c>
      <c r="BX328" s="361"/>
      <c r="BY328" s="362"/>
      <c r="BZ328" s="363"/>
      <c r="CA328" s="363"/>
      <c r="CB328" s="363"/>
      <c r="CC328" s="363"/>
      <c r="CD328" s="293"/>
      <c r="CE328" s="364"/>
      <c r="CF328" s="364"/>
      <c r="CG328" s="364"/>
      <c r="CH328" s="364"/>
      <c r="CI328" s="364"/>
      <c r="CJ328" s="364"/>
      <c r="CK328" s="364"/>
      <c r="CL328" s="364"/>
      <c r="CM328" s="364"/>
      <c r="CN328" s="364"/>
      <c r="CO328" s="364"/>
      <c r="CP328" s="364"/>
      <c r="CQ328" s="364"/>
      <c r="CR328" s="364"/>
      <c r="CS328" s="364"/>
      <c r="CT328" s="364"/>
      <c r="CU328" s="364"/>
      <c r="CV328" s="364"/>
      <c r="CW328" s="364"/>
      <c r="CX328" s="364"/>
      <c r="CY328" s="364"/>
      <c r="CZ328" s="364"/>
      <c r="DA328" s="364"/>
      <c r="DB328" s="364"/>
      <c r="DC328" s="364"/>
      <c r="DD328" s="364"/>
      <c r="DE328" s="364"/>
      <c r="DF328" s="364"/>
      <c r="DG328" s="364"/>
      <c r="DH328" s="364"/>
      <c r="DI328" s="364"/>
      <c r="DJ328" s="364"/>
      <c r="DK328" s="364"/>
      <c r="DL328" s="364"/>
      <c r="DM328" s="364"/>
      <c r="DN328" s="364"/>
      <c r="DO328" s="364"/>
      <c r="DP328" s="364"/>
      <c r="DQ328" s="364"/>
      <c r="DR328" s="364"/>
      <c r="DS328" s="364"/>
      <c r="DT328" s="364"/>
      <c r="DU328" s="364"/>
      <c r="DV328" s="364"/>
      <c r="DW328" s="364"/>
      <c r="DX328" s="364"/>
      <c r="DY328" s="364"/>
      <c r="DZ328" s="364"/>
      <c r="EA328" s="364"/>
      <c r="EB328" s="364"/>
      <c r="EC328" s="364"/>
      <c r="ED328" s="364"/>
      <c r="EE328" s="364"/>
      <c r="EF328" s="364"/>
      <c r="EG328" s="364"/>
      <c r="EH328" s="364"/>
      <c r="EI328" s="364"/>
      <c r="EJ328" s="364"/>
      <c r="EK328" s="364"/>
      <c r="EL328" s="364"/>
      <c r="EM328" s="364"/>
      <c r="EN328" s="364"/>
      <c r="EO328" s="364"/>
      <c r="EP328" s="364"/>
      <c r="EQ328" s="364"/>
      <c r="ER328" s="364"/>
      <c r="ES328" s="364"/>
      <c r="ET328" s="364"/>
      <c r="EU328" s="364"/>
      <c r="EV328" s="364"/>
      <c r="EW328" s="364"/>
      <c r="EX328" s="364"/>
      <c r="EY328" s="364"/>
      <c r="EZ328" s="364"/>
      <c r="FA328" s="364"/>
      <c r="FB328" s="364"/>
      <c r="FC328" s="364"/>
      <c r="FD328" s="364"/>
      <c r="FE328" s="364"/>
      <c r="FF328" s="364"/>
      <c r="FG328" s="364"/>
      <c r="FH328" s="364"/>
      <c r="FI328" s="364"/>
      <c r="FJ328" s="364"/>
      <c r="FK328" s="364"/>
      <c r="FL328" s="364"/>
      <c r="FM328" s="364"/>
      <c r="FN328" s="364"/>
      <c r="FO328" s="364"/>
      <c r="FP328" s="364"/>
      <c r="FQ328" s="364"/>
      <c r="FR328" s="364"/>
      <c r="FS328" s="364"/>
      <c r="FT328" s="364"/>
      <c r="FU328" s="364"/>
      <c r="FV328" s="364"/>
      <c r="FW328" s="364"/>
      <c r="FX328" s="364"/>
      <c r="FY328" s="364"/>
      <c r="FZ328" s="364"/>
      <c r="GA328" s="364"/>
      <c r="GB328" s="364"/>
      <c r="GC328" s="364"/>
      <c r="GD328" s="364"/>
      <c r="GE328" s="364"/>
      <c r="GF328" s="364"/>
      <c r="GG328" s="364"/>
      <c r="GH328" s="364"/>
      <c r="GI328" s="364"/>
      <c r="GJ328" s="364"/>
      <c r="GK328" s="364"/>
      <c r="GL328" s="364"/>
      <c r="GM328" s="364"/>
      <c r="GN328" s="364"/>
      <c r="GO328" s="364"/>
      <c r="GP328" s="364"/>
      <c r="GQ328" s="364"/>
      <c r="GR328" s="364"/>
      <c r="GS328" s="364"/>
      <c r="GT328" s="364"/>
      <c r="GU328" s="364"/>
      <c r="GV328" s="364"/>
      <c r="GW328" s="364"/>
      <c r="GX328" s="364"/>
      <c r="GY328" s="364"/>
      <c r="GZ328" s="364"/>
      <c r="HA328" s="364"/>
      <c r="HB328" s="364"/>
      <c r="HC328" s="364"/>
      <c r="HD328" s="364"/>
      <c r="HE328" s="364"/>
      <c r="HF328" s="364"/>
      <c r="HG328" s="364"/>
      <c r="HH328" s="364"/>
      <c r="HI328" s="364"/>
      <c r="HJ328" s="364"/>
      <c r="HK328" s="364"/>
      <c r="HL328" s="364"/>
    </row>
    <row r="329" spans="1:220" s="287" customFormat="1" ht="22.5" customHeight="1">
      <c r="B329" s="365">
        <v>250140</v>
      </c>
      <c r="C329" s="366" t="s">
        <v>14146</v>
      </c>
      <c r="D329" s="367"/>
      <c r="E329" s="368"/>
      <c r="F329" s="321" t="s">
        <v>222</v>
      </c>
      <c r="G329" s="326" t="s">
        <v>2139</v>
      </c>
      <c r="H329" s="326" t="s">
        <v>2140</v>
      </c>
      <c r="I329" s="326" t="s">
        <v>11</v>
      </c>
      <c r="J329" s="326" t="s">
        <v>387</v>
      </c>
      <c r="K329" s="326" t="s">
        <v>806</v>
      </c>
      <c r="L329" s="323"/>
      <c r="M329" s="374"/>
      <c r="N329" s="325" t="s">
        <v>438</v>
      </c>
      <c r="O329" s="326">
        <v>160</v>
      </c>
      <c r="P329" s="327" t="s">
        <v>210</v>
      </c>
      <c r="Q329" s="369" t="s">
        <v>210</v>
      </c>
      <c r="R329" s="329" t="s">
        <v>8118</v>
      </c>
      <c r="S329" s="330"/>
      <c r="T329" s="330"/>
      <c r="U329" s="330"/>
      <c r="V329" s="330"/>
      <c r="W329" s="332" t="s">
        <v>1096</v>
      </c>
      <c r="X329" s="331" t="s">
        <v>12845</v>
      </c>
      <c r="Y329" s="331" t="s">
        <v>11249</v>
      </c>
      <c r="Z329" s="331" t="s">
        <v>12847</v>
      </c>
      <c r="AA329" s="331" t="s">
        <v>12846</v>
      </c>
      <c r="AB329" s="333"/>
      <c r="AC329" s="333"/>
      <c r="AD329" s="334" t="s">
        <v>2321</v>
      </c>
      <c r="AE329" s="335" t="s">
        <v>827</v>
      </c>
      <c r="AF329" s="336"/>
      <c r="AG329" s="337"/>
      <c r="AH329" s="417" t="s">
        <v>435</v>
      </c>
      <c r="AI329" s="392" t="s">
        <v>435</v>
      </c>
      <c r="AJ329" s="392" t="s">
        <v>435</v>
      </c>
      <c r="AK329" s="340" t="s">
        <v>435</v>
      </c>
      <c r="AL329" s="417" t="s">
        <v>210</v>
      </c>
      <c r="AM329" s="392" t="s">
        <v>210</v>
      </c>
      <c r="AN329" s="392" t="s">
        <v>210</v>
      </c>
      <c r="AO329" s="341" t="s">
        <v>210</v>
      </c>
      <c r="AP329" s="342"/>
      <c r="AQ329" s="343"/>
      <c r="AR329" s="370">
        <v>2007</v>
      </c>
      <c r="AS329" s="326">
        <v>100</v>
      </c>
      <c r="AT329" s="392">
        <v>1</v>
      </c>
      <c r="AU329" s="392"/>
      <c r="AV329" s="392">
        <v>1.2</v>
      </c>
      <c r="AW329" s="340"/>
      <c r="AX329" s="347"/>
      <c r="AY329" s="348"/>
      <c r="AZ329" s="405" t="s">
        <v>3367</v>
      </c>
      <c r="BA329" s="324" t="s">
        <v>210</v>
      </c>
      <c r="BB329" s="324" t="s">
        <v>210</v>
      </c>
      <c r="BC329" s="326" t="s">
        <v>10387</v>
      </c>
      <c r="BD329" s="324" t="s">
        <v>3392</v>
      </c>
      <c r="BE329" s="326" t="s">
        <v>10387</v>
      </c>
      <c r="BF329" s="324" t="s">
        <v>3392</v>
      </c>
      <c r="BG329" s="326" t="s">
        <v>10391</v>
      </c>
      <c r="BH329" s="324" t="s">
        <v>3556</v>
      </c>
      <c r="BI329" s="376"/>
      <c r="BJ329" s="431">
        <v>2.68</v>
      </c>
      <c r="BK329" s="380"/>
      <c r="BL329" s="348"/>
      <c r="BM329" s="381"/>
      <c r="BN329" s="321" t="s">
        <v>983</v>
      </c>
      <c r="BO329" s="372"/>
      <c r="BP329" s="373" t="s">
        <v>983</v>
      </c>
      <c r="BQ329" s="360"/>
      <c r="BR329" s="361"/>
      <c r="BS329" s="361"/>
      <c r="BT329" s="361"/>
      <c r="BU329" s="342" t="s">
        <v>210</v>
      </c>
      <c r="BV329" s="342" t="s">
        <v>210</v>
      </c>
      <c r="BW329" s="341" t="s">
        <v>622</v>
      </c>
      <c r="BX329" s="361"/>
      <c r="BY329" s="362"/>
      <c r="BZ329" s="363"/>
      <c r="CA329" s="363"/>
      <c r="CB329" s="363"/>
      <c r="CC329" s="363"/>
      <c r="CD329" s="293"/>
      <c r="CE329" s="364"/>
      <c r="CF329" s="364"/>
      <c r="CG329" s="364"/>
      <c r="CH329" s="364"/>
      <c r="CI329" s="364"/>
      <c r="CJ329" s="364"/>
      <c r="CK329" s="364"/>
      <c r="CL329" s="364"/>
      <c r="CM329" s="364"/>
      <c r="CN329" s="364"/>
      <c r="CO329" s="364"/>
      <c r="CP329" s="364"/>
      <c r="CQ329" s="364"/>
      <c r="CR329" s="364"/>
      <c r="CS329" s="364"/>
      <c r="CT329" s="364"/>
      <c r="CU329" s="364"/>
      <c r="CV329" s="364"/>
      <c r="CW329" s="364"/>
      <c r="CX329" s="364"/>
      <c r="CY329" s="364"/>
      <c r="CZ329" s="364"/>
      <c r="DA329" s="364"/>
      <c r="DB329" s="364"/>
      <c r="DC329" s="364"/>
      <c r="DD329" s="364"/>
      <c r="DE329" s="364"/>
      <c r="DF329" s="364"/>
      <c r="DG329" s="364"/>
      <c r="DH329" s="364"/>
      <c r="DI329" s="364"/>
      <c r="DJ329" s="364"/>
      <c r="DK329" s="364"/>
      <c r="DL329" s="364"/>
      <c r="DM329" s="364"/>
      <c r="DN329" s="364"/>
      <c r="DO329" s="364"/>
      <c r="DP329" s="364"/>
      <c r="DQ329" s="364"/>
      <c r="DR329" s="364"/>
      <c r="DS329" s="364"/>
      <c r="DT329" s="364"/>
      <c r="DU329" s="364"/>
      <c r="DV329" s="364"/>
      <c r="DW329" s="364"/>
      <c r="DX329" s="364"/>
      <c r="DY329" s="364"/>
      <c r="DZ329" s="364"/>
      <c r="EA329" s="364"/>
      <c r="EB329" s="364"/>
      <c r="EC329" s="364"/>
      <c r="ED329" s="364"/>
      <c r="EE329" s="364"/>
      <c r="EF329" s="364"/>
      <c r="EG329" s="364"/>
      <c r="EH329" s="364"/>
      <c r="EI329" s="364"/>
      <c r="EJ329" s="364"/>
      <c r="EK329" s="364"/>
      <c r="EL329" s="364"/>
      <c r="EM329" s="364"/>
      <c r="EN329" s="364"/>
      <c r="EO329" s="364"/>
      <c r="EP329" s="364"/>
      <c r="EQ329" s="364"/>
      <c r="ER329" s="364"/>
      <c r="ES329" s="364"/>
      <c r="ET329" s="364"/>
      <c r="EU329" s="364"/>
      <c r="EV329" s="364"/>
      <c r="EW329" s="364"/>
      <c r="EX329" s="364"/>
      <c r="EY329" s="364"/>
      <c r="EZ329" s="364"/>
      <c r="FA329" s="364"/>
      <c r="FB329" s="364"/>
      <c r="FC329" s="364"/>
      <c r="FD329" s="364"/>
      <c r="FE329" s="364"/>
      <c r="FF329" s="364"/>
      <c r="FG329" s="364"/>
      <c r="FH329" s="364"/>
      <c r="FI329" s="364"/>
      <c r="FJ329" s="364"/>
      <c r="FK329" s="364"/>
      <c r="FL329" s="364"/>
      <c r="FM329" s="364"/>
      <c r="FN329" s="364"/>
      <c r="FO329" s="364"/>
      <c r="FP329" s="364"/>
      <c r="FQ329" s="364"/>
      <c r="FR329" s="364"/>
      <c r="FS329" s="364"/>
      <c r="FT329" s="364"/>
      <c r="FU329" s="364"/>
      <c r="FV329" s="364"/>
      <c r="FW329" s="364"/>
      <c r="FX329" s="364"/>
      <c r="FY329" s="364"/>
      <c r="FZ329" s="364"/>
      <c r="GA329" s="364"/>
      <c r="GB329" s="364"/>
      <c r="GC329" s="364"/>
      <c r="GD329" s="364"/>
      <c r="GE329" s="364"/>
      <c r="GF329" s="364"/>
      <c r="GG329" s="364"/>
      <c r="GH329" s="364"/>
      <c r="GI329" s="364"/>
      <c r="GJ329" s="364"/>
      <c r="GK329" s="364"/>
      <c r="GL329" s="364"/>
      <c r="GM329" s="364"/>
      <c r="GN329" s="364"/>
      <c r="GO329" s="364"/>
      <c r="GP329" s="364"/>
      <c r="GQ329" s="364"/>
      <c r="GR329" s="364"/>
      <c r="GS329" s="364"/>
      <c r="GT329" s="364"/>
      <c r="GU329" s="364"/>
      <c r="GV329" s="364"/>
      <c r="GW329" s="364"/>
      <c r="GX329" s="364"/>
      <c r="GY329" s="364"/>
      <c r="GZ329" s="364"/>
      <c r="HA329" s="364"/>
      <c r="HB329" s="364"/>
      <c r="HC329" s="364"/>
      <c r="HD329" s="364"/>
      <c r="HE329" s="364"/>
      <c r="HF329" s="364"/>
      <c r="HG329" s="364"/>
      <c r="HH329" s="364"/>
      <c r="HI329" s="364"/>
      <c r="HJ329" s="364"/>
      <c r="HK329" s="364"/>
      <c r="HL329" s="364"/>
    </row>
    <row r="330" spans="1:220" s="287" customFormat="1" ht="22.5" customHeight="1">
      <c r="B330" s="365">
        <v>250141</v>
      </c>
      <c r="C330" s="366" t="s">
        <v>14653</v>
      </c>
      <c r="D330" s="367"/>
      <c r="E330" s="368"/>
      <c r="F330" s="321" t="s">
        <v>391</v>
      </c>
      <c r="G330" s="326" t="s">
        <v>2137</v>
      </c>
      <c r="H330" s="326" t="s">
        <v>2138</v>
      </c>
      <c r="I330" s="326" t="s">
        <v>11</v>
      </c>
      <c r="J330" s="326" t="s">
        <v>390</v>
      </c>
      <c r="K330" s="326" t="s">
        <v>323</v>
      </c>
      <c r="L330" s="323"/>
      <c r="M330" s="374"/>
      <c r="N330" s="325" t="s">
        <v>825</v>
      </c>
      <c r="O330" s="327" t="s">
        <v>210</v>
      </c>
      <c r="P330" s="327" t="s">
        <v>210</v>
      </c>
      <c r="Q330" s="369" t="s">
        <v>210</v>
      </c>
      <c r="R330" s="399"/>
      <c r="S330" s="400"/>
      <c r="T330" s="400"/>
      <c r="U330" s="400"/>
      <c r="V330" s="400"/>
      <c r="W330" s="332" t="s">
        <v>826</v>
      </c>
      <c r="X330" s="331" t="s">
        <v>14654</v>
      </c>
      <c r="Y330" s="400"/>
      <c r="Z330" s="400"/>
      <c r="AA330" s="394" t="s">
        <v>14655</v>
      </c>
      <c r="AB330" s="333"/>
      <c r="AC330" s="333"/>
      <c r="AD330" s="334" t="s">
        <v>392</v>
      </c>
      <c r="AE330" s="335" t="s">
        <v>393</v>
      </c>
      <c r="AF330" s="336"/>
      <c r="AG330" s="337"/>
      <c r="AH330" s="417" t="s">
        <v>435</v>
      </c>
      <c r="AI330" s="392" t="s">
        <v>435</v>
      </c>
      <c r="AJ330" s="392" t="s">
        <v>435</v>
      </c>
      <c r="AK330" s="340" t="s">
        <v>435</v>
      </c>
      <c r="AL330" s="417" t="s">
        <v>210</v>
      </c>
      <c r="AM330" s="392" t="s">
        <v>210</v>
      </c>
      <c r="AN330" s="392" t="s">
        <v>210</v>
      </c>
      <c r="AO330" s="341" t="s">
        <v>210</v>
      </c>
      <c r="AP330" s="342"/>
      <c r="AQ330" s="343"/>
      <c r="AR330" s="370">
        <v>1940</v>
      </c>
      <c r="AS330" s="326">
        <v>120</v>
      </c>
      <c r="AT330" s="392">
        <v>1</v>
      </c>
      <c r="AU330" s="392"/>
      <c r="AV330" s="392">
        <v>1.2</v>
      </c>
      <c r="AW330" s="340"/>
      <c r="AX330" s="347"/>
      <c r="AY330" s="348"/>
      <c r="AZ330" s="377"/>
      <c r="BA330" s="374"/>
      <c r="BB330" s="374"/>
      <c r="BC330" s="374"/>
      <c r="BD330" s="374"/>
      <c r="BE330" s="374"/>
      <c r="BF330" s="374"/>
      <c r="BG330" s="374"/>
      <c r="BH330" s="378"/>
      <c r="BI330" s="376"/>
      <c r="BJ330" s="379"/>
      <c r="BK330" s="380"/>
      <c r="BL330" s="348"/>
      <c r="BM330" s="381"/>
      <c r="BN330" s="321" t="s">
        <v>15</v>
      </c>
      <c r="BO330" s="372"/>
      <c r="BP330" s="373" t="s">
        <v>15</v>
      </c>
      <c r="BQ330" s="360"/>
      <c r="BR330" s="361"/>
      <c r="BS330" s="361"/>
      <c r="BT330" s="361"/>
      <c r="BU330" s="342" t="s">
        <v>210</v>
      </c>
      <c r="BV330" s="342" t="s">
        <v>210</v>
      </c>
      <c r="BW330" s="341" t="s">
        <v>15</v>
      </c>
      <c r="BX330" s="361"/>
      <c r="BY330" s="362"/>
      <c r="BZ330" s="363"/>
      <c r="CA330" s="363"/>
      <c r="CB330" s="363"/>
      <c r="CC330" s="363"/>
      <c r="CD330" s="293"/>
      <c r="CE330" s="364"/>
      <c r="CF330" s="364"/>
      <c r="CG330" s="364"/>
      <c r="CH330" s="364"/>
      <c r="CI330" s="364"/>
      <c r="CJ330" s="364"/>
      <c r="CK330" s="364"/>
      <c r="CL330" s="364"/>
      <c r="CM330" s="364"/>
      <c r="CN330" s="364"/>
      <c r="CO330" s="364"/>
      <c r="CP330" s="364"/>
      <c r="CQ330" s="364"/>
      <c r="CR330" s="364"/>
      <c r="CS330" s="364"/>
      <c r="CT330" s="364"/>
      <c r="CU330" s="364"/>
      <c r="CV330" s="364"/>
      <c r="CW330" s="364"/>
      <c r="CX330" s="364"/>
      <c r="CY330" s="364"/>
      <c r="CZ330" s="364"/>
      <c r="DA330" s="364"/>
      <c r="DB330" s="364"/>
      <c r="DC330" s="364"/>
      <c r="DD330" s="364"/>
      <c r="DE330" s="364"/>
      <c r="DF330" s="364"/>
      <c r="DG330" s="364"/>
      <c r="DH330" s="364"/>
      <c r="DI330" s="364"/>
      <c r="DJ330" s="364"/>
      <c r="DK330" s="364"/>
      <c r="DL330" s="364"/>
      <c r="DM330" s="364"/>
      <c r="DN330" s="364"/>
      <c r="DO330" s="364"/>
      <c r="DP330" s="364"/>
      <c r="DQ330" s="364"/>
      <c r="DR330" s="364"/>
      <c r="DS330" s="364"/>
      <c r="DT330" s="364"/>
      <c r="DU330" s="364"/>
      <c r="DV330" s="364"/>
      <c r="DW330" s="364"/>
      <c r="DX330" s="364"/>
      <c r="DY330" s="364"/>
      <c r="DZ330" s="364"/>
      <c r="EA330" s="364"/>
      <c r="EB330" s="364"/>
      <c r="EC330" s="364"/>
      <c r="ED330" s="364"/>
      <c r="EE330" s="364"/>
      <c r="EF330" s="364"/>
      <c r="EG330" s="364"/>
      <c r="EH330" s="364"/>
      <c r="EI330" s="364"/>
      <c r="EJ330" s="364"/>
      <c r="EK330" s="364"/>
      <c r="EL330" s="364"/>
      <c r="EM330" s="364"/>
      <c r="EN330" s="364"/>
      <c r="EO330" s="364"/>
      <c r="EP330" s="364"/>
      <c r="EQ330" s="364"/>
      <c r="ER330" s="364"/>
      <c r="ES330" s="364"/>
      <c r="ET330" s="364"/>
      <c r="EU330" s="364"/>
      <c r="EV330" s="364"/>
      <c r="EW330" s="364"/>
      <c r="EX330" s="364"/>
      <c r="EY330" s="364"/>
      <c r="EZ330" s="364"/>
      <c r="FA330" s="364"/>
      <c r="FB330" s="364"/>
      <c r="FC330" s="364"/>
      <c r="FD330" s="364"/>
      <c r="FE330" s="364"/>
      <c r="FF330" s="364"/>
      <c r="FG330" s="364"/>
      <c r="FH330" s="364"/>
      <c r="FI330" s="364"/>
      <c r="FJ330" s="364"/>
      <c r="FK330" s="364"/>
      <c r="FL330" s="364"/>
      <c r="FM330" s="364"/>
      <c r="FN330" s="364"/>
      <c r="FO330" s="364"/>
      <c r="FP330" s="364"/>
      <c r="FQ330" s="364"/>
      <c r="FR330" s="364"/>
      <c r="FS330" s="364"/>
      <c r="FT330" s="364"/>
      <c r="FU330" s="364"/>
      <c r="FV330" s="364"/>
      <c r="FW330" s="364"/>
      <c r="FX330" s="364"/>
      <c r="FY330" s="364"/>
      <c r="FZ330" s="364"/>
      <c r="GA330" s="364"/>
      <c r="GB330" s="364"/>
      <c r="GC330" s="364"/>
      <c r="GD330" s="364"/>
      <c r="GE330" s="364"/>
      <c r="GF330" s="364"/>
      <c r="GG330" s="364"/>
      <c r="GH330" s="364"/>
      <c r="GI330" s="364"/>
      <c r="GJ330" s="364"/>
      <c r="GK330" s="364"/>
      <c r="GL330" s="364"/>
      <c r="GM330" s="364"/>
      <c r="GN330" s="364"/>
      <c r="GO330" s="364"/>
      <c r="GP330" s="364"/>
      <c r="GQ330" s="364"/>
      <c r="GR330" s="364"/>
      <c r="GS330" s="364"/>
      <c r="GT330" s="364"/>
      <c r="GU330" s="364"/>
      <c r="GV330" s="364"/>
      <c r="GW330" s="364"/>
      <c r="GX330" s="364"/>
      <c r="GY330" s="364"/>
      <c r="GZ330" s="364"/>
      <c r="HA330" s="364"/>
      <c r="HB330" s="364"/>
      <c r="HC330" s="364"/>
      <c r="HD330" s="364"/>
      <c r="HE330" s="364"/>
      <c r="HF330" s="364"/>
      <c r="HG330" s="364"/>
      <c r="HH330" s="364"/>
      <c r="HI330" s="364"/>
      <c r="HJ330" s="364"/>
      <c r="HK330" s="364"/>
      <c r="HL330" s="364"/>
    </row>
    <row r="331" spans="1:220" s="287" customFormat="1" ht="22.5" customHeight="1">
      <c r="B331" s="365">
        <v>250142</v>
      </c>
      <c r="C331" s="366" t="s">
        <v>261</v>
      </c>
      <c r="D331" s="367"/>
      <c r="E331" s="368"/>
      <c r="F331" s="321" t="s">
        <v>233</v>
      </c>
      <c r="G331" s="326" t="s">
        <v>2135</v>
      </c>
      <c r="H331" s="326" t="s">
        <v>2136</v>
      </c>
      <c r="I331" s="326" t="s">
        <v>11</v>
      </c>
      <c r="J331" s="326" t="s">
        <v>399</v>
      </c>
      <c r="K331" s="326" t="s">
        <v>324</v>
      </c>
      <c r="L331" s="323"/>
      <c r="M331" s="324" t="s">
        <v>10767</v>
      </c>
      <c r="N331" s="325" t="s">
        <v>438</v>
      </c>
      <c r="O331" s="326">
        <v>30</v>
      </c>
      <c r="P331" s="327">
        <v>2594.0300000000002</v>
      </c>
      <c r="Q331" s="369">
        <v>2655.13</v>
      </c>
      <c r="R331" s="329" t="s">
        <v>447</v>
      </c>
      <c r="S331" s="332" t="s">
        <v>11077</v>
      </c>
      <c r="T331" s="332" t="s">
        <v>11078</v>
      </c>
      <c r="U331" s="332" t="s">
        <v>16355</v>
      </c>
      <c r="V331" s="332" t="s">
        <v>11133</v>
      </c>
      <c r="W331" s="332" t="s">
        <v>432</v>
      </c>
      <c r="X331" s="331" t="s">
        <v>11079</v>
      </c>
      <c r="Y331" s="331" t="s">
        <v>11080</v>
      </c>
      <c r="Z331" s="331" t="s">
        <v>11080</v>
      </c>
      <c r="AA331" s="331" t="s">
        <v>210</v>
      </c>
      <c r="AB331" s="333"/>
      <c r="AC331" s="333"/>
      <c r="AD331" s="334" t="s">
        <v>272</v>
      </c>
      <c r="AE331" s="335" t="s">
        <v>330</v>
      </c>
      <c r="AF331" s="336"/>
      <c r="AG331" s="337"/>
      <c r="AH331" s="417">
        <v>5.9</v>
      </c>
      <c r="AI331" s="392">
        <v>15.7</v>
      </c>
      <c r="AJ331" s="392">
        <v>14.5</v>
      </c>
      <c r="AK331" s="340">
        <f>SUM(AH331:AJ331)</f>
        <v>36.1</v>
      </c>
      <c r="AL331" s="417" t="s">
        <v>210</v>
      </c>
      <c r="AM331" s="392" t="s">
        <v>210</v>
      </c>
      <c r="AN331" s="392" t="s">
        <v>210</v>
      </c>
      <c r="AO331" s="341" t="s">
        <v>210</v>
      </c>
      <c r="AP331" s="342"/>
      <c r="AQ331" s="343"/>
      <c r="AR331" s="370">
        <v>2911</v>
      </c>
      <c r="AS331" s="326">
        <v>100</v>
      </c>
      <c r="AT331" s="392">
        <v>0.8</v>
      </c>
      <c r="AU331" s="392"/>
      <c r="AV331" s="392">
        <v>1.5</v>
      </c>
      <c r="AW331" s="340"/>
      <c r="AX331" s="347"/>
      <c r="AY331" s="348"/>
      <c r="AZ331" s="377"/>
      <c r="BA331" s="374"/>
      <c r="BB331" s="374"/>
      <c r="BC331" s="374"/>
      <c r="BD331" s="374"/>
      <c r="BE331" s="374"/>
      <c r="BF331" s="374"/>
      <c r="BG331" s="374"/>
      <c r="BH331" s="378"/>
      <c r="BI331" s="376"/>
      <c r="BJ331" s="379"/>
      <c r="BK331" s="380"/>
      <c r="BL331" s="348"/>
      <c r="BM331" s="381"/>
      <c r="BN331" s="321" t="s">
        <v>983</v>
      </c>
      <c r="BO331" s="372"/>
      <c r="BP331" s="373" t="s">
        <v>983</v>
      </c>
      <c r="BQ331" s="360"/>
      <c r="BR331" s="361"/>
      <c r="BS331" s="361"/>
      <c r="BT331" s="361"/>
      <c r="BU331" s="342" t="s">
        <v>210</v>
      </c>
      <c r="BV331" s="342" t="s">
        <v>210</v>
      </c>
      <c r="BW331" s="341" t="s">
        <v>15</v>
      </c>
      <c r="BX331" s="361"/>
      <c r="BY331" s="362"/>
      <c r="BZ331" s="363"/>
      <c r="CA331" s="363"/>
      <c r="CB331" s="363"/>
      <c r="CC331" s="363"/>
      <c r="CD331" s="293"/>
      <c r="CE331" s="364"/>
      <c r="CF331" s="364"/>
      <c r="CG331" s="364"/>
      <c r="CH331" s="364"/>
      <c r="CI331" s="364"/>
      <c r="CJ331" s="364"/>
      <c r="CK331" s="364"/>
      <c r="CL331" s="364"/>
      <c r="CM331" s="364"/>
      <c r="CN331" s="364"/>
      <c r="CO331" s="364"/>
      <c r="CP331" s="364"/>
      <c r="CQ331" s="364"/>
      <c r="CR331" s="364"/>
      <c r="CS331" s="364"/>
      <c r="CT331" s="364"/>
      <c r="CU331" s="364"/>
      <c r="CV331" s="364"/>
      <c r="CW331" s="364"/>
      <c r="CX331" s="364"/>
      <c r="CY331" s="364"/>
      <c r="CZ331" s="364"/>
      <c r="DA331" s="364"/>
      <c r="DB331" s="364"/>
      <c r="DC331" s="364"/>
      <c r="DD331" s="364"/>
      <c r="DE331" s="364"/>
      <c r="DF331" s="364"/>
      <c r="DG331" s="364"/>
      <c r="DH331" s="364"/>
      <c r="DI331" s="364"/>
      <c r="DJ331" s="364"/>
      <c r="DK331" s="364"/>
      <c r="DL331" s="364"/>
      <c r="DM331" s="364"/>
      <c r="DN331" s="364"/>
      <c r="DO331" s="364"/>
      <c r="DP331" s="364"/>
      <c r="DQ331" s="364"/>
      <c r="DR331" s="364"/>
      <c r="DS331" s="364"/>
      <c r="DT331" s="364"/>
      <c r="DU331" s="364"/>
      <c r="DV331" s="364"/>
      <c r="DW331" s="364"/>
      <c r="DX331" s="364"/>
      <c r="DY331" s="364"/>
      <c r="DZ331" s="364"/>
      <c r="EA331" s="364"/>
      <c r="EB331" s="364"/>
      <c r="EC331" s="364"/>
      <c r="ED331" s="364"/>
      <c r="EE331" s="364"/>
      <c r="EF331" s="364"/>
      <c r="EG331" s="364"/>
      <c r="EH331" s="364"/>
      <c r="EI331" s="364"/>
      <c r="EJ331" s="364"/>
      <c r="EK331" s="364"/>
      <c r="EL331" s="364"/>
      <c r="EM331" s="364"/>
      <c r="EN331" s="364"/>
      <c r="EO331" s="364"/>
      <c r="EP331" s="364"/>
      <c r="EQ331" s="364"/>
      <c r="ER331" s="364"/>
      <c r="ES331" s="364"/>
      <c r="ET331" s="364"/>
      <c r="EU331" s="364"/>
      <c r="EV331" s="364"/>
      <c r="EW331" s="364"/>
      <c r="EX331" s="364"/>
      <c r="EY331" s="364"/>
      <c r="EZ331" s="364"/>
      <c r="FA331" s="364"/>
      <c r="FB331" s="364"/>
      <c r="FC331" s="364"/>
      <c r="FD331" s="364"/>
      <c r="FE331" s="364"/>
      <c r="FF331" s="364"/>
      <c r="FG331" s="364"/>
      <c r="FH331" s="364"/>
      <c r="FI331" s="364"/>
      <c r="FJ331" s="364"/>
      <c r="FK331" s="364"/>
      <c r="FL331" s="364"/>
      <c r="FM331" s="364"/>
      <c r="FN331" s="364"/>
      <c r="FO331" s="364"/>
      <c r="FP331" s="364"/>
      <c r="FQ331" s="364"/>
      <c r="FR331" s="364"/>
      <c r="FS331" s="364"/>
      <c r="FT331" s="364"/>
      <c r="FU331" s="364"/>
      <c r="FV331" s="364"/>
      <c r="FW331" s="364"/>
      <c r="FX331" s="364"/>
      <c r="FY331" s="364"/>
      <c r="FZ331" s="364"/>
      <c r="GA331" s="364"/>
      <c r="GB331" s="364"/>
      <c r="GC331" s="364"/>
      <c r="GD331" s="364"/>
      <c r="GE331" s="364"/>
      <c r="GF331" s="364"/>
      <c r="GG331" s="364"/>
      <c r="GH331" s="364"/>
      <c r="GI331" s="364"/>
      <c r="GJ331" s="364"/>
      <c r="GK331" s="364"/>
      <c r="GL331" s="364"/>
      <c r="GM331" s="364"/>
      <c r="GN331" s="364"/>
      <c r="GO331" s="364"/>
      <c r="GP331" s="364"/>
      <c r="GQ331" s="364"/>
      <c r="GR331" s="364"/>
      <c r="GS331" s="364"/>
      <c r="GT331" s="364"/>
      <c r="GU331" s="364"/>
      <c r="GV331" s="364"/>
      <c r="GW331" s="364"/>
      <c r="GX331" s="364"/>
      <c r="GY331" s="364"/>
      <c r="GZ331" s="364"/>
      <c r="HA331" s="364"/>
      <c r="HB331" s="364"/>
      <c r="HC331" s="364"/>
      <c r="HD331" s="364"/>
      <c r="HE331" s="364"/>
      <c r="HF331" s="364"/>
      <c r="HG331" s="364"/>
      <c r="HH331" s="364"/>
      <c r="HI331" s="364"/>
      <c r="HJ331" s="364"/>
      <c r="HK331" s="364"/>
      <c r="HL331" s="364"/>
    </row>
    <row r="332" spans="1:220" s="287" customFormat="1" ht="22.5" customHeight="1">
      <c r="B332" s="365">
        <v>250143</v>
      </c>
      <c r="C332" s="366" t="s">
        <v>14143</v>
      </c>
      <c r="D332" s="367"/>
      <c r="E332" s="368"/>
      <c r="F332" s="321" t="s">
        <v>238</v>
      </c>
      <c r="G332" s="326" t="s">
        <v>2093</v>
      </c>
      <c r="H332" s="326" t="s">
        <v>2094</v>
      </c>
      <c r="I332" s="326" t="s">
        <v>11</v>
      </c>
      <c r="J332" s="326" t="s">
        <v>399</v>
      </c>
      <c r="K332" s="326" t="s">
        <v>363</v>
      </c>
      <c r="L332" s="323"/>
      <c r="M332" s="374"/>
      <c r="N332" s="325" t="s">
        <v>494</v>
      </c>
      <c r="O332" s="326">
        <v>30</v>
      </c>
      <c r="P332" s="327">
        <v>3641.4</v>
      </c>
      <c r="Q332" s="369">
        <v>2922.5</v>
      </c>
      <c r="R332" s="329" t="s">
        <v>509</v>
      </c>
      <c r="S332" s="331" t="s">
        <v>14144</v>
      </c>
      <c r="T332" s="330"/>
      <c r="U332" s="330"/>
      <c r="V332" s="331" t="s">
        <v>14145</v>
      </c>
      <c r="W332" s="332" t="s">
        <v>432</v>
      </c>
      <c r="X332" s="331" t="s">
        <v>11079</v>
      </c>
      <c r="Y332" s="331" t="s">
        <v>11080</v>
      </c>
      <c r="Z332" s="331" t="s">
        <v>11080</v>
      </c>
      <c r="AA332" s="331" t="s">
        <v>210</v>
      </c>
      <c r="AB332" s="333"/>
      <c r="AC332" s="333"/>
      <c r="AD332" s="334" t="s">
        <v>883</v>
      </c>
      <c r="AE332" s="335" t="s">
        <v>626</v>
      </c>
      <c r="AF332" s="336"/>
      <c r="AG332" s="337"/>
      <c r="AH332" s="376"/>
      <c r="AI332" s="347"/>
      <c r="AJ332" s="347"/>
      <c r="AK332" s="371"/>
      <c r="AL332" s="417" t="s">
        <v>210</v>
      </c>
      <c r="AM332" s="392" t="s">
        <v>210</v>
      </c>
      <c r="AN332" s="326" t="s">
        <v>983</v>
      </c>
      <c r="AO332" s="341" t="s">
        <v>210</v>
      </c>
      <c r="AP332" s="342"/>
      <c r="AQ332" s="343"/>
      <c r="AR332" s="370">
        <v>3485</v>
      </c>
      <c r="AS332" s="326">
        <v>100</v>
      </c>
      <c r="AT332" s="392">
        <v>1</v>
      </c>
      <c r="AU332" s="392"/>
      <c r="AV332" s="392">
        <v>1.8</v>
      </c>
      <c r="AW332" s="340"/>
      <c r="AX332" s="347"/>
      <c r="AY332" s="348"/>
      <c r="AZ332" s="377"/>
      <c r="BA332" s="374"/>
      <c r="BB332" s="374"/>
      <c r="BC332" s="374"/>
      <c r="BD332" s="374"/>
      <c r="BE332" s="374"/>
      <c r="BF332" s="374"/>
      <c r="BG332" s="374"/>
      <c r="BH332" s="378"/>
      <c r="BI332" s="376"/>
      <c r="BJ332" s="379"/>
      <c r="BK332" s="380"/>
      <c r="BL332" s="348"/>
      <c r="BM332" s="381"/>
      <c r="BN332" s="321" t="s">
        <v>983</v>
      </c>
      <c r="BO332" s="372"/>
      <c r="BP332" s="373" t="s">
        <v>983</v>
      </c>
      <c r="BQ332" s="360"/>
      <c r="BR332" s="361"/>
      <c r="BS332" s="361"/>
      <c r="BT332" s="361"/>
      <c r="BU332" s="342" t="s">
        <v>210</v>
      </c>
      <c r="BV332" s="342" t="s">
        <v>210</v>
      </c>
      <c r="BW332" s="341" t="s">
        <v>15</v>
      </c>
      <c r="BX332" s="361"/>
      <c r="BY332" s="362"/>
      <c r="BZ332" s="363"/>
      <c r="CA332" s="363"/>
      <c r="CB332" s="363"/>
      <c r="CC332" s="363"/>
      <c r="CD332" s="293"/>
      <c r="CE332" s="364"/>
      <c r="CF332" s="364"/>
      <c r="CG332" s="364"/>
      <c r="CH332" s="364"/>
      <c r="CI332" s="364"/>
      <c r="CJ332" s="364"/>
      <c r="CK332" s="364"/>
      <c r="CL332" s="364"/>
      <c r="CM332" s="364"/>
      <c r="CN332" s="364"/>
      <c r="CO332" s="364"/>
      <c r="CP332" s="364"/>
      <c r="CQ332" s="364"/>
      <c r="CR332" s="364"/>
      <c r="CS332" s="364"/>
      <c r="CT332" s="364"/>
      <c r="CU332" s="364"/>
      <c r="CV332" s="364"/>
      <c r="CW332" s="364"/>
      <c r="CX332" s="364"/>
      <c r="CY332" s="364"/>
      <c r="CZ332" s="364"/>
      <c r="DA332" s="364"/>
      <c r="DB332" s="364"/>
      <c r="DC332" s="364"/>
      <c r="DD332" s="364"/>
      <c r="DE332" s="364"/>
      <c r="DF332" s="364"/>
      <c r="DG332" s="364"/>
      <c r="DH332" s="364"/>
      <c r="DI332" s="364"/>
      <c r="DJ332" s="364"/>
      <c r="DK332" s="364"/>
      <c r="DL332" s="364"/>
      <c r="DM332" s="364"/>
      <c r="DN332" s="364"/>
      <c r="DO332" s="364"/>
      <c r="DP332" s="364"/>
      <c r="DQ332" s="364"/>
      <c r="DR332" s="364"/>
      <c r="DS332" s="364"/>
      <c r="DT332" s="364"/>
      <c r="DU332" s="364"/>
      <c r="DV332" s="364"/>
      <c r="DW332" s="364"/>
      <c r="DX332" s="364"/>
      <c r="DY332" s="364"/>
      <c r="DZ332" s="364"/>
      <c r="EA332" s="364"/>
      <c r="EB332" s="364"/>
      <c r="EC332" s="364"/>
      <c r="ED332" s="364"/>
      <c r="EE332" s="364"/>
      <c r="EF332" s="364"/>
      <c r="EG332" s="364"/>
      <c r="EH332" s="364"/>
      <c r="EI332" s="364"/>
      <c r="EJ332" s="364"/>
      <c r="EK332" s="364"/>
      <c r="EL332" s="364"/>
      <c r="EM332" s="364"/>
      <c r="EN332" s="364"/>
      <c r="EO332" s="364"/>
      <c r="EP332" s="364"/>
      <c r="EQ332" s="364"/>
      <c r="ER332" s="364"/>
      <c r="ES332" s="364"/>
      <c r="ET332" s="364"/>
      <c r="EU332" s="364"/>
      <c r="EV332" s="364"/>
      <c r="EW332" s="364"/>
      <c r="EX332" s="364"/>
      <c r="EY332" s="364"/>
      <c r="EZ332" s="364"/>
      <c r="FA332" s="364"/>
      <c r="FB332" s="364"/>
      <c r="FC332" s="364"/>
      <c r="FD332" s="364"/>
      <c r="FE332" s="364"/>
      <c r="FF332" s="364"/>
      <c r="FG332" s="364"/>
      <c r="FH332" s="364"/>
      <c r="FI332" s="364"/>
      <c r="FJ332" s="364"/>
      <c r="FK332" s="364"/>
      <c r="FL332" s="364"/>
      <c r="FM332" s="364"/>
      <c r="FN332" s="364"/>
      <c r="FO332" s="364"/>
      <c r="FP332" s="364"/>
      <c r="FQ332" s="364"/>
      <c r="FR332" s="364"/>
      <c r="FS332" s="364"/>
      <c r="FT332" s="364"/>
      <c r="FU332" s="364"/>
      <c r="FV332" s="364"/>
      <c r="FW332" s="364"/>
      <c r="FX332" s="364"/>
      <c r="FY332" s="364"/>
      <c r="FZ332" s="364"/>
      <c r="GA332" s="364"/>
      <c r="GB332" s="364"/>
      <c r="GC332" s="364"/>
      <c r="GD332" s="364"/>
      <c r="GE332" s="364"/>
      <c r="GF332" s="364"/>
      <c r="GG332" s="364"/>
      <c r="GH332" s="364"/>
      <c r="GI332" s="364"/>
      <c r="GJ332" s="364"/>
      <c r="GK332" s="364"/>
      <c r="GL332" s="364"/>
      <c r="GM332" s="364"/>
      <c r="GN332" s="364"/>
      <c r="GO332" s="364"/>
      <c r="GP332" s="364"/>
      <c r="GQ332" s="364"/>
      <c r="GR332" s="364"/>
      <c r="GS332" s="364"/>
      <c r="GT332" s="364"/>
      <c r="GU332" s="364"/>
      <c r="GV332" s="364"/>
      <c r="GW332" s="364"/>
      <c r="GX332" s="364"/>
      <c r="GY332" s="364"/>
      <c r="GZ332" s="364"/>
      <c r="HA332" s="364"/>
      <c r="HB332" s="364"/>
      <c r="HC332" s="364"/>
      <c r="HD332" s="364"/>
      <c r="HE332" s="364"/>
      <c r="HF332" s="364"/>
      <c r="HG332" s="364"/>
      <c r="HH332" s="364"/>
      <c r="HI332" s="364"/>
      <c r="HJ332" s="364"/>
      <c r="HK332" s="364"/>
      <c r="HL332" s="364"/>
    </row>
    <row r="333" spans="1:220" s="287" customFormat="1" ht="22.5" customHeight="1">
      <c r="B333" s="365">
        <v>250144</v>
      </c>
      <c r="C333" s="366" t="s">
        <v>14138</v>
      </c>
      <c r="D333" s="367"/>
      <c r="E333" s="368"/>
      <c r="F333" s="321" t="s">
        <v>250</v>
      </c>
      <c r="G333" s="326" t="s">
        <v>2133</v>
      </c>
      <c r="H333" s="326" t="s">
        <v>2134</v>
      </c>
      <c r="I333" s="326" t="s">
        <v>394</v>
      </c>
      <c r="J333" s="326" t="s">
        <v>824</v>
      </c>
      <c r="K333" s="326" t="s">
        <v>203</v>
      </c>
      <c r="L333" s="323"/>
      <c r="M333" s="374"/>
      <c r="N333" s="325" t="s">
        <v>2875</v>
      </c>
      <c r="O333" s="326" t="s">
        <v>823</v>
      </c>
      <c r="P333" s="327">
        <v>832.87</v>
      </c>
      <c r="Q333" s="369">
        <v>282.11</v>
      </c>
      <c r="R333" s="329" t="s">
        <v>649</v>
      </c>
      <c r="S333" s="330"/>
      <c r="T333" s="330"/>
      <c r="U333" s="330"/>
      <c r="V333" s="330"/>
      <c r="W333" s="332" t="s">
        <v>594</v>
      </c>
      <c r="X333" s="331" t="s">
        <v>14142</v>
      </c>
      <c r="Y333" s="331" t="s">
        <v>14141</v>
      </c>
      <c r="Z333" s="331" t="s">
        <v>14140</v>
      </c>
      <c r="AA333" s="331" t="s">
        <v>14139</v>
      </c>
      <c r="AB333" s="333"/>
      <c r="AC333" s="333"/>
      <c r="AD333" s="334" t="s">
        <v>395</v>
      </c>
      <c r="AE333" s="335" t="s">
        <v>396</v>
      </c>
      <c r="AF333" s="336"/>
      <c r="AG333" s="337"/>
      <c r="AH333" s="417" t="s">
        <v>435</v>
      </c>
      <c r="AI333" s="392" t="s">
        <v>435</v>
      </c>
      <c r="AJ333" s="392" t="s">
        <v>435</v>
      </c>
      <c r="AK333" s="340" t="s">
        <v>435</v>
      </c>
      <c r="AL333" s="417" t="s">
        <v>210</v>
      </c>
      <c r="AM333" s="392" t="s">
        <v>210</v>
      </c>
      <c r="AN333" s="653" t="s">
        <v>8760</v>
      </c>
      <c r="AO333" s="341" t="s">
        <v>210</v>
      </c>
      <c r="AP333" s="342"/>
      <c r="AQ333" s="433" t="s">
        <v>4551</v>
      </c>
      <c r="AR333" s="370">
        <v>425</v>
      </c>
      <c r="AS333" s="326">
        <v>100</v>
      </c>
      <c r="AT333" s="392">
        <v>1.5</v>
      </c>
      <c r="AU333" s="392"/>
      <c r="AV333" s="392" t="s">
        <v>823</v>
      </c>
      <c r="AW333" s="340"/>
      <c r="AX333" s="347"/>
      <c r="AY333" s="348"/>
      <c r="AZ333" s="377"/>
      <c r="BA333" s="374"/>
      <c r="BB333" s="374"/>
      <c r="BC333" s="374"/>
      <c r="BD333" s="374"/>
      <c r="BE333" s="374"/>
      <c r="BF333" s="374"/>
      <c r="BG333" s="374"/>
      <c r="BH333" s="378"/>
      <c r="BI333" s="376"/>
      <c r="BJ333" s="379"/>
      <c r="BK333" s="380"/>
      <c r="BL333" s="348"/>
      <c r="BM333" s="381"/>
      <c r="BN333" s="321" t="s">
        <v>983</v>
      </c>
      <c r="BO333" s="372"/>
      <c r="BP333" s="373" t="s">
        <v>983</v>
      </c>
      <c r="BQ333" s="360"/>
      <c r="BR333" s="361"/>
      <c r="BS333" s="361"/>
      <c r="BT333" s="361"/>
      <c r="BU333" s="342" t="s">
        <v>210</v>
      </c>
      <c r="BV333" s="342" t="s">
        <v>210</v>
      </c>
      <c r="BW333" s="341" t="s">
        <v>15</v>
      </c>
      <c r="BX333" s="361"/>
      <c r="BY333" s="362" t="s">
        <v>1458</v>
      </c>
      <c r="BZ333" s="363"/>
      <c r="CA333" s="363"/>
      <c r="CB333" s="363"/>
      <c r="CC333" s="363"/>
      <c r="CD333" s="293"/>
      <c r="CE333" s="364"/>
      <c r="CF333" s="364"/>
      <c r="CG333" s="364"/>
      <c r="CH333" s="364"/>
      <c r="CI333" s="364"/>
      <c r="CJ333" s="364"/>
      <c r="CK333" s="364"/>
      <c r="CL333" s="364"/>
      <c r="CM333" s="364"/>
      <c r="CN333" s="364"/>
      <c r="CO333" s="364"/>
      <c r="CP333" s="364"/>
      <c r="CQ333" s="364"/>
      <c r="CR333" s="364"/>
      <c r="CS333" s="364"/>
      <c r="CT333" s="364"/>
      <c r="CU333" s="364"/>
      <c r="CV333" s="364"/>
      <c r="CW333" s="364"/>
      <c r="CX333" s="364"/>
      <c r="CY333" s="364"/>
      <c r="CZ333" s="364"/>
      <c r="DA333" s="364"/>
      <c r="DB333" s="364"/>
      <c r="DC333" s="364"/>
      <c r="DD333" s="364"/>
      <c r="DE333" s="364"/>
      <c r="DF333" s="364"/>
      <c r="DG333" s="364"/>
      <c r="DH333" s="364"/>
      <c r="DI333" s="364"/>
      <c r="DJ333" s="364"/>
      <c r="DK333" s="364"/>
      <c r="DL333" s="364"/>
      <c r="DM333" s="364"/>
      <c r="DN333" s="364"/>
      <c r="DO333" s="364"/>
      <c r="DP333" s="364"/>
      <c r="DQ333" s="364"/>
      <c r="DR333" s="364"/>
      <c r="DS333" s="364"/>
      <c r="DT333" s="364"/>
      <c r="DU333" s="364"/>
      <c r="DV333" s="364"/>
      <c r="DW333" s="364"/>
      <c r="DX333" s="364"/>
      <c r="DY333" s="364"/>
      <c r="DZ333" s="364"/>
      <c r="EA333" s="364"/>
      <c r="EB333" s="364"/>
      <c r="EC333" s="364"/>
      <c r="ED333" s="364"/>
      <c r="EE333" s="364"/>
      <c r="EF333" s="364"/>
      <c r="EG333" s="364"/>
      <c r="EH333" s="364"/>
      <c r="EI333" s="364"/>
      <c r="EJ333" s="364"/>
      <c r="EK333" s="364"/>
      <c r="EL333" s="364"/>
      <c r="EM333" s="364"/>
      <c r="EN333" s="364"/>
      <c r="EO333" s="364"/>
      <c r="EP333" s="364"/>
      <c r="EQ333" s="364"/>
      <c r="ER333" s="364"/>
      <c r="ES333" s="364"/>
      <c r="ET333" s="364"/>
      <c r="EU333" s="364"/>
      <c r="EV333" s="364"/>
      <c r="EW333" s="364"/>
      <c r="EX333" s="364"/>
      <c r="EY333" s="364"/>
      <c r="EZ333" s="364"/>
      <c r="FA333" s="364"/>
      <c r="FB333" s="364"/>
      <c r="FC333" s="364"/>
      <c r="FD333" s="364"/>
      <c r="FE333" s="364"/>
      <c r="FF333" s="364"/>
      <c r="FG333" s="364"/>
      <c r="FH333" s="364"/>
      <c r="FI333" s="364"/>
      <c r="FJ333" s="364"/>
      <c r="FK333" s="364"/>
      <c r="FL333" s="364"/>
      <c r="FM333" s="364"/>
      <c r="FN333" s="364"/>
      <c r="FO333" s="364"/>
      <c r="FP333" s="364"/>
      <c r="FQ333" s="364"/>
      <c r="FR333" s="364"/>
      <c r="FS333" s="364"/>
      <c r="FT333" s="364"/>
      <c r="FU333" s="364"/>
      <c r="FV333" s="364"/>
      <c r="FW333" s="364"/>
      <c r="FX333" s="364"/>
      <c r="FY333" s="364"/>
      <c r="FZ333" s="364"/>
      <c r="GA333" s="364"/>
      <c r="GB333" s="364"/>
      <c r="GC333" s="364"/>
      <c r="GD333" s="364"/>
      <c r="GE333" s="364"/>
      <c r="GF333" s="364"/>
      <c r="GG333" s="364"/>
      <c r="GH333" s="364"/>
      <c r="GI333" s="364"/>
      <c r="GJ333" s="364"/>
      <c r="GK333" s="364"/>
      <c r="GL333" s="364"/>
      <c r="GM333" s="364"/>
      <c r="GN333" s="364"/>
      <c r="GO333" s="364"/>
      <c r="GP333" s="364"/>
      <c r="GQ333" s="364"/>
      <c r="GR333" s="364"/>
      <c r="GS333" s="364"/>
      <c r="GT333" s="364"/>
      <c r="GU333" s="364"/>
      <c r="GV333" s="364"/>
      <c r="GW333" s="364"/>
      <c r="GX333" s="364"/>
      <c r="GY333" s="364"/>
      <c r="GZ333" s="364"/>
      <c r="HA333" s="364"/>
      <c r="HB333" s="364"/>
      <c r="HC333" s="364"/>
      <c r="HD333" s="364"/>
      <c r="HE333" s="364"/>
      <c r="HF333" s="364"/>
      <c r="HG333" s="364"/>
      <c r="HH333" s="364"/>
      <c r="HI333" s="364"/>
      <c r="HJ333" s="364"/>
      <c r="HK333" s="364"/>
      <c r="HL333" s="364"/>
    </row>
    <row r="334" spans="1:220" s="287" customFormat="1" ht="22.5" customHeight="1">
      <c r="B334" s="365">
        <v>250145</v>
      </c>
      <c r="C334" s="366" t="s">
        <v>446</v>
      </c>
      <c r="D334" s="367"/>
      <c r="E334" s="368"/>
      <c r="F334" s="321" t="s">
        <v>375</v>
      </c>
      <c r="G334" s="326" t="s">
        <v>2131</v>
      </c>
      <c r="H334" s="326" t="s">
        <v>2132</v>
      </c>
      <c r="I334" s="326" t="s">
        <v>11</v>
      </c>
      <c r="J334" s="326" t="s">
        <v>21</v>
      </c>
      <c r="K334" s="326" t="s">
        <v>307</v>
      </c>
      <c r="L334" s="323"/>
      <c r="M334" s="374"/>
      <c r="N334" s="325" t="s">
        <v>437</v>
      </c>
      <c r="O334" s="326">
        <v>30</v>
      </c>
      <c r="P334" s="327">
        <v>209.78</v>
      </c>
      <c r="Q334" s="369">
        <v>106.96</v>
      </c>
      <c r="R334" s="329" t="s">
        <v>14137</v>
      </c>
      <c r="S334" s="331" t="s">
        <v>14656</v>
      </c>
      <c r="T334" s="331" t="s">
        <v>14658</v>
      </c>
      <c r="U334" s="331" t="s">
        <v>16221</v>
      </c>
      <c r="V334" s="331" t="s">
        <v>14657</v>
      </c>
      <c r="W334" s="332" t="s">
        <v>432</v>
      </c>
      <c r="X334" s="331" t="s">
        <v>11079</v>
      </c>
      <c r="Y334" s="331" t="s">
        <v>11080</v>
      </c>
      <c r="Z334" s="331" t="s">
        <v>11080</v>
      </c>
      <c r="AA334" s="331" t="s">
        <v>210</v>
      </c>
      <c r="AB334" s="333"/>
      <c r="AC334" s="333"/>
      <c r="AD334" s="334" t="s">
        <v>398</v>
      </c>
      <c r="AE334" s="335" t="s">
        <v>309</v>
      </c>
      <c r="AF334" s="336"/>
      <c r="AG334" s="337"/>
      <c r="AH334" s="417" t="s">
        <v>435</v>
      </c>
      <c r="AI334" s="392" t="s">
        <v>435</v>
      </c>
      <c r="AJ334" s="392" t="s">
        <v>435</v>
      </c>
      <c r="AK334" s="340" t="s">
        <v>435</v>
      </c>
      <c r="AL334" s="417" t="s">
        <v>210</v>
      </c>
      <c r="AM334" s="392" t="s">
        <v>210</v>
      </c>
      <c r="AN334" s="326" t="s">
        <v>983</v>
      </c>
      <c r="AO334" s="341" t="s">
        <v>210</v>
      </c>
      <c r="AP334" s="342"/>
      <c r="AQ334" s="343"/>
      <c r="AR334" s="370">
        <v>176</v>
      </c>
      <c r="AS334" s="326">
        <v>80</v>
      </c>
      <c r="AT334" s="392">
        <v>3</v>
      </c>
      <c r="AU334" s="392"/>
      <c r="AV334" s="392" t="s">
        <v>823</v>
      </c>
      <c r="AW334" s="340"/>
      <c r="AX334" s="347"/>
      <c r="AY334" s="348"/>
      <c r="AZ334" s="377"/>
      <c r="BA334" s="374"/>
      <c r="BB334" s="374"/>
      <c r="BC334" s="374"/>
      <c r="BD334" s="374"/>
      <c r="BE334" s="374"/>
      <c r="BF334" s="374"/>
      <c r="BG334" s="374"/>
      <c r="BH334" s="378"/>
      <c r="BI334" s="376"/>
      <c r="BJ334" s="379"/>
      <c r="BK334" s="380"/>
      <c r="BL334" s="348"/>
      <c r="BM334" s="381"/>
      <c r="BN334" s="321" t="s">
        <v>983</v>
      </c>
      <c r="BO334" s="372">
        <v>0.97</v>
      </c>
      <c r="BP334" s="373" t="s">
        <v>983</v>
      </c>
      <c r="BQ334" s="360"/>
      <c r="BR334" s="361"/>
      <c r="BS334" s="361"/>
      <c r="BT334" s="361"/>
      <c r="BU334" s="342" t="s">
        <v>210</v>
      </c>
      <c r="BV334" s="342" t="s">
        <v>210</v>
      </c>
      <c r="BW334" s="341" t="s">
        <v>15</v>
      </c>
      <c r="BX334" s="361"/>
      <c r="BY334" s="362"/>
      <c r="BZ334" s="363"/>
      <c r="CA334" s="363"/>
      <c r="CB334" s="363"/>
      <c r="CC334" s="363"/>
      <c r="CD334" s="293"/>
      <c r="CE334" s="364"/>
      <c r="CF334" s="364"/>
      <c r="CG334" s="364"/>
      <c r="CH334" s="364"/>
      <c r="CI334" s="364"/>
      <c r="CJ334" s="364"/>
      <c r="CK334" s="364"/>
      <c r="CL334" s="364"/>
      <c r="CM334" s="364"/>
      <c r="CN334" s="364"/>
      <c r="CO334" s="364"/>
      <c r="CP334" s="364"/>
      <c r="CQ334" s="364"/>
      <c r="CR334" s="364"/>
      <c r="CS334" s="364"/>
      <c r="CT334" s="364"/>
      <c r="CU334" s="364"/>
      <c r="CV334" s="364"/>
      <c r="CW334" s="364"/>
      <c r="CX334" s="364"/>
      <c r="CY334" s="364"/>
      <c r="CZ334" s="364"/>
      <c r="DA334" s="364"/>
      <c r="DB334" s="364"/>
      <c r="DC334" s="364"/>
      <c r="DD334" s="364"/>
      <c r="DE334" s="364"/>
      <c r="DF334" s="364"/>
      <c r="DG334" s="364"/>
      <c r="DH334" s="364"/>
      <c r="DI334" s="364"/>
      <c r="DJ334" s="364"/>
      <c r="DK334" s="364"/>
      <c r="DL334" s="364"/>
      <c r="DM334" s="364"/>
      <c r="DN334" s="364"/>
      <c r="DO334" s="364"/>
      <c r="DP334" s="364"/>
      <c r="DQ334" s="364"/>
      <c r="DR334" s="364"/>
      <c r="DS334" s="364"/>
      <c r="DT334" s="364"/>
      <c r="DU334" s="364"/>
      <c r="DV334" s="364"/>
      <c r="DW334" s="364"/>
      <c r="DX334" s="364"/>
      <c r="DY334" s="364"/>
      <c r="DZ334" s="364"/>
      <c r="EA334" s="364"/>
      <c r="EB334" s="364"/>
      <c r="EC334" s="364"/>
      <c r="ED334" s="364"/>
      <c r="EE334" s="364"/>
      <c r="EF334" s="364"/>
      <c r="EG334" s="364"/>
      <c r="EH334" s="364"/>
      <c r="EI334" s="364"/>
      <c r="EJ334" s="364"/>
      <c r="EK334" s="364"/>
      <c r="EL334" s="364"/>
      <c r="EM334" s="364"/>
      <c r="EN334" s="364"/>
      <c r="EO334" s="364"/>
      <c r="EP334" s="364"/>
      <c r="EQ334" s="364"/>
      <c r="ER334" s="364"/>
      <c r="ES334" s="364"/>
      <c r="ET334" s="364"/>
      <c r="EU334" s="364"/>
      <c r="EV334" s="364"/>
      <c r="EW334" s="364"/>
      <c r="EX334" s="364"/>
      <c r="EY334" s="364"/>
      <c r="EZ334" s="364"/>
      <c r="FA334" s="364"/>
      <c r="FB334" s="364"/>
      <c r="FC334" s="364"/>
      <c r="FD334" s="364"/>
      <c r="FE334" s="364"/>
      <c r="FF334" s="364"/>
      <c r="FG334" s="364"/>
      <c r="FH334" s="364"/>
      <c r="FI334" s="364"/>
      <c r="FJ334" s="364"/>
      <c r="FK334" s="364"/>
      <c r="FL334" s="364"/>
      <c r="FM334" s="364"/>
      <c r="FN334" s="364"/>
      <c r="FO334" s="364"/>
      <c r="FP334" s="364"/>
      <c r="FQ334" s="364"/>
      <c r="FR334" s="364"/>
      <c r="FS334" s="364"/>
      <c r="FT334" s="364"/>
      <c r="FU334" s="364"/>
      <c r="FV334" s="364"/>
      <c r="FW334" s="364"/>
      <c r="FX334" s="364"/>
      <c r="FY334" s="364"/>
      <c r="FZ334" s="364"/>
      <c r="GA334" s="364"/>
      <c r="GB334" s="364"/>
      <c r="GC334" s="364"/>
      <c r="GD334" s="364"/>
      <c r="GE334" s="364"/>
      <c r="GF334" s="364"/>
      <c r="GG334" s="364"/>
      <c r="GH334" s="364"/>
      <c r="GI334" s="364"/>
      <c r="GJ334" s="364"/>
      <c r="GK334" s="364"/>
      <c r="GL334" s="364"/>
      <c r="GM334" s="364"/>
      <c r="GN334" s="364"/>
      <c r="GO334" s="364"/>
      <c r="GP334" s="364"/>
      <c r="GQ334" s="364"/>
      <c r="GR334" s="364"/>
      <c r="GS334" s="364"/>
      <c r="GT334" s="364"/>
      <c r="GU334" s="364"/>
      <c r="GV334" s="364"/>
      <c r="GW334" s="364"/>
      <c r="GX334" s="364"/>
      <c r="GY334" s="364"/>
      <c r="GZ334" s="364"/>
      <c r="HA334" s="364"/>
      <c r="HB334" s="364"/>
      <c r="HC334" s="364"/>
      <c r="HD334" s="364"/>
      <c r="HE334" s="364"/>
      <c r="HF334" s="364"/>
      <c r="HG334" s="364"/>
      <c r="HH334" s="364"/>
      <c r="HI334" s="364"/>
      <c r="HJ334" s="364"/>
      <c r="HK334" s="364"/>
      <c r="HL334" s="364"/>
    </row>
    <row r="335" spans="1:220" s="287" customFormat="1" ht="22.5" customHeight="1">
      <c r="B335" s="365">
        <v>250146</v>
      </c>
      <c r="C335" s="366" t="s">
        <v>13661</v>
      </c>
      <c r="D335" s="367"/>
      <c r="E335" s="368"/>
      <c r="F335" s="321" t="s">
        <v>308</v>
      </c>
      <c r="G335" s="326" t="s">
        <v>2129</v>
      </c>
      <c r="H335" s="326" t="s">
        <v>2130</v>
      </c>
      <c r="I335" s="326" t="s">
        <v>11</v>
      </c>
      <c r="J335" s="326" t="s">
        <v>399</v>
      </c>
      <c r="K335" s="326" t="s">
        <v>324</v>
      </c>
      <c r="L335" s="323"/>
      <c r="M335" s="374"/>
      <c r="N335" s="325" t="s">
        <v>495</v>
      </c>
      <c r="O335" s="326">
        <v>100</v>
      </c>
      <c r="P335" s="327">
        <v>864.23</v>
      </c>
      <c r="Q335" s="369">
        <v>878.28</v>
      </c>
      <c r="R335" s="329" t="s">
        <v>1098</v>
      </c>
      <c r="S335" s="331" t="s">
        <v>13396</v>
      </c>
      <c r="T335" s="394" t="s">
        <v>12439</v>
      </c>
      <c r="U335" s="394" t="s">
        <v>16310</v>
      </c>
      <c r="V335" s="331" t="s">
        <v>13395</v>
      </c>
      <c r="W335" s="332" t="s">
        <v>432</v>
      </c>
      <c r="X335" s="331" t="s">
        <v>11079</v>
      </c>
      <c r="Y335" s="331" t="s">
        <v>11080</v>
      </c>
      <c r="Z335" s="331" t="s">
        <v>11080</v>
      </c>
      <c r="AA335" s="331" t="s">
        <v>210</v>
      </c>
      <c r="AB335" s="333"/>
      <c r="AC335" s="333"/>
      <c r="AD335" s="334" t="s">
        <v>401</v>
      </c>
      <c r="AE335" s="335" t="s">
        <v>309</v>
      </c>
      <c r="AF335" s="336"/>
      <c r="AG335" s="337"/>
      <c r="AH335" s="417">
        <v>30.9</v>
      </c>
      <c r="AI335" s="392">
        <v>22.8</v>
      </c>
      <c r="AJ335" s="392">
        <v>12.5</v>
      </c>
      <c r="AK335" s="340">
        <f>SUM(AH335:AJ335)</f>
        <v>66.2</v>
      </c>
      <c r="AL335" s="417" t="s">
        <v>210</v>
      </c>
      <c r="AM335" s="392" t="s">
        <v>210</v>
      </c>
      <c r="AN335" s="392" t="s">
        <v>210</v>
      </c>
      <c r="AO335" s="341" t="s">
        <v>210</v>
      </c>
      <c r="AP335" s="342"/>
      <c r="AQ335" s="343"/>
      <c r="AR335" s="370">
        <v>1264</v>
      </c>
      <c r="AS335" s="326">
        <v>100</v>
      </c>
      <c r="AT335" s="392">
        <v>1</v>
      </c>
      <c r="AU335" s="392"/>
      <c r="AV335" s="392">
        <v>1</v>
      </c>
      <c r="AW335" s="340"/>
      <c r="AX335" s="347"/>
      <c r="AY335" s="348"/>
      <c r="AZ335" s="377"/>
      <c r="BA335" s="374"/>
      <c r="BB335" s="374"/>
      <c r="BC335" s="374"/>
      <c r="BD335" s="374"/>
      <c r="BE335" s="374"/>
      <c r="BF335" s="374"/>
      <c r="BG335" s="374"/>
      <c r="BH335" s="378"/>
      <c r="BI335" s="376"/>
      <c r="BJ335" s="379"/>
      <c r="BK335" s="380"/>
      <c r="BL335" s="348"/>
      <c r="BM335" s="381"/>
      <c r="BN335" s="321" t="s">
        <v>983</v>
      </c>
      <c r="BO335" s="372"/>
      <c r="BP335" s="373" t="s">
        <v>15</v>
      </c>
      <c r="BQ335" s="360"/>
      <c r="BR335" s="361"/>
      <c r="BS335" s="361"/>
      <c r="BT335" s="361"/>
      <c r="BU335" s="342" t="s">
        <v>210</v>
      </c>
      <c r="BV335" s="342" t="s">
        <v>210</v>
      </c>
      <c r="BW335" s="341" t="s">
        <v>15</v>
      </c>
      <c r="BX335" s="361"/>
      <c r="BY335" s="362"/>
      <c r="BZ335" s="363"/>
      <c r="CA335" s="363"/>
      <c r="CB335" s="363"/>
      <c r="CC335" s="363"/>
      <c r="CD335" s="293"/>
      <c r="CE335" s="364"/>
      <c r="CF335" s="364"/>
      <c r="CG335" s="364"/>
      <c r="CH335" s="364"/>
      <c r="CI335" s="364"/>
      <c r="CJ335" s="364"/>
      <c r="CK335" s="364"/>
      <c r="CL335" s="364"/>
      <c r="CM335" s="364"/>
      <c r="CN335" s="364"/>
      <c r="CO335" s="364"/>
      <c r="CP335" s="364"/>
      <c r="CQ335" s="364"/>
      <c r="CR335" s="364"/>
      <c r="CS335" s="364"/>
      <c r="CT335" s="364"/>
      <c r="CU335" s="364"/>
      <c r="CV335" s="364"/>
      <c r="CW335" s="364"/>
      <c r="CX335" s="364"/>
      <c r="CY335" s="364"/>
      <c r="CZ335" s="364"/>
      <c r="DA335" s="364"/>
      <c r="DB335" s="364"/>
      <c r="DC335" s="364"/>
      <c r="DD335" s="364"/>
      <c r="DE335" s="364"/>
      <c r="DF335" s="364"/>
      <c r="DG335" s="364"/>
      <c r="DH335" s="364"/>
      <c r="DI335" s="364"/>
      <c r="DJ335" s="364"/>
      <c r="DK335" s="364"/>
      <c r="DL335" s="364"/>
      <c r="DM335" s="364"/>
      <c r="DN335" s="364"/>
      <c r="DO335" s="364"/>
      <c r="DP335" s="364"/>
      <c r="DQ335" s="364"/>
      <c r="DR335" s="364"/>
      <c r="DS335" s="364"/>
      <c r="DT335" s="364"/>
      <c r="DU335" s="364"/>
      <c r="DV335" s="364"/>
      <c r="DW335" s="364"/>
      <c r="DX335" s="364"/>
      <c r="DY335" s="364"/>
      <c r="DZ335" s="364"/>
      <c r="EA335" s="364"/>
      <c r="EB335" s="364"/>
      <c r="EC335" s="364"/>
      <c r="ED335" s="364"/>
      <c r="EE335" s="364"/>
      <c r="EF335" s="364"/>
      <c r="EG335" s="364"/>
      <c r="EH335" s="364"/>
      <c r="EI335" s="364"/>
      <c r="EJ335" s="364"/>
      <c r="EK335" s="364"/>
      <c r="EL335" s="364"/>
      <c r="EM335" s="364"/>
      <c r="EN335" s="364"/>
      <c r="EO335" s="364"/>
      <c r="EP335" s="364"/>
      <c r="EQ335" s="364"/>
      <c r="ER335" s="364"/>
      <c r="ES335" s="364"/>
      <c r="ET335" s="364"/>
      <c r="EU335" s="364"/>
      <c r="EV335" s="364"/>
      <c r="EW335" s="364"/>
      <c r="EX335" s="364"/>
      <c r="EY335" s="364"/>
      <c r="EZ335" s="364"/>
      <c r="FA335" s="364"/>
      <c r="FB335" s="364"/>
      <c r="FC335" s="364"/>
      <c r="FD335" s="364"/>
      <c r="FE335" s="364"/>
      <c r="FF335" s="364"/>
      <c r="FG335" s="364"/>
      <c r="FH335" s="364"/>
      <c r="FI335" s="364"/>
      <c r="FJ335" s="364"/>
      <c r="FK335" s="364"/>
      <c r="FL335" s="364"/>
      <c r="FM335" s="364"/>
      <c r="FN335" s="364"/>
      <c r="FO335" s="364"/>
      <c r="FP335" s="364"/>
      <c r="FQ335" s="364"/>
      <c r="FR335" s="364"/>
      <c r="FS335" s="364"/>
      <c r="FT335" s="364"/>
      <c r="FU335" s="364"/>
      <c r="FV335" s="364"/>
      <c r="FW335" s="364"/>
      <c r="FX335" s="364"/>
      <c r="FY335" s="364"/>
      <c r="FZ335" s="364"/>
      <c r="GA335" s="364"/>
      <c r="GB335" s="364"/>
      <c r="GC335" s="364"/>
      <c r="GD335" s="364"/>
      <c r="GE335" s="364"/>
      <c r="GF335" s="364"/>
      <c r="GG335" s="364"/>
      <c r="GH335" s="364"/>
      <c r="GI335" s="364"/>
      <c r="GJ335" s="364"/>
      <c r="GK335" s="364"/>
      <c r="GL335" s="364"/>
      <c r="GM335" s="364"/>
      <c r="GN335" s="364"/>
      <c r="GO335" s="364"/>
      <c r="GP335" s="364"/>
      <c r="GQ335" s="364"/>
      <c r="GR335" s="364"/>
      <c r="GS335" s="364"/>
      <c r="GT335" s="364"/>
      <c r="GU335" s="364"/>
      <c r="GV335" s="364"/>
      <c r="GW335" s="364"/>
      <c r="GX335" s="364"/>
      <c r="GY335" s="364"/>
      <c r="GZ335" s="364"/>
      <c r="HA335" s="364"/>
      <c r="HB335" s="364"/>
      <c r="HC335" s="364"/>
      <c r="HD335" s="364"/>
      <c r="HE335" s="364"/>
      <c r="HF335" s="364"/>
      <c r="HG335" s="364"/>
      <c r="HH335" s="364"/>
      <c r="HI335" s="364"/>
      <c r="HJ335" s="364"/>
      <c r="HK335" s="364"/>
      <c r="HL335" s="364"/>
    </row>
    <row r="336" spans="1:220" s="287" customFormat="1" ht="22.5" customHeight="1">
      <c r="B336" s="365">
        <v>250148</v>
      </c>
      <c r="C336" s="366" t="s">
        <v>14135</v>
      </c>
      <c r="D336" s="367"/>
      <c r="E336" s="368"/>
      <c r="F336" s="321" t="s">
        <v>341</v>
      </c>
      <c r="G336" s="326" t="s">
        <v>2127</v>
      </c>
      <c r="H336" s="326" t="s">
        <v>2128</v>
      </c>
      <c r="I336" s="326" t="s">
        <v>11</v>
      </c>
      <c r="J336" s="326" t="s">
        <v>399</v>
      </c>
      <c r="K336" s="326" t="s">
        <v>324</v>
      </c>
      <c r="L336" s="323"/>
      <c r="M336" s="374"/>
      <c r="N336" s="325" t="s">
        <v>438</v>
      </c>
      <c r="O336" s="326">
        <v>30</v>
      </c>
      <c r="P336" s="327">
        <v>659.24</v>
      </c>
      <c r="Q336" s="369">
        <v>672.29</v>
      </c>
      <c r="R336" s="329" t="s">
        <v>444</v>
      </c>
      <c r="S336" s="330"/>
      <c r="T336" s="330"/>
      <c r="U336" s="330"/>
      <c r="V336" s="331" t="s">
        <v>14130</v>
      </c>
      <c r="W336" s="332" t="s">
        <v>14136</v>
      </c>
      <c r="X336" s="331" t="s">
        <v>13397</v>
      </c>
      <c r="Y336" s="331" t="s">
        <v>13398</v>
      </c>
      <c r="Z336" s="331" t="s">
        <v>13399</v>
      </c>
      <c r="AA336" s="331" t="s">
        <v>13400</v>
      </c>
      <c r="AB336" s="333"/>
      <c r="AC336" s="333"/>
      <c r="AD336" s="334" t="s">
        <v>334</v>
      </c>
      <c r="AE336" s="335" t="s">
        <v>326</v>
      </c>
      <c r="AF336" s="336"/>
      <c r="AG336" s="337"/>
      <c r="AH336" s="417" t="s">
        <v>435</v>
      </c>
      <c r="AI336" s="392" t="s">
        <v>435</v>
      </c>
      <c r="AJ336" s="392" t="s">
        <v>435</v>
      </c>
      <c r="AK336" s="340" t="s">
        <v>435</v>
      </c>
      <c r="AL336" s="417" t="s">
        <v>210</v>
      </c>
      <c r="AM336" s="392" t="s">
        <v>210</v>
      </c>
      <c r="AN336" s="392" t="s">
        <v>210</v>
      </c>
      <c r="AO336" s="341" t="s">
        <v>210</v>
      </c>
      <c r="AP336" s="342"/>
      <c r="AQ336" s="343"/>
      <c r="AR336" s="370">
        <v>789</v>
      </c>
      <c r="AS336" s="326">
        <v>100</v>
      </c>
      <c r="AT336" s="392">
        <v>0.8</v>
      </c>
      <c r="AU336" s="392"/>
      <c r="AV336" s="392">
        <v>1.5</v>
      </c>
      <c r="AW336" s="340"/>
      <c r="AX336" s="347"/>
      <c r="AY336" s="348"/>
      <c r="AZ336" s="377"/>
      <c r="BA336" s="374"/>
      <c r="BB336" s="374"/>
      <c r="BC336" s="374"/>
      <c r="BD336" s="374"/>
      <c r="BE336" s="374"/>
      <c r="BF336" s="374"/>
      <c r="BG336" s="374"/>
      <c r="BH336" s="378"/>
      <c r="BI336" s="376"/>
      <c r="BJ336" s="379"/>
      <c r="BK336" s="380"/>
      <c r="BL336" s="348"/>
      <c r="BM336" s="381"/>
      <c r="BN336" s="321" t="s">
        <v>983</v>
      </c>
      <c r="BO336" s="372"/>
      <c r="BP336" s="373" t="s">
        <v>983</v>
      </c>
      <c r="BQ336" s="360"/>
      <c r="BR336" s="361"/>
      <c r="BS336" s="361"/>
      <c r="BT336" s="361"/>
      <c r="BU336" s="342" t="s">
        <v>210</v>
      </c>
      <c r="BV336" s="342" t="s">
        <v>210</v>
      </c>
      <c r="BW336" s="341" t="s">
        <v>15</v>
      </c>
      <c r="BX336" s="361"/>
      <c r="BY336" s="362"/>
      <c r="BZ336" s="363"/>
      <c r="CA336" s="363"/>
      <c r="CB336" s="363"/>
      <c r="CC336" s="363"/>
      <c r="CD336" s="293"/>
      <c r="CE336" s="364"/>
      <c r="CF336" s="364"/>
      <c r="CG336" s="364"/>
      <c r="CH336" s="364"/>
      <c r="CI336" s="364"/>
      <c r="CJ336" s="364"/>
      <c r="CK336" s="364"/>
      <c r="CL336" s="364"/>
      <c r="CM336" s="364"/>
      <c r="CN336" s="364"/>
      <c r="CO336" s="364"/>
      <c r="CP336" s="364"/>
      <c r="CQ336" s="364"/>
      <c r="CR336" s="364"/>
      <c r="CS336" s="364"/>
      <c r="CT336" s="364"/>
      <c r="CU336" s="364"/>
      <c r="CV336" s="364"/>
      <c r="CW336" s="364"/>
      <c r="CX336" s="364"/>
      <c r="CY336" s="364"/>
      <c r="CZ336" s="364"/>
      <c r="DA336" s="364"/>
      <c r="DB336" s="364"/>
      <c r="DC336" s="364"/>
      <c r="DD336" s="364"/>
      <c r="DE336" s="364"/>
      <c r="DF336" s="364"/>
      <c r="DG336" s="364"/>
      <c r="DH336" s="364"/>
      <c r="DI336" s="364"/>
      <c r="DJ336" s="364"/>
      <c r="DK336" s="364"/>
      <c r="DL336" s="364"/>
      <c r="DM336" s="364"/>
      <c r="DN336" s="364"/>
      <c r="DO336" s="364"/>
      <c r="DP336" s="364"/>
      <c r="DQ336" s="364"/>
      <c r="DR336" s="364"/>
      <c r="DS336" s="364"/>
      <c r="DT336" s="364"/>
      <c r="DU336" s="364"/>
      <c r="DV336" s="364"/>
      <c r="DW336" s="364"/>
      <c r="DX336" s="364"/>
      <c r="DY336" s="364"/>
      <c r="DZ336" s="364"/>
      <c r="EA336" s="364"/>
      <c r="EB336" s="364"/>
      <c r="EC336" s="364"/>
      <c r="ED336" s="364"/>
      <c r="EE336" s="364"/>
      <c r="EF336" s="364"/>
      <c r="EG336" s="364"/>
      <c r="EH336" s="364"/>
      <c r="EI336" s="364"/>
      <c r="EJ336" s="364"/>
      <c r="EK336" s="364"/>
      <c r="EL336" s="364"/>
      <c r="EM336" s="364"/>
      <c r="EN336" s="364"/>
      <c r="EO336" s="364"/>
      <c r="EP336" s="364"/>
      <c r="EQ336" s="364"/>
      <c r="ER336" s="364"/>
      <c r="ES336" s="364"/>
      <c r="ET336" s="364"/>
      <c r="EU336" s="364"/>
      <c r="EV336" s="364"/>
      <c r="EW336" s="364"/>
      <c r="EX336" s="364"/>
      <c r="EY336" s="364"/>
      <c r="EZ336" s="364"/>
      <c r="FA336" s="364"/>
      <c r="FB336" s="364"/>
      <c r="FC336" s="364"/>
      <c r="FD336" s="364"/>
      <c r="FE336" s="364"/>
      <c r="FF336" s="364"/>
      <c r="FG336" s="364"/>
      <c r="FH336" s="364"/>
      <c r="FI336" s="364"/>
      <c r="FJ336" s="364"/>
      <c r="FK336" s="364"/>
      <c r="FL336" s="364"/>
      <c r="FM336" s="364"/>
      <c r="FN336" s="364"/>
      <c r="FO336" s="364"/>
      <c r="FP336" s="364"/>
      <c r="FQ336" s="364"/>
      <c r="FR336" s="364"/>
      <c r="FS336" s="364"/>
      <c r="FT336" s="364"/>
      <c r="FU336" s="364"/>
      <c r="FV336" s="364"/>
      <c r="FW336" s="364"/>
      <c r="FX336" s="364"/>
      <c r="FY336" s="364"/>
      <c r="FZ336" s="364"/>
      <c r="GA336" s="364"/>
      <c r="GB336" s="364"/>
      <c r="GC336" s="364"/>
      <c r="GD336" s="364"/>
      <c r="GE336" s="364"/>
      <c r="GF336" s="364"/>
      <c r="GG336" s="364"/>
      <c r="GH336" s="364"/>
      <c r="GI336" s="364"/>
      <c r="GJ336" s="364"/>
      <c r="GK336" s="364"/>
      <c r="GL336" s="364"/>
      <c r="GM336" s="364"/>
      <c r="GN336" s="364"/>
      <c r="GO336" s="364"/>
      <c r="GP336" s="364"/>
      <c r="GQ336" s="364"/>
      <c r="GR336" s="364"/>
      <c r="GS336" s="364"/>
      <c r="GT336" s="364"/>
      <c r="GU336" s="364"/>
      <c r="GV336" s="364"/>
      <c r="GW336" s="364"/>
      <c r="GX336" s="364"/>
      <c r="GY336" s="364"/>
      <c r="GZ336" s="364"/>
      <c r="HA336" s="364"/>
      <c r="HB336" s="364"/>
      <c r="HC336" s="364"/>
      <c r="HD336" s="364"/>
      <c r="HE336" s="364"/>
      <c r="HF336" s="364"/>
      <c r="HG336" s="364"/>
      <c r="HH336" s="364"/>
      <c r="HI336" s="364"/>
      <c r="HJ336" s="364"/>
      <c r="HK336" s="364"/>
      <c r="HL336" s="364"/>
    </row>
    <row r="337" spans="2:220" s="287" customFormat="1" ht="22.5" customHeight="1">
      <c r="B337" s="365">
        <v>250149</v>
      </c>
      <c r="C337" s="366" t="s">
        <v>411</v>
      </c>
      <c r="D337" s="367"/>
      <c r="E337" s="368"/>
      <c r="F337" s="321" t="s">
        <v>306</v>
      </c>
      <c r="G337" s="326" t="s">
        <v>1792</v>
      </c>
      <c r="H337" s="326" t="s">
        <v>2092</v>
      </c>
      <c r="I337" s="326" t="s">
        <v>11</v>
      </c>
      <c r="J337" s="326" t="s">
        <v>387</v>
      </c>
      <c r="K337" s="326" t="s">
        <v>806</v>
      </c>
      <c r="L337" s="323"/>
      <c r="M337" s="374"/>
      <c r="N337" s="325" t="s">
        <v>494</v>
      </c>
      <c r="O337" s="326">
        <v>65</v>
      </c>
      <c r="P337" s="327">
        <v>4288.75</v>
      </c>
      <c r="Q337" s="369">
        <v>2618.1999999999998</v>
      </c>
      <c r="R337" s="329" t="s">
        <v>436</v>
      </c>
      <c r="S337" s="331" t="s">
        <v>12969</v>
      </c>
      <c r="T337" s="331" t="s">
        <v>11187</v>
      </c>
      <c r="U337" s="331" t="s">
        <v>11186</v>
      </c>
      <c r="V337" s="331" t="s">
        <v>11184</v>
      </c>
      <c r="W337" s="332" t="s">
        <v>432</v>
      </c>
      <c r="X337" s="331" t="s">
        <v>11079</v>
      </c>
      <c r="Y337" s="331" t="s">
        <v>11080</v>
      </c>
      <c r="Z337" s="331" t="s">
        <v>11080</v>
      </c>
      <c r="AA337" s="331" t="s">
        <v>210</v>
      </c>
      <c r="AB337" s="333"/>
      <c r="AC337" s="333"/>
      <c r="AD337" s="334" t="s">
        <v>412</v>
      </c>
      <c r="AE337" s="335" t="s">
        <v>245</v>
      </c>
      <c r="AF337" s="336"/>
      <c r="AG337" s="337"/>
      <c r="AH337" s="417">
        <v>13.6</v>
      </c>
      <c r="AI337" s="392">
        <v>27.2</v>
      </c>
      <c r="AJ337" s="392">
        <v>17.8</v>
      </c>
      <c r="AK337" s="340">
        <f>SUM(AH337:AJ337)</f>
        <v>58.599999999999994</v>
      </c>
      <c r="AL337" s="417" t="s">
        <v>210</v>
      </c>
      <c r="AM337" s="392" t="s">
        <v>210</v>
      </c>
      <c r="AN337" s="392" t="s">
        <v>210</v>
      </c>
      <c r="AO337" s="341" t="s">
        <v>210</v>
      </c>
      <c r="AP337" s="342"/>
      <c r="AQ337" s="343"/>
      <c r="AR337" s="370">
        <v>3090</v>
      </c>
      <c r="AS337" s="326">
        <v>150</v>
      </c>
      <c r="AT337" s="392">
        <v>1</v>
      </c>
      <c r="AU337" s="392"/>
      <c r="AV337" s="392">
        <v>1.2</v>
      </c>
      <c r="AW337" s="340"/>
      <c r="AX337" s="347"/>
      <c r="AY337" s="348"/>
      <c r="AZ337" s="377"/>
      <c r="BA337" s="374"/>
      <c r="BB337" s="374"/>
      <c r="BC337" s="374"/>
      <c r="BD337" s="374"/>
      <c r="BE337" s="374"/>
      <c r="BF337" s="374"/>
      <c r="BG337" s="374"/>
      <c r="BH337" s="378"/>
      <c r="BI337" s="376"/>
      <c r="BJ337" s="379"/>
      <c r="BK337" s="380"/>
      <c r="BL337" s="348"/>
      <c r="BM337" s="381"/>
      <c r="BN337" s="321" t="s">
        <v>15</v>
      </c>
      <c r="BO337" s="372">
        <v>1.83</v>
      </c>
      <c r="BP337" s="373" t="s">
        <v>983</v>
      </c>
      <c r="BQ337" s="360"/>
      <c r="BR337" s="361"/>
      <c r="BS337" s="361"/>
      <c r="BT337" s="361"/>
      <c r="BU337" s="342" t="s">
        <v>210</v>
      </c>
      <c r="BV337" s="342" t="s">
        <v>210</v>
      </c>
      <c r="BW337" s="341" t="s">
        <v>15</v>
      </c>
      <c r="BX337" s="361"/>
      <c r="BY337" s="362"/>
      <c r="BZ337" s="363"/>
      <c r="CA337" s="363"/>
      <c r="CB337" s="363"/>
      <c r="CC337" s="363"/>
      <c r="CD337" s="293"/>
      <c r="CE337" s="364"/>
      <c r="CF337" s="364"/>
      <c r="CG337" s="364"/>
      <c r="CH337" s="364"/>
      <c r="CI337" s="364"/>
      <c r="CJ337" s="364"/>
      <c r="CK337" s="364"/>
      <c r="CL337" s="364"/>
      <c r="CM337" s="364"/>
      <c r="CN337" s="364"/>
      <c r="CO337" s="364"/>
      <c r="CP337" s="364"/>
      <c r="CQ337" s="364"/>
      <c r="CR337" s="364"/>
      <c r="CS337" s="364"/>
      <c r="CT337" s="364"/>
      <c r="CU337" s="364"/>
      <c r="CV337" s="364"/>
      <c r="CW337" s="364"/>
      <c r="CX337" s="364"/>
      <c r="CY337" s="364"/>
      <c r="CZ337" s="364"/>
      <c r="DA337" s="364"/>
      <c r="DB337" s="364"/>
      <c r="DC337" s="364"/>
      <c r="DD337" s="364"/>
      <c r="DE337" s="364"/>
      <c r="DF337" s="364"/>
      <c r="DG337" s="364"/>
      <c r="DH337" s="364"/>
      <c r="DI337" s="364"/>
      <c r="DJ337" s="364"/>
      <c r="DK337" s="364"/>
      <c r="DL337" s="364"/>
      <c r="DM337" s="364"/>
      <c r="DN337" s="364"/>
      <c r="DO337" s="364"/>
      <c r="DP337" s="364"/>
      <c r="DQ337" s="364"/>
      <c r="DR337" s="364"/>
      <c r="DS337" s="364"/>
      <c r="DT337" s="364"/>
      <c r="DU337" s="364"/>
      <c r="DV337" s="364"/>
      <c r="DW337" s="364"/>
      <c r="DX337" s="364"/>
      <c r="DY337" s="364"/>
      <c r="DZ337" s="364"/>
      <c r="EA337" s="364"/>
      <c r="EB337" s="364"/>
      <c r="EC337" s="364"/>
      <c r="ED337" s="364"/>
      <c r="EE337" s="364"/>
      <c r="EF337" s="364"/>
      <c r="EG337" s="364"/>
      <c r="EH337" s="364"/>
      <c r="EI337" s="364"/>
      <c r="EJ337" s="364"/>
      <c r="EK337" s="364"/>
      <c r="EL337" s="364"/>
      <c r="EM337" s="364"/>
      <c r="EN337" s="364"/>
      <c r="EO337" s="364"/>
      <c r="EP337" s="364"/>
      <c r="EQ337" s="364"/>
      <c r="ER337" s="364"/>
      <c r="ES337" s="364"/>
      <c r="ET337" s="364"/>
      <c r="EU337" s="364"/>
      <c r="EV337" s="364"/>
      <c r="EW337" s="364"/>
      <c r="EX337" s="364"/>
      <c r="EY337" s="364"/>
      <c r="EZ337" s="364"/>
      <c r="FA337" s="364"/>
      <c r="FB337" s="364"/>
      <c r="FC337" s="364"/>
      <c r="FD337" s="364"/>
      <c r="FE337" s="364"/>
      <c r="FF337" s="364"/>
      <c r="FG337" s="364"/>
      <c r="FH337" s="364"/>
      <c r="FI337" s="364"/>
      <c r="FJ337" s="364"/>
      <c r="FK337" s="364"/>
      <c r="FL337" s="364"/>
      <c r="FM337" s="364"/>
      <c r="FN337" s="364"/>
      <c r="FO337" s="364"/>
      <c r="FP337" s="364"/>
      <c r="FQ337" s="364"/>
      <c r="FR337" s="364"/>
      <c r="FS337" s="364"/>
      <c r="FT337" s="364"/>
      <c r="FU337" s="364"/>
      <c r="FV337" s="364"/>
      <c r="FW337" s="364"/>
      <c r="FX337" s="364"/>
      <c r="FY337" s="364"/>
      <c r="FZ337" s="364"/>
      <c r="GA337" s="364"/>
      <c r="GB337" s="364"/>
      <c r="GC337" s="364"/>
      <c r="GD337" s="364"/>
      <c r="GE337" s="364"/>
      <c r="GF337" s="364"/>
      <c r="GG337" s="364"/>
      <c r="GH337" s="364"/>
      <c r="GI337" s="364"/>
      <c r="GJ337" s="364"/>
      <c r="GK337" s="364"/>
      <c r="GL337" s="364"/>
      <c r="GM337" s="364"/>
      <c r="GN337" s="364"/>
      <c r="GO337" s="364"/>
      <c r="GP337" s="364"/>
      <c r="GQ337" s="364"/>
      <c r="GR337" s="364"/>
      <c r="GS337" s="364"/>
      <c r="GT337" s="364"/>
      <c r="GU337" s="364"/>
      <c r="GV337" s="364"/>
      <c r="GW337" s="364"/>
      <c r="GX337" s="364"/>
      <c r="GY337" s="364"/>
      <c r="GZ337" s="364"/>
      <c r="HA337" s="364"/>
      <c r="HB337" s="364"/>
      <c r="HC337" s="364"/>
      <c r="HD337" s="364"/>
      <c r="HE337" s="364"/>
      <c r="HF337" s="364"/>
      <c r="HG337" s="364"/>
      <c r="HH337" s="364"/>
      <c r="HI337" s="364"/>
      <c r="HJ337" s="364"/>
      <c r="HK337" s="364"/>
      <c r="HL337" s="364"/>
    </row>
    <row r="338" spans="2:220" s="287" customFormat="1" ht="22.5" customHeight="1">
      <c r="B338" s="365">
        <v>250150</v>
      </c>
      <c r="C338" s="366" t="s">
        <v>14132</v>
      </c>
      <c r="D338" s="367"/>
      <c r="E338" s="368"/>
      <c r="F338" s="321" t="s">
        <v>233</v>
      </c>
      <c r="G338" s="326" t="s">
        <v>2125</v>
      </c>
      <c r="H338" s="326" t="s">
        <v>2126</v>
      </c>
      <c r="I338" s="326" t="s">
        <v>11</v>
      </c>
      <c r="J338" s="326" t="s">
        <v>387</v>
      </c>
      <c r="K338" s="326" t="s">
        <v>363</v>
      </c>
      <c r="L338" s="323"/>
      <c r="M338" s="374"/>
      <c r="N338" s="325" t="s">
        <v>438</v>
      </c>
      <c r="O338" s="326">
        <v>30</v>
      </c>
      <c r="P338" s="327" t="s">
        <v>210</v>
      </c>
      <c r="Q338" s="369" t="s">
        <v>210</v>
      </c>
      <c r="R338" s="329" t="s">
        <v>443</v>
      </c>
      <c r="S338" s="330"/>
      <c r="T338" s="330"/>
      <c r="U338" s="330"/>
      <c r="V338" s="330"/>
      <c r="W338" s="332" t="s">
        <v>1115</v>
      </c>
      <c r="X338" s="331" t="s">
        <v>14133</v>
      </c>
      <c r="Y338" s="330"/>
      <c r="Z338" s="330"/>
      <c r="AA338" s="331" t="s">
        <v>14134</v>
      </c>
      <c r="AB338" s="333"/>
      <c r="AC338" s="333"/>
      <c r="AD338" s="334" t="s">
        <v>272</v>
      </c>
      <c r="AE338" s="335" t="s">
        <v>298</v>
      </c>
      <c r="AF338" s="336"/>
      <c r="AG338" s="337"/>
      <c r="AH338" s="417" t="s">
        <v>435</v>
      </c>
      <c r="AI338" s="392" t="s">
        <v>435</v>
      </c>
      <c r="AJ338" s="392" t="s">
        <v>435</v>
      </c>
      <c r="AK338" s="340" t="s">
        <v>435</v>
      </c>
      <c r="AL338" s="417" t="s">
        <v>210</v>
      </c>
      <c r="AM338" s="392" t="s">
        <v>210</v>
      </c>
      <c r="AN338" s="392" t="s">
        <v>210</v>
      </c>
      <c r="AO338" s="341" t="s">
        <v>210</v>
      </c>
      <c r="AP338" s="342"/>
      <c r="AQ338" s="343"/>
      <c r="AR338" s="370">
        <v>1463</v>
      </c>
      <c r="AS338" s="326">
        <v>150</v>
      </c>
      <c r="AT338" s="392">
        <v>1</v>
      </c>
      <c r="AU338" s="392"/>
      <c r="AV338" s="392">
        <v>1.5</v>
      </c>
      <c r="AW338" s="340"/>
      <c r="AX338" s="347"/>
      <c r="AY338" s="348"/>
      <c r="AZ338" s="377"/>
      <c r="BA338" s="374"/>
      <c r="BB338" s="374"/>
      <c r="BC338" s="374"/>
      <c r="BD338" s="374"/>
      <c r="BE338" s="374"/>
      <c r="BF338" s="374"/>
      <c r="BG338" s="374"/>
      <c r="BH338" s="378"/>
      <c r="BI338" s="376"/>
      <c r="BJ338" s="379"/>
      <c r="BK338" s="380"/>
      <c r="BL338" s="348"/>
      <c r="BM338" s="381"/>
      <c r="BN338" s="321" t="s">
        <v>983</v>
      </c>
      <c r="BO338" s="372"/>
      <c r="BP338" s="373" t="s">
        <v>15</v>
      </c>
      <c r="BQ338" s="360"/>
      <c r="BR338" s="361"/>
      <c r="BS338" s="361"/>
      <c r="BT338" s="361"/>
      <c r="BU338" s="342" t="s">
        <v>210</v>
      </c>
      <c r="BV338" s="342" t="s">
        <v>210</v>
      </c>
      <c r="BW338" s="341" t="s">
        <v>15</v>
      </c>
      <c r="BX338" s="361"/>
      <c r="BY338" s="362"/>
      <c r="BZ338" s="363"/>
      <c r="CA338" s="363"/>
      <c r="CB338" s="363"/>
      <c r="CC338" s="363"/>
      <c r="CD338" s="293"/>
      <c r="CE338" s="364"/>
      <c r="CF338" s="364"/>
      <c r="CG338" s="364"/>
      <c r="CH338" s="364"/>
      <c r="CI338" s="364"/>
      <c r="CJ338" s="364"/>
      <c r="CK338" s="364"/>
      <c r="CL338" s="364"/>
      <c r="CM338" s="364"/>
      <c r="CN338" s="364"/>
      <c r="CO338" s="364"/>
      <c r="CP338" s="364"/>
      <c r="CQ338" s="364"/>
      <c r="CR338" s="364"/>
      <c r="CS338" s="364"/>
      <c r="CT338" s="364"/>
      <c r="CU338" s="364"/>
      <c r="CV338" s="364"/>
      <c r="CW338" s="364"/>
      <c r="CX338" s="364"/>
      <c r="CY338" s="364"/>
      <c r="CZ338" s="364"/>
      <c r="DA338" s="364"/>
      <c r="DB338" s="364"/>
      <c r="DC338" s="364"/>
      <c r="DD338" s="364"/>
      <c r="DE338" s="364"/>
      <c r="DF338" s="364"/>
      <c r="DG338" s="364"/>
      <c r="DH338" s="364"/>
      <c r="DI338" s="364"/>
      <c r="DJ338" s="364"/>
      <c r="DK338" s="364"/>
      <c r="DL338" s="364"/>
      <c r="DM338" s="364"/>
      <c r="DN338" s="364"/>
      <c r="DO338" s="364"/>
      <c r="DP338" s="364"/>
      <c r="DQ338" s="364"/>
      <c r="DR338" s="364"/>
      <c r="DS338" s="364"/>
      <c r="DT338" s="364"/>
      <c r="DU338" s="364"/>
      <c r="DV338" s="364"/>
      <c r="DW338" s="364"/>
      <c r="DX338" s="364"/>
      <c r="DY338" s="364"/>
      <c r="DZ338" s="364"/>
      <c r="EA338" s="364"/>
      <c r="EB338" s="364"/>
      <c r="EC338" s="364"/>
      <c r="ED338" s="364"/>
      <c r="EE338" s="364"/>
      <c r="EF338" s="364"/>
      <c r="EG338" s="364"/>
      <c r="EH338" s="364"/>
      <c r="EI338" s="364"/>
      <c r="EJ338" s="364"/>
      <c r="EK338" s="364"/>
      <c r="EL338" s="364"/>
      <c r="EM338" s="364"/>
      <c r="EN338" s="364"/>
      <c r="EO338" s="364"/>
      <c r="EP338" s="364"/>
      <c r="EQ338" s="364"/>
      <c r="ER338" s="364"/>
      <c r="ES338" s="364"/>
      <c r="ET338" s="364"/>
      <c r="EU338" s="364"/>
      <c r="EV338" s="364"/>
      <c r="EW338" s="364"/>
      <c r="EX338" s="364"/>
      <c r="EY338" s="364"/>
      <c r="EZ338" s="364"/>
      <c r="FA338" s="364"/>
      <c r="FB338" s="364"/>
      <c r="FC338" s="364"/>
      <c r="FD338" s="364"/>
      <c r="FE338" s="364"/>
      <c r="FF338" s="364"/>
      <c r="FG338" s="364"/>
      <c r="FH338" s="364"/>
      <c r="FI338" s="364"/>
      <c r="FJ338" s="364"/>
      <c r="FK338" s="364"/>
      <c r="FL338" s="364"/>
      <c r="FM338" s="364"/>
      <c r="FN338" s="364"/>
      <c r="FO338" s="364"/>
      <c r="FP338" s="364"/>
      <c r="FQ338" s="364"/>
      <c r="FR338" s="364"/>
      <c r="FS338" s="364"/>
      <c r="FT338" s="364"/>
      <c r="FU338" s="364"/>
      <c r="FV338" s="364"/>
      <c r="FW338" s="364"/>
      <c r="FX338" s="364"/>
      <c r="FY338" s="364"/>
      <c r="FZ338" s="364"/>
      <c r="GA338" s="364"/>
      <c r="GB338" s="364"/>
      <c r="GC338" s="364"/>
      <c r="GD338" s="364"/>
      <c r="GE338" s="364"/>
      <c r="GF338" s="364"/>
      <c r="GG338" s="364"/>
      <c r="GH338" s="364"/>
      <c r="GI338" s="364"/>
      <c r="GJ338" s="364"/>
      <c r="GK338" s="364"/>
      <c r="GL338" s="364"/>
      <c r="GM338" s="364"/>
      <c r="GN338" s="364"/>
      <c r="GO338" s="364"/>
      <c r="GP338" s="364"/>
      <c r="GQ338" s="364"/>
      <c r="GR338" s="364"/>
      <c r="GS338" s="364"/>
      <c r="GT338" s="364"/>
      <c r="GU338" s="364"/>
      <c r="GV338" s="364"/>
      <c r="GW338" s="364"/>
      <c r="GX338" s="364"/>
      <c r="GY338" s="364"/>
      <c r="GZ338" s="364"/>
      <c r="HA338" s="364"/>
      <c r="HB338" s="364"/>
      <c r="HC338" s="364"/>
      <c r="HD338" s="364"/>
      <c r="HE338" s="364"/>
      <c r="HF338" s="364"/>
      <c r="HG338" s="364"/>
      <c r="HH338" s="364"/>
      <c r="HI338" s="364"/>
      <c r="HJ338" s="364"/>
      <c r="HK338" s="364"/>
      <c r="HL338" s="364"/>
    </row>
    <row r="339" spans="2:220" s="287" customFormat="1" ht="22.5" customHeight="1">
      <c r="B339" s="365">
        <v>250151</v>
      </c>
      <c r="C339" s="366" t="s">
        <v>15207</v>
      </c>
      <c r="D339" s="367"/>
      <c r="E339" s="368"/>
      <c r="F339" s="321" t="s">
        <v>228</v>
      </c>
      <c r="G339" s="326" t="s">
        <v>2123</v>
      </c>
      <c r="H339" s="326" t="s">
        <v>2124</v>
      </c>
      <c r="I339" s="326" t="s">
        <v>11</v>
      </c>
      <c r="J339" s="326" t="s">
        <v>399</v>
      </c>
      <c r="K339" s="326" t="s">
        <v>324</v>
      </c>
      <c r="L339" s="323"/>
      <c r="M339" s="374"/>
      <c r="N339" s="325" t="s">
        <v>438</v>
      </c>
      <c r="O339" s="326">
        <v>100</v>
      </c>
      <c r="P339" s="327">
        <v>7750.11</v>
      </c>
      <c r="Q339" s="369">
        <v>7862.01</v>
      </c>
      <c r="R339" s="329" t="s">
        <v>14088</v>
      </c>
      <c r="S339" s="331" t="s">
        <v>14091</v>
      </c>
      <c r="T339" s="394" t="s">
        <v>12567</v>
      </c>
      <c r="U339" s="394" t="s">
        <v>16336</v>
      </c>
      <c r="V339" s="394" t="s">
        <v>14089</v>
      </c>
      <c r="W339" s="332" t="s">
        <v>432</v>
      </c>
      <c r="X339" s="331" t="s">
        <v>11079</v>
      </c>
      <c r="Y339" s="331" t="s">
        <v>11080</v>
      </c>
      <c r="Z339" s="331" t="s">
        <v>11080</v>
      </c>
      <c r="AA339" s="331" t="s">
        <v>210</v>
      </c>
      <c r="AB339" s="333"/>
      <c r="AC339" s="416"/>
      <c r="AD339" s="375"/>
      <c r="AE339" s="335" t="s">
        <v>253</v>
      </c>
      <c r="AF339" s="336"/>
      <c r="AG339" s="337"/>
      <c r="AH339" s="376"/>
      <c r="AI339" s="347"/>
      <c r="AJ339" s="347"/>
      <c r="AK339" s="371"/>
      <c r="AL339" s="417" t="s">
        <v>210</v>
      </c>
      <c r="AM339" s="392" t="s">
        <v>210</v>
      </c>
      <c r="AN339" s="392" t="s">
        <v>210</v>
      </c>
      <c r="AO339" s="341" t="s">
        <v>210</v>
      </c>
      <c r="AP339" s="342"/>
      <c r="AQ339" s="343"/>
      <c r="AR339" s="370">
        <v>8755</v>
      </c>
      <c r="AS339" s="326">
        <v>100</v>
      </c>
      <c r="AT339" s="392">
        <v>1</v>
      </c>
      <c r="AU339" s="392"/>
      <c r="AV339" s="392">
        <v>1.2</v>
      </c>
      <c r="AW339" s="340"/>
      <c r="AX339" s="347"/>
      <c r="AY339" s="348"/>
      <c r="AZ339" s="377"/>
      <c r="BA339" s="374"/>
      <c r="BB339" s="374"/>
      <c r="BC339" s="374"/>
      <c r="BD339" s="374"/>
      <c r="BE339" s="374"/>
      <c r="BF339" s="374"/>
      <c r="BG339" s="374"/>
      <c r="BH339" s="378"/>
      <c r="BI339" s="376"/>
      <c r="BJ339" s="431">
        <v>1.05</v>
      </c>
      <c r="BK339" s="380"/>
      <c r="BL339" s="348"/>
      <c r="BM339" s="381"/>
      <c r="BN339" s="321" t="s">
        <v>983</v>
      </c>
      <c r="BO339" s="372"/>
      <c r="BP339" s="373" t="s">
        <v>983</v>
      </c>
      <c r="BQ339" s="360"/>
      <c r="BR339" s="361"/>
      <c r="BS339" s="361"/>
      <c r="BT339" s="361"/>
      <c r="BU339" s="342" t="s">
        <v>210</v>
      </c>
      <c r="BV339" s="342" t="s">
        <v>210</v>
      </c>
      <c r="BW339" s="341" t="s">
        <v>15</v>
      </c>
      <c r="BX339" s="361"/>
      <c r="BY339" s="362"/>
      <c r="BZ339" s="363"/>
      <c r="CA339" s="363"/>
      <c r="CB339" s="363"/>
      <c r="CC339" s="363"/>
      <c r="CD339" s="293"/>
      <c r="CE339" s="364"/>
      <c r="CF339" s="364"/>
      <c r="CG339" s="364"/>
      <c r="CH339" s="364"/>
      <c r="CI339" s="364"/>
      <c r="CJ339" s="364"/>
      <c r="CK339" s="364"/>
      <c r="CL339" s="364"/>
      <c r="CM339" s="364"/>
      <c r="CN339" s="364"/>
      <c r="CO339" s="364"/>
      <c r="CP339" s="364"/>
      <c r="CQ339" s="364"/>
      <c r="CR339" s="364"/>
      <c r="CS339" s="364"/>
      <c r="CT339" s="364"/>
      <c r="CU339" s="364"/>
      <c r="CV339" s="364"/>
      <c r="CW339" s="364"/>
      <c r="CX339" s="364"/>
      <c r="CY339" s="364"/>
      <c r="CZ339" s="364"/>
      <c r="DA339" s="364"/>
      <c r="DB339" s="364"/>
      <c r="DC339" s="364"/>
      <c r="DD339" s="364"/>
      <c r="DE339" s="364"/>
      <c r="DF339" s="364"/>
      <c r="DG339" s="364"/>
      <c r="DH339" s="364"/>
      <c r="DI339" s="364"/>
      <c r="DJ339" s="364"/>
      <c r="DK339" s="364"/>
      <c r="DL339" s="364"/>
      <c r="DM339" s="364"/>
      <c r="DN339" s="364"/>
      <c r="DO339" s="364"/>
      <c r="DP339" s="364"/>
      <c r="DQ339" s="364"/>
      <c r="DR339" s="364"/>
      <c r="DS339" s="364"/>
      <c r="DT339" s="364"/>
      <c r="DU339" s="364"/>
      <c r="DV339" s="364"/>
      <c r="DW339" s="364"/>
      <c r="DX339" s="364"/>
      <c r="DY339" s="364"/>
      <c r="DZ339" s="364"/>
      <c r="EA339" s="364"/>
      <c r="EB339" s="364"/>
      <c r="EC339" s="364"/>
      <c r="ED339" s="364"/>
      <c r="EE339" s="364"/>
      <c r="EF339" s="364"/>
      <c r="EG339" s="364"/>
      <c r="EH339" s="364"/>
      <c r="EI339" s="364"/>
      <c r="EJ339" s="364"/>
      <c r="EK339" s="364"/>
      <c r="EL339" s="364"/>
      <c r="EM339" s="364"/>
      <c r="EN339" s="364"/>
      <c r="EO339" s="364"/>
      <c r="EP339" s="364"/>
      <c r="EQ339" s="364"/>
      <c r="ER339" s="364"/>
      <c r="ES339" s="364"/>
      <c r="ET339" s="364"/>
      <c r="EU339" s="364"/>
      <c r="EV339" s="364"/>
      <c r="EW339" s="364"/>
      <c r="EX339" s="364"/>
      <c r="EY339" s="364"/>
      <c r="EZ339" s="364"/>
      <c r="FA339" s="364"/>
      <c r="FB339" s="364"/>
      <c r="FC339" s="364"/>
      <c r="FD339" s="364"/>
      <c r="FE339" s="364"/>
      <c r="FF339" s="364"/>
      <c r="FG339" s="364"/>
      <c r="FH339" s="364"/>
      <c r="FI339" s="364"/>
      <c r="FJ339" s="364"/>
      <c r="FK339" s="364"/>
      <c r="FL339" s="364"/>
      <c r="FM339" s="364"/>
      <c r="FN339" s="364"/>
      <c r="FO339" s="364"/>
      <c r="FP339" s="364"/>
      <c r="FQ339" s="364"/>
      <c r="FR339" s="364"/>
      <c r="FS339" s="364"/>
      <c r="FT339" s="364"/>
      <c r="FU339" s="364"/>
      <c r="FV339" s="364"/>
      <c r="FW339" s="364"/>
      <c r="FX339" s="364"/>
      <c r="FY339" s="364"/>
      <c r="FZ339" s="364"/>
      <c r="GA339" s="364"/>
      <c r="GB339" s="364"/>
      <c r="GC339" s="364"/>
      <c r="GD339" s="364"/>
      <c r="GE339" s="364"/>
      <c r="GF339" s="364"/>
      <c r="GG339" s="364"/>
      <c r="GH339" s="364"/>
      <c r="GI339" s="364"/>
      <c r="GJ339" s="364"/>
      <c r="GK339" s="364"/>
      <c r="GL339" s="364"/>
      <c r="GM339" s="364"/>
      <c r="GN339" s="364"/>
      <c r="GO339" s="364"/>
      <c r="GP339" s="364"/>
      <c r="GQ339" s="364"/>
      <c r="GR339" s="364"/>
      <c r="GS339" s="364"/>
      <c r="GT339" s="364"/>
      <c r="GU339" s="364"/>
      <c r="GV339" s="364"/>
      <c r="GW339" s="364"/>
      <c r="GX339" s="364"/>
      <c r="GY339" s="364"/>
      <c r="GZ339" s="364"/>
      <c r="HA339" s="364"/>
      <c r="HB339" s="364"/>
      <c r="HC339" s="364"/>
      <c r="HD339" s="364"/>
      <c r="HE339" s="364"/>
      <c r="HF339" s="364"/>
      <c r="HG339" s="364"/>
      <c r="HH339" s="364"/>
      <c r="HI339" s="364"/>
      <c r="HJ339" s="364"/>
      <c r="HK339" s="364"/>
      <c r="HL339" s="364"/>
    </row>
    <row r="340" spans="2:220" s="287" customFormat="1" ht="22.5" customHeight="1">
      <c r="B340" s="365">
        <v>250152</v>
      </c>
      <c r="C340" s="366" t="s">
        <v>441</v>
      </c>
      <c r="D340" s="367"/>
      <c r="E340" s="368"/>
      <c r="F340" s="321" t="s">
        <v>265</v>
      </c>
      <c r="G340" s="326" t="s">
        <v>2090</v>
      </c>
      <c r="H340" s="326" t="s">
        <v>2091</v>
      </c>
      <c r="I340" s="326" t="s">
        <v>11</v>
      </c>
      <c r="J340" s="326" t="s">
        <v>390</v>
      </c>
      <c r="K340" s="326" t="s">
        <v>323</v>
      </c>
      <c r="L340" s="323"/>
      <c r="M340" s="374"/>
      <c r="N340" s="325" t="s">
        <v>494</v>
      </c>
      <c r="O340" s="327" t="s">
        <v>498</v>
      </c>
      <c r="P340" s="327" t="s">
        <v>498</v>
      </c>
      <c r="Q340" s="369" t="s">
        <v>498</v>
      </c>
      <c r="R340" s="329" t="s">
        <v>1092</v>
      </c>
      <c r="S340" s="331" t="s">
        <v>14131</v>
      </c>
      <c r="T340" s="394" t="s">
        <v>11825</v>
      </c>
      <c r="U340" s="394" t="s">
        <v>16218</v>
      </c>
      <c r="V340" s="394" t="s">
        <v>11826</v>
      </c>
      <c r="W340" s="332" t="s">
        <v>507</v>
      </c>
      <c r="X340" s="330"/>
      <c r="Y340" s="330"/>
      <c r="Z340" s="330"/>
      <c r="AA340" s="330"/>
      <c r="AB340" s="333"/>
      <c r="AC340" s="333"/>
      <c r="AD340" s="334" t="s">
        <v>511</v>
      </c>
      <c r="AE340" s="335" t="s">
        <v>245</v>
      </c>
      <c r="AF340" s="336"/>
      <c r="AG340" s="337"/>
      <c r="AH340" s="417" t="s">
        <v>435</v>
      </c>
      <c r="AI340" s="392" t="s">
        <v>435</v>
      </c>
      <c r="AJ340" s="392" t="s">
        <v>435</v>
      </c>
      <c r="AK340" s="340" t="s">
        <v>435</v>
      </c>
      <c r="AL340" s="417" t="s">
        <v>210</v>
      </c>
      <c r="AM340" s="392" t="s">
        <v>210</v>
      </c>
      <c r="AN340" s="392" t="s">
        <v>210</v>
      </c>
      <c r="AO340" s="341" t="s">
        <v>210</v>
      </c>
      <c r="AP340" s="342"/>
      <c r="AQ340" s="343"/>
      <c r="AR340" s="370">
        <v>7733</v>
      </c>
      <c r="AS340" s="326">
        <v>150</v>
      </c>
      <c r="AT340" s="392">
        <v>1</v>
      </c>
      <c r="AU340" s="392"/>
      <c r="AV340" s="392">
        <v>1.5</v>
      </c>
      <c r="AW340" s="340"/>
      <c r="AX340" s="347"/>
      <c r="AY340" s="348"/>
      <c r="AZ340" s="377"/>
      <c r="BA340" s="374"/>
      <c r="BB340" s="374"/>
      <c r="BC340" s="374"/>
      <c r="BD340" s="374"/>
      <c r="BE340" s="374"/>
      <c r="BF340" s="374"/>
      <c r="BG340" s="374"/>
      <c r="BH340" s="378"/>
      <c r="BI340" s="376"/>
      <c r="BJ340" s="379"/>
      <c r="BK340" s="380"/>
      <c r="BL340" s="348"/>
      <c r="BM340" s="381"/>
      <c r="BN340" s="321" t="s">
        <v>15</v>
      </c>
      <c r="BO340" s="372"/>
      <c r="BP340" s="373" t="s">
        <v>15</v>
      </c>
      <c r="BQ340" s="360"/>
      <c r="BR340" s="361"/>
      <c r="BS340" s="361"/>
      <c r="BT340" s="361"/>
      <c r="BU340" s="342" t="s">
        <v>210</v>
      </c>
      <c r="BV340" s="342" t="s">
        <v>210</v>
      </c>
      <c r="BW340" s="341" t="s">
        <v>15</v>
      </c>
      <c r="BX340" s="361"/>
      <c r="BY340" s="362"/>
      <c r="BZ340" s="363"/>
      <c r="CA340" s="363"/>
      <c r="CB340" s="363"/>
      <c r="CC340" s="363"/>
      <c r="CD340" s="293"/>
      <c r="CE340" s="364"/>
      <c r="CF340" s="364"/>
      <c r="CG340" s="364"/>
      <c r="CH340" s="364"/>
      <c r="CI340" s="364"/>
      <c r="CJ340" s="364"/>
      <c r="CK340" s="364"/>
      <c r="CL340" s="364"/>
      <c r="CM340" s="364"/>
      <c r="CN340" s="364"/>
      <c r="CO340" s="364"/>
      <c r="CP340" s="364"/>
      <c r="CQ340" s="364"/>
      <c r="CR340" s="364"/>
      <c r="CS340" s="364"/>
      <c r="CT340" s="364"/>
      <c r="CU340" s="364"/>
      <c r="CV340" s="364"/>
      <c r="CW340" s="364"/>
      <c r="CX340" s="364"/>
      <c r="CY340" s="364"/>
      <c r="CZ340" s="364"/>
      <c r="DA340" s="364"/>
      <c r="DB340" s="364"/>
      <c r="DC340" s="364"/>
      <c r="DD340" s="364"/>
      <c r="DE340" s="364"/>
      <c r="DF340" s="364"/>
      <c r="DG340" s="364"/>
      <c r="DH340" s="364"/>
      <c r="DI340" s="364"/>
      <c r="DJ340" s="364"/>
      <c r="DK340" s="364"/>
      <c r="DL340" s="364"/>
      <c r="DM340" s="364"/>
      <c r="DN340" s="364"/>
      <c r="DO340" s="364"/>
      <c r="DP340" s="364"/>
      <c r="DQ340" s="364"/>
      <c r="DR340" s="364"/>
      <c r="DS340" s="364"/>
      <c r="DT340" s="364"/>
      <c r="DU340" s="364"/>
      <c r="DV340" s="364"/>
      <c r="DW340" s="364"/>
      <c r="DX340" s="364"/>
      <c r="DY340" s="364"/>
      <c r="DZ340" s="364"/>
      <c r="EA340" s="364"/>
      <c r="EB340" s="364"/>
      <c r="EC340" s="364"/>
      <c r="ED340" s="364"/>
      <c r="EE340" s="364"/>
      <c r="EF340" s="364"/>
      <c r="EG340" s="364"/>
      <c r="EH340" s="364"/>
      <c r="EI340" s="364"/>
      <c r="EJ340" s="364"/>
      <c r="EK340" s="364"/>
      <c r="EL340" s="364"/>
      <c r="EM340" s="364"/>
      <c r="EN340" s="364"/>
      <c r="EO340" s="364"/>
      <c r="EP340" s="364"/>
      <c r="EQ340" s="364"/>
      <c r="ER340" s="364"/>
      <c r="ES340" s="364"/>
      <c r="ET340" s="364"/>
      <c r="EU340" s="364"/>
      <c r="EV340" s="364"/>
      <c r="EW340" s="364"/>
      <c r="EX340" s="364"/>
      <c r="EY340" s="364"/>
      <c r="EZ340" s="364"/>
      <c r="FA340" s="364"/>
      <c r="FB340" s="364"/>
      <c r="FC340" s="364"/>
      <c r="FD340" s="364"/>
      <c r="FE340" s="364"/>
      <c r="FF340" s="364"/>
      <c r="FG340" s="364"/>
      <c r="FH340" s="364"/>
      <c r="FI340" s="364"/>
      <c r="FJ340" s="364"/>
      <c r="FK340" s="364"/>
      <c r="FL340" s="364"/>
      <c r="FM340" s="364"/>
      <c r="FN340" s="364"/>
      <c r="FO340" s="364"/>
      <c r="FP340" s="364"/>
      <c r="FQ340" s="364"/>
      <c r="FR340" s="364"/>
      <c r="FS340" s="364"/>
      <c r="FT340" s="364"/>
      <c r="FU340" s="364"/>
      <c r="FV340" s="364"/>
      <c r="FW340" s="364"/>
      <c r="FX340" s="364"/>
      <c r="FY340" s="364"/>
      <c r="FZ340" s="364"/>
      <c r="GA340" s="364"/>
      <c r="GB340" s="364"/>
      <c r="GC340" s="364"/>
      <c r="GD340" s="364"/>
      <c r="GE340" s="364"/>
      <c r="GF340" s="364"/>
      <c r="GG340" s="364"/>
      <c r="GH340" s="364"/>
      <c r="GI340" s="364"/>
      <c r="GJ340" s="364"/>
      <c r="GK340" s="364"/>
      <c r="GL340" s="364"/>
      <c r="GM340" s="364"/>
      <c r="GN340" s="364"/>
      <c r="GO340" s="364"/>
      <c r="GP340" s="364"/>
      <c r="GQ340" s="364"/>
      <c r="GR340" s="364"/>
      <c r="GS340" s="364"/>
      <c r="GT340" s="364"/>
      <c r="GU340" s="364"/>
      <c r="GV340" s="364"/>
      <c r="GW340" s="364"/>
      <c r="GX340" s="364"/>
      <c r="GY340" s="364"/>
      <c r="GZ340" s="364"/>
      <c r="HA340" s="364"/>
      <c r="HB340" s="364"/>
      <c r="HC340" s="364"/>
      <c r="HD340" s="364"/>
      <c r="HE340" s="364"/>
      <c r="HF340" s="364"/>
      <c r="HG340" s="364"/>
      <c r="HH340" s="364"/>
      <c r="HI340" s="364"/>
      <c r="HJ340" s="364"/>
      <c r="HK340" s="364"/>
      <c r="HL340" s="364"/>
    </row>
    <row r="341" spans="2:220" s="287" customFormat="1" ht="21.75" customHeight="1">
      <c r="B341" s="365">
        <v>250153</v>
      </c>
      <c r="C341" s="366" t="s">
        <v>14129</v>
      </c>
      <c r="D341" s="367"/>
      <c r="E341" s="368"/>
      <c r="F341" s="321" t="s">
        <v>308</v>
      </c>
      <c r="G341" s="326" t="s">
        <v>2121</v>
      </c>
      <c r="H341" s="326" t="s">
        <v>2122</v>
      </c>
      <c r="I341" s="326" t="s">
        <v>11</v>
      </c>
      <c r="J341" s="326" t="s">
        <v>399</v>
      </c>
      <c r="K341" s="326" t="s">
        <v>324</v>
      </c>
      <c r="L341" s="323"/>
      <c r="M341" s="374"/>
      <c r="N341" s="325" t="s">
        <v>437</v>
      </c>
      <c r="O341" s="326">
        <v>30</v>
      </c>
      <c r="P341" s="327">
        <v>907.8</v>
      </c>
      <c r="Q341" s="369">
        <v>907.8</v>
      </c>
      <c r="R341" s="329" t="s">
        <v>444</v>
      </c>
      <c r="S341" s="330"/>
      <c r="T341" s="330"/>
      <c r="U341" s="330"/>
      <c r="V341" s="331" t="s">
        <v>14130</v>
      </c>
      <c r="W341" s="332" t="s">
        <v>432</v>
      </c>
      <c r="X341" s="331" t="s">
        <v>11079</v>
      </c>
      <c r="Y341" s="331" t="s">
        <v>11080</v>
      </c>
      <c r="Z341" s="331" t="s">
        <v>11080</v>
      </c>
      <c r="AA341" s="331" t="s">
        <v>210</v>
      </c>
      <c r="AB341" s="333" t="s">
        <v>508</v>
      </c>
      <c r="AC341" s="333"/>
      <c r="AD341" s="334" t="s">
        <v>362</v>
      </c>
      <c r="AE341" s="335" t="s">
        <v>309</v>
      </c>
      <c r="AF341" s="336"/>
      <c r="AG341" s="337"/>
      <c r="AH341" s="376"/>
      <c r="AI341" s="347"/>
      <c r="AJ341" s="347"/>
      <c r="AK341" s="371"/>
      <c r="AL341" s="417" t="s">
        <v>210</v>
      </c>
      <c r="AM341" s="392" t="s">
        <v>210</v>
      </c>
      <c r="AN341" s="392" t="s">
        <v>210</v>
      </c>
      <c r="AO341" s="341" t="s">
        <v>210</v>
      </c>
      <c r="AP341" s="342"/>
      <c r="AQ341" s="343"/>
      <c r="AR341" s="370">
        <v>977</v>
      </c>
      <c r="AS341" s="326">
        <v>100</v>
      </c>
      <c r="AT341" s="392">
        <v>1</v>
      </c>
      <c r="AU341" s="392"/>
      <c r="AV341" s="392">
        <v>1.5</v>
      </c>
      <c r="AW341" s="340"/>
      <c r="AX341" s="347"/>
      <c r="AY341" s="348"/>
      <c r="AZ341" s="377"/>
      <c r="BA341" s="374"/>
      <c r="BB341" s="374"/>
      <c r="BC341" s="374"/>
      <c r="BD341" s="374"/>
      <c r="BE341" s="374"/>
      <c r="BF341" s="374"/>
      <c r="BG341" s="374"/>
      <c r="BH341" s="378"/>
      <c r="BI341" s="376"/>
      <c r="BJ341" s="379"/>
      <c r="BK341" s="380"/>
      <c r="BL341" s="348"/>
      <c r="BM341" s="381"/>
      <c r="BN341" s="321" t="s">
        <v>983</v>
      </c>
      <c r="BO341" s="372"/>
      <c r="BP341" s="373" t="s">
        <v>983</v>
      </c>
      <c r="BQ341" s="360"/>
      <c r="BR341" s="361"/>
      <c r="BS341" s="361"/>
      <c r="BT341" s="361"/>
      <c r="BU341" s="342" t="s">
        <v>210</v>
      </c>
      <c r="BV341" s="342" t="s">
        <v>210</v>
      </c>
      <c r="BW341" s="341" t="s">
        <v>15</v>
      </c>
      <c r="BX341" s="361"/>
      <c r="BY341" s="362"/>
      <c r="BZ341" s="363"/>
      <c r="CA341" s="363"/>
      <c r="CB341" s="363"/>
      <c r="CC341" s="363"/>
      <c r="CD341" s="293"/>
      <c r="CE341" s="364"/>
      <c r="CF341" s="364"/>
      <c r="CG341" s="364"/>
      <c r="CH341" s="364"/>
      <c r="CI341" s="364"/>
      <c r="CJ341" s="364"/>
      <c r="CK341" s="364"/>
      <c r="CL341" s="364"/>
      <c r="CM341" s="364"/>
      <c r="CN341" s="364"/>
      <c r="CO341" s="364"/>
      <c r="CP341" s="364"/>
      <c r="CQ341" s="364"/>
      <c r="CR341" s="364"/>
      <c r="CS341" s="364"/>
      <c r="CT341" s="364"/>
      <c r="CU341" s="364"/>
      <c r="CV341" s="364"/>
      <c r="CW341" s="364"/>
      <c r="CX341" s="364"/>
      <c r="CY341" s="364"/>
      <c r="CZ341" s="364"/>
      <c r="DA341" s="364"/>
      <c r="DB341" s="364"/>
      <c r="DC341" s="364"/>
      <c r="DD341" s="364"/>
      <c r="DE341" s="364"/>
      <c r="DF341" s="364"/>
      <c r="DG341" s="364"/>
      <c r="DH341" s="364"/>
      <c r="DI341" s="364"/>
      <c r="DJ341" s="364"/>
      <c r="DK341" s="364"/>
      <c r="DL341" s="364"/>
      <c r="DM341" s="364"/>
      <c r="DN341" s="364"/>
      <c r="DO341" s="364"/>
      <c r="DP341" s="364"/>
      <c r="DQ341" s="364"/>
      <c r="DR341" s="364"/>
      <c r="DS341" s="364"/>
      <c r="DT341" s="364"/>
      <c r="DU341" s="364"/>
      <c r="DV341" s="364"/>
      <c r="DW341" s="364"/>
      <c r="DX341" s="364"/>
      <c r="DY341" s="364"/>
      <c r="DZ341" s="364"/>
      <c r="EA341" s="364"/>
      <c r="EB341" s="364"/>
      <c r="EC341" s="364"/>
      <c r="ED341" s="364"/>
      <c r="EE341" s="364"/>
      <c r="EF341" s="364"/>
      <c r="EG341" s="364"/>
      <c r="EH341" s="364"/>
      <c r="EI341" s="364"/>
      <c r="EJ341" s="364"/>
      <c r="EK341" s="364"/>
      <c r="EL341" s="364"/>
      <c r="EM341" s="364"/>
      <c r="EN341" s="364"/>
      <c r="EO341" s="364"/>
      <c r="EP341" s="364"/>
      <c r="EQ341" s="364"/>
      <c r="ER341" s="364"/>
      <c r="ES341" s="364"/>
      <c r="ET341" s="364"/>
      <c r="EU341" s="364"/>
      <c r="EV341" s="364"/>
      <c r="EW341" s="364"/>
      <c r="EX341" s="364"/>
      <c r="EY341" s="364"/>
      <c r="EZ341" s="364"/>
      <c r="FA341" s="364"/>
      <c r="FB341" s="364"/>
      <c r="FC341" s="364"/>
      <c r="FD341" s="364"/>
      <c r="FE341" s="364"/>
      <c r="FF341" s="364"/>
      <c r="FG341" s="364"/>
      <c r="FH341" s="364"/>
      <c r="FI341" s="364"/>
      <c r="FJ341" s="364"/>
      <c r="FK341" s="364"/>
      <c r="FL341" s="364"/>
      <c r="FM341" s="364"/>
      <c r="FN341" s="364"/>
      <c r="FO341" s="364"/>
      <c r="FP341" s="364"/>
      <c r="FQ341" s="364"/>
      <c r="FR341" s="364"/>
      <c r="FS341" s="364"/>
      <c r="FT341" s="364"/>
      <c r="FU341" s="364"/>
      <c r="FV341" s="364"/>
      <c r="FW341" s="364"/>
      <c r="FX341" s="364"/>
      <c r="FY341" s="364"/>
      <c r="FZ341" s="364"/>
      <c r="GA341" s="364"/>
      <c r="GB341" s="364"/>
      <c r="GC341" s="364"/>
      <c r="GD341" s="364"/>
      <c r="GE341" s="364"/>
      <c r="GF341" s="364"/>
      <c r="GG341" s="364"/>
      <c r="GH341" s="364"/>
      <c r="GI341" s="364"/>
      <c r="GJ341" s="364"/>
      <c r="GK341" s="364"/>
      <c r="GL341" s="364"/>
      <c r="GM341" s="364"/>
      <c r="GN341" s="364"/>
      <c r="GO341" s="364"/>
      <c r="GP341" s="364"/>
      <c r="GQ341" s="364"/>
      <c r="GR341" s="364"/>
      <c r="GS341" s="364"/>
      <c r="GT341" s="364"/>
      <c r="GU341" s="364"/>
      <c r="GV341" s="364"/>
      <c r="GW341" s="364"/>
      <c r="GX341" s="364"/>
      <c r="GY341" s="364"/>
      <c r="GZ341" s="364"/>
      <c r="HA341" s="364"/>
      <c r="HB341" s="364"/>
      <c r="HC341" s="364"/>
      <c r="HD341" s="364"/>
      <c r="HE341" s="364"/>
      <c r="HF341" s="364"/>
      <c r="HG341" s="364"/>
      <c r="HH341" s="364"/>
      <c r="HI341" s="364"/>
      <c r="HJ341" s="364"/>
      <c r="HK341" s="364"/>
      <c r="HL341" s="364"/>
    </row>
    <row r="342" spans="2:220" s="287" customFormat="1" ht="22.5" customHeight="1">
      <c r="B342" s="365">
        <v>250154</v>
      </c>
      <c r="C342" s="366" t="s">
        <v>14128</v>
      </c>
      <c r="D342" s="367"/>
      <c r="E342" s="368"/>
      <c r="F342" s="321" t="s">
        <v>413</v>
      </c>
      <c r="G342" s="326" t="s">
        <v>2088</v>
      </c>
      <c r="H342" s="326" t="s">
        <v>2089</v>
      </c>
      <c r="I342" s="326" t="s">
        <v>11</v>
      </c>
      <c r="J342" s="326" t="s">
        <v>390</v>
      </c>
      <c r="K342" s="326" t="s">
        <v>247</v>
      </c>
      <c r="L342" s="323"/>
      <c r="M342" s="374"/>
      <c r="N342" s="325" t="s">
        <v>494</v>
      </c>
      <c r="O342" s="326">
        <v>40</v>
      </c>
      <c r="P342" s="327">
        <v>4587.18</v>
      </c>
      <c r="Q342" s="369">
        <v>4213.8599999999997</v>
      </c>
      <c r="R342" s="329" t="s">
        <v>506</v>
      </c>
      <c r="S342" s="330"/>
      <c r="T342" s="330"/>
      <c r="U342" s="330"/>
      <c r="V342" s="330"/>
      <c r="W342" s="332" t="s">
        <v>432</v>
      </c>
      <c r="X342" s="331" t="s">
        <v>11079</v>
      </c>
      <c r="Y342" s="331" t="s">
        <v>11080</v>
      </c>
      <c r="Z342" s="331" t="s">
        <v>11080</v>
      </c>
      <c r="AA342" s="331" t="s">
        <v>210</v>
      </c>
      <c r="AB342" s="333" t="s">
        <v>504</v>
      </c>
      <c r="AC342" s="333"/>
      <c r="AD342" s="334" t="s">
        <v>2331</v>
      </c>
      <c r="AE342" s="335" t="s">
        <v>505</v>
      </c>
      <c r="AF342" s="336"/>
      <c r="AG342" s="337"/>
      <c r="AH342" s="376"/>
      <c r="AI342" s="347"/>
      <c r="AJ342" s="347"/>
      <c r="AK342" s="371"/>
      <c r="AL342" s="417" t="s">
        <v>210</v>
      </c>
      <c r="AM342" s="392" t="s">
        <v>210</v>
      </c>
      <c r="AN342" s="392" t="s">
        <v>210</v>
      </c>
      <c r="AO342" s="341" t="s">
        <v>210</v>
      </c>
      <c r="AP342" s="342"/>
      <c r="AQ342" s="343"/>
      <c r="AR342" s="370">
        <v>5268</v>
      </c>
      <c r="AS342" s="326">
        <v>100</v>
      </c>
      <c r="AT342" s="392">
        <v>1</v>
      </c>
      <c r="AU342" s="392"/>
      <c r="AV342" s="392">
        <v>1.8</v>
      </c>
      <c r="AW342" s="340"/>
      <c r="AX342" s="347"/>
      <c r="AY342" s="348"/>
      <c r="AZ342" s="377"/>
      <c r="BA342" s="374"/>
      <c r="BB342" s="374"/>
      <c r="BC342" s="374"/>
      <c r="BD342" s="374"/>
      <c r="BE342" s="374"/>
      <c r="BF342" s="374"/>
      <c r="BG342" s="374"/>
      <c r="BH342" s="378"/>
      <c r="BI342" s="376"/>
      <c r="BJ342" s="379"/>
      <c r="BK342" s="380"/>
      <c r="BL342" s="348"/>
      <c r="BM342" s="381"/>
      <c r="BN342" s="321" t="s">
        <v>983</v>
      </c>
      <c r="BO342" s="372"/>
      <c r="BP342" s="373" t="s">
        <v>15</v>
      </c>
      <c r="BQ342" s="360"/>
      <c r="BR342" s="361"/>
      <c r="BS342" s="361"/>
      <c r="BT342" s="361"/>
      <c r="BU342" s="342" t="s">
        <v>210</v>
      </c>
      <c r="BV342" s="342" t="s">
        <v>210</v>
      </c>
      <c r="BW342" s="341" t="s">
        <v>15</v>
      </c>
      <c r="BX342" s="361"/>
      <c r="BY342" s="362"/>
      <c r="BZ342" s="363"/>
      <c r="CA342" s="363"/>
      <c r="CB342" s="363"/>
      <c r="CC342" s="363"/>
      <c r="CD342" s="293"/>
      <c r="CE342" s="364"/>
      <c r="CF342" s="364"/>
      <c r="CG342" s="364"/>
      <c r="CH342" s="364"/>
      <c r="CI342" s="364"/>
      <c r="CJ342" s="364"/>
      <c r="CK342" s="364"/>
      <c r="CL342" s="364"/>
      <c r="CM342" s="364"/>
      <c r="CN342" s="364"/>
      <c r="CO342" s="364"/>
      <c r="CP342" s="364"/>
      <c r="CQ342" s="364"/>
      <c r="CR342" s="364"/>
      <c r="CS342" s="364"/>
      <c r="CT342" s="364"/>
      <c r="CU342" s="364"/>
      <c r="CV342" s="364"/>
      <c r="CW342" s="364"/>
      <c r="CX342" s="364"/>
      <c r="CY342" s="364"/>
      <c r="CZ342" s="364"/>
      <c r="DA342" s="364"/>
      <c r="DB342" s="364"/>
      <c r="DC342" s="364"/>
      <c r="DD342" s="364"/>
      <c r="DE342" s="364"/>
      <c r="DF342" s="364"/>
      <c r="DG342" s="364"/>
      <c r="DH342" s="364"/>
      <c r="DI342" s="364"/>
      <c r="DJ342" s="364"/>
      <c r="DK342" s="364"/>
      <c r="DL342" s="364"/>
      <c r="DM342" s="364"/>
      <c r="DN342" s="364"/>
      <c r="DO342" s="364"/>
      <c r="DP342" s="364"/>
      <c r="DQ342" s="364"/>
      <c r="DR342" s="364"/>
      <c r="DS342" s="364"/>
      <c r="DT342" s="364"/>
      <c r="DU342" s="364"/>
      <c r="DV342" s="364"/>
      <c r="DW342" s="364"/>
      <c r="DX342" s="364"/>
      <c r="DY342" s="364"/>
      <c r="DZ342" s="364"/>
      <c r="EA342" s="364"/>
      <c r="EB342" s="364"/>
      <c r="EC342" s="364"/>
      <c r="ED342" s="364"/>
      <c r="EE342" s="364"/>
      <c r="EF342" s="364"/>
      <c r="EG342" s="364"/>
      <c r="EH342" s="364"/>
      <c r="EI342" s="364"/>
      <c r="EJ342" s="364"/>
      <c r="EK342" s="364"/>
      <c r="EL342" s="364"/>
      <c r="EM342" s="364"/>
      <c r="EN342" s="364"/>
      <c r="EO342" s="364"/>
      <c r="EP342" s="364"/>
      <c r="EQ342" s="364"/>
      <c r="ER342" s="364"/>
      <c r="ES342" s="364"/>
      <c r="ET342" s="364"/>
      <c r="EU342" s="364"/>
      <c r="EV342" s="364"/>
      <c r="EW342" s="364"/>
      <c r="EX342" s="364"/>
      <c r="EY342" s="364"/>
      <c r="EZ342" s="364"/>
      <c r="FA342" s="364"/>
      <c r="FB342" s="364"/>
      <c r="FC342" s="364"/>
      <c r="FD342" s="364"/>
      <c r="FE342" s="364"/>
      <c r="FF342" s="364"/>
      <c r="FG342" s="364"/>
      <c r="FH342" s="364"/>
      <c r="FI342" s="364"/>
      <c r="FJ342" s="364"/>
      <c r="FK342" s="364"/>
      <c r="FL342" s="364"/>
      <c r="FM342" s="364"/>
      <c r="FN342" s="364"/>
      <c r="FO342" s="364"/>
      <c r="FP342" s="364"/>
      <c r="FQ342" s="364"/>
      <c r="FR342" s="364"/>
      <c r="FS342" s="364"/>
      <c r="FT342" s="364"/>
      <c r="FU342" s="364"/>
      <c r="FV342" s="364"/>
      <c r="FW342" s="364"/>
      <c r="FX342" s="364"/>
      <c r="FY342" s="364"/>
      <c r="FZ342" s="364"/>
      <c r="GA342" s="364"/>
      <c r="GB342" s="364"/>
      <c r="GC342" s="364"/>
      <c r="GD342" s="364"/>
      <c r="GE342" s="364"/>
      <c r="GF342" s="364"/>
      <c r="GG342" s="364"/>
      <c r="GH342" s="364"/>
      <c r="GI342" s="364"/>
      <c r="GJ342" s="364"/>
      <c r="GK342" s="364"/>
      <c r="GL342" s="364"/>
      <c r="GM342" s="364"/>
      <c r="GN342" s="364"/>
      <c r="GO342" s="364"/>
      <c r="GP342" s="364"/>
      <c r="GQ342" s="364"/>
      <c r="GR342" s="364"/>
      <c r="GS342" s="364"/>
      <c r="GT342" s="364"/>
      <c r="GU342" s="364"/>
      <c r="GV342" s="364"/>
      <c r="GW342" s="364"/>
      <c r="GX342" s="364"/>
      <c r="GY342" s="364"/>
      <c r="GZ342" s="364"/>
      <c r="HA342" s="364"/>
      <c r="HB342" s="364"/>
      <c r="HC342" s="364"/>
      <c r="HD342" s="364"/>
      <c r="HE342" s="364"/>
      <c r="HF342" s="364"/>
      <c r="HG342" s="364"/>
      <c r="HH342" s="364"/>
      <c r="HI342" s="364"/>
      <c r="HJ342" s="364"/>
      <c r="HK342" s="364"/>
      <c r="HL342" s="364"/>
    </row>
    <row r="343" spans="2:220" s="287" customFormat="1" ht="22.5" customHeight="1">
      <c r="B343" s="365">
        <v>250155</v>
      </c>
      <c r="C343" s="366" t="s">
        <v>402</v>
      </c>
      <c r="D343" s="367"/>
      <c r="E343" s="368"/>
      <c r="F343" s="321" t="s">
        <v>243</v>
      </c>
      <c r="G343" s="326" t="s">
        <v>2119</v>
      </c>
      <c r="H343" s="326" t="s">
        <v>2120</v>
      </c>
      <c r="I343" s="326" t="s">
        <v>11</v>
      </c>
      <c r="J343" s="326" t="s">
        <v>21</v>
      </c>
      <c r="K343" s="326" t="s">
        <v>403</v>
      </c>
      <c r="L343" s="323"/>
      <c r="M343" s="374"/>
      <c r="N343" s="325" t="s">
        <v>438</v>
      </c>
      <c r="O343" s="326">
        <v>15</v>
      </c>
      <c r="P343" s="327" t="s">
        <v>210</v>
      </c>
      <c r="Q343" s="369" t="s">
        <v>210</v>
      </c>
      <c r="R343" s="329" t="s">
        <v>1105</v>
      </c>
      <c r="S343" s="330"/>
      <c r="T343" s="330"/>
      <c r="U343" s="330"/>
      <c r="V343" s="330"/>
      <c r="W343" s="332" t="s">
        <v>440</v>
      </c>
      <c r="X343" s="331" t="s">
        <v>14125</v>
      </c>
      <c r="Y343" s="331" t="s">
        <v>14126</v>
      </c>
      <c r="Z343" s="331" t="s">
        <v>16468</v>
      </c>
      <c r="AA343" s="331" t="s">
        <v>14127</v>
      </c>
      <c r="AB343" s="333"/>
      <c r="AC343" s="333"/>
      <c r="AD343" s="334" t="s">
        <v>2332</v>
      </c>
      <c r="AE343" s="335" t="s">
        <v>822</v>
      </c>
      <c r="AF343" s="336"/>
      <c r="AG343" s="337"/>
      <c r="AH343" s="417" t="s">
        <v>435</v>
      </c>
      <c r="AI343" s="392" t="s">
        <v>435</v>
      </c>
      <c r="AJ343" s="392" t="s">
        <v>435</v>
      </c>
      <c r="AK343" s="340" t="s">
        <v>435</v>
      </c>
      <c r="AL343" s="417" t="s">
        <v>210</v>
      </c>
      <c r="AM343" s="392" t="s">
        <v>210</v>
      </c>
      <c r="AN343" s="392" t="s">
        <v>210</v>
      </c>
      <c r="AO343" s="341" t="s">
        <v>210</v>
      </c>
      <c r="AP343" s="342"/>
      <c r="AQ343" s="343"/>
      <c r="AR343" s="370">
        <v>632</v>
      </c>
      <c r="AS343" s="326">
        <v>100</v>
      </c>
      <c r="AT343" s="392">
        <v>1</v>
      </c>
      <c r="AU343" s="392"/>
      <c r="AV343" s="392">
        <v>1.5</v>
      </c>
      <c r="AW343" s="340"/>
      <c r="AX343" s="347"/>
      <c r="AY343" s="348"/>
      <c r="AZ343" s="377"/>
      <c r="BA343" s="374"/>
      <c r="BB343" s="374"/>
      <c r="BC343" s="374"/>
      <c r="BD343" s="374"/>
      <c r="BE343" s="374"/>
      <c r="BF343" s="374"/>
      <c r="BG343" s="374"/>
      <c r="BH343" s="378"/>
      <c r="BI343" s="376"/>
      <c r="BJ343" s="379"/>
      <c r="BK343" s="380"/>
      <c r="BL343" s="348"/>
      <c r="BM343" s="381"/>
      <c r="BN343" s="321" t="s">
        <v>983</v>
      </c>
      <c r="BO343" s="372">
        <v>0.65</v>
      </c>
      <c r="BP343" s="373" t="s">
        <v>983</v>
      </c>
      <c r="BQ343" s="360"/>
      <c r="BR343" s="361"/>
      <c r="BS343" s="361"/>
      <c r="BT343" s="361"/>
      <c r="BU343" s="342" t="s">
        <v>210</v>
      </c>
      <c r="BV343" s="342" t="s">
        <v>210</v>
      </c>
      <c r="BW343" s="341" t="s">
        <v>15</v>
      </c>
      <c r="BX343" s="361"/>
      <c r="BY343" s="362"/>
      <c r="BZ343" s="363"/>
      <c r="CA343" s="363"/>
      <c r="CB343" s="363"/>
      <c r="CC343" s="363"/>
      <c r="CD343" s="293"/>
      <c r="CE343" s="364"/>
      <c r="CF343" s="364"/>
      <c r="CG343" s="364"/>
      <c r="CH343" s="364"/>
      <c r="CI343" s="364"/>
      <c r="CJ343" s="364"/>
      <c r="CK343" s="364"/>
      <c r="CL343" s="364"/>
      <c r="CM343" s="364"/>
      <c r="CN343" s="364"/>
      <c r="CO343" s="364"/>
      <c r="CP343" s="364"/>
      <c r="CQ343" s="364"/>
      <c r="CR343" s="364"/>
      <c r="CS343" s="364"/>
      <c r="CT343" s="364"/>
      <c r="CU343" s="364"/>
      <c r="CV343" s="364"/>
      <c r="CW343" s="364"/>
      <c r="CX343" s="364"/>
      <c r="CY343" s="364"/>
      <c r="CZ343" s="364"/>
      <c r="DA343" s="364"/>
      <c r="DB343" s="364"/>
      <c r="DC343" s="364"/>
      <c r="DD343" s="364"/>
      <c r="DE343" s="364"/>
      <c r="DF343" s="364"/>
      <c r="DG343" s="364"/>
      <c r="DH343" s="364"/>
      <c r="DI343" s="364"/>
      <c r="DJ343" s="364"/>
      <c r="DK343" s="364"/>
      <c r="DL343" s="364"/>
      <c r="DM343" s="364"/>
      <c r="DN343" s="364"/>
      <c r="DO343" s="364"/>
      <c r="DP343" s="364"/>
      <c r="DQ343" s="364"/>
      <c r="DR343" s="364"/>
      <c r="DS343" s="364"/>
      <c r="DT343" s="364"/>
      <c r="DU343" s="364"/>
      <c r="DV343" s="364"/>
      <c r="DW343" s="364"/>
      <c r="DX343" s="364"/>
      <c r="DY343" s="364"/>
      <c r="DZ343" s="364"/>
      <c r="EA343" s="364"/>
      <c r="EB343" s="364"/>
      <c r="EC343" s="364"/>
      <c r="ED343" s="364"/>
      <c r="EE343" s="364"/>
      <c r="EF343" s="364"/>
      <c r="EG343" s="364"/>
      <c r="EH343" s="364"/>
      <c r="EI343" s="364"/>
      <c r="EJ343" s="364"/>
      <c r="EK343" s="364"/>
      <c r="EL343" s="364"/>
      <c r="EM343" s="364"/>
      <c r="EN343" s="364"/>
      <c r="EO343" s="364"/>
      <c r="EP343" s="364"/>
      <c r="EQ343" s="364"/>
      <c r="ER343" s="364"/>
      <c r="ES343" s="364"/>
      <c r="ET343" s="364"/>
      <c r="EU343" s="364"/>
      <c r="EV343" s="364"/>
      <c r="EW343" s="364"/>
      <c r="EX343" s="364"/>
      <c r="EY343" s="364"/>
      <c r="EZ343" s="364"/>
      <c r="FA343" s="364"/>
      <c r="FB343" s="364"/>
      <c r="FC343" s="364"/>
      <c r="FD343" s="364"/>
      <c r="FE343" s="364"/>
      <c r="FF343" s="364"/>
      <c r="FG343" s="364"/>
      <c r="FH343" s="364"/>
      <c r="FI343" s="364"/>
      <c r="FJ343" s="364"/>
      <c r="FK343" s="364"/>
      <c r="FL343" s="364"/>
      <c r="FM343" s="364"/>
      <c r="FN343" s="364"/>
      <c r="FO343" s="364"/>
      <c r="FP343" s="364"/>
      <c r="FQ343" s="364"/>
      <c r="FR343" s="364"/>
      <c r="FS343" s="364"/>
      <c r="FT343" s="364"/>
      <c r="FU343" s="364"/>
      <c r="FV343" s="364"/>
      <c r="FW343" s="364"/>
      <c r="FX343" s="364"/>
      <c r="FY343" s="364"/>
      <c r="FZ343" s="364"/>
      <c r="GA343" s="364"/>
      <c r="GB343" s="364"/>
      <c r="GC343" s="364"/>
      <c r="GD343" s="364"/>
      <c r="GE343" s="364"/>
      <c r="GF343" s="364"/>
      <c r="GG343" s="364"/>
      <c r="GH343" s="364"/>
      <c r="GI343" s="364"/>
      <c r="GJ343" s="364"/>
      <c r="GK343" s="364"/>
      <c r="GL343" s="364"/>
      <c r="GM343" s="364"/>
      <c r="GN343" s="364"/>
      <c r="GO343" s="364"/>
      <c r="GP343" s="364"/>
      <c r="GQ343" s="364"/>
      <c r="GR343" s="364"/>
      <c r="GS343" s="364"/>
      <c r="GT343" s="364"/>
      <c r="GU343" s="364"/>
      <c r="GV343" s="364"/>
      <c r="GW343" s="364"/>
      <c r="GX343" s="364"/>
      <c r="GY343" s="364"/>
      <c r="GZ343" s="364"/>
      <c r="HA343" s="364"/>
      <c r="HB343" s="364"/>
      <c r="HC343" s="364"/>
      <c r="HD343" s="364"/>
      <c r="HE343" s="364"/>
      <c r="HF343" s="364"/>
      <c r="HG343" s="364"/>
      <c r="HH343" s="364"/>
      <c r="HI343" s="364"/>
      <c r="HJ343" s="364"/>
      <c r="HK343" s="364"/>
      <c r="HL343" s="364"/>
    </row>
    <row r="344" spans="2:220" s="287" customFormat="1" ht="22.5" customHeight="1">
      <c r="B344" s="365">
        <v>250156</v>
      </c>
      <c r="C344" s="366" t="s">
        <v>1034</v>
      </c>
      <c r="D344" s="367"/>
      <c r="E344" s="368"/>
      <c r="F344" s="321" t="s">
        <v>415</v>
      </c>
      <c r="G344" s="326" t="s">
        <v>1780</v>
      </c>
      <c r="H344" s="326" t="s">
        <v>2087</v>
      </c>
      <c r="I344" s="326" t="s">
        <v>11</v>
      </c>
      <c r="J344" s="326" t="s">
        <v>414</v>
      </c>
      <c r="K344" s="326" t="s">
        <v>323</v>
      </c>
      <c r="L344" s="323"/>
      <c r="M344" s="374"/>
      <c r="N344" s="325" t="s">
        <v>503</v>
      </c>
      <c r="O344" s="327" t="s">
        <v>498</v>
      </c>
      <c r="P344" s="327" t="s">
        <v>498</v>
      </c>
      <c r="Q344" s="369" t="s">
        <v>498</v>
      </c>
      <c r="R344" s="329" t="s">
        <v>2999</v>
      </c>
      <c r="S344" s="331" t="s">
        <v>12960</v>
      </c>
      <c r="T344" s="330"/>
      <c r="U344" s="330"/>
      <c r="V344" s="331" t="s">
        <v>12961</v>
      </c>
      <c r="W344" s="332" t="s">
        <v>3000</v>
      </c>
      <c r="X344" s="331" t="s">
        <v>12960</v>
      </c>
      <c r="Y344" s="330"/>
      <c r="Z344" s="330"/>
      <c r="AA344" s="331" t="s">
        <v>12961</v>
      </c>
      <c r="AB344" s="416"/>
      <c r="AC344" s="416"/>
      <c r="AD344" s="334" t="s">
        <v>874</v>
      </c>
      <c r="AE344" s="391"/>
      <c r="AF344" s="336"/>
      <c r="AG344" s="337"/>
      <c r="AH344" s="417" t="s">
        <v>435</v>
      </c>
      <c r="AI344" s="392" t="s">
        <v>435</v>
      </c>
      <c r="AJ344" s="392" t="s">
        <v>435</v>
      </c>
      <c r="AK344" s="340" t="s">
        <v>435</v>
      </c>
      <c r="AL344" s="417" t="s">
        <v>210</v>
      </c>
      <c r="AM344" s="392" t="s">
        <v>210</v>
      </c>
      <c r="AN344" s="392" t="s">
        <v>210</v>
      </c>
      <c r="AO344" s="341" t="s">
        <v>210</v>
      </c>
      <c r="AP344" s="342"/>
      <c r="AQ344" s="343"/>
      <c r="AR344" s="370">
        <v>2406</v>
      </c>
      <c r="AS344" s="326">
        <v>100</v>
      </c>
      <c r="AT344" s="392">
        <v>1</v>
      </c>
      <c r="AU344" s="392"/>
      <c r="AV344" s="392">
        <v>1.5</v>
      </c>
      <c r="AW344" s="340"/>
      <c r="AX344" s="347"/>
      <c r="AY344" s="348"/>
      <c r="AZ344" s="377"/>
      <c r="BA344" s="374"/>
      <c r="BB344" s="374"/>
      <c r="BC344" s="374"/>
      <c r="BD344" s="374"/>
      <c r="BE344" s="374"/>
      <c r="BF344" s="374"/>
      <c r="BG344" s="374"/>
      <c r="BH344" s="378"/>
      <c r="BI344" s="376"/>
      <c r="BJ344" s="379"/>
      <c r="BK344" s="380"/>
      <c r="BL344" s="348"/>
      <c r="BM344" s="381"/>
      <c r="BN344" s="321" t="s">
        <v>983</v>
      </c>
      <c r="BO344" s="372"/>
      <c r="BP344" s="373" t="s">
        <v>15</v>
      </c>
      <c r="BQ344" s="360"/>
      <c r="BR344" s="361"/>
      <c r="BS344" s="361"/>
      <c r="BT344" s="361"/>
      <c r="BU344" s="342" t="s">
        <v>210</v>
      </c>
      <c r="BV344" s="342" t="s">
        <v>210</v>
      </c>
      <c r="BW344" s="341" t="s">
        <v>15</v>
      </c>
      <c r="BX344" s="361"/>
      <c r="BY344" s="362"/>
      <c r="BZ344" s="363"/>
      <c r="CA344" s="363"/>
      <c r="CB344" s="363"/>
      <c r="CC344" s="363"/>
      <c r="CD344" s="293"/>
      <c r="CE344" s="364"/>
      <c r="CF344" s="364"/>
      <c r="CG344" s="364"/>
      <c r="CH344" s="364"/>
      <c r="CI344" s="364"/>
      <c r="CJ344" s="364"/>
      <c r="CK344" s="364"/>
      <c r="CL344" s="364"/>
      <c r="CM344" s="364"/>
      <c r="CN344" s="364"/>
      <c r="CO344" s="364"/>
      <c r="CP344" s="364"/>
      <c r="CQ344" s="364"/>
      <c r="CR344" s="364"/>
      <c r="CS344" s="364"/>
      <c r="CT344" s="364"/>
      <c r="CU344" s="364"/>
      <c r="CV344" s="364"/>
      <c r="CW344" s="364"/>
      <c r="CX344" s="364"/>
      <c r="CY344" s="364"/>
      <c r="CZ344" s="364"/>
      <c r="DA344" s="364"/>
      <c r="DB344" s="364"/>
      <c r="DC344" s="364"/>
      <c r="DD344" s="364"/>
      <c r="DE344" s="364"/>
      <c r="DF344" s="364"/>
      <c r="DG344" s="364"/>
      <c r="DH344" s="364"/>
      <c r="DI344" s="364"/>
      <c r="DJ344" s="364"/>
      <c r="DK344" s="364"/>
      <c r="DL344" s="364"/>
      <c r="DM344" s="364"/>
      <c r="DN344" s="364"/>
      <c r="DO344" s="364"/>
      <c r="DP344" s="364"/>
      <c r="DQ344" s="364"/>
      <c r="DR344" s="364"/>
      <c r="DS344" s="364"/>
      <c r="DT344" s="364"/>
      <c r="DU344" s="364"/>
      <c r="DV344" s="364"/>
      <c r="DW344" s="364"/>
      <c r="DX344" s="364"/>
      <c r="DY344" s="364"/>
      <c r="DZ344" s="364"/>
      <c r="EA344" s="364"/>
      <c r="EB344" s="364"/>
      <c r="EC344" s="364"/>
      <c r="ED344" s="364"/>
      <c r="EE344" s="364"/>
      <c r="EF344" s="364"/>
      <c r="EG344" s="364"/>
      <c r="EH344" s="364"/>
      <c r="EI344" s="364"/>
      <c r="EJ344" s="364"/>
      <c r="EK344" s="364"/>
      <c r="EL344" s="364"/>
      <c r="EM344" s="364"/>
      <c r="EN344" s="364"/>
      <c r="EO344" s="364"/>
      <c r="EP344" s="364"/>
      <c r="EQ344" s="364"/>
      <c r="ER344" s="364"/>
      <c r="ES344" s="364"/>
      <c r="ET344" s="364"/>
      <c r="EU344" s="364"/>
      <c r="EV344" s="364"/>
      <c r="EW344" s="364"/>
      <c r="EX344" s="364"/>
      <c r="EY344" s="364"/>
      <c r="EZ344" s="364"/>
      <c r="FA344" s="364"/>
      <c r="FB344" s="364"/>
      <c r="FC344" s="364"/>
      <c r="FD344" s="364"/>
      <c r="FE344" s="364"/>
      <c r="FF344" s="364"/>
      <c r="FG344" s="364"/>
      <c r="FH344" s="364"/>
      <c r="FI344" s="364"/>
      <c r="FJ344" s="364"/>
      <c r="FK344" s="364"/>
      <c r="FL344" s="364"/>
      <c r="FM344" s="364"/>
      <c r="FN344" s="364"/>
      <c r="FO344" s="364"/>
      <c r="FP344" s="364"/>
      <c r="FQ344" s="364"/>
      <c r="FR344" s="364"/>
      <c r="FS344" s="364"/>
      <c r="FT344" s="364"/>
      <c r="FU344" s="364"/>
      <c r="FV344" s="364"/>
      <c r="FW344" s="364"/>
      <c r="FX344" s="364"/>
      <c r="FY344" s="364"/>
      <c r="FZ344" s="364"/>
      <c r="GA344" s="364"/>
      <c r="GB344" s="364"/>
      <c r="GC344" s="364"/>
      <c r="GD344" s="364"/>
      <c r="GE344" s="364"/>
      <c r="GF344" s="364"/>
      <c r="GG344" s="364"/>
      <c r="GH344" s="364"/>
      <c r="GI344" s="364"/>
      <c r="GJ344" s="364"/>
      <c r="GK344" s="364"/>
      <c r="GL344" s="364"/>
      <c r="GM344" s="364"/>
      <c r="GN344" s="364"/>
      <c r="GO344" s="364"/>
      <c r="GP344" s="364"/>
      <c r="GQ344" s="364"/>
      <c r="GR344" s="364"/>
      <c r="GS344" s="364"/>
      <c r="GT344" s="364"/>
      <c r="GU344" s="364"/>
      <c r="GV344" s="364"/>
      <c r="GW344" s="364"/>
      <c r="GX344" s="364"/>
      <c r="GY344" s="364"/>
      <c r="GZ344" s="364"/>
      <c r="HA344" s="364"/>
      <c r="HB344" s="364"/>
      <c r="HC344" s="364"/>
      <c r="HD344" s="364"/>
      <c r="HE344" s="364"/>
      <c r="HF344" s="364"/>
      <c r="HG344" s="364"/>
      <c r="HH344" s="364"/>
      <c r="HI344" s="364"/>
      <c r="HJ344" s="364"/>
      <c r="HK344" s="364"/>
      <c r="HL344" s="364"/>
    </row>
    <row r="345" spans="2:220" s="287" customFormat="1" ht="22.5" customHeight="1">
      <c r="B345" s="365">
        <v>250157</v>
      </c>
      <c r="C345" s="366" t="s">
        <v>263</v>
      </c>
      <c r="D345" s="367"/>
      <c r="E345" s="368"/>
      <c r="F345" s="321" t="s">
        <v>264</v>
      </c>
      <c r="G345" s="326" t="s">
        <v>2117</v>
      </c>
      <c r="H345" s="326" t="s">
        <v>2118</v>
      </c>
      <c r="I345" s="326" t="s">
        <v>11</v>
      </c>
      <c r="J345" s="326" t="s">
        <v>387</v>
      </c>
      <c r="K345" s="326" t="s">
        <v>324</v>
      </c>
      <c r="L345" s="323"/>
      <c r="M345" s="374"/>
      <c r="N345" s="325" t="s">
        <v>437</v>
      </c>
      <c r="O345" s="327" t="s">
        <v>210</v>
      </c>
      <c r="P345" s="327">
        <v>1459</v>
      </c>
      <c r="Q345" s="369">
        <v>918</v>
      </c>
      <c r="R345" s="329" t="s">
        <v>738</v>
      </c>
      <c r="S345" s="330"/>
      <c r="T345" s="330"/>
      <c r="U345" s="330"/>
      <c r="V345" s="330"/>
      <c r="W345" s="332" t="s">
        <v>1095</v>
      </c>
      <c r="X345" s="394" t="s">
        <v>13121</v>
      </c>
      <c r="Y345" s="394" t="s">
        <v>11852</v>
      </c>
      <c r="Z345" s="394" t="s">
        <v>16280</v>
      </c>
      <c r="AA345" s="394" t="s">
        <v>13122</v>
      </c>
      <c r="AB345" s="333"/>
      <c r="AC345" s="333"/>
      <c r="AD345" s="334" t="s">
        <v>5522</v>
      </c>
      <c r="AE345" s="335" t="s">
        <v>309</v>
      </c>
      <c r="AF345" s="336"/>
      <c r="AG345" s="337"/>
      <c r="AH345" s="417" t="s">
        <v>435</v>
      </c>
      <c r="AI345" s="392" t="s">
        <v>435</v>
      </c>
      <c r="AJ345" s="392" t="s">
        <v>435</v>
      </c>
      <c r="AK345" s="340" t="s">
        <v>435</v>
      </c>
      <c r="AL345" s="417" t="s">
        <v>210</v>
      </c>
      <c r="AM345" s="392" t="s">
        <v>210</v>
      </c>
      <c r="AN345" s="326" t="s">
        <v>983</v>
      </c>
      <c r="AO345" s="341" t="s">
        <v>210</v>
      </c>
      <c r="AP345" s="342"/>
      <c r="AQ345" s="343"/>
      <c r="AR345" s="370">
        <v>260</v>
      </c>
      <c r="AS345" s="326">
        <v>50</v>
      </c>
      <c r="AT345" s="392">
        <v>1</v>
      </c>
      <c r="AU345" s="392"/>
      <c r="AV345" s="392">
        <v>1.5</v>
      </c>
      <c r="AW345" s="340"/>
      <c r="AX345" s="347"/>
      <c r="AY345" s="348"/>
      <c r="AZ345" s="377"/>
      <c r="BA345" s="374"/>
      <c r="BB345" s="374"/>
      <c r="BC345" s="374"/>
      <c r="BD345" s="374"/>
      <c r="BE345" s="374"/>
      <c r="BF345" s="374"/>
      <c r="BG345" s="374"/>
      <c r="BH345" s="378"/>
      <c r="BI345" s="376"/>
      <c r="BJ345" s="379"/>
      <c r="BK345" s="380"/>
      <c r="BL345" s="348"/>
      <c r="BM345" s="381"/>
      <c r="BN345" s="321" t="s">
        <v>983</v>
      </c>
      <c r="BO345" s="372"/>
      <c r="BP345" s="373" t="s">
        <v>15</v>
      </c>
      <c r="BQ345" s="360"/>
      <c r="BR345" s="361"/>
      <c r="BS345" s="361"/>
      <c r="BT345" s="361"/>
      <c r="BU345" s="342" t="s">
        <v>210</v>
      </c>
      <c r="BV345" s="342" t="s">
        <v>210</v>
      </c>
      <c r="BW345" s="341" t="s">
        <v>15</v>
      </c>
      <c r="BX345" s="361"/>
      <c r="BY345" s="362"/>
      <c r="BZ345" s="363"/>
      <c r="CA345" s="363"/>
      <c r="CB345" s="363"/>
      <c r="CC345" s="363"/>
      <c r="CD345" s="293"/>
      <c r="CE345" s="364"/>
      <c r="CF345" s="364"/>
      <c r="CG345" s="364"/>
      <c r="CH345" s="364"/>
      <c r="CI345" s="364"/>
      <c r="CJ345" s="364"/>
      <c r="CK345" s="364"/>
      <c r="CL345" s="364"/>
      <c r="CM345" s="364"/>
      <c r="CN345" s="364"/>
      <c r="CO345" s="364"/>
      <c r="CP345" s="364"/>
      <c r="CQ345" s="364"/>
      <c r="CR345" s="364"/>
      <c r="CS345" s="364"/>
      <c r="CT345" s="364"/>
      <c r="CU345" s="364"/>
      <c r="CV345" s="364"/>
      <c r="CW345" s="364"/>
      <c r="CX345" s="364"/>
      <c r="CY345" s="364"/>
      <c r="CZ345" s="364"/>
      <c r="DA345" s="364"/>
      <c r="DB345" s="364"/>
      <c r="DC345" s="364"/>
      <c r="DD345" s="364"/>
      <c r="DE345" s="364"/>
      <c r="DF345" s="364"/>
      <c r="DG345" s="364"/>
      <c r="DH345" s="364"/>
      <c r="DI345" s="364"/>
      <c r="DJ345" s="364"/>
      <c r="DK345" s="364"/>
      <c r="DL345" s="364"/>
      <c r="DM345" s="364"/>
      <c r="DN345" s="364"/>
      <c r="DO345" s="364"/>
      <c r="DP345" s="364"/>
      <c r="DQ345" s="364"/>
      <c r="DR345" s="364"/>
      <c r="DS345" s="364"/>
      <c r="DT345" s="364"/>
      <c r="DU345" s="364"/>
      <c r="DV345" s="364"/>
      <c r="DW345" s="364"/>
      <c r="DX345" s="364"/>
      <c r="DY345" s="364"/>
      <c r="DZ345" s="364"/>
      <c r="EA345" s="364"/>
      <c r="EB345" s="364"/>
      <c r="EC345" s="364"/>
      <c r="ED345" s="364"/>
      <c r="EE345" s="364"/>
      <c r="EF345" s="364"/>
      <c r="EG345" s="364"/>
      <c r="EH345" s="364"/>
      <c r="EI345" s="364"/>
      <c r="EJ345" s="364"/>
      <c r="EK345" s="364"/>
      <c r="EL345" s="364"/>
      <c r="EM345" s="364"/>
      <c r="EN345" s="364"/>
      <c r="EO345" s="364"/>
      <c r="EP345" s="364"/>
      <c r="EQ345" s="364"/>
      <c r="ER345" s="364"/>
      <c r="ES345" s="364"/>
      <c r="ET345" s="364"/>
      <c r="EU345" s="364"/>
      <c r="EV345" s="364"/>
      <c r="EW345" s="364"/>
      <c r="EX345" s="364"/>
      <c r="EY345" s="364"/>
      <c r="EZ345" s="364"/>
      <c r="FA345" s="364"/>
      <c r="FB345" s="364"/>
      <c r="FC345" s="364"/>
      <c r="FD345" s="364"/>
      <c r="FE345" s="364"/>
      <c r="FF345" s="364"/>
      <c r="FG345" s="364"/>
      <c r="FH345" s="364"/>
      <c r="FI345" s="364"/>
      <c r="FJ345" s="364"/>
      <c r="FK345" s="364"/>
      <c r="FL345" s="364"/>
      <c r="FM345" s="364"/>
      <c r="FN345" s="364"/>
      <c r="FO345" s="364"/>
      <c r="FP345" s="364"/>
      <c r="FQ345" s="364"/>
      <c r="FR345" s="364"/>
      <c r="FS345" s="364"/>
      <c r="FT345" s="364"/>
      <c r="FU345" s="364"/>
      <c r="FV345" s="364"/>
      <c r="FW345" s="364"/>
      <c r="FX345" s="364"/>
      <c r="FY345" s="364"/>
      <c r="FZ345" s="364"/>
      <c r="GA345" s="364"/>
      <c r="GB345" s="364"/>
      <c r="GC345" s="364"/>
      <c r="GD345" s="364"/>
      <c r="GE345" s="364"/>
      <c r="GF345" s="364"/>
      <c r="GG345" s="364"/>
      <c r="GH345" s="364"/>
      <c r="GI345" s="364"/>
      <c r="GJ345" s="364"/>
      <c r="GK345" s="364"/>
      <c r="GL345" s="364"/>
      <c r="GM345" s="364"/>
      <c r="GN345" s="364"/>
      <c r="GO345" s="364"/>
      <c r="GP345" s="364"/>
      <c r="GQ345" s="364"/>
      <c r="GR345" s="364"/>
      <c r="GS345" s="364"/>
      <c r="GT345" s="364"/>
      <c r="GU345" s="364"/>
      <c r="GV345" s="364"/>
      <c r="GW345" s="364"/>
      <c r="GX345" s="364"/>
      <c r="GY345" s="364"/>
      <c r="GZ345" s="364"/>
      <c r="HA345" s="364"/>
      <c r="HB345" s="364"/>
      <c r="HC345" s="364"/>
      <c r="HD345" s="364"/>
      <c r="HE345" s="364"/>
      <c r="HF345" s="364"/>
      <c r="HG345" s="364"/>
      <c r="HH345" s="364"/>
      <c r="HI345" s="364"/>
      <c r="HJ345" s="364"/>
      <c r="HK345" s="364"/>
      <c r="HL345" s="364"/>
    </row>
    <row r="346" spans="2:220" s="287" customFormat="1" ht="22.5" customHeight="1">
      <c r="B346" s="365">
        <v>250158</v>
      </c>
      <c r="C346" s="366" t="s">
        <v>14119</v>
      </c>
      <c r="D346" s="367"/>
      <c r="E346" s="368"/>
      <c r="F346" s="321" t="s">
        <v>238</v>
      </c>
      <c r="G346" s="326" t="s">
        <v>2115</v>
      </c>
      <c r="H346" s="326" t="s">
        <v>2116</v>
      </c>
      <c r="I346" s="326" t="s">
        <v>11</v>
      </c>
      <c r="J346" s="326" t="s">
        <v>399</v>
      </c>
      <c r="K346" s="326" t="s">
        <v>324</v>
      </c>
      <c r="L346" s="323"/>
      <c r="M346" s="374"/>
      <c r="N346" s="325" t="s">
        <v>438</v>
      </c>
      <c r="O346" s="327" t="s">
        <v>210</v>
      </c>
      <c r="P346" s="327" t="s">
        <v>210</v>
      </c>
      <c r="Q346" s="369" t="s">
        <v>210</v>
      </c>
      <c r="R346" s="329" t="s">
        <v>801</v>
      </c>
      <c r="S346" s="331" t="s">
        <v>14123</v>
      </c>
      <c r="T346" s="330"/>
      <c r="U346" s="330"/>
      <c r="V346" s="331" t="s">
        <v>14124</v>
      </c>
      <c r="W346" s="332" t="s">
        <v>802</v>
      </c>
      <c r="X346" s="331" t="s">
        <v>14120</v>
      </c>
      <c r="Y346" s="331" t="s">
        <v>14121</v>
      </c>
      <c r="Z346" s="331" t="s">
        <v>16534</v>
      </c>
      <c r="AA346" s="331" t="s">
        <v>14122</v>
      </c>
      <c r="AB346" s="333"/>
      <c r="AC346" s="333"/>
      <c r="AD346" s="334" t="s">
        <v>2327</v>
      </c>
      <c r="AE346" s="335" t="s">
        <v>406</v>
      </c>
      <c r="AF346" s="336"/>
      <c r="AG346" s="337"/>
      <c r="AH346" s="417" t="s">
        <v>435</v>
      </c>
      <c r="AI346" s="392" t="s">
        <v>435</v>
      </c>
      <c r="AJ346" s="392" t="s">
        <v>435</v>
      </c>
      <c r="AK346" s="340" t="s">
        <v>435</v>
      </c>
      <c r="AL346" s="417" t="s">
        <v>210</v>
      </c>
      <c r="AM346" s="392" t="s">
        <v>210</v>
      </c>
      <c r="AN346" s="392" t="s">
        <v>210</v>
      </c>
      <c r="AO346" s="341" t="s">
        <v>210</v>
      </c>
      <c r="AP346" s="342"/>
      <c r="AQ346" s="343"/>
      <c r="AR346" s="370">
        <v>2498</v>
      </c>
      <c r="AS346" s="326">
        <v>100</v>
      </c>
      <c r="AT346" s="392">
        <v>0.8</v>
      </c>
      <c r="AU346" s="392"/>
      <c r="AV346" s="392">
        <v>0.8</v>
      </c>
      <c r="AW346" s="340"/>
      <c r="AX346" s="347"/>
      <c r="AY346" s="348"/>
      <c r="AZ346" s="377"/>
      <c r="BA346" s="374"/>
      <c r="BB346" s="374"/>
      <c r="BC346" s="374"/>
      <c r="BD346" s="374"/>
      <c r="BE346" s="374"/>
      <c r="BF346" s="374"/>
      <c r="BG346" s="374"/>
      <c r="BH346" s="378"/>
      <c r="BI346" s="376"/>
      <c r="BJ346" s="379"/>
      <c r="BK346" s="380"/>
      <c r="BL346" s="348"/>
      <c r="BM346" s="381"/>
      <c r="BN346" s="321" t="s">
        <v>983</v>
      </c>
      <c r="BO346" s="372"/>
      <c r="BP346" s="373" t="s">
        <v>15</v>
      </c>
      <c r="BQ346" s="360"/>
      <c r="BR346" s="361"/>
      <c r="BS346" s="361"/>
      <c r="BT346" s="361"/>
      <c r="BU346" s="342" t="s">
        <v>210</v>
      </c>
      <c r="BV346" s="342" t="s">
        <v>210</v>
      </c>
      <c r="BW346" s="341" t="s">
        <v>15</v>
      </c>
      <c r="BX346" s="361"/>
      <c r="BY346" s="362"/>
      <c r="BZ346" s="363"/>
      <c r="CA346" s="363"/>
      <c r="CB346" s="363"/>
      <c r="CC346" s="363"/>
      <c r="CD346" s="293"/>
      <c r="CE346" s="364"/>
      <c r="CF346" s="364"/>
      <c r="CG346" s="364"/>
      <c r="CH346" s="364"/>
      <c r="CI346" s="364"/>
      <c r="CJ346" s="364"/>
      <c r="CK346" s="364"/>
      <c r="CL346" s="364"/>
      <c r="CM346" s="364"/>
      <c r="CN346" s="364"/>
      <c r="CO346" s="364"/>
      <c r="CP346" s="364"/>
      <c r="CQ346" s="364"/>
      <c r="CR346" s="364"/>
      <c r="CS346" s="364"/>
      <c r="CT346" s="364"/>
      <c r="CU346" s="364"/>
      <c r="CV346" s="364"/>
      <c r="CW346" s="364"/>
      <c r="CX346" s="364"/>
      <c r="CY346" s="364"/>
      <c r="CZ346" s="364"/>
      <c r="DA346" s="364"/>
      <c r="DB346" s="364"/>
      <c r="DC346" s="364"/>
      <c r="DD346" s="364"/>
      <c r="DE346" s="364"/>
      <c r="DF346" s="364"/>
      <c r="DG346" s="364"/>
      <c r="DH346" s="364"/>
      <c r="DI346" s="364"/>
      <c r="DJ346" s="364"/>
      <c r="DK346" s="364"/>
      <c r="DL346" s="364"/>
      <c r="DM346" s="364"/>
      <c r="DN346" s="364"/>
      <c r="DO346" s="364"/>
      <c r="DP346" s="364"/>
      <c r="DQ346" s="364"/>
      <c r="DR346" s="364"/>
      <c r="DS346" s="364"/>
      <c r="DT346" s="364"/>
      <c r="DU346" s="364"/>
      <c r="DV346" s="364"/>
      <c r="DW346" s="364"/>
      <c r="DX346" s="364"/>
      <c r="DY346" s="364"/>
      <c r="DZ346" s="364"/>
      <c r="EA346" s="364"/>
      <c r="EB346" s="364"/>
      <c r="EC346" s="364"/>
      <c r="ED346" s="364"/>
      <c r="EE346" s="364"/>
      <c r="EF346" s="364"/>
      <c r="EG346" s="364"/>
      <c r="EH346" s="364"/>
      <c r="EI346" s="364"/>
      <c r="EJ346" s="364"/>
      <c r="EK346" s="364"/>
      <c r="EL346" s="364"/>
      <c r="EM346" s="364"/>
      <c r="EN346" s="364"/>
      <c r="EO346" s="364"/>
      <c r="EP346" s="364"/>
      <c r="EQ346" s="364"/>
      <c r="ER346" s="364"/>
      <c r="ES346" s="364"/>
      <c r="ET346" s="364"/>
      <c r="EU346" s="364"/>
      <c r="EV346" s="364"/>
      <c r="EW346" s="364"/>
      <c r="EX346" s="364"/>
      <c r="EY346" s="364"/>
      <c r="EZ346" s="364"/>
      <c r="FA346" s="364"/>
      <c r="FB346" s="364"/>
      <c r="FC346" s="364"/>
      <c r="FD346" s="364"/>
      <c r="FE346" s="364"/>
      <c r="FF346" s="364"/>
      <c r="FG346" s="364"/>
      <c r="FH346" s="364"/>
      <c r="FI346" s="364"/>
      <c r="FJ346" s="364"/>
      <c r="FK346" s="364"/>
      <c r="FL346" s="364"/>
      <c r="FM346" s="364"/>
      <c r="FN346" s="364"/>
      <c r="FO346" s="364"/>
      <c r="FP346" s="364"/>
      <c r="FQ346" s="364"/>
      <c r="FR346" s="364"/>
      <c r="FS346" s="364"/>
      <c r="FT346" s="364"/>
      <c r="FU346" s="364"/>
      <c r="FV346" s="364"/>
      <c r="FW346" s="364"/>
      <c r="FX346" s="364"/>
      <c r="FY346" s="364"/>
      <c r="FZ346" s="364"/>
      <c r="GA346" s="364"/>
      <c r="GB346" s="364"/>
      <c r="GC346" s="364"/>
      <c r="GD346" s="364"/>
      <c r="GE346" s="364"/>
      <c r="GF346" s="364"/>
      <c r="GG346" s="364"/>
      <c r="GH346" s="364"/>
      <c r="GI346" s="364"/>
      <c r="GJ346" s="364"/>
      <c r="GK346" s="364"/>
      <c r="GL346" s="364"/>
      <c r="GM346" s="364"/>
      <c r="GN346" s="364"/>
      <c r="GO346" s="364"/>
      <c r="GP346" s="364"/>
      <c r="GQ346" s="364"/>
      <c r="GR346" s="364"/>
      <c r="GS346" s="364"/>
      <c r="GT346" s="364"/>
      <c r="GU346" s="364"/>
      <c r="GV346" s="364"/>
      <c r="GW346" s="364"/>
      <c r="GX346" s="364"/>
      <c r="GY346" s="364"/>
      <c r="GZ346" s="364"/>
      <c r="HA346" s="364"/>
      <c r="HB346" s="364"/>
      <c r="HC346" s="364"/>
      <c r="HD346" s="364"/>
      <c r="HE346" s="364"/>
      <c r="HF346" s="364"/>
      <c r="HG346" s="364"/>
      <c r="HH346" s="364"/>
      <c r="HI346" s="364"/>
      <c r="HJ346" s="364"/>
      <c r="HK346" s="364"/>
      <c r="HL346" s="364"/>
    </row>
    <row r="347" spans="2:220" s="287" customFormat="1" ht="22.5" customHeight="1">
      <c r="B347" s="365">
        <v>250159</v>
      </c>
      <c r="C347" s="366" t="s">
        <v>439</v>
      </c>
      <c r="D347" s="367"/>
      <c r="E347" s="368"/>
      <c r="F347" s="321" t="s">
        <v>416</v>
      </c>
      <c r="G347" s="326" t="s">
        <v>1903</v>
      </c>
      <c r="H347" s="326" t="s">
        <v>2705</v>
      </c>
      <c r="I347" s="326" t="s">
        <v>11</v>
      </c>
      <c r="J347" s="326" t="s">
        <v>414</v>
      </c>
      <c r="K347" s="326" t="s">
        <v>247</v>
      </c>
      <c r="L347" s="323"/>
      <c r="M347" s="374"/>
      <c r="N347" s="325" t="s">
        <v>503</v>
      </c>
      <c r="O347" s="327" t="s">
        <v>498</v>
      </c>
      <c r="P347" s="327" t="s">
        <v>498</v>
      </c>
      <c r="Q347" s="369" t="s">
        <v>498</v>
      </c>
      <c r="R347" s="329" t="s">
        <v>6263</v>
      </c>
      <c r="S347" s="331" t="s">
        <v>14111</v>
      </c>
      <c r="T347" s="331" t="s">
        <v>14113</v>
      </c>
      <c r="U347" s="331" t="s">
        <v>14112</v>
      </c>
      <c r="V347" s="331" t="s">
        <v>14114</v>
      </c>
      <c r="W347" s="332" t="s">
        <v>682</v>
      </c>
      <c r="X347" s="331" t="s">
        <v>14115</v>
      </c>
      <c r="Y347" s="331" t="s">
        <v>14117</v>
      </c>
      <c r="Z347" s="331" t="s">
        <v>14116</v>
      </c>
      <c r="AA347" s="331" t="s">
        <v>14118</v>
      </c>
      <c r="AB347" s="333"/>
      <c r="AC347" s="333"/>
      <c r="AD347" s="334" t="s">
        <v>274</v>
      </c>
      <c r="AE347" s="391"/>
      <c r="AF347" s="336"/>
      <c r="AG347" s="337"/>
      <c r="AH347" s="417" t="s">
        <v>435</v>
      </c>
      <c r="AI347" s="392" t="s">
        <v>435</v>
      </c>
      <c r="AJ347" s="392" t="s">
        <v>435</v>
      </c>
      <c r="AK347" s="340" t="s">
        <v>435</v>
      </c>
      <c r="AL347" s="417" t="s">
        <v>210</v>
      </c>
      <c r="AM347" s="392" t="s">
        <v>210</v>
      </c>
      <c r="AN347" s="392" t="s">
        <v>210</v>
      </c>
      <c r="AO347" s="341" t="s">
        <v>210</v>
      </c>
      <c r="AP347" s="342"/>
      <c r="AQ347" s="343"/>
      <c r="AR347" s="370">
        <v>1255</v>
      </c>
      <c r="AS347" s="326">
        <v>100</v>
      </c>
      <c r="AT347" s="392">
        <v>1</v>
      </c>
      <c r="AU347" s="392"/>
      <c r="AV347" s="392">
        <v>1</v>
      </c>
      <c r="AW347" s="340"/>
      <c r="AX347" s="347"/>
      <c r="AY347" s="348"/>
      <c r="AZ347" s="377"/>
      <c r="BA347" s="374"/>
      <c r="BB347" s="374"/>
      <c r="BC347" s="374"/>
      <c r="BD347" s="374"/>
      <c r="BE347" s="374"/>
      <c r="BF347" s="374"/>
      <c r="BG347" s="374"/>
      <c r="BH347" s="378"/>
      <c r="BI347" s="376"/>
      <c r="BJ347" s="379"/>
      <c r="BK347" s="380"/>
      <c r="BL347" s="348"/>
      <c r="BM347" s="381"/>
      <c r="BN347" s="321" t="s">
        <v>983</v>
      </c>
      <c r="BO347" s="372"/>
      <c r="BP347" s="373" t="s">
        <v>15</v>
      </c>
      <c r="BQ347" s="360"/>
      <c r="BR347" s="361"/>
      <c r="BS347" s="361"/>
      <c r="BT347" s="361"/>
      <c r="BU347" s="342" t="s">
        <v>210</v>
      </c>
      <c r="BV347" s="342" t="s">
        <v>210</v>
      </c>
      <c r="BW347" s="341" t="s">
        <v>15</v>
      </c>
      <c r="BX347" s="361"/>
      <c r="BY347" s="362"/>
      <c r="BZ347" s="363"/>
      <c r="CA347" s="363"/>
      <c r="CB347" s="363"/>
      <c r="CC347" s="363"/>
      <c r="CD347" s="293"/>
      <c r="CE347" s="364"/>
      <c r="CF347" s="364"/>
      <c r="CG347" s="364"/>
      <c r="CH347" s="364"/>
      <c r="CI347" s="364"/>
      <c r="CJ347" s="364"/>
      <c r="CK347" s="364"/>
      <c r="CL347" s="364"/>
      <c r="CM347" s="364"/>
      <c r="CN347" s="364"/>
      <c r="CO347" s="364"/>
      <c r="CP347" s="364"/>
      <c r="CQ347" s="364"/>
      <c r="CR347" s="364"/>
      <c r="CS347" s="364"/>
      <c r="CT347" s="364"/>
      <c r="CU347" s="364"/>
      <c r="CV347" s="364"/>
      <c r="CW347" s="364"/>
      <c r="CX347" s="364"/>
      <c r="CY347" s="364"/>
      <c r="CZ347" s="364"/>
      <c r="DA347" s="364"/>
      <c r="DB347" s="364"/>
      <c r="DC347" s="364"/>
      <c r="DD347" s="364"/>
      <c r="DE347" s="364"/>
      <c r="DF347" s="364"/>
      <c r="DG347" s="364"/>
      <c r="DH347" s="364"/>
      <c r="DI347" s="364"/>
      <c r="DJ347" s="364"/>
      <c r="DK347" s="364"/>
      <c r="DL347" s="364"/>
      <c r="DM347" s="364"/>
      <c r="DN347" s="364"/>
      <c r="DO347" s="364"/>
      <c r="DP347" s="364"/>
      <c r="DQ347" s="364"/>
      <c r="DR347" s="364"/>
      <c r="DS347" s="364"/>
      <c r="DT347" s="364"/>
      <c r="DU347" s="364"/>
      <c r="DV347" s="364"/>
      <c r="DW347" s="364"/>
      <c r="DX347" s="364"/>
      <c r="DY347" s="364"/>
      <c r="DZ347" s="364"/>
      <c r="EA347" s="364"/>
      <c r="EB347" s="364"/>
      <c r="EC347" s="364"/>
      <c r="ED347" s="364"/>
      <c r="EE347" s="364"/>
      <c r="EF347" s="364"/>
      <c r="EG347" s="364"/>
      <c r="EH347" s="364"/>
      <c r="EI347" s="364"/>
      <c r="EJ347" s="364"/>
      <c r="EK347" s="364"/>
      <c r="EL347" s="364"/>
      <c r="EM347" s="364"/>
      <c r="EN347" s="364"/>
      <c r="EO347" s="364"/>
      <c r="EP347" s="364"/>
      <c r="EQ347" s="364"/>
      <c r="ER347" s="364"/>
      <c r="ES347" s="364"/>
      <c r="ET347" s="364"/>
      <c r="EU347" s="364"/>
      <c r="EV347" s="364"/>
      <c r="EW347" s="364"/>
      <c r="EX347" s="364"/>
      <c r="EY347" s="364"/>
      <c r="EZ347" s="364"/>
      <c r="FA347" s="364"/>
      <c r="FB347" s="364"/>
      <c r="FC347" s="364"/>
      <c r="FD347" s="364"/>
      <c r="FE347" s="364"/>
      <c r="FF347" s="364"/>
      <c r="FG347" s="364"/>
      <c r="FH347" s="364"/>
      <c r="FI347" s="364"/>
      <c r="FJ347" s="364"/>
      <c r="FK347" s="364"/>
      <c r="FL347" s="364"/>
      <c r="FM347" s="364"/>
      <c r="FN347" s="364"/>
      <c r="FO347" s="364"/>
      <c r="FP347" s="364"/>
      <c r="FQ347" s="364"/>
      <c r="FR347" s="364"/>
      <c r="FS347" s="364"/>
      <c r="FT347" s="364"/>
      <c r="FU347" s="364"/>
      <c r="FV347" s="364"/>
      <c r="FW347" s="364"/>
      <c r="FX347" s="364"/>
      <c r="FY347" s="364"/>
      <c r="FZ347" s="364"/>
      <c r="GA347" s="364"/>
      <c r="GB347" s="364"/>
      <c r="GC347" s="364"/>
      <c r="GD347" s="364"/>
      <c r="GE347" s="364"/>
      <c r="GF347" s="364"/>
      <c r="GG347" s="364"/>
      <c r="GH347" s="364"/>
      <c r="GI347" s="364"/>
      <c r="GJ347" s="364"/>
      <c r="GK347" s="364"/>
      <c r="GL347" s="364"/>
      <c r="GM347" s="364"/>
      <c r="GN347" s="364"/>
      <c r="GO347" s="364"/>
      <c r="GP347" s="364"/>
      <c r="GQ347" s="364"/>
      <c r="GR347" s="364"/>
      <c r="GS347" s="364"/>
      <c r="GT347" s="364"/>
      <c r="GU347" s="364"/>
      <c r="GV347" s="364"/>
      <c r="GW347" s="364"/>
      <c r="GX347" s="364"/>
      <c r="GY347" s="364"/>
      <c r="GZ347" s="364"/>
      <c r="HA347" s="364"/>
      <c r="HB347" s="364"/>
      <c r="HC347" s="364"/>
      <c r="HD347" s="364"/>
      <c r="HE347" s="364"/>
      <c r="HF347" s="364"/>
      <c r="HG347" s="364"/>
      <c r="HH347" s="364"/>
      <c r="HI347" s="364"/>
      <c r="HJ347" s="364"/>
      <c r="HK347" s="364"/>
      <c r="HL347" s="364"/>
    </row>
    <row r="348" spans="2:220" s="287" customFormat="1" ht="22.5" customHeight="1">
      <c r="B348" s="365">
        <v>250160</v>
      </c>
      <c r="C348" s="366" t="s">
        <v>14106</v>
      </c>
      <c r="D348" s="367"/>
      <c r="E348" s="368"/>
      <c r="F348" s="321" t="s">
        <v>304</v>
      </c>
      <c r="G348" s="326" t="s">
        <v>2113</v>
      </c>
      <c r="H348" s="326" t="s">
        <v>2114</v>
      </c>
      <c r="I348" s="326" t="s">
        <v>11</v>
      </c>
      <c r="J348" s="326" t="s">
        <v>399</v>
      </c>
      <c r="K348" s="326" t="s">
        <v>324</v>
      </c>
      <c r="L348" s="323"/>
      <c r="M348" s="374"/>
      <c r="N348" s="325" t="s">
        <v>437</v>
      </c>
      <c r="O348" s="326">
        <v>75</v>
      </c>
      <c r="P348" s="327" t="s">
        <v>210</v>
      </c>
      <c r="Q348" s="369" t="s">
        <v>210</v>
      </c>
      <c r="R348" s="329" t="s">
        <v>8612</v>
      </c>
      <c r="S348" s="331" t="s">
        <v>14107</v>
      </c>
      <c r="T348" s="331" t="s">
        <v>14108</v>
      </c>
      <c r="U348" s="331" t="s">
        <v>16451</v>
      </c>
      <c r="V348" s="331" t="s">
        <v>14109</v>
      </c>
      <c r="W348" s="332" t="s">
        <v>1114</v>
      </c>
      <c r="X348" s="332" t="s">
        <v>14110</v>
      </c>
      <c r="Y348" s="332" t="s">
        <v>11625</v>
      </c>
      <c r="Z348" s="332" t="s">
        <v>16479</v>
      </c>
      <c r="AA348" s="332" t="s">
        <v>11627</v>
      </c>
      <c r="AB348" s="333" t="s">
        <v>513</v>
      </c>
      <c r="AC348" s="416"/>
      <c r="AD348" s="375"/>
      <c r="AE348" s="335" t="s">
        <v>309</v>
      </c>
      <c r="AF348" s="336"/>
      <c r="AG348" s="337"/>
      <c r="AH348" s="417" t="s">
        <v>435</v>
      </c>
      <c r="AI348" s="392" t="s">
        <v>435</v>
      </c>
      <c r="AJ348" s="392" t="s">
        <v>435</v>
      </c>
      <c r="AK348" s="340" t="s">
        <v>435</v>
      </c>
      <c r="AL348" s="417" t="s">
        <v>210</v>
      </c>
      <c r="AM348" s="392" t="s">
        <v>210</v>
      </c>
      <c r="AN348" s="392" t="s">
        <v>210</v>
      </c>
      <c r="AO348" s="341" t="s">
        <v>210</v>
      </c>
      <c r="AP348" s="342"/>
      <c r="AQ348" s="343"/>
      <c r="AR348" s="370">
        <v>967</v>
      </c>
      <c r="AS348" s="326">
        <v>100</v>
      </c>
      <c r="AT348" s="392">
        <v>1</v>
      </c>
      <c r="AU348" s="392"/>
      <c r="AV348" s="392">
        <v>1.5</v>
      </c>
      <c r="AW348" s="340"/>
      <c r="AX348" s="347"/>
      <c r="AY348" s="348"/>
      <c r="AZ348" s="377"/>
      <c r="BA348" s="374"/>
      <c r="BB348" s="374"/>
      <c r="BC348" s="374"/>
      <c r="BD348" s="374"/>
      <c r="BE348" s="374"/>
      <c r="BF348" s="374"/>
      <c r="BG348" s="374"/>
      <c r="BH348" s="378"/>
      <c r="BI348" s="376"/>
      <c r="BJ348" s="379"/>
      <c r="BK348" s="380"/>
      <c r="BL348" s="348"/>
      <c r="BM348" s="381"/>
      <c r="BN348" s="321" t="s">
        <v>983</v>
      </c>
      <c r="BO348" s="372"/>
      <c r="BP348" s="373" t="s">
        <v>983</v>
      </c>
      <c r="BQ348" s="360"/>
      <c r="BR348" s="361"/>
      <c r="BS348" s="361"/>
      <c r="BT348" s="361"/>
      <c r="BU348" s="342" t="s">
        <v>210</v>
      </c>
      <c r="BV348" s="342" t="s">
        <v>210</v>
      </c>
      <c r="BW348" s="341" t="s">
        <v>15</v>
      </c>
      <c r="BX348" s="361"/>
      <c r="BY348" s="362"/>
      <c r="BZ348" s="363"/>
      <c r="CA348" s="363"/>
      <c r="CB348" s="363"/>
      <c r="CC348" s="363"/>
      <c r="CD348" s="293"/>
      <c r="CE348" s="364"/>
      <c r="CF348" s="364"/>
      <c r="CG348" s="364"/>
      <c r="CH348" s="364"/>
      <c r="CI348" s="364"/>
      <c r="CJ348" s="364"/>
      <c r="CK348" s="364"/>
      <c r="CL348" s="364"/>
      <c r="CM348" s="364"/>
      <c r="CN348" s="364"/>
      <c r="CO348" s="364"/>
      <c r="CP348" s="364"/>
      <c r="CQ348" s="364"/>
      <c r="CR348" s="364"/>
      <c r="CS348" s="364"/>
      <c r="CT348" s="364"/>
      <c r="CU348" s="364"/>
      <c r="CV348" s="364"/>
      <c r="CW348" s="364"/>
      <c r="CX348" s="364"/>
      <c r="CY348" s="364"/>
      <c r="CZ348" s="364"/>
      <c r="DA348" s="364"/>
      <c r="DB348" s="364"/>
      <c r="DC348" s="364"/>
      <c r="DD348" s="364"/>
      <c r="DE348" s="364"/>
      <c r="DF348" s="364"/>
      <c r="DG348" s="364"/>
      <c r="DH348" s="364"/>
      <c r="DI348" s="364"/>
      <c r="DJ348" s="364"/>
      <c r="DK348" s="364"/>
      <c r="DL348" s="364"/>
      <c r="DM348" s="364"/>
      <c r="DN348" s="364"/>
      <c r="DO348" s="364"/>
      <c r="DP348" s="364"/>
      <c r="DQ348" s="364"/>
      <c r="DR348" s="364"/>
      <c r="DS348" s="364"/>
      <c r="DT348" s="364"/>
      <c r="DU348" s="364"/>
      <c r="DV348" s="364"/>
      <c r="DW348" s="364"/>
      <c r="DX348" s="364"/>
      <c r="DY348" s="364"/>
      <c r="DZ348" s="364"/>
      <c r="EA348" s="364"/>
      <c r="EB348" s="364"/>
      <c r="EC348" s="364"/>
      <c r="ED348" s="364"/>
      <c r="EE348" s="364"/>
      <c r="EF348" s="364"/>
      <c r="EG348" s="364"/>
      <c r="EH348" s="364"/>
      <c r="EI348" s="364"/>
      <c r="EJ348" s="364"/>
      <c r="EK348" s="364"/>
      <c r="EL348" s="364"/>
      <c r="EM348" s="364"/>
      <c r="EN348" s="364"/>
      <c r="EO348" s="364"/>
      <c r="EP348" s="364"/>
      <c r="EQ348" s="364"/>
      <c r="ER348" s="364"/>
      <c r="ES348" s="364"/>
      <c r="ET348" s="364"/>
      <c r="EU348" s="364"/>
      <c r="EV348" s="364"/>
      <c r="EW348" s="364"/>
      <c r="EX348" s="364"/>
      <c r="EY348" s="364"/>
      <c r="EZ348" s="364"/>
      <c r="FA348" s="364"/>
      <c r="FB348" s="364"/>
      <c r="FC348" s="364"/>
      <c r="FD348" s="364"/>
      <c r="FE348" s="364"/>
      <c r="FF348" s="364"/>
      <c r="FG348" s="364"/>
      <c r="FH348" s="364"/>
      <c r="FI348" s="364"/>
      <c r="FJ348" s="364"/>
      <c r="FK348" s="364"/>
      <c r="FL348" s="364"/>
      <c r="FM348" s="364"/>
      <c r="FN348" s="364"/>
      <c r="FO348" s="364"/>
      <c r="FP348" s="364"/>
      <c r="FQ348" s="364"/>
      <c r="FR348" s="364"/>
      <c r="FS348" s="364"/>
      <c r="FT348" s="364"/>
      <c r="FU348" s="364"/>
      <c r="FV348" s="364"/>
      <c r="FW348" s="364"/>
      <c r="FX348" s="364"/>
      <c r="FY348" s="364"/>
      <c r="FZ348" s="364"/>
      <c r="GA348" s="364"/>
      <c r="GB348" s="364"/>
      <c r="GC348" s="364"/>
      <c r="GD348" s="364"/>
      <c r="GE348" s="364"/>
      <c r="GF348" s="364"/>
      <c r="GG348" s="364"/>
      <c r="GH348" s="364"/>
      <c r="GI348" s="364"/>
      <c r="GJ348" s="364"/>
      <c r="GK348" s="364"/>
      <c r="GL348" s="364"/>
      <c r="GM348" s="364"/>
      <c r="GN348" s="364"/>
      <c r="GO348" s="364"/>
      <c r="GP348" s="364"/>
      <c r="GQ348" s="364"/>
      <c r="GR348" s="364"/>
      <c r="GS348" s="364"/>
      <c r="GT348" s="364"/>
      <c r="GU348" s="364"/>
      <c r="GV348" s="364"/>
      <c r="GW348" s="364"/>
      <c r="GX348" s="364"/>
      <c r="GY348" s="364"/>
      <c r="GZ348" s="364"/>
      <c r="HA348" s="364"/>
      <c r="HB348" s="364"/>
      <c r="HC348" s="364"/>
      <c r="HD348" s="364"/>
      <c r="HE348" s="364"/>
      <c r="HF348" s="364"/>
      <c r="HG348" s="364"/>
      <c r="HH348" s="364"/>
      <c r="HI348" s="364"/>
      <c r="HJ348" s="364"/>
      <c r="HK348" s="364"/>
      <c r="HL348" s="364"/>
    </row>
    <row r="349" spans="2:220" s="287" customFormat="1" ht="22.5" customHeight="1">
      <c r="B349" s="365">
        <v>250161</v>
      </c>
      <c r="C349" s="366" t="s">
        <v>501</v>
      </c>
      <c r="D349" s="367"/>
      <c r="E349" s="368"/>
      <c r="F349" s="321" t="s">
        <v>417</v>
      </c>
      <c r="G349" s="326" t="s">
        <v>1901</v>
      </c>
      <c r="H349" s="326" t="s">
        <v>1902</v>
      </c>
      <c r="I349" s="326" t="s">
        <v>11</v>
      </c>
      <c r="J349" s="326" t="s">
        <v>390</v>
      </c>
      <c r="K349" s="326" t="s">
        <v>323</v>
      </c>
      <c r="L349" s="323"/>
      <c r="M349" s="324" t="s">
        <v>10767</v>
      </c>
      <c r="N349" s="325">
        <v>3</v>
      </c>
      <c r="O349" s="326">
        <v>30</v>
      </c>
      <c r="P349" s="327">
        <v>1690.52</v>
      </c>
      <c r="Q349" s="369">
        <v>1032.56</v>
      </c>
      <c r="R349" s="329" t="s">
        <v>431</v>
      </c>
      <c r="S349" s="332" t="s">
        <v>12407</v>
      </c>
      <c r="T349" s="332" t="s">
        <v>12408</v>
      </c>
      <c r="U349" s="332" t="s">
        <v>16411</v>
      </c>
      <c r="V349" s="332" t="s">
        <v>12409</v>
      </c>
      <c r="W349" s="332" t="s">
        <v>432</v>
      </c>
      <c r="X349" s="331" t="s">
        <v>11079</v>
      </c>
      <c r="Y349" s="331" t="s">
        <v>11080</v>
      </c>
      <c r="Z349" s="331" t="s">
        <v>11080</v>
      </c>
      <c r="AA349" s="331" t="s">
        <v>210</v>
      </c>
      <c r="AB349" s="333" t="s">
        <v>487</v>
      </c>
      <c r="AC349" s="333"/>
      <c r="AD349" s="334" t="s">
        <v>2334</v>
      </c>
      <c r="AE349" s="335" t="s">
        <v>245</v>
      </c>
      <c r="AF349" s="336"/>
      <c r="AG349" s="337"/>
      <c r="AH349" s="417">
        <v>10.199999999999999</v>
      </c>
      <c r="AI349" s="392">
        <v>15.6</v>
      </c>
      <c r="AJ349" s="392">
        <v>8.8000000000000007</v>
      </c>
      <c r="AK349" s="340">
        <f>SUM(AH349:AJ349)</f>
        <v>34.599999999999994</v>
      </c>
      <c r="AL349" s="417" t="s">
        <v>210</v>
      </c>
      <c r="AM349" s="392" t="s">
        <v>210</v>
      </c>
      <c r="AN349" s="392" t="s">
        <v>210</v>
      </c>
      <c r="AO349" s="341" t="s">
        <v>210</v>
      </c>
      <c r="AP349" s="342"/>
      <c r="AQ349" s="343"/>
      <c r="AR349" s="370">
        <v>1144</v>
      </c>
      <c r="AS349" s="326">
        <v>100</v>
      </c>
      <c r="AT349" s="392">
        <v>1</v>
      </c>
      <c r="AU349" s="392"/>
      <c r="AV349" s="392">
        <v>1.2</v>
      </c>
      <c r="AW349" s="340"/>
      <c r="AX349" s="347"/>
      <c r="AY349" s="348"/>
      <c r="AZ349" s="377"/>
      <c r="BA349" s="374"/>
      <c r="BB349" s="374"/>
      <c r="BC349" s="374"/>
      <c r="BD349" s="374"/>
      <c r="BE349" s="374"/>
      <c r="BF349" s="374"/>
      <c r="BG349" s="374"/>
      <c r="BH349" s="378"/>
      <c r="BI349" s="376"/>
      <c r="BJ349" s="379"/>
      <c r="BK349" s="380"/>
      <c r="BL349" s="348"/>
      <c r="BM349" s="381"/>
      <c r="BN349" s="321" t="s">
        <v>983</v>
      </c>
      <c r="BO349" s="372">
        <v>1.8</v>
      </c>
      <c r="BP349" s="340" t="s">
        <v>210</v>
      </c>
      <c r="BQ349" s="360"/>
      <c r="BR349" s="361"/>
      <c r="BS349" s="361"/>
      <c r="BT349" s="361"/>
      <c r="BU349" s="342" t="s">
        <v>210</v>
      </c>
      <c r="BV349" s="342" t="s">
        <v>210</v>
      </c>
      <c r="BW349" s="341" t="s">
        <v>15</v>
      </c>
      <c r="BX349" s="361"/>
      <c r="BY349" s="362" t="s">
        <v>502</v>
      </c>
      <c r="BZ349" s="363"/>
      <c r="CA349" s="363"/>
      <c r="CB349" s="363"/>
      <c r="CC349" s="363"/>
      <c r="CD349" s="293"/>
      <c r="CE349" s="364"/>
      <c r="CF349" s="364"/>
      <c r="CG349" s="364"/>
      <c r="CH349" s="364"/>
      <c r="CI349" s="364"/>
      <c r="CJ349" s="364"/>
      <c r="CK349" s="364"/>
      <c r="CL349" s="364"/>
      <c r="CM349" s="364"/>
      <c r="CN349" s="364"/>
      <c r="CO349" s="364"/>
      <c r="CP349" s="364"/>
      <c r="CQ349" s="364"/>
      <c r="CR349" s="364"/>
      <c r="CS349" s="364"/>
      <c r="CT349" s="364"/>
      <c r="CU349" s="364"/>
      <c r="CV349" s="364"/>
      <c r="CW349" s="364"/>
      <c r="CX349" s="364"/>
      <c r="CY349" s="364"/>
      <c r="CZ349" s="364"/>
      <c r="DA349" s="364"/>
      <c r="DB349" s="364"/>
      <c r="DC349" s="364"/>
      <c r="DD349" s="364"/>
      <c r="DE349" s="364"/>
      <c r="DF349" s="364"/>
      <c r="DG349" s="364"/>
      <c r="DH349" s="364"/>
      <c r="DI349" s="364"/>
      <c r="DJ349" s="364"/>
      <c r="DK349" s="364"/>
      <c r="DL349" s="364"/>
      <c r="DM349" s="364"/>
      <c r="DN349" s="364"/>
      <c r="DO349" s="364"/>
      <c r="DP349" s="364"/>
      <c r="DQ349" s="364"/>
      <c r="DR349" s="364"/>
      <c r="DS349" s="364"/>
      <c r="DT349" s="364"/>
      <c r="DU349" s="364"/>
      <c r="DV349" s="364"/>
      <c r="DW349" s="364"/>
      <c r="DX349" s="364"/>
      <c r="DY349" s="364"/>
      <c r="DZ349" s="364"/>
      <c r="EA349" s="364"/>
      <c r="EB349" s="364"/>
      <c r="EC349" s="364"/>
      <c r="ED349" s="364"/>
      <c r="EE349" s="364"/>
      <c r="EF349" s="364"/>
      <c r="EG349" s="364"/>
      <c r="EH349" s="364"/>
      <c r="EI349" s="364"/>
      <c r="EJ349" s="364"/>
      <c r="EK349" s="364"/>
      <c r="EL349" s="364"/>
      <c r="EM349" s="364"/>
      <c r="EN349" s="364"/>
      <c r="EO349" s="364"/>
      <c r="EP349" s="364"/>
      <c r="EQ349" s="364"/>
      <c r="ER349" s="364"/>
      <c r="ES349" s="364"/>
      <c r="ET349" s="364"/>
      <c r="EU349" s="364"/>
      <c r="EV349" s="364"/>
      <c r="EW349" s="364"/>
      <c r="EX349" s="364"/>
      <c r="EY349" s="364"/>
      <c r="EZ349" s="364"/>
      <c r="FA349" s="364"/>
      <c r="FB349" s="364"/>
      <c r="FC349" s="364"/>
      <c r="FD349" s="364"/>
      <c r="FE349" s="364"/>
      <c r="FF349" s="364"/>
      <c r="FG349" s="364"/>
      <c r="FH349" s="364"/>
      <c r="FI349" s="364"/>
      <c r="FJ349" s="364"/>
      <c r="FK349" s="364"/>
      <c r="FL349" s="364"/>
      <c r="FM349" s="364"/>
      <c r="FN349" s="364"/>
      <c r="FO349" s="364"/>
      <c r="FP349" s="364"/>
      <c r="FQ349" s="364"/>
      <c r="FR349" s="364"/>
      <c r="FS349" s="364"/>
      <c r="FT349" s="364"/>
      <c r="FU349" s="364"/>
      <c r="FV349" s="364"/>
      <c r="FW349" s="364"/>
      <c r="FX349" s="364"/>
      <c r="FY349" s="364"/>
      <c r="FZ349" s="364"/>
      <c r="GA349" s="364"/>
      <c r="GB349" s="364"/>
      <c r="GC349" s="364"/>
      <c r="GD349" s="364"/>
      <c r="GE349" s="364"/>
      <c r="GF349" s="364"/>
      <c r="GG349" s="364"/>
      <c r="GH349" s="364"/>
      <c r="GI349" s="364"/>
      <c r="GJ349" s="364"/>
      <c r="GK349" s="364"/>
      <c r="GL349" s="364"/>
      <c r="GM349" s="364"/>
      <c r="GN349" s="364"/>
      <c r="GO349" s="364"/>
      <c r="GP349" s="364"/>
      <c r="GQ349" s="364"/>
      <c r="GR349" s="364"/>
      <c r="GS349" s="364"/>
      <c r="GT349" s="364"/>
      <c r="GU349" s="364"/>
      <c r="GV349" s="364"/>
      <c r="GW349" s="364"/>
      <c r="GX349" s="364"/>
      <c r="GY349" s="364"/>
      <c r="GZ349" s="364"/>
      <c r="HA349" s="364"/>
      <c r="HB349" s="364"/>
      <c r="HC349" s="364"/>
      <c r="HD349" s="364"/>
      <c r="HE349" s="364"/>
      <c r="HF349" s="364"/>
      <c r="HG349" s="364"/>
      <c r="HH349" s="364"/>
      <c r="HI349" s="364"/>
      <c r="HJ349" s="364"/>
      <c r="HK349" s="364"/>
      <c r="HL349" s="364"/>
    </row>
    <row r="350" spans="2:220" s="287" customFormat="1" ht="22.5" customHeight="1">
      <c r="B350" s="317">
        <v>250162</v>
      </c>
      <c r="C350" s="318" t="s">
        <v>14102</v>
      </c>
      <c r="D350" s="319"/>
      <c r="E350" s="320"/>
      <c r="F350" s="357" t="s">
        <v>267</v>
      </c>
      <c r="G350" s="322" t="s">
        <v>2085</v>
      </c>
      <c r="H350" s="322" t="s">
        <v>2086</v>
      </c>
      <c r="I350" s="322" t="s">
        <v>11</v>
      </c>
      <c r="J350" s="322" t="s">
        <v>216</v>
      </c>
      <c r="K350" s="326" t="s">
        <v>806</v>
      </c>
      <c r="L350" s="323"/>
      <c r="M350" s="350"/>
      <c r="N350" s="692">
        <v>3</v>
      </c>
      <c r="O350" s="693" t="s">
        <v>498</v>
      </c>
      <c r="P350" s="693" t="s">
        <v>498</v>
      </c>
      <c r="Q350" s="328" t="s">
        <v>498</v>
      </c>
      <c r="R350" s="694" t="s">
        <v>777</v>
      </c>
      <c r="S350" s="695"/>
      <c r="T350" s="695"/>
      <c r="U350" s="695"/>
      <c r="V350" s="695"/>
      <c r="W350" s="696" t="s">
        <v>800</v>
      </c>
      <c r="X350" s="697" t="s">
        <v>14103</v>
      </c>
      <c r="Y350" s="697" t="s">
        <v>14104</v>
      </c>
      <c r="Z350" s="695"/>
      <c r="AA350" s="697" t="s">
        <v>14105</v>
      </c>
      <c r="AB350" s="415"/>
      <c r="AC350" s="415"/>
      <c r="AD350" s="334" t="s">
        <v>2329</v>
      </c>
      <c r="AE350" s="698" t="s">
        <v>778</v>
      </c>
      <c r="AF350" s="699"/>
      <c r="AG350" s="700"/>
      <c r="AH350" s="701" t="s">
        <v>435</v>
      </c>
      <c r="AI350" s="702" t="s">
        <v>435</v>
      </c>
      <c r="AJ350" s="702" t="s">
        <v>498</v>
      </c>
      <c r="AK350" s="703" t="s">
        <v>435</v>
      </c>
      <c r="AL350" s="417" t="s">
        <v>210</v>
      </c>
      <c r="AM350" s="392" t="s">
        <v>210</v>
      </c>
      <c r="AN350" s="392" t="s">
        <v>210</v>
      </c>
      <c r="AO350" s="341" t="s">
        <v>210</v>
      </c>
      <c r="AP350" s="342"/>
      <c r="AQ350" s="343"/>
      <c r="AR350" s="344">
        <v>981</v>
      </c>
      <c r="AS350" s="322">
        <v>150</v>
      </c>
      <c r="AT350" s="702">
        <v>1</v>
      </c>
      <c r="AU350" s="702"/>
      <c r="AV350" s="702">
        <v>1.2</v>
      </c>
      <c r="AW350" s="703"/>
      <c r="AX350" s="347"/>
      <c r="AY350" s="348"/>
      <c r="AZ350" s="349"/>
      <c r="BA350" s="350"/>
      <c r="BB350" s="350"/>
      <c r="BC350" s="350"/>
      <c r="BD350" s="350"/>
      <c r="BE350" s="350"/>
      <c r="BF350" s="350"/>
      <c r="BG350" s="350"/>
      <c r="BH350" s="351"/>
      <c r="BI350" s="352"/>
      <c r="BJ350" s="353"/>
      <c r="BK350" s="354"/>
      <c r="BL350" s="355"/>
      <c r="BM350" s="356"/>
      <c r="BN350" s="321" t="s">
        <v>983</v>
      </c>
      <c r="BO350" s="372"/>
      <c r="BP350" s="340" t="s">
        <v>210</v>
      </c>
      <c r="BQ350" s="360"/>
      <c r="BR350" s="361"/>
      <c r="BS350" s="361"/>
      <c r="BT350" s="361"/>
      <c r="BU350" s="342" t="s">
        <v>210</v>
      </c>
      <c r="BV350" s="342" t="s">
        <v>210</v>
      </c>
      <c r="BW350" s="341" t="s">
        <v>15</v>
      </c>
      <c r="BX350" s="361"/>
      <c r="BY350" s="704"/>
      <c r="BZ350" s="363"/>
      <c r="CA350" s="363"/>
      <c r="CB350" s="363"/>
      <c r="CC350" s="363"/>
      <c r="CD350" s="293"/>
      <c r="CE350" s="364"/>
      <c r="CF350" s="364"/>
      <c r="CG350" s="364"/>
      <c r="CH350" s="364"/>
      <c r="CI350" s="364"/>
      <c r="CJ350" s="364"/>
      <c r="CK350" s="364"/>
      <c r="CL350" s="364"/>
      <c r="CM350" s="364"/>
      <c r="CN350" s="364"/>
      <c r="CO350" s="364"/>
      <c r="CP350" s="364"/>
      <c r="CQ350" s="364"/>
      <c r="CR350" s="364"/>
      <c r="CS350" s="364"/>
      <c r="CT350" s="364"/>
      <c r="CU350" s="364"/>
      <c r="CV350" s="364"/>
      <c r="CW350" s="364"/>
      <c r="CX350" s="364"/>
      <c r="CY350" s="364"/>
      <c r="CZ350" s="364"/>
      <c r="DA350" s="364"/>
      <c r="DB350" s="364"/>
      <c r="DC350" s="364"/>
      <c r="DD350" s="364"/>
      <c r="DE350" s="364"/>
      <c r="DF350" s="364"/>
      <c r="DG350" s="364"/>
      <c r="DH350" s="364"/>
      <c r="DI350" s="364"/>
      <c r="DJ350" s="364"/>
      <c r="DK350" s="364"/>
      <c r="DL350" s="364"/>
      <c r="DM350" s="364"/>
      <c r="DN350" s="364"/>
      <c r="DO350" s="364"/>
      <c r="DP350" s="364"/>
      <c r="DQ350" s="364"/>
      <c r="DR350" s="364"/>
      <c r="DS350" s="364"/>
      <c r="DT350" s="364"/>
      <c r="DU350" s="364"/>
      <c r="DV350" s="364"/>
      <c r="DW350" s="364"/>
      <c r="DX350" s="364"/>
      <c r="DY350" s="364"/>
      <c r="DZ350" s="364"/>
      <c r="EA350" s="364"/>
      <c r="EB350" s="364"/>
      <c r="EC350" s="364"/>
      <c r="ED350" s="364"/>
      <c r="EE350" s="364"/>
      <c r="EF350" s="364"/>
      <c r="EG350" s="364"/>
      <c r="EH350" s="364"/>
      <c r="EI350" s="364"/>
      <c r="EJ350" s="364"/>
      <c r="EK350" s="364"/>
      <c r="EL350" s="364"/>
      <c r="EM350" s="364"/>
      <c r="EN350" s="364"/>
      <c r="EO350" s="364"/>
      <c r="EP350" s="364"/>
      <c r="EQ350" s="364"/>
      <c r="ER350" s="364"/>
      <c r="ES350" s="364"/>
      <c r="ET350" s="364"/>
      <c r="EU350" s="364"/>
      <c r="EV350" s="364"/>
      <c r="EW350" s="364"/>
      <c r="EX350" s="364"/>
      <c r="EY350" s="364"/>
      <c r="EZ350" s="364"/>
      <c r="FA350" s="364"/>
      <c r="FB350" s="364"/>
      <c r="FC350" s="364"/>
      <c r="FD350" s="364"/>
      <c r="FE350" s="364"/>
      <c r="FF350" s="364"/>
      <c r="FG350" s="364"/>
      <c r="FH350" s="364"/>
      <c r="FI350" s="364"/>
      <c r="FJ350" s="364"/>
      <c r="FK350" s="364"/>
      <c r="FL350" s="364"/>
      <c r="FM350" s="364"/>
      <c r="FN350" s="364"/>
      <c r="FO350" s="364"/>
      <c r="FP350" s="364"/>
      <c r="FQ350" s="364"/>
      <c r="FR350" s="364"/>
      <c r="FS350" s="364"/>
      <c r="FT350" s="364"/>
      <c r="FU350" s="364"/>
      <c r="FV350" s="364"/>
      <c r="FW350" s="364"/>
      <c r="FX350" s="364"/>
      <c r="FY350" s="364"/>
      <c r="FZ350" s="364"/>
      <c r="GA350" s="364"/>
      <c r="GB350" s="364"/>
      <c r="GC350" s="364"/>
      <c r="GD350" s="364"/>
      <c r="GE350" s="364"/>
      <c r="GF350" s="364"/>
      <c r="GG350" s="364"/>
      <c r="GH350" s="364"/>
      <c r="GI350" s="364"/>
      <c r="GJ350" s="364"/>
      <c r="GK350" s="364"/>
      <c r="GL350" s="364"/>
      <c r="GM350" s="364"/>
      <c r="GN350" s="364"/>
      <c r="GO350" s="364"/>
      <c r="GP350" s="364"/>
      <c r="GQ350" s="364"/>
      <c r="GR350" s="364"/>
      <c r="GS350" s="364"/>
      <c r="GT350" s="364"/>
      <c r="GU350" s="364"/>
      <c r="GV350" s="364"/>
      <c r="GW350" s="364"/>
      <c r="GX350" s="364"/>
      <c r="GY350" s="364"/>
      <c r="GZ350" s="364"/>
      <c r="HA350" s="364"/>
      <c r="HB350" s="364"/>
      <c r="HC350" s="364"/>
      <c r="HD350" s="364"/>
      <c r="HE350" s="364"/>
      <c r="HF350" s="364"/>
      <c r="HG350" s="364"/>
      <c r="HH350" s="364"/>
      <c r="HI350" s="364"/>
      <c r="HJ350" s="364"/>
      <c r="HK350" s="364"/>
      <c r="HL350" s="364"/>
    </row>
    <row r="351" spans="2:220" s="287" customFormat="1" ht="22.5" customHeight="1">
      <c r="B351" s="365">
        <v>250163</v>
      </c>
      <c r="C351" s="366" t="s">
        <v>14354</v>
      </c>
      <c r="D351" s="367"/>
      <c r="E351" s="368"/>
      <c r="F351" s="321" t="s">
        <v>308</v>
      </c>
      <c r="G351" s="326" t="s">
        <v>2111</v>
      </c>
      <c r="H351" s="326" t="s">
        <v>2112</v>
      </c>
      <c r="I351" s="326" t="s">
        <v>11</v>
      </c>
      <c r="J351" s="326" t="s">
        <v>399</v>
      </c>
      <c r="K351" s="326" t="s">
        <v>324</v>
      </c>
      <c r="L351" s="323"/>
      <c r="M351" s="374"/>
      <c r="N351" s="325" t="s">
        <v>437</v>
      </c>
      <c r="O351" s="693" t="s">
        <v>210</v>
      </c>
      <c r="P351" s="693" t="s">
        <v>210</v>
      </c>
      <c r="Q351" s="328" t="s">
        <v>210</v>
      </c>
      <c r="R351" s="329" t="s">
        <v>552</v>
      </c>
      <c r="S351" s="330"/>
      <c r="T351" s="330"/>
      <c r="U351" s="330"/>
      <c r="V351" s="330"/>
      <c r="W351" s="332" t="s">
        <v>514</v>
      </c>
      <c r="X351" s="332" t="s">
        <v>11368</v>
      </c>
      <c r="Y351" s="331" t="s">
        <v>12872</v>
      </c>
      <c r="Z351" s="331" t="s">
        <v>12871</v>
      </c>
      <c r="AA351" s="332" t="s">
        <v>11371</v>
      </c>
      <c r="AB351" s="333"/>
      <c r="AC351" s="333"/>
      <c r="AD351" s="334" t="s">
        <v>337</v>
      </c>
      <c r="AE351" s="335" t="s">
        <v>309</v>
      </c>
      <c r="AF351" s="336"/>
      <c r="AG351" s="337"/>
      <c r="AH351" s="417" t="s">
        <v>435</v>
      </c>
      <c r="AI351" s="392" t="s">
        <v>435</v>
      </c>
      <c r="AJ351" s="392" t="s">
        <v>435</v>
      </c>
      <c r="AK351" s="340" t="s">
        <v>435</v>
      </c>
      <c r="AL351" s="417" t="s">
        <v>210</v>
      </c>
      <c r="AM351" s="392" t="s">
        <v>210</v>
      </c>
      <c r="AN351" s="392" t="s">
        <v>210</v>
      </c>
      <c r="AO351" s="341" t="s">
        <v>210</v>
      </c>
      <c r="AP351" s="342"/>
      <c r="AQ351" s="343"/>
      <c r="AR351" s="370">
        <v>3584</v>
      </c>
      <c r="AS351" s="326">
        <v>150</v>
      </c>
      <c r="AT351" s="392">
        <v>1</v>
      </c>
      <c r="AU351" s="392"/>
      <c r="AV351" s="392">
        <v>0.8</v>
      </c>
      <c r="AW351" s="340"/>
      <c r="AX351" s="347"/>
      <c r="AY351" s="348"/>
      <c r="AZ351" s="377"/>
      <c r="BA351" s="374"/>
      <c r="BB351" s="374"/>
      <c r="BC351" s="374"/>
      <c r="BD351" s="374"/>
      <c r="BE351" s="374"/>
      <c r="BF351" s="374"/>
      <c r="BG351" s="374"/>
      <c r="BH351" s="378"/>
      <c r="BI351" s="376"/>
      <c r="BJ351" s="379"/>
      <c r="BK351" s="380"/>
      <c r="BL351" s="348"/>
      <c r="BM351" s="381"/>
      <c r="BN351" s="321" t="s">
        <v>983</v>
      </c>
      <c r="BO351" s="372"/>
      <c r="BP351" s="373" t="s">
        <v>15</v>
      </c>
      <c r="BQ351" s="360"/>
      <c r="BR351" s="361"/>
      <c r="BS351" s="361"/>
      <c r="BT351" s="361"/>
      <c r="BU351" s="342" t="s">
        <v>210</v>
      </c>
      <c r="BV351" s="342" t="s">
        <v>210</v>
      </c>
      <c r="BW351" s="341" t="s">
        <v>15</v>
      </c>
      <c r="BX351" s="361"/>
      <c r="BY351" s="362"/>
      <c r="BZ351" s="363"/>
      <c r="CA351" s="363"/>
      <c r="CB351" s="363"/>
      <c r="CC351" s="363"/>
      <c r="CD351" s="293"/>
      <c r="CE351" s="364"/>
      <c r="CF351" s="364"/>
      <c r="CG351" s="364"/>
      <c r="CH351" s="364"/>
      <c r="CI351" s="364"/>
      <c r="CJ351" s="364"/>
      <c r="CK351" s="364"/>
      <c r="CL351" s="364"/>
      <c r="CM351" s="364"/>
      <c r="CN351" s="364"/>
      <c r="CO351" s="364"/>
      <c r="CP351" s="364"/>
      <c r="CQ351" s="364"/>
      <c r="CR351" s="364"/>
      <c r="CS351" s="364"/>
      <c r="CT351" s="364"/>
      <c r="CU351" s="364"/>
      <c r="CV351" s="364"/>
      <c r="CW351" s="364"/>
      <c r="CX351" s="364"/>
      <c r="CY351" s="364"/>
      <c r="CZ351" s="364"/>
      <c r="DA351" s="364"/>
      <c r="DB351" s="364"/>
      <c r="DC351" s="364"/>
      <c r="DD351" s="364"/>
      <c r="DE351" s="364"/>
      <c r="DF351" s="364"/>
      <c r="DG351" s="364"/>
      <c r="DH351" s="364"/>
      <c r="DI351" s="364"/>
      <c r="DJ351" s="364"/>
      <c r="DK351" s="364"/>
      <c r="DL351" s="364"/>
      <c r="DM351" s="364"/>
      <c r="DN351" s="364"/>
      <c r="DO351" s="364"/>
      <c r="DP351" s="364"/>
      <c r="DQ351" s="364"/>
      <c r="DR351" s="364"/>
      <c r="DS351" s="364"/>
      <c r="DT351" s="364"/>
      <c r="DU351" s="364"/>
      <c r="DV351" s="364"/>
      <c r="DW351" s="364"/>
      <c r="DX351" s="364"/>
      <c r="DY351" s="364"/>
      <c r="DZ351" s="364"/>
      <c r="EA351" s="364"/>
      <c r="EB351" s="364"/>
      <c r="EC351" s="364"/>
      <c r="ED351" s="364"/>
      <c r="EE351" s="364"/>
      <c r="EF351" s="364"/>
      <c r="EG351" s="364"/>
      <c r="EH351" s="364"/>
      <c r="EI351" s="364"/>
      <c r="EJ351" s="364"/>
      <c r="EK351" s="364"/>
      <c r="EL351" s="364"/>
      <c r="EM351" s="364"/>
      <c r="EN351" s="364"/>
      <c r="EO351" s="364"/>
      <c r="EP351" s="364"/>
      <c r="EQ351" s="364"/>
      <c r="ER351" s="364"/>
      <c r="ES351" s="364"/>
      <c r="ET351" s="364"/>
      <c r="EU351" s="364"/>
      <c r="EV351" s="364"/>
      <c r="EW351" s="364"/>
      <c r="EX351" s="364"/>
      <c r="EY351" s="364"/>
      <c r="EZ351" s="364"/>
      <c r="FA351" s="364"/>
      <c r="FB351" s="364"/>
      <c r="FC351" s="364"/>
      <c r="FD351" s="364"/>
      <c r="FE351" s="364"/>
      <c r="FF351" s="364"/>
      <c r="FG351" s="364"/>
      <c r="FH351" s="364"/>
      <c r="FI351" s="364"/>
      <c r="FJ351" s="364"/>
      <c r="FK351" s="364"/>
      <c r="FL351" s="364"/>
      <c r="FM351" s="364"/>
      <c r="FN351" s="364"/>
      <c r="FO351" s="364"/>
      <c r="FP351" s="364"/>
      <c r="FQ351" s="364"/>
      <c r="FR351" s="364"/>
      <c r="FS351" s="364"/>
      <c r="FT351" s="364"/>
      <c r="FU351" s="364"/>
      <c r="FV351" s="364"/>
      <c r="FW351" s="364"/>
      <c r="FX351" s="364"/>
      <c r="FY351" s="364"/>
      <c r="FZ351" s="364"/>
      <c r="GA351" s="364"/>
      <c r="GB351" s="364"/>
      <c r="GC351" s="364"/>
      <c r="GD351" s="364"/>
      <c r="GE351" s="364"/>
      <c r="GF351" s="364"/>
      <c r="GG351" s="364"/>
      <c r="GH351" s="364"/>
      <c r="GI351" s="364"/>
      <c r="GJ351" s="364"/>
      <c r="GK351" s="364"/>
      <c r="GL351" s="364"/>
      <c r="GM351" s="364"/>
      <c r="GN351" s="364"/>
      <c r="GO351" s="364"/>
      <c r="GP351" s="364"/>
      <c r="GQ351" s="364"/>
      <c r="GR351" s="364"/>
      <c r="GS351" s="364"/>
      <c r="GT351" s="364"/>
      <c r="GU351" s="364"/>
      <c r="GV351" s="364"/>
      <c r="GW351" s="364"/>
      <c r="GX351" s="364"/>
      <c r="GY351" s="364"/>
      <c r="GZ351" s="364"/>
      <c r="HA351" s="364"/>
      <c r="HB351" s="364"/>
      <c r="HC351" s="364"/>
      <c r="HD351" s="364"/>
      <c r="HE351" s="364"/>
      <c r="HF351" s="364"/>
      <c r="HG351" s="364"/>
      <c r="HH351" s="364"/>
      <c r="HI351" s="364"/>
      <c r="HJ351" s="364"/>
      <c r="HK351" s="364"/>
      <c r="HL351" s="364"/>
    </row>
    <row r="352" spans="2:220" s="287" customFormat="1" ht="22.5" customHeight="1">
      <c r="B352" s="365">
        <v>250164</v>
      </c>
      <c r="C352" s="366" t="s">
        <v>434</v>
      </c>
      <c r="D352" s="367"/>
      <c r="E352" s="368"/>
      <c r="F352" s="321" t="s">
        <v>233</v>
      </c>
      <c r="G352" s="326" t="s">
        <v>2109</v>
      </c>
      <c r="H352" s="326" t="s">
        <v>2110</v>
      </c>
      <c r="I352" s="326" t="s">
        <v>11</v>
      </c>
      <c r="J352" s="326" t="s">
        <v>399</v>
      </c>
      <c r="K352" s="326" t="s">
        <v>324</v>
      </c>
      <c r="L352" s="323"/>
      <c r="M352" s="324" t="s">
        <v>10767</v>
      </c>
      <c r="N352" s="325" t="s">
        <v>495</v>
      </c>
      <c r="O352" s="326">
        <v>25</v>
      </c>
      <c r="P352" s="327">
        <v>1168.5</v>
      </c>
      <c r="Q352" s="369">
        <v>1222.22</v>
      </c>
      <c r="R352" s="329" t="s">
        <v>799</v>
      </c>
      <c r="S352" s="394" t="s">
        <v>11204</v>
      </c>
      <c r="T352" s="394" t="s">
        <v>11205</v>
      </c>
      <c r="U352" s="394" t="s">
        <v>11207</v>
      </c>
      <c r="V352" s="394" t="s">
        <v>11206</v>
      </c>
      <c r="W352" s="332" t="s">
        <v>432</v>
      </c>
      <c r="X352" s="331" t="s">
        <v>11079</v>
      </c>
      <c r="Y352" s="331" t="s">
        <v>11080</v>
      </c>
      <c r="Z352" s="331" t="s">
        <v>11080</v>
      </c>
      <c r="AA352" s="331" t="s">
        <v>210</v>
      </c>
      <c r="AB352" s="333"/>
      <c r="AC352" s="333"/>
      <c r="AD352" s="334" t="s">
        <v>2325</v>
      </c>
      <c r="AE352" s="335" t="s">
        <v>309</v>
      </c>
      <c r="AF352" s="336"/>
      <c r="AG352" s="337"/>
      <c r="AH352" s="417">
        <v>6.8</v>
      </c>
      <c r="AI352" s="392">
        <v>18.3</v>
      </c>
      <c r="AJ352" s="392">
        <v>8.3000000000000007</v>
      </c>
      <c r="AK352" s="340">
        <f>SUM(AH352:AJ352)</f>
        <v>33.400000000000006</v>
      </c>
      <c r="AL352" s="417" t="s">
        <v>210</v>
      </c>
      <c r="AM352" s="392" t="s">
        <v>210</v>
      </c>
      <c r="AN352" s="392" t="s">
        <v>210</v>
      </c>
      <c r="AO352" s="341" t="s">
        <v>210</v>
      </c>
      <c r="AP352" s="342"/>
      <c r="AQ352" s="343"/>
      <c r="AR352" s="370">
        <v>1467</v>
      </c>
      <c r="AS352" s="326">
        <v>100</v>
      </c>
      <c r="AT352" s="392">
        <v>0.8</v>
      </c>
      <c r="AU352" s="392"/>
      <c r="AV352" s="392">
        <v>1</v>
      </c>
      <c r="AW352" s="340"/>
      <c r="AX352" s="347"/>
      <c r="AY352" s="348"/>
      <c r="AZ352" s="377"/>
      <c r="BA352" s="374"/>
      <c r="BB352" s="374"/>
      <c r="BC352" s="374"/>
      <c r="BD352" s="374"/>
      <c r="BE352" s="374"/>
      <c r="BF352" s="374"/>
      <c r="BG352" s="374"/>
      <c r="BH352" s="378"/>
      <c r="BI352" s="376"/>
      <c r="BJ352" s="379"/>
      <c r="BK352" s="380"/>
      <c r="BL352" s="348"/>
      <c r="BM352" s="381"/>
      <c r="BN352" s="321" t="s">
        <v>983</v>
      </c>
      <c r="BO352" s="372"/>
      <c r="BP352" s="373" t="s">
        <v>15</v>
      </c>
      <c r="BQ352" s="360"/>
      <c r="BR352" s="361"/>
      <c r="BS352" s="361"/>
      <c r="BT352" s="361"/>
      <c r="BU352" s="342" t="s">
        <v>210</v>
      </c>
      <c r="BV352" s="342" t="s">
        <v>210</v>
      </c>
      <c r="BW352" s="341" t="s">
        <v>15</v>
      </c>
      <c r="BX352" s="361"/>
      <c r="BY352" s="362"/>
      <c r="BZ352" s="363"/>
      <c r="CA352" s="363"/>
      <c r="CB352" s="363"/>
      <c r="CC352" s="363"/>
      <c r="CD352" s="293"/>
      <c r="CE352" s="364"/>
      <c r="CF352" s="364"/>
      <c r="CG352" s="364"/>
      <c r="CH352" s="364"/>
      <c r="CI352" s="364"/>
      <c r="CJ352" s="364"/>
      <c r="CK352" s="364"/>
      <c r="CL352" s="364"/>
      <c r="CM352" s="364"/>
      <c r="CN352" s="364"/>
      <c r="CO352" s="364"/>
      <c r="CP352" s="364"/>
      <c r="CQ352" s="364"/>
      <c r="CR352" s="364"/>
      <c r="CS352" s="364"/>
      <c r="CT352" s="364"/>
      <c r="CU352" s="364"/>
      <c r="CV352" s="364"/>
      <c r="CW352" s="364"/>
      <c r="CX352" s="364"/>
      <c r="CY352" s="364"/>
      <c r="CZ352" s="364"/>
      <c r="DA352" s="364"/>
      <c r="DB352" s="364"/>
      <c r="DC352" s="364"/>
      <c r="DD352" s="364"/>
      <c r="DE352" s="364"/>
      <c r="DF352" s="364"/>
      <c r="DG352" s="364"/>
      <c r="DH352" s="364"/>
      <c r="DI352" s="364"/>
      <c r="DJ352" s="364"/>
      <c r="DK352" s="364"/>
      <c r="DL352" s="364"/>
      <c r="DM352" s="364"/>
      <c r="DN352" s="364"/>
      <c r="DO352" s="364"/>
      <c r="DP352" s="364"/>
      <c r="DQ352" s="364"/>
      <c r="DR352" s="364"/>
      <c r="DS352" s="364"/>
      <c r="DT352" s="364"/>
      <c r="DU352" s="364"/>
      <c r="DV352" s="364"/>
      <c r="DW352" s="364"/>
      <c r="DX352" s="364"/>
      <c r="DY352" s="364"/>
      <c r="DZ352" s="364"/>
      <c r="EA352" s="364"/>
      <c r="EB352" s="364"/>
      <c r="EC352" s="364"/>
      <c r="ED352" s="364"/>
      <c r="EE352" s="364"/>
      <c r="EF352" s="364"/>
      <c r="EG352" s="364"/>
      <c r="EH352" s="364"/>
      <c r="EI352" s="364"/>
      <c r="EJ352" s="364"/>
      <c r="EK352" s="364"/>
      <c r="EL352" s="364"/>
      <c r="EM352" s="364"/>
      <c r="EN352" s="364"/>
      <c r="EO352" s="364"/>
      <c r="EP352" s="364"/>
      <c r="EQ352" s="364"/>
      <c r="ER352" s="364"/>
      <c r="ES352" s="364"/>
      <c r="ET352" s="364"/>
      <c r="EU352" s="364"/>
      <c r="EV352" s="364"/>
      <c r="EW352" s="364"/>
      <c r="EX352" s="364"/>
      <c r="EY352" s="364"/>
      <c r="EZ352" s="364"/>
      <c r="FA352" s="364"/>
      <c r="FB352" s="364"/>
      <c r="FC352" s="364"/>
      <c r="FD352" s="364"/>
      <c r="FE352" s="364"/>
      <c r="FF352" s="364"/>
      <c r="FG352" s="364"/>
      <c r="FH352" s="364"/>
      <c r="FI352" s="364"/>
      <c r="FJ352" s="364"/>
      <c r="FK352" s="364"/>
      <c r="FL352" s="364"/>
      <c r="FM352" s="364"/>
      <c r="FN352" s="364"/>
      <c r="FO352" s="364"/>
      <c r="FP352" s="364"/>
      <c r="FQ352" s="364"/>
      <c r="FR352" s="364"/>
      <c r="FS352" s="364"/>
      <c r="FT352" s="364"/>
      <c r="FU352" s="364"/>
      <c r="FV352" s="364"/>
      <c r="FW352" s="364"/>
      <c r="FX352" s="364"/>
      <c r="FY352" s="364"/>
      <c r="FZ352" s="364"/>
      <c r="GA352" s="364"/>
      <c r="GB352" s="364"/>
      <c r="GC352" s="364"/>
      <c r="GD352" s="364"/>
      <c r="GE352" s="364"/>
      <c r="GF352" s="364"/>
      <c r="GG352" s="364"/>
      <c r="GH352" s="364"/>
      <c r="GI352" s="364"/>
      <c r="GJ352" s="364"/>
      <c r="GK352" s="364"/>
      <c r="GL352" s="364"/>
      <c r="GM352" s="364"/>
      <c r="GN352" s="364"/>
      <c r="GO352" s="364"/>
      <c r="GP352" s="364"/>
      <c r="GQ352" s="364"/>
      <c r="GR352" s="364"/>
      <c r="GS352" s="364"/>
      <c r="GT352" s="364"/>
      <c r="GU352" s="364"/>
      <c r="GV352" s="364"/>
      <c r="GW352" s="364"/>
      <c r="GX352" s="364"/>
      <c r="GY352" s="364"/>
      <c r="GZ352" s="364"/>
      <c r="HA352" s="364"/>
      <c r="HB352" s="364"/>
      <c r="HC352" s="364"/>
      <c r="HD352" s="364"/>
      <c r="HE352" s="364"/>
      <c r="HF352" s="364"/>
      <c r="HG352" s="364"/>
      <c r="HH352" s="364"/>
      <c r="HI352" s="364"/>
      <c r="HJ352" s="364"/>
      <c r="HK352" s="364"/>
      <c r="HL352" s="364"/>
    </row>
    <row r="353" spans="2:220" s="287" customFormat="1" ht="22.5" customHeight="1">
      <c r="B353" s="365">
        <v>250165</v>
      </c>
      <c r="C353" s="366" t="s">
        <v>14069</v>
      </c>
      <c r="D353" s="367"/>
      <c r="E353" s="368"/>
      <c r="F353" s="321" t="s">
        <v>237</v>
      </c>
      <c r="G353" s="326" t="s">
        <v>2107</v>
      </c>
      <c r="H353" s="326" t="s">
        <v>2108</v>
      </c>
      <c r="I353" s="326" t="s">
        <v>11</v>
      </c>
      <c r="J353" s="326" t="s">
        <v>414</v>
      </c>
      <c r="K353" s="326" t="s">
        <v>418</v>
      </c>
      <c r="L353" s="323"/>
      <c r="M353" s="374"/>
      <c r="N353" s="325" t="s">
        <v>437</v>
      </c>
      <c r="O353" s="327" t="s">
        <v>498</v>
      </c>
      <c r="P353" s="327">
        <v>411.54</v>
      </c>
      <c r="Q353" s="369">
        <v>381.38</v>
      </c>
      <c r="R353" s="329" t="s">
        <v>1099</v>
      </c>
      <c r="S353" s="331" t="s">
        <v>14039</v>
      </c>
      <c r="T353" s="331" t="s">
        <v>14040</v>
      </c>
      <c r="U353" s="331" t="s">
        <v>14041</v>
      </c>
      <c r="V353" s="331" t="s">
        <v>14042</v>
      </c>
      <c r="W353" s="645"/>
      <c r="X353" s="330"/>
      <c r="Y353" s="330"/>
      <c r="Z353" s="330"/>
      <c r="AA353" s="330"/>
      <c r="AB353" s="333"/>
      <c r="AC353" s="333"/>
      <c r="AD353" s="334" t="s">
        <v>863</v>
      </c>
      <c r="AE353" s="335" t="s">
        <v>776</v>
      </c>
      <c r="AF353" s="336"/>
      <c r="AG353" s="337"/>
      <c r="AH353" s="417" t="s">
        <v>435</v>
      </c>
      <c r="AI353" s="392" t="s">
        <v>435</v>
      </c>
      <c r="AJ353" s="392" t="s">
        <v>435</v>
      </c>
      <c r="AK353" s="340" t="s">
        <v>435</v>
      </c>
      <c r="AL353" s="417" t="s">
        <v>210</v>
      </c>
      <c r="AM353" s="392" t="s">
        <v>210</v>
      </c>
      <c r="AN353" s="326" t="s">
        <v>983</v>
      </c>
      <c r="AO353" s="341" t="s">
        <v>210</v>
      </c>
      <c r="AP353" s="342"/>
      <c r="AQ353" s="343"/>
      <c r="AR353" s="370">
        <v>617</v>
      </c>
      <c r="AS353" s="326">
        <v>100</v>
      </c>
      <c r="AT353" s="392">
        <v>1</v>
      </c>
      <c r="AU353" s="392"/>
      <c r="AV353" s="392">
        <v>1.5</v>
      </c>
      <c r="AW353" s="340"/>
      <c r="AX353" s="347"/>
      <c r="AY353" s="348"/>
      <c r="AZ353" s="405" t="s">
        <v>3367</v>
      </c>
      <c r="BA353" s="324" t="s">
        <v>210</v>
      </c>
      <c r="BB353" s="324" t="s">
        <v>210</v>
      </c>
      <c r="BC353" s="324" t="s">
        <v>8199</v>
      </c>
      <c r="BD353" s="326" t="s">
        <v>10388</v>
      </c>
      <c r="BE353" s="324" t="s">
        <v>210</v>
      </c>
      <c r="BF353" s="324" t="s">
        <v>210</v>
      </c>
      <c r="BG353" s="326" t="s">
        <v>10389</v>
      </c>
      <c r="BH353" s="373" t="s">
        <v>10390</v>
      </c>
      <c r="BI353" s="376"/>
      <c r="BJ353" s="379"/>
      <c r="BK353" s="380"/>
      <c r="BL353" s="348"/>
      <c r="BM353" s="381"/>
      <c r="BN353" s="321" t="s">
        <v>983</v>
      </c>
      <c r="BO353" s="372"/>
      <c r="BP353" s="373" t="s">
        <v>983</v>
      </c>
      <c r="BQ353" s="360"/>
      <c r="BR353" s="361"/>
      <c r="BS353" s="361"/>
      <c r="BT353" s="361"/>
      <c r="BU353" s="342" t="s">
        <v>210</v>
      </c>
      <c r="BV353" s="342" t="s">
        <v>210</v>
      </c>
      <c r="BW353" s="490" t="s">
        <v>622</v>
      </c>
      <c r="BX353" s="361"/>
      <c r="BY353" s="362"/>
      <c r="BZ353" s="363"/>
      <c r="CA353" s="363"/>
      <c r="CB353" s="363"/>
      <c r="CC353" s="363"/>
      <c r="CD353" s="293"/>
      <c r="CE353" s="364"/>
      <c r="CF353" s="364"/>
      <c r="CG353" s="364"/>
      <c r="CH353" s="364"/>
      <c r="CI353" s="364"/>
      <c r="CJ353" s="364"/>
      <c r="CK353" s="364"/>
      <c r="CL353" s="364"/>
      <c r="CM353" s="364"/>
      <c r="CN353" s="364"/>
      <c r="CO353" s="364"/>
      <c r="CP353" s="364"/>
      <c r="CQ353" s="364"/>
      <c r="CR353" s="364"/>
      <c r="CS353" s="364"/>
      <c r="CT353" s="364"/>
      <c r="CU353" s="364"/>
      <c r="CV353" s="364"/>
      <c r="CW353" s="364"/>
      <c r="CX353" s="364"/>
      <c r="CY353" s="364"/>
      <c r="CZ353" s="364"/>
      <c r="DA353" s="364"/>
      <c r="DB353" s="364"/>
      <c r="DC353" s="364"/>
      <c r="DD353" s="364"/>
      <c r="DE353" s="364"/>
      <c r="DF353" s="364"/>
      <c r="DG353" s="364"/>
      <c r="DH353" s="364"/>
      <c r="DI353" s="364"/>
      <c r="DJ353" s="364"/>
      <c r="DK353" s="364"/>
      <c r="DL353" s="364"/>
      <c r="DM353" s="364"/>
      <c r="DN353" s="364"/>
      <c r="DO353" s="364"/>
      <c r="DP353" s="364"/>
      <c r="DQ353" s="364"/>
      <c r="DR353" s="364"/>
      <c r="DS353" s="364"/>
      <c r="DT353" s="364"/>
      <c r="DU353" s="364"/>
      <c r="DV353" s="364"/>
      <c r="DW353" s="364"/>
      <c r="DX353" s="364"/>
      <c r="DY353" s="364"/>
      <c r="DZ353" s="364"/>
      <c r="EA353" s="364"/>
      <c r="EB353" s="364"/>
      <c r="EC353" s="364"/>
      <c r="ED353" s="364"/>
      <c r="EE353" s="364"/>
      <c r="EF353" s="364"/>
      <c r="EG353" s="364"/>
      <c r="EH353" s="364"/>
      <c r="EI353" s="364"/>
      <c r="EJ353" s="364"/>
      <c r="EK353" s="364"/>
      <c r="EL353" s="364"/>
      <c r="EM353" s="364"/>
      <c r="EN353" s="364"/>
      <c r="EO353" s="364"/>
      <c r="EP353" s="364"/>
      <c r="EQ353" s="364"/>
      <c r="ER353" s="364"/>
      <c r="ES353" s="364"/>
      <c r="ET353" s="364"/>
      <c r="EU353" s="364"/>
      <c r="EV353" s="364"/>
      <c r="EW353" s="364"/>
      <c r="EX353" s="364"/>
      <c r="EY353" s="364"/>
      <c r="EZ353" s="364"/>
      <c r="FA353" s="364"/>
      <c r="FB353" s="364"/>
      <c r="FC353" s="364"/>
      <c r="FD353" s="364"/>
      <c r="FE353" s="364"/>
      <c r="FF353" s="364"/>
      <c r="FG353" s="364"/>
      <c r="FH353" s="364"/>
      <c r="FI353" s="364"/>
      <c r="FJ353" s="364"/>
      <c r="FK353" s="364"/>
      <c r="FL353" s="364"/>
      <c r="FM353" s="364"/>
      <c r="FN353" s="364"/>
      <c r="FO353" s="364"/>
      <c r="FP353" s="364"/>
      <c r="FQ353" s="364"/>
      <c r="FR353" s="364"/>
      <c r="FS353" s="364"/>
      <c r="FT353" s="364"/>
      <c r="FU353" s="364"/>
      <c r="FV353" s="364"/>
      <c r="FW353" s="364"/>
      <c r="FX353" s="364"/>
      <c r="FY353" s="364"/>
      <c r="FZ353" s="364"/>
      <c r="GA353" s="364"/>
      <c r="GB353" s="364"/>
      <c r="GC353" s="364"/>
      <c r="GD353" s="364"/>
      <c r="GE353" s="364"/>
      <c r="GF353" s="364"/>
      <c r="GG353" s="364"/>
      <c r="GH353" s="364"/>
      <c r="GI353" s="364"/>
      <c r="GJ353" s="364"/>
      <c r="GK353" s="364"/>
      <c r="GL353" s="364"/>
      <c r="GM353" s="364"/>
      <c r="GN353" s="364"/>
      <c r="GO353" s="364"/>
      <c r="GP353" s="364"/>
      <c r="GQ353" s="364"/>
      <c r="GR353" s="364"/>
      <c r="GS353" s="364"/>
      <c r="GT353" s="364"/>
      <c r="GU353" s="364"/>
      <c r="GV353" s="364"/>
      <c r="GW353" s="364"/>
      <c r="GX353" s="364"/>
      <c r="GY353" s="364"/>
      <c r="GZ353" s="364"/>
      <c r="HA353" s="364"/>
      <c r="HB353" s="364"/>
      <c r="HC353" s="364"/>
      <c r="HD353" s="364"/>
      <c r="HE353" s="364"/>
      <c r="HF353" s="364"/>
      <c r="HG353" s="364"/>
      <c r="HH353" s="364"/>
      <c r="HI353" s="364"/>
      <c r="HJ353" s="364"/>
      <c r="HK353" s="364"/>
      <c r="HL353" s="364"/>
    </row>
    <row r="354" spans="2:220" s="287" customFormat="1" ht="22.5" customHeight="1">
      <c r="B354" s="365">
        <v>250166</v>
      </c>
      <c r="C354" s="366" t="s">
        <v>14659</v>
      </c>
      <c r="D354" s="367"/>
      <c r="E354" s="368"/>
      <c r="F354" s="321" t="s">
        <v>225</v>
      </c>
      <c r="G354" s="326" t="s">
        <v>2105</v>
      </c>
      <c r="H354" s="326" t="s">
        <v>2106</v>
      </c>
      <c r="I354" s="326" t="s">
        <v>11</v>
      </c>
      <c r="J354" s="326" t="s">
        <v>399</v>
      </c>
      <c r="K354" s="326" t="s">
        <v>405</v>
      </c>
      <c r="L354" s="323"/>
      <c r="M354" s="374"/>
      <c r="N354" s="390"/>
      <c r="O354" s="327" t="s">
        <v>210</v>
      </c>
      <c r="P354" s="327">
        <v>213.79</v>
      </c>
      <c r="Q354" s="369">
        <v>213.79</v>
      </c>
      <c r="R354" s="399"/>
      <c r="S354" s="400"/>
      <c r="T354" s="400"/>
      <c r="U354" s="400"/>
      <c r="V354" s="400"/>
      <c r="W354" s="332" t="s">
        <v>15694</v>
      </c>
      <c r="X354" s="331" t="s">
        <v>14660</v>
      </c>
      <c r="Y354" s="394" t="s">
        <v>14662</v>
      </c>
      <c r="Z354" s="394" t="s">
        <v>16350</v>
      </c>
      <c r="AA354" s="394" t="s">
        <v>14661</v>
      </c>
      <c r="AB354" s="333"/>
      <c r="AC354" s="416"/>
      <c r="AD354" s="375"/>
      <c r="AE354" s="391"/>
      <c r="AF354" s="336"/>
      <c r="AG354" s="337"/>
      <c r="AH354" s="417" t="s">
        <v>435</v>
      </c>
      <c r="AI354" s="392" t="s">
        <v>435</v>
      </c>
      <c r="AJ354" s="392" t="s">
        <v>435</v>
      </c>
      <c r="AK354" s="340" t="s">
        <v>435</v>
      </c>
      <c r="AL354" s="417" t="s">
        <v>210</v>
      </c>
      <c r="AM354" s="392" t="s">
        <v>210</v>
      </c>
      <c r="AN354" s="392" t="s">
        <v>210</v>
      </c>
      <c r="AO354" s="341" t="s">
        <v>210</v>
      </c>
      <c r="AP354" s="342"/>
      <c r="AQ354" s="343"/>
      <c r="AR354" s="370">
        <v>245</v>
      </c>
      <c r="AS354" s="326">
        <v>100</v>
      </c>
      <c r="AT354" s="392">
        <v>1</v>
      </c>
      <c r="AU354" s="392"/>
      <c r="AV354" s="392">
        <v>1.5</v>
      </c>
      <c r="AW354" s="340"/>
      <c r="AX354" s="347"/>
      <c r="AY354" s="348"/>
      <c r="AZ354" s="377"/>
      <c r="BA354" s="374"/>
      <c r="BB354" s="374"/>
      <c r="BC354" s="374"/>
      <c r="BD354" s="374"/>
      <c r="BE354" s="374"/>
      <c r="BF354" s="374"/>
      <c r="BG354" s="374"/>
      <c r="BH354" s="378"/>
      <c r="BI354" s="376"/>
      <c r="BJ354" s="379"/>
      <c r="BK354" s="380"/>
      <c r="BL354" s="348"/>
      <c r="BM354" s="381"/>
      <c r="BN354" s="321" t="s">
        <v>983</v>
      </c>
      <c r="BO354" s="372"/>
      <c r="BP354" s="373" t="s">
        <v>15</v>
      </c>
      <c r="BQ354" s="360"/>
      <c r="BR354" s="361"/>
      <c r="BS354" s="361"/>
      <c r="BT354" s="361"/>
      <c r="BU354" s="342" t="s">
        <v>210</v>
      </c>
      <c r="BV354" s="342" t="s">
        <v>210</v>
      </c>
      <c r="BW354" s="341" t="s">
        <v>15</v>
      </c>
      <c r="BX354" s="361"/>
      <c r="BY354" s="362"/>
      <c r="BZ354" s="363"/>
      <c r="CA354" s="363"/>
      <c r="CB354" s="363"/>
      <c r="CC354" s="363"/>
      <c r="CD354" s="293"/>
      <c r="CE354" s="364"/>
      <c r="CF354" s="364"/>
      <c r="CG354" s="364"/>
      <c r="CH354" s="364"/>
      <c r="CI354" s="364"/>
      <c r="CJ354" s="364"/>
      <c r="CK354" s="364"/>
      <c r="CL354" s="364"/>
      <c r="CM354" s="364"/>
      <c r="CN354" s="364"/>
      <c r="CO354" s="364"/>
      <c r="CP354" s="364"/>
      <c r="CQ354" s="364"/>
      <c r="CR354" s="364"/>
      <c r="CS354" s="364"/>
      <c r="CT354" s="364"/>
      <c r="CU354" s="364"/>
      <c r="CV354" s="364"/>
      <c r="CW354" s="364"/>
      <c r="CX354" s="364"/>
      <c r="CY354" s="364"/>
      <c r="CZ354" s="364"/>
      <c r="DA354" s="364"/>
      <c r="DB354" s="364"/>
      <c r="DC354" s="364"/>
      <c r="DD354" s="364"/>
      <c r="DE354" s="364"/>
      <c r="DF354" s="364"/>
      <c r="DG354" s="364"/>
      <c r="DH354" s="364"/>
      <c r="DI354" s="364"/>
      <c r="DJ354" s="364"/>
      <c r="DK354" s="364"/>
      <c r="DL354" s="364"/>
      <c r="DM354" s="364"/>
      <c r="DN354" s="364"/>
      <c r="DO354" s="364"/>
      <c r="DP354" s="364"/>
      <c r="DQ354" s="364"/>
      <c r="DR354" s="364"/>
      <c r="DS354" s="364"/>
      <c r="DT354" s="364"/>
      <c r="DU354" s="364"/>
      <c r="DV354" s="364"/>
      <c r="DW354" s="364"/>
      <c r="DX354" s="364"/>
      <c r="DY354" s="364"/>
      <c r="DZ354" s="364"/>
      <c r="EA354" s="364"/>
      <c r="EB354" s="364"/>
      <c r="EC354" s="364"/>
      <c r="ED354" s="364"/>
      <c r="EE354" s="364"/>
      <c r="EF354" s="364"/>
      <c r="EG354" s="364"/>
      <c r="EH354" s="364"/>
      <c r="EI354" s="364"/>
      <c r="EJ354" s="364"/>
      <c r="EK354" s="364"/>
      <c r="EL354" s="364"/>
      <c r="EM354" s="364"/>
      <c r="EN354" s="364"/>
      <c r="EO354" s="364"/>
      <c r="EP354" s="364"/>
      <c r="EQ354" s="364"/>
      <c r="ER354" s="364"/>
      <c r="ES354" s="364"/>
      <c r="ET354" s="364"/>
      <c r="EU354" s="364"/>
      <c r="EV354" s="364"/>
      <c r="EW354" s="364"/>
      <c r="EX354" s="364"/>
      <c r="EY354" s="364"/>
      <c r="EZ354" s="364"/>
      <c r="FA354" s="364"/>
      <c r="FB354" s="364"/>
      <c r="FC354" s="364"/>
      <c r="FD354" s="364"/>
      <c r="FE354" s="364"/>
      <c r="FF354" s="364"/>
      <c r="FG354" s="364"/>
      <c r="FH354" s="364"/>
      <c r="FI354" s="364"/>
      <c r="FJ354" s="364"/>
      <c r="FK354" s="364"/>
      <c r="FL354" s="364"/>
      <c r="FM354" s="364"/>
      <c r="FN354" s="364"/>
      <c r="FO354" s="364"/>
      <c r="FP354" s="364"/>
      <c r="FQ354" s="364"/>
      <c r="FR354" s="364"/>
      <c r="FS354" s="364"/>
      <c r="FT354" s="364"/>
      <c r="FU354" s="364"/>
      <c r="FV354" s="364"/>
      <c r="FW354" s="364"/>
      <c r="FX354" s="364"/>
      <c r="FY354" s="364"/>
      <c r="FZ354" s="364"/>
      <c r="GA354" s="364"/>
      <c r="GB354" s="364"/>
      <c r="GC354" s="364"/>
      <c r="GD354" s="364"/>
      <c r="GE354" s="364"/>
      <c r="GF354" s="364"/>
      <c r="GG354" s="364"/>
      <c r="GH354" s="364"/>
      <c r="GI354" s="364"/>
      <c r="GJ354" s="364"/>
      <c r="GK354" s="364"/>
      <c r="GL354" s="364"/>
      <c r="GM354" s="364"/>
      <c r="GN354" s="364"/>
      <c r="GO354" s="364"/>
      <c r="GP354" s="364"/>
      <c r="GQ354" s="364"/>
      <c r="GR354" s="364"/>
      <c r="GS354" s="364"/>
      <c r="GT354" s="364"/>
      <c r="GU354" s="364"/>
      <c r="GV354" s="364"/>
      <c r="GW354" s="364"/>
      <c r="GX354" s="364"/>
      <c r="GY354" s="364"/>
      <c r="GZ354" s="364"/>
      <c r="HA354" s="364"/>
      <c r="HB354" s="364"/>
      <c r="HC354" s="364"/>
      <c r="HD354" s="364"/>
      <c r="HE354" s="364"/>
      <c r="HF354" s="364"/>
      <c r="HG354" s="364"/>
      <c r="HH354" s="364"/>
      <c r="HI354" s="364"/>
      <c r="HJ354" s="364"/>
      <c r="HK354" s="364"/>
      <c r="HL354" s="364"/>
    </row>
    <row r="355" spans="2:220" s="287" customFormat="1" ht="22.5" customHeight="1">
      <c r="B355" s="365">
        <v>250167</v>
      </c>
      <c r="C355" s="366" t="s">
        <v>14064</v>
      </c>
      <c r="D355" s="367"/>
      <c r="E355" s="368"/>
      <c r="F355" s="321" t="s">
        <v>250</v>
      </c>
      <c r="G355" s="326" t="s">
        <v>1809</v>
      </c>
      <c r="H355" s="326" t="s">
        <v>2084</v>
      </c>
      <c r="I355" s="326" t="s">
        <v>11</v>
      </c>
      <c r="J355" s="326" t="s">
        <v>390</v>
      </c>
      <c r="K355" s="326" t="s">
        <v>419</v>
      </c>
      <c r="L355" s="323"/>
      <c r="M355" s="374"/>
      <c r="N355" s="325" t="s">
        <v>438</v>
      </c>
      <c r="O355" s="327" t="s">
        <v>498</v>
      </c>
      <c r="P355" s="327" t="s">
        <v>498</v>
      </c>
      <c r="Q355" s="369" t="s">
        <v>498</v>
      </c>
      <c r="R355" s="329" t="s">
        <v>1670</v>
      </c>
      <c r="S355" s="331" t="s">
        <v>13030</v>
      </c>
      <c r="T355" s="394" t="s">
        <v>11940</v>
      </c>
      <c r="U355" s="394" t="s">
        <v>16215</v>
      </c>
      <c r="V355" s="331" t="s">
        <v>13029</v>
      </c>
      <c r="W355" s="332" t="s">
        <v>729</v>
      </c>
      <c r="X355" s="331" t="s">
        <v>14065</v>
      </c>
      <c r="Y355" s="331" t="s">
        <v>14066</v>
      </c>
      <c r="Z355" s="331" t="s">
        <v>14067</v>
      </c>
      <c r="AA355" s="331" t="s">
        <v>14068</v>
      </c>
      <c r="AB355" s="333" t="s">
        <v>728</v>
      </c>
      <c r="AC355" s="333"/>
      <c r="AD355" s="334" t="s">
        <v>726</v>
      </c>
      <c r="AE355" s="335" t="s">
        <v>727</v>
      </c>
      <c r="AF355" s="336"/>
      <c r="AG355" s="337"/>
      <c r="AH355" s="417" t="s">
        <v>435</v>
      </c>
      <c r="AI355" s="392" t="s">
        <v>435</v>
      </c>
      <c r="AJ355" s="392" t="s">
        <v>435</v>
      </c>
      <c r="AK355" s="340" t="s">
        <v>435</v>
      </c>
      <c r="AL355" s="417" t="s">
        <v>210</v>
      </c>
      <c r="AM355" s="392" t="s">
        <v>210</v>
      </c>
      <c r="AN355" s="392" t="s">
        <v>210</v>
      </c>
      <c r="AO355" s="341" t="s">
        <v>210</v>
      </c>
      <c r="AP355" s="342"/>
      <c r="AQ355" s="343"/>
      <c r="AR355" s="370">
        <v>485</v>
      </c>
      <c r="AS355" s="326">
        <v>100</v>
      </c>
      <c r="AT355" s="392">
        <v>1</v>
      </c>
      <c r="AU355" s="392"/>
      <c r="AV355" s="392">
        <v>1.8</v>
      </c>
      <c r="AW355" s="340"/>
      <c r="AX355" s="347"/>
      <c r="AY355" s="348"/>
      <c r="AZ355" s="377"/>
      <c r="BA355" s="374"/>
      <c r="BB355" s="374"/>
      <c r="BC355" s="374"/>
      <c r="BD355" s="374"/>
      <c r="BE355" s="374"/>
      <c r="BF355" s="374"/>
      <c r="BG355" s="374"/>
      <c r="BH355" s="378"/>
      <c r="BI355" s="376"/>
      <c r="BJ355" s="379"/>
      <c r="BK355" s="380"/>
      <c r="BL355" s="348"/>
      <c r="BM355" s="381"/>
      <c r="BN355" s="321" t="s">
        <v>983</v>
      </c>
      <c r="BO355" s="372"/>
      <c r="BP355" s="373" t="s">
        <v>983</v>
      </c>
      <c r="BQ355" s="360"/>
      <c r="BR355" s="361"/>
      <c r="BS355" s="361"/>
      <c r="BT355" s="361"/>
      <c r="BU355" s="342" t="s">
        <v>210</v>
      </c>
      <c r="BV355" s="342" t="s">
        <v>210</v>
      </c>
      <c r="BW355" s="341" t="s">
        <v>15</v>
      </c>
      <c r="BX355" s="361"/>
      <c r="BY355" s="362"/>
      <c r="BZ355" s="363"/>
      <c r="CA355" s="363"/>
      <c r="CB355" s="363"/>
      <c r="CC355" s="363"/>
      <c r="CD355" s="293"/>
      <c r="CE355" s="364"/>
      <c r="CF355" s="364"/>
      <c r="CG355" s="364"/>
      <c r="CH355" s="364"/>
      <c r="CI355" s="364"/>
      <c r="CJ355" s="364"/>
      <c r="CK355" s="364"/>
      <c r="CL355" s="364"/>
      <c r="CM355" s="364"/>
      <c r="CN355" s="364"/>
      <c r="CO355" s="364"/>
      <c r="CP355" s="364"/>
      <c r="CQ355" s="364"/>
      <c r="CR355" s="364"/>
      <c r="CS355" s="364"/>
      <c r="CT355" s="364"/>
      <c r="CU355" s="364"/>
      <c r="CV355" s="364"/>
      <c r="CW355" s="364"/>
      <c r="CX355" s="364"/>
      <c r="CY355" s="364"/>
      <c r="CZ355" s="364"/>
      <c r="DA355" s="364"/>
      <c r="DB355" s="364"/>
      <c r="DC355" s="364"/>
      <c r="DD355" s="364"/>
      <c r="DE355" s="364"/>
      <c r="DF355" s="364"/>
      <c r="DG355" s="364"/>
      <c r="DH355" s="364"/>
      <c r="DI355" s="364"/>
      <c r="DJ355" s="364"/>
      <c r="DK355" s="364"/>
      <c r="DL355" s="364"/>
      <c r="DM355" s="364"/>
      <c r="DN355" s="364"/>
      <c r="DO355" s="364"/>
      <c r="DP355" s="364"/>
      <c r="DQ355" s="364"/>
      <c r="DR355" s="364"/>
      <c r="DS355" s="364"/>
      <c r="DT355" s="364"/>
      <c r="DU355" s="364"/>
      <c r="DV355" s="364"/>
      <c r="DW355" s="364"/>
      <c r="DX355" s="364"/>
      <c r="DY355" s="364"/>
      <c r="DZ355" s="364"/>
      <c r="EA355" s="364"/>
      <c r="EB355" s="364"/>
      <c r="EC355" s="364"/>
      <c r="ED355" s="364"/>
      <c r="EE355" s="364"/>
      <c r="EF355" s="364"/>
      <c r="EG355" s="364"/>
      <c r="EH355" s="364"/>
      <c r="EI355" s="364"/>
      <c r="EJ355" s="364"/>
      <c r="EK355" s="364"/>
      <c r="EL355" s="364"/>
      <c r="EM355" s="364"/>
      <c r="EN355" s="364"/>
      <c r="EO355" s="364"/>
      <c r="EP355" s="364"/>
      <c r="EQ355" s="364"/>
      <c r="ER355" s="364"/>
      <c r="ES355" s="364"/>
      <c r="ET355" s="364"/>
      <c r="EU355" s="364"/>
      <c r="EV355" s="364"/>
      <c r="EW355" s="364"/>
      <c r="EX355" s="364"/>
      <c r="EY355" s="364"/>
      <c r="EZ355" s="364"/>
      <c r="FA355" s="364"/>
      <c r="FB355" s="364"/>
      <c r="FC355" s="364"/>
      <c r="FD355" s="364"/>
      <c r="FE355" s="364"/>
      <c r="FF355" s="364"/>
      <c r="FG355" s="364"/>
      <c r="FH355" s="364"/>
      <c r="FI355" s="364"/>
      <c r="FJ355" s="364"/>
      <c r="FK355" s="364"/>
      <c r="FL355" s="364"/>
      <c r="FM355" s="364"/>
      <c r="FN355" s="364"/>
      <c r="FO355" s="364"/>
      <c r="FP355" s="364"/>
      <c r="FQ355" s="364"/>
      <c r="FR355" s="364"/>
      <c r="FS355" s="364"/>
      <c r="FT355" s="364"/>
      <c r="FU355" s="364"/>
      <c r="FV355" s="364"/>
      <c r="FW355" s="364"/>
      <c r="FX355" s="364"/>
      <c r="FY355" s="364"/>
      <c r="FZ355" s="364"/>
      <c r="GA355" s="364"/>
      <c r="GB355" s="364"/>
      <c r="GC355" s="364"/>
      <c r="GD355" s="364"/>
      <c r="GE355" s="364"/>
      <c r="GF355" s="364"/>
      <c r="GG355" s="364"/>
      <c r="GH355" s="364"/>
      <c r="GI355" s="364"/>
      <c r="GJ355" s="364"/>
      <c r="GK355" s="364"/>
      <c r="GL355" s="364"/>
      <c r="GM355" s="364"/>
      <c r="GN355" s="364"/>
      <c r="GO355" s="364"/>
      <c r="GP355" s="364"/>
      <c r="GQ355" s="364"/>
      <c r="GR355" s="364"/>
      <c r="GS355" s="364"/>
      <c r="GT355" s="364"/>
      <c r="GU355" s="364"/>
      <c r="GV355" s="364"/>
      <c r="GW355" s="364"/>
      <c r="GX355" s="364"/>
      <c r="GY355" s="364"/>
      <c r="GZ355" s="364"/>
      <c r="HA355" s="364"/>
      <c r="HB355" s="364"/>
      <c r="HC355" s="364"/>
      <c r="HD355" s="364"/>
      <c r="HE355" s="364"/>
      <c r="HF355" s="364"/>
      <c r="HG355" s="364"/>
      <c r="HH355" s="364"/>
      <c r="HI355" s="364"/>
      <c r="HJ355" s="364"/>
      <c r="HK355" s="364"/>
      <c r="HL355" s="364"/>
    </row>
    <row r="356" spans="2:220" s="287" customFormat="1" ht="22.5" customHeight="1">
      <c r="B356" s="365">
        <v>250168</v>
      </c>
      <c r="C356" s="366" t="s">
        <v>420</v>
      </c>
      <c r="D356" s="367"/>
      <c r="E356" s="368"/>
      <c r="F356" s="321" t="s">
        <v>265</v>
      </c>
      <c r="G356" s="326" t="s">
        <v>2082</v>
      </c>
      <c r="H356" s="326" t="s">
        <v>2083</v>
      </c>
      <c r="I356" s="326" t="s">
        <v>11</v>
      </c>
      <c r="J356" s="326" t="s">
        <v>390</v>
      </c>
      <c r="K356" s="326" t="s">
        <v>323</v>
      </c>
      <c r="L356" s="323"/>
      <c r="M356" s="326" t="s">
        <v>6509</v>
      </c>
      <c r="N356" s="325" t="s">
        <v>494</v>
      </c>
      <c r="O356" s="326">
        <v>21</v>
      </c>
      <c r="P356" s="327">
        <v>4181.47</v>
      </c>
      <c r="Q356" s="369">
        <v>2329.98</v>
      </c>
      <c r="R356" s="329" t="s">
        <v>432</v>
      </c>
      <c r="S356" s="331" t="s">
        <v>11079</v>
      </c>
      <c r="T356" s="331" t="s">
        <v>11079</v>
      </c>
      <c r="U356" s="331" t="s">
        <v>11079</v>
      </c>
      <c r="V356" s="331" t="s">
        <v>210</v>
      </c>
      <c r="W356" s="332" t="s">
        <v>432</v>
      </c>
      <c r="X356" s="331" t="s">
        <v>11079</v>
      </c>
      <c r="Y356" s="331" t="s">
        <v>11080</v>
      </c>
      <c r="Z356" s="331" t="s">
        <v>11080</v>
      </c>
      <c r="AA356" s="331" t="s">
        <v>210</v>
      </c>
      <c r="AB356" s="333" t="s">
        <v>500</v>
      </c>
      <c r="AC356" s="333"/>
      <c r="AD356" s="334" t="s">
        <v>361</v>
      </c>
      <c r="AE356" s="335" t="s">
        <v>1030</v>
      </c>
      <c r="AF356" s="336"/>
      <c r="AG356" s="337"/>
      <c r="AH356" s="417">
        <v>14.4</v>
      </c>
      <c r="AI356" s="392">
        <v>36.6</v>
      </c>
      <c r="AJ356" s="392">
        <v>16.399999999999999</v>
      </c>
      <c r="AK356" s="340">
        <f t="shared" ref="AK356:AK362" si="0">SUM(AH356:AJ356)</f>
        <v>67.400000000000006</v>
      </c>
      <c r="AL356" s="417" t="s">
        <v>210</v>
      </c>
      <c r="AM356" s="392" t="s">
        <v>210</v>
      </c>
      <c r="AN356" s="392" t="s">
        <v>210</v>
      </c>
      <c r="AO356" s="341" t="s">
        <v>210</v>
      </c>
      <c r="AP356" s="342"/>
      <c r="AQ356" s="343"/>
      <c r="AR356" s="370">
        <v>2837</v>
      </c>
      <c r="AS356" s="326">
        <v>130</v>
      </c>
      <c r="AT356" s="392">
        <v>0.8</v>
      </c>
      <c r="AU356" s="392"/>
      <c r="AV356" s="392">
        <v>1.6</v>
      </c>
      <c r="AW356" s="340"/>
      <c r="AX356" s="347"/>
      <c r="AY356" s="348"/>
      <c r="AZ356" s="377"/>
      <c r="BA356" s="374"/>
      <c r="BB356" s="374"/>
      <c r="BC356" s="374"/>
      <c r="BD356" s="374"/>
      <c r="BE356" s="374"/>
      <c r="BF356" s="374"/>
      <c r="BG356" s="374"/>
      <c r="BH356" s="378"/>
      <c r="BI356" s="376"/>
      <c r="BJ356" s="379"/>
      <c r="BK356" s="380"/>
      <c r="BL356" s="348"/>
      <c r="BM356" s="381"/>
      <c r="BN356" s="321" t="s">
        <v>15</v>
      </c>
      <c r="BO356" s="372"/>
      <c r="BP356" s="373" t="s">
        <v>983</v>
      </c>
      <c r="BQ356" s="360"/>
      <c r="BR356" s="361"/>
      <c r="BS356" s="361"/>
      <c r="BT356" s="361"/>
      <c r="BU356" s="342" t="s">
        <v>210</v>
      </c>
      <c r="BV356" s="342" t="s">
        <v>210</v>
      </c>
      <c r="BW356" s="341" t="s">
        <v>15</v>
      </c>
      <c r="BX356" s="361"/>
      <c r="BY356" s="362" t="s">
        <v>499</v>
      </c>
      <c r="BZ356" s="363"/>
      <c r="CA356" s="363"/>
      <c r="CB356" s="363"/>
      <c r="CC356" s="363"/>
      <c r="CD356" s="293"/>
      <c r="CE356" s="364"/>
      <c r="CF356" s="364"/>
      <c r="CG356" s="364"/>
      <c r="CH356" s="364"/>
      <c r="CI356" s="364"/>
      <c r="CJ356" s="364"/>
      <c r="CK356" s="364"/>
      <c r="CL356" s="364"/>
      <c r="CM356" s="364"/>
      <c r="CN356" s="364"/>
      <c r="CO356" s="364"/>
      <c r="CP356" s="364"/>
      <c r="CQ356" s="364"/>
      <c r="CR356" s="364"/>
      <c r="CS356" s="364"/>
      <c r="CT356" s="364"/>
      <c r="CU356" s="364"/>
      <c r="CV356" s="364"/>
      <c r="CW356" s="364"/>
      <c r="CX356" s="364"/>
      <c r="CY356" s="364"/>
      <c r="CZ356" s="364"/>
      <c r="DA356" s="364"/>
      <c r="DB356" s="364"/>
      <c r="DC356" s="364"/>
      <c r="DD356" s="364"/>
      <c r="DE356" s="364"/>
      <c r="DF356" s="364"/>
      <c r="DG356" s="364"/>
      <c r="DH356" s="364"/>
      <c r="DI356" s="364"/>
      <c r="DJ356" s="364"/>
      <c r="DK356" s="364"/>
      <c r="DL356" s="364"/>
      <c r="DM356" s="364"/>
      <c r="DN356" s="364"/>
      <c r="DO356" s="364"/>
      <c r="DP356" s="364"/>
      <c r="DQ356" s="364"/>
      <c r="DR356" s="364"/>
      <c r="DS356" s="364"/>
      <c r="DT356" s="364"/>
      <c r="DU356" s="364"/>
      <c r="DV356" s="364"/>
      <c r="DW356" s="364"/>
      <c r="DX356" s="364"/>
      <c r="DY356" s="364"/>
      <c r="DZ356" s="364"/>
      <c r="EA356" s="364"/>
      <c r="EB356" s="364"/>
      <c r="EC356" s="364"/>
      <c r="ED356" s="364"/>
      <c r="EE356" s="364"/>
      <c r="EF356" s="364"/>
      <c r="EG356" s="364"/>
      <c r="EH356" s="364"/>
      <c r="EI356" s="364"/>
      <c r="EJ356" s="364"/>
      <c r="EK356" s="364"/>
      <c r="EL356" s="364"/>
      <c r="EM356" s="364"/>
      <c r="EN356" s="364"/>
      <c r="EO356" s="364"/>
      <c r="EP356" s="364"/>
      <c r="EQ356" s="364"/>
      <c r="ER356" s="364"/>
      <c r="ES356" s="364"/>
      <c r="ET356" s="364"/>
      <c r="EU356" s="364"/>
      <c r="EV356" s="364"/>
      <c r="EW356" s="364"/>
      <c r="EX356" s="364"/>
      <c r="EY356" s="364"/>
      <c r="EZ356" s="364"/>
      <c r="FA356" s="364"/>
      <c r="FB356" s="364"/>
      <c r="FC356" s="364"/>
      <c r="FD356" s="364"/>
      <c r="FE356" s="364"/>
      <c r="FF356" s="364"/>
      <c r="FG356" s="364"/>
      <c r="FH356" s="364"/>
      <c r="FI356" s="364"/>
      <c r="FJ356" s="364"/>
      <c r="FK356" s="364"/>
      <c r="FL356" s="364"/>
      <c r="FM356" s="364"/>
      <c r="FN356" s="364"/>
      <c r="FO356" s="364"/>
      <c r="FP356" s="364"/>
      <c r="FQ356" s="364"/>
      <c r="FR356" s="364"/>
      <c r="FS356" s="364"/>
      <c r="FT356" s="364"/>
      <c r="FU356" s="364"/>
      <c r="FV356" s="364"/>
      <c r="FW356" s="364"/>
      <c r="FX356" s="364"/>
      <c r="FY356" s="364"/>
      <c r="FZ356" s="364"/>
      <c r="GA356" s="364"/>
      <c r="GB356" s="364"/>
      <c r="GC356" s="364"/>
      <c r="GD356" s="364"/>
      <c r="GE356" s="364"/>
      <c r="GF356" s="364"/>
      <c r="GG356" s="364"/>
      <c r="GH356" s="364"/>
      <c r="GI356" s="364"/>
      <c r="GJ356" s="364"/>
      <c r="GK356" s="364"/>
      <c r="GL356" s="364"/>
      <c r="GM356" s="364"/>
      <c r="GN356" s="364"/>
      <c r="GO356" s="364"/>
      <c r="GP356" s="364"/>
      <c r="GQ356" s="364"/>
      <c r="GR356" s="364"/>
      <c r="GS356" s="364"/>
      <c r="GT356" s="364"/>
      <c r="GU356" s="364"/>
      <c r="GV356" s="364"/>
      <c r="GW356" s="364"/>
      <c r="GX356" s="364"/>
      <c r="GY356" s="364"/>
      <c r="GZ356" s="364"/>
      <c r="HA356" s="364"/>
      <c r="HB356" s="364"/>
      <c r="HC356" s="364"/>
      <c r="HD356" s="364"/>
      <c r="HE356" s="364"/>
      <c r="HF356" s="364"/>
      <c r="HG356" s="364"/>
      <c r="HH356" s="364"/>
      <c r="HI356" s="364"/>
      <c r="HJ356" s="364"/>
      <c r="HK356" s="364"/>
      <c r="HL356" s="364"/>
    </row>
    <row r="357" spans="2:220" s="287" customFormat="1" ht="22.5" customHeight="1">
      <c r="B357" s="365">
        <v>250169</v>
      </c>
      <c r="C357" s="366" t="s">
        <v>421</v>
      </c>
      <c r="D357" s="367"/>
      <c r="E357" s="368"/>
      <c r="F357" s="321" t="s">
        <v>271</v>
      </c>
      <c r="G357" s="326" t="s">
        <v>2103</v>
      </c>
      <c r="H357" s="326" t="s">
        <v>2104</v>
      </c>
      <c r="I357" s="326" t="s">
        <v>11</v>
      </c>
      <c r="J357" s="326" t="s">
        <v>414</v>
      </c>
      <c r="K357" s="326" t="s">
        <v>323</v>
      </c>
      <c r="L357" s="323"/>
      <c r="M357" s="324" t="s">
        <v>10767</v>
      </c>
      <c r="N357" s="325" t="s">
        <v>437</v>
      </c>
      <c r="O357" s="326">
        <v>60</v>
      </c>
      <c r="P357" s="327" t="s">
        <v>498</v>
      </c>
      <c r="Q357" s="369" t="s">
        <v>498</v>
      </c>
      <c r="R357" s="329" t="s">
        <v>531</v>
      </c>
      <c r="S357" s="394" t="s">
        <v>12115</v>
      </c>
      <c r="T357" s="331" t="s">
        <v>11187</v>
      </c>
      <c r="U357" s="331" t="s">
        <v>11186</v>
      </c>
      <c r="V357" s="331" t="s">
        <v>11184</v>
      </c>
      <c r="W357" s="332" t="s">
        <v>432</v>
      </c>
      <c r="X357" s="331" t="s">
        <v>11079</v>
      </c>
      <c r="Y357" s="331" t="s">
        <v>11080</v>
      </c>
      <c r="Z357" s="331" t="s">
        <v>11080</v>
      </c>
      <c r="AA357" s="331" t="s">
        <v>210</v>
      </c>
      <c r="AB357" s="333"/>
      <c r="AC357" s="416"/>
      <c r="AD357" s="375"/>
      <c r="AE357" s="335" t="s">
        <v>422</v>
      </c>
      <c r="AF357" s="336"/>
      <c r="AG357" s="337"/>
      <c r="AH357" s="417">
        <v>5.5</v>
      </c>
      <c r="AI357" s="392">
        <v>18.100000000000001</v>
      </c>
      <c r="AJ357" s="392">
        <v>12.1</v>
      </c>
      <c r="AK357" s="340">
        <f t="shared" si="0"/>
        <v>35.700000000000003</v>
      </c>
      <c r="AL357" s="417" t="s">
        <v>210</v>
      </c>
      <c r="AM357" s="392" t="s">
        <v>210</v>
      </c>
      <c r="AN357" s="392" t="s">
        <v>210</v>
      </c>
      <c r="AO357" s="341" t="s">
        <v>210</v>
      </c>
      <c r="AP357" s="342"/>
      <c r="AQ357" s="343"/>
      <c r="AR357" s="370">
        <v>1549</v>
      </c>
      <c r="AS357" s="326">
        <v>100</v>
      </c>
      <c r="AT357" s="392">
        <v>1</v>
      </c>
      <c r="AU357" s="392"/>
      <c r="AV357" s="392">
        <v>1.5</v>
      </c>
      <c r="AW357" s="340"/>
      <c r="AX357" s="347"/>
      <c r="AY357" s="348"/>
      <c r="AZ357" s="377"/>
      <c r="BA357" s="374"/>
      <c r="BB357" s="374"/>
      <c r="BC357" s="374"/>
      <c r="BD357" s="374"/>
      <c r="BE357" s="374"/>
      <c r="BF357" s="374"/>
      <c r="BG357" s="374"/>
      <c r="BH357" s="378"/>
      <c r="BI357" s="376"/>
      <c r="BJ357" s="379"/>
      <c r="BK357" s="380"/>
      <c r="BL357" s="348"/>
      <c r="BM357" s="381"/>
      <c r="BN357" s="321" t="s">
        <v>983</v>
      </c>
      <c r="BO357" s="372"/>
      <c r="BP357" s="373" t="s">
        <v>983</v>
      </c>
      <c r="BQ357" s="360"/>
      <c r="BR357" s="361"/>
      <c r="BS357" s="361"/>
      <c r="BT357" s="361"/>
      <c r="BU357" s="342" t="s">
        <v>210</v>
      </c>
      <c r="BV357" s="342" t="s">
        <v>210</v>
      </c>
      <c r="BW357" s="341" t="s">
        <v>15</v>
      </c>
      <c r="BX357" s="361"/>
      <c r="BY357" s="362"/>
      <c r="BZ357" s="363"/>
      <c r="CA357" s="363"/>
      <c r="CB357" s="363"/>
      <c r="CC357" s="363"/>
      <c r="CD357" s="293"/>
      <c r="CE357" s="364"/>
      <c r="CF357" s="364"/>
      <c r="CG357" s="364"/>
      <c r="CH357" s="364"/>
      <c r="CI357" s="364"/>
      <c r="CJ357" s="364"/>
      <c r="CK357" s="364"/>
      <c r="CL357" s="364"/>
      <c r="CM357" s="364"/>
      <c r="CN357" s="364"/>
      <c r="CO357" s="364"/>
      <c r="CP357" s="364"/>
      <c r="CQ357" s="364"/>
      <c r="CR357" s="364"/>
      <c r="CS357" s="364"/>
      <c r="CT357" s="364"/>
      <c r="CU357" s="364"/>
      <c r="CV357" s="364"/>
      <c r="CW357" s="364"/>
      <c r="CX357" s="364"/>
      <c r="CY357" s="364"/>
      <c r="CZ357" s="364"/>
      <c r="DA357" s="364"/>
      <c r="DB357" s="364"/>
      <c r="DC357" s="364"/>
      <c r="DD357" s="364"/>
      <c r="DE357" s="364"/>
      <c r="DF357" s="364"/>
      <c r="DG357" s="364"/>
      <c r="DH357" s="364"/>
      <c r="DI357" s="364"/>
      <c r="DJ357" s="364"/>
      <c r="DK357" s="364"/>
      <c r="DL357" s="364"/>
      <c r="DM357" s="364"/>
      <c r="DN357" s="364"/>
      <c r="DO357" s="364"/>
      <c r="DP357" s="364"/>
      <c r="DQ357" s="364"/>
      <c r="DR357" s="364"/>
      <c r="DS357" s="364"/>
      <c r="DT357" s="364"/>
      <c r="DU357" s="364"/>
      <c r="DV357" s="364"/>
      <c r="DW357" s="364"/>
      <c r="DX357" s="364"/>
      <c r="DY357" s="364"/>
      <c r="DZ357" s="364"/>
      <c r="EA357" s="364"/>
      <c r="EB357" s="364"/>
      <c r="EC357" s="364"/>
      <c r="ED357" s="364"/>
      <c r="EE357" s="364"/>
      <c r="EF357" s="364"/>
      <c r="EG357" s="364"/>
      <c r="EH357" s="364"/>
      <c r="EI357" s="364"/>
      <c r="EJ357" s="364"/>
      <c r="EK357" s="364"/>
      <c r="EL357" s="364"/>
      <c r="EM357" s="364"/>
      <c r="EN357" s="364"/>
      <c r="EO357" s="364"/>
      <c r="EP357" s="364"/>
      <c r="EQ357" s="364"/>
      <c r="ER357" s="364"/>
      <c r="ES357" s="364"/>
      <c r="ET357" s="364"/>
      <c r="EU357" s="364"/>
      <c r="EV357" s="364"/>
      <c r="EW357" s="364"/>
      <c r="EX357" s="364"/>
      <c r="EY357" s="364"/>
      <c r="EZ357" s="364"/>
      <c r="FA357" s="364"/>
      <c r="FB357" s="364"/>
      <c r="FC357" s="364"/>
      <c r="FD357" s="364"/>
      <c r="FE357" s="364"/>
      <c r="FF357" s="364"/>
      <c r="FG357" s="364"/>
      <c r="FH357" s="364"/>
      <c r="FI357" s="364"/>
      <c r="FJ357" s="364"/>
      <c r="FK357" s="364"/>
      <c r="FL357" s="364"/>
      <c r="FM357" s="364"/>
      <c r="FN357" s="364"/>
      <c r="FO357" s="364"/>
      <c r="FP357" s="364"/>
      <c r="FQ357" s="364"/>
      <c r="FR357" s="364"/>
      <c r="FS357" s="364"/>
      <c r="FT357" s="364"/>
      <c r="FU357" s="364"/>
      <c r="FV357" s="364"/>
      <c r="FW357" s="364"/>
      <c r="FX357" s="364"/>
      <c r="FY357" s="364"/>
      <c r="FZ357" s="364"/>
      <c r="GA357" s="364"/>
      <c r="GB357" s="364"/>
      <c r="GC357" s="364"/>
      <c r="GD357" s="364"/>
      <c r="GE357" s="364"/>
      <c r="GF357" s="364"/>
      <c r="GG357" s="364"/>
      <c r="GH357" s="364"/>
      <c r="GI357" s="364"/>
      <c r="GJ357" s="364"/>
      <c r="GK357" s="364"/>
      <c r="GL357" s="364"/>
      <c r="GM357" s="364"/>
      <c r="GN357" s="364"/>
      <c r="GO357" s="364"/>
      <c r="GP357" s="364"/>
      <c r="GQ357" s="364"/>
      <c r="GR357" s="364"/>
      <c r="GS357" s="364"/>
      <c r="GT357" s="364"/>
      <c r="GU357" s="364"/>
      <c r="GV357" s="364"/>
      <c r="GW357" s="364"/>
      <c r="GX357" s="364"/>
      <c r="GY357" s="364"/>
      <c r="GZ357" s="364"/>
      <c r="HA357" s="364"/>
      <c r="HB357" s="364"/>
      <c r="HC357" s="364"/>
      <c r="HD357" s="364"/>
      <c r="HE357" s="364"/>
      <c r="HF357" s="364"/>
      <c r="HG357" s="364"/>
      <c r="HH357" s="364"/>
      <c r="HI357" s="364"/>
      <c r="HJ357" s="364"/>
      <c r="HK357" s="364"/>
      <c r="HL357" s="364"/>
    </row>
    <row r="358" spans="2:220" s="287" customFormat="1" ht="22.5" customHeight="1">
      <c r="B358" s="365">
        <v>250170</v>
      </c>
      <c r="C358" s="366" t="s">
        <v>423</v>
      </c>
      <c r="D358" s="367"/>
      <c r="E358" s="368"/>
      <c r="F358" s="321" t="s">
        <v>271</v>
      </c>
      <c r="G358" s="326" t="s">
        <v>2103</v>
      </c>
      <c r="H358" s="326" t="s">
        <v>2104</v>
      </c>
      <c r="I358" s="326" t="s">
        <v>11</v>
      </c>
      <c r="J358" s="326" t="s">
        <v>390</v>
      </c>
      <c r="K358" s="326" t="s">
        <v>323</v>
      </c>
      <c r="L358" s="323"/>
      <c r="M358" s="374"/>
      <c r="N358" s="325" t="s">
        <v>438</v>
      </c>
      <c r="O358" s="326">
        <v>60</v>
      </c>
      <c r="P358" s="327">
        <v>1811.87</v>
      </c>
      <c r="Q358" s="369">
        <v>1438.41</v>
      </c>
      <c r="R358" s="329" t="s">
        <v>436</v>
      </c>
      <c r="S358" s="394" t="s">
        <v>12115</v>
      </c>
      <c r="T358" s="331" t="s">
        <v>11187</v>
      </c>
      <c r="U358" s="331" t="s">
        <v>11186</v>
      </c>
      <c r="V358" s="331" t="s">
        <v>11184</v>
      </c>
      <c r="W358" s="332" t="s">
        <v>432</v>
      </c>
      <c r="X358" s="331" t="s">
        <v>11079</v>
      </c>
      <c r="Y358" s="331" t="s">
        <v>11080</v>
      </c>
      <c r="Z358" s="331" t="s">
        <v>11080</v>
      </c>
      <c r="AA358" s="331" t="s">
        <v>210</v>
      </c>
      <c r="AB358" s="333"/>
      <c r="AC358" s="333"/>
      <c r="AD358" s="334" t="s">
        <v>875</v>
      </c>
      <c r="AE358" s="335" t="s">
        <v>966</v>
      </c>
      <c r="AF358" s="336"/>
      <c r="AG358" s="337"/>
      <c r="AH358" s="376"/>
      <c r="AI358" s="347"/>
      <c r="AJ358" s="347"/>
      <c r="AK358" s="371">
        <f t="shared" si="0"/>
        <v>0</v>
      </c>
      <c r="AL358" s="417" t="s">
        <v>210</v>
      </c>
      <c r="AM358" s="392" t="s">
        <v>210</v>
      </c>
      <c r="AN358" s="392" t="s">
        <v>210</v>
      </c>
      <c r="AO358" s="341" t="s">
        <v>210</v>
      </c>
      <c r="AP358" s="342"/>
      <c r="AQ358" s="343"/>
      <c r="AR358" s="370">
        <v>1809</v>
      </c>
      <c r="AS358" s="326">
        <v>150</v>
      </c>
      <c r="AT358" s="392">
        <v>1</v>
      </c>
      <c r="AU358" s="392"/>
      <c r="AV358" s="392">
        <v>1.5</v>
      </c>
      <c r="AW358" s="340"/>
      <c r="AX358" s="347"/>
      <c r="AY358" s="348"/>
      <c r="AZ358" s="377"/>
      <c r="BA358" s="374"/>
      <c r="BB358" s="374"/>
      <c r="BC358" s="374"/>
      <c r="BD358" s="374"/>
      <c r="BE358" s="374"/>
      <c r="BF358" s="374"/>
      <c r="BG358" s="374"/>
      <c r="BH358" s="378"/>
      <c r="BI358" s="376"/>
      <c r="BJ358" s="379"/>
      <c r="BK358" s="380"/>
      <c r="BL358" s="348"/>
      <c r="BM358" s="381"/>
      <c r="BN358" s="321" t="s">
        <v>983</v>
      </c>
      <c r="BO358" s="372"/>
      <c r="BP358" s="373" t="s">
        <v>983</v>
      </c>
      <c r="BQ358" s="360"/>
      <c r="BR358" s="361"/>
      <c r="BS358" s="361"/>
      <c r="BT358" s="361"/>
      <c r="BU358" s="342" t="s">
        <v>210</v>
      </c>
      <c r="BV358" s="342" t="s">
        <v>210</v>
      </c>
      <c r="BW358" s="341" t="s">
        <v>15</v>
      </c>
      <c r="BX358" s="361"/>
      <c r="BY358" s="362"/>
      <c r="BZ358" s="363"/>
      <c r="CA358" s="363"/>
      <c r="CB358" s="363"/>
      <c r="CC358" s="363"/>
      <c r="CD358" s="293"/>
      <c r="CE358" s="364"/>
      <c r="CF358" s="364"/>
      <c r="CG358" s="364"/>
      <c r="CH358" s="364"/>
      <c r="CI358" s="364"/>
      <c r="CJ358" s="364"/>
      <c r="CK358" s="364"/>
      <c r="CL358" s="364"/>
      <c r="CM358" s="364"/>
      <c r="CN358" s="364"/>
      <c r="CO358" s="364"/>
      <c r="CP358" s="364"/>
      <c r="CQ358" s="364"/>
      <c r="CR358" s="364"/>
      <c r="CS358" s="364"/>
      <c r="CT358" s="364"/>
      <c r="CU358" s="364"/>
      <c r="CV358" s="364"/>
      <c r="CW358" s="364"/>
      <c r="CX358" s="364"/>
      <c r="CY358" s="364"/>
      <c r="CZ358" s="364"/>
      <c r="DA358" s="364"/>
      <c r="DB358" s="364"/>
      <c r="DC358" s="364"/>
      <c r="DD358" s="364"/>
      <c r="DE358" s="364"/>
      <c r="DF358" s="364"/>
      <c r="DG358" s="364"/>
      <c r="DH358" s="364"/>
      <c r="DI358" s="364"/>
      <c r="DJ358" s="364"/>
      <c r="DK358" s="364"/>
      <c r="DL358" s="364"/>
      <c r="DM358" s="364"/>
      <c r="DN358" s="364"/>
      <c r="DO358" s="364"/>
      <c r="DP358" s="364"/>
      <c r="DQ358" s="364"/>
      <c r="DR358" s="364"/>
      <c r="DS358" s="364"/>
      <c r="DT358" s="364"/>
      <c r="DU358" s="364"/>
      <c r="DV358" s="364"/>
      <c r="DW358" s="364"/>
      <c r="DX358" s="364"/>
      <c r="DY358" s="364"/>
      <c r="DZ358" s="364"/>
      <c r="EA358" s="364"/>
      <c r="EB358" s="364"/>
      <c r="EC358" s="364"/>
      <c r="ED358" s="364"/>
      <c r="EE358" s="364"/>
      <c r="EF358" s="364"/>
      <c r="EG358" s="364"/>
      <c r="EH358" s="364"/>
      <c r="EI358" s="364"/>
      <c r="EJ358" s="364"/>
      <c r="EK358" s="364"/>
      <c r="EL358" s="364"/>
      <c r="EM358" s="364"/>
      <c r="EN358" s="364"/>
      <c r="EO358" s="364"/>
      <c r="EP358" s="364"/>
      <c r="EQ358" s="364"/>
      <c r="ER358" s="364"/>
      <c r="ES358" s="364"/>
      <c r="ET358" s="364"/>
      <c r="EU358" s="364"/>
      <c r="EV358" s="364"/>
      <c r="EW358" s="364"/>
      <c r="EX358" s="364"/>
      <c r="EY358" s="364"/>
      <c r="EZ358" s="364"/>
      <c r="FA358" s="364"/>
      <c r="FB358" s="364"/>
      <c r="FC358" s="364"/>
      <c r="FD358" s="364"/>
      <c r="FE358" s="364"/>
      <c r="FF358" s="364"/>
      <c r="FG358" s="364"/>
      <c r="FH358" s="364"/>
      <c r="FI358" s="364"/>
      <c r="FJ358" s="364"/>
      <c r="FK358" s="364"/>
      <c r="FL358" s="364"/>
      <c r="FM358" s="364"/>
      <c r="FN358" s="364"/>
      <c r="FO358" s="364"/>
      <c r="FP358" s="364"/>
      <c r="FQ358" s="364"/>
      <c r="FR358" s="364"/>
      <c r="FS358" s="364"/>
      <c r="FT358" s="364"/>
      <c r="FU358" s="364"/>
      <c r="FV358" s="364"/>
      <c r="FW358" s="364"/>
      <c r="FX358" s="364"/>
      <c r="FY358" s="364"/>
      <c r="FZ358" s="364"/>
      <c r="GA358" s="364"/>
      <c r="GB358" s="364"/>
      <c r="GC358" s="364"/>
      <c r="GD358" s="364"/>
      <c r="GE358" s="364"/>
      <c r="GF358" s="364"/>
      <c r="GG358" s="364"/>
      <c r="GH358" s="364"/>
      <c r="GI358" s="364"/>
      <c r="GJ358" s="364"/>
      <c r="GK358" s="364"/>
      <c r="GL358" s="364"/>
      <c r="GM358" s="364"/>
      <c r="GN358" s="364"/>
      <c r="GO358" s="364"/>
      <c r="GP358" s="364"/>
      <c r="GQ358" s="364"/>
      <c r="GR358" s="364"/>
      <c r="GS358" s="364"/>
      <c r="GT358" s="364"/>
      <c r="GU358" s="364"/>
      <c r="GV358" s="364"/>
      <c r="GW358" s="364"/>
      <c r="GX358" s="364"/>
      <c r="GY358" s="364"/>
      <c r="GZ358" s="364"/>
      <c r="HA358" s="364"/>
      <c r="HB358" s="364"/>
      <c r="HC358" s="364"/>
      <c r="HD358" s="364"/>
      <c r="HE358" s="364"/>
      <c r="HF358" s="364"/>
      <c r="HG358" s="364"/>
      <c r="HH358" s="364"/>
      <c r="HI358" s="364"/>
      <c r="HJ358" s="364"/>
      <c r="HK358" s="364"/>
      <c r="HL358" s="364"/>
    </row>
    <row r="359" spans="2:220" s="287" customFormat="1" ht="22.5" customHeight="1">
      <c r="B359" s="365">
        <v>250171</v>
      </c>
      <c r="C359" s="366" t="s">
        <v>424</v>
      </c>
      <c r="D359" s="367"/>
      <c r="E359" s="368"/>
      <c r="F359" s="321" t="s">
        <v>240</v>
      </c>
      <c r="G359" s="326" t="s">
        <v>2080</v>
      </c>
      <c r="H359" s="326" t="s">
        <v>2081</v>
      </c>
      <c r="I359" s="326" t="s">
        <v>11</v>
      </c>
      <c r="J359" s="326" t="s">
        <v>414</v>
      </c>
      <c r="K359" s="326" t="s">
        <v>323</v>
      </c>
      <c r="L359" s="323"/>
      <c r="M359" s="374"/>
      <c r="N359" s="325" t="s">
        <v>438</v>
      </c>
      <c r="O359" s="326">
        <v>30</v>
      </c>
      <c r="P359" s="327" t="s">
        <v>498</v>
      </c>
      <c r="Q359" s="369" t="s">
        <v>498</v>
      </c>
      <c r="R359" s="329" t="s">
        <v>497</v>
      </c>
      <c r="S359" s="331" t="s">
        <v>12965</v>
      </c>
      <c r="T359" s="394" t="s">
        <v>11205</v>
      </c>
      <c r="U359" s="394" t="s">
        <v>11207</v>
      </c>
      <c r="V359" s="331" t="s">
        <v>12966</v>
      </c>
      <c r="W359" s="332" t="s">
        <v>432</v>
      </c>
      <c r="X359" s="331" t="s">
        <v>11079</v>
      </c>
      <c r="Y359" s="331" t="s">
        <v>11080</v>
      </c>
      <c r="Z359" s="331" t="s">
        <v>11080</v>
      </c>
      <c r="AA359" s="331" t="s">
        <v>210</v>
      </c>
      <c r="AB359" s="333"/>
      <c r="AC359" s="333"/>
      <c r="AD359" s="334" t="s">
        <v>2335</v>
      </c>
      <c r="AE359" s="335" t="s">
        <v>638</v>
      </c>
      <c r="AF359" s="336"/>
      <c r="AG359" s="337"/>
      <c r="AH359" s="376"/>
      <c r="AI359" s="347"/>
      <c r="AJ359" s="347"/>
      <c r="AK359" s="371">
        <f t="shared" si="0"/>
        <v>0</v>
      </c>
      <c r="AL359" s="417" t="s">
        <v>210</v>
      </c>
      <c r="AM359" s="392" t="s">
        <v>210</v>
      </c>
      <c r="AN359" s="392" t="s">
        <v>210</v>
      </c>
      <c r="AO359" s="341" t="s">
        <v>210</v>
      </c>
      <c r="AP359" s="342"/>
      <c r="AQ359" s="343"/>
      <c r="AR359" s="370">
        <v>3043</v>
      </c>
      <c r="AS359" s="326">
        <v>100</v>
      </c>
      <c r="AT359" s="392">
        <v>0.8</v>
      </c>
      <c r="AU359" s="392"/>
      <c r="AV359" s="392">
        <v>1.2</v>
      </c>
      <c r="AW359" s="340"/>
      <c r="AX359" s="347"/>
      <c r="AY359" s="348"/>
      <c r="AZ359" s="377"/>
      <c r="BA359" s="374"/>
      <c r="BB359" s="374"/>
      <c r="BC359" s="374"/>
      <c r="BD359" s="374"/>
      <c r="BE359" s="374"/>
      <c r="BF359" s="374"/>
      <c r="BG359" s="374"/>
      <c r="BH359" s="378"/>
      <c r="BI359" s="376"/>
      <c r="BJ359" s="379"/>
      <c r="BK359" s="380"/>
      <c r="BL359" s="348"/>
      <c r="BM359" s="381"/>
      <c r="BN359" s="321" t="s">
        <v>983</v>
      </c>
      <c r="BO359" s="372"/>
      <c r="BP359" s="373" t="s">
        <v>15</v>
      </c>
      <c r="BQ359" s="360"/>
      <c r="BR359" s="361"/>
      <c r="BS359" s="361"/>
      <c r="BT359" s="361"/>
      <c r="BU359" s="342" t="s">
        <v>210</v>
      </c>
      <c r="BV359" s="342" t="s">
        <v>210</v>
      </c>
      <c r="BW359" s="341" t="s">
        <v>15</v>
      </c>
      <c r="BX359" s="361"/>
      <c r="BY359" s="362"/>
      <c r="BZ359" s="363"/>
      <c r="CA359" s="363"/>
      <c r="CB359" s="363"/>
      <c r="CC359" s="363"/>
      <c r="CD359" s="293"/>
      <c r="CE359" s="364"/>
      <c r="CF359" s="364"/>
      <c r="CG359" s="364"/>
      <c r="CH359" s="364"/>
      <c r="CI359" s="364"/>
      <c r="CJ359" s="364"/>
      <c r="CK359" s="364"/>
      <c r="CL359" s="364"/>
      <c r="CM359" s="364"/>
      <c r="CN359" s="364"/>
      <c r="CO359" s="364"/>
      <c r="CP359" s="364"/>
      <c r="CQ359" s="364"/>
      <c r="CR359" s="364"/>
      <c r="CS359" s="364"/>
      <c r="CT359" s="364"/>
      <c r="CU359" s="364"/>
      <c r="CV359" s="364"/>
      <c r="CW359" s="364"/>
      <c r="CX359" s="364"/>
      <c r="CY359" s="364"/>
      <c r="CZ359" s="364"/>
      <c r="DA359" s="364"/>
      <c r="DB359" s="364"/>
      <c r="DC359" s="364"/>
      <c r="DD359" s="364"/>
      <c r="DE359" s="364"/>
      <c r="DF359" s="364"/>
      <c r="DG359" s="364"/>
      <c r="DH359" s="364"/>
      <c r="DI359" s="364"/>
      <c r="DJ359" s="364"/>
      <c r="DK359" s="364"/>
      <c r="DL359" s="364"/>
      <c r="DM359" s="364"/>
      <c r="DN359" s="364"/>
      <c r="DO359" s="364"/>
      <c r="DP359" s="364"/>
      <c r="DQ359" s="364"/>
      <c r="DR359" s="364"/>
      <c r="DS359" s="364"/>
      <c r="DT359" s="364"/>
      <c r="DU359" s="364"/>
      <c r="DV359" s="364"/>
      <c r="DW359" s="364"/>
      <c r="DX359" s="364"/>
      <c r="DY359" s="364"/>
      <c r="DZ359" s="364"/>
      <c r="EA359" s="364"/>
      <c r="EB359" s="364"/>
      <c r="EC359" s="364"/>
      <c r="ED359" s="364"/>
      <c r="EE359" s="364"/>
      <c r="EF359" s="364"/>
      <c r="EG359" s="364"/>
      <c r="EH359" s="364"/>
      <c r="EI359" s="364"/>
      <c r="EJ359" s="364"/>
      <c r="EK359" s="364"/>
      <c r="EL359" s="364"/>
      <c r="EM359" s="364"/>
      <c r="EN359" s="364"/>
      <c r="EO359" s="364"/>
      <c r="EP359" s="364"/>
      <c r="EQ359" s="364"/>
      <c r="ER359" s="364"/>
      <c r="ES359" s="364"/>
      <c r="ET359" s="364"/>
      <c r="EU359" s="364"/>
      <c r="EV359" s="364"/>
      <c r="EW359" s="364"/>
      <c r="EX359" s="364"/>
      <c r="EY359" s="364"/>
      <c r="EZ359" s="364"/>
      <c r="FA359" s="364"/>
      <c r="FB359" s="364"/>
      <c r="FC359" s="364"/>
      <c r="FD359" s="364"/>
      <c r="FE359" s="364"/>
      <c r="FF359" s="364"/>
      <c r="FG359" s="364"/>
      <c r="FH359" s="364"/>
      <c r="FI359" s="364"/>
      <c r="FJ359" s="364"/>
      <c r="FK359" s="364"/>
      <c r="FL359" s="364"/>
      <c r="FM359" s="364"/>
      <c r="FN359" s="364"/>
      <c r="FO359" s="364"/>
      <c r="FP359" s="364"/>
      <c r="FQ359" s="364"/>
      <c r="FR359" s="364"/>
      <c r="FS359" s="364"/>
      <c r="FT359" s="364"/>
      <c r="FU359" s="364"/>
      <c r="FV359" s="364"/>
      <c r="FW359" s="364"/>
      <c r="FX359" s="364"/>
      <c r="FY359" s="364"/>
      <c r="FZ359" s="364"/>
      <c r="GA359" s="364"/>
      <c r="GB359" s="364"/>
      <c r="GC359" s="364"/>
      <c r="GD359" s="364"/>
      <c r="GE359" s="364"/>
      <c r="GF359" s="364"/>
      <c r="GG359" s="364"/>
      <c r="GH359" s="364"/>
      <c r="GI359" s="364"/>
      <c r="GJ359" s="364"/>
      <c r="GK359" s="364"/>
      <c r="GL359" s="364"/>
      <c r="GM359" s="364"/>
      <c r="GN359" s="364"/>
      <c r="GO359" s="364"/>
      <c r="GP359" s="364"/>
      <c r="GQ359" s="364"/>
      <c r="GR359" s="364"/>
      <c r="GS359" s="364"/>
      <c r="GT359" s="364"/>
      <c r="GU359" s="364"/>
      <c r="GV359" s="364"/>
      <c r="GW359" s="364"/>
      <c r="GX359" s="364"/>
      <c r="GY359" s="364"/>
      <c r="GZ359" s="364"/>
      <c r="HA359" s="364"/>
      <c r="HB359" s="364"/>
      <c r="HC359" s="364"/>
      <c r="HD359" s="364"/>
      <c r="HE359" s="364"/>
      <c r="HF359" s="364"/>
      <c r="HG359" s="364"/>
      <c r="HH359" s="364"/>
      <c r="HI359" s="364"/>
      <c r="HJ359" s="364"/>
      <c r="HK359" s="364"/>
      <c r="HL359" s="364"/>
    </row>
    <row r="360" spans="2:220" s="287" customFormat="1" ht="22.5" customHeight="1">
      <c r="B360" s="365">
        <v>250172</v>
      </c>
      <c r="C360" s="366" t="s">
        <v>425</v>
      </c>
      <c r="D360" s="367"/>
      <c r="E360" s="368"/>
      <c r="F360" s="321" t="s">
        <v>226</v>
      </c>
      <c r="G360" s="326" t="s">
        <v>2078</v>
      </c>
      <c r="H360" s="326" t="s">
        <v>2079</v>
      </c>
      <c r="I360" s="326" t="s">
        <v>11</v>
      </c>
      <c r="J360" s="326" t="s">
        <v>414</v>
      </c>
      <c r="K360" s="326" t="s">
        <v>323</v>
      </c>
      <c r="L360" s="323"/>
      <c r="M360" s="374"/>
      <c r="N360" s="325" t="s">
        <v>438</v>
      </c>
      <c r="O360" s="326">
        <v>30</v>
      </c>
      <c r="P360" s="327">
        <v>9122.7000000000007</v>
      </c>
      <c r="Q360" s="369">
        <v>9391.7999999999993</v>
      </c>
      <c r="R360" s="329" t="s">
        <v>432</v>
      </c>
      <c r="S360" s="331" t="s">
        <v>11079</v>
      </c>
      <c r="T360" s="331" t="s">
        <v>11079</v>
      </c>
      <c r="U360" s="331" t="s">
        <v>11079</v>
      </c>
      <c r="V360" s="331" t="s">
        <v>210</v>
      </c>
      <c r="W360" s="332" t="s">
        <v>432</v>
      </c>
      <c r="X360" s="331" t="s">
        <v>11079</v>
      </c>
      <c r="Y360" s="331" t="s">
        <v>11080</v>
      </c>
      <c r="Z360" s="331" t="s">
        <v>11080</v>
      </c>
      <c r="AA360" s="331" t="s">
        <v>210</v>
      </c>
      <c r="AB360" s="333" t="s">
        <v>496</v>
      </c>
      <c r="AC360" s="333"/>
      <c r="AD360" s="334" t="s">
        <v>2329</v>
      </c>
      <c r="AE360" s="335" t="s">
        <v>493</v>
      </c>
      <c r="AF360" s="336"/>
      <c r="AG360" s="337"/>
      <c r="AH360" s="376"/>
      <c r="AI360" s="347"/>
      <c r="AJ360" s="347"/>
      <c r="AK360" s="371">
        <f t="shared" si="0"/>
        <v>0</v>
      </c>
      <c r="AL360" s="417" t="s">
        <v>210</v>
      </c>
      <c r="AM360" s="392" t="s">
        <v>210</v>
      </c>
      <c r="AN360" s="392" t="s">
        <v>210</v>
      </c>
      <c r="AO360" s="341" t="s">
        <v>210</v>
      </c>
      <c r="AP360" s="342"/>
      <c r="AQ360" s="343"/>
      <c r="AR360" s="370">
        <v>10571</v>
      </c>
      <c r="AS360" s="326">
        <v>100</v>
      </c>
      <c r="AT360" s="392">
        <v>0.8</v>
      </c>
      <c r="AU360" s="392"/>
      <c r="AV360" s="392">
        <v>1.2</v>
      </c>
      <c r="AW360" s="340"/>
      <c r="AX360" s="347"/>
      <c r="AY360" s="348"/>
      <c r="AZ360" s="377"/>
      <c r="BA360" s="374"/>
      <c r="BB360" s="374"/>
      <c r="BC360" s="374"/>
      <c r="BD360" s="374"/>
      <c r="BE360" s="374"/>
      <c r="BF360" s="374"/>
      <c r="BG360" s="374"/>
      <c r="BH360" s="378"/>
      <c r="BI360" s="376"/>
      <c r="BJ360" s="379"/>
      <c r="BK360" s="380"/>
      <c r="BL360" s="348"/>
      <c r="BM360" s="381"/>
      <c r="BN360" s="321" t="s">
        <v>983</v>
      </c>
      <c r="BO360" s="372"/>
      <c r="BP360" s="373" t="s">
        <v>983</v>
      </c>
      <c r="BQ360" s="360"/>
      <c r="BR360" s="361"/>
      <c r="BS360" s="361"/>
      <c r="BT360" s="361"/>
      <c r="BU360" s="342" t="s">
        <v>210</v>
      </c>
      <c r="BV360" s="342" t="s">
        <v>210</v>
      </c>
      <c r="BW360" s="341" t="s">
        <v>15</v>
      </c>
      <c r="BX360" s="361"/>
      <c r="BY360" s="362"/>
      <c r="BZ360" s="363"/>
      <c r="CA360" s="363"/>
      <c r="CB360" s="363"/>
      <c r="CC360" s="363"/>
      <c r="CD360" s="293"/>
      <c r="CE360" s="364"/>
      <c r="CF360" s="364"/>
      <c r="CG360" s="364"/>
      <c r="CH360" s="364"/>
      <c r="CI360" s="364"/>
      <c r="CJ360" s="364"/>
      <c r="CK360" s="364"/>
      <c r="CL360" s="364"/>
      <c r="CM360" s="364"/>
      <c r="CN360" s="364"/>
      <c r="CO360" s="364"/>
      <c r="CP360" s="364"/>
      <c r="CQ360" s="364"/>
      <c r="CR360" s="364"/>
      <c r="CS360" s="364"/>
      <c r="CT360" s="364"/>
      <c r="CU360" s="364"/>
      <c r="CV360" s="364"/>
      <c r="CW360" s="364"/>
      <c r="CX360" s="364"/>
      <c r="CY360" s="364"/>
      <c r="CZ360" s="364"/>
      <c r="DA360" s="364"/>
      <c r="DB360" s="364"/>
      <c r="DC360" s="364"/>
      <c r="DD360" s="364"/>
      <c r="DE360" s="364"/>
      <c r="DF360" s="364"/>
      <c r="DG360" s="364"/>
      <c r="DH360" s="364"/>
      <c r="DI360" s="364"/>
      <c r="DJ360" s="364"/>
      <c r="DK360" s="364"/>
      <c r="DL360" s="364"/>
      <c r="DM360" s="364"/>
      <c r="DN360" s="364"/>
      <c r="DO360" s="364"/>
      <c r="DP360" s="364"/>
      <c r="DQ360" s="364"/>
      <c r="DR360" s="364"/>
      <c r="DS360" s="364"/>
      <c r="DT360" s="364"/>
      <c r="DU360" s="364"/>
      <c r="DV360" s="364"/>
      <c r="DW360" s="364"/>
      <c r="DX360" s="364"/>
      <c r="DY360" s="364"/>
      <c r="DZ360" s="364"/>
      <c r="EA360" s="364"/>
      <c r="EB360" s="364"/>
      <c r="EC360" s="364"/>
      <c r="ED360" s="364"/>
      <c r="EE360" s="364"/>
      <c r="EF360" s="364"/>
      <c r="EG360" s="364"/>
      <c r="EH360" s="364"/>
      <c r="EI360" s="364"/>
      <c r="EJ360" s="364"/>
      <c r="EK360" s="364"/>
      <c r="EL360" s="364"/>
      <c r="EM360" s="364"/>
      <c r="EN360" s="364"/>
      <c r="EO360" s="364"/>
      <c r="EP360" s="364"/>
      <c r="EQ360" s="364"/>
      <c r="ER360" s="364"/>
      <c r="ES360" s="364"/>
      <c r="ET360" s="364"/>
      <c r="EU360" s="364"/>
      <c r="EV360" s="364"/>
      <c r="EW360" s="364"/>
      <c r="EX360" s="364"/>
      <c r="EY360" s="364"/>
      <c r="EZ360" s="364"/>
      <c r="FA360" s="364"/>
      <c r="FB360" s="364"/>
      <c r="FC360" s="364"/>
      <c r="FD360" s="364"/>
      <c r="FE360" s="364"/>
      <c r="FF360" s="364"/>
      <c r="FG360" s="364"/>
      <c r="FH360" s="364"/>
      <c r="FI360" s="364"/>
      <c r="FJ360" s="364"/>
      <c r="FK360" s="364"/>
      <c r="FL360" s="364"/>
      <c r="FM360" s="364"/>
      <c r="FN360" s="364"/>
      <c r="FO360" s="364"/>
      <c r="FP360" s="364"/>
      <c r="FQ360" s="364"/>
      <c r="FR360" s="364"/>
      <c r="FS360" s="364"/>
      <c r="FT360" s="364"/>
      <c r="FU360" s="364"/>
      <c r="FV360" s="364"/>
      <c r="FW360" s="364"/>
      <c r="FX360" s="364"/>
      <c r="FY360" s="364"/>
      <c r="FZ360" s="364"/>
      <c r="GA360" s="364"/>
      <c r="GB360" s="364"/>
      <c r="GC360" s="364"/>
      <c r="GD360" s="364"/>
      <c r="GE360" s="364"/>
      <c r="GF360" s="364"/>
      <c r="GG360" s="364"/>
      <c r="GH360" s="364"/>
      <c r="GI360" s="364"/>
      <c r="GJ360" s="364"/>
      <c r="GK360" s="364"/>
      <c r="GL360" s="364"/>
      <c r="GM360" s="364"/>
      <c r="GN360" s="364"/>
      <c r="GO360" s="364"/>
      <c r="GP360" s="364"/>
      <c r="GQ360" s="364"/>
      <c r="GR360" s="364"/>
      <c r="GS360" s="364"/>
      <c r="GT360" s="364"/>
      <c r="GU360" s="364"/>
      <c r="GV360" s="364"/>
      <c r="GW360" s="364"/>
      <c r="GX360" s="364"/>
      <c r="GY360" s="364"/>
      <c r="GZ360" s="364"/>
      <c r="HA360" s="364"/>
      <c r="HB360" s="364"/>
      <c r="HC360" s="364"/>
      <c r="HD360" s="364"/>
      <c r="HE360" s="364"/>
      <c r="HF360" s="364"/>
      <c r="HG360" s="364"/>
      <c r="HH360" s="364"/>
      <c r="HI360" s="364"/>
      <c r="HJ360" s="364"/>
      <c r="HK360" s="364"/>
      <c r="HL360" s="364"/>
    </row>
    <row r="361" spans="2:220" s="287" customFormat="1" ht="22.5" customHeight="1">
      <c r="B361" s="365">
        <v>250173</v>
      </c>
      <c r="C361" s="366" t="s">
        <v>433</v>
      </c>
      <c r="D361" s="367"/>
      <c r="E361" s="368"/>
      <c r="F361" s="321" t="s">
        <v>492</v>
      </c>
      <c r="G361" s="326" t="s">
        <v>2076</v>
      </c>
      <c r="H361" s="326" t="s">
        <v>2077</v>
      </c>
      <c r="I361" s="326" t="s">
        <v>11</v>
      </c>
      <c r="J361" s="326" t="s">
        <v>390</v>
      </c>
      <c r="K361" s="326" t="s">
        <v>247</v>
      </c>
      <c r="L361" s="323"/>
      <c r="M361" s="324" t="s">
        <v>10767</v>
      </c>
      <c r="N361" s="325" t="s">
        <v>438</v>
      </c>
      <c r="O361" s="326">
        <v>30</v>
      </c>
      <c r="P361" s="327">
        <v>2144.83</v>
      </c>
      <c r="Q361" s="369">
        <v>2066.35</v>
      </c>
      <c r="R361" s="329" t="s">
        <v>489</v>
      </c>
      <c r="S361" s="331" t="s">
        <v>14085</v>
      </c>
      <c r="T361" s="331" t="s">
        <v>14086</v>
      </c>
      <c r="U361" s="331" t="s">
        <v>16255</v>
      </c>
      <c r="V361" s="331" t="s">
        <v>14087</v>
      </c>
      <c r="W361" s="332" t="s">
        <v>432</v>
      </c>
      <c r="X361" s="331" t="s">
        <v>11079</v>
      </c>
      <c r="Y361" s="331" t="s">
        <v>11080</v>
      </c>
      <c r="Z361" s="331" t="s">
        <v>11080</v>
      </c>
      <c r="AA361" s="331" t="s">
        <v>210</v>
      </c>
      <c r="AB361" s="333" t="s">
        <v>490</v>
      </c>
      <c r="AC361" s="333"/>
      <c r="AD361" s="334" t="s">
        <v>2336</v>
      </c>
      <c r="AE361" s="335" t="s">
        <v>245</v>
      </c>
      <c r="AF361" s="336"/>
      <c r="AG361" s="337"/>
      <c r="AH361" s="417">
        <v>29.4</v>
      </c>
      <c r="AI361" s="392">
        <v>20.9</v>
      </c>
      <c r="AJ361" s="392">
        <v>12.6</v>
      </c>
      <c r="AK361" s="340">
        <f t="shared" si="0"/>
        <v>62.9</v>
      </c>
      <c r="AL361" s="417" t="s">
        <v>210</v>
      </c>
      <c r="AM361" s="392" t="s">
        <v>210</v>
      </c>
      <c r="AN361" s="392" t="s">
        <v>210</v>
      </c>
      <c r="AO361" s="341" t="s">
        <v>210</v>
      </c>
      <c r="AP361" s="342"/>
      <c r="AQ361" s="343"/>
      <c r="AR361" s="370">
        <v>2260</v>
      </c>
      <c r="AS361" s="326">
        <v>100</v>
      </c>
      <c r="AT361" s="392">
        <v>1</v>
      </c>
      <c r="AU361" s="392"/>
      <c r="AV361" s="392">
        <v>0.55000000000000004</v>
      </c>
      <c r="AW361" s="340"/>
      <c r="AX361" s="347"/>
      <c r="AY361" s="348"/>
      <c r="AZ361" s="377"/>
      <c r="BA361" s="374"/>
      <c r="BB361" s="374"/>
      <c r="BC361" s="374"/>
      <c r="BD361" s="374"/>
      <c r="BE361" s="374"/>
      <c r="BF361" s="374"/>
      <c r="BG361" s="374"/>
      <c r="BH361" s="378"/>
      <c r="BI361" s="376"/>
      <c r="BJ361" s="379"/>
      <c r="BK361" s="380"/>
      <c r="BL361" s="348"/>
      <c r="BM361" s="381"/>
      <c r="BN361" s="417" t="s">
        <v>210</v>
      </c>
      <c r="BO361" s="372"/>
      <c r="BP361" s="340" t="s">
        <v>210</v>
      </c>
      <c r="BQ361" s="360"/>
      <c r="BR361" s="361"/>
      <c r="BS361" s="361"/>
      <c r="BT361" s="361"/>
      <c r="BU361" s="342" t="s">
        <v>210</v>
      </c>
      <c r="BV361" s="342" t="s">
        <v>210</v>
      </c>
      <c r="BW361" s="341" t="s">
        <v>15</v>
      </c>
      <c r="BX361" s="361"/>
      <c r="BY361" s="362"/>
      <c r="BZ361" s="363"/>
      <c r="CA361" s="363"/>
      <c r="CB361" s="363"/>
      <c r="CC361" s="363"/>
      <c r="CD361" s="293"/>
      <c r="CE361" s="364"/>
      <c r="CF361" s="364"/>
      <c r="CG361" s="364"/>
      <c r="CH361" s="364"/>
      <c r="CI361" s="364"/>
      <c r="CJ361" s="364"/>
      <c r="CK361" s="364"/>
      <c r="CL361" s="364"/>
      <c r="CM361" s="364"/>
      <c r="CN361" s="364"/>
      <c r="CO361" s="364"/>
      <c r="CP361" s="364"/>
      <c r="CQ361" s="364"/>
      <c r="CR361" s="364"/>
      <c r="CS361" s="364"/>
      <c r="CT361" s="364"/>
      <c r="CU361" s="364"/>
      <c r="CV361" s="364"/>
      <c r="CW361" s="364"/>
      <c r="CX361" s="364"/>
      <c r="CY361" s="364"/>
      <c r="CZ361" s="364"/>
      <c r="DA361" s="364"/>
      <c r="DB361" s="364"/>
      <c r="DC361" s="364"/>
      <c r="DD361" s="364"/>
      <c r="DE361" s="364"/>
      <c r="DF361" s="364"/>
      <c r="DG361" s="364"/>
      <c r="DH361" s="364"/>
      <c r="DI361" s="364"/>
      <c r="DJ361" s="364"/>
      <c r="DK361" s="364"/>
      <c r="DL361" s="364"/>
      <c r="DM361" s="364"/>
      <c r="DN361" s="364"/>
      <c r="DO361" s="364"/>
      <c r="DP361" s="364"/>
      <c r="DQ361" s="364"/>
      <c r="DR361" s="364"/>
      <c r="DS361" s="364"/>
      <c r="DT361" s="364"/>
      <c r="DU361" s="364"/>
      <c r="DV361" s="364"/>
      <c r="DW361" s="364"/>
      <c r="DX361" s="364"/>
      <c r="DY361" s="364"/>
      <c r="DZ361" s="364"/>
      <c r="EA361" s="364"/>
      <c r="EB361" s="364"/>
      <c r="EC361" s="364"/>
      <c r="ED361" s="364"/>
      <c r="EE361" s="364"/>
      <c r="EF361" s="364"/>
      <c r="EG361" s="364"/>
      <c r="EH361" s="364"/>
      <c r="EI361" s="364"/>
      <c r="EJ361" s="364"/>
      <c r="EK361" s="364"/>
      <c r="EL361" s="364"/>
      <c r="EM361" s="364"/>
      <c r="EN361" s="364"/>
      <c r="EO361" s="364"/>
      <c r="EP361" s="364"/>
      <c r="EQ361" s="364"/>
      <c r="ER361" s="364"/>
      <c r="ES361" s="364"/>
      <c r="ET361" s="364"/>
      <c r="EU361" s="364"/>
      <c r="EV361" s="364"/>
      <c r="EW361" s="364"/>
      <c r="EX361" s="364"/>
      <c r="EY361" s="364"/>
      <c r="EZ361" s="364"/>
      <c r="FA361" s="364"/>
      <c r="FB361" s="364"/>
      <c r="FC361" s="364"/>
      <c r="FD361" s="364"/>
      <c r="FE361" s="364"/>
      <c r="FF361" s="364"/>
      <c r="FG361" s="364"/>
      <c r="FH361" s="364"/>
      <c r="FI361" s="364"/>
      <c r="FJ361" s="364"/>
      <c r="FK361" s="364"/>
      <c r="FL361" s="364"/>
      <c r="FM361" s="364"/>
      <c r="FN361" s="364"/>
      <c r="FO361" s="364"/>
      <c r="FP361" s="364"/>
      <c r="FQ361" s="364"/>
      <c r="FR361" s="364"/>
      <c r="FS361" s="364"/>
      <c r="FT361" s="364"/>
      <c r="FU361" s="364"/>
      <c r="FV361" s="364"/>
      <c r="FW361" s="364"/>
      <c r="FX361" s="364"/>
      <c r="FY361" s="364"/>
      <c r="FZ361" s="364"/>
      <c r="GA361" s="364"/>
      <c r="GB361" s="364"/>
      <c r="GC361" s="364"/>
      <c r="GD361" s="364"/>
      <c r="GE361" s="364"/>
      <c r="GF361" s="364"/>
      <c r="GG361" s="364"/>
      <c r="GH361" s="364"/>
      <c r="GI361" s="364"/>
      <c r="GJ361" s="364"/>
      <c r="GK361" s="364"/>
      <c r="GL361" s="364"/>
      <c r="GM361" s="364"/>
      <c r="GN361" s="364"/>
      <c r="GO361" s="364"/>
      <c r="GP361" s="364"/>
      <c r="GQ361" s="364"/>
      <c r="GR361" s="364"/>
      <c r="GS361" s="364"/>
      <c r="GT361" s="364"/>
      <c r="GU361" s="364"/>
      <c r="GV361" s="364"/>
      <c r="GW361" s="364"/>
      <c r="GX361" s="364"/>
      <c r="GY361" s="364"/>
      <c r="GZ361" s="364"/>
      <c r="HA361" s="364"/>
      <c r="HB361" s="364"/>
      <c r="HC361" s="364"/>
      <c r="HD361" s="364"/>
      <c r="HE361" s="364"/>
      <c r="HF361" s="364"/>
      <c r="HG361" s="364"/>
      <c r="HH361" s="364"/>
      <c r="HI361" s="364"/>
      <c r="HJ361" s="364"/>
      <c r="HK361" s="364"/>
      <c r="HL361" s="364"/>
    </row>
    <row r="362" spans="2:220" s="287" customFormat="1" ht="22.5" customHeight="1">
      <c r="B362" s="365">
        <v>250174</v>
      </c>
      <c r="C362" s="366" t="s">
        <v>269</v>
      </c>
      <c r="D362" s="367"/>
      <c r="E362" s="368"/>
      <c r="F362" s="321" t="s">
        <v>226</v>
      </c>
      <c r="G362" s="326" t="s">
        <v>2074</v>
      </c>
      <c r="H362" s="326" t="s">
        <v>2075</v>
      </c>
      <c r="I362" s="326" t="s">
        <v>11</v>
      </c>
      <c r="J362" s="326" t="s">
        <v>414</v>
      </c>
      <c r="K362" s="326" t="s">
        <v>323</v>
      </c>
      <c r="L362" s="432" t="s">
        <v>210</v>
      </c>
      <c r="M362" s="374"/>
      <c r="N362" s="325" t="s">
        <v>438</v>
      </c>
      <c r="O362" s="326">
        <v>30</v>
      </c>
      <c r="P362" s="327" t="s">
        <v>498</v>
      </c>
      <c r="Q362" s="369" t="s">
        <v>498</v>
      </c>
      <c r="R362" s="329" t="s">
        <v>447</v>
      </c>
      <c r="S362" s="332" t="s">
        <v>11188</v>
      </c>
      <c r="T362" s="332" t="s">
        <v>11078</v>
      </c>
      <c r="U362" s="332" t="s">
        <v>16355</v>
      </c>
      <c r="V362" s="332" t="s">
        <v>12158</v>
      </c>
      <c r="W362" s="332" t="s">
        <v>432</v>
      </c>
      <c r="X362" s="331" t="s">
        <v>11079</v>
      </c>
      <c r="Y362" s="331" t="s">
        <v>11080</v>
      </c>
      <c r="Z362" s="331" t="s">
        <v>11080</v>
      </c>
      <c r="AA362" s="331" t="s">
        <v>210</v>
      </c>
      <c r="AB362" s="333"/>
      <c r="AC362" s="333"/>
      <c r="AD362" s="334" t="s">
        <v>272</v>
      </c>
      <c r="AE362" s="335" t="s">
        <v>524</v>
      </c>
      <c r="AF362" s="336"/>
      <c r="AG362" s="337"/>
      <c r="AH362" s="376"/>
      <c r="AI362" s="347"/>
      <c r="AJ362" s="347"/>
      <c r="AK362" s="371">
        <f t="shared" si="0"/>
        <v>0</v>
      </c>
      <c r="AL362" s="417" t="s">
        <v>210</v>
      </c>
      <c r="AM362" s="392" t="s">
        <v>210</v>
      </c>
      <c r="AN362" s="392" t="s">
        <v>210</v>
      </c>
      <c r="AO362" s="341" t="s">
        <v>210</v>
      </c>
      <c r="AP362" s="342"/>
      <c r="AQ362" s="433" t="s">
        <v>4547</v>
      </c>
      <c r="AR362" s="370">
        <v>2947</v>
      </c>
      <c r="AS362" s="326">
        <v>100</v>
      </c>
      <c r="AT362" s="392">
        <v>0.8</v>
      </c>
      <c r="AU362" s="392"/>
      <c r="AV362" s="392">
        <v>1.2</v>
      </c>
      <c r="AW362" s="340"/>
      <c r="AX362" s="432" t="s">
        <v>210</v>
      </c>
      <c r="AY362" s="429" t="s">
        <v>622</v>
      </c>
      <c r="AZ362" s="377"/>
      <c r="BA362" s="374"/>
      <c r="BB362" s="374"/>
      <c r="BC362" s="374"/>
      <c r="BD362" s="374"/>
      <c r="BE362" s="374"/>
      <c r="BF362" s="374"/>
      <c r="BG362" s="374"/>
      <c r="BH362" s="378"/>
      <c r="BI362" s="376"/>
      <c r="BJ362" s="379"/>
      <c r="BK362" s="380"/>
      <c r="BL362" s="348"/>
      <c r="BM362" s="381"/>
      <c r="BN362" s="321" t="s">
        <v>983</v>
      </c>
      <c r="BO362" s="372"/>
      <c r="BP362" s="373" t="s">
        <v>983</v>
      </c>
      <c r="BQ362" s="360"/>
      <c r="BR362" s="361"/>
      <c r="BS362" s="361"/>
      <c r="BT362" s="361"/>
      <c r="BU362" s="342" t="s">
        <v>210</v>
      </c>
      <c r="BV362" s="342" t="s">
        <v>210</v>
      </c>
      <c r="BW362" s="341" t="s">
        <v>15</v>
      </c>
      <c r="BX362" s="361"/>
      <c r="BY362" s="362"/>
      <c r="BZ362" s="363"/>
      <c r="CA362" s="363"/>
      <c r="CB362" s="363"/>
      <c r="CC362" s="363"/>
      <c r="CD362" s="293"/>
      <c r="CE362" s="364"/>
      <c r="CF362" s="364"/>
      <c r="CG362" s="364"/>
      <c r="CH362" s="364"/>
      <c r="CI362" s="364"/>
      <c r="CJ362" s="364"/>
      <c r="CK362" s="364"/>
      <c r="CL362" s="364"/>
      <c r="CM362" s="364"/>
      <c r="CN362" s="364"/>
      <c r="CO362" s="364"/>
      <c r="CP362" s="364"/>
      <c r="CQ362" s="364"/>
      <c r="CR362" s="364"/>
      <c r="CS362" s="364"/>
      <c r="CT362" s="364"/>
      <c r="CU362" s="364"/>
      <c r="CV362" s="364"/>
      <c r="CW362" s="364"/>
      <c r="CX362" s="364"/>
      <c r="CY362" s="364"/>
      <c r="CZ362" s="364"/>
      <c r="DA362" s="364"/>
      <c r="DB362" s="364"/>
      <c r="DC362" s="364"/>
      <c r="DD362" s="364"/>
      <c r="DE362" s="364"/>
      <c r="DF362" s="364"/>
      <c r="DG362" s="364"/>
      <c r="DH362" s="364"/>
      <c r="DI362" s="364"/>
      <c r="DJ362" s="364"/>
      <c r="DK362" s="364"/>
      <c r="DL362" s="364"/>
      <c r="DM362" s="364"/>
      <c r="DN362" s="364"/>
      <c r="DO362" s="364"/>
      <c r="DP362" s="364"/>
      <c r="DQ362" s="364"/>
      <c r="DR362" s="364"/>
      <c r="DS362" s="364"/>
      <c r="DT362" s="364"/>
      <c r="DU362" s="364"/>
      <c r="DV362" s="364"/>
      <c r="DW362" s="364"/>
      <c r="DX362" s="364"/>
      <c r="DY362" s="364"/>
      <c r="DZ362" s="364"/>
      <c r="EA362" s="364"/>
      <c r="EB362" s="364"/>
      <c r="EC362" s="364"/>
      <c r="ED362" s="364"/>
      <c r="EE362" s="364"/>
      <c r="EF362" s="364"/>
      <c r="EG362" s="364"/>
      <c r="EH362" s="364"/>
      <c r="EI362" s="364"/>
      <c r="EJ362" s="364"/>
      <c r="EK362" s="364"/>
      <c r="EL362" s="364"/>
      <c r="EM362" s="364"/>
      <c r="EN362" s="364"/>
      <c r="EO362" s="364"/>
      <c r="EP362" s="364"/>
      <c r="EQ362" s="364"/>
      <c r="ER362" s="364"/>
      <c r="ES362" s="364"/>
      <c r="ET362" s="364"/>
      <c r="EU362" s="364"/>
      <c r="EV362" s="364"/>
      <c r="EW362" s="364"/>
      <c r="EX362" s="364"/>
      <c r="EY362" s="364"/>
      <c r="EZ362" s="364"/>
      <c r="FA362" s="364"/>
      <c r="FB362" s="364"/>
      <c r="FC362" s="364"/>
      <c r="FD362" s="364"/>
      <c r="FE362" s="364"/>
      <c r="FF362" s="364"/>
      <c r="FG362" s="364"/>
      <c r="FH362" s="364"/>
      <c r="FI362" s="364"/>
      <c r="FJ362" s="364"/>
      <c r="FK362" s="364"/>
      <c r="FL362" s="364"/>
      <c r="FM362" s="364"/>
      <c r="FN362" s="364"/>
      <c r="FO362" s="364"/>
      <c r="FP362" s="364"/>
      <c r="FQ362" s="364"/>
      <c r="FR362" s="364"/>
      <c r="FS362" s="364"/>
      <c r="FT362" s="364"/>
      <c r="FU362" s="364"/>
      <c r="FV362" s="364"/>
      <c r="FW362" s="364"/>
      <c r="FX362" s="364"/>
      <c r="FY362" s="364"/>
      <c r="FZ362" s="364"/>
      <c r="GA362" s="364"/>
      <c r="GB362" s="364"/>
      <c r="GC362" s="364"/>
      <c r="GD362" s="364"/>
      <c r="GE362" s="364"/>
      <c r="GF362" s="364"/>
      <c r="GG362" s="364"/>
      <c r="GH362" s="364"/>
      <c r="GI362" s="364"/>
      <c r="GJ362" s="364"/>
      <c r="GK362" s="364"/>
      <c r="GL362" s="364"/>
      <c r="GM362" s="364"/>
      <c r="GN362" s="364"/>
      <c r="GO362" s="364"/>
      <c r="GP362" s="364"/>
      <c r="GQ362" s="364"/>
      <c r="GR362" s="364"/>
      <c r="GS362" s="364"/>
      <c r="GT362" s="364"/>
      <c r="GU362" s="364"/>
      <c r="GV362" s="364"/>
      <c r="GW362" s="364"/>
      <c r="GX362" s="364"/>
      <c r="GY362" s="364"/>
      <c r="GZ362" s="364"/>
      <c r="HA362" s="364"/>
      <c r="HB362" s="364"/>
      <c r="HC362" s="364"/>
      <c r="HD362" s="364"/>
      <c r="HE362" s="364"/>
      <c r="HF362" s="364"/>
      <c r="HG362" s="364"/>
      <c r="HH362" s="364"/>
      <c r="HI362" s="364"/>
      <c r="HJ362" s="364"/>
      <c r="HK362" s="364"/>
      <c r="HL362" s="364"/>
    </row>
    <row r="363" spans="2:220" s="287" customFormat="1" ht="22.5" customHeight="1">
      <c r="B363" s="365">
        <v>250175</v>
      </c>
      <c r="C363" s="366" t="s">
        <v>14057</v>
      </c>
      <c r="D363" s="367"/>
      <c r="E363" s="368"/>
      <c r="F363" s="321" t="s">
        <v>267</v>
      </c>
      <c r="G363" s="326" t="s">
        <v>2101</v>
      </c>
      <c r="H363" s="326" t="s">
        <v>2102</v>
      </c>
      <c r="I363" s="326" t="s">
        <v>766</v>
      </c>
      <c r="J363" s="326" t="s">
        <v>387</v>
      </c>
      <c r="K363" s="326" t="s">
        <v>203</v>
      </c>
      <c r="L363" s="323"/>
      <c r="M363" s="374"/>
      <c r="N363" s="325" t="s">
        <v>488</v>
      </c>
      <c r="O363" s="326" t="s">
        <v>488</v>
      </c>
      <c r="P363" s="327">
        <v>140.33000000000001</v>
      </c>
      <c r="Q363" s="369">
        <v>99.72</v>
      </c>
      <c r="R363" s="420" t="s">
        <v>14061</v>
      </c>
      <c r="S363" s="394" t="s">
        <v>14058</v>
      </c>
      <c r="T363" s="394" t="s">
        <v>14059</v>
      </c>
      <c r="U363" s="394" t="s">
        <v>16290</v>
      </c>
      <c r="V363" s="394" t="s">
        <v>14060</v>
      </c>
      <c r="W363" s="645"/>
      <c r="X363" s="400"/>
      <c r="Y363" s="400"/>
      <c r="Z363" s="400"/>
      <c r="AA363" s="400"/>
      <c r="AB363" s="333" t="s">
        <v>658</v>
      </c>
      <c r="AC363" s="333"/>
      <c r="AD363" s="334" t="s">
        <v>488</v>
      </c>
      <c r="AE363" s="335" t="s">
        <v>488</v>
      </c>
      <c r="AF363" s="336"/>
      <c r="AG363" s="337"/>
      <c r="AH363" s="417" t="s">
        <v>435</v>
      </c>
      <c r="AI363" s="392" t="s">
        <v>435</v>
      </c>
      <c r="AJ363" s="392" t="s">
        <v>435</v>
      </c>
      <c r="AK363" s="340" t="s">
        <v>435</v>
      </c>
      <c r="AL363" s="417" t="s">
        <v>210</v>
      </c>
      <c r="AM363" s="425" t="s">
        <v>8761</v>
      </c>
      <c r="AN363" s="392" t="s">
        <v>210</v>
      </c>
      <c r="AO363" s="341" t="s">
        <v>210</v>
      </c>
      <c r="AP363" s="418"/>
      <c r="AQ363" s="343"/>
      <c r="AR363" s="370">
        <v>143</v>
      </c>
      <c r="AS363" s="326" t="s">
        <v>798</v>
      </c>
      <c r="AT363" s="392">
        <v>0.8</v>
      </c>
      <c r="AU363" s="392"/>
      <c r="AV363" s="392">
        <v>0.8</v>
      </c>
      <c r="AW363" s="340"/>
      <c r="AX363" s="347"/>
      <c r="AY363" s="348"/>
      <c r="AZ363" s="377"/>
      <c r="BA363" s="374"/>
      <c r="BB363" s="374"/>
      <c r="BC363" s="374"/>
      <c r="BD363" s="374"/>
      <c r="BE363" s="374"/>
      <c r="BF363" s="374"/>
      <c r="BG363" s="374"/>
      <c r="BH363" s="378"/>
      <c r="BI363" s="376"/>
      <c r="BJ363" s="379"/>
      <c r="BK363" s="380"/>
      <c r="BL363" s="348"/>
      <c r="BM363" s="381"/>
      <c r="BN363" s="417" t="s">
        <v>210</v>
      </c>
      <c r="BO363" s="372"/>
      <c r="BP363" s="340" t="s">
        <v>210</v>
      </c>
      <c r="BQ363" s="360"/>
      <c r="BR363" s="361"/>
      <c r="BS363" s="361"/>
      <c r="BT363" s="361"/>
      <c r="BU363" s="361"/>
      <c r="BV363" s="418" t="s">
        <v>5411</v>
      </c>
      <c r="BW363" s="341" t="s">
        <v>15</v>
      </c>
      <c r="BX363" s="361"/>
      <c r="BY363" s="362"/>
      <c r="BZ363" s="363"/>
      <c r="CA363" s="363"/>
      <c r="CB363" s="363"/>
      <c r="CC363" s="363"/>
      <c r="CD363" s="293"/>
      <c r="CE363" s="364"/>
      <c r="CF363" s="364"/>
      <c r="CG363" s="364"/>
      <c r="CH363" s="364"/>
      <c r="CI363" s="364"/>
      <c r="CJ363" s="364"/>
      <c r="CK363" s="364"/>
      <c r="CL363" s="364"/>
      <c r="CM363" s="364"/>
      <c r="CN363" s="364"/>
      <c r="CO363" s="364"/>
      <c r="CP363" s="364"/>
      <c r="CQ363" s="364"/>
      <c r="CR363" s="364"/>
      <c r="CS363" s="364"/>
      <c r="CT363" s="364"/>
      <c r="CU363" s="364"/>
      <c r="CV363" s="364"/>
      <c r="CW363" s="364"/>
      <c r="CX363" s="364"/>
      <c r="CY363" s="364"/>
      <c r="CZ363" s="364"/>
      <c r="DA363" s="364"/>
      <c r="DB363" s="364"/>
      <c r="DC363" s="364"/>
      <c r="DD363" s="364"/>
      <c r="DE363" s="364"/>
      <c r="DF363" s="364"/>
      <c r="DG363" s="364"/>
      <c r="DH363" s="364"/>
      <c r="DI363" s="364"/>
      <c r="DJ363" s="364"/>
      <c r="DK363" s="364"/>
      <c r="DL363" s="364"/>
      <c r="DM363" s="364"/>
      <c r="DN363" s="364"/>
      <c r="DO363" s="364"/>
      <c r="DP363" s="364"/>
      <c r="DQ363" s="364"/>
      <c r="DR363" s="364"/>
      <c r="DS363" s="364"/>
      <c r="DT363" s="364"/>
      <c r="DU363" s="364"/>
      <c r="DV363" s="364"/>
      <c r="DW363" s="364"/>
      <c r="DX363" s="364"/>
      <c r="DY363" s="364"/>
      <c r="DZ363" s="364"/>
      <c r="EA363" s="364"/>
      <c r="EB363" s="364"/>
      <c r="EC363" s="364"/>
      <c r="ED363" s="364"/>
      <c r="EE363" s="364"/>
      <c r="EF363" s="364"/>
      <c r="EG363" s="364"/>
      <c r="EH363" s="364"/>
      <c r="EI363" s="364"/>
      <c r="EJ363" s="364"/>
      <c r="EK363" s="364"/>
      <c r="EL363" s="364"/>
      <c r="EM363" s="364"/>
      <c r="EN363" s="364"/>
      <c r="EO363" s="364"/>
      <c r="EP363" s="364"/>
      <c r="EQ363" s="364"/>
      <c r="ER363" s="364"/>
      <c r="ES363" s="364"/>
      <c r="ET363" s="364"/>
      <c r="EU363" s="364"/>
      <c r="EV363" s="364"/>
      <c r="EW363" s="364"/>
      <c r="EX363" s="364"/>
      <c r="EY363" s="364"/>
      <c r="EZ363" s="364"/>
      <c r="FA363" s="364"/>
      <c r="FB363" s="364"/>
      <c r="FC363" s="364"/>
      <c r="FD363" s="364"/>
      <c r="FE363" s="364"/>
      <c r="FF363" s="364"/>
      <c r="FG363" s="364"/>
      <c r="FH363" s="364"/>
      <c r="FI363" s="364"/>
      <c r="FJ363" s="364"/>
      <c r="FK363" s="364"/>
      <c r="FL363" s="364"/>
      <c r="FM363" s="364"/>
      <c r="FN363" s="364"/>
      <c r="FO363" s="364"/>
      <c r="FP363" s="364"/>
      <c r="FQ363" s="364"/>
      <c r="FR363" s="364"/>
      <c r="FS363" s="364"/>
      <c r="FT363" s="364"/>
      <c r="FU363" s="364"/>
      <c r="FV363" s="364"/>
      <c r="FW363" s="364"/>
      <c r="FX363" s="364"/>
      <c r="FY363" s="364"/>
      <c r="FZ363" s="364"/>
      <c r="GA363" s="364"/>
      <c r="GB363" s="364"/>
      <c r="GC363" s="364"/>
      <c r="GD363" s="364"/>
      <c r="GE363" s="364"/>
      <c r="GF363" s="364"/>
      <c r="GG363" s="364"/>
      <c r="GH363" s="364"/>
      <c r="GI363" s="364"/>
      <c r="GJ363" s="364"/>
      <c r="GK363" s="364"/>
      <c r="GL363" s="364"/>
      <c r="GM363" s="364"/>
      <c r="GN363" s="364"/>
      <c r="GO363" s="364"/>
      <c r="GP363" s="364"/>
      <c r="GQ363" s="364"/>
      <c r="GR363" s="364"/>
      <c r="GS363" s="364"/>
      <c r="GT363" s="364"/>
      <c r="GU363" s="364"/>
      <c r="GV363" s="364"/>
      <c r="GW363" s="364"/>
      <c r="GX363" s="364"/>
      <c r="GY363" s="364"/>
      <c r="GZ363" s="364"/>
      <c r="HA363" s="364"/>
      <c r="HB363" s="364"/>
      <c r="HC363" s="364"/>
      <c r="HD363" s="364"/>
      <c r="HE363" s="364"/>
      <c r="HF363" s="364"/>
      <c r="HG363" s="364"/>
      <c r="HH363" s="364"/>
      <c r="HI363" s="364"/>
      <c r="HJ363" s="364"/>
      <c r="HK363" s="364"/>
      <c r="HL363" s="364"/>
    </row>
    <row r="364" spans="2:220" s="287" customFormat="1" ht="22.5" customHeight="1">
      <c r="B364" s="365">
        <v>250176</v>
      </c>
      <c r="C364" s="366" t="s">
        <v>14056</v>
      </c>
      <c r="D364" s="367"/>
      <c r="E364" s="368"/>
      <c r="F364" s="321" t="s">
        <v>483</v>
      </c>
      <c r="G364" s="326" t="s">
        <v>2072</v>
      </c>
      <c r="H364" s="326" t="s">
        <v>2073</v>
      </c>
      <c r="I364" s="326" t="s">
        <v>11</v>
      </c>
      <c r="J364" s="326" t="s">
        <v>414</v>
      </c>
      <c r="K364" s="326" t="s">
        <v>223</v>
      </c>
      <c r="L364" s="323"/>
      <c r="M364" s="324" t="s">
        <v>10767</v>
      </c>
      <c r="N364" s="325" t="s">
        <v>438</v>
      </c>
      <c r="O364" s="326">
        <v>150</v>
      </c>
      <c r="P364" s="327">
        <v>2968</v>
      </c>
      <c r="Q364" s="369">
        <v>2683.31</v>
      </c>
      <c r="R364" s="329" t="s">
        <v>486</v>
      </c>
      <c r="S364" s="331" t="s">
        <v>11299</v>
      </c>
      <c r="T364" s="331" t="s">
        <v>11301</v>
      </c>
      <c r="U364" s="331" t="s">
        <v>11300</v>
      </c>
      <c r="V364" s="331" t="s">
        <v>11302</v>
      </c>
      <c r="W364" s="332" t="s">
        <v>432</v>
      </c>
      <c r="X364" s="331" t="s">
        <v>11079</v>
      </c>
      <c r="Y364" s="331" t="s">
        <v>11080</v>
      </c>
      <c r="Z364" s="331" t="s">
        <v>11080</v>
      </c>
      <c r="AA364" s="331" t="s">
        <v>210</v>
      </c>
      <c r="AB364" s="333"/>
      <c r="AC364" s="333"/>
      <c r="AD364" s="334" t="s">
        <v>2322</v>
      </c>
      <c r="AE364" s="335" t="s">
        <v>671</v>
      </c>
      <c r="AF364" s="336"/>
      <c r="AG364" s="337"/>
      <c r="AH364" s="417">
        <v>7.9</v>
      </c>
      <c r="AI364" s="392">
        <v>30.2</v>
      </c>
      <c r="AJ364" s="392">
        <v>23.5</v>
      </c>
      <c r="AK364" s="340">
        <f t="shared" ref="AK364:AK369" si="1">SUM(AH364:AJ364)</f>
        <v>61.6</v>
      </c>
      <c r="AL364" s="417" t="s">
        <v>210</v>
      </c>
      <c r="AM364" s="392" t="s">
        <v>210</v>
      </c>
      <c r="AN364" s="392" t="s">
        <v>210</v>
      </c>
      <c r="AO364" s="341" t="s">
        <v>210</v>
      </c>
      <c r="AP364" s="342"/>
      <c r="AQ364" s="343"/>
      <c r="AR364" s="370">
        <v>3419</v>
      </c>
      <c r="AS364" s="326">
        <v>100</v>
      </c>
      <c r="AT364" s="392">
        <v>1</v>
      </c>
      <c r="AU364" s="392"/>
      <c r="AV364" s="392">
        <v>1.5</v>
      </c>
      <c r="AW364" s="340"/>
      <c r="AX364" s="347"/>
      <c r="AY364" s="348"/>
      <c r="AZ364" s="377"/>
      <c r="BA364" s="374"/>
      <c r="BB364" s="374"/>
      <c r="BC364" s="374"/>
      <c r="BD364" s="374"/>
      <c r="BE364" s="374"/>
      <c r="BF364" s="374"/>
      <c r="BG364" s="374"/>
      <c r="BH364" s="378"/>
      <c r="BI364" s="376"/>
      <c r="BJ364" s="379"/>
      <c r="BK364" s="380"/>
      <c r="BL364" s="348"/>
      <c r="BM364" s="381"/>
      <c r="BN364" s="417" t="s">
        <v>210</v>
      </c>
      <c r="BO364" s="372"/>
      <c r="BP364" s="340" t="s">
        <v>210</v>
      </c>
      <c r="BQ364" s="360"/>
      <c r="BR364" s="361"/>
      <c r="BS364" s="361"/>
      <c r="BT364" s="361"/>
      <c r="BU364" s="342" t="s">
        <v>210</v>
      </c>
      <c r="BV364" s="342" t="s">
        <v>210</v>
      </c>
      <c r="BW364" s="341" t="s">
        <v>15</v>
      </c>
      <c r="BX364" s="361"/>
      <c r="BY364" s="362" t="s">
        <v>896</v>
      </c>
      <c r="BZ364" s="363"/>
      <c r="CA364" s="363"/>
      <c r="CB364" s="363"/>
      <c r="CC364" s="363"/>
      <c r="CD364" s="293"/>
      <c r="CE364" s="364"/>
      <c r="CF364" s="364"/>
      <c r="CG364" s="364"/>
      <c r="CH364" s="364"/>
      <c r="CI364" s="364"/>
      <c r="CJ364" s="364"/>
      <c r="CK364" s="364"/>
      <c r="CL364" s="364"/>
      <c r="CM364" s="364"/>
      <c r="CN364" s="364"/>
      <c r="CO364" s="364"/>
      <c r="CP364" s="364"/>
      <c r="CQ364" s="364"/>
      <c r="CR364" s="364"/>
      <c r="CS364" s="364"/>
      <c r="CT364" s="364"/>
      <c r="CU364" s="364"/>
      <c r="CV364" s="364"/>
      <c r="CW364" s="364"/>
      <c r="CX364" s="364"/>
      <c r="CY364" s="364"/>
      <c r="CZ364" s="364"/>
      <c r="DA364" s="364"/>
      <c r="DB364" s="364"/>
      <c r="DC364" s="364"/>
      <c r="DD364" s="364"/>
      <c r="DE364" s="364"/>
      <c r="DF364" s="364"/>
      <c r="DG364" s="364"/>
      <c r="DH364" s="364"/>
      <c r="DI364" s="364"/>
      <c r="DJ364" s="364"/>
      <c r="DK364" s="364"/>
      <c r="DL364" s="364"/>
      <c r="DM364" s="364"/>
      <c r="DN364" s="364"/>
      <c r="DO364" s="364"/>
      <c r="DP364" s="364"/>
      <c r="DQ364" s="364"/>
      <c r="DR364" s="364"/>
      <c r="DS364" s="364"/>
      <c r="DT364" s="364"/>
      <c r="DU364" s="364"/>
      <c r="DV364" s="364"/>
      <c r="DW364" s="364"/>
      <c r="DX364" s="364"/>
      <c r="DY364" s="364"/>
      <c r="DZ364" s="364"/>
      <c r="EA364" s="364"/>
      <c r="EB364" s="364"/>
      <c r="EC364" s="364"/>
      <c r="ED364" s="364"/>
      <c r="EE364" s="364"/>
      <c r="EF364" s="364"/>
      <c r="EG364" s="364"/>
      <c r="EH364" s="364"/>
      <c r="EI364" s="364"/>
      <c r="EJ364" s="364"/>
      <c r="EK364" s="364"/>
      <c r="EL364" s="364"/>
      <c r="EM364" s="364"/>
      <c r="EN364" s="364"/>
      <c r="EO364" s="364"/>
      <c r="EP364" s="364"/>
      <c r="EQ364" s="364"/>
      <c r="ER364" s="364"/>
      <c r="ES364" s="364"/>
      <c r="ET364" s="364"/>
      <c r="EU364" s="364"/>
      <c r="EV364" s="364"/>
      <c r="EW364" s="364"/>
      <c r="EX364" s="364"/>
      <c r="EY364" s="364"/>
      <c r="EZ364" s="364"/>
      <c r="FA364" s="364"/>
      <c r="FB364" s="364"/>
      <c r="FC364" s="364"/>
      <c r="FD364" s="364"/>
      <c r="FE364" s="364"/>
      <c r="FF364" s="364"/>
      <c r="FG364" s="364"/>
      <c r="FH364" s="364"/>
      <c r="FI364" s="364"/>
      <c r="FJ364" s="364"/>
      <c r="FK364" s="364"/>
      <c r="FL364" s="364"/>
      <c r="FM364" s="364"/>
      <c r="FN364" s="364"/>
      <c r="FO364" s="364"/>
      <c r="FP364" s="364"/>
      <c r="FQ364" s="364"/>
      <c r="FR364" s="364"/>
      <c r="FS364" s="364"/>
      <c r="FT364" s="364"/>
      <c r="FU364" s="364"/>
      <c r="FV364" s="364"/>
      <c r="FW364" s="364"/>
      <c r="FX364" s="364"/>
      <c r="FY364" s="364"/>
      <c r="FZ364" s="364"/>
      <c r="GA364" s="364"/>
      <c r="GB364" s="364"/>
      <c r="GC364" s="364"/>
      <c r="GD364" s="364"/>
      <c r="GE364" s="364"/>
      <c r="GF364" s="364"/>
      <c r="GG364" s="364"/>
      <c r="GH364" s="364"/>
      <c r="GI364" s="364"/>
      <c r="GJ364" s="364"/>
      <c r="GK364" s="364"/>
      <c r="GL364" s="364"/>
      <c r="GM364" s="364"/>
      <c r="GN364" s="364"/>
      <c r="GO364" s="364"/>
      <c r="GP364" s="364"/>
      <c r="GQ364" s="364"/>
      <c r="GR364" s="364"/>
      <c r="GS364" s="364"/>
      <c r="GT364" s="364"/>
      <c r="GU364" s="364"/>
      <c r="GV364" s="364"/>
      <c r="GW364" s="364"/>
      <c r="GX364" s="364"/>
      <c r="GY364" s="364"/>
      <c r="GZ364" s="364"/>
      <c r="HA364" s="364"/>
      <c r="HB364" s="364"/>
      <c r="HC364" s="364"/>
      <c r="HD364" s="364"/>
      <c r="HE364" s="364"/>
      <c r="HF364" s="364"/>
      <c r="HG364" s="364"/>
      <c r="HH364" s="364"/>
      <c r="HI364" s="364"/>
      <c r="HJ364" s="364"/>
      <c r="HK364" s="364"/>
      <c r="HL364" s="364"/>
    </row>
    <row r="365" spans="2:220" s="287" customFormat="1" ht="22.5" customHeight="1">
      <c r="B365" s="365">
        <v>250177</v>
      </c>
      <c r="C365" s="384" t="s">
        <v>427</v>
      </c>
      <c r="D365" s="393"/>
      <c r="E365" s="386"/>
      <c r="F365" s="321" t="s">
        <v>482</v>
      </c>
      <c r="G365" s="326" t="s">
        <v>1901</v>
      </c>
      <c r="H365" s="326" t="s">
        <v>1902</v>
      </c>
      <c r="I365" s="326" t="s">
        <v>11</v>
      </c>
      <c r="J365" s="326" t="s">
        <v>414</v>
      </c>
      <c r="K365" s="326" t="s">
        <v>247</v>
      </c>
      <c r="L365" s="323"/>
      <c r="M365" s="324" t="s">
        <v>10767</v>
      </c>
      <c r="N365" s="325" t="s">
        <v>437</v>
      </c>
      <c r="O365" s="326">
        <v>30</v>
      </c>
      <c r="P365" s="327">
        <v>457.2</v>
      </c>
      <c r="Q365" s="369">
        <v>488.3</v>
      </c>
      <c r="R365" s="329" t="s">
        <v>431</v>
      </c>
      <c r="S365" s="394" t="s">
        <v>12407</v>
      </c>
      <c r="T365" s="394" t="s">
        <v>12408</v>
      </c>
      <c r="U365" s="394" t="s">
        <v>16411</v>
      </c>
      <c r="V365" s="394" t="s">
        <v>12409</v>
      </c>
      <c r="W365" s="332" t="s">
        <v>432</v>
      </c>
      <c r="X365" s="331" t="s">
        <v>11079</v>
      </c>
      <c r="Y365" s="331" t="s">
        <v>11080</v>
      </c>
      <c r="Z365" s="331" t="s">
        <v>11080</v>
      </c>
      <c r="AA365" s="331" t="s">
        <v>210</v>
      </c>
      <c r="AB365" s="333" t="s">
        <v>487</v>
      </c>
      <c r="AC365" s="333"/>
      <c r="AD365" s="334" t="s">
        <v>2334</v>
      </c>
      <c r="AE365" s="335" t="s">
        <v>488</v>
      </c>
      <c r="AF365" s="336"/>
      <c r="AG365" s="337"/>
      <c r="AH365" s="417">
        <v>17.3</v>
      </c>
      <c r="AI365" s="392">
        <v>25.2</v>
      </c>
      <c r="AJ365" s="392">
        <v>8.4</v>
      </c>
      <c r="AK365" s="340">
        <f t="shared" si="1"/>
        <v>50.9</v>
      </c>
      <c r="AL365" s="417" t="s">
        <v>210</v>
      </c>
      <c r="AM365" s="392" t="s">
        <v>210</v>
      </c>
      <c r="AN365" s="392" t="s">
        <v>210</v>
      </c>
      <c r="AO365" s="341" t="s">
        <v>210</v>
      </c>
      <c r="AP365" s="342"/>
      <c r="AQ365" s="343"/>
      <c r="AR365" s="370">
        <v>652</v>
      </c>
      <c r="AS365" s="326">
        <v>100</v>
      </c>
      <c r="AT365" s="392">
        <v>1</v>
      </c>
      <c r="AU365" s="392"/>
      <c r="AV365" s="392">
        <v>1.2</v>
      </c>
      <c r="AW365" s="340"/>
      <c r="AX365" s="347"/>
      <c r="AY365" s="348"/>
      <c r="AZ365" s="377"/>
      <c r="BA365" s="374"/>
      <c r="BB365" s="374"/>
      <c r="BC365" s="374"/>
      <c r="BD365" s="374"/>
      <c r="BE365" s="374"/>
      <c r="BF365" s="374"/>
      <c r="BG365" s="374"/>
      <c r="BH365" s="378"/>
      <c r="BI365" s="376"/>
      <c r="BJ365" s="379"/>
      <c r="BK365" s="380"/>
      <c r="BL365" s="348"/>
      <c r="BM365" s="381"/>
      <c r="BN365" s="321" t="s">
        <v>983</v>
      </c>
      <c r="BO365" s="372">
        <v>1.1299999999999999</v>
      </c>
      <c r="BP365" s="340" t="s">
        <v>210</v>
      </c>
      <c r="BQ365" s="360"/>
      <c r="BR365" s="361"/>
      <c r="BS365" s="361"/>
      <c r="BT365" s="361"/>
      <c r="BU365" s="342" t="s">
        <v>210</v>
      </c>
      <c r="BV365" s="342" t="s">
        <v>210</v>
      </c>
      <c r="BW365" s="341" t="s">
        <v>15</v>
      </c>
      <c r="BX365" s="361"/>
      <c r="BY365" s="362"/>
      <c r="BZ365" s="363"/>
      <c r="CA365" s="363"/>
      <c r="CB365" s="363"/>
      <c r="CC365" s="363"/>
      <c r="CD365" s="293"/>
      <c r="CE365" s="364"/>
      <c r="CF365" s="364"/>
      <c r="CG365" s="364"/>
      <c r="CH365" s="364"/>
      <c r="CI365" s="364"/>
      <c r="CJ365" s="364"/>
      <c r="CK365" s="364"/>
      <c r="CL365" s="364"/>
      <c r="CM365" s="364"/>
      <c r="CN365" s="364"/>
      <c r="CO365" s="364"/>
      <c r="CP365" s="364"/>
      <c r="CQ365" s="364"/>
      <c r="CR365" s="364"/>
      <c r="CS365" s="364"/>
      <c r="CT365" s="364"/>
      <c r="CU365" s="364"/>
      <c r="CV365" s="364"/>
      <c r="CW365" s="364"/>
      <c r="CX365" s="364"/>
      <c r="CY365" s="364"/>
      <c r="CZ365" s="364"/>
      <c r="DA365" s="364"/>
      <c r="DB365" s="364"/>
      <c r="DC365" s="364"/>
      <c r="DD365" s="364"/>
      <c r="DE365" s="364"/>
      <c r="DF365" s="364"/>
      <c r="DG365" s="364"/>
      <c r="DH365" s="364"/>
      <c r="DI365" s="364"/>
      <c r="DJ365" s="364"/>
      <c r="DK365" s="364"/>
      <c r="DL365" s="364"/>
      <c r="DM365" s="364"/>
      <c r="DN365" s="364"/>
      <c r="DO365" s="364"/>
      <c r="DP365" s="364"/>
      <c r="DQ365" s="364"/>
      <c r="DR365" s="364"/>
      <c r="DS365" s="364"/>
      <c r="DT365" s="364"/>
      <c r="DU365" s="364"/>
      <c r="DV365" s="364"/>
      <c r="DW365" s="364"/>
      <c r="DX365" s="364"/>
      <c r="DY365" s="364"/>
      <c r="DZ365" s="364"/>
      <c r="EA365" s="364"/>
      <c r="EB365" s="364"/>
      <c r="EC365" s="364"/>
      <c r="ED365" s="364"/>
      <c r="EE365" s="364"/>
      <c r="EF365" s="364"/>
      <c r="EG365" s="364"/>
      <c r="EH365" s="364"/>
      <c r="EI365" s="364"/>
      <c r="EJ365" s="364"/>
      <c r="EK365" s="364"/>
      <c r="EL365" s="364"/>
      <c r="EM365" s="364"/>
      <c r="EN365" s="364"/>
      <c r="EO365" s="364"/>
      <c r="EP365" s="364"/>
      <c r="EQ365" s="364"/>
      <c r="ER365" s="364"/>
      <c r="ES365" s="364"/>
      <c r="ET365" s="364"/>
      <c r="EU365" s="364"/>
      <c r="EV365" s="364"/>
      <c r="EW365" s="364"/>
      <c r="EX365" s="364"/>
      <c r="EY365" s="364"/>
      <c r="EZ365" s="364"/>
      <c r="FA365" s="364"/>
      <c r="FB365" s="364"/>
      <c r="FC365" s="364"/>
      <c r="FD365" s="364"/>
      <c r="FE365" s="364"/>
      <c r="FF365" s="364"/>
      <c r="FG365" s="364"/>
      <c r="FH365" s="364"/>
      <c r="FI365" s="364"/>
      <c r="FJ365" s="364"/>
      <c r="FK365" s="364"/>
      <c r="FL365" s="364"/>
      <c r="FM365" s="364"/>
      <c r="FN365" s="364"/>
      <c r="FO365" s="364"/>
      <c r="FP365" s="364"/>
      <c r="FQ365" s="364"/>
      <c r="FR365" s="364"/>
      <c r="FS365" s="364"/>
      <c r="FT365" s="364"/>
      <c r="FU365" s="364"/>
      <c r="FV365" s="364"/>
      <c r="FW365" s="364"/>
      <c r="FX365" s="364"/>
      <c r="FY365" s="364"/>
      <c r="FZ365" s="364"/>
      <c r="GA365" s="364"/>
      <c r="GB365" s="364"/>
      <c r="GC365" s="364"/>
      <c r="GD365" s="364"/>
      <c r="GE365" s="364"/>
      <c r="GF365" s="364"/>
      <c r="GG365" s="364"/>
      <c r="GH365" s="364"/>
      <c r="GI365" s="364"/>
      <c r="GJ365" s="364"/>
      <c r="GK365" s="364"/>
      <c r="GL365" s="364"/>
      <c r="GM365" s="364"/>
      <c r="GN365" s="364"/>
      <c r="GO365" s="364"/>
      <c r="GP365" s="364"/>
      <c r="GQ365" s="364"/>
      <c r="GR365" s="364"/>
      <c r="GS365" s="364"/>
      <c r="GT365" s="364"/>
      <c r="GU365" s="364"/>
      <c r="GV365" s="364"/>
      <c r="GW365" s="364"/>
      <c r="GX365" s="364"/>
      <c r="GY365" s="364"/>
      <c r="GZ365" s="364"/>
      <c r="HA365" s="364"/>
      <c r="HB365" s="364"/>
      <c r="HC365" s="364"/>
      <c r="HD365" s="364"/>
      <c r="HE365" s="364"/>
      <c r="HF365" s="364"/>
      <c r="HG365" s="364"/>
      <c r="HH365" s="364"/>
      <c r="HI365" s="364"/>
      <c r="HJ365" s="364"/>
      <c r="HK365" s="364"/>
      <c r="HL365" s="364"/>
    </row>
    <row r="366" spans="2:220" s="287" customFormat="1" ht="22.5" customHeight="1">
      <c r="B366" s="365">
        <v>250178</v>
      </c>
      <c r="C366" s="384" t="s">
        <v>428</v>
      </c>
      <c r="D366" s="393"/>
      <c r="E366" s="386"/>
      <c r="F366" s="321" t="s">
        <v>482</v>
      </c>
      <c r="G366" s="326" t="s">
        <v>1901</v>
      </c>
      <c r="H366" s="326" t="s">
        <v>1902</v>
      </c>
      <c r="I366" s="326" t="s">
        <v>11</v>
      </c>
      <c r="J366" s="326" t="s">
        <v>414</v>
      </c>
      <c r="K366" s="326" t="s">
        <v>247</v>
      </c>
      <c r="L366" s="323"/>
      <c r="M366" s="324" t="s">
        <v>10767</v>
      </c>
      <c r="N366" s="325" t="s">
        <v>437</v>
      </c>
      <c r="O366" s="326">
        <v>30</v>
      </c>
      <c r="P366" s="327">
        <v>432</v>
      </c>
      <c r="Q366" s="369">
        <v>455</v>
      </c>
      <c r="R366" s="329" t="s">
        <v>431</v>
      </c>
      <c r="S366" s="394" t="s">
        <v>12407</v>
      </c>
      <c r="T366" s="394" t="s">
        <v>12408</v>
      </c>
      <c r="U366" s="394" t="s">
        <v>16411</v>
      </c>
      <c r="V366" s="394" t="s">
        <v>12409</v>
      </c>
      <c r="W366" s="332" t="s">
        <v>432</v>
      </c>
      <c r="X366" s="331" t="s">
        <v>11079</v>
      </c>
      <c r="Y366" s="331" t="s">
        <v>11080</v>
      </c>
      <c r="Z366" s="331" t="s">
        <v>11080</v>
      </c>
      <c r="AA366" s="331" t="s">
        <v>210</v>
      </c>
      <c r="AB366" s="333" t="s">
        <v>487</v>
      </c>
      <c r="AC366" s="333"/>
      <c r="AD366" s="334" t="s">
        <v>2334</v>
      </c>
      <c r="AE366" s="335" t="s">
        <v>488</v>
      </c>
      <c r="AF366" s="336"/>
      <c r="AG366" s="337"/>
      <c r="AH366" s="417">
        <v>17.3</v>
      </c>
      <c r="AI366" s="392">
        <v>25.2</v>
      </c>
      <c r="AJ366" s="392">
        <v>8.4</v>
      </c>
      <c r="AK366" s="340">
        <f t="shared" si="1"/>
        <v>50.9</v>
      </c>
      <c r="AL366" s="417" t="s">
        <v>210</v>
      </c>
      <c r="AM366" s="392" t="s">
        <v>210</v>
      </c>
      <c r="AN366" s="392" t="s">
        <v>210</v>
      </c>
      <c r="AO366" s="341" t="s">
        <v>210</v>
      </c>
      <c r="AP366" s="342"/>
      <c r="AQ366" s="343"/>
      <c r="AR366" s="370">
        <v>611</v>
      </c>
      <c r="AS366" s="326">
        <v>100</v>
      </c>
      <c r="AT366" s="392">
        <v>1</v>
      </c>
      <c r="AU366" s="392"/>
      <c r="AV366" s="392">
        <v>1.2</v>
      </c>
      <c r="AW366" s="340"/>
      <c r="AX366" s="347"/>
      <c r="AY366" s="348"/>
      <c r="AZ366" s="377"/>
      <c r="BA366" s="374"/>
      <c r="BB366" s="374"/>
      <c r="BC366" s="374"/>
      <c r="BD366" s="374"/>
      <c r="BE366" s="374"/>
      <c r="BF366" s="374"/>
      <c r="BG366" s="374"/>
      <c r="BH366" s="378"/>
      <c r="BI366" s="376"/>
      <c r="BJ366" s="379"/>
      <c r="BK366" s="380"/>
      <c r="BL366" s="348"/>
      <c r="BM366" s="381"/>
      <c r="BN366" s="321" t="s">
        <v>983</v>
      </c>
      <c r="BO366" s="372">
        <v>1.1299999999999999</v>
      </c>
      <c r="BP366" s="340" t="s">
        <v>210</v>
      </c>
      <c r="BQ366" s="360"/>
      <c r="BR366" s="361"/>
      <c r="BS366" s="361"/>
      <c r="BT366" s="361"/>
      <c r="BU366" s="342" t="s">
        <v>210</v>
      </c>
      <c r="BV366" s="342" t="s">
        <v>210</v>
      </c>
      <c r="BW366" s="341" t="s">
        <v>15</v>
      </c>
      <c r="BX366" s="361"/>
      <c r="BY366" s="362"/>
      <c r="BZ366" s="363"/>
      <c r="CA366" s="363"/>
      <c r="CB366" s="363"/>
      <c r="CC366" s="363"/>
      <c r="CD366" s="293"/>
      <c r="CE366" s="364"/>
      <c r="CF366" s="364"/>
      <c r="CG366" s="364"/>
      <c r="CH366" s="364"/>
      <c r="CI366" s="364"/>
      <c r="CJ366" s="364"/>
      <c r="CK366" s="364"/>
      <c r="CL366" s="364"/>
      <c r="CM366" s="364"/>
      <c r="CN366" s="364"/>
      <c r="CO366" s="364"/>
      <c r="CP366" s="364"/>
      <c r="CQ366" s="364"/>
      <c r="CR366" s="364"/>
      <c r="CS366" s="364"/>
      <c r="CT366" s="364"/>
      <c r="CU366" s="364"/>
      <c r="CV366" s="364"/>
      <c r="CW366" s="364"/>
      <c r="CX366" s="364"/>
      <c r="CY366" s="364"/>
      <c r="CZ366" s="364"/>
      <c r="DA366" s="364"/>
      <c r="DB366" s="364"/>
      <c r="DC366" s="364"/>
      <c r="DD366" s="364"/>
      <c r="DE366" s="364"/>
      <c r="DF366" s="364"/>
      <c r="DG366" s="364"/>
      <c r="DH366" s="364"/>
      <c r="DI366" s="364"/>
      <c r="DJ366" s="364"/>
      <c r="DK366" s="364"/>
      <c r="DL366" s="364"/>
      <c r="DM366" s="364"/>
      <c r="DN366" s="364"/>
      <c r="DO366" s="364"/>
      <c r="DP366" s="364"/>
      <c r="DQ366" s="364"/>
      <c r="DR366" s="364"/>
      <c r="DS366" s="364"/>
      <c r="DT366" s="364"/>
      <c r="DU366" s="364"/>
      <c r="DV366" s="364"/>
      <c r="DW366" s="364"/>
      <c r="DX366" s="364"/>
      <c r="DY366" s="364"/>
      <c r="DZ366" s="364"/>
      <c r="EA366" s="364"/>
      <c r="EB366" s="364"/>
      <c r="EC366" s="364"/>
      <c r="ED366" s="364"/>
      <c r="EE366" s="364"/>
      <c r="EF366" s="364"/>
      <c r="EG366" s="364"/>
      <c r="EH366" s="364"/>
      <c r="EI366" s="364"/>
      <c r="EJ366" s="364"/>
      <c r="EK366" s="364"/>
      <c r="EL366" s="364"/>
      <c r="EM366" s="364"/>
      <c r="EN366" s="364"/>
      <c r="EO366" s="364"/>
      <c r="EP366" s="364"/>
      <c r="EQ366" s="364"/>
      <c r="ER366" s="364"/>
      <c r="ES366" s="364"/>
      <c r="ET366" s="364"/>
      <c r="EU366" s="364"/>
      <c r="EV366" s="364"/>
      <c r="EW366" s="364"/>
      <c r="EX366" s="364"/>
      <c r="EY366" s="364"/>
      <c r="EZ366" s="364"/>
      <c r="FA366" s="364"/>
      <c r="FB366" s="364"/>
      <c r="FC366" s="364"/>
      <c r="FD366" s="364"/>
      <c r="FE366" s="364"/>
      <c r="FF366" s="364"/>
      <c r="FG366" s="364"/>
      <c r="FH366" s="364"/>
      <c r="FI366" s="364"/>
      <c r="FJ366" s="364"/>
      <c r="FK366" s="364"/>
      <c r="FL366" s="364"/>
      <c r="FM366" s="364"/>
      <c r="FN366" s="364"/>
      <c r="FO366" s="364"/>
      <c r="FP366" s="364"/>
      <c r="FQ366" s="364"/>
      <c r="FR366" s="364"/>
      <c r="FS366" s="364"/>
      <c r="FT366" s="364"/>
      <c r="FU366" s="364"/>
      <c r="FV366" s="364"/>
      <c r="FW366" s="364"/>
      <c r="FX366" s="364"/>
      <c r="FY366" s="364"/>
      <c r="FZ366" s="364"/>
      <c r="GA366" s="364"/>
      <c r="GB366" s="364"/>
      <c r="GC366" s="364"/>
      <c r="GD366" s="364"/>
      <c r="GE366" s="364"/>
      <c r="GF366" s="364"/>
      <c r="GG366" s="364"/>
      <c r="GH366" s="364"/>
      <c r="GI366" s="364"/>
      <c r="GJ366" s="364"/>
      <c r="GK366" s="364"/>
      <c r="GL366" s="364"/>
      <c r="GM366" s="364"/>
      <c r="GN366" s="364"/>
      <c r="GO366" s="364"/>
      <c r="GP366" s="364"/>
      <c r="GQ366" s="364"/>
      <c r="GR366" s="364"/>
      <c r="GS366" s="364"/>
      <c r="GT366" s="364"/>
      <c r="GU366" s="364"/>
      <c r="GV366" s="364"/>
      <c r="GW366" s="364"/>
      <c r="GX366" s="364"/>
      <c r="GY366" s="364"/>
      <c r="GZ366" s="364"/>
      <c r="HA366" s="364"/>
      <c r="HB366" s="364"/>
      <c r="HC366" s="364"/>
      <c r="HD366" s="364"/>
      <c r="HE366" s="364"/>
      <c r="HF366" s="364"/>
      <c r="HG366" s="364"/>
      <c r="HH366" s="364"/>
      <c r="HI366" s="364"/>
      <c r="HJ366" s="364"/>
      <c r="HK366" s="364"/>
      <c r="HL366" s="364"/>
    </row>
    <row r="367" spans="2:220" s="287" customFormat="1" ht="22.5" customHeight="1">
      <c r="B367" s="365">
        <v>250179</v>
      </c>
      <c r="C367" s="384" t="s">
        <v>429</v>
      </c>
      <c r="D367" s="393"/>
      <c r="E367" s="386"/>
      <c r="F367" s="321" t="s">
        <v>482</v>
      </c>
      <c r="G367" s="326" t="s">
        <v>1901</v>
      </c>
      <c r="H367" s="326" t="s">
        <v>1902</v>
      </c>
      <c r="I367" s="326" t="s">
        <v>11</v>
      </c>
      <c r="J367" s="326" t="s">
        <v>414</v>
      </c>
      <c r="K367" s="326" t="s">
        <v>247</v>
      </c>
      <c r="L367" s="323"/>
      <c r="M367" s="374"/>
      <c r="N367" s="325" t="s">
        <v>437</v>
      </c>
      <c r="O367" s="326">
        <v>30</v>
      </c>
      <c r="P367" s="327">
        <v>302.25</v>
      </c>
      <c r="Q367" s="369">
        <v>333.25</v>
      </c>
      <c r="R367" s="329" t="s">
        <v>431</v>
      </c>
      <c r="S367" s="394" t="s">
        <v>12407</v>
      </c>
      <c r="T367" s="394" t="s">
        <v>12408</v>
      </c>
      <c r="U367" s="394" t="s">
        <v>16411</v>
      </c>
      <c r="V367" s="394" t="s">
        <v>12409</v>
      </c>
      <c r="W367" s="332" t="s">
        <v>432</v>
      </c>
      <c r="X367" s="331" t="s">
        <v>11079</v>
      </c>
      <c r="Y367" s="331" t="s">
        <v>11080</v>
      </c>
      <c r="Z367" s="331" t="s">
        <v>11080</v>
      </c>
      <c r="AA367" s="331" t="s">
        <v>210</v>
      </c>
      <c r="AB367" s="333" t="s">
        <v>487</v>
      </c>
      <c r="AC367" s="333"/>
      <c r="AD367" s="334" t="s">
        <v>2334</v>
      </c>
      <c r="AE367" s="335" t="s">
        <v>488</v>
      </c>
      <c r="AF367" s="336"/>
      <c r="AG367" s="337"/>
      <c r="AH367" s="376"/>
      <c r="AI367" s="347"/>
      <c r="AJ367" s="347"/>
      <c r="AK367" s="371">
        <f t="shared" si="1"/>
        <v>0</v>
      </c>
      <c r="AL367" s="417" t="s">
        <v>210</v>
      </c>
      <c r="AM367" s="392" t="s">
        <v>210</v>
      </c>
      <c r="AN367" s="392" t="s">
        <v>210</v>
      </c>
      <c r="AO367" s="341" t="s">
        <v>210</v>
      </c>
      <c r="AP367" s="342"/>
      <c r="AQ367" s="343"/>
      <c r="AR367" s="370">
        <v>437</v>
      </c>
      <c r="AS367" s="326">
        <v>100</v>
      </c>
      <c r="AT367" s="392">
        <v>1</v>
      </c>
      <c r="AU367" s="392"/>
      <c r="AV367" s="392">
        <v>1.2</v>
      </c>
      <c r="AW367" s="340"/>
      <c r="AX367" s="347"/>
      <c r="AY367" s="348"/>
      <c r="AZ367" s="377"/>
      <c r="BA367" s="374"/>
      <c r="BB367" s="374"/>
      <c r="BC367" s="374"/>
      <c r="BD367" s="374"/>
      <c r="BE367" s="374"/>
      <c r="BF367" s="374"/>
      <c r="BG367" s="374"/>
      <c r="BH367" s="378"/>
      <c r="BI367" s="376"/>
      <c r="BJ367" s="379"/>
      <c r="BK367" s="380"/>
      <c r="BL367" s="348"/>
      <c r="BM367" s="381"/>
      <c r="BN367" s="321" t="s">
        <v>983</v>
      </c>
      <c r="BO367" s="372">
        <v>1.4</v>
      </c>
      <c r="BP367" s="340" t="s">
        <v>210</v>
      </c>
      <c r="BQ367" s="360"/>
      <c r="BR367" s="361"/>
      <c r="BS367" s="361"/>
      <c r="BT367" s="361"/>
      <c r="BU367" s="342" t="s">
        <v>210</v>
      </c>
      <c r="BV367" s="342" t="s">
        <v>210</v>
      </c>
      <c r="BW367" s="341" t="s">
        <v>15</v>
      </c>
      <c r="BX367" s="361"/>
      <c r="BY367" s="362"/>
      <c r="BZ367" s="363"/>
      <c r="CA367" s="363"/>
      <c r="CB367" s="363"/>
      <c r="CC367" s="363"/>
      <c r="CD367" s="293"/>
      <c r="CE367" s="364"/>
      <c r="CF367" s="364"/>
      <c r="CG367" s="364"/>
      <c r="CH367" s="364"/>
      <c r="CI367" s="364"/>
      <c r="CJ367" s="364"/>
      <c r="CK367" s="364"/>
      <c r="CL367" s="364"/>
      <c r="CM367" s="364"/>
      <c r="CN367" s="364"/>
      <c r="CO367" s="364"/>
      <c r="CP367" s="364"/>
      <c r="CQ367" s="364"/>
      <c r="CR367" s="364"/>
      <c r="CS367" s="364"/>
      <c r="CT367" s="364"/>
      <c r="CU367" s="364"/>
      <c r="CV367" s="364"/>
      <c r="CW367" s="364"/>
      <c r="CX367" s="364"/>
      <c r="CY367" s="364"/>
      <c r="CZ367" s="364"/>
      <c r="DA367" s="364"/>
      <c r="DB367" s="364"/>
      <c r="DC367" s="364"/>
      <c r="DD367" s="364"/>
      <c r="DE367" s="364"/>
      <c r="DF367" s="364"/>
      <c r="DG367" s="364"/>
      <c r="DH367" s="364"/>
      <c r="DI367" s="364"/>
      <c r="DJ367" s="364"/>
      <c r="DK367" s="364"/>
      <c r="DL367" s="364"/>
      <c r="DM367" s="364"/>
      <c r="DN367" s="364"/>
      <c r="DO367" s="364"/>
      <c r="DP367" s="364"/>
      <c r="DQ367" s="364"/>
      <c r="DR367" s="364"/>
      <c r="DS367" s="364"/>
      <c r="DT367" s="364"/>
      <c r="DU367" s="364"/>
      <c r="DV367" s="364"/>
      <c r="DW367" s="364"/>
      <c r="DX367" s="364"/>
      <c r="DY367" s="364"/>
      <c r="DZ367" s="364"/>
      <c r="EA367" s="364"/>
      <c r="EB367" s="364"/>
      <c r="EC367" s="364"/>
      <c r="ED367" s="364"/>
      <c r="EE367" s="364"/>
      <c r="EF367" s="364"/>
      <c r="EG367" s="364"/>
      <c r="EH367" s="364"/>
      <c r="EI367" s="364"/>
      <c r="EJ367" s="364"/>
      <c r="EK367" s="364"/>
      <c r="EL367" s="364"/>
      <c r="EM367" s="364"/>
      <c r="EN367" s="364"/>
      <c r="EO367" s="364"/>
      <c r="EP367" s="364"/>
      <c r="EQ367" s="364"/>
      <c r="ER367" s="364"/>
      <c r="ES367" s="364"/>
      <c r="ET367" s="364"/>
      <c r="EU367" s="364"/>
      <c r="EV367" s="364"/>
      <c r="EW367" s="364"/>
      <c r="EX367" s="364"/>
      <c r="EY367" s="364"/>
      <c r="EZ367" s="364"/>
      <c r="FA367" s="364"/>
      <c r="FB367" s="364"/>
      <c r="FC367" s="364"/>
      <c r="FD367" s="364"/>
      <c r="FE367" s="364"/>
      <c r="FF367" s="364"/>
      <c r="FG367" s="364"/>
      <c r="FH367" s="364"/>
      <c r="FI367" s="364"/>
      <c r="FJ367" s="364"/>
      <c r="FK367" s="364"/>
      <c r="FL367" s="364"/>
      <c r="FM367" s="364"/>
      <c r="FN367" s="364"/>
      <c r="FO367" s="364"/>
      <c r="FP367" s="364"/>
      <c r="FQ367" s="364"/>
      <c r="FR367" s="364"/>
      <c r="FS367" s="364"/>
      <c r="FT367" s="364"/>
      <c r="FU367" s="364"/>
      <c r="FV367" s="364"/>
      <c r="FW367" s="364"/>
      <c r="FX367" s="364"/>
      <c r="FY367" s="364"/>
      <c r="FZ367" s="364"/>
      <c r="GA367" s="364"/>
      <c r="GB367" s="364"/>
      <c r="GC367" s="364"/>
      <c r="GD367" s="364"/>
      <c r="GE367" s="364"/>
      <c r="GF367" s="364"/>
      <c r="GG367" s="364"/>
      <c r="GH367" s="364"/>
      <c r="GI367" s="364"/>
      <c r="GJ367" s="364"/>
      <c r="GK367" s="364"/>
      <c r="GL367" s="364"/>
      <c r="GM367" s="364"/>
      <c r="GN367" s="364"/>
      <c r="GO367" s="364"/>
      <c r="GP367" s="364"/>
      <c r="GQ367" s="364"/>
      <c r="GR367" s="364"/>
      <c r="GS367" s="364"/>
      <c r="GT367" s="364"/>
      <c r="GU367" s="364"/>
      <c r="GV367" s="364"/>
      <c r="GW367" s="364"/>
      <c r="GX367" s="364"/>
      <c r="GY367" s="364"/>
      <c r="GZ367" s="364"/>
      <c r="HA367" s="364"/>
      <c r="HB367" s="364"/>
      <c r="HC367" s="364"/>
      <c r="HD367" s="364"/>
      <c r="HE367" s="364"/>
      <c r="HF367" s="364"/>
      <c r="HG367" s="364"/>
      <c r="HH367" s="364"/>
      <c r="HI367" s="364"/>
      <c r="HJ367" s="364"/>
      <c r="HK367" s="364"/>
      <c r="HL367" s="364"/>
    </row>
    <row r="368" spans="2:220" s="434" customFormat="1" ht="22.5" customHeight="1">
      <c r="B368" s="365">
        <v>250180</v>
      </c>
      <c r="C368" s="384" t="s">
        <v>430</v>
      </c>
      <c r="D368" s="393"/>
      <c r="E368" s="386"/>
      <c r="F368" s="321" t="s">
        <v>482</v>
      </c>
      <c r="G368" s="326" t="s">
        <v>1901</v>
      </c>
      <c r="H368" s="326" t="s">
        <v>1902</v>
      </c>
      <c r="I368" s="326" t="s">
        <v>11</v>
      </c>
      <c r="J368" s="326" t="s">
        <v>414</v>
      </c>
      <c r="K368" s="326" t="s">
        <v>247</v>
      </c>
      <c r="L368" s="323"/>
      <c r="M368" s="324" t="s">
        <v>10767</v>
      </c>
      <c r="N368" s="325" t="s">
        <v>437</v>
      </c>
      <c r="O368" s="326">
        <v>30</v>
      </c>
      <c r="P368" s="327">
        <v>360</v>
      </c>
      <c r="Q368" s="369">
        <v>390</v>
      </c>
      <c r="R368" s="329" t="s">
        <v>431</v>
      </c>
      <c r="S368" s="394" t="s">
        <v>12407</v>
      </c>
      <c r="T368" s="394" t="s">
        <v>12408</v>
      </c>
      <c r="U368" s="394" t="s">
        <v>16411</v>
      </c>
      <c r="V368" s="394" t="s">
        <v>12409</v>
      </c>
      <c r="W368" s="332" t="s">
        <v>432</v>
      </c>
      <c r="X368" s="331" t="s">
        <v>11079</v>
      </c>
      <c r="Y368" s="331" t="s">
        <v>11080</v>
      </c>
      <c r="Z368" s="331" t="s">
        <v>11080</v>
      </c>
      <c r="AA368" s="331" t="s">
        <v>210</v>
      </c>
      <c r="AB368" s="333" t="s">
        <v>487</v>
      </c>
      <c r="AC368" s="333"/>
      <c r="AD368" s="334" t="s">
        <v>2334</v>
      </c>
      <c r="AE368" s="335" t="s">
        <v>488</v>
      </c>
      <c r="AF368" s="336"/>
      <c r="AG368" s="337"/>
      <c r="AH368" s="417">
        <v>14.8</v>
      </c>
      <c r="AI368" s="392">
        <v>23.4</v>
      </c>
      <c r="AJ368" s="392">
        <v>11.8</v>
      </c>
      <c r="AK368" s="340">
        <f t="shared" si="1"/>
        <v>50</v>
      </c>
      <c r="AL368" s="417" t="s">
        <v>210</v>
      </c>
      <c r="AM368" s="392" t="s">
        <v>210</v>
      </c>
      <c r="AN368" s="392" t="s">
        <v>210</v>
      </c>
      <c r="AO368" s="341" t="s">
        <v>210</v>
      </c>
      <c r="AP368" s="342"/>
      <c r="AQ368" s="343"/>
      <c r="AR368" s="370">
        <v>489</v>
      </c>
      <c r="AS368" s="326">
        <v>100</v>
      </c>
      <c r="AT368" s="392">
        <v>1</v>
      </c>
      <c r="AU368" s="392"/>
      <c r="AV368" s="392">
        <v>1.2</v>
      </c>
      <c r="AW368" s="340"/>
      <c r="AX368" s="347"/>
      <c r="AY368" s="348"/>
      <c r="AZ368" s="377"/>
      <c r="BA368" s="374"/>
      <c r="BB368" s="374"/>
      <c r="BC368" s="374"/>
      <c r="BD368" s="374"/>
      <c r="BE368" s="374"/>
      <c r="BF368" s="374"/>
      <c r="BG368" s="374"/>
      <c r="BH368" s="378"/>
      <c r="BI368" s="376"/>
      <c r="BJ368" s="379"/>
      <c r="BK368" s="380"/>
      <c r="BL368" s="348"/>
      <c r="BM368" s="381"/>
      <c r="BN368" s="321" t="s">
        <v>983</v>
      </c>
      <c r="BO368" s="372">
        <v>1.39</v>
      </c>
      <c r="BP368" s="340" t="s">
        <v>210</v>
      </c>
      <c r="BQ368" s="360"/>
      <c r="BR368" s="361"/>
      <c r="BS368" s="361"/>
      <c r="BT368" s="361"/>
      <c r="BU368" s="342" t="s">
        <v>210</v>
      </c>
      <c r="BV368" s="342" t="s">
        <v>210</v>
      </c>
      <c r="BW368" s="341" t="s">
        <v>15</v>
      </c>
      <c r="BX368" s="361"/>
      <c r="BY368" s="362"/>
      <c r="BZ368" s="363"/>
      <c r="CA368" s="363"/>
      <c r="CB368" s="363"/>
      <c r="CC368" s="363"/>
      <c r="CD368" s="293"/>
      <c r="CE368" s="364"/>
      <c r="CF368" s="364"/>
      <c r="CG368" s="364"/>
      <c r="CH368" s="364"/>
      <c r="CI368" s="364"/>
      <c r="CJ368" s="364"/>
      <c r="CK368" s="364"/>
      <c r="CL368" s="364"/>
      <c r="CM368" s="364"/>
      <c r="CN368" s="364"/>
      <c r="CO368" s="364"/>
      <c r="CP368" s="364"/>
      <c r="CQ368" s="364"/>
      <c r="CR368" s="364"/>
      <c r="CS368" s="364"/>
      <c r="CT368" s="364"/>
      <c r="CU368" s="364"/>
      <c r="CV368" s="364"/>
      <c r="CW368" s="364"/>
      <c r="CX368" s="364"/>
      <c r="CY368" s="364"/>
      <c r="CZ368" s="364"/>
      <c r="DA368" s="364"/>
      <c r="DB368" s="364"/>
      <c r="DC368" s="364"/>
      <c r="DD368" s="364"/>
      <c r="DE368" s="364"/>
      <c r="DF368" s="364"/>
      <c r="DG368" s="364"/>
      <c r="DH368" s="364"/>
      <c r="DI368" s="364"/>
      <c r="DJ368" s="364"/>
      <c r="DK368" s="364"/>
      <c r="DL368" s="364"/>
      <c r="DM368" s="364"/>
      <c r="DN368" s="364"/>
      <c r="DO368" s="364"/>
      <c r="DP368" s="364"/>
      <c r="DQ368" s="364"/>
      <c r="DR368" s="364"/>
      <c r="DS368" s="364"/>
      <c r="DT368" s="364"/>
      <c r="DU368" s="364"/>
      <c r="DV368" s="364"/>
      <c r="DW368" s="364"/>
      <c r="DX368" s="364"/>
      <c r="DY368" s="364"/>
      <c r="DZ368" s="364"/>
      <c r="EA368" s="364"/>
      <c r="EB368" s="364"/>
      <c r="EC368" s="364"/>
      <c r="ED368" s="364"/>
      <c r="EE368" s="364"/>
      <c r="EF368" s="364"/>
      <c r="EG368" s="364"/>
      <c r="EH368" s="364"/>
      <c r="EI368" s="364"/>
      <c r="EJ368" s="364"/>
      <c r="EK368" s="364"/>
      <c r="EL368" s="364"/>
      <c r="EM368" s="364"/>
      <c r="EN368" s="364"/>
      <c r="EO368" s="364"/>
      <c r="EP368" s="364"/>
      <c r="EQ368" s="364"/>
      <c r="ER368" s="364"/>
      <c r="ES368" s="364"/>
      <c r="ET368" s="364"/>
      <c r="EU368" s="364"/>
      <c r="EV368" s="364"/>
      <c r="EW368" s="364"/>
      <c r="EX368" s="364"/>
      <c r="EY368" s="364"/>
      <c r="EZ368" s="364"/>
      <c r="FA368" s="364"/>
      <c r="FB368" s="364"/>
      <c r="FC368" s="364"/>
      <c r="FD368" s="364"/>
      <c r="FE368" s="364"/>
      <c r="FF368" s="364"/>
      <c r="FG368" s="364"/>
      <c r="FH368" s="364"/>
      <c r="FI368" s="364"/>
      <c r="FJ368" s="364"/>
      <c r="FK368" s="364"/>
      <c r="FL368" s="364"/>
      <c r="FM368" s="364"/>
      <c r="FN368" s="364"/>
      <c r="FO368" s="364"/>
      <c r="FP368" s="364"/>
      <c r="FQ368" s="364"/>
      <c r="FR368" s="364"/>
      <c r="FS368" s="364"/>
      <c r="FT368" s="364"/>
      <c r="FU368" s="364"/>
      <c r="FV368" s="364"/>
      <c r="FW368" s="364"/>
      <c r="FX368" s="364"/>
      <c r="FY368" s="364"/>
      <c r="FZ368" s="364"/>
      <c r="GA368" s="364"/>
      <c r="GB368" s="364"/>
      <c r="GC368" s="364"/>
      <c r="GD368" s="364"/>
      <c r="GE368" s="364"/>
      <c r="GF368" s="364"/>
      <c r="GG368" s="364"/>
      <c r="GH368" s="364"/>
      <c r="GI368" s="364"/>
      <c r="GJ368" s="364"/>
      <c r="GK368" s="364"/>
      <c r="GL368" s="364"/>
      <c r="GM368" s="364"/>
      <c r="GN368" s="364"/>
      <c r="GO368" s="364"/>
      <c r="GP368" s="364"/>
      <c r="GQ368" s="364"/>
      <c r="GR368" s="364"/>
      <c r="GS368" s="364"/>
      <c r="GT368" s="364"/>
      <c r="GU368" s="364"/>
      <c r="GV368" s="364"/>
      <c r="GW368" s="364"/>
      <c r="GX368" s="364"/>
      <c r="GY368" s="364"/>
      <c r="GZ368" s="364"/>
      <c r="HA368" s="364"/>
      <c r="HB368" s="364"/>
      <c r="HC368" s="364"/>
      <c r="HD368" s="364"/>
      <c r="HE368" s="364"/>
      <c r="HF368" s="364"/>
      <c r="HG368" s="364"/>
      <c r="HH368" s="364"/>
      <c r="HI368" s="364"/>
      <c r="HJ368" s="364"/>
      <c r="HK368" s="364"/>
      <c r="HL368" s="364"/>
    </row>
    <row r="369" spans="1:220" s="287" customFormat="1" ht="22.5" customHeight="1">
      <c r="B369" s="365">
        <v>250181</v>
      </c>
      <c r="C369" s="435" t="s">
        <v>426</v>
      </c>
      <c r="D369" s="436"/>
      <c r="E369" s="437"/>
      <c r="F369" s="321" t="s">
        <v>483</v>
      </c>
      <c r="G369" s="326" t="s">
        <v>2029</v>
      </c>
      <c r="H369" s="326" t="s">
        <v>2030</v>
      </c>
      <c r="I369" s="326" t="s">
        <v>11</v>
      </c>
      <c r="J369" s="326" t="s">
        <v>414</v>
      </c>
      <c r="K369" s="326" t="s">
        <v>223</v>
      </c>
      <c r="L369" s="323"/>
      <c r="M369" s="324" t="s">
        <v>10767</v>
      </c>
      <c r="N369" s="325" t="s">
        <v>437</v>
      </c>
      <c r="O369" s="326">
        <v>150</v>
      </c>
      <c r="P369" s="327">
        <v>999.98</v>
      </c>
      <c r="Q369" s="369">
        <v>1087.31</v>
      </c>
      <c r="R369" s="329" t="s">
        <v>486</v>
      </c>
      <c r="S369" s="331" t="s">
        <v>11299</v>
      </c>
      <c r="T369" s="331" t="s">
        <v>11301</v>
      </c>
      <c r="U369" s="331" t="s">
        <v>11300</v>
      </c>
      <c r="V369" s="331" t="s">
        <v>11302</v>
      </c>
      <c r="W369" s="332" t="s">
        <v>432</v>
      </c>
      <c r="X369" s="331" t="s">
        <v>11079</v>
      </c>
      <c r="Y369" s="331" t="s">
        <v>11080</v>
      </c>
      <c r="Z369" s="331" t="s">
        <v>11080</v>
      </c>
      <c r="AA369" s="331" t="s">
        <v>210</v>
      </c>
      <c r="AB369" s="333"/>
      <c r="AC369" s="333"/>
      <c r="AD369" s="334" t="s">
        <v>2322</v>
      </c>
      <c r="AE369" s="335" t="s">
        <v>488</v>
      </c>
      <c r="AF369" s="336"/>
      <c r="AG369" s="337"/>
      <c r="AH369" s="417">
        <v>10.1</v>
      </c>
      <c r="AI369" s="392">
        <v>32.9</v>
      </c>
      <c r="AJ369" s="392">
        <v>24.3</v>
      </c>
      <c r="AK369" s="340">
        <f t="shared" si="1"/>
        <v>67.3</v>
      </c>
      <c r="AL369" s="417" t="s">
        <v>210</v>
      </c>
      <c r="AM369" s="392" t="s">
        <v>210</v>
      </c>
      <c r="AN369" s="392" t="s">
        <v>210</v>
      </c>
      <c r="AO369" s="341" t="s">
        <v>210</v>
      </c>
      <c r="AP369" s="342"/>
      <c r="AQ369" s="343"/>
      <c r="AR369" s="370">
        <v>1379</v>
      </c>
      <c r="AS369" s="326">
        <v>100</v>
      </c>
      <c r="AT369" s="392">
        <v>1</v>
      </c>
      <c r="AU369" s="392"/>
      <c r="AV369" s="392">
        <v>1.5</v>
      </c>
      <c r="AW369" s="340"/>
      <c r="AX369" s="347"/>
      <c r="AY369" s="348"/>
      <c r="AZ369" s="377"/>
      <c r="BA369" s="374"/>
      <c r="BB369" s="374"/>
      <c r="BC369" s="374"/>
      <c r="BD369" s="374"/>
      <c r="BE369" s="374"/>
      <c r="BF369" s="374"/>
      <c r="BG369" s="374"/>
      <c r="BH369" s="378"/>
      <c r="BI369" s="376"/>
      <c r="BJ369" s="379"/>
      <c r="BK369" s="380"/>
      <c r="BL369" s="348"/>
      <c r="BM369" s="381"/>
      <c r="BN369" s="417" t="s">
        <v>210</v>
      </c>
      <c r="BO369" s="372"/>
      <c r="BP369" s="340" t="s">
        <v>210</v>
      </c>
      <c r="BQ369" s="360"/>
      <c r="BR369" s="361"/>
      <c r="BS369" s="361"/>
      <c r="BT369" s="361"/>
      <c r="BU369" s="342" t="s">
        <v>210</v>
      </c>
      <c r="BV369" s="342" t="s">
        <v>210</v>
      </c>
      <c r="BW369" s="341" t="s">
        <v>15</v>
      </c>
      <c r="BX369" s="361"/>
      <c r="BY369" s="362" t="str">
        <f>BY364</f>
        <v>設計料は、3棟合わせての金額</v>
      </c>
      <c r="BZ369" s="363"/>
      <c r="CA369" s="363"/>
      <c r="CB369" s="363"/>
      <c r="CC369" s="363"/>
      <c r="CD369" s="293"/>
      <c r="CE369" s="364"/>
      <c r="CF369" s="364"/>
      <c r="CG369" s="364"/>
      <c r="CH369" s="364"/>
      <c r="CI369" s="364"/>
      <c r="CJ369" s="364"/>
      <c r="CK369" s="364"/>
      <c r="CL369" s="364"/>
      <c r="CM369" s="364"/>
      <c r="CN369" s="364"/>
      <c r="CO369" s="364"/>
      <c r="CP369" s="364"/>
      <c r="CQ369" s="364"/>
      <c r="CR369" s="364"/>
      <c r="CS369" s="364"/>
      <c r="CT369" s="364"/>
      <c r="CU369" s="364"/>
      <c r="CV369" s="364"/>
      <c r="CW369" s="364"/>
      <c r="CX369" s="364"/>
      <c r="CY369" s="364"/>
      <c r="CZ369" s="364"/>
      <c r="DA369" s="364"/>
      <c r="DB369" s="364"/>
      <c r="DC369" s="364"/>
      <c r="DD369" s="364"/>
      <c r="DE369" s="364"/>
      <c r="DF369" s="364"/>
      <c r="DG369" s="364"/>
      <c r="DH369" s="364"/>
      <c r="DI369" s="364"/>
      <c r="DJ369" s="364"/>
      <c r="DK369" s="364"/>
      <c r="DL369" s="364"/>
      <c r="DM369" s="364"/>
      <c r="DN369" s="364"/>
      <c r="DO369" s="364"/>
      <c r="DP369" s="364"/>
      <c r="DQ369" s="364"/>
      <c r="DR369" s="364"/>
      <c r="DS369" s="364"/>
      <c r="DT369" s="364"/>
      <c r="DU369" s="364"/>
      <c r="DV369" s="364"/>
      <c r="DW369" s="364"/>
      <c r="DX369" s="364"/>
      <c r="DY369" s="364"/>
      <c r="DZ369" s="364"/>
      <c r="EA369" s="364"/>
      <c r="EB369" s="364"/>
      <c r="EC369" s="364"/>
      <c r="ED369" s="364"/>
      <c r="EE369" s="364"/>
      <c r="EF369" s="364"/>
      <c r="EG369" s="364"/>
      <c r="EH369" s="364"/>
      <c r="EI369" s="364"/>
      <c r="EJ369" s="364"/>
      <c r="EK369" s="364"/>
      <c r="EL369" s="364"/>
      <c r="EM369" s="364"/>
      <c r="EN369" s="364"/>
      <c r="EO369" s="364"/>
      <c r="EP369" s="364"/>
      <c r="EQ369" s="364"/>
      <c r="ER369" s="364"/>
      <c r="ES369" s="364"/>
      <c r="ET369" s="364"/>
      <c r="EU369" s="364"/>
      <c r="EV369" s="364"/>
      <c r="EW369" s="364"/>
      <c r="EX369" s="364"/>
      <c r="EY369" s="364"/>
      <c r="EZ369" s="364"/>
      <c r="FA369" s="364"/>
      <c r="FB369" s="364"/>
      <c r="FC369" s="364"/>
      <c r="FD369" s="364"/>
      <c r="FE369" s="364"/>
      <c r="FF369" s="364"/>
      <c r="FG369" s="364"/>
      <c r="FH369" s="364"/>
      <c r="FI369" s="364"/>
      <c r="FJ369" s="364"/>
      <c r="FK369" s="364"/>
      <c r="FL369" s="364"/>
      <c r="FM369" s="364"/>
      <c r="FN369" s="364"/>
      <c r="FO369" s="364"/>
      <c r="FP369" s="364"/>
      <c r="FQ369" s="364"/>
      <c r="FR369" s="364"/>
      <c r="FS369" s="364"/>
      <c r="FT369" s="364"/>
      <c r="FU369" s="364"/>
      <c r="FV369" s="364"/>
      <c r="FW369" s="364"/>
      <c r="FX369" s="364"/>
      <c r="FY369" s="364"/>
      <c r="FZ369" s="364"/>
      <c r="GA369" s="364"/>
      <c r="GB369" s="364"/>
      <c r="GC369" s="364"/>
      <c r="GD369" s="364"/>
      <c r="GE369" s="364"/>
      <c r="GF369" s="364"/>
      <c r="GG369" s="364"/>
      <c r="GH369" s="364"/>
      <c r="GI369" s="364"/>
      <c r="GJ369" s="364"/>
      <c r="GK369" s="364"/>
      <c r="GL369" s="364"/>
      <c r="GM369" s="364"/>
      <c r="GN369" s="364"/>
      <c r="GO369" s="364"/>
      <c r="GP369" s="364"/>
      <c r="GQ369" s="364"/>
      <c r="GR369" s="364"/>
      <c r="GS369" s="364"/>
      <c r="GT369" s="364"/>
      <c r="GU369" s="364"/>
      <c r="GV369" s="364"/>
      <c r="GW369" s="364"/>
      <c r="GX369" s="364"/>
      <c r="GY369" s="364"/>
      <c r="GZ369" s="364"/>
      <c r="HA369" s="364"/>
      <c r="HB369" s="364"/>
      <c r="HC369" s="364"/>
      <c r="HD369" s="364"/>
      <c r="HE369" s="364"/>
      <c r="HF369" s="364"/>
      <c r="HG369" s="364"/>
      <c r="HH369" s="364"/>
      <c r="HI369" s="364"/>
      <c r="HJ369" s="364"/>
      <c r="HK369" s="364"/>
      <c r="HL369" s="364"/>
    </row>
    <row r="370" spans="1:220" s="287" customFormat="1" ht="22.5" customHeight="1">
      <c r="B370" s="365">
        <v>250182</v>
      </c>
      <c r="C370" s="366" t="s">
        <v>14052</v>
      </c>
      <c r="D370" s="367"/>
      <c r="E370" s="368"/>
      <c r="F370" s="321" t="s">
        <v>796</v>
      </c>
      <c r="G370" s="326" t="s">
        <v>2027</v>
      </c>
      <c r="H370" s="326" t="s">
        <v>2028</v>
      </c>
      <c r="I370" s="326" t="s">
        <v>766</v>
      </c>
      <c r="J370" s="326" t="s">
        <v>399</v>
      </c>
      <c r="K370" s="326" t="s">
        <v>236</v>
      </c>
      <c r="L370" s="323"/>
      <c r="M370" s="374"/>
      <c r="N370" s="325" t="s">
        <v>437</v>
      </c>
      <c r="O370" s="326" t="s">
        <v>798</v>
      </c>
      <c r="P370" s="327" t="s">
        <v>210</v>
      </c>
      <c r="Q370" s="369" t="s">
        <v>210</v>
      </c>
      <c r="R370" s="329" t="s">
        <v>797</v>
      </c>
      <c r="S370" s="330"/>
      <c r="T370" s="330"/>
      <c r="U370" s="330"/>
      <c r="V370" s="330"/>
      <c r="W370" s="332" t="s">
        <v>1454</v>
      </c>
      <c r="X370" s="331" t="s">
        <v>14053</v>
      </c>
      <c r="Y370" s="331" t="s">
        <v>14054</v>
      </c>
      <c r="Z370" s="331" t="s">
        <v>16319</v>
      </c>
      <c r="AA370" s="331" t="s">
        <v>14055</v>
      </c>
      <c r="AB370" s="333"/>
      <c r="AC370" s="416"/>
      <c r="AD370" s="375"/>
      <c r="AE370" s="335" t="s">
        <v>210</v>
      </c>
      <c r="AF370" s="336"/>
      <c r="AG370" s="337"/>
      <c r="AH370" s="417" t="s">
        <v>210</v>
      </c>
      <c r="AI370" s="392" t="s">
        <v>210</v>
      </c>
      <c r="AJ370" s="392" t="s">
        <v>210</v>
      </c>
      <c r="AK370" s="340" t="s">
        <v>210</v>
      </c>
      <c r="AL370" s="417" t="s">
        <v>210</v>
      </c>
      <c r="AM370" s="392" t="s">
        <v>210</v>
      </c>
      <c r="AN370" s="392" t="s">
        <v>210</v>
      </c>
      <c r="AO370" s="341" t="s">
        <v>210</v>
      </c>
      <c r="AP370" s="342"/>
      <c r="AQ370" s="343"/>
      <c r="AR370" s="370">
        <v>810</v>
      </c>
      <c r="AS370" s="326">
        <v>60</v>
      </c>
      <c r="AT370" s="392">
        <v>1</v>
      </c>
      <c r="AU370" s="392"/>
      <c r="AV370" s="392">
        <v>1.5</v>
      </c>
      <c r="AW370" s="340"/>
      <c r="AX370" s="374"/>
      <c r="AY370" s="348"/>
      <c r="AZ370" s="405" t="s">
        <v>10384</v>
      </c>
      <c r="BA370" s="324" t="s">
        <v>3459</v>
      </c>
      <c r="BB370" s="326" t="s">
        <v>10386</v>
      </c>
      <c r="BC370" s="326" t="s">
        <v>10385</v>
      </c>
      <c r="BD370" s="326" t="s">
        <v>10386</v>
      </c>
      <c r="BE370" s="326" t="s">
        <v>10387</v>
      </c>
      <c r="BF370" s="324" t="s">
        <v>3556</v>
      </c>
      <c r="BG370" s="326" t="s">
        <v>10385</v>
      </c>
      <c r="BH370" s="324" t="s">
        <v>3556</v>
      </c>
      <c r="BI370" s="376"/>
      <c r="BJ370" s="379"/>
      <c r="BK370" s="380"/>
      <c r="BL370" s="348"/>
      <c r="BM370" s="381"/>
      <c r="BN370" s="321" t="s">
        <v>14</v>
      </c>
      <c r="BO370" s="372"/>
      <c r="BP370" s="340" t="s">
        <v>210</v>
      </c>
      <c r="BQ370" s="360"/>
      <c r="BR370" s="361"/>
      <c r="BS370" s="361"/>
      <c r="BT370" s="361"/>
      <c r="BU370" s="342" t="s">
        <v>210</v>
      </c>
      <c r="BV370" s="342" t="s">
        <v>210</v>
      </c>
      <c r="BW370" s="655" t="s">
        <v>14</v>
      </c>
      <c r="BX370" s="361"/>
      <c r="BY370" s="362"/>
      <c r="BZ370" s="363"/>
      <c r="CA370" s="363"/>
      <c r="CB370" s="363"/>
      <c r="CC370" s="363"/>
      <c r="CD370" s="293"/>
      <c r="CE370" s="364"/>
      <c r="CF370" s="364"/>
      <c r="CG370" s="364"/>
      <c r="CH370" s="364"/>
      <c r="CI370" s="364"/>
      <c r="CJ370" s="364"/>
      <c r="CK370" s="364"/>
      <c r="CL370" s="364"/>
      <c r="CM370" s="364"/>
      <c r="CN370" s="364"/>
      <c r="CO370" s="364"/>
      <c r="CP370" s="364"/>
      <c r="CQ370" s="364"/>
      <c r="CR370" s="364"/>
      <c r="CS370" s="364"/>
      <c r="CT370" s="364"/>
      <c r="CU370" s="364"/>
      <c r="CV370" s="364"/>
      <c r="CW370" s="364"/>
      <c r="CX370" s="364"/>
      <c r="CY370" s="364"/>
      <c r="CZ370" s="364"/>
      <c r="DA370" s="364"/>
      <c r="DB370" s="364"/>
      <c r="DC370" s="364"/>
      <c r="DD370" s="364"/>
      <c r="DE370" s="364"/>
      <c r="DF370" s="364"/>
      <c r="DG370" s="364"/>
      <c r="DH370" s="364"/>
      <c r="DI370" s="364"/>
      <c r="DJ370" s="364"/>
      <c r="DK370" s="364"/>
      <c r="DL370" s="364"/>
      <c r="DM370" s="364"/>
      <c r="DN370" s="364"/>
      <c r="DO370" s="364"/>
      <c r="DP370" s="364"/>
      <c r="DQ370" s="364"/>
      <c r="DR370" s="364"/>
      <c r="DS370" s="364"/>
      <c r="DT370" s="364"/>
      <c r="DU370" s="364"/>
      <c r="DV370" s="364"/>
      <c r="DW370" s="364"/>
      <c r="DX370" s="364"/>
      <c r="DY370" s="364"/>
      <c r="DZ370" s="364"/>
      <c r="EA370" s="364"/>
      <c r="EB370" s="364"/>
      <c r="EC370" s="364"/>
      <c r="ED370" s="364"/>
      <c r="EE370" s="364"/>
      <c r="EF370" s="364"/>
      <c r="EG370" s="364"/>
      <c r="EH370" s="364"/>
      <c r="EI370" s="364"/>
      <c r="EJ370" s="364"/>
      <c r="EK370" s="364"/>
      <c r="EL370" s="364"/>
      <c r="EM370" s="364"/>
      <c r="EN370" s="364"/>
      <c r="EO370" s="364"/>
      <c r="EP370" s="364"/>
      <c r="EQ370" s="364"/>
      <c r="ER370" s="364"/>
      <c r="ES370" s="364"/>
      <c r="ET370" s="364"/>
      <c r="EU370" s="364"/>
      <c r="EV370" s="364"/>
      <c r="EW370" s="364"/>
      <c r="EX370" s="364"/>
      <c r="EY370" s="364"/>
      <c r="EZ370" s="364"/>
      <c r="FA370" s="364"/>
      <c r="FB370" s="364"/>
      <c r="FC370" s="364"/>
      <c r="FD370" s="364"/>
      <c r="FE370" s="364"/>
      <c r="FF370" s="364"/>
      <c r="FG370" s="364"/>
      <c r="FH370" s="364"/>
      <c r="FI370" s="364"/>
      <c r="FJ370" s="364"/>
      <c r="FK370" s="364"/>
      <c r="FL370" s="364"/>
      <c r="FM370" s="364"/>
      <c r="FN370" s="364"/>
      <c r="FO370" s="364"/>
      <c r="FP370" s="364"/>
      <c r="FQ370" s="364"/>
      <c r="FR370" s="364"/>
      <c r="FS370" s="364"/>
      <c r="FT370" s="364"/>
      <c r="FU370" s="364"/>
      <c r="FV370" s="364"/>
      <c r="FW370" s="364"/>
      <c r="FX370" s="364"/>
      <c r="FY370" s="364"/>
      <c r="FZ370" s="364"/>
      <c r="GA370" s="364"/>
      <c r="GB370" s="364"/>
      <c r="GC370" s="364"/>
      <c r="GD370" s="364"/>
      <c r="GE370" s="364"/>
      <c r="GF370" s="364"/>
      <c r="GG370" s="364"/>
      <c r="GH370" s="364"/>
      <c r="GI370" s="364"/>
      <c r="GJ370" s="364"/>
      <c r="GK370" s="364"/>
      <c r="GL370" s="364"/>
      <c r="GM370" s="364"/>
      <c r="GN370" s="364"/>
      <c r="GO370" s="364"/>
      <c r="GP370" s="364"/>
      <c r="GQ370" s="364"/>
      <c r="GR370" s="364"/>
      <c r="GS370" s="364"/>
      <c r="GT370" s="364"/>
      <c r="GU370" s="364"/>
      <c r="GV370" s="364"/>
      <c r="GW370" s="364"/>
      <c r="GX370" s="364"/>
      <c r="GY370" s="364"/>
      <c r="GZ370" s="364"/>
      <c r="HA370" s="364"/>
      <c r="HB370" s="364"/>
      <c r="HC370" s="364"/>
      <c r="HD370" s="364"/>
      <c r="HE370" s="364"/>
      <c r="HF370" s="364"/>
      <c r="HG370" s="364"/>
      <c r="HH370" s="364"/>
      <c r="HI370" s="364"/>
      <c r="HJ370" s="364"/>
      <c r="HK370" s="364"/>
      <c r="HL370" s="364"/>
    </row>
    <row r="371" spans="1:220" s="287" customFormat="1" ht="22.5" customHeight="1">
      <c r="B371" s="365">
        <v>250183</v>
      </c>
      <c r="C371" s="366" t="s">
        <v>14051</v>
      </c>
      <c r="D371" s="367"/>
      <c r="E371" s="368"/>
      <c r="F371" s="321" t="s">
        <v>796</v>
      </c>
      <c r="G371" s="326" t="s">
        <v>2025</v>
      </c>
      <c r="H371" s="326" t="s">
        <v>2026</v>
      </c>
      <c r="I371" s="326" t="s">
        <v>11</v>
      </c>
      <c r="J371" s="326" t="s">
        <v>399</v>
      </c>
      <c r="K371" s="326" t="s">
        <v>223</v>
      </c>
      <c r="L371" s="323"/>
      <c r="M371" s="374"/>
      <c r="N371" s="325" t="s">
        <v>437</v>
      </c>
      <c r="O371" s="326">
        <v>200</v>
      </c>
      <c r="P371" s="327">
        <v>1292.1199999999999</v>
      </c>
      <c r="Q371" s="369">
        <v>1403.09</v>
      </c>
      <c r="R371" s="329" t="s">
        <v>1098</v>
      </c>
      <c r="S371" s="331" t="s">
        <v>13396</v>
      </c>
      <c r="T371" s="394" t="s">
        <v>12439</v>
      </c>
      <c r="U371" s="394" t="s">
        <v>16310</v>
      </c>
      <c r="V371" s="331" t="s">
        <v>13395</v>
      </c>
      <c r="W371" s="332" t="s">
        <v>432</v>
      </c>
      <c r="X371" s="331" t="s">
        <v>11079</v>
      </c>
      <c r="Y371" s="331" t="s">
        <v>11080</v>
      </c>
      <c r="Z371" s="331" t="s">
        <v>11080</v>
      </c>
      <c r="AA371" s="331" t="s">
        <v>210</v>
      </c>
      <c r="AB371" s="333"/>
      <c r="AC371" s="333"/>
      <c r="AD371" s="334" t="s">
        <v>939</v>
      </c>
      <c r="AE371" s="335" t="s">
        <v>210</v>
      </c>
      <c r="AF371" s="336"/>
      <c r="AG371" s="337"/>
      <c r="AH371" s="417">
        <v>10.7</v>
      </c>
      <c r="AI371" s="392">
        <v>24.2</v>
      </c>
      <c r="AJ371" s="392">
        <v>24</v>
      </c>
      <c r="AK371" s="340">
        <f>SUM(AH371:AJ371)</f>
        <v>58.9</v>
      </c>
      <c r="AL371" s="417" t="s">
        <v>210</v>
      </c>
      <c r="AM371" s="392" t="s">
        <v>210</v>
      </c>
      <c r="AN371" s="392" t="s">
        <v>210</v>
      </c>
      <c r="AO371" s="341" t="s">
        <v>210</v>
      </c>
      <c r="AP371" s="342"/>
      <c r="AQ371" s="343"/>
      <c r="AR371" s="370">
        <v>1405</v>
      </c>
      <c r="AS371" s="326">
        <v>100</v>
      </c>
      <c r="AT371" s="392">
        <v>1</v>
      </c>
      <c r="AU371" s="392"/>
      <c r="AV371" s="392">
        <v>1.4</v>
      </c>
      <c r="AW371" s="340"/>
      <c r="AX371" s="347"/>
      <c r="AY371" s="348"/>
      <c r="AZ371" s="377"/>
      <c r="BA371" s="374"/>
      <c r="BB371" s="374"/>
      <c r="BC371" s="374"/>
      <c r="BD371" s="374"/>
      <c r="BE371" s="374"/>
      <c r="BF371" s="374"/>
      <c r="BG371" s="374"/>
      <c r="BH371" s="378"/>
      <c r="BI371" s="376"/>
      <c r="BJ371" s="379"/>
      <c r="BK371" s="380"/>
      <c r="BL371" s="348"/>
      <c r="BM371" s="381"/>
      <c r="BN371" s="321" t="s">
        <v>14</v>
      </c>
      <c r="BO371" s="372"/>
      <c r="BP371" s="373" t="s">
        <v>14</v>
      </c>
      <c r="BQ371" s="360"/>
      <c r="BR371" s="361"/>
      <c r="BS371" s="361"/>
      <c r="BT371" s="361"/>
      <c r="BU371" s="342" t="s">
        <v>210</v>
      </c>
      <c r="BV371" s="342" t="s">
        <v>210</v>
      </c>
      <c r="BW371" s="341" t="s">
        <v>15</v>
      </c>
      <c r="BX371" s="361"/>
      <c r="BY371" s="362"/>
      <c r="BZ371" s="363"/>
      <c r="CA371" s="363"/>
      <c r="CB371" s="363"/>
      <c r="CC371" s="363"/>
      <c r="CD371" s="293"/>
      <c r="CE371" s="364"/>
      <c r="CF371" s="364"/>
      <c r="CG371" s="364"/>
      <c r="CH371" s="364"/>
      <c r="CI371" s="364"/>
      <c r="CJ371" s="364"/>
      <c r="CK371" s="364"/>
      <c r="CL371" s="364"/>
      <c r="CM371" s="364"/>
      <c r="CN371" s="364"/>
      <c r="CO371" s="364"/>
      <c r="CP371" s="364"/>
      <c r="CQ371" s="364"/>
      <c r="CR371" s="364"/>
      <c r="CS371" s="364"/>
      <c r="CT371" s="364"/>
      <c r="CU371" s="364"/>
      <c r="CV371" s="364"/>
      <c r="CW371" s="364"/>
      <c r="CX371" s="364"/>
      <c r="CY371" s="364"/>
      <c r="CZ371" s="364"/>
      <c r="DA371" s="364"/>
      <c r="DB371" s="364"/>
      <c r="DC371" s="364"/>
      <c r="DD371" s="364"/>
      <c r="DE371" s="364"/>
      <c r="DF371" s="364"/>
      <c r="DG371" s="364"/>
      <c r="DH371" s="364"/>
      <c r="DI371" s="364"/>
      <c r="DJ371" s="364"/>
      <c r="DK371" s="364"/>
      <c r="DL371" s="364"/>
      <c r="DM371" s="364"/>
      <c r="DN371" s="364"/>
      <c r="DO371" s="364"/>
      <c r="DP371" s="364"/>
      <c r="DQ371" s="364"/>
      <c r="DR371" s="364"/>
      <c r="DS371" s="364"/>
      <c r="DT371" s="364"/>
      <c r="DU371" s="364"/>
      <c r="DV371" s="364"/>
      <c r="DW371" s="364"/>
      <c r="DX371" s="364"/>
      <c r="DY371" s="364"/>
      <c r="DZ371" s="364"/>
      <c r="EA371" s="364"/>
      <c r="EB371" s="364"/>
      <c r="EC371" s="364"/>
      <c r="ED371" s="364"/>
      <c r="EE371" s="364"/>
      <c r="EF371" s="364"/>
      <c r="EG371" s="364"/>
      <c r="EH371" s="364"/>
      <c r="EI371" s="364"/>
      <c r="EJ371" s="364"/>
      <c r="EK371" s="364"/>
      <c r="EL371" s="364"/>
      <c r="EM371" s="364"/>
      <c r="EN371" s="364"/>
      <c r="EO371" s="364"/>
      <c r="EP371" s="364"/>
      <c r="EQ371" s="364"/>
      <c r="ER371" s="364"/>
      <c r="ES371" s="364"/>
      <c r="ET371" s="364"/>
      <c r="EU371" s="364"/>
      <c r="EV371" s="364"/>
      <c r="EW371" s="364"/>
      <c r="EX371" s="364"/>
      <c r="EY371" s="364"/>
      <c r="EZ371" s="364"/>
      <c r="FA371" s="364"/>
      <c r="FB371" s="364"/>
      <c r="FC371" s="364"/>
      <c r="FD371" s="364"/>
      <c r="FE371" s="364"/>
      <c r="FF371" s="364"/>
      <c r="FG371" s="364"/>
      <c r="FH371" s="364"/>
      <c r="FI371" s="364"/>
      <c r="FJ371" s="364"/>
      <c r="FK371" s="364"/>
      <c r="FL371" s="364"/>
      <c r="FM371" s="364"/>
      <c r="FN371" s="364"/>
      <c r="FO371" s="364"/>
      <c r="FP371" s="364"/>
      <c r="FQ371" s="364"/>
      <c r="FR371" s="364"/>
      <c r="FS371" s="364"/>
      <c r="FT371" s="364"/>
      <c r="FU371" s="364"/>
      <c r="FV371" s="364"/>
      <c r="FW371" s="364"/>
      <c r="FX371" s="364"/>
      <c r="FY371" s="364"/>
      <c r="FZ371" s="364"/>
      <c r="GA371" s="364"/>
      <c r="GB371" s="364"/>
      <c r="GC371" s="364"/>
      <c r="GD371" s="364"/>
      <c r="GE371" s="364"/>
      <c r="GF371" s="364"/>
      <c r="GG371" s="364"/>
      <c r="GH371" s="364"/>
      <c r="GI371" s="364"/>
      <c r="GJ371" s="364"/>
      <c r="GK371" s="364"/>
      <c r="GL371" s="364"/>
      <c r="GM371" s="364"/>
      <c r="GN371" s="364"/>
      <c r="GO371" s="364"/>
      <c r="GP371" s="364"/>
      <c r="GQ371" s="364"/>
      <c r="GR371" s="364"/>
      <c r="GS371" s="364"/>
      <c r="GT371" s="364"/>
      <c r="GU371" s="364"/>
      <c r="GV371" s="364"/>
      <c r="GW371" s="364"/>
      <c r="GX371" s="364"/>
      <c r="GY371" s="364"/>
      <c r="GZ371" s="364"/>
      <c r="HA371" s="364"/>
      <c r="HB371" s="364"/>
      <c r="HC371" s="364"/>
      <c r="HD371" s="364"/>
      <c r="HE371" s="364"/>
      <c r="HF371" s="364"/>
      <c r="HG371" s="364"/>
      <c r="HH371" s="364"/>
      <c r="HI371" s="364"/>
      <c r="HJ371" s="364"/>
      <c r="HK371" s="364"/>
      <c r="HL371" s="364"/>
    </row>
    <row r="372" spans="1:220" s="287" customFormat="1" ht="22.5" customHeight="1">
      <c r="B372" s="365">
        <v>250184</v>
      </c>
      <c r="C372" s="366" t="s">
        <v>627</v>
      </c>
      <c r="D372" s="419"/>
      <c r="E372" s="368"/>
      <c r="F372" s="321" t="s">
        <v>631</v>
      </c>
      <c r="G372" s="326" t="s">
        <v>2024</v>
      </c>
      <c r="H372" s="326" t="s">
        <v>2706</v>
      </c>
      <c r="I372" s="326" t="s">
        <v>11</v>
      </c>
      <c r="J372" s="326" t="s">
        <v>399</v>
      </c>
      <c r="K372" s="326" t="s">
        <v>223</v>
      </c>
      <c r="L372" s="323"/>
      <c r="M372" s="374"/>
      <c r="N372" s="325" t="s">
        <v>437</v>
      </c>
      <c r="O372" s="327" t="s">
        <v>210</v>
      </c>
      <c r="P372" s="327">
        <v>265</v>
      </c>
      <c r="Q372" s="369">
        <v>265</v>
      </c>
      <c r="R372" s="329" t="s">
        <v>629</v>
      </c>
      <c r="S372" s="330"/>
      <c r="T372" s="331" t="s">
        <v>14050</v>
      </c>
      <c r="U372" s="331" t="s">
        <v>14048</v>
      </c>
      <c r="V372" s="331" t="s">
        <v>14049</v>
      </c>
      <c r="W372" s="332" t="s">
        <v>628</v>
      </c>
      <c r="X372" s="331" t="s">
        <v>14046</v>
      </c>
      <c r="Y372" s="331" t="s">
        <v>14045</v>
      </c>
      <c r="Z372" s="331" t="s">
        <v>16535</v>
      </c>
      <c r="AA372" s="331" t="s">
        <v>14047</v>
      </c>
      <c r="AB372" s="333"/>
      <c r="AC372" s="333"/>
      <c r="AD372" s="334" t="s">
        <v>814</v>
      </c>
      <c r="AE372" s="335" t="s">
        <v>630</v>
      </c>
      <c r="AF372" s="336"/>
      <c r="AG372" s="337"/>
      <c r="AH372" s="417" t="s">
        <v>210</v>
      </c>
      <c r="AI372" s="392" t="s">
        <v>210</v>
      </c>
      <c r="AJ372" s="392" t="s">
        <v>210</v>
      </c>
      <c r="AK372" s="340" t="s">
        <v>210</v>
      </c>
      <c r="AL372" s="417" t="s">
        <v>210</v>
      </c>
      <c r="AM372" s="653" t="s">
        <v>17903</v>
      </c>
      <c r="AN372" s="392" t="s">
        <v>210</v>
      </c>
      <c r="AO372" s="341" t="s">
        <v>210</v>
      </c>
      <c r="AP372" s="418"/>
      <c r="AQ372" s="343"/>
      <c r="AR372" s="370">
        <v>333</v>
      </c>
      <c r="AS372" s="326">
        <v>100</v>
      </c>
      <c r="AT372" s="392">
        <v>0.8</v>
      </c>
      <c r="AU372" s="392"/>
      <c r="AV372" s="392">
        <v>1.4</v>
      </c>
      <c r="AW372" s="340"/>
      <c r="AX372" s="347"/>
      <c r="AY372" s="348"/>
      <c r="AZ372" s="377"/>
      <c r="BA372" s="374"/>
      <c r="BB372" s="374"/>
      <c r="BC372" s="374"/>
      <c r="BD372" s="374"/>
      <c r="BE372" s="374"/>
      <c r="BF372" s="374"/>
      <c r="BG372" s="374"/>
      <c r="BH372" s="378"/>
      <c r="BI372" s="376"/>
      <c r="BJ372" s="379"/>
      <c r="BK372" s="380"/>
      <c r="BL372" s="348"/>
      <c r="BM372" s="381"/>
      <c r="BN372" s="417" t="s">
        <v>210</v>
      </c>
      <c r="BO372" s="372"/>
      <c r="BP372" s="340" t="s">
        <v>210</v>
      </c>
      <c r="BQ372" s="360"/>
      <c r="BR372" s="361"/>
      <c r="BS372" s="361"/>
      <c r="BT372" s="361"/>
      <c r="BU372" s="361"/>
      <c r="BV372" s="418" t="s">
        <v>5413</v>
      </c>
      <c r="BW372" s="341" t="s">
        <v>15</v>
      </c>
      <c r="BX372" s="361"/>
      <c r="BY372" s="362"/>
      <c r="BZ372" s="363"/>
      <c r="CA372" s="363"/>
      <c r="CB372" s="363"/>
      <c r="CC372" s="363"/>
      <c r="CD372" s="293"/>
      <c r="CE372" s="364"/>
      <c r="CF372" s="364"/>
      <c r="CG372" s="364"/>
      <c r="CH372" s="364"/>
      <c r="CI372" s="364"/>
      <c r="CJ372" s="364"/>
      <c r="CK372" s="364"/>
      <c r="CL372" s="364"/>
      <c r="CM372" s="364"/>
      <c r="CN372" s="364"/>
      <c r="CO372" s="364"/>
      <c r="CP372" s="364"/>
      <c r="CQ372" s="364"/>
      <c r="CR372" s="364"/>
      <c r="CS372" s="364"/>
      <c r="CT372" s="364"/>
      <c r="CU372" s="364"/>
      <c r="CV372" s="364"/>
      <c r="CW372" s="364"/>
      <c r="CX372" s="364"/>
      <c r="CY372" s="364"/>
      <c r="CZ372" s="364"/>
      <c r="DA372" s="364"/>
      <c r="DB372" s="364"/>
      <c r="DC372" s="364"/>
      <c r="DD372" s="364"/>
      <c r="DE372" s="364"/>
      <c r="DF372" s="364"/>
      <c r="DG372" s="364"/>
      <c r="DH372" s="364"/>
      <c r="DI372" s="364"/>
      <c r="DJ372" s="364"/>
      <c r="DK372" s="364"/>
      <c r="DL372" s="364"/>
      <c r="DM372" s="364"/>
      <c r="DN372" s="364"/>
      <c r="DO372" s="364"/>
      <c r="DP372" s="364"/>
      <c r="DQ372" s="364"/>
      <c r="DR372" s="364"/>
      <c r="DS372" s="364"/>
      <c r="DT372" s="364"/>
      <c r="DU372" s="364"/>
      <c r="DV372" s="364"/>
      <c r="DW372" s="364"/>
      <c r="DX372" s="364"/>
      <c r="DY372" s="364"/>
      <c r="DZ372" s="364"/>
      <c r="EA372" s="364"/>
      <c r="EB372" s="364"/>
      <c r="EC372" s="364"/>
      <c r="ED372" s="364"/>
      <c r="EE372" s="364"/>
      <c r="EF372" s="364"/>
      <c r="EG372" s="364"/>
      <c r="EH372" s="364"/>
      <c r="EI372" s="364"/>
      <c r="EJ372" s="364"/>
      <c r="EK372" s="364"/>
      <c r="EL372" s="364"/>
      <c r="EM372" s="364"/>
      <c r="EN372" s="364"/>
      <c r="EO372" s="364"/>
      <c r="EP372" s="364"/>
      <c r="EQ372" s="364"/>
      <c r="ER372" s="364"/>
      <c r="ES372" s="364"/>
      <c r="ET372" s="364"/>
      <c r="EU372" s="364"/>
      <c r="EV372" s="364"/>
      <c r="EW372" s="364"/>
      <c r="EX372" s="364"/>
      <c r="EY372" s="364"/>
      <c r="EZ372" s="364"/>
      <c r="FA372" s="364"/>
      <c r="FB372" s="364"/>
      <c r="FC372" s="364"/>
      <c r="FD372" s="364"/>
      <c r="FE372" s="364"/>
      <c r="FF372" s="364"/>
      <c r="FG372" s="364"/>
      <c r="FH372" s="364"/>
      <c r="FI372" s="364"/>
      <c r="FJ372" s="364"/>
      <c r="FK372" s="364"/>
      <c r="FL372" s="364"/>
      <c r="FM372" s="364"/>
      <c r="FN372" s="364"/>
      <c r="FO372" s="364"/>
      <c r="FP372" s="364"/>
      <c r="FQ372" s="364"/>
      <c r="FR372" s="364"/>
      <c r="FS372" s="364"/>
      <c r="FT372" s="364"/>
      <c r="FU372" s="364"/>
      <c r="FV372" s="364"/>
      <c r="FW372" s="364"/>
      <c r="FX372" s="364"/>
      <c r="FY372" s="364"/>
      <c r="FZ372" s="364"/>
      <c r="GA372" s="364"/>
      <c r="GB372" s="364"/>
      <c r="GC372" s="364"/>
      <c r="GD372" s="364"/>
      <c r="GE372" s="364"/>
      <c r="GF372" s="364"/>
      <c r="GG372" s="364"/>
      <c r="GH372" s="364"/>
      <c r="GI372" s="364"/>
      <c r="GJ372" s="364"/>
      <c r="GK372" s="364"/>
      <c r="GL372" s="364"/>
      <c r="GM372" s="364"/>
      <c r="GN372" s="364"/>
      <c r="GO372" s="364"/>
      <c r="GP372" s="364"/>
      <c r="GQ372" s="364"/>
      <c r="GR372" s="364"/>
      <c r="GS372" s="364"/>
      <c r="GT372" s="364"/>
      <c r="GU372" s="364"/>
      <c r="GV372" s="364"/>
      <c r="GW372" s="364"/>
      <c r="GX372" s="364"/>
      <c r="GY372" s="364"/>
      <c r="GZ372" s="364"/>
      <c r="HA372" s="364"/>
      <c r="HB372" s="364"/>
      <c r="HC372" s="364"/>
      <c r="HD372" s="364"/>
      <c r="HE372" s="364"/>
      <c r="HF372" s="364"/>
      <c r="HG372" s="364"/>
      <c r="HH372" s="364"/>
      <c r="HI372" s="364"/>
      <c r="HJ372" s="364"/>
      <c r="HK372" s="364"/>
      <c r="HL372" s="364"/>
    </row>
    <row r="373" spans="1:220" s="287" customFormat="1" ht="22.5" customHeight="1">
      <c r="B373" s="365">
        <v>250185</v>
      </c>
      <c r="C373" s="366" t="s">
        <v>723</v>
      </c>
      <c r="D373" s="419"/>
      <c r="E373" s="368"/>
      <c r="F373" s="321" t="s">
        <v>795</v>
      </c>
      <c r="G373" s="326" t="s">
        <v>2022</v>
      </c>
      <c r="H373" s="326" t="s">
        <v>2023</v>
      </c>
      <c r="I373" s="326" t="s">
        <v>383</v>
      </c>
      <c r="J373" s="326" t="s">
        <v>387</v>
      </c>
      <c r="K373" s="326" t="s">
        <v>223</v>
      </c>
      <c r="L373" s="323"/>
      <c r="M373" s="374"/>
      <c r="N373" s="325" t="s">
        <v>438</v>
      </c>
      <c r="O373" s="327" t="s">
        <v>210</v>
      </c>
      <c r="P373" s="327" t="s">
        <v>210</v>
      </c>
      <c r="Q373" s="369" t="s">
        <v>210</v>
      </c>
      <c r="R373" s="329" t="s">
        <v>794</v>
      </c>
      <c r="S373" s="330"/>
      <c r="T373" s="330"/>
      <c r="U373" s="330"/>
      <c r="V373" s="330"/>
      <c r="W373" s="332" t="s">
        <v>725</v>
      </c>
      <c r="X373" s="331" t="s">
        <v>14043</v>
      </c>
      <c r="Y373" s="330"/>
      <c r="Z373" s="330"/>
      <c r="AA373" s="331" t="s">
        <v>14044</v>
      </c>
      <c r="AB373" s="333"/>
      <c r="AC373" s="333"/>
      <c r="AD373" s="334" t="s">
        <v>2330</v>
      </c>
      <c r="AE373" s="335" t="s">
        <v>724</v>
      </c>
      <c r="AF373" s="336"/>
      <c r="AG373" s="337"/>
      <c r="AH373" s="417" t="s">
        <v>210</v>
      </c>
      <c r="AI373" s="392" t="s">
        <v>210</v>
      </c>
      <c r="AJ373" s="392" t="s">
        <v>210</v>
      </c>
      <c r="AK373" s="340" t="s">
        <v>210</v>
      </c>
      <c r="AL373" s="417" t="s">
        <v>210</v>
      </c>
      <c r="AM373" s="392" t="s">
        <v>210</v>
      </c>
      <c r="AN373" s="392" t="s">
        <v>210</v>
      </c>
      <c r="AO373" s="341" t="s">
        <v>210</v>
      </c>
      <c r="AP373" s="342"/>
      <c r="AQ373" s="343"/>
      <c r="AR373" s="370">
        <v>516</v>
      </c>
      <c r="AS373" s="326">
        <v>100</v>
      </c>
      <c r="AT373" s="392">
        <v>1</v>
      </c>
      <c r="AU373" s="392"/>
      <c r="AV373" s="392">
        <v>1.5</v>
      </c>
      <c r="AW373" s="340"/>
      <c r="AX373" s="347"/>
      <c r="AY373" s="348"/>
      <c r="AZ373" s="377"/>
      <c r="BA373" s="374"/>
      <c r="BB373" s="374"/>
      <c r="BC373" s="374"/>
      <c r="BD373" s="374"/>
      <c r="BE373" s="374"/>
      <c r="BF373" s="374"/>
      <c r="BG373" s="374"/>
      <c r="BH373" s="378"/>
      <c r="BI373" s="376"/>
      <c r="BJ373" s="379"/>
      <c r="BK373" s="380"/>
      <c r="BL373" s="348"/>
      <c r="BM373" s="381"/>
      <c r="BN373" s="321" t="s">
        <v>14</v>
      </c>
      <c r="BO373" s="372"/>
      <c r="BP373" s="373" t="s">
        <v>14</v>
      </c>
      <c r="BQ373" s="360"/>
      <c r="BR373" s="361"/>
      <c r="BS373" s="361"/>
      <c r="BT373" s="361"/>
      <c r="BU373" s="342" t="s">
        <v>210</v>
      </c>
      <c r="BV373" s="342" t="s">
        <v>210</v>
      </c>
      <c r="BW373" s="341" t="s">
        <v>15</v>
      </c>
      <c r="BX373" s="361"/>
      <c r="BY373" s="362"/>
      <c r="BZ373" s="363"/>
      <c r="CA373" s="363"/>
      <c r="CB373" s="363"/>
      <c r="CC373" s="363"/>
      <c r="CD373" s="293"/>
      <c r="CE373" s="364"/>
      <c r="CF373" s="364"/>
      <c r="CG373" s="364"/>
      <c r="CH373" s="364"/>
      <c r="CI373" s="364"/>
      <c r="CJ373" s="364"/>
      <c r="CK373" s="364"/>
      <c r="CL373" s="364"/>
      <c r="CM373" s="364"/>
      <c r="CN373" s="364"/>
      <c r="CO373" s="364"/>
      <c r="CP373" s="364"/>
      <c r="CQ373" s="364"/>
      <c r="CR373" s="364"/>
      <c r="CS373" s="364"/>
      <c r="CT373" s="364"/>
      <c r="CU373" s="364"/>
      <c r="CV373" s="364"/>
      <c r="CW373" s="364"/>
      <c r="CX373" s="364"/>
      <c r="CY373" s="364"/>
      <c r="CZ373" s="364"/>
      <c r="DA373" s="364"/>
      <c r="DB373" s="364"/>
      <c r="DC373" s="364"/>
      <c r="DD373" s="364"/>
      <c r="DE373" s="364"/>
      <c r="DF373" s="364"/>
      <c r="DG373" s="364"/>
      <c r="DH373" s="364"/>
      <c r="DI373" s="364"/>
      <c r="DJ373" s="364"/>
      <c r="DK373" s="364"/>
      <c r="DL373" s="364"/>
      <c r="DM373" s="364"/>
      <c r="DN373" s="364"/>
      <c r="DO373" s="364"/>
      <c r="DP373" s="364"/>
      <c r="DQ373" s="364"/>
      <c r="DR373" s="364"/>
      <c r="DS373" s="364"/>
      <c r="DT373" s="364"/>
      <c r="DU373" s="364"/>
      <c r="DV373" s="364"/>
      <c r="DW373" s="364"/>
      <c r="DX373" s="364"/>
      <c r="DY373" s="364"/>
      <c r="DZ373" s="364"/>
      <c r="EA373" s="364"/>
      <c r="EB373" s="364"/>
      <c r="EC373" s="364"/>
      <c r="ED373" s="364"/>
      <c r="EE373" s="364"/>
      <c r="EF373" s="364"/>
      <c r="EG373" s="364"/>
      <c r="EH373" s="364"/>
      <c r="EI373" s="364"/>
      <c r="EJ373" s="364"/>
      <c r="EK373" s="364"/>
      <c r="EL373" s="364"/>
      <c r="EM373" s="364"/>
      <c r="EN373" s="364"/>
      <c r="EO373" s="364"/>
      <c r="EP373" s="364"/>
      <c r="EQ373" s="364"/>
      <c r="ER373" s="364"/>
      <c r="ES373" s="364"/>
      <c r="ET373" s="364"/>
      <c r="EU373" s="364"/>
      <c r="EV373" s="364"/>
      <c r="EW373" s="364"/>
      <c r="EX373" s="364"/>
      <c r="EY373" s="364"/>
      <c r="EZ373" s="364"/>
      <c r="FA373" s="364"/>
      <c r="FB373" s="364"/>
      <c r="FC373" s="364"/>
      <c r="FD373" s="364"/>
      <c r="FE373" s="364"/>
      <c r="FF373" s="364"/>
      <c r="FG373" s="364"/>
      <c r="FH373" s="364"/>
      <c r="FI373" s="364"/>
      <c r="FJ373" s="364"/>
      <c r="FK373" s="364"/>
      <c r="FL373" s="364"/>
      <c r="FM373" s="364"/>
      <c r="FN373" s="364"/>
      <c r="FO373" s="364"/>
      <c r="FP373" s="364"/>
      <c r="FQ373" s="364"/>
      <c r="FR373" s="364"/>
      <c r="FS373" s="364"/>
      <c r="FT373" s="364"/>
      <c r="FU373" s="364"/>
      <c r="FV373" s="364"/>
      <c r="FW373" s="364"/>
      <c r="FX373" s="364"/>
      <c r="FY373" s="364"/>
      <c r="FZ373" s="364"/>
      <c r="GA373" s="364"/>
      <c r="GB373" s="364"/>
      <c r="GC373" s="364"/>
      <c r="GD373" s="364"/>
      <c r="GE373" s="364"/>
      <c r="GF373" s="364"/>
      <c r="GG373" s="364"/>
      <c r="GH373" s="364"/>
      <c r="GI373" s="364"/>
      <c r="GJ373" s="364"/>
      <c r="GK373" s="364"/>
      <c r="GL373" s="364"/>
      <c r="GM373" s="364"/>
      <c r="GN373" s="364"/>
      <c r="GO373" s="364"/>
      <c r="GP373" s="364"/>
      <c r="GQ373" s="364"/>
      <c r="GR373" s="364"/>
      <c r="GS373" s="364"/>
      <c r="GT373" s="364"/>
      <c r="GU373" s="364"/>
      <c r="GV373" s="364"/>
      <c r="GW373" s="364"/>
      <c r="GX373" s="364"/>
      <c r="GY373" s="364"/>
      <c r="GZ373" s="364"/>
      <c r="HA373" s="364"/>
      <c r="HB373" s="364"/>
      <c r="HC373" s="364"/>
      <c r="HD373" s="364"/>
      <c r="HE373" s="364"/>
      <c r="HF373" s="364"/>
      <c r="HG373" s="364"/>
      <c r="HH373" s="364"/>
      <c r="HI373" s="364"/>
      <c r="HJ373" s="364"/>
      <c r="HK373" s="364"/>
      <c r="HL373" s="364"/>
    </row>
    <row r="374" spans="1:220" s="287" customFormat="1" ht="22.5" customHeight="1">
      <c r="B374" s="365">
        <v>250186</v>
      </c>
      <c r="C374" s="366" t="s">
        <v>268</v>
      </c>
      <c r="D374" s="419"/>
      <c r="E374" s="368"/>
      <c r="F374" s="321" t="s">
        <v>237</v>
      </c>
      <c r="G374" s="326" t="s">
        <v>2020</v>
      </c>
      <c r="H374" s="326" t="s">
        <v>2021</v>
      </c>
      <c r="I374" s="326" t="s">
        <v>383</v>
      </c>
      <c r="J374" s="326" t="s">
        <v>12</v>
      </c>
      <c r="K374" s="326" t="s">
        <v>223</v>
      </c>
      <c r="L374" s="323"/>
      <c r="M374" s="374"/>
      <c r="N374" s="325" t="s">
        <v>775</v>
      </c>
      <c r="O374" s="327" t="s">
        <v>210</v>
      </c>
      <c r="P374" s="327" t="s">
        <v>210</v>
      </c>
      <c r="Q374" s="369" t="s">
        <v>210</v>
      </c>
      <c r="R374" s="329" t="s">
        <v>1099</v>
      </c>
      <c r="S374" s="331" t="s">
        <v>14039</v>
      </c>
      <c r="T374" s="331" t="s">
        <v>14040</v>
      </c>
      <c r="U374" s="331" t="s">
        <v>14041</v>
      </c>
      <c r="V374" s="331" t="s">
        <v>14042</v>
      </c>
      <c r="W374" s="332" t="s">
        <v>1451</v>
      </c>
      <c r="X374" s="330"/>
      <c r="Y374" s="330"/>
      <c r="Z374" s="330"/>
      <c r="AA374" s="330"/>
      <c r="AB374" s="333"/>
      <c r="AC374" s="416"/>
      <c r="AD374" s="375"/>
      <c r="AE374" s="335" t="s">
        <v>94</v>
      </c>
      <c r="AF374" s="336"/>
      <c r="AG374" s="337"/>
      <c r="AH374" s="417" t="s">
        <v>210</v>
      </c>
      <c r="AI374" s="392" t="s">
        <v>210</v>
      </c>
      <c r="AJ374" s="392" t="s">
        <v>210</v>
      </c>
      <c r="AK374" s="340" t="s">
        <v>210</v>
      </c>
      <c r="AL374" s="417" t="s">
        <v>210</v>
      </c>
      <c r="AM374" s="392" t="s">
        <v>210</v>
      </c>
      <c r="AN374" s="392" t="s">
        <v>210</v>
      </c>
      <c r="AO374" s="341" t="s">
        <v>210</v>
      </c>
      <c r="AP374" s="342"/>
      <c r="AQ374" s="343"/>
      <c r="AR374" s="370">
        <v>4314</v>
      </c>
      <c r="AS374" s="326">
        <v>100</v>
      </c>
      <c r="AT374" s="392">
        <v>1</v>
      </c>
      <c r="AU374" s="392"/>
      <c r="AV374" s="392">
        <v>1.5</v>
      </c>
      <c r="AW374" s="340"/>
      <c r="AX374" s="347"/>
      <c r="AY374" s="348"/>
      <c r="AZ374" s="377"/>
      <c r="BA374" s="374"/>
      <c r="BB374" s="374"/>
      <c r="BC374" s="374"/>
      <c r="BD374" s="374"/>
      <c r="BE374" s="374"/>
      <c r="BF374" s="374"/>
      <c r="BG374" s="374"/>
      <c r="BH374" s="378"/>
      <c r="BI374" s="376"/>
      <c r="BJ374" s="431">
        <v>2.5299999999999998</v>
      </c>
      <c r="BK374" s="380"/>
      <c r="BL374" s="348"/>
      <c r="BM374" s="381"/>
      <c r="BN374" s="321" t="s">
        <v>14</v>
      </c>
      <c r="BO374" s="372"/>
      <c r="BP374" s="373" t="s">
        <v>14</v>
      </c>
      <c r="BQ374" s="360"/>
      <c r="BR374" s="361"/>
      <c r="BS374" s="361"/>
      <c r="BT374" s="361"/>
      <c r="BU374" s="342" t="s">
        <v>210</v>
      </c>
      <c r="BV374" s="342" t="s">
        <v>210</v>
      </c>
      <c r="BW374" s="341" t="s">
        <v>15</v>
      </c>
      <c r="BX374" s="361"/>
      <c r="BY374" s="362"/>
      <c r="BZ374" s="363"/>
      <c r="CA374" s="363"/>
      <c r="CB374" s="363"/>
      <c r="CC374" s="363"/>
      <c r="CD374" s="293"/>
      <c r="CE374" s="364"/>
      <c r="CF374" s="364"/>
      <c r="CG374" s="364"/>
      <c r="CH374" s="364"/>
      <c r="CI374" s="364"/>
      <c r="CJ374" s="364"/>
      <c r="CK374" s="364"/>
      <c r="CL374" s="364"/>
      <c r="CM374" s="364"/>
      <c r="CN374" s="364"/>
      <c r="CO374" s="364"/>
      <c r="CP374" s="364"/>
      <c r="CQ374" s="364"/>
      <c r="CR374" s="364"/>
      <c r="CS374" s="364"/>
      <c r="CT374" s="364"/>
      <c r="CU374" s="364"/>
      <c r="CV374" s="364"/>
      <c r="CW374" s="364"/>
      <c r="CX374" s="364"/>
      <c r="CY374" s="364"/>
      <c r="CZ374" s="364"/>
      <c r="DA374" s="364"/>
      <c r="DB374" s="364"/>
      <c r="DC374" s="364"/>
      <c r="DD374" s="364"/>
      <c r="DE374" s="364"/>
      <c r="DF374" s="364"/>
      <c r="DG374" s="364"/>
      <c r="DH374" s="364"/>
      <c r="DI374" s="364"/>
      <c r="DJ374" s="364"/>
      <c r="DK374" s="364"/>
      <c r="DL374" s="364"/>
      <c r="DM374" s="364"/>
      <c r="DN374" s="364"/>
      <c r="DO374" s="364"/>
      <c r="DP374" s="364"/>
      <c r="DQ374" s="364"/>
      <c r="DR374" s="364"/>
      <c r="DS374" s="364"/>
      <c r="DT374" s="364"/>
      <c r="DU374" s="364"/>
      <c r="DV374" s="364"/>
      <c r="DW374" s="364"/>
      <c r="DX374" s="364"/>
      <c r="DY374" s="364"/>
      <c r="DZ374" s="364"/>
      <c r="EA374" s="364"/>
      <c r="EB374" s="364"/>
      <c r="EC374" s="364"/>
      <c r="ED374" s="364"/>
      <c r="EE374" s="364"/>
      <c r="EF374" s="364"/>
      <c r="EG374" s="364"/>
      <c r="EH374" s="364"/>
      <c r="EI374" s="364"/>
      <c r="EJ374" s="364"/>
      <c r="EK374" s="364"/>
      <c r="EL374" s="364"/>
      <c r="EM374" s="364"/>
      <c r="EN374" s="364"/>
      <c r="EO374" s="364"/>
      <c r="EP374" s="364"/>
      <c r="EQ374" s="364"/>
      <c r="ER374" s="364"/>
      <c r="ES374" s="364"/>
      <c r="ET374" s="364"/>
      <c r="EU374" s="364"/>
      <c r="EV374" s="364"/>
      <c r="EW374" s="364"/>
      <c r="EX374" s="364"/>
      <c r="EY374" s="364"/>
      <c r="EZ374" s="364"/>
      <c r="FA374" s="364"/>
      <c r="FB374" s="364"/>
      <c r="FC374" s="364"/>
      <c r="FD374" s="364"/>
      <c r="FE374" s="364"/>
      <c r="FF374" s="364"/>
      <c r="FG374" s="364"/>
      <c r="FH374" s="364"/>
      <c r="FI374" s="364"/>
      <c r="FJ374" s="364"/>
      <c r="FK374" s="364"/>
      <c r="FL374" s="364"/>
      <c r="FM374" s="364"/>
      <c r="FN374" s="364"/>
      <c r="FO374" s="364"/>
      <c r="FP374" s="364"/>
      <c r="FQ374" s="364"/>
      <c r="FR374" s="364"/>
      <c r="FS374" s="364"/>
      <c r="FT374" s="364"/>
      <c r="FU374" s="364"/>
      <c r="FV374" s="364"/>
      <c r="FW374" s="364"/>
      <c r="FX374" s="364"/>
      <c r="FY374" s="364"/>
      <c r="FZ374" s="364"/>
      <c r="GA374" s="364"/>
      <c r="GB374" s="364"/>
      <c r="GC374" s="364"/>
      <c r="GD374" s="364"/>
      <c r="GE374" s="364"/>
      <c r="GF374" s="364"/>
      <c r="GG374" s="364"/>
      <c r="GH374" s="364"/>
      <c r="GI374" s="364"/>
      <c r="GJ374" s="364"/>
      <c r="GK374" s="364"/>
      <c r="GL374" s="364"/>
      <c r="GM374" s="364"/>
      <c r="GN374" s="364"/>
      <c r="GO374" s="364"/>
      <c r="GP374" s="364"/>
      <c r="GQ374" s="364"/>
      <c r="GR374" s="364"/>
      <c r="GS374" s="364"/>
      <c r="GT374" s="364"/>
      <c r="GU374" s="364"/>
      <c r="GV374" s="364"/>
      <c r="GW374" s="364"/>
      <c r="GX374" s="364"/>
      <c r="GY374" s="364"/>
      <c r="GZ374" s="364"/>
      <c r="HA374" s="364"/>
      <c r="HB374" s="364"/>
      <c r="HC374" s="364"/>
      <c r="HD374" s="364"/>
      <c r="HE374" s="364"/>
      <c r="HF374" s="364"/>
      <c r="HG374" s="364"/>
      <c r="HH374" s="364"/>
      <c r="HI374" s="364"/>
      <c r="HJ374" s="364"/>
      <c r="HK374" s="364"/>
      <c r="HL374" s="364"/>
    </row>
    <row r="375" spans="1:220" s="287" customFormat="1" ht="22.5" customHeight="1">
      <c r="B375" s="365">
        <v>250187</v>
      </c>
      <c r="C375" s="366" t="s">
        <v>14038</v>
      </c>
      <c r="D375" s="419"/>
      <c r="E375" s="368"/>
      <c r="F375" s="321" t="s">
        <v>53</v>
      </c>
      <c r="G375" s="326" t="s">
        <v>2018</v>
      </c>
      <c r="H375" s="326" t="s">
        <v>2019</v>
      </c>
      <c r="I375" s="326" t="s">
        <v>383</v>
      </c>
      <c r="J375" s="326" t="s">
        <v>387</v>
      </c>
      <c r="K375" s="374"/>
      <c r="L375" s="323"/>
      <c r="M375" s="374"/>
      <c r="N375" s="325" t="s">
        <v>773</v>
      </c>
      <c r="O375" s="327" t="s">
        <v>210</v>
      </c>
      <c r="P375" s="327" t="s">
        <v>210</v>
      </c>
      <c r="Q375" s="369" t="s">
        <v>210</v>
      </c>
      <c r="R375" s="399"/>
      <c r="S375" s="400"/>
      <c r="T375" s="400"/>
      <c r="U375" s="400"/>
      <c r="V375" s="400"/>
      <c r="W375" s="332" t="s">
        <v>774</v>
      </c>
      <c r="X375" s="400"/>
      <c r="Y375" s="400"/>
      <c r="Z375" s="400"/>
      <c r="AA375" s="400"/>
      <c r="AB375" s="333"/>
      <c r="AC375" s="333"/>
      <c r="AD375" s="334" t="s">
        <v>772</v>
      </c>
      <c r="AE375" s="335" t="s">
        <v>772</v>
      </c>
      <c r="AF375" s="336"/>
      <c r="AG375" s="337"/>
      <c r="AH375" s="417" t="s">
        <v>210</v>
      </c>
      <c r="AI375" s="392" t="s">
        <v>210</v>
      </c>
      <c r="AJ375" s="392" t="s">
        <v>210</v>
      </c>
      <c r="AK375" s="340" t="s">
        <v>210</v>
      </c>
      <c r="AL375" s="417" t="s">
        <v>210</v>
      </c>
      <c r="AM375" s="653" t="s">
        <v>17904</v>
      </c>
      <c r="AN375" s="392" t="s">
        <v>210</v>
      </c>
      <c r="AO375" s="341" t="s">
        <v>210</v>
      </c>
      <c r="AP375" s="418"/>
      <c r="AQ375" s="343"/>
      <c r="AR375" s="392" t="s">
        <v>17907</v>
      </c>
      <c r="AS375" s="392" t="s">
        <v>17907</v>
      </c>
      <c r="AT375" s="392" t="s">
        <v>17907</v>
      </c>
      <c r="AU375" s="392" t="s">
        <v>17907</v>
      </c>
      <c r="AV375" s="392" t="s">
        <v>17907</v>
      </c>
      <c r="AW375" s="392" t="s">
        <v>17907</v>
      </c>
      <c r="AX375" s="347"/>
      <c r="AY375" s="348"/>
      <c r="AZ375" s="377"/>
      <c r="BA375" s="374"/>
      <c r="BB375" s="374"/>
      <c r="BC375" s="374"/>
      <c r="BD375" s="374"/>
      <c r="BE375" s="374"/>
      <c r="BF375" s="374"/>
      <c r="BG375" s="374"/>
      <c r="BH375" s="378"/>
      <c r="BI375" s="376"/>
      <c r="BJ375" s="379"/>
      <c r="BK375" s="380"/>
      <c r="BL375" s="348"/>
      <c r="BM375" s="381"/>
      <c r="BN375" s="417" t="s">
        <v>210</v>
      </c>
      <c r="BO375" s="372"/>
      <c r="BP375" s="340" t="s">
        <v>210</v>
      </c>
      <c r="BQ375" s="360"/>
      <c r="BR375" s="361"/>
      <c r="BS375" s="361"/>
      <c r="BT375" s="361"/>
      <c r="BU375" s="361"/>
      <c r="BV375" s="418" t="s">
        <v>5414</v>
      </c>
      <c r="BW375" s="341" t="s">
        <v>15</v>
      </c>
      <c r="BX375" s="361"/>
      <c r="BY375" s="362"/>
      <c r="BZ375" s="363"/>
      <c r="CA375" s="363"/>
      <c r="CB375" s="363"/>
      <c r="CC375" s="363"/>
      <c r="CD375" s="293"/>
      <c r="CE375" s="364"/>
      <c r="CF375" s="364"/>
      <c r="CG375" s="364"/>
      <c r="CH375" s="364"/>
      <c r="CI375" s="364"/>
      <c r="CJ375" s="364"/>
      <c r="CK375" s="364"/>
      <c r="CL375" s="364"/>
      <c r="CM375" s="364"/>
      <c r="CN375" s="364"/>
      <c r="CO375" s="364"/>
      <c r="CP375" s="364"/>
      <c r="CQ375" s="364"/>
      <c r="CR375" s="364"/>
      <c r="CS375" s="364"/>
      <c r="CT375" s="364"/>
      <c r="CU375" s="364"/>
      <c r="CV375" s="364"/>
      <c r="CW375" s="364"/>
      <c r="CX375" s="364"/>
      <c r="CY375" s="364"/>
      <c r="CZ375" s="364"/>
      <c r="DA375" s="364"/>
      <c r="DB375" s="364"/>
      <c r="DC375" s="364"/>
      <c r="DD375" s="364"/>
      <c r="DE375" s="364"/>
      <c r="DF375" s="364"/>
      <c r="DG375" s="364"/>
      <c r="DH375" s="364"/>
      <c r="DI375" s="364"/>
      <c r="DJ375" s="364"/>
      <c r="DK375" s="364"/>
      <c r="DL375" s="364"/>
      <c r="DM375" s="364"/>
      <c r="DN375" s="364"/>
      <c r="DO375" s="364"/>
      <c r="DP375" s="364"/>
      <c r="DQ375" s="364"/>
      <c r="DR375" s="364"/>
      <c r="DS375" s="364"/>
      <c r="DT375" s="364"/>
      <c r="DU375" s="364"/>
      <c r="DV375" s="364"/>
      <c r="DW375" s="364"/>
      <c r="DX375" s="364"/>
      <c r="DY375" s="364"/>
      <c r="DZ375" s="364"/>
      <c r="EA375" s="364"/>
      <c r="EB375" s="364"/>
      <c r="EC375" s="364"/>
      <c r="ED375" s="364"/>
      <c r="EE375" s="364"/>
      <c r="EF375" s="364"/>
      <c r="EG375" s="364"/>
      <c r="EH375" s="364"/>
      <c r="EI375" s="364"/>
      <c r="EJ375" s="364"/>
      <c r="EK375" s="364"/>
      <c r="EL375" s="364"/>
      <c r="EM375" s="364"/>
      <c r="EN375" s="364"/>
      <c r="EO375" s="364"/>
      <c r="EP375" s="364"/>
      <c r="EQ375" s="364"/>
      <c r="ER375" s="364"/>
      <c r="ES375" s="364"/>
      <c r="ET375" s="364"/>
      <c r="EU375" s="364"/>
      <c r="EV375" s="364"/>
      <c r="EW375" s="364"/>
      <c r="EX375" s="364"/>
      <c r="EY375" s="364"/>
      <c r="EZ375" s="364"/>
      <c r="FA375" s="364"/>
      <c r="FB375" s="364"/>
      <c r="FC375" s="364"/>
      <c r="FD375" s="364"/>
      <c r="FE375" s="364"/>
      <c r="FF375" s="364"/>
      <c r="FG375" s="364"/>
      <c r="FH375" s="364"/>
      <c r="FI375" s="364"/>
      <c r="FJ375" s="364"/>
      <c r="FK375" s="364"/>
      <c r="FL375" s="364"/>
      <c r="FM375" s="364"/>
      <c r="FN375" s="364"/>
      <c r="FO375" s="364"/>
      <c r="FP375" s="364"/>
      <c r="FQ375" s="364"/>
      <c r="FR375" s="364"/>
      <c r="FS375" s="364"/>
      <c r="FT375" s="364"/>
      <c r="FU375" s="364"/>
      <c r="FV375" s="364"/>
      <c r="FW375" s="364"/>
      <c r="FX375" s="364"/>
      <c r="FY375" s="364"/>
      <c r="FZ375" s="364"/>
      <c r="GA375" s="364"/>
      <c r="GB375" s="364"/>
      <c r="GC375" s="364"/>
      <c r="GD375" s="364"/>
      <c r="GE375" s="364"/>
      <c r="GF375" s="364"/>
      <c r="GG375" s="364"/>
      <c r="GH375" s="364"/>
      <c r="GI375" s="364"/>
      <c r="GJ375" s="364"/>
      <c r="GK375" s="364"/>
      <c r="GL375" s="364"/>
      <c r="GM375" s="364"/>
      <c r="GN375" s="364"/>
      <c r="GO375" s="364"/>
      <c r="GP375" s="364"/>
      <c r="GQ375" s="364"/>
      <c r="GR375" s="364"/>
      <c r="GS375" s="364"/>
      <c r="GT375" s="364"/>
      <c r="GU375" s="364"/>
      <c r="GV375" s="364"/>
      <c r="GW375" s="364"/>
      <c r="GX375" s="364"/>
      <c r="GY375" s="364"/>
      <c r="GZ375" s="364"/>
      <c r="HA375" s="364"/>
      <c r="HB375" s="364"/>
      <c r="HC375" s="364"/>
      <c r="HD375" s="364"/>
      <c r="HE375" s="364"/>
      <c r="HF375" s="364"/>
      <c r="HG375" s="364"/>
      <c r="HH375" s="364"/>
      <c r="HI375" s="364"/>
      <c r="HJ375" s="364"/>
      <c r="HK375" s="364"/>
      <c r="HL375" s="364"/>
    </row>
    <row r="376" spans="1:220" s="287" customFormat="1" ht="22.5" customHeight="1">
      <c r="B376" s="365">
        <v>250188</v>
      </c>
      <c r="C376" s="366" t="s">
        <v>14034</v>
      </c>
      <c r="D376" s="419"/>
      <c r="E376" s="368"/>
      <c r="F376" s="321" t="s">
        <v>227</v>
      </c>
      <c r="G376" s="326" t="s">
        <v>2011</v>
      </c>
      <c r="H376" s="326" t="s">
        <v>2017</v>
      </c>
      <c r="I376" s="326" t="s">
        <v>383</v>
      </c>
      <c r="J376" s="326" t="s">
        <v>747</v>
      </c>
      <c r="K376" s="326" t="s">
        <v>748</v>
      </c>
      <c r="L376" s="323"/>
      <c r="M376" s="374"/>
      <c r="N376" s="325" t="s">
        <v>749</v>
      </c>
      <c r="O376" s="326">
        <v>30</v>
      </c>
      <c r="P376" s="327">
        <v>1999.29</v>
      </c>
      <c r="Q376" s="369">
        <v>1068.45</v>
      </c>
      <c r="R376" s="329" t="s">
        <v>739</v>
      </c>
      <c r="S376" s="331" t="s">
        <v>14035</v>
      </c>
      <c r="T376" s="331" t="s">
        <v>14036</v>
      </c>
      <c r="U376" s="330"/>
      <c r="V376" s="331" t="s">
        <v>14037</v>
      </c>
      <c r="W376" s="332" t="s">
        <v>432</v>
      </c>
      <c r="X376" s="331" t="s">
        <v>11079</v>
      </c>
      <c r="Y376" s="331" t="s">
        <v>11080</v>
      </c>
      <c r="Z376" s="331" t="s">
        <v>11080</v>
      </c>
      <c r="AA376" s="331" t="s">
        <v>210</v>
      </c>
      <c r="AB376" s="333" t="s">
        <v>708</v>
      </c>
      <c r="AC376" s="333"/>
      <c r="AD376" s="334" t="s">
        <v>2331</v>
      </c>
      <c r="AE376" s="335" t="s">
        <v>303</v>
      </c>
      <c r="AF376" s="336"/>
      <c r="AG376" s="337"/>
      <c r="AH376" s="417">
        <v>21.1</v>
      </c>
      <c r="AI376" s="392">
        <v>50.4</v>
      </c>
      <c r="AJ376" s="392">
        <v>53.9</v>
      </c>
      <c r="AK376" s="340">
        <f>SUM(AH376:AJ376)</f>
        <v>125.4</v>
      </c>
      <c r="AL376" s="417" t="s">
        <v>210</v>
      </c>
      <c r="AM376" s="392" t="s">
        <v>210</v>
      </c>
      <c r="AN376" s="392" t="s">
        <v>210</v>
      </c>
      <c r="AO376" s="341" t="s">
        <v>210</v>
      </c>
      <c r="AP376" s="342"/>
      <c r="AQ376" s="343"/>
      <c r="AR376" s="370">
        <v>1272</v>
      </c>
      <c r="AS376" s="326">
        <v>100</v>
      </c>
      <c r="AT376" s="392">
        <v>1</v>
      </c>
      <c r="AU376" s="392"/>
      <c r="AV376" s="392">
        <v>2</v>
      </c>
      <c r="AW376" s="340"/>
      <c r="AX376" s="347"/>
      <c r="AY376" s="348"/>
      <c r="AZ376" s="377"/>
      <c r="BA376" s="374"/>
      <c r="BB376" s="374"/>
      <c r="BC376" s="374"/>
      <c r="BD376" s="374"/>
      <c r="BE376" s="374"/>
      <c r="BF376" s="374"/>
      <c r="BG376" s="374"/>
      <c r="BH376" s="378"/>
      <c r="BI376" s="376"/>
      <c r="BJ376" s="379"/>
      <c r="BK376" s="380"/>
      <c r="BL376" s="348"/>
      <c r="BM376" s="381"/>
      <c r="BN376" s="321" t="s">
        <v>14</v>
      </c>
      <c r="BO376" s="372"/>
      <c r="BP376" s="373" t="s">
        <v>14</v>
      </c>
      <c r="BQ376" s="360"/>
      <c r="BR376" s="361"/>
      <c r="BS376" s="361"/>
      <c r="BT376" s="361"/>
      <c r="BU376" s="342" t="s">
        <v>210</v>
      </c>
      <c r="BV376" s="342" t="s">
        <v>210</v>
      </c>
      <c r="BW376" s="341" t="s">
        <v>15</v>
      </c>
      <c r="BX376" s="361"/>
      <c r="BY376" s="362"/>
      <c r="BZ376" s="363"/>
      <c r="CA376" s="363"/>
      <c r="CB376" s="363"/>
      <c r="CC376" s="363"/>
      <c r="CD376" s="293"/>
      <c r="CE376" s="364"/>
      <c r="CF376" s="364"/>
      <c r="CG376" s="364"/>
      <c r="CH376" s="364"/>
      <c r="CI376" s="364"/>
      <c r="CJ376" s="364"/>
      <c r="CK376" s="364"/>
      <c r="CL376" s="364"/>
      <c r="CM376" s="364"/>
      <c r="CN376" s="364"/>
      <c r="CO376" s="364"/>
      <c r="CP376" s="364"/>
      <c r="CQ376" s="364"/>
      <c r="CR376" s="364"/>
      <c r="CS376" s="364"/>
      <c r="CT376" s="364"/>
      <c r="CU376" s="364"/>
      <c r="CV376" s="364"/>
      <c r="CW376" s="364"/>
      <c r="CX376" s="364"/>
      <c r="CY376" s="364"/>
      <c r="CZ376" s="364"/>
      <c r="DA376" s="364"/>
      <c r="DB376" s="364"/>
      <c r="DC376" s="364"/>
      <c r="DD376" s="364"/>
      <c r="DE376" s="364"/>
      <c r="DF376" s="364"/>
      <c r="DG376" s="364"/>
      <c r="DH376" s="364"/>
      <c r="DI376" s="364"/>
      <c r="DJ376" s="364"/>
      <c r="DK376" s="364"/>
      <c r="DL376" s="364"/>
      <c r="DM376" s="364"/>
      <c r="DN376" s="364"/>
      <c r="DO376" s="364"/>
      <c r="DP376" s="364"/>
      <c r="DQ376" s="364"/>
      <c r="DR376" s="364"/>
      <c r="DS376" s="364"/>
      <c r="DT376" s="364"/>
      <c r="DU376" s="364"/>
      <c r="DV376" s="364"/>
      <c r="DW376" s="364"/>
      <c r="DX376" s="364"/>
      <c r="DY376" s="364"/>
      <c r="DZ376" s="364"/>
      <c r="EA376" s="364"/>
      <c r="EB376" s="364"/>
      <c r="EC376" s="364"/>
      <c r="ED376" s="364"/>
      <c r="EE376" s="364"/>
      <c r="EF376" s="364"/>
      <c r="EG376" s="364"/>
      <c r="EH376" s="364"/>
      <c r="EI376" s="364"/>
      <c r="EJ376" s="364"/>
      <c r="EK376" s="364"/>
      <c r="EL376" s="364"/>
      <c r="EM376" s="364"/>
      <c r="EN376" s="364"/>
      <c r="EO376" s="364"/>
      <c r="EP376" s="364"/>
      <c r="EQ376" s="364"/>
      <c r="ER376" s="364"/>
      <c r="ES376" s="364"/>
      <c r="ET376" s="364"/>
      <c r="EU376" s="364"/>
      <c r="EV376" s="364"/>
      <c r="EW376" s="364"/>
      <c r="EX376" s="364"/>
      <c r="EY376" s="364"/>
      <c r="EZ376" s="364"/>
      <c r="FA376" s="364"/>
      <c r="FB376" s="364"/>
      <c r="FC376" s="364"/>
      <c r="FD376" s="364"/>
      <c r="FE376" s="364"/>
      <c r="FF376" s="364"/>
      <c r="FG376" s="364"/>
      <c r="FH376" s="364"/>
      <c r="FI376" s="364"/>
      <c r="FJ376" s="364"/>
      <c r="FK376" s="364"/>
      <c r="FL376" s="364"/>
      <c r="FM376" s="364"/>
      <c r="FN376" s="364"/>
      <c r="FO376" s="364"/>
      <c r="FP376" s="364"/>
      <c r="FQ376" s="364"/>
      <c r="FR376" s="364"/>
      <c r="FS376" s="364"/>
      <c r="FT376" s="364"/>
      <c r="FU376" s="364"/>
      <c r="FV376" s="364"/>
      <c r="FW376" s="364"/>
      <c r="FX376" s="364"/>
      <c r="FY376" s="364"/>
      <c r="FZ376" s="364"/>
      <c r="GA376" s="364"/>
      <c r="GB376" s="364"/>
      <c r="GC376" s="364"/>
      <c r="GD376" s="364"/>
      <c r="GE376" s="364"/>
      <c r="GF376" s="364"/>
      <c r="GG376" s="364"/>
      <c r="GH376" s="364"/>
      <c r="GI376" s="364"/>
      <c r="GJ376" s="364"/>
      <c r="GK376" s="364"/>
      <c r="GL376" s="364"/>
      <c r="GM376" s="364"/>
      <c r="GN376" s="364"/>
      <c r="GO376" s="364"/>
      <c r="GP376" s="364"/>
      <c r="GQ376" s="364"/>
      <c r="GR376" s="364"/>
      <c r="GS376" s="364"/>
      <c r="GT376" s="364"/>
      <c r="GU376" s="364"/>
      <c r="GV376" s="364"/>
      <c r="GW376" s="364"/>
      <c r="GX376" s="364"/>
      <c r="GY376" s="364"/>
      <c r="GZ376" s="364"/>
      <c r="HA376" s="364"/>
      <c r="HB376" s="364"/>
      <c r="HC376" s="364"/>
      <c r="HD376" s="364"/>
      <c r="HE376" s="364"/>
      <c r="HF376" s="364"/>
      <c r="HG376" s="364"/>
      <c r="HH376" s="364"/>
      <c r="HI376" s="364"/>
      <c r="HJ376" s="364"/>
      <c r="HK376" s="364"/>
      <c r="HL376" s="364"/>
    </row>
    <row r="377" spans="1:220" ht="22.5" customHeight="1">
      <c r="B377" s="365">
        <v>250189</v>
      </c>
      <c r="C377" s="366" t="s">
        <v>737</v>
      </c>
      <c r="D377" s="419"/>
      <c r="E377" s="368"/>
      <c r="F377" s="321" t="s">
        <v>771</v>
      </c>
      <c r="G377" s="326" t="s">
        <v>2015</v>
      </c>
      <c r="H377" s="326" t="s">
        <v>2016</v>
      </c>
      <c r="I377" s="326" t="s">
        <v>383</v>
      </c>
      <c r="J377" s="326" t="s">
        <v>387</v>
      </c>
      <c r="K377" s="326" t="s">
        <v>223</v>
      </c>
      <c r="L377" s="323"/>
      <c r="M377" s="326" t="s">
        <v>6509</v>
      </c>
      <c r="N377" s="325" t="s">
        <v>438</v>
      </c>
      <c r="O377" s="326">
        <v>13</v>
      </c>
      <c r="P377" s="327">
        <v>4073.07</v>
      </c>
      <c r="Q377" s="369">
        <v>3484.33</v>
      </c>
      <c r="R377" s="329" t="s">
        <v>636</v>
      </c>
      <c r="S377" s="331" t="s">
        <v>13080</v>
      </c>
      <c r="T377" s="394" t="s">
        <v>12276</v>
      </c>
      <c r="U377" s="394" t="s">
        <v>12277</v>
      </c>
      <c r="V377" s="331" t="s">
        <v>13081</v>
      </c>
      <c r="W377" s="332" t="s">
        <v>432</v>
      </c>
      <c r="X377" s="331" t="s">
        <v>11079</v>
      </c>
      <c r="Y377" s="331" t="s">
        <v>11080</v>
      </c>
      <c r="Z377" s="331" t="s">
        <v>11080</v>
      </c>
      <c r="AA377" s="331" t="s">
        <v>210</v>
      </c>
      <c r="AB377" s="333"/>
      <c r="AC377" s="333"/>
      <c r="AD377" s="334" t="s">
        <v>337</v>
      </c>
      <c r="AE377" s="335" t="s">
        <v>811</v>
      </c>
      <c r="AF377" s="336"/>
      <c r="AG377" s="705">
        <v>41890</v>
      </c>
      <c r="AH377" s="417">
        <v>14.5</v>
      </c>
      <c r="AI377" s="392">
        <v>38.9</v>
      </c>
      <c r="AJ377" s="392">
        <v>22.9</v>
      </c>
      <c r="AK377" s="340">
        <f>SUM(AH377:AJ377)</f>
        <v>76.3</v>
      </c>
      <c r="AL377" s="417" t="s">
        <v>210</v>
      </c>
      <c r="AM377" s="392" t="s">
        <v>210</v>
      </c>
      <c r="AN377" s="392" t="s">
        <v>210</v>
      </c>
      <c r="AO377" s="341" t="s">
        <v>210</v>
      </c>
      <c r="AP377" s="342"/>
      <c r="AQ377" s="343"/>
      <c r="AR377" s="370">
        <v>4176</v>
      </c>
      <c r="AS377" s="326">
        <v>130</v>
      </c>
      <c r="AT377" s="392">
        <v>1</v>
      </c>
      <c r="AU377" s="392"/>
      <c r="AV377" s="392">
        <v>1.2</v>
      </c>
      <c r="AW377" s="340"/>
      <c r="AX377" s="347"/>
      <c r="AY377" s="348"/>
      <c r="AZ377" s="377"/>
      <c r="BA377" s="374"/>
      <c r="BB377" s="374"/>
      <c r="BC377" s="374"/>
      <c r="BD377" s="374"/>
      <c r="BE377" s="374"/>
      <c r="BF377" s="374"/>
      <c r="BG377" s="374"/>
      <c r="BH377" s="378"/>
      <c r="BI377" s="376"/>
      <c r="BJ377" s="379"/>
      <c r="BK377" s="380"/>
      <c r="BL377" s="348"/>
      <c r="BM377" s="381"/>
      <c r="BN377" s="321" t="s">
        <v>14</v>
      </c>
      <c r="BO377" s="372"/>
      <c r="BP377" s="340" t="s">
        <v>210</v>
      </c>
      <c r="BQ377" s="360"/>
      <c r="BR377" s="361"/>
      <c r="BS377" s="361"/>
      <c r="BT377" s="361"/>
      <c r="BU377" s="342" t="s">
        <v>210</v>
      </c>
      <c r="BV377" s="342" t="s">
        <v>210</v>
      </c>
      <c r="BW377" s="341" t="s">
        <v>15</v>
      </c>
      <c r="BX377" s="361"/>
      <c r="BY377" s="362"/>
      <c r="BZ377" s="363"/>
      <c r="CA377" s="363"/>
      <c r="CB377" s="363"/>
      <c r="CC377" s="363"/>
    </row>
    <row r="378" spans="1:220" ht="22.5" customHeight="1">
      <c r="B378" s="365">
        <v>250190</v>
      </c>
      <c r="C378" s="366" t="s">
        <v>677</v>
      </c>
      <c r="D378" s="419"/>
      <c r="E378" s="368"/>
      <c r="F378" s="321" t="s">
        <v>227</v>
      </c>
      <c r="G378" s="326" t="s">
        <v>2013</v>
      </c>
      <c r="H378" s="326" t="s">
        <v>2014</v>
      </c>
      <c r="I378" s="326" t="s">
        <v>11</v>
      </c>
      <c r="J378" s="326" t="s">
        <v>387</v>
      </c>
      <c r="K378" s="374"/>
      <c r="L378" s="323"/>
      <c r="M378" s="374"/>
      <c r="N378" s="325" t="s">
        <v>438</v>
      </c>
      <c r="O378" s="327" t="s">
        <v>210</v>
      </c>
      <c r="P378" s="327" t="s">
        <v>210</v>
      </c>
      <c r="Q378" s="369" t="s">
        <v>210</v>
      </c>
      <c r="R378" s="329" t="s">
        <v>678</v>
      </c>
      <c r="S378" s="330"/>
      <c r="T378" s="330"/>
      <c r="U378" s="330"/>
      <c r="V378" s="330"/>
      <c r="W378" s="332" t="s">
        <v>679</v>
      </c>
      <c r="X378" s="331" t="s">
        <v>14028</v>
      </c>
      <c r="Y378" s="331" t="s">
        <v>14030</v>
      </c>
      <c r="Z378" s="331" t="s">
        <v>14031</v>
      </c>
      <c r="AA378" s="331" t="s">
        <v>14029</v>
      </c>
      <c r="AB378" s="333"/>
      <c r="AC378" s="333"/>
      <c r="AD378" s="334" t="s">
        <v>740</v>
      </c>
      <c r="AE378" s="335" t="s">
        <v>696</v>
      </c>
      <c r="AF378" s="336"/>
      <c r="AG378" s="337"/>
      <c r="AH378" s="417" t="s">
        <v>210</v>
      </c>
      <c r="AI378" s="392" t="s">
        <v>210</v>
      </c>
      <c r="AJ378" s="392" t="s">
        <v>210</v>
      </c>
      <c r="AK378" s="340" t="s">
        <v>210</v>
      </c>
      <c r="AL378" s="417" t="s">
        <v>210</v>
      </c>
      <c r="AM378" s="392" t="s">
        <v>210</v>
      </c>
      <c r="AN378" s="392" t="s">
        <v>210</v>
      </c>
      <c r="AO378" s="341" t="s">
        <v>210</v>
      </c>
      <c r="AP378" s="342"/>
      <c r="AQ378" s="343"/>
      <c r="AR378" s="370">
        <v>1630</v>
      </c>
      <c r="AS378" s="326">
        <v>125</v>
      </c>
      <c r="AT378" s="392">
        <v>1</v>
      </c>
      <c r="AU378" s="392"/>
      <c r="AV378" s="392">
        <v>1.5</v>
      </c>
      <c r="AW378" s="340"/>
      <c r="AX378" s="347"/>
      <c r="AY378" s="348"/>
      <c r="AZ378" s="377"/>
      <c r="BA378" s="374"/>
      <c r="BB378" s="374"/>
      <c r="BC378" s="374"/>
      <c r="BD378" s="374"/>
      <c r="BE378" s="374"/>
      <c r="BF378" s="374"/>
      <c r="BG378" s="374"/>
      <c r="BH378" s="378"/>
      <c r="BI378" s="376"/>
      <c r="BJ378" s="379"/>
      <c r="BK378" s="380"/>
      <c r="BL378" s="348"/>
      <c r="BM378" s="381"/>
      <c r="BN378" s="321" t="s">
        <v>14</v>
      </c>
      <c r="BO378" s="372"/>
      <c r="BP378" s="373" t="s">
        <v>14</v>
      </c>
      <c r="BQ378" s="360"/>
      <c r="BR378" s="361"/>
      <c r="BS378" s="361"/>
      <c r="BT378" s="361"/>
      <c r="BU378" s="342" t="s">
        <v>210</v>
      </c>
      <c r="BV378" s="342" t="s">
        <v>210</v>
      </c>
      <c r="BW378" s="341" t="s">
        <v>15</v>
      </c>
      <c r="BX378" s="361"/>
      <c r="BY378" s="362"/>
      <c r="BZ378" s="363"/>
      <c r="CA378" s="363"/>
      <c r="CB378" s="363"/>
      <c r="CC378" s="363"/>
    </row>
    <row r="379" spans="1:220" ht="22.5" customHeight="1">
      <c r="B379" s="365">
        <v>250191</v>
      </c>
      <c r="C379" s="366" t="s">
        <v>14024</v>
      </c>
      <c r="D379" s="367"/>
      <c r="E379" s="368"/>
      <c r="F379" s="321" t="s">
        <v>227</v>
      </c>
      <c r="G379" s="326" t="s">
        <v>2011</v>
      </c>
      <c r="H379" s="326" t="s">
        <v>2012</v>
      </c>
      <c r="I379" s="326" t="s">
        <v>11</v>
      </c>
      <c r="J379" s="326" t="s">
        <v>12</v>
      </c>
      <c r="K379" s="324" t="s">
        <v>6552</v>
      </c>
      <c r="L379" s="323"/>
      <c r="M379" s="374"/>
      <c r="N379" s="325" t="s">
        <v>438</v>
      </c>
      <c r="O379" s="327" t="s">
        <v>210</v>
      </c>
      <c r="P379" s="327" t="s">
        <v>210</v>
      </c>
      <c r="Q379" s="369" t="s">
        <v>210</v>
      </c>
      <c r="R379" s="329" t="s">
        <v>676</v>
      </c>
      <c r="S379" s="330"/>
      <c r="T379" s="330"/>
      <c r="U379" s="330"/>
      <c r="V379" s="330"/>
      <c r="W379" s="332" t="s">
        <v>675</v>
      </c>
      <c r="X379" s="331" t="s">
        <v>14025</v>
      </c>
      <c r="Y379" s="331" t="s">
        <v>14026</v>
      </c>
      <c r="Z379" s="330"/>
      <c r="AA379" s="331" t="s">
        <v>14027</v>
      </c>
      <c r="AB379" s="333"/>
      <c r="AC379" s="333"/>
      <c r="AD379" s="334" t="s">
        <v>2329</v>
      </c>
      <c r="AE379" s="335" t="s">
        <v>811</v>
      </c>
      <c r="AF379" s="336"/>
      <c r="AG379" s="337"/>
      <c r="AH379" s="417" t="s">
        <v>210</v>
      </c>
      <c r="AI379" s="392" t="s">
        <v>210</v>
      </c>
      <c r="AJ379" s="392" t="s">
        <v>210</v>
      </c>
      <c r="AK379" s="340" t="s">
        <v>210</v>
      </c>
      <c r="AL379" s="417" t="s">
        <v>210</v>
      </c>
      <c r="AM379" s="392" t="s">
        <v>210</v>
      </c>
      <c r="AN379" s="392" t="s">
        <v>210</v>
      </c>
      <c r="AO379" s="341" t="s">
        <v>210</v>
      </c>
      <c r="AP379" s="342"/>
      <c r="AQ379" s="343"/>
      <c r="AR379" s="370">
        <v>1055</v>
      </c>
      <c r="AS379" s="326">
        <v>80</v>
      </c>
      <c r="AT379" s="392">
        <v>1</v>
      </c>
      <c r="AU379" s="392"/>
      <c r="AV379" s="392">
        <v>1.5</v>
      </c>
      <c r="AW379" s="340"/>
      <c r="AX379" s="347"/>
      <c r="AY379" s="348"/>
      <c r="AZ379" s="377"/>
      <c r="BA379" s="374"/>
      <c r="BB379" s="374"/>
      <c r="BC379" s="374"/>
      <c r="BD379" s="374"/>
      <c r="BE379" s="374"/>
      <c r="BF379" s="374"/>
      <c r="BG379" s="374"/>
      <c r="BH379" s="378"/>
      <c r="BI379" s="376"/>
      <c r="BJ379" s="379"/>
      <c r="BK379" s="380"/>
      <c r="BL379" s="348"/>
      <c r="BM379" s="381"/>
      <c r="BN379" s="321" t="s">
        <v>14</v>
      </c>
      <c r="BO379" s="372"/>
      <c r="BP379" s="373" t="s">
        <v>14</v>
      </c>
      <c r="BQ379" s="360"/>
      <c r="BR379" s="361"/>
      <c r="BS379" s="361"/>
      <c r="BT379" s="361"/>
      <c r="BU379" s="342" t="s">
        <v>210</v>
      </c>
      <c r="BV379" s="342" t="s">
        <v>210</v>
      </c>
      <c r="BW379" s="341" t="s">
        <v>15</v>
      </c>
      <c r="BX379" s="361"/>
      <c r="BY379" s="362"/>
      <c r="BZ379" s="363"/>
      <c r="CA379" s="363"/>
      <c r="CB379" s="363"/>
      <c r="CC379" s="363"/>
    </row>
    <row r="380" spans="1:220" ht="22.5" customHeight="1">
      <c r="B380" s="365">
        <v>250192</v>
      </c>
      <c r="C380" s="366" t="s">
        <v>14084</v>
      </c>
      <c r="D380" s="367"/>
      <c r="E380" s="368"/>
      <c r="F380" s="321" t="s">
        <v>222</v>
      </c>
      <c r="G380" s="326" t="s">
        <v>1931</v>
      </c>
      <c r="H380" s="326" t="s">
        <v>1771</v>
      </c>
      <c r="I380" s="326" t="s">
        <v>766</v>
      </c>
      <c r="J380" s="326" t="s">
        <v>12</v>
      </c>
      <c r="K380" s="326" t="s">
        <v>767</v>
      </c>
      <c r="L380" s="323"/>
      <c r="M380" s="374"/>
      <c r="N380" s="325" t="s">
        <v>437</v>
      </c>
      <c r="O380" s="327" t="s">
        <v>210</v>
      </c>
      <c r="P380" s="327" t="s">
        <v>210</v>
      </c>
      <c r="Q380" s="369" t="s">
        <v>210</v>
      </c>
      <c r="R380" s="329" t="s">
        <v>768</v>
      </c>
      <c r="S380" s="330"/>
      <c r="T380" s="330"/>
      <c r="U380" s="330"/>
      <c r="V380" s="330"/>
      <c r="W380" s="332" t="s">
        <v>674</v>
      </c>
      <c r="X380" s="330"/>
      <c r="Y380" s="330"/>
      <c r="Z380" s="330"/>
      <c r="AA380" s="330"/>
      <c r="AB380" s="333"/>
      <c r="AC380" s="333"/>
      <c r="AD380" s="334" t="s">
        <v>2324</v>
      </c>
      <c r="AE380" s="335" t="s">
        <v>210</v>
      </c>
      <c r="AF380" s="336"/>
      <c r="AG380" s="337"/>
      <c r="AH380" s="417" t="s">
        <v>210</v>
      </c>
      <c r="AI380" s="392" t="s">
        <v>210</v>
      </c>
      <c r="AJ380" s="392" t="s">
        <v>210</v>
      </c>
      <c r="AK380" s="340" t="s">
        <v>210</v>
      </c>
      <c r="AL380" s="417" t="s">
        <v>210</v>
      </c>
      <c r="AM380" s="392" t="s">
        <v>210</v>
      </c>
      <c r="AN380" s="392" t="s">
        <v>210</v>
      </c>
      <c r="AO380" s="341" t="s">
        <v>210</v>
      </c>
      <c r="AP380" s="342"/>
      <c r="AQ380" s="343"/>
      <c r="AR380" s="370">
        <v>1695</v>
      </c>
      <c r="AS380" s="326">
        <v>100</v>
      </c>
      <c r="AT380" s="392">
        <v>1</v>
      </c>
      <c r="AU380" s="392"/>
      <c r="AV380" s="392">
        <v>1.2</v>
      </c>
      <c r="AW380" s="340"/>
      <c r="AX380" s="347"/>
      <c r="AY380" s="348"/>
      <c r="AZ380" s="405" t="s">
        <v>622</v>
      </c>
      <c r="BA380" s="326" t="s">
        <v>10129</v>
      </c>
      <c r="BB380" s="326" t="s">
        <v>10127</v>
      </c>
      <c r="BC380" s="326" t="s">
        <v>10130</v>
      </c>
      <c r="BD380" s="326" t="s">
        <v>10127</v>
      </c>
      <c r="BE380" s="326" t="s">
        <v>10131</v>
      </c>
      <c r="BF380" s="326" t="s">
        <v>10120</v>
      </c>
      <c r="BG380" s="326" t="s">
        <v>10132</v>
      </c>
      <c r="BH380" s="326" t="s">
        <v>10127</v>
      </c>
      <c r="BI380" s="376"/>
      <c r="BJ380" s="379"/>
      <c r="BK380" s="380"/>
      <c r="BL380" s="348"/>
      <c r="BM380" s="381"/>
      <c r="BN380" s="321" t="s">
        <v>14</v>
      </c>
      <c r="BO380" s="372"/>
      <c r="BP380" s="340" t="s">
        <v>210</v>
      </c>
      <c r="BQ380" s="360"/>
      <c r="BR380" s="361"/>
      <c r="BS380" s="361"/>
      <c r="BT380" s="361"/>
      <c r="BU380" s="342" t="s">
        <v>210</v>
      </c>
      <c r="BV380" s="342" t="s">
        <v>210</v>
      </c>
      <c r="BW380" s="341" t="s">
        <v>15</v>
      </c>
      <c r="BX380" s="361"/>
      <c r="BY380" s="362"/>
      <c r="BZ380" s="363"/>
      <c r="CA380" s="363"/>
      <c r="CB380" s="363"/>
      <c r="CC380" s="363"/>
    </row>
    <row r="381" spans="1:220" s="287" customFormat="1" ht="22.5" customHeight="1">
      <c r="B381" s="365">
        <v>250193</v>
      </c>
      <c r="C381" s="366" t="s">
        <v>14017</v>
      </c>
      <c r="D381" s="367"/>
      <c r="E381" s="368"/>
      <c r="F381" s="321" t="s">
        <v>769</v>
      </c>
      <c r="G381" s="326" t="s">
        <v>2009</v>
      </c>
      <c r="H381" s="326" t="s">
        <v>2010</v>
      </c>
      <c r="I381" s="326" t="s">
        <v>11</v>
      </c>
      <c r="J381" s="326" t="s">
        <v>12</v>
      </c>
      <c r="K381" s="326" t="s">
        <v>10</v>
      </c>
      <c r="L381" s="323"/>
      <c r="M381" s="374"/>
      <c r="N381" s="325" t="s">
        <v>437</v>
      </c>
      <c r="O381" s="327" t="s">
        <v>210</v>
      </c>
      <c r="P381" s="327" t="s">
        <v>210</v>
      </c>
      <c r="Q381" s="369" t="s">
        <v>210</v>
      </c>
      <c r="R381" s="329" t="s">
        <v>765</v>
      </c>
      <c r="S381" s="331" t="s">
        <v>14018</v>
      </c>
      <c r="T381" s="331" t="s">
        <v>14019</v>
      </c>
      <c r="U381" s="330"/>
      <c r="V381" s="331" t="s">
        <v>14020</v>
      </c>
      <c r="W381" s="332" t="s">
        <v>791</v>
      </c>
      <c r="X381" s="331" t="s">
        <v>14021</v>
      </c>
      <c r="Y381" s="331" t="s">
        <v>14022</v>
      </c>
      <c r="Z381" s="330"/>
      <c r="AA381" s="331" t="s">
        <v>14023</v>
      </c>
      <c r="AB381" s="333"/>
      <c r="AC381" s="416"/>
      <c r="AD381" s="375"/>
      <c r="AE381" s="335" t="s">
        <v>210</v>
      </c>
      <c r="AF381" s="336"/>
      <c r="AG381" s="337"/>
      <c r="AH381" s="417" t="s">
        <v>210</v>
      </c>
      <c r="AI381" s="392" t="s">
        <v>210</v>
      </c>
      <c r="AJ381" s="392" t="s">
        <v>210</v>
      </c>
      <c r="AK381" s="340" t="s">
        <v>210</v>
      </c>
      <c r="AL381" s="417" t="s">
        <v>210</v>
      </c>
      <c r="AM381" s="392" t="s">
        <v>210</v>
      </c>
      <c r="AN381" s="392" t="s">
        <v>210</v>
      </c>
      <c r="AO381" s="341" t="s">
        <v>210</v>
      </c>
      <c r="AP381" s="342"/>
      <c r="AQ381" s="343"/>
      <c r="AR381" s="370">
        <v>2354</v>
      </c>
      <c r="AS381" s="326">
        <v>80</v>
      </c>
      <c r="AT381" s="392">
        <v>0.8</v>
      </c>
      <c r="AU381" s="392"/>
      <c r="AV381" s="392">
        <v>0.6</v>
      </c>
      <c r="AW381" s="340"/>
      <c r="AX381" s="347"/>
      <c r="AY381" s="348"/>
      <c r="AZ381" s="377"/>
      <c r="BA381" s="374"/>
      <c r="BB381" s="374"/>
      <c r="BC381" s="374"/>
      <c r="BD381" s="374"/>
      <c r="BE381" s="374"/>
      <c r="BF381" s="374"/>
      <c r="BG381" s="374"/>
      <c r="BH381" s="378"/>
      <c r="BI381" s="376"/>
      <c r="BJ381" s="379"/>
      <c r="BK381" s="380"/>
      <c r="BL381" s="348"/>
      <c r="BM381" s="381"/>
      <c r="BN381" s="417" t="s">
        <v>210</v>
      </c>
      <c r="BO381" s="372"/>
      <c r="BP381" s="340" t="s">
        <v>210</v>
      </c>
      <c r="BQ381" s="360"/>
      <c r="BR381" s="361"/>
      <c r="BS381" s="361"/>
      <c r="BT381" s="361"/>
      <c r="BU381" s="342" t="s">
        <v>210</v>
      </c>
      <c r="BV381" s="342" t="s">
        <v>210</v>
      </c>
      <c r="BW381" s="341" t="s">
        <v>15</v>
      </c>
      <c r="BX381" s="361"/>
      <c r="BY381" s="362"/>
      <c r="BZ381" s="363"/>
      <c r="CA381" s="363"/>
      <c r="CB381" s="363"/>
      <c r="CC381" s="363"/>
      <c r="CD381" s="293"/>
      <c r="CE381" s="364"/>
      <c r="CF381" s="364"/>
      <c r="CG381" s="364"/>
      <c r="CH381" s="364"/>
      <c r="CI381" s="364"/>
      <c r="CJ381" s="364"/>
      <c r="CK381" s="364"/>
      <c r="CL381" s="364"/>
      <c r="CM381" s="364"/>
      <c r="CN381" s="364"/>
      <c r="CO381" s="364"/>
      <c r="CP381" s="364"/>
      <c r="CQ381" s="364"/>
      <c r="CR381" s="364"/>
      <c r="CS381" s="364"/>
      <c r="CT381" s="364"/>
      <c r="CU381" s="364"/>
      <c r="CV381" s="364"/>
      <c r="CW381" s="364"/>
      <c r="CX381" s="364"/>
      <c r="CY381" s="364"/>
      <c r="CZ381" s="364"/>
      <c r="DA381" s="364"/>
      <c r="DB381" s="364"/>
      <c r="DC381" s="364"/>
      <c r="DD381" s="364"/>
      <c r="DE381" s="364"/>
      <c r="DF381" s="364"/>
      <c r="DG381" s="364"/>
      <c r="DH381" s="364"/>
      <c r="DI381" s="364"/>
      <c r="DJ381" s="364"/>
      <c r="DK381" s="364"/>
      <c r="DL381" s="364"/>
      <c r="DM381" s="364"/>
      <c r="DN381" s="364"/>
      <c r="DO381" s="364"/>
      <c r="DP381" s="364"/>
      <c r="DQ381" s="364"/>
      <c r="DR381" s="364"/>
      <c r="DS381" s="364"/>
      <c r="DT381" s="364"/>
      <c r="DU381" s="364"/>
      <c r="DV381" s="364"/>
      <c r="DW381" s="364"/>
      <c r="DX381" s="364"/>
      <c r="DY381" s="364"/>
      <c r="DZ381" s="364"/>
      <c r="EA381" s="364"/>
      <c r="EB381" s="364"/>
      <c r="EC381" s="364"/>
      <c r="ED381" s="364"/>
      <c r="EE381" s="364"/>
      <c r="EF381" s="364"/>
      <c r="EG381" s="364"/>
      <c r="EH381" s="364"/>
      <c r="EI381" s="364"/>
      <c r="EJ381" s="364"/>
      <c r="EK381" s="364"/>
      <c r="EL381" s="364"/>
      <c r="EM381" s="364"/>
      <c r="EN381" s="364"/>
      <c r="EO381" s="364"/>
      <c r="EP381" s="364"/>
      <c r="EQ381" s="364"/>
      <c r="ER381" s="364"/>
      <c r="ES381" s="364"/>
      <c r="ET381" s="364"/>
      <c r="EU381" s="364"/>
      <c r="EV381" s="364"/>
      <c r="EW381" s="364"/>
      <c r="EX381" s="364"/>
      <c r="EY381" s="364"/>
      <c r="EZ381" s="364"/>
      <c r="FA381" s="364"/>
      <c r="FB381" s="364"/>
      <c r="FC381" s="364"/>
      <c r="FD381" s="364"/>
      <c r="FE381" s="364"/>
      <c r="FF381" s="364"/>
      <c r="FG381" s="364"/>
      <c r="FH381" s="364"/>
      <c r="FI381" s="364"/>
      <c r="FJ381" s="364"/>
      <c r="FK381" s="364"/>
      <c r="FL381" s="364"/>
      <c r="FM381" s="364"/>
      <c r="FN381" s="364"/>
      <c r="FO381" s="364"/>
      <c r="FP381" s="364"/>
      <c r="FQ381" s="364"/>
      <c r="FR381" s="364"/>
      <c r="FS381" s="364"/>
      <c r="FT381" s="364"/>
      <c r="FU381" s="364"/>
      <c r="FV381" s="364"/>
      <c r="FW381" s="364"/>
      <c r="FX381" s="364"/>
      <c r="FY381" s="364"/>
      <c r="FZ381" s="364"/>
      <c r="GA381" s="364"/>
      <c r="GB381" s="364"/>
      <c r="GC381" s="364"/>
      <c r="GD381" s="364"/>
      <c r="GE381" s="364"/>
      <c r="GF381" s="364"/>
      <c r="GG381" s="364"/>
      <c r="GH381" s="364"/>
      <c r="GI381" s="364"/>
      <c r="GJ381" s="364"/>
      <c r="GK381" s="364"/>
      <c r="GL381" s="364"/>
      <c r="GM381" s="364"/>
      <c r="GN381" s="364"/>
      <c r="GO381" s="364"/>
      <c r="GP381" s="364"/>
      <c r="GQ381" s="364"/>
      <c r="GR381" s="364"/>
      <c r="GS381" s="364"/>
      <c r="GT381" s="364"/>
      <c r="GU381" s="364"/>
      <c r="GV381" s="364"/>
      <c r="GW381" s="364"/>
      <c r="GX381" s="364"/>
      <c r="GY381" s="364"/>
      <c r="GZ381" s="364"/>
      <c r="HA381" s="364"/>
      <c r="HB381" s="364"/>
      <c r="HC381" s="364"/>
      <c r="HD381" s="364"/>
      <c r="HE381" s="364"/>
      <c r="HF381" s="364"/>
      <c r="HG381" s="364"/>
      <c r="HH381" s="364"/>
      <c r="HI381" s="364"/>
      <c r="HJ381" s="364"/>
      <c r="HK381" s="364"/>
      <c r="HL381" s="364"/>
    </row>
    <row r="382" spans="1:220" s="287" customFormat="1" ht="22.5" customHeight="1">
      <c r="B382" s="365">
        <v>250194</v>
      </c>
      <c r="C382" s="366" t="s">
        <v>672</v>
      </c>
      <c r="D382" s="367"/>
      <c r="E382" s="368"/>
      <c r="F382" s="321" t="s">
        <v>265</v>
      </c>
      <c r="G382" s="326" t="s">
        <v>2007</v>
      </c>
      <c r="H382" s="326" t="s">
        <v>2008</v>
      </c>
      <c r="I382" s="326" t="s">
        <v>11</v>
      </c>
      <c r="J382" s="326" t="s">
        <v>12</v>
      </c>
      <c r="K382" s="326" t="s">
        <v>10</v>
      </c>
      <c r="L382" s="323"/>
      <c r="M382" s="374"/>
      <c r="N382" s="325" t="s">
        <v>743</v>
      </c>
      <c r="O382" s="327" t="s">
        <v>210</v>
      </c>
      <c r="P382" s="327" t="s">
        <v>210</v>
      </c>
      <c r="Q382" s="369" t="s">
        <v>210</v>
      </c>
      <c r="R382" s="329" t="s">
        <v>673</v>
      </c>
      <c r="S382" s="331" t="s">
        <v>12949</v>
      </c>
      <c r="T382" s="331" t="s">
        <v>11123</v>
      </c>
      <c r="U382" s="331" t="s">
        <v>16209</v>
      </c>
      <c r="V382" s="331" t="s">
        <v>11124</v>
      </c>
      <c r="W382" s="332" t="s">
        <v>432</v>
      </c>
      <c r="X382" s="331" t="s">
        <v>11079</v>
      </c>
      <c r="Y382" s="331" t="s">
        <v>11080</v>
      </c>
      <c r="Z382" s="331" t="s">
        <v>11080</v>
      </c>
      <c r="AA382" s="331"/>
      <c r="AB382" s="416" t="s">
        <v>16099</v>
      </c>
      <c r="AC382" s="416"/>
      <c r="AD382" s="334" t="s">
        <v>210</v>
      </c>
      <c r="AE382" s="335" t="s">
        <v>210</v>
      </c>
      <c r="AF382" s="336"/>
      <c r="AG382" s="337"/>
      <c r="AH382" s="417" t="s">
        <v>210</v>
      </c>
      <c r="AI382" s="392" t="s">
        <v>210</v>
      </c>
      <c r="AJ382" s="392" t="s">
        <v>210</v>
      </c>
      <c r="AK382" s="340" t="s">
        <v>210</v>
      </c>
      <c r="AL382" s="417" t="s">
        <v>210</v>
      </c>
      <c r="AM382" s="392" t="s">
        <v>210</v>
      </c>
      <c r="AN382" s="392" t="s">
        <v>210</v>
      </c>
      <c r="AO382" s="341" t="s">
        <v>210</v>
      </c>
      <c r="AP382" s="342"/>
      <c r="AQ382" s="343"/>
      <c r="AR382" s="370">
        <v>3795</v>
      </c>
      <c r="AS382" s="326" t="s">
        <v>764</v>
      </c>
      <c r="AT382" s="392" t="s">
        <v>210</v>
      </c>
      <c r="AU382" s="392"/>
      <c r="AV382" s="392" t="s">
        <v>764</v>
      </c>
      <c r="AW382" s="340"/>
      <c r="AX382" s="347"/>
      <c r="AY382" s="348"/>
      <c r="AZ382" s="377"/>
      <c r="BA382" s="374"/>
      <c r="BB382" s="374"/>
      <c r="BC382" s="374"/>
      <c r="BD382" s="374"/>
      <c r="BE382" s="374"/>
      <c r="BF382" s="374"/>
      <c r="BG382" s="374"/>
      <c r="BH382" s="378"/>
      <c r="BI382" s="376"/>
      <c r="BJ382" s="379"/>
      <c r="BK382" s="380"/>
      <c r="BL382" s="348"/>
      <c r="BM382" s="381"/>
      <c r="BN382" s="417" t="s">
        <v>210</v>
      </c>
      <c r="BO382" s="372"/>
      <c r="BP382" s="340" t="s">
        <v>210</v>
      </c>
      <c r="BQ382" s="360"/>
      <c r="BR382" s="361"/>
      <c r="BS382" s="361"/>
      <c r="BT382" s="361"/>
      <c r="BU382" s="342" t="s">
        <v>210</v>
      </c>
      <c r="BV382" s="342" t="s">
        <v>210</v>
      </c>
      <c r="BW382" s="341" t="s">
        <v>15</v>
      </c>
      <c r="BX382" s="361"/>
      <c r="BY382" s="362"/>
      <c r="BZ382" s="363"/>
      <c r="CA382" s="363"/>
      <c r="CB382" s="363"/>
      <c r="CC382" s="363"/>
      <c r="CD382" s="293"/>
      <c r="CE382" s="364"/>
      <c r="CF382" s="364"/>
      <c r="CG382" s="364"/>
      <c r="CH382" s="364"/>
      <c r="CI382" s="364"/>
      <c r="CJ382" s="364"/>
      <c r="CK382" s="364"/>
      <c r="CL382" s="364"/>
      <c r="CM382" s="364"/>
      <c r="CN382" s="364"/>
      <c r="CO382" s="364"/>
      <c r="CP382" s="364"/>
      <c r="CQ382" s="364"/>
      <c r="CR382" s="364"/>
      <c r="CS382" s="364"/>
      <c r="CT382" s="364"/>
      <c r="CU382" s="364"/>
      <c r="CV382" s="364"/>
      <c r="CW382" s="364"/>
      <c r="CX382" s="364"/>
      <c r="CY382" s="364"/>
      <c r="CZ382" s="364"/>
      <c r="DA382" s="364"/>
      <c r="DB382" s="364"/>
      <c r="DC382" s="364"/>
      <c r="DD382" s="364"/>
      <c r="DE382" s="364"/>
      <c r="DF382" s="364"/>
      <c r="DG382" s="364"/>
      <c r="DH382" s="364"/>
      <c r="DI382" s="364"/>
      <c r="DJ382" s="364"/>
      <c r="DK382" s="364"/>
      <c r="DL382" s="364"/>
      <c r="DM382" s="364"/>
      <c r="DN382" s="364"/>
      <c r="DO382" s="364"/>
      <c r="DP382" s="364"/>
      <c r="DQ382" s="364"/>
      <c r="DR382" s="364"/>
      <c r="DS382" s="364"/>
      <c r="DT382" s="364"/>
      <c r="DU382" s="364"/>
      <c r="DV382" s="364"/>
      <c r="DW382" s="364"/>
      <c r="DX382" s="364"/>
      <c r="DY382" s="364"/>
      <c r="DZ382" s="364"/>
      <c r="EA382" s="364"/>
      <c r="EB382" s="364"/>
      <c r="EC382" s="364"/>
      <c r="ED382" s="364"/>
      <c r="EE382" s="364"/>
      <c r="EF382" s="364"/>
      <c r="EG382" s="364"/>
      <c r="EH382" s="364"/>
      <c r="EI382" s="364"/>
      <c r="EJ382" s="364"/>
      <c r="EK382" s="364"/>
      <c r="EL382" s="364"/>
      <c r="EM382" s="364"/>
      <c r="EN382" s="364"/>
      <c r="EO382" s="364"/>
      <c r="EP382" s="364"/>
      <c r="EQ382" s="364"/>
      <c r="ER382" s="364"/>
      <c r="ES382" s="364"/>
      <c r="ET382" s="364"/>
      <c r="EU382" s="364"/>
      <c r="EV382" s="364"/>
      <c r="EW382" s="364"/>
      <c r="EX382" s="364"/>
      <c r="EY382" s="364"/>
      <c r="EZ382" s="364"/>
      <c r="FA382" s="364"/>
      <c r="FB382" s="364"/>
      <c r="FC382" s="364"/>
      <c r="FD382" s="364"/>
      <c r="FE382" s="364"/>
      <c r="FF382" s="364"/>
      <c r="FG382" s="364"/>
      <c r="FH382" s="364"/>
      <c r="FI382" s="364"/>
      <c r="FJ382" s="364"/>
      <c r="FK382" s="364"/>
      <c r="FL382" s="364"/>
      <c r="FM382" s="364"/>
      <c r="FN382" s="364"/>
      <c r="FO382" s="364"/>
      <c r="FP382" s="364"/>
      <c r="FQ382" s="364"/>
      <c r="FR382" s="364"/>
      <c r="FS382" s="364"/>
      <c r="FT382" s="364"/>
      <c r="FU382" s="364"/>
      <c r="FV382" s="364"/>
      <c r="FW382" s="364"/>
      <c r="FX382" s="364"/>
      <c r="FY382" s="364"/>
      <c r="FZ382" s="364"/>
      <c r="GA382" s="364"/>
      <c r="GB382" s="364"/>
      <c r="GC382" s="364"/>
      <c r="GD382" s="364"/>
      <c r="GE382" s="364"/>
      <c r="GF382" s="364"/>
      <c r="GG382" s="364"/>
      <c r="GH382" s="364"/>
      <c r="GI382" s="364"/>
      <c r="GJ382" s="364"/>
      <c r="GK382" s="364"/>
      <c r="GL382" s="364"/>
      <c r="GM382" s="364"/>
      <c r="GN382" s="364"/>
      <c r="GO382" s="364"/>
      <c r="GP382" s="364"/>
      <c r="GQ382" s="364"/>
      <c r="GR382" s="364"/>
      <c r="GS382" s="364"/>
      <c r="GT382" s="364"/>
      <c r="GU382" s="364"/>
      <c r="GV382" s="364"/>
      <c r="GW382" s="364"/>
      <c r="GX382" s="364"/>
      <c r="GY382" s="364"/>
      <c r="GZ382" s="364"/>
      <c r="HA382" s="364"/>
      <c r="HB382" s="364"/>
      <c r="HC382" s="364"/>
      <c r="HD382" s="364"/>
      <c r="HE382" s="364"/>
      <c r="HF382" s="364"/>
      <c r="HG382" s="364"/>
      <c r="HH382" s="364"/>
      <c r="HI382" s="364"/>
      <c r="HJ382" s="364"/>
      <c r="HK382" s="364"/>
      <c r="HL382" s="364"/>
    </row>
    <row r="383" spans="1:220" s="287" customFormat="1" ht="22.5" customHeight="1">
      <c r="B383" s="365">
        <v>250195</v>
      </c>
      <c r="C383" s="366" t="s">
        <v>14016</v>
      </c>
      <c r="D383" s="367"/>
      <c r="E383" s="368"/>
      <c r="F383" s="321" t="s">
        <v>222</v>
      </c>
      <c r="G383" s="326" t="s">
        <v>2005</v>
      </c>
      <c r="H383" s="326" t="s">
        <v>2006</v>
      </c>
      <c r="I383" s="326" t="s">
        <v>11</v>
      </c>
      <c r="J383" s="326" t="s">
        <v>12</v>
      </c>
      <c r="K383" s="326" t="s">
        <v>10</v>
      </c>
      <c r="L383" s="323"/>
      <c r="M383" s="374"/>
      <c r="N383" s="325" t="s">
        <v>437</v>
      </c>
      <c r="O383" s="327" t="s">
        <v>210</v>
      </c>
      <c r="P383" s="327">
        <v>1878.27</v>
      </c>
      <c r="Q383" s="369">
        <v>1969.44</v>
      </c>
      <c r="R383" s="329" t="s">
        <v>552</v>
      </c>
      <c r="S383" s="330"/>
      <c r="T383" s="330"/>
      <c r="U383" s="330"/>
      <c r="V383" s="330"/>
      <c r="W383" s="332" t="s">
        <v>514</v>
      </c>
      <c r="X383" s="332" t="s">
        <v>11368</v>
      </c>
      <c r="Y383" s="331" t="s">
        <v>12872</v>
      </c>
      <c r="Z383" s="331" t="s">
        <v>12871</v>
      </c>
      <c r="AA383" s="332" t="s">
        <v>11371</v>
      </c>
      <c r="AB383" s="333"/>
      <c r="AC383" s="333"/>
      <c r="AD383" s="334" t="s">
        <v>688</v>
      </c>
      <c r="AE383" s="335" t="s">
        <v>210</v>
      </c>
      <c r="AF383" s="336"/>
      <c r="AG383" s="337"/>
      <c r="AH383" s="417" t="s">
        <v>210</v>
      </c>
      <c r="AI383" s="392" t="s">
        <v>210</v>
      </c>
      <c r="AJ383" s="392" t="s">
        <v>210</v>
      </c>
      <c r="AK383" s="340" t="s">
        <v>210</v>
      </c>
      <c r="AL383" s="417" t="s">
        <v>210</v>
      </c>
      <c r="AM383" s="392" t="s">
        <v>210</v>
      </c>
      <c r="AN383" s="392" t="s">
        <v>210</v>
      </c>
      <c r="AO383" s="341" t="s">
        <v>210</v>
      </c>
      <c r="AP383" s="342"/>
      <c r="AQ383" s="343"/>
      <c r="AR383" s="370">
        <v>2436</v>
      </c>
      <c r="AS383" s="326">
        <v>100</v>
      </c>
      <c r="AT383" s="392">
        <v>1</v>
      </c>
      <c r="AU383" s="392"/>
      <c r="AV383" s="392">
        <v>1.5</v>
      </c>
      <c r="AW383" s="340"/>
      <c r="AX383" s="347"/>
      <c r="AY383" s="348"/>
      <c r="AZ383" s="377"/>
      <c r="BA383" s="374"/>
      <c r="BB383" s="374"/>
      <c r="BC383" s="374"/>
      <c r="BD383" s="374"/>
      <c r="BE383" s="374"/>
      <c r="BF383" s="374"/>
      <c r="BG383" s="374"/>
      <c r="BH383" s="378"/>
      <c r="BI383" s="376"/>
      <c r="BJ383" s="431">
        <v>6.94</v>
      </c>
      <c r="BK383" s="380"/>
      <c r="BL383" s="348"/>
      <c r="BM383" s="381"/>
      <c r="BN383" s="321" t="s">
        <v>15</v>
      </c>
      <c r="BO383" s="372"/>
      <c r="BP383" s="373" t="s">
        <v>14</v>
      </c>
      <c r="BQ383" s="360"/>
      <c r="BR383" s="361"/>
      <c r="BS383" s="361"/>
      <c r="BT383" s="361"/>
      <c r="BU383" s="342" t="s">
        <v>210</v>
      </c>
      <c r="BV383" s="342" t="s">
        <v>210</v>
      </c>
      <c r="BW383" s="341" t="s">
        <v>15</v>
      </c>
      <c r="BX383" s="361"/>
      <c r="BY383" s="362"/>
      <c r="BZ383" s="363"/>
      <c r="CA383" s="363"/>
      <c r="CB383" s="363"/>
      <c r="CC383" s="363"/>
      <c r="CD383" s="293"/>
      <c r="CE383" s="364"/>
      <c r="CF383" s="364"/>
      <c r="CG383" s="364"/>
      <c r="CH383" s="364"/>
      <c r="CI383" s="364"/>
      <c r="CJ383" s="364"/>
      <c r="CK383" s="364"/>
      <c r="CL383" s="364"/>
      <c r="CM383" s="364"/>
      <c r="CN383" s="364"/>
      <c r="CO383" s="364"/>
      <c r="CP383" s="364"/>
      <c r="CQ383" s="364"/>
      <c r="CR383" s="364"/>
      <c r="CS383" s="364"/>
      <c r="CT383" s="364"/>
      <c r="CU383" s="364"/>
      <c r="CV383" s="364"/>
      <c r="CW383" s="364"/>
      <c r="CX383" s="364"/>
      <c r="CY383" s="364"/>
      <c r="CZ383" s="364"/>
      <c r="DA383" s="364"/>
      <c r="DB383" s="364"/>
      <c r="DC383" s="364"/>
      <c r="DD383" s="364"/>
      <c r="DE383" s="364"/>
      <c r="DF383" s="364"/>
      <c r="DG383" s="364"/>
      <c r="DH383" s="364"/>
      <c r="DI383" s="364"/>
      <c r="DJ383" s="364"/>
      <c r="DK383" s="364"/>
      <c r="DL383" s="364"/>
      <c r="DM383" s="364"/>
      <c r="DN383" s="364"/>
      <c r="DO383" s="364"/>
      <c r="DP383" s="364"/>
      <c r="DQ383" s="364"/>
      <c r="DR383" s="364"/>
      <c r="DS383" s="364"/>
      <c r="DT383" s="364"/>
      <c r="DU383" s="364"/>
      <c r="DV383" s="364"/>
      <c r="DW383" s="364"/>
      <c r="DX383" s="364"/>
      <c r="DY383" s="364"/>
      <c r="DZ383" s="364"/>
      <c r="EA383" s="364"/>
      <c r="EB383" s="364"/>
      <c r="EC383" s="364"/>
      <c r="ED383" s="364"/>
      <c r="EE383" s="364"/>
      <c r="EF383" s="364"/>
      <c r="EG383" s="364"/>
      <c r="EH383" s="364"/>
      <c r="EI383" s="364"/>
      <c r="EJ383" s="364"/>
      <c r="EK383" s="364"/>
      <c r="EL383" s="364"/>
      <c r="EM383" s="364"/>
      <c r="EN383" s="364"/>
      <c r="EO383" s="364"/>
      <c r="EP383" s="364"/>
      <c r="EQ383" s="364"/>
      <c r="ER383" s="364"/>
      <c r="ES383" s="364"/>
      <c r="ET383" s="364"/>
      <c r="EU383" s="364"/>
      <c r="EV383" s="364"/>
      <c r="EW383" s="364"/>
      <c r="EX383" s="364"/>
      <c r="EY383" s="364"/>
      <c r="EZ383" s="364"/>
      <c r="FA383" s="364"/>
      <c r="FB383" s="364"/>
      <c r="FC383" s="364"/>
      <c r="FD383" s="364"/>
      <c r="FE383" s="364"/>
      <c r="FF383" s="364"/>
      <c r="FG383" s="364"/>
      <c r="FH383" s="364"/>
      <c r="FI383" s="364"/>
      <c r="FJ383" s="364"/>
      <c r="FK383" s="364"/>
      <c r="FL383" s="364"/>
      <c r="FM383" s="364"/>
      <c r="FN383" s="364"/>
      <c r="FO383" s="364"/>
      <c r="FP383" s="364"/>
      <c r="FQ383" s="364"/>
      <c r="FR383" s="364"/>
      <c r="FS383" s="364"/>
      <c r="FT383" s="364"/>
      <c r="FU383" s="364"/>
      <c r="FV383" s="364"/>
      <c r="FW383" s="364"/>
      <c r="FX383" s="364"/>
      <c r="FY383" s="364"/>
      <c r="FZ383" s="364"/>
      <c r="GA383" s="364"/>
      <c r="GB383" s="364"/>
      <c r="GC383" s="364"/>
      <c r="GD383" s="364"/>
      <c r="GE383" s="364"/>
      <c r="GF383" s="364"/>
      <c r="GG383" s="364"/>
      <c r="GH383" s="364"/>
      <c r="GI383" s="364"/>
      <c r="GJ383" s="364"/>
      <c r="GK383" s="364"/>
      <c r="GL383" s="364"/>
      <c r="GM383" s="364"/>
      <c r="GN383" s="364"/>
      <c r="GO383" s="364"/>
      <c r="GP383" s="364"/>
      <c r="GQ383" s="364"/>
      <c r="GR383" s="364"/>
      <c r="GS383" s="364"/>
      <c r="GT383" s="364"/>
      <c r="GU383" s="364"/>
      <c r="GV383" s="364"/>
      <c r="GW383" s="364"/>
      <c r="GX383" s="364"/>
      <c r="GY383" s="364"/>
      <c r="GZ383" s="364"/>
      <c r="HA383" s="364"/>
      <c r="HB383" s="364"/>
      <c r="HC383" s="364"/>
      <c r="HD383" s="364"/>
      <c r="HE383" s="364"/>
      <c r="HF383" s="364"/>
      <c r="HG383" s="364"/>
      <c r="HH383" s="364"/>
      <c r="HI383" s="364"/>
      <c r="HJ383" s="364"/>
      <c r="HK383" s="364"/>
      <c r="HL383" s="364"/>
    </row>
    <row r="384" spans="1:220" s="465" customFormat="1" ht="22.5" customHeight="1">
      <c r="A384" s="287"/>
      <c r="B384" s="657">
        <v>250196</v>
      </c>
      <c r="C384" s="658" t="s">
        <v>14010</v>
      </c>
      <c r="D384" s="659"/>
      <c r="E384" s="660"/>
      <c r="F384" s="661" t="s">
        <v>264</v>
      </c>
      <c r="G384" s="662"/>
      <c r="H384" s="662"/>
      <c r="I384" s="662" t="s">
        <v>11</v>
      </c>
      <c r="J384" s="662" t="s">
        <v>216</v>
      </c>
      <c r="K384" s="662" t="s">
        <v>806</v>
      </c>
      <c r="L384" s="663"/>
      <c r="M384" s="662"/>
      <c r="N384" s="664" t="s">
        <v>437</v>
      </c>
      <c r="O384" s="665" t="s">
        <v>210</v>
      </c>
      <c r="P384" s="665">
        <v>586.25</v>
      </c>
      <c r="Q384" s="666">
        <v>217.5</v>
      </c>
      <c r="R384" s="667" t="s">
        <v>763</v>
      </c>
      <c r="S384" s="668" t="s">
        <v>14012</v>
      </c>
      <c r="T384" s="668" t="s">
        <v>14013</v>
      </c>
      <c r="U384" s="668" t="s">
        <v>16271</v>
      </c>
      <c r="V384" s="668" t="s">
        <v>14014</v>
      </c>
      <c r="W384" s="669" t="s">
        <v>14011</v>
      </c>
      <c r="X384" s="668"/>
      <c r="Y384" s="668" t="s">
        <v>14015</v>
      </c>
      <c r="Z384" s="668"/>
      <c r="AA384" s="668"/>
      <c r="AB384" s="670"/>
      <c r="AC384" s="670"/>
      <c r="AD384" s="671"/>
      <c r="AE384" s="672"/>
      <c r="AF384" s="673"/>
      <c r="AG384" s="674" t="s">
        <v>10514</v>
      </c>
      <c r="AH384" s="675" t="s">
        <v>210</v>
      </c>
      <c r="AI384" s="676" t="s">
        <v>210</v>
      </c>
      <c r="AJ384" s="676" t="s">
        <v>210</v>
      </c>
      <c r="AK384" s="677" t="s">
        <v>210</v>
      </c>
      <c r="AL384" s="675" t="s">
        <v>210</v>
      </c>
      <c r="AM384" s="676" t="s">
        <v>210</v>
      </c>
      <c r="AN384" s="676" t="s">
        <v>210</v>
      </c>
      <c r="AO384" s="678" t="s">
        <v>210</v>
      </c>
      <c r="AP384" s="663"/>
      <c r="AQ384" s="679"/>
      <c r="AR384" s="680">
        <v>287</v>
      </c>
      <c r="AS384" s="662">
        <v>50</v>
      </c>
      <c r="AT384" s="676">
        <v>1</v>
      </c>
      <c r="AU384" s="676"/>
      <c r="AV384" s="676">
        <v>1.2</v>
      </c>
      <c r="AW384" s="677"/>
      <c r="AX384" s="676"/>
      <c r="AY384" s="681"/>
      <c r="AZ384" s="661"/>
      <c r="BA384" s="662"/>
      <c r="BB384" s="662"/>
      <c r="BC384" s="662"/>
      <c r="BD384" s="662"/>
      <c r="BE384" s="662"/>
      <c r="BF384" s="662"/>
      <c r="BG384" s="662"/>
      <c r="BH384" s="682"/>
      <c r="BI384" s="675"/>
      <c r="BJ384" s="683"/>
      <c r="BK384" s="684"/>
      <c r="BL384" s="681"/>
      <c r="BM384" s="685"/>
      <c r="BN384" s="675" t="s">
        <v>210</v>
      </c>
      <c r="BO384" s="686"/>
      <c r="BP384" s="677" t="s">
        <v>210</v>
      </c>
      <c r="BQ384" s="687"/>
      <c r="BR384" s="663"/>
      <c r="BS384" s="663"/>
      <c r="BT384" s="663"/>
      <c r="BU384" s="663" t="s">
        <v>5510</v>
      </c>
      <c r="BV384" s="663" t="s">
        <v>5510</v>
      </c>
      <c r="BW384" s="678"/>
      <c r="BX384" s="688"/>
      <c r="BY384" s="689" t="s">
        <v>1076</v>
      </c>
      <c r="BZ384" s="483"/>
      <c r="CA384" s="483"/>
      <c r="CB384" s="483"/>
      <c r="CC384" s="483"/>
      <c r="CD384" s="484"/>
      <c r="CE384" s="690"/>
      <c r="CF384" s="690"/>
      <c r="CG384" s="690"/>
      <c r="CH384" s="690"/>
      <c r="CI384" s="690"/>
      <c r="CJ384" s="690"/>
      <c r="CK384" s="690"/>
      <c r="CL384" s="690"/>
      <c r="CM384" s="690"/>
      <c r="CN384" s="690"/>
      <c r="CO384" s="690"/>
      <c r="CP384" s="690"/>
      <c r="CQ384" s="690"/>
      <c r="CR384" s="690"/>
      <c r="CS384" s="690"/>
      <c r="CT384" s="690"/>
      <c r="CU384" s="690"/>
      <c r="CV384" s="690"/>
      <c r="CW384" s="690"/>
      <c r="CX384" s="690"/>
      <c r="CY384" s="690"/>
      <c r="CZ384" s="690"/>
      <c r="DA384" s="690"/>
      <c r="DB384" s="690"/>
      <c r="DC384" s="690"/>
      <c r="DD384" s="690"/>
      <c r="DE384" s="690"/>
      <c r="DF384" s="690"/>
      <c r="DG384" s="690"/>
      <c r="DH384" s="690"/>
      <c r="DI384" s="690"/>
      <c r="DJ384" s="690"/>
      <c r="DK384" s="690"/>
      <c r="DL384" s="690"/>
      <c r="DM384" s="690"/>
      <c r="DN384" s="690"/>
      <c r="DO384" s="690"/>
      <c r="DP384" s="690"/>
      <c r="DQ384" s="690"/>
      <c r="DR384" s="690"/>
      <c r="DS384" s="690"/>
      <c r="DT384" s="690"/>
      <c r="DU384" s="690"/>
      <c r="DV384" s="690"/>
      <c r="DW384" s="690"/>
      <c r="DX384" s="690"/>
      <c r="DY384" s="690"/>
      <c r="DZ384" s="690"/>
      <c r="EA384" s="690"/>
      <c r="EB384" s="690"/>
      <c r="EC384" s="690"/>
      <c r="ED384" s="690"/>
      <c r="EE384" s="690"/>
      <c r="EF384" s="690"/>
      <c r="EG384" s="690"/>
      <c r="EH384" s="690"/>
      <c r="EI384" s="690"/>
      <c r="EJ384" s="690"/>
      <c r="EK384" s="690"/>
      <c r="EL384" s="690"/>
      <c r="EM384" s="690"/>
      <c r="EN384" s="690"/>
      <c r="EO384" s="690"/>
      <c r="EP384" s="690"/>
      <c r="EQ384" s="690"/>
      <c r="ER384" s="690"/>
      <c r="ES384" s="690"/>
      <c r="ET384" s="690"/>
      <c r="EU384" s="690"/>
      <c r="EV384" s="690"/>
      <c r="EW384" s="690"/>
      <c r="EX384" s="690"/>
      <c r="EY384" s="690"/>
      <c r="EZ384" s="690"/>
      <c r="FA384" s="690"/>
      <c r="FB384" s="690"/>
      <c r="FC384" s="690"/>
      <c r="FD384" s="690"/>
      <c r="FE384" s="690"/>
      <c r="FF384" s="690"/>
      <c r="FG384" s="690"/>
      <c r="FH384" s="690"/>
      <c r="FI384" s="690"/>
      <c r="FJ384" s="690"/>
      <c r="FK384" s="690"/>
      <c r="FL384" s="690"/>
      <c r="FM384" s="690"/>
      <c r="FN384" s="690"/>
      <c r="FO384" s="690"/>
      <c r="FP384" s="690"/>
      <c r="FQ384" s="690"/>
      <c r="FR384" s="690"/>
      <c r="FS384" s="690"/>
      <c r="FT384" s="690"/>
      <c r="FU384" s="690"/>
      <c r="FV384" s="690"/>
      <c r="FW384" s="690"/>
      <c r="FX384" s="690"/>
      <c r="FY384" s="690"/>
      <c r="FZ384" s="690"/>
      <c r="GA384" s="690"/>
      <c r="GB384" s="690"/>
      <c r="GC384" s="690"/>
      <c r="GD384" s="690"/>
      <c r="GE384" s="690"/>
      <c r="GF384" s="690"/>
      <c r="GG384" s="690"/>
      <c r="GH384" s="690"/>
      <c r="GI384" s="690"/>
      <c r="GJ384" s="690"/>
      <c r="GK384" s="690"/>
      <c r="GL384" s="690"/>
      <c r="GM384" s="690"/>
      <c r="GN384" s="690"/>
      <c r="GO384" s="690"/>
      <c r="GP384" s="690"/>
      <c r="GQ384" s="690"/>
      <c r="GR384" s="690"/>
      <c r="GS384" s="690"/>
      <c r="GT384" s="690"/>
      <c r="GU384" s="690"/>
      <c r="GV384" s="690"/>
      <c r="GW384" s="690"/>
      <c r="GX384" s="690"/>
      <c r="GY384" s="690"/>
      <c r="GZ384" s="690"/>
      <c r="HA384" s="690"/>
      <c r="HB384" s="690"/>
      <c r="HC384" s="690"/>
      <c r="HD384" s="690"/>
      <c r="HE384" s="690"/>
      <c r="HF384" s="690"/>
      <c r="HG384" s="690"/>
      <c r="HH384" s="690"/>
      <c r="HI384" s="690"/>
      <c r="HJ384" s="690"/>
      <c r="HK384" s="690"/>
      <c r="HL384" s="690"/>
    </row>
    <row r="385" spans="2:81" ht="22.5" customHeight="1">
      <c r="B385" s="365">
        <v>250197</v>
      </c>
      <c r="C385" s="366" t="s">
        <v>680</v>
      </c>
      <c r="D385" s="367"/>
      <c r="E385" s="368"/>
      <c r="F385" s="321" t="s">
        <v>250</v>
      </c>
      <c r="G385" s="326" t="s">
        <v>2003</v>
      </c>
      <c r="H385" s="326" t="s">
        <v>2004</v>
      </c>
      <c r="I385" s="326" t="s">
        <v>11</v>
      </c>
      <c r="J385" s="326" t="s">
        <v>760</v>
      </c>
      <c r="K385" s="326" t="s">
        <v>10</v>
      </c>
      <c r="L385" s="323"/>
      <c r="M385" s="374"/>
      <c r="N385" s="325" t="s">
        <v>761</v>
      </c>
      <c r="O385" s="326">
        <v>30</v>
      </c>
      <c r="P385" s="327">
        <v>7061.65</v>
      </c>
      <c r="Q385" s="369">
        <v>3929.78</v>
      </c>
      <c r="R385" s="329" t="s">
        <v>681</v>
      </c>
      <c r="S385" s="331" t="s">
        <v>14006</v>
      </c>
      <c r="T385" s="331" t="s">
        <v>14008</v>
      </c>
      <c r="U385" s="331" t="s">
        <v>14007</v>
      </c>
      <c r="V385" s="331" t="s">
        <v>14009</v>
      </c>
      <c r="W385" s="332" t="s">
        <v>432</v>
      </c>
      <c r="X385" s="331" t="s">
        <v>11079</v>
      </c>
      <c r="Y385" s="331" t="s">
        <v>11080</v>
      </c>
      <c r="Z385" s="331" t="s">
        <v>11080</v>
      </c>
      <c r="AA385" s="331" t="s">
        <v>210</v>
      </c>
      <c r="AB385" s="333"/>
      <c r="AC385" s="333"/>
      <c r="AD385" s="334" t="s">
        <v>694</v>
      </c>
      <c r="AE385" s="438" t="s">
        <v>695</v>
      </c>
      <c r="AF385" s="336"/>
      <c r="AG385" s="337"/>
      <c r="AH385" s="376"/>
      <c r="AI385" s="347"/>
      <c r="AJ385" s="347"/>
      <c r="AK385" s="371"/>
      <c r="AL385" s="321" t="s">
        <v>210</v>
      </c>
      <c r="AM385" s="392" t="s">
        <v>15</v>
      </c>
      <c r="AN385" s="392" t="s">
        <v>15</v>
      </c>
      <c r="AO385" s="341" t="s">
        <v>15</v>
      </c>
      <c r="AP385" s="342"/>
      <c r="AQ385" s="343"/>
      <c r="AR385" s="370">
        <v>4349</v>
      </c>
      <c r="AS385" s="326">
        <v>150</v>
      </c>
      <c r="AT385" s="392">
        <v>1</v>
      </c>
      <c r="AU385" s="392"/>
      <c r="AV385" s="392">
        <v>1.9</v>
      </c>
      <c r="AW385" s="340"/>
      <c r="AX385" s="347"/>
      <c r="AY385" s="348"/>
      <c r="AZ385" s="377"/>
      <c r="BA385" s="374"/>
      <c r="BB385" s="374"/>
      <c r="BC385" s="374"/>
      <c r="BD385" s="374"/>
      <c r="BE385" s="374"/>
      <c r="BF385" s="374"/>
      <c r="BG385" s="374"/>
      <c r="BH385" s="378"/>
      <c r="BI385" s="376"/>
      <c r="BJ385" s="379"/>
      <c r="BK385" s="380"/>
      <c r="BL385" s="348"/>
      <c r="BM385" s="381"/>
      <c r="BN385" s="321" t="s">
        <v>14</v>
      </c>
      <c r="BO385" s="372"/>
      <c r="BP385" s="373" t="s">
        <v>14</v>
      </c>
      <c r="BQ385" s="360"/>
      <c r="BR385" s="361"/>
      <c r="BS385" s="361"/>
      <c r="BT385" s="361"/>
      <c r="BU385" s="342" t="s">
        <v>210</v>
      </c>
      <c r="BV385" s="342" t="s">
        <v>210</v>
      </c>
      <c r="BW385" s="341" t="s">
        <v>15</v>
      </c>
      <c r="BX385" s="361"/>
      <c r="BY385" s="362"/>
      <c r="BZ385" s="363"/>
      <c r="CA385" s="363"/>
      <c r="CB385" s="363"/>
      <c r="CC385" s="363"/>
    </row>
    <row r="386" spans="2:81" ht="22.5" customHeight="1">
      <c r="B386" s="365">
        <v>250198</v>
      </c>
      <c r="C386" s="366" t="s">
        <v>697</v>
      </c>
      <c r="D386" s="367"/>
      <c r="E386" s="368"/>
      <c r="F386" s="321" t="s">
        <v>759</v>
      </c>
      <c r="G386" s="326" t="s">
        <v>1977</v>
      </c>
      <c r="H386" s="326" t="s">
        <v>1978</v>
      </c>
      <c r="I386" s="326" t="s">
        <v>11</v>
      </c>
      <c r="J386" s="326" t="s">
        <v>12</v>
      </c>
      <c r="K386" s="326" t="s">
        <v>10</v>
      </c>
      <c r="L386" s="432" t="s">
        <v>210</v>
      </c>
      <c r="M386" s="324" t="s">
        <v>10767</v>
      </c>
      <c r="N386" s="325" t="s">
        <v>761</v>
      </c>
      <c r="O386" s="326">
        <v>100</v>
      </c>
      <c r="P386" s="327" t="s">
        <v>210</v>
      </c>
      <c r="Q386" s="369" t="s">
        <v>210</v>
      </c>
      <c r="R386" s="329" t="s">
        <v>486</v>
      </c>
      <c r="S386" s="331" t="s">
        <v>11299</v>
      </c>
      <c r="T386" s="331" t="s">
        <v>11301</v>
      </c>
      <c r="U386" s="331" t="s">
        <v>11300</v>
      </c>
      <c r="V386" s="331" t="s">
        <v>11302</v>
      </c>
      <c r="W386" s="332" t="s">
        <v>432</v>
      </c>
      <c r="X386" s="331" t="s">
        <v>11079</v>
      </c>
      <c r="Y386" s="331" t="s">
        <v>11080</v>
      </c>
      <c r="Z386" s="331" t="s">
        <v>11080</v>
      </c>
      <c r="AA386" s="331" t="s">
        <v>210</v>
      </c>
      <c r="AB386" s="333"/>
      <c r="AC386" s="333"/>
      <c r="AD386" s="334" t="s">
        <v>2322</v>
      </c>
      <c r="AE386" s="335" t="s">
        <v>1449</v>
      </c>
      <c r="AF386" s="336"/>
      <c r="AG386" s="337"/>
      <c r="AH386" s="417">
        <v>9.5</v>
      </c>
      <c r="AI386" s="392">
        <v>26.7</v>
      </c>
      <c r="AJ386" s="392">
        <v>17.899999999999999</v>
      </c>
      <c r="AK386" s="340">
        <f>SUM(AH386:AJ386)</f>
        <v>54.1</v>
      </c>
      <c r="AL386" s="321" t="s">
        <v>210</v>
      </c>
      <c r="AM386" s="392" t="s">
        <v>15</v>
      </c>
      <c r="AN386" s="392" t="s">
        <v>15</v>
      </c>
      <c r="AO386" s="341" t="s">
        <v>15</v>
      </c>
      <c r="AP386" s="342"/>
      <c r="AQ386" s="433" t="s">
        <v>4547</v>
      </c>
      <c r="AR386" s="370">
        <v>3355</v>
      </c>
      <c r="AS386" s="326">
        <v>100</v>
      </c>
      <c r="AT386" s="392">
        <v>0.6</v>
      </c>
      <c r="AU386" s="392"/>
      <c r="AV386" s="392">
        <v>0.6</v>
      </c>
      <c r="AW386" s="340"/>
      <c r="AX386" s="432" t="s">
        <v>210</v>
      </c>
      <c r="AY386" s="429" t="s">
        <v>622</v>
      </c>
      <c r="AZ386" s="377"/>
      <c r="BA386" s="374"/>
      <c r="BB386" s="374"/>
      <c r="BC386" s="374"/>
      <c r="BD386" s="374"/>
      <c r="BE386" s="374"/>
      <c r="BF386" s="374"/>
      <c r="BG386" s="374"/>
      <c r="BH386" s="378"/>
      <c r="BI386" s="376"/>
      <c r="BJ386" s="379"/>
      <c r="BK386" s="380"/>
      <c r="BL386" s="348"/>
      <c r="BM386" s="381"/>
      <c r="BN386" s="321" t="s">
        <v>15</v>
      </c>
      <c r="BO386" s="372"/>
      <c r="BP386" s="373" t="s">
        <v>14</v>
      </c>
      <c r="BQ386" s="360"/>
      <c r="BR386" s="361"/>
      <c r="BS386" s="361"/>
      <c r="BT386" s="361"/>
      <c r="BU386" s="342" t="s">
        <v>210</v>
      </c>
      <c r="BV386" s="342" t="s">
        <v>210</v>
      </c>
      <c r="BW386" s="341" t="s">
        <v>15</v>
      </c>
      <c r="BX386" s="361"/>
      <c r="BY386" s="362"/>
      <c r="BZ386" s="363"/>
      <c r="CA386" s="363"/>
      <c r="CB386" s="363"/>
      <c r="CC386" s="363"/>
    </row>
    <row r="387" spans="2:81" ht="22.5" customHeight="1">
      <c r="B387" s="365">
        <v>250199</v>
      </c>
      <c r="C387" s="366" t="s">
        <v>736</v>
      </c>
      <c r="D387" s="367"/>
      <c r="E387" s="368"/>
      <c r="F387" s="321" t="s">
        <v>249</v>
      </c>
      <c r="G387" s="326" t="s">
        <v>2001</v>
      </c>
      <c r="H387" s="326" t="s">
        <v>2002</v>
      </c>
      <c r="I387" s="326" t="s">
        <v>11</v>
      </c>
      <c r="J387" s="326" t="s">
        <v>12</v>
      </c>
      <c r="K387" s="326" t="s">
        <v>10</v>
      </c>
      <c r="L387" s="323"/>
      <c r="M387" s="324" t="s">
        <v>10767</v>
      </c>
      <c r="N387" s="325" t="s">
        <v>936</v>
      </c>
      <c r="O387" s="326">
        <v>85</v>
      </c>
      <c r="P387" s="327">
        <v>2636</v>
      </c>
      <c r="Q387" s="369">
        <v>2752</v>
      </c>
      <c r="R387" s="329" t="s">
        <v>432</v>
      </c>
      <c r="S387" s="331" t="s">
        <v>11079</v>
      </c>
      <c r="T387" s="331" t="s">
        <v>11079</v>
      </c>
      <c r="U387" s="331" t="s">
        <v>11079</v>
      </c>
      <c r="V387" s="331" t="s">
        <v>210</v>
      </c>
      <c r="W387" s="332" t="s">
        <v>432</v>
      </c>
      <c r="X387" s="331" t="s">
        <v>11079</v>
      </c>
      <c r="Y387" s="331" t="s">
        <v>11080</v>
      </c>
      <c r="Z387" s="331" t="s">
        <v>11080</v>
      </c>
      <c r="AA387" s="331" t="s">
        <v>210</v>
      </c>
      <c r="AB387" s="333"/>
      <c r="AC387" s="333"/>
      <c r="AD387" s="334" t="s">
        <v>2322</v>
      </c>
      <c r="AE387" s="335" t="s">
        <v>966</v>
      </c>
      <c r="AF387" s="336"/>
      <c r="AG387" s="337"/>
      <c r="AH387" s="417">
        <v>9.1</v>
      </c>
      <c r="AI387" s="392">
        <v>19.5</v>
      </c>
      <c r="AJ387" s="392">
        <v>22.9</v>
      </c>
      <c r="AK387" s="340">
        <f>SUM(AH387:AJ387)</f>
        <v>51.5</v>
      </c>
      <c r="AL387" s="321" t="s">
        <v>210</v>
      </c>
      <c r="AM387" s="392" t="s">
        <v>15</v>
      </c>
      <c r="AN387" s="392" t="s">
        <v>15</v>
      </c>
      <c r="AO387" s="341" t="s">
        <v>15</v>
      </c>
      <c r="AP387" s="342"/>
      <c r="AQ387" s="343"/>
      <c r="AR387" s="370">
        <v>2947</v>
      </c>
      <c r="AS387" s="326">
        <v>100</v>
      </c>
      <c r="AT387" s="392">
        <v>0.8</v>
      </c>
      <c r="AU387" s="392"/>
      <c r="AV387" s="392">
        <v>1</v>
      </c>
      <c r="AW387" s="340"/>
      <c r="AX387" s="347"/>
      <c r="AY387" s="348"/>
      <c r="AZ387" s="377"/>
      <c r="BA387" s="374"/>
      <c r="BB387" s="374"/>
      <c r="BC387" s="374"/>
      <c r="BD387" s="374"/>
      <c r="BE387" s="374"/>
      <c r="BF387" s="374"/>
      <c r="BG387" s="374"/>
      <c r="BH387" s="378"/>
      <c r="BI387" s="376"/>
      <c r="BJ387" s="379"/>
      <c r="BK387" s="380"/>
      <c r="BL387" s="348"/>
      <c r="BM387" s="381"/>
      <c r="BN387" s="321" t="s">
        <v>14</v>
      </c>
      <c r="BO387" s="372"/>
      <c r="BP387" s="373" t="s">
        <v>14</v>
      </c>
      <c r="BQ387" s="360"/>
      <c r="BR387" s="361"/>
      <c r="BS387" s="361"/>
      <c r="BT387" s="361"/>
      <c r="BU387" s="342" t="s">
        <v>210</v>
      </c>
      <c r="BV387" s="342" t="s">
        <v>210</v>
      </c>
      <c r="BW387" s="341" t="s">
        <v>15</v>
      </c>
      <c r="BX387" s="361"/>
      <c r="BY387" s="362"/>
      <c r="BZ387" s="363"/>
      <c r="CA387" s="363"/>
      <c r="CB387" s="363"/>
      <c r="CC387" s="363"/>
    </row>
    <row r="388" spans="2:81" ht="22.5" customHeight="1">
      <c r="B388" s="365">
        <v>250200</v>
      </c>
      <c r="C388" s="366" t="s">
        <v>639</v>
      </c>
      <c r="D388" s="367"/>
      <c r="E388" s="368"/>
      <c r="F388" s="321" t="s">
        <v>250</v>
      </c>
      <c r="G388" s="326" t="s">
        <v>1979</v>
      </c>
      <c r="H388" s="326" t="s">
        <v>1980</v>
      </c>
      <c r="I388" s="326" t="s">
        <v>783</v>
      </c>
      <c r="J388" s="326" t="s">
        <v>387</v>
      </c>
      <c r="K388" s="326" t="s">
        <v>993</v>
      </c>
      <c r="L388" s="323"/>
      <c r="M388" s="374"/>
      <c r="N388" s="325" t="s">
        <v>784</v>
      </c>
      <c r="O388" s="326" t="s">
        <v>779</v>
      </c>
      <c r="P388" s="327" t="s">
        <v>210</v>
      </c>
      <c r="Q388" s="369" t="s">
        <v>210</v>
      </c>
      <c r="R388" s="329" t="s">
        <v>770</v>
      </c>
      <c r="S388" s="330"/>
      <c r="T388" s="330"/>
      <c r="U388" s="330"/>
      <c r="V388" s="330"/>
      <c r="W388" s="332" t="s">
        <v>1108</v>
      </c>
      <c r="X388" s="331" t="s">
        <v>14002</v>
      </c>
      <c r="Y388" s="331" t="s">
        <v>14518</v>
      </c>
      <c r="Z388" s="331" t="s">
        <v>14519</v>
      </c>
      <c r="AA388" s="331" t="s">
        <v>14004</v>
      </c>
      <c r="AB388" s="333"/>
      <c r="AC388" s="333"/>
      <c r="AD388" s="334" t="s">
        <v>818</v>
      </c>
      <c r="AE388" s="335" t="s">
        <v>811</v>
      </c>
      <c r="AF388" s="336"/>
      <c r="AG388" s="337"/>
      <c r="AH388" s="417" t="s">
        <v>210</v>
      </c>
      <c r="AI388" s="392" t="s">
        <v>210</v>
      </c>
      <c r="AJ388" s="392" t="s">
        <v>210</v>
      </c>
      <c r="AK388" s="340" t="s">
        <v>210</v>
      </c>
      <c r="AL388" s="321" t="s">
        <v>210</v>
      </c>
      <c r="AM388" s="392" t="s">
        <v>15</v>
      </c>
      <c r="AN388" s="392" t="s">
        <v>15</v>
      </c>
      <c r="AO388" s="341" t="s">
        <v>15</v>
      </c>
      <c r="AP388" s="342"/>
      <c r="AQ388" s="343"/>
      <c r="AR388" s="370">
        <v>406</v>
      </c>
      <c r="AS388" s="326">
        <v>120</v>
      </c>
      <c r="AT388" s="392">
        <v>1</v>
      </c>
      <c r="AU388" s="392"/>
      <c r="AV388" s="392">
        <v>1.8</v>
      </c>
      <c r="AW388" s="340"/>
      <c r="AX388" s="347"/>
      <c r="AY388" s="348"/>
      <c r="AZ388" s="321" t="s">
        <v>3367</v>
      </c>
      <c r="BA388" s="374"/>
      <c r="BB388" s="374"/>
      <c r="BC388" s="374"/>
      <c r="BD388" s="374"/>
      <c r="BE388" s="374"/>
      <c r="BF388" s="374"/>
      <c r="BG388" s="374"/>
      <c r="BH388" s="378"/>
      <c r="BI388" s="376"/>
      <c r="BJ388" s="379"/>
      <c r="BK388" s="380"/>
      <c r="BL388" s="348"/>
      <c r="BM388" s="381"/>
      <c r="BN388" s="321" t="s">
        <v>14</v>
      </c>
      <c r="BO388" s="372"/>
      <c r="BP388" s="373" t="s">
        <v>15</v>
      </c>
      <c r="BQ388" s="360"/>
      <c r="BR388" s="361"/>
      <c r="BS388" s="361"/>
      <c r="BT388" s="361"/>
      <c r="BU388" s="342" t="s">
        <v>210</v>
      </c>
      <c r="BV388" s="342" t="s">
        <v>210</v>
      </c>
      <c r="BW388" s="341" t="s">
        <v>15</v>
      </c>
      <c r="BX388" s="361"/>
      <c r="BY388" s="362"/>
      <c r="BZ388" s="363"/>
      <c r="CA388" s="363"/>
      <c r="CB388" s="363"/>
      <c r="CC388" s="363"/>
    </row>
    <row r="389" spans="2:81" ht="22.5" customHeight="1">
      <c r="B389" s="365">
        <v>250203</v>
      </c>
      <c r="C389" s="366" t="s">
        <v>13998</v>
      </c>
      <c r="D389" s="367"/>
      <c r="E389" s="368"/>
      <c r="F389" s="321" t="s">
        <v>782</v>
      </c>
      <c r="G389" s="326" t="s">
        <v>1999</v>
      </c>
      <c r="H389" s="326" t="s">
        <v>2000</v>
      </c>
      <c r="I389" s="326" t="s">
        <v>11</v>
      </c>
      <c r="J389" s="326" t="s">
        <v>12</v>
      </c>
      <c r="K389" s="326" t="s">
        <v>993</v>
      </c>
      <c r="L389" s="323"/>
      <c r="M389" s="374"/>
      <c r="N389" s="325" t="s">
        <v>438</v>
      </c>
      <c r="O389" s="326" t="s">
        <v>779</v>
      </c>
      <c r="P389" s="327">
        <v>823.33</v>
      </c>
      <c r="Q389" s="369">
        <v>1060.51</v>
      </c>
      <c r="R389" s="329" t="s">
        <v>1087</v>
      </c>
      <c r="S389" s="330"/>
      <c r="T389" s="330"/>
      <c r="U389" s="330"/>
      <c r="V389" s="330"/>
      <c r="W389" s="332" t="s">
        <v>515</v>
      </c>
      <c r="X389" s="331" t="s">
        <v>13999</v>
      </c>
      <c r="Y389" s="331" t="s">
        <v>14000</v>
      </c>
      <c r="Z389" s="331" t="s">
        <v>16388</v>
      </c>
      <c r="AA389" s="331" t="s">
        <v>14001</v>
      </c>
      <c r="AB389" s="333"/>
      <c r="AC389" s="333"/>
      <c r="AD389" s="334" t="s">
        <v>904</v>
      </c>
      <c r="AE389" s="335" t="s">
        <v>950</v>
      </c>
      <c r="AF389" s="336"/>
      <c r="AG389" s="337"/>
      <c r="AH389" s="417" t="s">
        <v>210</v>
      </c>
      <c r="AI389" s="392" t="s">
        <v>210</v>
      </c>
      <c r="AJ389" s="392" t="s">
        <v>210</v>
      </c>
      <c r="AK389" s="340" t="s">
        <v>210</v>
      </c>
      <c r="AL389" s="321" t="s">
        <v>210</v>
      </c>
      <c r="AM389" s="392" t="s">
        <v>15</v>
      </c>
      <c r="AN389" s="392" t="s">
        <v>15</v>
      </c>
      <c r="AO389" s="341" t="s">
        <v>15</v>
      </c>
      <c r="AP389" s="342"/>
      <c r="AQ389" s="343"/>
      <c r="AR389" s="370">
        <v>1344</v>
      </c>
      <c r="AS389" s="326">
        <v>100</v>
      </c>
      <c r="AT389" s="392">
        <v>1</v>
      </c>
      <c r="AU389" s="392"/>
      <c r="AV389" s="392">
        <v>1.5</v>
      </c>
      <c r="AW389" s="340"/>
      <c r="AX389" s="347"/>
      <c r="AY389" s="348"/>
      <c r="AZ389" s="377"/>
      <c r="BA389" s="374"/>
      <c r="BB389" s="374"/>
      <c r="BC389" s="374"/>
      <c r="BD389" s="374"/>
      <c r="BE389" s="374"/>
      <c r="BF389" s="374"/>
      <c r="BG389" s="374"/>
      <c r="BH389" s="378"/>
      <c r="BI389" s="376"/>
      <c r="BJ389" s="379"/>
      <c r="BK389" s="380"/>
      <c r="BL389" s="348"/>
      <c r="BM389" s="381"/>
      <c r="BN389" s="321" t="s">
        <v>14</v>
      </c>
      <c r="BO389" s="372"/>
      <c r="BP389" s="373" t="s">
        <v>14</v>
      </c>
      <c r="BQ389" s="360"/>
      <c r="BR389" s="361"/>
      <c r="BS389" s="361"/>
      <c r="BT389" s="361"/>
      <c r="BU389" s="342" t="s">
        <v>210</v>
      </c>
      <c r="BV389" s="342" t="s">
        <v>210</v>
      </c>
      <c r="BW389" s="341" t="s">
        <v>15</v>
      </c>
      <c r="BX389" s="361"/>
      <c r="BY389" s="362"/>
      <c r="BZ389" s="363"/>
      <c r="CA389" s="363"/>
      <c r="CB389" s="363"/>
      <c r="CC389" s="363"/>
    </row>
    <row r="390" spans="2:81" ht="22.5" customHeight="1">
      <c r="B390" s="365">
        <v>250204</v>
      </c>
      <c r="C390" s="366" t="s">
        <v>731</v>
      </c>
      <c r="D390" s="367"/>
      <c r="E390" s="368"/>
      <c r="F390" s="321" t="s">
        <v>264</v>
      </c>
      <c r="G390" s="326" t="s">
        <v>1997</v>
      </c>
      <c r="H390" s="326" t="s">
        <v>1998</v>
      </c>
      <c r="I390" s="326" t="s">
        <v>11</v>
      </c>
      <c r="J390" s="326" t="s">
        <v>12</v>
      </c>
      <c r="K390" s="326" t="s">
        <v>780</v>
      </c>
      <c r="L390" s="323"/>
      <c r="M390" s="374"/>
      <c r="N390" s="325" t="s">
        <v>781</v>
      </c>
      <c r="O390" s="326" t="s">
        <v>779</v>
      </c>
      <c r="P390" s="327">
        <v>309.60000000000002</v>
      </c>
      <c r="Q390" s="369">
        <v>318.2</v>
      </c>
      <c r="R390" s="329" t="s">
        <v>738</v>
      </c>
      <c r="S390" s="330"/>
      <c r="T390" s="330"/>
      <c r="U390" s="330"/>
      <c r="V390" s="330"/>
      <c r="W390" s="332" t="s">
        <v>1095</v>
      </c>
      <c r="X390" s="394" t="s">
        <v>13121</v>
      </c>
      <c r="Y390" s="394" t="s">
        <v>11852</v>
      </c>
      <c r="Z390" s="394" t="s">
        <v>16280</v>
      </c>
      <c r="AA390" s="394" t="s">
        <v>13122</v>
      </c>
      <c r="AB390" s="333"/>
      <c r="AC390" s="333"/>
      <c r="AD390" s="334" t="s">
        <v>5522</v>
      </c>
      <c r="AE390" s="335" t="s">
        <v>779</v>
      </c>
      <c r="AF390" s="336"/>
      <c r="AG390" s="337"/>
      <c r="AH390" s="417" t="s">
        <v>210</v>
      </c>
      <c r="AI390" s="392" t="s">
        <v>210</v>
      </c>
      <c r="AJ390" s="392" t="s">
        <v>210</v>
      </c>
      <c r="AK390" s="340" t="s">
        <v>210</v>
      </c>
      <c r="AL390" s="321" t="s">
        <v>210</v>
      </c>
      <c r="AM390" s="392" t="s">
        <v>15</v>
      </c>
      <c r="AN390" s="392" t="s">
        <v>15</v>
      </c>
      <c r="AO390" s="341" t="s">
        <v>15</v>
      </c>
      <c r="AP390" s="342"/>
      <c r="AQ390" s="343"/>
      <c r="AR390" s="370">
        <v>389</v>
      </c>
      <c r="AS390" s="326">
        <v>100</v>
      </c>
      <c r="AT390" s="392">
        <v>1</v>
      </c>
      <c r="AU390" s="392"/>
      <c r="AV390" s="392">
        <v>1</v>
      </c>
      <c r="AW390" s="340"/>
      <c r="AX390" s="347"/>
      <c r="AY390" s="348"/>
      <c r="AZ390" s="377"/>
      <c r="BA390" s="374"/>
      <c r="BB390" s="374"/>
      <c r="BC390" s="374"/>
      <c r="BD390" s="374"/>
      <c r="BE390" s="374"/>
      <c r="BF390" s="374"/>
      <c r="BG390" s="374"/>
      <c r="BH390" s="378"/>
      <c r="BI390" s="376"/>
      <c r="BJ390" s="379"/>
      <c r="BK390" s="380"/>
      <c r="BL390" s="348"/>
      <c r="BM390" s="381"/>
      <c r="BN390" s="321" t="s">
        <v>14</v>
      </c>
      <c r="BO390" s="372"/>
      <c r="BP390" s="373" t="s">
        <v>15</v>
      </c>
      <c r="BQ390" s="360"/>
      <c r="BR390" s="361"/>
      <c r="BS390" s="361"/>
      <c r="BT390" s="361"/>
      <c r="BU390" s="342" t="s">
        <v>210</v>
      </c>
      <c r="BV390" s="342" t="s">
        <v>210</v>
      </c>
      <c r="BW390" s="341" t="s">
        <v>15</v>
      </c>
      <c r="BX390" s="361"/>
      <c r="BY390" s="362"/>
      <c r="BZ390" s="363"/>
      <c r="CA390" s="363"/>
      <c r="CB390" s="363"/>
      <c r="CC390" s="363"/>
    </row>
    <row r="391" spans="2:81" ht="22.5" customHeight="1">
      <c r="B391" s="365">
        <v>260101</v>
      </c>
      <c r="C391" s="366" t="s">
        <v>13890</v>
      </c>
      <c r="D391" s="419"/>
      <c r="E391" s="368"/>
      <c r="F391" s="321" t="s">
        <v>250</v>
      </c>
      <c r="G391" s="326" t="s">
        <v>1899</v>
      </c>
      <c r="H391" s="326" t="s">
        <v>1900</v>
      </c>
      <c r="I391" s="326" t="s">
        <v>11</v>
      </c>
      <c r="J391" s="326" t="s">
        <v>12</v>
      </c>
      <c r="K391" s="326" t="s">
        <v>806</v>
      </c>
      <c r="L391" s="323"/>
      <c r="M391" s="374"/>
      <c r="N391" s="325" t="s">
        <v>438</v>
      </c>
      <c r="O391" s="326" t="s">
        <v>210</v>
      </c>
      <c r="P391" s="327" t="s">
        <v>210</v>
      </c>
      <c r="Q391" s="369" t="s">
        <v>210</v>
      </c>
      <c r="R391" s="329" t="s">
        <v>785</v>
      </c>
      <c r="S391" s="330"/>
      <c r="T391" s="330"/>
      <c r="U391" s="330"/>
      <c r="V391" s="330"/>
      <c r="W391" s="332" t="s">
        <v>514</v>
      </c>
      <c r="X391" s="331" t="s">
        <v>13687</v>
      </c>
      <c r="Y391" s="331" t="s">
        <v>11233</v>
      </c>
      <c r="Z391" s="331" t="s">
        <v>11234</v>
      </c>
      <c r="AA391" s="331" t="s">
        <v>11235</v>
      </c>
      <c r="AB391" s="333"/>
      <c r="AC391" s="416"/>
      <c r="AD391" s="375"/>
      <c r="AE391" s="391"/>
      <c r="AF391" s="336"/>
      <c r="AG391" s="337"/>
      <c r="AH391" s="417" t="s">
        <v>210</v>
      </c>
      <c r="AI391" s="392" t="s">
        <v>210</v>
      </c>
      <c r="AJ391" s="392" t="s">
        <v>210</v>
      </c>
      <c r="AK391" s="340" t="s">
        <v>210</v>
      </c>
      <c r="AL391" s="321" t="s">
        <v>210</v>
      </c>
      <c r="AM391" s="392" t="s">
        <v>15</v>
      </c>
      <c r="AN391" s="392" t="s">
        <v>15</v>
      </c>
      <c r="AO391" s="341" t="s">
        <v>15</v>
      </c>
      <c r="AP391" s="342"/>
      <c r="AQ391" s="343"/>
      <c r="AR391" s="370">
        <v>1124</v>
      </c>
      <c r="AS391" s="326">
        <v>100</v>
      </c>
      <c r="AT391" s="392">
        <v>1</v>
      </c>
      <c r="AU391" s="392"/>
      <c r="AV391" s="392">
        <v>1.2</v>
      </c>
      <c r="AW391" s="340"/>
      <c r="AX391" s="347"/>
      <c r="AY391" s="348"/>
      <c r="AZ391" s="377"/>
      <c r="BA391" s="374"/>
      <c r="BB391" s="374"/>
      <c r="BC391" s="374"/>
      <c r="BD391" s="374"/>
      <c r="BE391" s="374"/>
      <c r="BF391" s="374"/>
      <c r="BG391" s="374"/>
      <c r="BH391" s="378"/>
      <c r="BI391" s="376"/>
      <c r="BJ391" s="379"/>
      <c r="BK391" s="380"/>
      <c r="BL391" s="348"/>
      <c r="BM391" s="381"/>
      <c r="BN391" s="321" t="s">
        <v>14</v>
      </c>
      <c r="BO391" s="372"/>
      <c r="BP391" s="373" t="s">
        <v>14</v>
      </c>
      <c r="BQ391" s="360"/>
      <c r="BR391" s="361"/>
      <c r="BS391" s="361"/>
      <c r="BT391" s="361"/>
      <c r="BU391" s="342" t="s">
        <v>210</v>
      </c>
      <c r="BV391" s="342" t="s">
        <v>210</v>
      </c>
      <c r="BW391" s="341" t="s">
        <v>15</v>
      </c>
      <c r="BX391" s="361"/>
      <c r="BY391" s="362"/>
      <c r="BZ391" s="363"/>
      <c r="CA391" s="363"/>
      <c r="CB391" s="363"/>
      <c r="CC391" s="363"/>
    </row>
    <row r="392" spans="2:81" ht="22.5" customHeight="1">
      <c r="B392" s="365">
        <v>260102</v>
      </c>
      <c r="C392" s="366" t="s">
        <v>13996</v>
      </c>
      <c r="D392" s="419"/>
      <c r="E392" s="368"/>
      <c r="F392" s="321" t="s">
        <v>249</v>
      </c>
      <c r="G392" s="326" t="s">
        <v>2252</v>
      </c>
      <c r="H392" s="326" t="s">
        <v>2253</v>
      </c>
      <c r="I392" s="326" t="s">
        <v>11</v>
      </c>
      <c r="J392" s="326" t="s">
        <v>12</v>
      </c>
      <c r="K392" s="326" t="s">
        <v>247</v>
      </c>
      <c r="L392" s="323"/>
      <c r="M392" s="374"/>
      <c r="N392" s="325" t="s">
        <v>438</v>
      </c>
      <c r="O392" s="326" t="s">
        <v>210</v>
      </c>
      <c r="P392" s="327">
        <v>4509.8</v>
      </c>
      <c r="Q392" s="369">
        <v>4818.68</v>
      </c>
      <c r="R392" s="329" t="s">
        <v>786</v>
      </c>
      <c r="S392" s="330"/>
      <c r="T392" s="394" t="s">
        <v>11457</v>
      </c>
      <c r="U392" s="394" t="s">
        <v>16370</v>
      </c>
      <c r="V392" s="330"/>
      <c r="W392" s="332" t="s">
        <v>716</v>
      </c>
      <c r="X392" s="331" t="s">
        <v>14148</v>
      </c>
      <c r="Y392" s="331" t="s">
        <v>13332</v>
      </c>
      <c r="Z392" s="331" t="s">
        <v>13501</v>
      </c>
      <c r="AA392" s="331" t="s">
        <v>13499</v>
      </c>
      <c r="AB392" s="333"/>
      <c r="AC392" s="333"/>
      <c r="AD392" s="334" t="s">
        <v>2330</v>
      </c>
      <c r="AE392" s="391"/>
      <c r="AF392" s="336"/>
      <c r="AG392" s="337"/>
      <c r="AH392" s="417" t="s">
        <v>210</v>
      </c>
      <c r="AI392" s="392" t="s">
        <v>210</v>
      </c>
      <c r="AJ392" s="392" t="s">
        <v>210</v>
      </c>
      <c r="AK392" s="340" t="s">
        <v>210</v>
      </c>
      <c r="AL392" s="321" t="s">
        <v>210</v>
      </c>
      <c r="AM392" s="392" t="s">
        <v>15</v>
      </c>
      <c r="AN392" s="392" t="s">
        <v>15</v>
      </c>
      <c r="AO392" s="341" t="s">
        <v>15</v>
      </c>
      <c r="AP392" s="342"/>
      <c r="AQ392" s="343"/>
      <c r="AR392" s="370">
        <v>5615</v>
      </c>
      <c r="AS392" s="326">
        <v>100</v>
      </c>
      <c r="AT392" s="392">
        <v>1</v>
      </c>
      <c r="AU392" s="392"/>
      <c r="AV392" s="392">
        <v>2</v>
      </c>
      <c r="AW392" s="340"/>
      <c r="AX392" s="347"/>
      <c r="AY392" s="348"/>
      <c r="AZ392" s="377"/>
      <c r="BA392" s="374"/>
      <c r="BB392" s="374"/>
      <c r="BC392" s="374"/>
      <c r="BD392" s="374"/>
      <c r="BE392" s="374"/>
      <c r="BF392" s="374"/>
      <c r="BG392" s="374"/>
      <c r="BH392" s="378"/>
      <c r="BI392" s="376"/>
      <c r="BJ392" s="379"/>
      <c r="BK392" s="380"/>
      <c r="BL392" s="348"/>
      <c r="BM392" s="381"/>
      <c r="BN392" s="321" t="s">
        <v>14</v>
      </c>
      <c r="BO392" s="372"/>
      <c r="BP392" s="373" t="s">
        <v>14</v>
      </c>
      <c r="BQ392" s="360"/>
      <c r="BR392" s="361"/>
      <c r="BS392" s="361"/>
      <c r="BT392" s="361"/>
      <c r="BU392" s="342" t="s">
        <v>210</v>
      </c>
      <c r="BV392" s="342" t="s">
        <v>210</v>
      </c>
      <c r="BW392" s="341" t="s">
        <v>15</v>
      </c>
      <c r="BX392" s="361"/>
      <c r="BY392" s="362"/>
      <c r="BZ392" s="363"/>
      <c r="CA392" s="363"/>
      <c r="CB392" s="363"/>
      <c r="CC392" s="363"/>
    </row>
    <row r="393" spans="2:81" ht="22.5" customHeight="1">
      <c r="B393" s="365">
        <v>260103</v>
      </c>
      <c r="C393" s="366" t="s">
        <v>13993</v>
      </c>
      <c r="D393" s="419"/>
      <c r="E393" s="368"/>
      <c r="F393" s="321" t="s">
        <v>237</v>
      </c>
      <c r="G393" s="326" t="s">
        <v>1995</v>
      </c>
      <c r="H393" s="326" t="s">
        <v>1996</v>
      </c>
      <c r="I393" s="326" t="s">
        <v>766</v>
      </c>
      <c r="J393" s="326" t="s">
        <v>12</v>
      </c>
      <c r="K393" s="326" t="s">
        <v>803</v>
      </c>
      <c r="L393" s="323"/>
      <c r="M393" s="374"/>
      <c r="N393" s="325" t="s">
        <v>828</v>
      </c>
      <c r="O393" s="326" t="s">
        <v>210</v>
      </c>
      <c r="P393" s="327">
        <v>618.17999999999995</v>
      </c>
      <c r="Q393" s="369">
        <v>626.4</v>
      </c>
      <c r="R393" s="329" t="s">
        <v>787</v>
      </c>
      <c r="S393" s="330"/>
      <c r="T393" s="330"/>
      <c r="U393" s="330"/>
      <c r="V393" s="330"/>
      <c r="W393" s="332" t="s">
        <v>788</v>
      </c>
      <c r="X393" s="331" t="s">
        <v>13995</v>
      </c>
      <c r="Y393" s="330"/>
      <c r="Z393" s="330"/>
      <c r="AA393" s="331" t="s">
        <v>13994</v>
      </c>
      <c r="AB393" s="333"/>
      <c r="AC393" s="416"/>
      <c r="AD393" s="375"/>
      <c r="AE393" s="335" t="s">
        <v>210</v>
      </c>
      <c r="AF393" s="336"/>
      <c r="AG393" s="337"/>
      <c r="AH393" s="321" t="s">
        <v>210</v>
      </c>
      <c r="AI393" s="392" t="s">
        <v>15</v>
      </c>
      <c r="AJ393" s="392" t="s">
        <v>15</v>
      </c>
      <c r="AK393" s="340" t="s">
        <v>15</v>
      </c>
      <c r="AL393" s="321" t="s">
        <v>210</v>
      </c>
      <c r="AM393" s="392" t="s">
        <v>15</v>
      </c>
      <c r="AN393" s="392" t="s">
        <v>15</v>
      </c>
      <c r="AO393" s="341" t="s">
        <v>15</v>
      </c>
      <c r="AP393" s="342"/>
      <c r="AQ393" s="343"/>
      <c r="AR393" s="370">
        <v>963</v>
      </c>
      <c r="AS393" s="326">
        <v>100</v>
      </c>
      <c r="AT393" s="392">
        <v>1</v>
      </c>
      <c r="AU393" s="392"/>
      <c r="AV393" s="392">
        <v>1.5</v>
      </c>
      <c r="AW393" s="340"/>
      <c r="AX393" s="347"/>
      <c r="AY393" s="348"/>
      <c r="AZ393" s="377"/>
      <c r="BA393" s="374"/>
      <c r="BB393" s="374"/>
      <c r="BC393" s="374"/>
      <c r="BD393" s="374"/>
      <c r="BE393" s="374"/>
      <c r="BF393" s="374"/>
      <c r="BG393" s="374"/>
      <c r="BH393" s="378"/>
      <c r="BI393" s="376"/>
      <c r="BJ393" s="379"/>
      <c r="BK393" s="380"/>
      <c r="BL393" s="348"/>
      <c r="BM393" s="381"/>
      <c r="BN393" s="321" t="s">
        <v>210</v>
      </c>
      <c r="BO393" s="372"/>
      <c r="BP393" s="340" t="s">
        <v>15</v>
      </c>
      <c r="BQ393" s="360"/>
      <c r="BR393" s="361"/>
      <c r="BS393" s="361"/>
      <c r="BT393" s="361"/>
      <c r="BU393" s="342" t="s">
        <v>210</v>
      </c>
      <c r="BV393" s="342" t="s">
        <v>210</v>
      </c>
      <c r="BW393" s="341" t="s">
        <v>15</v>
      </c>
      <c r="BX393" s="361"/>
      <c r="BY393" s="362"/>
      <c r="BZ393" s="363"/>
      <c r="CA393" s="363"/>
      <c r="CB393" s="363"/>
      <c r="CC393" s="363"/>
    </row>
    <row r="394" spans="2:81" ht="22.5" customHeight="1">
      <c r="B394" s="365">
        <v>260104</v>
      </c>
      <c r="C394" s="366" t="s">
        <v>789</v>
      </c>
      <c r="D394" s="439"/>
      <c r="E394" s="404"/>
      <c r="F394" s="405" t="s">
        <v>83</v>
      </c>
      <c r="G394" s="324" t="s">
        <v>1993</v>
      </c>
      <c r="H394" s="324" t="s">
        <v>1994</v>
      </c>
      <c r="I394" s="326" t="s">
        <v>11</v>
      </c>
      <c r="J394" s="326" t="s">
        <v>12</v>
      </c>
      <c r="K394" s="326" t="s">
        <v>10</v>
      </c>
      <c r="L394" s="323"/>
      <c r="M394" s="374"/>
      <c r="N394" s="325" t="s">
        <v>437</v>
      </c>
      <c r="O394" s="326">
        <v>30</v>
      </c>
      <c r="P394" s="327">
        <v>579.38</v>
      </c>
      <c r="Q394" s="369">
        <v>626.88</v>
      </c>
      <c r="R394" s="329" t="s">
        <v>447</v>
      </c>
      <c r="S394" s="332" t="s">
        <v>13046</v>
      </c>
      <c r="T394" s="332" t="s">
        <v>11078</v>
      </c>
      <c r="U394" s="332" t="s">
        <v>16355</v>
      </c>
      <c r="V394" s="332" t="s">
        <v>13047</v>
      </c>
      <c r="W394" s="332" t="s">
        <v>432</v>
      </c>
      <c r="X394" s="331" t="s">
        <v>11079</v>
      </c>
      <c r="Y394" s="331" t="s">
        <v>11080</v>
      </c>
      <c r="Z394" s="331" t="s">
        <v>11080</v>
      </c>
      <c r="AA394" s="331" t="s">
        <v>210</v>
      </c>
      <c r="AB394" s="333"/>
      <c r="AC394" s="333"/>
      <c r="AD394" s="334" t="s">
        <v>272</v>
      </c>
      <c r="AE394" s="335" t="s">
        <v>210</v>
      </c>
      <c r="AF394" s="336"/>
      <c r="AG394" s="337"/>
      <c r="AH394" s="376"/>
      <c r="AI394" s="347"/>
      <c r="AJ394" s="347"/>
      <c r="AK394" s="371"/>
      <c r="AL394" s="321" t="s">
        <v>805</v>
      </c>
      <c r="AM394" s="392" t="s">
        <v>15</v>
      </c>
      <c r="AN394" s="392" t="s">
        <v>15</v>
      </c>
      <c r="AO394" s="341" t="s">
        <v>15</v>
      </c>
      <c r="AP394" s="342"/>
      <c r="AQ394" s="343"/>
      <c r="AR394" s="370">
        <v>744</v>
      </c>
      <c r="AS394" s="326">
        <v>100</v>
      </c>
      <c r="AT394" s="392">
        <v>1</v>
      </c>
      <c r="AU394" s="392"/>
      <c r="AV394" s="392">
        <v>1.2</v>
      </c>
      <c r="AW394" s="340"/>
      <c r="AX394" s="347"/>
      <c r="AY394" s="348"/>
      <c r="AZ394" s="407"/>
      <c r="BA394" s="408"/>
      <c r="BB394" s="408"/>
      <c r="BC394" s="408"/>
      <c r="BD394" s="408"/>
      <c r="BE394" s="408"/>
      <c r="BF394" s="408"/>
      <c r="BG394" s="408"/>
      <c r="BH394" s="409"/>
      <c r="BI394" s="410"/>
      <c r="BJ394" s="411"/>
      <c r="BK394" s="412"/>
      <c r="BL394" s="413"/>
      <c r="BM394" s="414"/>
      <c r="BN394" s="321" t="s">
        <v>14</v>
      </c>
      <c r="BO394" s="372"/>
      <c r="BP394" s="373" t="s">
        <v>15</v>
      </c>
      <c r="BQ394" s="360"/>
      <c r="BR394" s="361"/>
      <c r="BS394" s="361"/>
      <c r="BT394" s="361"/>
      <c r="BU394" s="342" t="s">
        <v>210</v>
      </c>
      <c r="BV394" s="342" t="s">
        <v>210</v>
      </c>
      <c r="BW394" s="341" t="s">
        <v>15</v>
      </c>
      <c r="BX394" s="361"/>
      <c r="BY394" s="362"/>
      <c r="BZ394" s="363"/>
      <c r="CA394" s="363"/>
      <c r="CB394" s="363"/>
      <c r="CC394" s="363"/>
    </row>
    <row r="395" spans="2:81" ht="22.5" customHeight="1">
      <c r="B395" s="365">
        <v>260105</v>
      </c>
      <c r="C395" s="366" t="s">
        <v>830</v>
      </c>
      <c r="D395" s="419"/>
      <c r="E395" s="368"/>
      <c r="F395" s="321" t="s">
        <v>250</v>
      </c>
      <c r="G395" s="326" t="s">
        <v>1969</v>
      </c>
      <c r="H395" s="326" t="s">
        <v>1992</v>
      </c>
      <c r="I395" s="326" t="s">
        <v>11</v>
      </c>
      <c r="J395" s="326" t="s">
        <v>387</v>
      </c>
      <c r="K395" s="326" t="s">
        <v>993</v>
      </c>
      <c r="L395" s="323"/>
      <c r="M395" s="374"/>
      <c r="N395" s="325" t="s">
        <v>829</v>
      </c>
      <c r="O395" s="326" t="s">
        <v>835</v>
      </c>
      <c r="P395" s="327">
        <v>826.76</v>
      </c>
      <c r="Q395" s="369" t="s">
        <v>835</v>
      </c>
      <c r="R395" s="329" t="s">
        <v>833</v>
      </c>
      <c r="S395" s="331" t="s">
        <v>13992</v>
      </c>
      <c r="T395" s="331" t="s">
        <v>13990</v>
      </c>
      <c r="U395" s="331" t="s">
        <v>16342</v>
      </c>
      <c r="V395" s="331" t="s">
        <v>13991</v>
      </c>
      <c r="W395" s="332" t="s">
        <v>832</v>
      </c>
      <c r="X395" s="331" t="s">
        <v>13986</v>
      </c>
      <c r="Y395" s="331" t="s">
        <v>13987</v>
      </c>
      <c r="Z395" s="331" t="s">
        <v>13988</v>
      </c>
      <c r="AA395" s="331" t="s">
        <v>13989</v>
      </c>
      <c r="AB395" s="333"/>
      <c r="AC395" s="333"/>
      <c r="AD395" s="334" t="s">
        <v>831</v>
      </c>
      <c r="AE395" s="335" t="s">
        <v>834</v>
      </c>
      <c r="AF395" s="336"/>
      <c r="AG395" s="337"/>
      <c r="AH395" s="417" t="s">
        <v>210</v>
      </c>
      <c r="AI395" s="392" t="s">
        <v>210</v>
      </c>
      <c r="AJ395" s="392" t="s">
        <v>210</v>
      </c>
      <c r="AK395" s="340" t="s">
        <v>210</v>
      </c>
      <c r="AL395" s="321" t="s">
        <v>210</v>
      </c>
      <c r="AM395" s="392" t="s">
        <v>15</v>
      </c>
      <c r="AN395" s="392" t="s">
        <v>15</v>
      </c>
      <c r="AO395" s="341" t="s">
        <v>15</v>
      </c>
      <c r="AP395" s="342"/>
      <c r="AQ395" s="343"/>
      <c r="AR395" s="370">
        <v>620</v>
      </c>
      <c r="AS395" s="326">
        <v>100</v>
      </c>
      <c r="AT395" s="392">
        <v>1</v>
      </c>
      <c r="AU395" s="392"/>
      <c r="AV395" s="392">
        <v>1.5</v>
      </c>
      <c r="AW395" s="340"/>
      <c r="AX395" s="347"/>
      <c r="AY395" s="348"/>
      <c r="AZ395" s="377"/>
      <c r="BA395" s="374"/>
      <c r="BB395" s="374"/>
      <c r="BC395" s="374"/>
      <c r="BD395" s="374"/>
      <c r="BE395" s="374"/>
      <c r="BF395" s="374"/>
      <c r="BG395" s="374"/>
      <c r="BH395" s="378"/>
      <c r="BI395" s="376"/>
      <c r="BJ395" s="379"/>
      <c r="BK395" s="380"/>
      <c r="BL395" s="348"/>
      <c r="BM395" s="381"/>
      <c r="BN395" s="321" t="s">
        <v>14</v>
      </c>
      <c r="BO395" s="372"/>
      <c r="BP395" s="373" t="s">
        <v>14</v>
      </c>
      <c r="BQ395" s="360"/>
      <c r="BR395" s="361"/>
      <c r="BS395" s="361"/>
      <c r="BT395" s="361"/>
      <c r="BU395" s="342" t="s">
        <v>210</v>
      </c>
      <c r="BV395" s="342" t="s">
        <v>210</v>
      </c>
      <c r="BW395" s="341" t="s">
        <v>15</v>
      </c>
      <c r="BX395" s="361"/>
      <c r="BY395" s="362"/>
      <c r="BZ395" s="363"/>
      <c r="CA395" s="363"/>
      <c r="CB395" s="363"/>
      <c r="CC395" s="363"/>
    </row>
    <row r="396" spans="2:81" ht="22.5" customHeight="1">
      <c r="B396" s="365">
        <v>260106</v>
      </c>
      <c r="C396" s="366" t="s">
        <v>13984</v>
      </c>
      <c r="D396" s="419"/>
      <c r="E396" s="368"/>
      <c r="F396" s="321" t="s">
        <v>225</v>
      </c>
      <c r="G396" s="326" t="s">
        <v>1990</v>
      </c>
      <c r="H396" s="326" t="s">
        <v>1991</v>
      </c>
      <c r="I396" s="326" t="s">
        <v>11</v>
      </c>
      <c r="J396" s="326" t="s">
        <v>12</v>
      </c>
      <c r="K396" s="326" t="s">
        <v>10</v>
      </c>
      <c r="L396" s="323"/>
      <c r="M396" s="374"/>
      <c r="N396" s="325" t="s">
        <v>438</v>
      </c>
      <c r="O396" s="326">
        <v>30</v>
      </c>
      <c r="P396" s="327">
        <v>2621.8</v>
      </c>
      <c r="Q396" s="369">
        <v>2697.6</v>
      </c>
      <c r="R396" s="329" t="s">
        <v>516</v>
      </c>
      <c r="S396" s="394" t="s">
        <v>11827</v>
      </c>
      <c r="T396" s="394" t="s">
        <v>11829</v>
      </c>
      <c r="U396" s="394" t="s">
        <v>11828</v>
      </c>
      <c r="V396" s="394" t="s">
        <v>11830</v>
      </c>
      <c r="W396" s="332" t="s">
        <v>790</v>
      </c>
      <c r="X396" s="331" t="s">
        <v>13985</v>
      </c>
      <c r="Y396" s="394" t="s">
        <v>13170</v>
      </c>
      <c r="Z396" s="394" t="s">
        <v>16507</v>
      </c>
      <c r="AA396" s="394" t="s">
        <v>13169</v>
      </c>
      <c r="AB396" s="333"/>
      <c r="AC396" s="333"/>
      <c r="AD396" s="334" t="s">
        <v>2325</v>
      </c>
      <c r="AE396" s="335" t="s">
        <v>245</v>
      </c>
      <c r="AF396" s="336"/>
      <c r="AG396" s="337"/>
      <c r="AH396" s="417" t="s">
        <v>210</v>
      </c>
      <c r="AI396" s="392" t="s">
        <v>210</v>
      </c>
      <c r="AJ396" s="392" t="s">
        <v>210</v>
      </c>
      <c r="AK396" s="340" t="s">
        <v>210</v>
      </c>
      <c r="AL396" s="321" t="s">
        <v>210</v>
      </c>
      <c r="AM396" s="392" t="s">
        <v>15</v>
      </c>
      <c r="AN396" s="392" t="s">
        <v>15</v>
      </c>
      <c r="AO396" s="341" t="s">
        <v>15</v>
      </c>
      <c r="AP396" s="342"/>
      <c r="AQ396" s="343"/>
      <c r="AR396" s="370">
        <v>3049</v>
      </c>
      <c r="AS396" s="326">
        <v>100</v>
      </c>
      <c r="AT396" s="392">
        <v>0.8</v>
      </c>
      <c r="AU396" s="392"/>
      <c r="AV396" s="392">
        <v>1.5</v>
      </c>
      <c r="AW396" s="340"/>
      <c r="AX396" s="347"/>
      <c r="AY396" s="348"/>
      <c r="AZ396" s="377"/>
      <c r="BA396" s="374"/>
      <c r="BB396" s="374"/>
      <c r="BC396" s="374"/>
      <c r="BD396" s="374"/>
      <c r="BE396" s="374"/>
      <c r="BF396" s="374"/>
      <c r="BG396" s="374"/>
      <c r="BH396" s="378"/>
      <c r="BI396" s="376"/>
      <c r="BJ396" s="379"/>
      <c r="BK396" s="380"/>
      <c r="BL396" s="348"/>
      <c r="BM396" s="381"/>
      <c r="BN396" s="321" t="s">
        <v>14</v>
      </c>
      <c r="BO396" s="372"/>
      <c r="BP396" s="373" t="s">
        <v>14</v>
      </c>
      <c r="BQ396" s="360"/>
      <c r="BR396" s="361"/>
      <c r="BS396" s="361"/>
      <c r="BT396" s="361"/>
      <c r="BU396" s="342" t="s">
        <v>210</v>
      </c>
      <c r="BV396" s="342" t="s">
        <v>210</v>
      </c>
      <c r="BW396" s="341" t="s">
        <v>15</v>
      </c>
      <c r="BX396" s="361"/>
      <c r="BY396" s="362"/>
      <c r="BZ396" s="363"/>
      <c r="CA396" s="363"/>
      <c r="CB396" s="363"/>
      <c r="CC396" s="363"/>
    </row>
    <row r="397" spans="2:81" ht="22.5" customHeight="1">
      <c r="B397" s="365">
        <v>260107</v>
      </c>
      <c r="C397" s="366" t="s">
        <v>792</v>
      </c>
      <c r="D397" s="419"/>
      <c r="E397" s="368"/>
      <c r="F397" s="321" t="s">
        <v>793</v>
      </c>
      <c r="G397" s="326" t="s">
        <v>1988</v>
      </c>
      <c r="H397" s="326" t="s">
        <v>1989</v>
      </c>
      <c r="I397" s="326" t="s">
        <v>11</v>
      </c>
      <c r="J397" s="326" t="s">
        <v>12</v>
      </c>
      <c r="K397" s="326" t="s">
        <v>10</v>
      </c>
      <c r="L397" s="323"/>
      <c r="M397" s="374"/>
      <c r="N397" s="325" t="s">
        <v>829</v>
      </c>
      <c r="O397" s="326">
        <v>30</v>
      </c>
      <c r="P397" s="327">
        <v>2070.87</v>
      </c>
      <c r="Q397" s="369">
        <v>2070.87</v>
      </c>
      <c r="R397" s="329" t="s">
        <v>1094</v>
      </c>
      <c r="S397" s="331" t="s">
        <v>12949</v>
      </c>
      <c r="T397" s="331" t="s">
        <v>11123</v>
      </c>
      <c r="U397" s="331" t="s">
        <v>16209</v>
      </c>
      <c r="V397" s="331" t="s">
        <v>11124</v>
      </c>
      <c r="W397" s="332" t="s">
        <v>432</v>
      </c>
      <c r="X397" s="331" t="s">
        <v>11079</v>
      </c>
      <c r="Y397" s="331" t="s">
        <v>11080</v>
      </c>
      <c r="Z397" s="331" t="s">
        <v>11080</v>
      </c>
      <c r="AA397" s="331" t="s">
        <v>210</v>
      </c>
      <c r="AB397" s="416" t="s">
        <v>16099</v>
      </c>
      <c r="AC397" s="416"/>
      <c r="AD397" s="334" t="s">
        <v>2329</v>
      </c>
      <c r="AE397" s="335" t="s">
        <v>931</v>
      </c>
      <c r="AF397" s="336"/>
      <c r="AG397" s="705">
        <v>41928</v>
      </c>
      <c r="AH397" s="376"/>
      <c r="AI397" s="347"/>
      <c r="AJ397" s="347"/>
      <c r="AK397" s="371"/>
      <c r="AL397" s="321" t="s">
        <v>210</v>
      </c>
      <c r="AM397" s="392" t="s">
        <v>15</v>
      </c>
      <c r="AN397" s="392" t="s">
        <v>15</v>
      </c>
      <c r="AO397" s="341" t="s">
        <v>15</v>
      </c>
      <c r="AP397" s="342"/>
      <c r="AQ397" s="343"/>
      <c r="AR397" s="370">
        <v>2450</v>
      </c>
      <c r="AS397" s="326">
        <v>100</v>
      </c>
      <c r="AT397" s="392">
        <v>0.8</v>
      </c>
      <c r="AU397" s="392"/>
      <c r="AV397" s="392">
        <v>1.2</v>
      </c>
      <c r="AW397" s="340"/>
      <c r="AX397" s="347"/>
      <c r="AY397" s="348"/>
      <c r="AZ397" s="377"/>
      <c r="BA397" s="374"/>
      <c r="BB397" s="374"/>
      <c r="BC397" s="374"/>
      <c r="BD397" s="374"/>
      <c r="BE397" s="374"/>
      <c r="BF397" s="374"/>
      <c r="BG397" s="374"/>
      <c r="BH397" s="378"/>
      <c r="BI397" s="376"/>
      <c r="BJ397" s="379"/>
      <c r="BK397" s="380"/>
      <c r="BL397" s="348"/>
      <c r="BM397" s="381"/>
      <c r="BN397" s="321" t="s">
        <v>14</v>
      </c>
      <c r="BO397" s="372"/>
      <c r="BP397" s="373" t="s">
        <v>14</v>
      </c>
      <c r="BQ397" s="360"/>
      <c r="BR397" s="361"/>
      <c r="BS397" s="361"/>
      <c r="BT397" s="361"/>
      <c r="BU397" s="342" t="s">
        <v>210</v>
      </c>
      <c r="BV397" s="342" t="s">
        <v>210</v>
      </c>
      <c r="BW397" s="341" t="s">
        <v>15</v>
      </c>
      <c r="BX397" s="361"/>
      <c r="BY397" s="362" t="s">
        <v>1003</v>
      </c>
      <c r="BZ397" s="363"/>
      <c r="CA397" s="363"/>
      <c r="CB397" s="363"/>
      <c r="CC397" s="363"/>
    </row>
    <row r="398" spans="2:81" ht="22.5" customHeight="1">
      <c r="B398" s="365">
        <v>260108</v>
      </c>
      <c r="C398" s="366" t="s">
        <v>902</v>
      </c>
      <c r="D398" s="367"/>
      <c r="E398" s="368"/>
      <c r="F398" s="321" t="s">
        <v>240</v>
      </c>
      <c r="G398" s="326" t="s">
        <v>1986</v>
      </c>
      <c r="H398" s="326" t="s">
        <v>1987</v>
      </c>
      <c r="I398" s="326" t="s">
        <v>11</v>
      </c>
      <c r="J398" s="326" t="s">
        <v>12</v>
      </c>
      <c r="K398" s="326" t="s">
        <v>804</v>
      </c>
      <c r="L398" s="323"/>
      <c r="M398" s="374"/>
      <c r="N398" s="325" t="s">
        <v>837</v>
      </c>
      <c r="O398" s="327" t="s">
        <v>210</v>
      </c>
      <c r="P398" s="327" t="s">
        <v>210</v>
      </c>
      <c r="Q398" s="369" t="s">
        <v>210</v>
      </c>
      <c r="R398" s="329" t="s">
        <v>836</v>
      </c>
      <c r="S398" s="331" t="s">
        <v>13979</v>
      </c>
      <c r="T398" s="331" t="s">
        <v>13980</v>
      </c>
      <c r="U398" s="331" t="s">
        <v>16351</v>
      </c>
      <c r="V398" s="331" t="s">
        <v>13981</v>
      </c>
      <c r="W398" s="332" t="s">
        <v>735</v>
      </c>
      <c r="X398" s="331" t="s">
        <v>13982</v>
      </c>
      <c r="Y398" s="330"/>
      <c r="Z398" s="330"/>
      <c r="AA398" s="331" t="s">
        <v>13983</v>
      </c>
      <c r="AB398" s="333"/>
      <c r="AC398" s="333"/>
      <c r="AD398" s="334" t="s">
        <v>730</v>
      </c>
      <c r="AE398" s="335" t="s">
        <v>298</v>
      </c>
      <c r="AF398" s="706">
        <v>41782</v>
      </c>
      <c r="AG398" s="705">
        <v>41845</v>
      </c>
      <c r="AH398" s="417" t="s">
        <v>210</v>
      </c>
      <c r="AI398" s="392" t="s">
        <v>210</v>
      </c>
      <c r="AJ398" s="392" t="s">
        <v>210</v>
      </c>
      <c r="AK398" s="340" t="s">
        <v>210</v>
      </c>
      <c r="AL398" s="321" t="s">
        <v>210</v>
      </c>
      <c r="AM398" s="392" t="s">
        <v>15</v>
      </c>
      <c r="AN398" s="392" t="s">
        <v>15</v>
      </c>
      <c r="AO398" s="341" t="s">
        <v>15</v>
      </c>
      <c r="AP398" s="342"/>
      <c r="AQ398" s="343"/>
      <c r="AR398" s="370">
        <v>11586</v>
      </c>
      <c r="AS398" s="326">
        <v>150</v>
      </c>
      <c r="AT398" s="392">
        <v>0.8</v>
      </c>
      <c r="AU398" s="392"/>
      <c r="AV398" s="392">
        <v>1.2</v>
      </c>
      <c r="AW398" s="340"/>
      <c r="AX398" s="347"/>
      <c r="AY398" s="348"/>
      <c r="AZ398" s="377"/>
      <c r="BA398" s="374"/>
      <c r="BB398" s="374"/>
      <c r="BC398" s="374"/>
      <c r="BD398" s="374"/>
      <c r="BE398" s="374"/>
      <c r="BF398" s="374"/>
      <c r="BG398" s="374"/>
      <c r="BH398" s="378"/>
      <c r="BI398" s="376"/>
      <c r="BJ398" s="379"/>
      <c r="BK398" s="380"/>
      <c r="BL398" s="348"/>
      <c r="BM398" s="381"/>
      <c r="BN398" s="321" t="s">
        <v>14</v>
      </c>
      <c r="BO398" s="372"/>
      <c r="BP398" s="373" t="s">
        <v>14</v>
      </c>
      <c r="BQ398" s="360"/>
      <c r="BR398" s="361"/>
      <c r="BS398" s="361"/>
      <c r="BT398" s="361"/>
      <c r="BU398" s="342" t="s">
        <v>210</v>
      </c>
      <c r="BV398" s="342" t="s">
        <v>210</v>
      </c>
      <c r="BW398" s="341" t="s">
        <v>15</v>
      </c>
      <c r="BX398" s="361"/>
      <c r="BY398" s="362"/>
      <c r="BZ398" s="363"/>
      <c r="CA398" s="363"/>
      <c r="CB398" s="363"/>
      <c r="CC398" s="363"/>
    </row>
    <row r="399" spans="2:81" ht="22.5" customHeight="1">
      <c r="B399" s="365">
        <v>260109</v>
      </c>
      <c r="C399" s="366" t="s">
        <v>741</v>
      </c>
      <c r="D399" s="419"/>
      <c r="E399" s="368"/>
      <c r="F399" s="321" t="s">
        <v>839</v>
      </c>
      <c r="G399" s="326" t="s">
        <v>1809</v>
      </c>
      <c r="H399" s="326" t="s">
        <v>1985</v>
      </c>
      <c r="I399" s="326" t="s">
        <v>11</v>
      </c>
      <c r="J399" s="326" t="s">
        <v>387</v>
      </c>
      <c r="K399" s="326" t="s">
        <v>838</v>
      </c>
      <c r="L399" s="323"/>
      <c r="M399" s="374"/>
      <c r="N399" s="325" t="s">
        <v>438</v>
      </c>
      <c r="O399" s="327" t="s">
        <v>210</v>
      </c>
      <c r="P399" s="327">
        <v>736.95</v>
      </c>
      <c r="Q399" s="369">
        <v>398</v>
      </c>
      <c r="R399" s="329" t="s">
        <v>742</v>
      </c>
      <c r="S399" s="330"/>
      <c r="T399" s="330"/>
      <c r="U399" s="330"/>
      <c r="V399" s="330"/>
      <c r="W399" s="332" t="s">
        <v>2712</v>
      </c>
      <c r="X399" s="331" t="s">
        <v>13914</v>
      </c>
      <c r="Y399" s="331" t="s">
        <v>13912</v>
      </c>
      <c r="Z399" s="331" t="s">
        <v>13911</v>
      </c>
      <c r="AA399" s="331" t="s">
        <v>13913</v>
      </c>
      <c r="AB399" s="333"/>
      <c r="AC399" s="333"/>
      <c r="AD399" s="334" t="s">
        <v>294</v>
      </c>
      <c r="AE399" s="335" t="s">
        <v>340</v>
      </c>
      <c r="AF399" s="706">
        <v>41766</v>
      </c>
      <c r="AG399" s="705">
        <v>41819</v>
      </c>
      <c r="AH399" s="417" t="s">
        <v>210</v>
      </c>
      <c r="AI399" s="392" t="s">
        <v>210</v>
      </c>
      <c r="AJ399" s="392" t="s">
        <v>210</v>
      </c>
      <c r="AK399" s="340" t="s">
        <v>210</v>
      </c>
      <c r="AL399" s="321" t="s">
        <v>210</v>
      </c>
      <c r="AM399" s="392" t="s">
        <v>15</v>
      </c>
      <c r="AN399" s="326" t="s">
        <v>14</v>
      </c>
      <c r="AO399" s="341" t="s">
        <v>15</v>
      </c>
      <c r="AP399" s="342"/>
      <c r="AQ399" s="343"/>
      <c r="AR399" s="370">
        <v>523</v>
      </c>
      <c r="AS399" s="326">
        <v>100</v>
      </c>
      <c r="AT399" s="392">
        <v>1</v>
      </c>
      <c r="AU399" s="392"/>
      <c r="AV399" s="392">
        <v>1.5</v>
      </c>
      <c r="AW399" s="340"/>
      <c r="AX399" s="347"/>
      <c r="AY399" s="348"/>
      <c r="AZ399" s="377"/>
      <c r="BA399" s="374"/>
      <c r="BB399" s="374"/>
      <c r="BC399" s="374"/>
      <c r="BD399" s="374"/>
      <c r="BE399" s="374"/>
      <c r="BF399" s="374"/>
      <c r="BG399" s="374"/>
      <c r="BH399" s="378"/>
      <c r="BI399" s="376"/>
      <c r="BJ399" s="379"/>
      <c r="BK399" s="380"/>
      <c r="BL399" s="348"/>
      <c r="BM399" s="381"/>
      <c r="BN399" s="321" t="s">
        <v>14</v>
      </c>
      <c r="BO399" s="372"/>
      <c r="BP399" s="373" t="s">
        <v>14</v>
      </c>
      <c r="BQ399" s="360"/>
      <c r="BR399" s="361"/>
      <c r="BS399" s="361"/>
      <c r="BT399" s="361"/>
      <c r="BU399" s="342" t="s">
        <v>210</v>
      </c>
      <c r="BV399" s="342" t="s">
        <v>210</v>
      </c>
      <c r="BW399" s="341" t="s">
        <v>15</v>
      </c>
      <c r="BX399" s="361"/>
      <c r="BY399" s="362"/>
      <c r="BZ399" s="363"/>
      <c r="CA399" s="363"/>
      <c r="CB399" s="363"/>
      <c r="CC399" s="363"/>
    </row>
    <row r="400" spans="2:81" ht="22.5" customHeight="1">
      <c r="B400" s="365">
        <v>260110</v>
      </c>
      <c r="C400" s="366" t="s">
        <v>602</v>
      </c>
      <c r="D400" s="367"/>
      <c r="E400" s="368"/>
      <c r="F400" s="321" t="s">
        <v>308</v>
      </c>
      <c r="G400" s="326" t="s">
        <v>1984</v>
      </c>
      <c r="H400" s="326" t="s">
        <v>1976</v>
      </c>
      <c r="I400" s="326" t="s">
        <v>11</v>
      </c>
      <c r="J400" s="326" t="s">
        <v>387</v>
      </c>
      <c r="K400" s="326" t="s">
        <v>804</v>
      </c>
      <c r="L400" s="323"/>
      <c r="M400" s="374"/>
      <c r="N400" s="325" t="s">
        <v>438</v>
      </c>
      <c r="O400" s="327" t="s">
        <v>210</v>
      </c>
      <c r="P400" s="327" t="s">
        <v>210</v>
      </c>
      <c r="Q400" s="369" t="s">
        <v>210</v>
      </c>
      <c r="R400" s="329" t="s">
        <v>552</v>
      </c>
      <c r="S400" s="330"/>
      <c r="T400" s="330"/>
      <c r="U400" s="330"/>
      <c r="V400" s="330"/>
      <c r="W400" s="332" t="s">
        <v>514</v>
      </c>
      <c r="X400" s="331" t="s">
        <v>13687</v>
      </c>
      <c r="Y400" s="331" t="s">
        <v>11233</v>
      </c>
      <c r="Z400" s="331" t="s">
        <v>11234</v>
      </c>
      <c r="AA400" s="331" t="s">
        <v>11235</v>
      </c>
      <c r="AB400" s="333"/>
      <c r="AC400" s="416"/>
      <c r="AD400" s="375"/>
      <c r="AE400" s="335" t="s">
        <v>337</v>
      </c>
      <c r="AF400" s="706">
        <v>41738</v>
      </c>
      <c r="AG400" s="337"/>
      <c r="AH400" s="417" t="s">
        <v>210</v>
      </c>
      <c r="AI400" s="392" t="s">
        <v>210</v>
      </c>
      <c r="AJ400" s="392" t="s">
        <v>210</v>
      </c>
      <c r="AK400" s="340" t="s">
        <v>210</v>
      </c>
      <c r="AL400" s="321" t="s">
        <v>210</v>
      </c>
      <c r="AM400" s="392" t="s">
        <v>15</v>
      </c>
      <c r="AN400" s="392" t="s">
        <v>15</v>
      </c>
      <c r="AO400" s="341" t="s">
        <v>15</v>
      </c>
      <c r="AP400" s="342"/>
      <c r="AQ400" s="343"/>
      <c r="AR400" s="370">
        <v>1260</v>
      </c>
      <c r="AS400" s="326">
        <v>100</v>
      </c>
      <c r="AT400" s="392">
        <v>1</v>
      </c>
      <c r="AU400" s="392"/>
      <c r="AV400" s="392">
        <v>1.8</v>
      </c>
      <c r="AW400" s="340"/>
      <c r="AX400" s="347"/>
      <c r="AY400" s="348"/>
      <c r="AZ400" s="377"/>
      <c r="BA400" s="374"/>
      <c r="BB400" s="374"/>
      <c r="BC400" s="374"/>
      <c r="BD400" s="374"/>
      <c r="BE400" s="374"/>
      <c r="BF400" s="374"/>
      <c r="BG400" s="374"/>
      <c r="BH400" s="378"/>
      <c r="BI400" s="376"/>
      <c r="BJ400" s="379"/>
      <c r="BK400" s="380"/>
      <c r="BL400" s="348"/>
      <c r="BM400" s="381"/>
      <c r="BN400" s="321" t="s">
        <v>14</v>
      </c>
      <c r="BO400" s="372"/>
      <c r="BP400" s="373" t="s">
        <v>15</v>
      </c>
      <c r="BQ400" s="360"/>
      <c r="BR400" s="361"/>
      <c r="BS400" s="361"/>
      <c r="BT400" s="361"/>
      <c r="BU400" s="342" t="s">
        <v>210</v>
      </c>
      <c r="BV400" s="342" t="s">
        <v>210</v>
      </c>
      <c r="BW400" s="341" t="s">
        <v>15</v>
      </c>
      <c r="BX400" s="361"/>
      <c r="BY400" s="362"/>
      <c r="BZ400" s="363"/>
      <c r="CA400" s="363"/>
      <c r="CB400" s="363"/>
      <c r="CC400" s="363"/>
    </row>
    <row r="401" spans="2:81" ht="22.5" customHeight="1">
      <c r="B401" s="365">
        <v>260111</v>
      </c>
      <c r="C401" s="366" t="s">
        <v>1032</v>
      </c>
      <c r="D401" s="419"/>
      <c r="E401" s="368"/>
      <c r="F401" s="321" t="s">
        <v>897</v>
      </c>
      <c r="G401" s="326" t="s">
        <v>1763</v>
      </c>
      <c r="H401" s="326" t="s">
        <v>1983</v>
      </c>
      <c r="I401" s="326" t="s">
        <v>11</v>
      </c>
      <c r="J401" s="326" t="s">
        <v>399</v>
      </c>
      <c r="K401" s="326" t="s">
        <v>247</v>
      </c>
      <c r="L401" s="323"/>
      <c r="M401" s="374"/>
      <c r="N401" s="325" t="s">
        <v>437</v>
      </c>
      <c r="O401" s="326" t="s">
        <v>841</v>
      </c>
      <c r="P401" s="327" t="s">
        <v>841</v>
      </c>
      <c r="Q401" s="369">
        <v>1019.92</v>
      </c>
      <c r="R401" s="329" t="s">
        <v>2999</v>
      </c>
      <c r="S401" s="331" t="s">
        <v>12960</v>
      </c>
      <c r="T401" s="330"/>
      <c r="U401" s="330"/>
      <c r="V401" s="331" t="s">
        <v>12961</v>
      </c>
      <c r="W401" s="332" t="s">
        <v>3000</v>
      </c>
      <c r="X401" s="331" t="s">
        <v>12960</v>
      </c>
      <c r="Y401" s="330"/>
      <c r="Z401" s="330"/>
      <c r="AA401" s="331" t="s">
        <v>12961</v>
      </c>
      <c r="AB401" s="333"/>
      <c r="AC401" s="333"/>
      <c r="AD401" s="334" t="s">
        <v>925</v>
      </c>
      <c r="AE401" s="335" t="s">
        <v>210</v>
      </c>
      <c r="AF401" s="706">
        <v>41714</v>
      </c>
      <c r="AG401" s="705">
        <v>41890</v>
      </c>
      <c r="AH401" s="417" t="s">
        <v>210</v>
      </c>
      <c r="AI401" s="392" t="s">
        <v>210</v>
      </c>
      <c r="AJ401" s="392" t="s">
        <v>210</v>
      </c>
      <c r="AK401" s="340" t="s">
        <v>210</v>
      </c>
      <c r="AL401" s="321" t="s">
        <v>210</v>
      </c>
      <c r="AM401" s="392" t="s">
        <v>15</v>
      </c>
      <c r="AN401" s="392" t="s">
        <v>15</v>
      </c>
      <c r="AO401" s="341" t="s">
        <v>15</v>
      </c>
      <c r="AP401" s="342"/>
      <c r="AQ401" s="343"/>
      <c r="AR401" s="370">
        <v>1538</v>
      </c>
      <c r="AS401" s="326">
        <v>100</v>
      </c>
      <c r="AT401" s="392">
        <v>1</v>
      </c>
      <c r="AU401" s="392"/>
      <c r="AV401" s="392">
        <v>1.5</v>
      </c>
      <c r="AW401" s="340"/>
      <c r="AX401" s="347"/>
      <c r="AY401" s="348"/>
      <c r="AZ401" s="377"/>
      <c r="BA401" s="374"/>
      <c r="BB401" s="374"/>
      <c r="BC401" s="374"/>
      <c r="BD401" s="374"/>
      <c r="BE401" s="374"/>
      <c r="BF401" s="374"/>
      <c r="BG401" s="374"/>
      <c r="BH401" s="378"/>
      <c r="BI401" s="376"/>
      <c r="BJ401" s="379"/>
      <c r="BK401" s="380"/>
      <c r="BL401" s="348"/>
      <c r="BM401" s="381"/>
      <c r="BN401" s="321" t="s">
        <v>14</v>
      </c>
      <c r="BO401" s="372"/>
      <c r="BP401" s="373" t="s">
        <v>14</v>
      </c>
      <c r="BQ401" s="360"/>
      <c r="BR401" s="361"/>
      <c r="BS401" s="361"/>
      <c r="BT401" s="361"/>
      <c r="BU401" s="342" t="s">
        <v>210</v>
      </c>
      <c r="BV401" s="342" t="s">
        <v>210</v>
      </c>
      <c r="BW401" s="341" t="s">
        <v>15</v>
      </c>
      <c r="BX401" s="361"/>
      <c r="BY401" s="362"/>
      <c r="BZ401" s="363"/>
      <c r="CA401" s="363"/>
      <c r="CB401" s="363"/>
      <c r="CC401" s="363"/>
    </row>
    <row r="402" spans="2:81" ht="22.5" customHeight="1">
      <c r="B402" s="365">
        <v>260112</v>
      </c>
      <c r="C402" s="366" t="s">
        <v>900</v>
      </c>
      <c r="D402" s="367"/>
      <c r="E402" s="368"/>
      <c r="F402" s="321" t="s">
        <v>265</v>
      </c>
      <c r="G402" s="326" t="s">
        <v>1981</v>
      </c>
      <c r="H402" s="326" t="s">
        <v>1982</v>
      </c>
      <c r="I402" s="326" t="s">
        <v>11</v>
      </c>
      <c r="J402" s="326" t="s">
        <v>399</v>
      </c>
      <c r="K402" s="326" t="s">
        <v>223</v>
      </c>
      <c r="L402" s="323"/>
      <c r="M402" s="324" t="s">
        <v>10767</v>
      </c>
      <c r="N402" s="325" t="s">
        <v>840</v>
      </c>
      <c r="O402" s="326">
        <v>29</v>
      </c>
      <c r="P402" s="327">
        <v>577.45000000000005</v>
      </c>
      <c r="Q402" s="369">
        <v>596.92499999999995</v>
      </c>
      <c r="R402" s="329" t="s">
        <v>721</v>
      </c>
      <c r="S402" s="331" t="s">
        <v>13910</v>
      </c>
      <c r="T402" s="330"/>
      <c r="U402" s="330"/>
      <c r="V402" s="331" t="s">
        <v>13878</v>
      </c>
      <c r="W402" s="332" t="s">
        <v>432</v>
      </c>
      <c r="X402" s="331" t="s">
        <v>11079</v>
      </c>
      <c r="Y402" s="331" t="s">
        <v>11080</v>
      </c>
      <c r="Z402" s="331" t="s">
        <v>11080</v>
      </c>
      <c r="AA402" s="331" t="s">
        <v>997</v>
      </c>
      <c r="AB402" s="333"/>
      <c r="AC402" s="333"/>
      <c r="AD402" s="334" t="s">
        <v>722</v>
      </c>
      <c r="AE402" s="335" t="s">
        <v>930</v>
      </c>
      <c r="AF402" s="706">
        <v>41774</v>
      </c>
      <c r="AG402" s="705">
        <v>41877</v>
      </c>
      <c r="AH402" s="417">
        <v>10.8</v>
      </c>
      <c r="AI402" s="392">
        <v>16.2</v>
      </c>
      <c r="AJ402" s="392">
        <v>7.3</v>
      </c>
      <c r="AK402" s="340">
        <f>SUM(AH402:AJ402)</f>
        <v>34.299999999999997</v>
      </c>
      <c r="AL402" s="321" t="s">
        <v>210</v>
      </c>
      <c r="AM402" s="392" t="s">
        <v>15</v>
      </c>
      <c r="AN402" s="392" t="s">
        <v>15</v>
      </c>
      <c r="AO402" s="341" t="s">
        <v>15</v>
      </c>
      <c r="AP402" s="342"/>
      <c r="AQ402" s="343"/>
      <c r="AR402" s="370">
        <v>681</v>
      </c>
      <c r="AS402" s="326">
        <v>100</v>
      </c>
      <c r="AT402" s="392">
        <v>1</v>
      </c>
      <c r="AU402" s="392"/>
      <c r="AV402" s="392">
        <v>1.5</v>
      </c>
      <c r="AW402" s="340"/>
      <c r="AX402" s="347"/>
      <c r="AY402" s="348"/>
      <c r="AZ402" s="377"/>
      <c r="BA402" s="374"/>
      <c r="BB402" s="374"/>
      <c r="BC402" s="374"/>
      <c r="BD402" s="374"/>
      <c r="BE402" s="374"/>
      <c r="BF402" s="374"/>
      <c r="BG402" s="374"/>
      <c r="BH402" s="378"/>
      <c r="BI402" s="376"/>
      <c r="BJ402" s="379"/>
      <c r="BK402" s="380"/>
      <c r="BL402" s="348"/>
      <c r="BM402" s="381"/>
      <c r="BN402" s="321" t="s">
        <v>210</v>
      </c>
      <c r="BO402" s="372"/>
      <c r="BP402" s="340" t="s">
        <v>15</v>
      </c>
      <c r="BQ402" s="360"/>
      <c r="BR402" s="361"/>
      <c r="BS402" s="361"/>
      <c r="BT402" s="361"/>
      <c r="BU402" s="342" t="s">
        <v>210</v>
      </c>
      <c r="BV402" s="342" t="s">
        <v>210</v>
      </c>
      <c r="BW402" s="341" t="s">
        <v>15</v>
      </c>
      <c r="BX402" s="361"/>
      <c r="BY402" s="362" t="s">
        <v>3075</v>
      </c>
      <c r="BZ402" s="363"/>
      <c r="CA402" s="363"/>
      <c r="CB402" s="363"/>
      <c r="CC402" s="363"/>
    </row>
    <row r="403" spans="2:81" ht="21.75" customHeight="1">
      <c r="B403" s="365">
        <v>260113</v>
      </c>
      <c r="C403" s="366" t="s">
        <v>901</v>
      </c>
      <c r="D403" s="419"/>
      <c r="E403" s="368"/>
      <c r="F403" s="321" t="s">
        <v>839</v>
      </c>
      <c r="G403" s="326" t="s">
        <v>1979</v>
      </c>
      <c r="H403" s="326" t="s">
        <v>1980</v>
      </c>
      <c r="I403" s="326" t="s">
        <v>11</v>
      </c>
      <c r="J403" s="326" t="s">
        <v>387</v>
      </c>
      <c r="K403" s="326" t="s">
        <v>911</v>
      </c>
      <c r="L403" s="323"/>
      <c r="M403" s="374"/>
      <c r="N403" s="325" t="s">
        <v>918</v>
      </c>
      <c r="O403" s="327" t="s">
        <v>210</v>
      </c>
      <c r="P403" s="327" t="s">
        <v>210</v>
      </c>
      <c r="Q403" s="369" t="s">
        <v>210</v>
      </c>
      <c r="R403" s="329" t="s">
        <v>909</v>
      </c>
      <c r="S403" s="330"/>
      <c r="T403" s="330"/>
      <c r="U403" s="330"/>
      <c r="V403" s="330"/>
      <c r="W403" s="332" t="s">
        <v>514</v>
      </c>
      <c r="X403" s="331" t="s">
        <v>13687</v>
      </c>
      <c r="Y403" s="331" t="s">
        <v>11233</v>
      </c>
      <c r="Z403" s="331" t="s">
        <v>11234</v>
      </c>
      <c r="AA403" s="331" t="s">
        <v>11235</v>
      </c>
      <c r="AB403" s="333"/>
      <c r="AC403" s="333"/>
      <c r="AD403" s="334" t="s">
        <v>938</v>
      </c>
      <c r="AE403" s="335" t="s">
        <v>1447</v>
      </c>
      <c r="AF403" s="706">
        <v>41812</v>
      </c>
      <c r="AG403" s="705">
        <v>41824</v>
      </c>
      <c r="AH403" s="417" t="s">
        <v>210</v>
      </c>
      <c r="AI403" s="392" t="s">
        <v>210</v>
      </c>
      <c r="AJ403" s="392" t="s">
        <v>210</v>
      </c>
      <c r="AK403" s="340" t="s">
        <v>210</v>
      </c>
      <c r="AL403" s="417" t="s">
        <v>210</v>
      </c>
      <c r="AM403" s="392" t="s">
        <v>210</v>
      </c>
      <c r="AN403" s="392" t="s">
        <v>210</v>
      </c>
      <c r="AO403" s="341" t="s">
        <v>210</v>
      </c>
      <c r="AP403" s="342"/>
      <c r="AQ403" s="343"/>
      <c r="AR403" s="370">
        <v>97</v>
      </c>
      <c r="AS403" s="326">
        <v>100</v>
      </c>
      <c r="AT403" s="392">
        <v>1</v>
      </c>
      <c r="AU403" s="392"/>
      <c r="AV403" s="392">
        <v>1.5</v>
      </c>
      <c r="AW403" s="340"/>
      <c r="AX403" s="347"/>
      <c r="AY403" s="348"/>
      <c r="AZ403" s="377"/>
      <c r="BA403" s="374"/>
      <c r="BB403" s="374"/>
      <c r="BC403" s="374"/>
      <c r="BD403" s="374"/>
      <c r="BE403" s="374"/>
      <c r="BF403" s="374"/>
      <c r="BG403" s="374"/>
      <c r="BH403" s="378"/>
      <c r="BI403" s="376"/>
      <c r="BJ403" s="379"/>
      <c r="BK403" s="380"/>
      <c r="BL403" s="348"/>
      <c r="BM403" s="381"/>
      <c r="BN403" s="321" t="s">
        <v>210</v>
      </c>
      <c r="BO403" s="372"/>
      <c r="BP403" s="340" t="s">
        <v>15</v>
      </c>
      <c r="BQ403" s="360"/>
      <c r="BR403" s="361"/>
      <c r="BS403" s="361"/>
      <c r="BT403" s="361"/>
      <c r="BU403" s="342" t="s">
        <v>210</v>
      </c>
      <c r="BV403" s="342" t="s">
        <v>210</v>
      </c>
      <c r="BW403" s="341" t="s">
        <v>15</v>
      </c>
      <c r="BX403" s="361"/>
      <c r="BY403" s="362"/>
      <c r="BZ403" s="363"/>
      <c r="CA403" s="363"/>
      <c r="CB403" s="363"/>
      <c r="CC403" s="363"/>
    </row>
    <row r="404" spans="2:81" ht="22.5" customHeight="1">
      <c r="B404" s="365">
        <v>260114</v>
      </c>
      <c r="C404" s="366" t="s">
        <v>13909</v>
      </c>
      <c r="D404" s="419"/>
      <c r="E404" s="368"/>
      <c r="F404" s="321" t="s">
        <v>913</v>
      </c>
      <c r="G404" s="326" t="s">
        <v>1897</v>
      </c>
      <c r="H404" s="326" t="s">
        <v>1898</v>
      </c>
      <c r="I404" s="326" t="s">
        <v>11</v>
      </c>
      <c r="J404" s="326" t="s">
        <v>399</v>
      </c>
      <c r="K404" s="326" t="s">
        <v>247</v>
      </c>
      <c r="L404" s="323"/>
      <c r="M404" s="374"/>
      <c r="N404" s="325" t="s">
        <v>437</v>
      </c>
      <c r="O404" s="326">
        <v>30</v>
      </c>
      <c r="P404" s="327" t="s">
        <v>210</v>
      </c>
      <c r="Q404" s="369" t="s">
        <v>210</v>
      </c>
      <c r="R404" s="329" t="s">
        <v>910</v>
      </c>
      <c r="S404" s="331" t="s">
        <v>13483</v>
      </c>
      <c r="T404" s="331" t="s">
        <v>13484</v>
      </c>
      <c r="U404" s="331" t="s">
        <v>16222</v>
      </c>
      <c r="V404" s="331" t="s">
        <v>13485</v>
      </c>
      <c r="W404" s="332" t="s">
        <v>432</v>
      </c>
      <c r="X404" s="331" t="s">
        <v>11079</v>
      </c>
      <c r="Y404" s="331" t="s">
        <v>11080</v>
      </c>
      <c r="Z404" s="331" t="s">
        <v>11080</v>
      </c>
      <c r="AA404" s="331" t="s">
        <v>997</v>
      </c>
      <c r="AB404" s="416" t="s">
        <v>16099</v>
      </c>
      <c r="AC404" s="416"/>
      <c r="AD404" s="334" t="s">
        <v>1073</v>
      </c>
      <c r="AE404" s="335" t="s">
        <v>210</v>
      </c>
      <c r="AF404" s="706">
        <v>41819</v>
      </c>
      <c r="AG404" s="705">
        <v>42023</v>
      </c>
      <c r="AH404" s="376"/>
      <c r="AI404" s="347"/>
      <c r="AJ404" s="347"/>
      <c r="AK404" s="371"/>
      <c r="AL404" s="417" t="s">
        <v>210</v>
      </c>
      <c r="AM404" s="392" t="s">
        <v>210</v>
      </c>
      <c r="AN404" s="392" t="s">
        <v>210</v>
      </c>
      <c r="AO404" s="341" t="s">
        <v>210</v>
      </c>
      <c r="AP404" s="342"/>
      <c r="AQ404" s="343"/>
      <c r="AR404" s="370">
        <v>2267</v>
      </c>
      <c r="AS404" s="326">
        <v>100</v>
      </c>
      <c r="AT404" s="392">
        <v>1</v>
      </c>
      <c r="AU404" s="392"/>
      <c r="AV404" s="392">
        <v>1</v>
      </c>
      <c r="AW404" s="340"/>
      <c r="AX404" s="347"/>
      <c r="AY404" s="348"/>
      <c r="AZ404" s="377"/>
      <c r="BA404" s="374"/>
      <c r="BB404" s="374"/>
      <c r="BC404" s="374"/>
      <c r="BD404" s="374"/>
      <c r="BE404" s="374"/>
      <c r="BF404" s="374"/>
      <c r="BG404" s="374"/>
      <c r="BH404" s="378"/>
      <c r="BI404" s="376"/>
      <c r="BJ404" s="379"/>
      <c r="BK404" s="380"/>
      <c r="BL404" s="348"/>
      <c r="BM404" s="381"/>
      <c r="BN404" s="321" t="s">
        <v>14</v>
      </c>
      <c r="BO404" s="372"/>
      <c r="BP404" s="340" t="s">
        <v>15</v>
      </c>
      <c r="BQ404" s="360"/>
      <c r="BR404" s="361"/>
      <c r="BS404" s="361"/>
      <c r="BT404" s="361"/>
      <c r="BU404" s="342" t="s">
        <v>210</v>
      </c>
      <c r="BV404" s="342" t="s">
        <v>210</v>
      </c>
      <c r="BW404" s="341" t="s">
        <v>15</v>
      </c>
      <c r="BX404" s="361"/>
      <c r="BY404" s="362"/>
      <c r="BZ404" s="363"/>
      <c r="CA404" s="363"/>
      <c r="CB404" s="363"/>
      <c r="CC404" s="363"/>
    </row>
    <row r="405" spans="2:81" ht="22.5" customHeight="1">
      <c r="B405" s="365">
        <v>260115</v>
      </c>
      <c r="C405" s="366" t="s">
        <v>907</v>
      </c>
      <c r="D405" s="419"/>
      <c r="E405" s="368"/>
      <c r="F405" s="321" t="s">
        <v>759</v>
      </c>
      <c r="G405" s="326" t="s">
        <v>1977</v>
      </c>
      <c r="H405" s="326" t="s">
        <v>1978</v>
      </c>
      <c r="I405" s="326" t="s">
        <v>11</v>
      </c>
      <c r="J405" s="326" t="s">
        <v>12</v>
      </c>
      <c r="K405" s="326" t="s">
        <v>10</v>
      </c>
      <c r="L405" s="323"/>
      <c r="M405" s="324" t="s">
        <v>10767</v>
      </c>
      <c r="N405" s="325" t="s">
        <v>437</v>
      </c>
      <c r="O405" s="326">
        <v>100</v>
      </c>
      <c r="P405" s="327">
        <v>1165.8499999999999</v>
      </c>
      <c r="Q405" s="369">
        <v>1221.8499999999999</v>
      </c>
      <c r="R405" s="329" t="s">
        <v>486</v>
      </c>
      <c r="S405" s="331" t="s">
        <v>11299</v>
      </c>
      <c r="T405" s="331" t="s">
        <v>11301</v>
      </c>
      <c r="U405" s="331" t="s">
        <v>11300</v>
      </c>
      <c r="V405" s="331" t="s">
        <v>11302</v>
      </c>
      <c r="W405" s="332" t="s">
        <v>432</v>
      </c>
      <c r="X405" s="331" t="s">
        <v>11079</v>
      </c>
      <c r="Y405" s="331" t="s">
        <v>11080</v>
      </c>
      <c r="Z405" s="331" t="s">
        <v>11080</v>
      </c>
      <c r="AA405" s="331" t="s">
        <v>997</v>
      </c>
      <c r="AB405" s="333"/>
      <c r="AC405" s="333"/>
      <c r="AD405" s="334" t="s">
        <v>2322</v>
      </c>
      <c r="AE405" s="335" t="s">
        <v>956</v>
      </c>
      <c r="AF405" s="706">
        <v>41836</v>
      </c>
      <c r="AG405" s="705">
        <v>41886</v>
      </c>
      <c r="AH405" s="417">
        <v>12.8</v>
      </c>
      <c r="AI405" s="392">
        <v>29.4</v>
      </c>
      <c r="AJ405" s="392">
        <v>16.2</v>
      </c>
      <c r="AK405" s="340">
        <f>SUM(AH405:AJ405)</f>
        <v>58.400000000000006</v>
      </c>
      <c r="AL405" s="417" t="s">
        <v>210</v>
      </c>
      <c r="AM405" s="392" t="s">
        <v>210</v>
      </c>
      <c r="AN405" s="392" t="s">
        <v>210</v>
      </c>
      <c r="AO405" s="341" t="s">
        <v>210</v>
      </c>
      <c r="AP405" s="342"/>
      <c r="AQ405" s="343"/>
      <c r="AR405" s="370">
        <v>1467</v>
      </c>
      <c r="AS405" s="326">
        <v>100</v>
      </c>
      <c r="AT405" s="392">
        <v>0.6</v>
      </c>
      <c r="AU405" s="392"/>
      <c r="AV405" s="392">
        <v>0.6</v>
      </c>
      <c r="AW405" s="340"/>
      <c r="AX405" s="347"/>
      <c r="AY405" s="348"/>
      <c r="AZ405" s="377"/>
      <c r="BA405" s="374"/>
      <c r="BB405" s="374"/>
      <c r="BC405" s="374"/>
      <c r="BD405" s="374"/>
      <c r="BE405" s="374"/>
      <c r="BF405" s="374"/>
      <c r="BG405" s="374"/>
      <c r="BH405" s="378"/>
      <c r="BI405" s="376"/>
      <c r="BJ405" s="379"/>
      <c r="BK405" s="380"/>
      <c r="BL405" s="348"/>
      <c r="BM405" s="381"/>
      <c r="BN405" s="321" t="s">
        <v>210</v>
      </c>
      <c r="BO405" s="372"/>
      <c r="BP405" s="373" t="s">
        <v>14</v>
      </c>
      <c r="BQ405" s="360"/>
      <c r="BR405" s="361"/>
      <c r="BS405" s="361"/>
      <c r="BT405" s="361"/>
      <c r="BU405" s="342" t="s">
        <v>210</v>
      </c>
      <c r="BV405" s="342" t="s">
        <v>210</v>
      </c>
      <c r="BW405" s="341" t="s">
        <v>15</v>
      </c>
      <c r="BX405" s="361"/>
      <c r="BY405" s="362"/>
      <c r="BZ405" s="363"/>
      <c r="CA405" s="363"/>
      <c r="CB405" s="363"/>
      <c r="CC405" s="363"/>
    </row>
    <row r="406" spans="2:81" ht="22.5" customHeight="1">
      <c r="B406" s="365">
        <v>260116</v>
      </c>
      <c r="C406" s="366" t="s">
        <v>908</v>
      </c>
      <c r="D406" s="419"/>
      <c r="E406" s="368"/>
      <c r="F406" s="321" t="s">
        <v>483</v>
      </c>
      <c r="G406" s="326" t="s">
        <v>1975</v>
      </c>
      <c r="H406" s="326" t="s">
        <v>1976</v>
      </c>
      <c r="I406" s="326" t="s">
        <v>11</v>
      </c>
      <c r="J406" s="326" t="s">
        <v>399</v>
      </c>
      <c r="K406" s="326" t="s">
        <v>806</v>
      </c>
      <c r="L406" s="323"/>
      <c r="M406" s="374"/>
      <c r="N406" s="325" t="s">
        <v>912</v>
      </c>
      <c r="O406" s="326">
        <v>150</v>
      </c>
      <c r="P406" s="327" t="s">
        <v>210</v>
      </c>
      <c r="Q406" s="369" t="s">
        <v>210</v>
      </c>
      <c r="R406" s="329" t="s">
        <v>1093</v>
      </c>
      <c r="S406" s="332" t="s">
        <v>12863</v>
      </c>
      <c r="T406" s="332" t="s">
        <v>12864</v>
      </c>
      <c r="U406" s="332" t="s">
        <v>16419</v>
      </c>
      <c r="V406" s="332" t="s">
        <v>12865</v>
      </c>
      <c r="W406" s="332" t="s">
        <v>432</v>
      </c>
      <c r="X406" s="331" t="s">
        <v>11079</v>
      </c>
      <c r="Y406" s="331" t="s">
        <v>11080</v>
      </c>
      <c r="Z406" s="331" t="s">
        <v>11080</v>
      </c>
      <c r="AA406" s="331" t="s">
        <v>997</v>
      </c>
      <c r="AB406" s="333"/>
      <c r="AC406" s="333"/>
      <c r="AD406" s="334" t="s">
        <v>965</v>
      </c>
      <c r="AE406" s="335" t="s">
        <v>1002</v>
      </c>
      <c r="AF406" s="706">
        <v>41834</v>
      </c>
      <c r="AG406" s="705">
        <v>41913</v>
      </c>
      <c r="AH406" s="417">
        <v>14</v>
      </c>
      <c r="AI406" s="392">
        <v>43.1</v>
      </c>
      <c r="AJ406" s="392">
        <v>26.6</v>
      </c>
      <c r="AK406" s="340">
        <f>SUM(AH406:AJ406)</f>
        <v>83.7</v>
      </c>
      <c r="AL406" s="417" t="s">
        <v>210</v>
      </c>
      <c r="AM406" s="392" t="s">
        <v>210</v>
      </c>
      <c r="AN406" s="392" t="s">
        <v>210</v>
      </c>
      <c r="AO406" s="341" t="s">
        <v>210</v>
      </c>
      <c r="AP406" s="342"/>
      <c r="AQ406" s="343"/>
      <c r="AR406" s="370">
        <v>1085</v>
      </c>
      <c r="AS406" s="326">
        <v>100</v>
      </c>
      <c r="AT406" s="392">
        <v>1</v>
      </c>
      <c r="AU406" s="392"/>
      <c r="AV406" s="392">
        <v>1.2</v>
      </c>
      <c r="AW406" s="340"/>
      <c r="AX406" s="347"/>
      <c r="AY406" s="348"/>
      <c r="AZ406" s="377"/>
      <c r="BA406" s="374"/>
      <c r="BB406" s="374"/>
      <c r="BC406" s="374"/>
      <c r="BD406" s="374"/>
      <c r="BE406" s="374"/>
      <c r="BF406" s="374"/>
      <c r="BG406" s="374"/>
      <c r="BH406" s="378"/>
      <c r="BI406" s="376"/>
      <c r="BJ406" s="379"/>
      <c r="BK406" s="380"/>
      <c r="BL406" s="348"/>
      <c r="BM406" s="381"/>
      <c r="BN406" s="321" t="s">
        <v>14</v>
      </c>
      <c r="BO406" s="372"/>
      <c r="BP406" s="340" t="s">
        <v>15</v>
      </c>
      <c r="BQ406" s="360"/>
      <c r="BR406" s="361"/>
      <c r="BS406" s="361"/>
      <c r="BT406" s="361"/>
      <c r="BU406" s="342" t="s">
        <v>210</v>
      </c>
      <c r="BV406" s="342" t="s">
        <v>210</v>
      </c>
      <c r="BW406" s="341" t="s">
        <v>15</v>
      </c>
      <c r="BX406" s="361"/>
      <c r="BY406" s="362"/>
      <c r="BZ406" s="363"/>
      <c r="CA406" s="363"/>
      <c r="CB406" s="363"/>
      <c r="CC406" s="363"/>
    </row>
    <row r="407" spans="2:81" ht="22.5" customHeight="1">
      <c r="B407" s="365">
        <v>260117</v>
      </c>
      <c r="C407" s="366" t="s">
        <v>13902</v>
      </c>
      <c r="D407" s="419"/>
      <c r="E407" s="368"/>
      <c r="F407" s="321" t="s">
        <v>243</v>
      </c>
      <c r="G407" s="326" t="s">
        <v>1973</v>
      </c>
      <c r="H407" s="326" t="s">
        <v>1974</v>
      </c>
      <c r="I407" s="326" t="s">
        <v>11</v>
      </c>
      <c r="J407" s="326" t="s">
        <v>387</v>
      </c>
      <c r="K407" s="326" t="s">
        <v>247</v>
      </c>
      <c r="L407" s="323"/>
      <c r="M407" s="374"/>
      <c r="N407" s="325" t="s">
        <v>438</v>
      </c>
      <c r="O407" s="327" t="s">
        <v>210</v>
      </c>
      <c r="P407" s="327" t="s">
        <v>210</v>
      </c>
      <c r="Q407" s="369" t="s">
        <v>210</v>
      </c>
      <c r="R407" s="329" t="s">
        <v>919</v>
      </c>
      <c r="S407" s="331" t="s">
        <v>13903</v>
      </c>
      <c r="T407" s="331" t="s">
        <v>13904</v>
      </c>
      <c r="U407" s="331" t="s">
        <v>16466</v>
      </c>
      <c r="V407" s="331" t="s">
        <v>13905</v>
      </c>
      <c r="W407" s="332" t="s">
        <v>554</v>
      </c>
      <c r="X407" s="331" t="s">
        <v>13906</v>
      </c>
      <c r="Y407" s="331" t="s">
        <v>13907</v>
      </c>
      <c r="Z407" s="331" t="s">
        <v>16508</v>
      </c>
      <c r="AA407" s="331" t="s">
        <v>13908</v>
      </c>
      <c r="AB407" s="333"/>
      <c r="AC407" s="333"/>
      <c r="AD407" s="334" t="s">
        <v>2332</v>
      </c>
      <c r="AE407" s="335" t="s">
        <v>1466</v>
      </c>
      <c r="AF407" s="706">
        <v>41813</v>
      </c>
      <c r="AG407" s="705">
        <v>42044</v>
      </c>
      <c r="AH407" s="417" t="s">
        <v>210</v>
      </c>
      <c r="AI407" s="392" t="s">
        <v>210</v>
      </c>
      <c r="AJ407" s="392" t="s">
        <v>210</v>
      </c>
      <c r="AK407" s="340" t="s">
        <v>210</v>
      </c>
      <c r="AL407" s="417" t="s">
        <v>210</v>
      </c>
      <c r="AM407" s="392" t="s">
        <v>210</v>
      </c>
      <c r="AN407" s="392" t="s">
        <v>210</v>
      </c>
      <c r="AO407" s="341" t="s">
        <v>210</v>
      </c>
      <c r="AP407" s="342"/>
      <c r="AQ407" s="343"/>
      <c r="AR407" s="370">
        <v>2255</v>
      </c>
      <c r="AS407" s="326">
        <v>150</v>
      </c>
      <c r="AT407" s="392">
        <v>1</v>
      </c>
      <c r="AU407" s="392"/>
      <c r="AV407" s="392">
        <v>1.5</v>
      </c>
      <c r="AW407" s="340"/>
      <c r="AX407" s="347"/>
      <c r="AY407" s="348"/>
      <c r="AZ407" s="377"/>
      <c r="BA407" s="374"/>
      <c r="BB407" s="374"/>
      <c r="BC407" s="374"/>
      <c r="BD407" s="374"/>
      <c r="BE407" s="374"/>
      <c r="BF407" s="374"/>
      <c r="BG407" s="374"/>
      <c r="BH407" s="378"/>
      <c r="BI407" s="376"/>
      <c r="BJ407" s="379"/>
      <c r="BK407" s="380"/>
      <c r="BL407" s="348"/>
      <c r="BM407" s="381"/>
      <c r="BN407" s="321" t="s">
        <v>210</v>
      </c>
      <c r="BO407" s="372"/>
      <c r="BP407" s="340" t="s">
        <v>15</v>
      </c>
      <c r="BQ407" s="360"/>
      <c r="BR407" s="361"/>
      <c r="BS407" s="361"/>
      <c r="BT407" s="361"/>
      <c r="BU407" s="342" t="s">
        <v>210</v>
      </c>
      <c r="BV407" s="342" t="s">
        <v>210</v>
      </c>
      <c r="BW407" s="341" t="s">
        <v>15</v>
      </c>
      <c r="BX407" s="361"/>
      <c r="BY407" s="362" t="s">
        <v>17783</v>
      </c>
      <c r="BZ407" s="363"/>
      <c r="CA407" s="363"/>
      <c r="CB407" s="363"/>
      <c r="CC407" s="363"/>
    </row>
    <row r="408" spans="2:81" ht="22.5" customHeight="1">
      <c r="B408" s="365">
        <v>260118</v>
      </c>
      <c r="C408" s="366" t="s">
        <v>13897</v>
      </c>
      <c r="D408" s="419"/>
      <c r="E408" s="368"/>
      <c r="F408" s="321" t="s">
        <v>237</v>
      </c>
      <c r="G408" s="326" t="s">
        <v>1971</v>
      </c>
      <c r="H408" s="326" t="s">
        <v>1972</v>
      </c>
      <c r="I408" s="326" t="s">
        <v>11</v>
      </c>
      <c r="J408" s="326" t="s">
        <v>399</v>
      </c>
      <c r="K408" s="326" t="s">
        <v>247</v>
      </c>
      <c r="L408" s="323"/>
      <c r="M408" s="374"/>
      <c r="N408" s="325" t="s">
        <v>915</v>
      </c>
      <c r="O408" s="326">
        <v>99</v>
      </c>
      <c r="P408" s="327">
        <v>1273</v>
      </c>
      <c r="Q408" s="369">
        <v>1057.3399999999999</v>
      </c>
      <c r="R408" s="329" t="s">
        <v>600</v>
      </c>
      <c r="S408" s="331" t="s">
        <v>13898</v>
      </c>
      <c r="T408" s="331" t="s">
        <v>13900</v>
      </c>
      <c r="U408" s="331" t="s">
        <v>13899</v>
      </c>
      <c r="V408" s="331" t="s">
        <v>13901</v>
      </c>
      <c r="W408" s="332" t="s">
        <v>432</v>
      </c>
      <c r="X408" s="331" t="s">
        <v>11079</v>
      </c>
      <c r="Y408" s="331" t="s">
        <v>11080</v>
      </c>
      <c r="Z408" s="331" t="s">
        <v>11080</v>
      </c>
      <c r="AA408" s="331" t="s">
        <v>997</v>
      </c>
      <c r="AB408" s="333"/>
      <c r="AC408" s="416"/>
      <c r="AD408" s="375"/>
      <c r="AE408" s="335" t="s">
        <v>210</v>
      </c>
      <c r="AF408" s="706">
        <v>41733</v>
      </c>
      <c r="AG408" s="705">
        <v>41837</v>
      </c>
      <c r="AH408" s="417">
        <v>15.3</v>
      </c>
      <c r="AI408" s="392">
        <v>19.7</v>
      </c>
      <c r="AJ408" s="392">
        <v>12.8</v>
      </c>
      <c r="AK408" s="340">
        <f>SUM(AH408:AJ408)</f>
        <v>47.8</v>
      </c>
      <c r="AL408" s="417" t="s">
        <v>210</v>
      </c>
      <c r="AM408" s="392" t="s">
        <v>210</v>
      </c>
      <c r="AN408" s="392" t="s">
        <v>210</v>
      </c>
      <c r="AO408" s="341" t="s">
        <v>210</v>
      </c>
      <c r="AP408" s="342"/>
      <c r="AQ408" s="343"/>
      <c r="AR408" s="370">
        <v>999.26</v>
      </c>
      <c r="AS408" s="326">
        <v>80</v>
      </c>
      <c r="AT408" s="392">
        <v>1</v>
      </c>
      <c r="AU408" s="392"/>
      <c r="AV408" s="392">
        <v>1.5</v>
      </c>
      <c r="AW408" s="340"/>
      <c r="AX408" s="347"/>
      <c r="AY408" s="348"/>
      <c r="AZ408" s="377"/>
      <c r="BA408" s="374"/>
      <c r="BB408" s="374"/>
      <c r="BC408" s="374"/>
      <c r="BD408" s="374"/>
      <c r="BE408" s="374"/>
      <c r="BF408" s="374"/>
      <c r="BG408" s="374"/>
      <c r="BH408" s="378"/>
      <c r="BI408" s="376"/>
      <c r="BJ408" s="379"/>
      <c r="BK408" s="380"/>
      <c r="BL408" s="348"/>
      <c r="BM408" s="381"/>
      <c r="BN408" s="321" t="s">
        <v>14</v>
      </c>
      <c r="BO408" s="372"/>
      <c r="BP408" s="373" t="s">
        <v>14</v>
      </c>
      <c r="BQ408" s="360"/>
      <c r="BR408" s="361"/>
      <c r="BS408" s="361"/>
      <c r="BT408" s="361"/>
      <c r="BU408" s="342" t="s">
        <v>210</v>
      </c>
      <c r="BV408" s="342" t="s">
        <v>210</v>
      </c>
      <c r="BW408" s="341" t="s">
        <v>15</v>
      </c>
      <c r="BX408" s="361"/>
      <c r="BY408" s="362"/>
      <c r="BZ408" s="363"/>
      <c r="CA408" s="363"/>
      <c r="CB408" s="363"/>
      <c r="CC408" s="363"/>
    </row>
    <row r="409" spans="2:81" ht="22.5" customHeight="1">
      <c r="B409" s="365">
        <v>260119</v>
      </c>
      <c r="C409" s="366" t="s">
        <v>14077</v>
      </c>
      <c r="D409" s="419"/>
      <c r="E409" s="368"/>
      <c r="F409" s="321" t="s">
        <v>839</v>
      </c>
      <c r="G409" s="326" t="s">
        <v>1969</v>
      </c>
      <c r="H409" s="326" t="s">
        <v>1970</v>
      </c>
      <c r="I409" s="326" t="s">
        <v>11</v>
      </c>
      <c r="J409" s="326" t="s">
        <v>216</v>
      </c>
      <c r="K409" s="326" t="s">
        <v>806</v>
      </c>
      <c r="L409" s="323"/>
      <c r="M409" s="374"/>
      <c r="N409" s="325" t="s">
        <v>918</v>
      </c>
      <c r="O409" s="326" t="s">
        <v>210</v>
      </c>
      <c r="P409" s="327" t="s">
        <v>210</v>
      </c>
      <c r="Q409" s="369" t="s">
        <v>210</v>
      </c>
      <c r="R409" s="399"/>
      <c r="S409" s="400"/>
      <c r="T409" s="400"/>
      <c r="U409" s="400"/>
      <c r="V409" s="400"/>
      <c r="W409" s="332" t="s">
        <v>514</v>
      </c>
      <c r="X409" s="331" t="s">
        <v>13687</v>
      </c>
      <c r="Y409" s="331" t="s">
        <v>11233</v>
      </c>
      <c r="Z409" s="331" t="s">
        <v>11234</v>
      </c>
      <c r="AA409" s="331" t="s">
        <v>11235</v>
      </c>
      <c r="AB409" s="333"/>
      <c r="AC409" s="416"/>
      <c r="AD409" s="375"/>
      <c r="AE409" s="391"/>
      <c r="AF409" s="706">
        <v>41838</v>
      </c>
      <c r="AG409" s="705">
        <v>41858</v>
      </c>
      <c r="AH409" s="417" t="s">
        <v>210</v>
      </c>
      <c r="AI409" s="392" t="s">
        <v>210</v>
      </c>
      <c r="AJ409" s="392" t="s">
        <v>210</v>
      </c>
      <c r="AK409" s="340" t="s">
        <v>210</v>
      </c>
      <c r="AL409" s="417" t="s">
        <v>210</v>
      </c>
      <c r="AM409" s="392" t="s">
        <v>210</v>
      </c>
      <c r="AN409" s="392" t="s">
        <v>210</v>
      </c>
      <c r="AO409" s="341" t="s">
        <v>210</v>
      </c>
      <c r="AP409" s="342"/>
      <c r="AQ409" s="343"/>
      <c r="AR409" s="370">
        <v>1061</v>
      </c>
      <c r="AS409" s="326">
        <v>150</v>
      </c>
      <c r="AT409" s="392">
        <v>0.8</v>
      </c>
      <c r="AU409" s="392"/>
      <c r="AV409" s="392">
        <v>0.8</v>
      </c>
      <c r="AW409" s="340"/>
      <c r="AX409" s="347"/>
      <c r="AY409" s="348"/>
      <c r="AZ409" s="377"/>
      <c r="BA409" s="374"/>
      <c r="BB409" s="374"/>
      <c r="BC409" s="374"/>
      <c r="BD409" s="374"/>
      <c r="BE409" s="374"/>
      <c r="BF409" s="374"/>
      <c r="BG409" s="374"/>
      <c r="BH409" s="378"/>
      <c r="BI409" s="376"/>
      <c r="BJ409" s="379"/>
      <c r="BK409" s="380"/>
      <c r="BL409" s="348"/>
      <c r="BM409" s="381"/>
      <c r="BN409" s="321" t="s">
        <v>14</v>
      </c>
      <c r="BO409" s="372"/>
      <c r="BP409" s="373" t="s">
        <v>14</v>
      </c>
      <c r="BQ409" s="360"/>
      <c r="BR409" s="361"/>
      <c r="BS409" s="361"/>
      <c r="BT409" s="361"/>
      <c r="BU409" s="342" t="s">
        <v>210</v>
      </c>
      <c r="BV409" s="342" t="s">
        <v>210</v>
      </c>
      <c r="BW409" s="341" t="s">
        <v>15</v>
      </c>
      <c r="BX409" s="361"/>
      <c r="BY409" s="362"/>
      <c r="BZ409" s="363"/>
      <c r="CA409" s="363"/>
      <c r="CB409" s="363"/>
      <c r="CC409" s="363"/>
    </row>
    <row r="410" spans="2:81" ht="22.5" customHeight="1">
      <c r="B410" s="365">
        <v>260120</v>
      </c>
      <c r="C410" s="366" t="s">
        <v>13886</v>
      </c>
      <c r="D410" s="419"/>
      <c r="E410" s="368"/>
      <c r="F410" s="321" t="s">
        <v>226</v>
      </c>
      <c r="G410" s="326" t="s">
        <v>1967</v>
      </c>
      <c r="H410" s="326" t="s">
        <v>1968</v>
      </c>
      <c r="I410" s="326" t="s">
        <v>916</v>
      </c>
      <c r="J410" s="326" t="s">
        <v>399</v>
      </c>
      <c r="K410" s="326" t="s">
        <v>917</v>
      </c>
      <c r="L410" s="323"/>
      <c r="M410" s="374"/>
      <c r="N410" s="325" t="s">
        <v>918</v>
      </c>
      <c r="O410" s="326" t="s">
        <v>210</v>
      </c>
      <c r="P410" s="327" t="s">
        <v>210</v>
      </c>
      <c r="Q410" s="369" t="s">
        <v>210</v>
      </c>
      <c r="R410" s="399"/>
      <c r="S410" s="400"/>
      <c r="T410" s="400"/>
      <c r="U410" s="400"/>
      <c r="V410" s="400"/>
      <c r="W410" s="332" t="s">
        <v>654</v>
      </c>
      <c r="X410" s="394" t="s">
        <v>13889</v>
      </c>
      <c r="Y410" s="394" t="s">
        <v>13887</v>
      </c>
      <c r="Z410" s="394" t="s">
        <v>16506</v>
      </c>
      <c r="AA410" s="394" t="s">
        <v>13888</v>
      </c>
      <c r="AB410" s="333"/>
      <c r="AC410" s="416"/>
      <c r="AD410" s="375"/>
      <c r="AE410" s="335" t="s">
        <v>1012</v>
      </c>
      <c r="AF410" s="706">
        <v>41842</v>
      </c>
      <c r="AG410" s="705">
        <v>41930</v>
      </c>
      <c r="AH410" s="417" t="s">
        <v>210</v>
      </c>
      <c r="AI410" s="392" t="s">
        <v>210</v>
      </c>
      <c r="AJ410" s="392" t="s">
        <v>210</v>
      </c>
      <c r="AK410" s="340" t="s">
        <v>210</v>
      </c>
      <c r="AL410" s="417" t="s">
        <v>210</v>
      </c>
      <c r="AM410" s="392" t="s">
        <v>210</v>
      </c>
      <c r="AN410" s="392" t="s">
        <v>210</v>
      </c>
      <c r="AO410" s="341" t="s">
        <v>210</v>
      </c>
      <c r="AP410" s="342"/>
      <c r="AQ410" s="343"/>
      <c r="AR410" s="370">
        <v>1308</v>
      </c>
      <c r="AS410" s="326">
        <v>100</v>
      </c>
      <c r="AT410" s="392">
        <v>1</v>
      </c>
      <c r="AU410" s="392"/>
      <c r="AV410" s="392">
        <v>0.8</v>
      </c>
      <c r="AW410" s="340"/>
      <c r="AX410" s="347"/>
      <c r="AY410" s="348"/>
      <c r="AZ410" s="377"/>
      <c r="BA410" s="374"/>
      <c r="BB410" s="374"/>
      <c r="BC410" s="374"/>
      <c r="BD410" s="374"/>
      <c r="BE410" s="374"/>
      <c r="BF410" s="374"/>
      <c r="BG410" s="374"/>
      <c r="BH410" s="378"/>
      <c r="BI410" s="376"/>
      <c r="BJ410" s="379"/>
      <c r="BK410" s="380"/>
      <c r="BL410" s="348"/>
      <c r="BM410" s="381"/>
      <c r="BN410" s="321" t="s">
        <v>14</v>
      </c>
      <c r="BO410" s="372"/>
      <c r="BP410" s="340" t="s">
        <v>15</v>
      </c>
      <c r="BQ410" s="360"/>
      <c r="BR410" s="361"/>
      <c r="BS410" s="361"/>
      <c r="BT410" s="361"/>
      <c r="BU410" s="342" t="s">
        <v>210</v>
      </c>
      <c r="BV410" s="342" t="s">
        <v>210</v>
      </c>
      <c r="BW410" s="341" t="s">
        <v>15</v>
      </c>
      <c r="BX410" s="361"/>
      <c r="BY410" s="362"/>
      <c r="BZ410" s="363"/>
      <c r="CA410" s="363"/>
      <c r="CB410" s="363"/>
      <c r="CC410" s="363"/>
    </row>
    <row r="411" spans="2:81" ht="22.5" customHeight="1">
      <c r="B411" s="365">
        <v>260122</v>
      </c>
      <c r="C411" s="366" t="s">
        <v>13884</v>
      </c>
      <c r="D411" s="419"/>
      <c r="E411" s="368"/>
      <c r="F411" s="321" t="s">
        <v>935</v>
      </c>
      <c r="G411" s="326" t="s">
        <v>1965</v>
      </c>
      <c r="H411" s="326" t="s">
        <v>1966</v>
      </c>
      <c r="I411" s="326" t="s">
        <v>383</v>
      </c>
      <c r="J411" s="326" t="s">
        <v>399</v>
      </c>
      <c r="K411" s="326" t="s">
        <v>917</v>
      </c>
      <c r="L411" s="323"/>
      <c r="M411" s="374"/>
      <c r="N411" s="325" t="s">
        <v>437</v>
      </c>
      <c r="O411" s="326" t="s">
        <v>972</v>
      </c>
      <c r="P411" s="327">
        <v>299.88</v>
      </c>
      <c r="Q411" s="369">
        <v>301.44</v>
      </c>
      <c r="R411" s="329" t="s">
        <v>13885</v>
      </c>
      <c r="S411" s="331" t="s">
        <v>14073</v>
      </c>
      <c r="T411" s="331" t="s">
        <v>14075</v>
      </c>
      <c r="U411" s="331" t="s">
        <v>14074</v>
      </c>
      <c r="V411" s="331" t="s">
        <v>14076</v>
      </c>
      <c r="W411" s="332" t="s">
        <v>4356</v>
      </c>
      <c r="X411" s="330"/>
      <c r="Y411" s="330"/>
      <c r="Z411" s="330"/>
      <c r="AA411" s="330"/>
      <c r="AB411" s="333"/>
      <c r="AC411" s="416"/>
      <c r="AD411" s="375"/>
      <c r="AE411" s="335" t="s">
        <v>972</v>
      </c>
      <c r="AF411" s="706">
        <v>41869</v>
      </c>
      <c r="AG411" s="705">
        <v>41885</v>
      </c>
      <c r="AH411" s="417" t="s">
        <v>210</v>
      </c>
      <c r="AI411" s="392" t="s">
        <v>210</v>
      </c>
      <c r="AJ411" s="392" t="s">
        <v>210</v>
      </c>
      <c r="AK411" s="340" t="s">
        <v>210</v>
      </c>
      <c r="AL411" s="417" t="s">
        <v>210</v>
      </c>
      <c r="AM411" s="392" t="s">
        <v>210</v>
      </c>
      <c r="AN411" s="392" t="s">
        <v>210</v>
      </c>
      <c r="AO411" s="341" t="s">
        <v>210</v>
      </c>
      <c r="AP411" s="342"/>
      <c r="AQ411" s="343"/>
      <c r="AR411" s="370">
        <v>360</v>
      </c>
      <c r="AS411" s="326">
        <v>80</v>
      </c>
      <c r="AT411" s="392">
        <v>1</v>
      </c>
      <c r="AU411" s="392"/>
      <c r="AV411" s="392">
        <v>1.5</v>
      </c>
      <c r="AW411" s="340"/>
      <c r="AX411" s="347"/>
      <c r="AY411" s="348"/>
      <c r="AZ411" s="377"/>
      <c r="BA411" s="374"/>
      <c r="BB411" s="374"/>
      <c r="BC411" s="374"/>
      <c r="BD411" s="374"/>
      <c r="BE411" s="374"/>
      <c r="BF411" s="374"/>
      <c r="BG411" s="374"/>
      <c r="BH411" s="378"/>
      <c r="BI411" s="376"/>
      <c r="BJ411" s="379"/>
      <c r="BK411" s="380"/>
      <c r="BL411" s="348"/>
      <c r="BM411" s="381"/>
      <c r="BN411" s="321" t="s">
        <v>14</v>
      </c>
      <c r="BO411" s="372"/>
      <c r="BP411" s="373" t="s">
        <v>14</v>
      </c>
      <c r="BQ411" s="360"/>
      <c r="BR411" s="361"/>
      <c r="BS411" s="361"/>
      <c r="BT411" s="361"/>
      <c r="BU411" s="342" t="s">
        <v>210</v>
      </c>
      <c r="BV411" s="342" t="s">
        <v>210</v>
      </c>
      <c r="BW411" s="341" t="s">
        <v>15</v>
      </c>
      <c r="BX411" s="361"/>
      <c r="BY411" s="362"/>
      <c r="BZ411" s="363"/>
      <c r="CA411" s="363"/>
      <c r="CB411" s="363"/>
      <c r="CC411" s="363"/>
    </row>
    <row r="412" spans="2:81" ht="22.5" customHeight="1">
      <c r="B412" s="365">
        <v>260123</v>
      </c>
      <c r="C412" s="366" t="s">
        <v>13879</v>
      </c>
      <c r="D412" s="419"/>
      <c r="E412" s="368"/>
      <c r="F412" s="321" t="s">
        <v>759</v>
      </c>
      <c r="G412" s="326" t="s">
        <v>1963</v>
      </c>
      <c r="H412" s="326" t="s">
        <v>1964</v>
      </c>
      <c r="I412" s="326" t="s">
        <v>383</v>
      </c>
      <c r="J412" s="326" t="s">
        <v>399</v>
      </c>
      <c r="K412" s="326" t="s">
        <v>917</v>
      </c>
      <c r="L412" s="323"/>
      <c r="M412" s="324" t="s">
        <v>10767</v>
      </c>
      <c r="N412" s="325" t="s">
        <v>940</v>
      </c>
      <c r="O412" s="326">
        <v>120</v>
      </c>
      <c r="P412" s="327">
        <v>5007.49</v>
      </c>
      <c r="Q412" s="369">
        <v>4885.92</v>
      </c>
      <c r="R412" s="329" t="s">
        <v>934</v>
      </c>
      <c r="S412" s="331" t="s">
        <v>13880</v>
      </c>
      <c r="T412" s="331" t="s">
        <v>13881</v>
      </c>
      <c r="U412" s="331" t="s">
        <v>13882</v>
      </c>
      <c r="V412" s="331" t="s">
        <v>13883</v>
      </c>
      <c r="W412" s="332" t="s">
        <v>432</v>
      </c>
      <c r="X412" s="331" t="s">
        <v>11079</v>
      </c>
      <c r="Y412" s="331" t="s">
        <v>11080</v>
      </c>
      <c r="Z412" s="331" t="s">
        <v>11080</v>
      </c>
      <c r="AA412" s="331" t="s">
        <v>997</v>
      </c>
      <c r="AB412" s="333"/>
      <c r="AC412" s="333"/>
      <c r="AD412" s="334" t="s">
        <v>2322</v>
      </c>
      <c r="AE412" s="335" t="s">
        <v>1030</v>
      </c>
      <c r="AF412" s="706">
        <v>41849</v>
      </c>
      <c r="AG412" s="705">
        <v>41951</v>
      </c>
      <c r="AH412" s="417">
        <v>8.9</v>
      </c>
      <c r="AI412" s="392">
        <v>23.7</v>
      </c>
      <c r="AJ412" s="392">
        <v>23.3</v>
      </c>
      <c r="AK412" s="340">
        <f>SUM(AH412:AJ412)</f>
        <v>55.900000000000006</v>
      </c>
      <c r="AL412" s="417" t="s">
        <v>210</v>
      </c>
      <c r="AM412" s="392" t="s">
        <v>210</v>
      </c>
      <c r="AN412" s="392" t="s">
        <v>210</v>
      </c>
      <c r="AO412" s="341" t="s">
        <v>210</v>
      </c>
      <c r="AP412" s="342"/>
      <c r="AQ412" s="343"/>
      <c r="AR412" s="370">
        <v>5531</v>
      </c>
      <c r="AS412" s="326">
        <v>130</v>
      </c>
      <c r="AT412" s="392">
        <v>0.8</v>
      </c>
      <c r="AU412" s="392"/>
      <c r="AV412" s="392">
        <v>1.5</v>
      </c>
      <c r="AW412" s="340"/>
      <c r="AX412" s="347"/>
      <c r="AY412" s="348"/>
      <c r="AZ412" s="377"/>
      <c r="BA412" s="374"/>
      <c r="BB412" s="374"/>
      <c r="BC412" s="374"/>
      <c r="BD412" s="374"/>
      <c r="BE412" s="374"/>
      <c r="BF412" s="374"/>
      <c r="BG412" s="374"/>
      <c r="BH412" s="378"/>
      <c r="BI412" s="376"/>
      <c r="BJ412" s="379"/>
      <c r="BK412" s="380"/>
      <c r="BL412" s="348"/>
      <c r="BM412" s="381"/>
      <c r="BN412" s="321" t="s">
        <v>14</v>
      </c>
      <c r="BO412" s="372"/>
      <c r="BP412" s="373" t="s">
        <v>14</v>
      </c>
      <c r="BQ412" s="360"/>
      <c r="BR412" s="361"/>
      <c r="BS412" s="361"/>
      <c r="BT412" s="361"/>
      <c r="BU412" s="342" t="s">
        <v>210</v>
      </c>
      <c r="BV412" s="342" t="s">
        <v>210</v>
      </c>
      <c r="BW412" s="341" t="s">
        <v>15</v>
      </c>
      <c r="BX412" s="361"/>
      <c r="BY412" s="362"/>
      <c r="BZ412" s="363"/>
      <c r="CA412" s="363"/>
      <c r="CB412" s="363"/>
      <c r="CC412" s="363"/>
    </row>
    <row r="413" spans="2:81" ht="22.5" customHeight="1">
      <c r="B413" s="365">
        <v>260124</v>
      </c>
      <c r="C413" s="366" t="s">
        <v>943</v>
      </c>
      <c r="D413" s="419"/>
      <c r="E413" s="368"/>
      <c r="F413" s="321" t="s">
        <v>961</v>
      </c>
      <c r="G413" s="326" t="s">
        <v>1961</v>
      </c>
      <c r="H413" s="326" t="s">
        <v>1962</v>
      </c>
      <c r="I413" s="326" t="s">
        <v>383</v>
      </c>
      <c r="J413" s="326" t="s">
        <v>399</v>
      </c>
      <c r="K413" s="326" t="s">
        <v>917</v>
      </c>
      <c r="L413" s="323"/>
      <c r="M413" s="324" t="s">
        <v>10767</v>
      </c>
      <c r="N413" s="325" t="s">
        <v>964</v>
      </c>
      <c r="O413" s="326">
        <v>30</v>
      </c>
      <c r="P413" s="327">
        <v>823.2</v>
      </c>
      <c r="Q413" s="369" t="s">
        <v>972</v>
      </c>
      <c r="R413" s="329" t="s">
        <v>721</v>
      </c>
      <c r="S413" s="331" t="s">
        <v>13910</v>
      </c>
      <c r="T413" s="330"/>
      <c r="U413" s="330"/>
      <c r="V413" s="331" t="s">
        <v>13878</v>
      </c>
      <c r="W413" s="332" t="s">
        <v>432</v>
      </c>
      <c r="X413" s="331" t="s">
        <v>11079</v>
      </c>
      <c r="Y413" s="331" t="s">
        <v>11080</v>
      </c>
      <c r="Z413" s="331" t="s">
        <v>11080</v>
      </c>
      <c r="AA413" s="331" t="s">
        <v>997</v>
      </c>
      <c r="AB413" s="333"/>
      <c r="AC413" s="333"/>
      <c r="AD413" s="334" t="s">
        <v>722</v>
      </c>
      <c r="AE413" s="335" t="s">
        <v>245</v>
      </c>
      <c r="AF413" s="706">
        <v>41831</v>
      </c>
      <c r="AG413" s="705">
        <v>41914</v>
      </c>
      <c r="AH413" s="417">
        <v>9.5</v>
      </c>
      <c r="AI413" s="392">
        <v>18.399999999999999</v>
      </c>
      <c r="AJ413" s="392">
        <v>8.9</v>
      </c>
      <c r="AK413" s="340">
        <f>SUM(AH413:AJ413)</f>
        <v>36.799999999999997</v>
      </c>
      <c r="AL413" s="417" t="s">
        <v>210</v>
      </c>
      <c r="AM413" s="392" t="s">
        <v>210</v>
      </c>
      <c r="AN413" s="392" t="s">
        <v>210</v>
      </c>
      <c r="AO413" s="341" t="s">
        <v>210</v>
      </c>
      <c r="AP413" s="342"/>
      <c r="AQ413" s="343"/>
      <c r="AR413" s="370">
        <v>1221</v>
      </c>
      <c r="AS413" s="326">
        <v>100</v>
      </c>
      <c r="AT413" s="392">
        <v>0.8</v>
      </c>
      <c r="AU413" s="392"/>
      <c r="AV413" s="392">
        <v>0.8</v>
      </c>
      <c r="AW413" s="340"/>
      <c r="AX413" s="347"/>
      <c r="AY413" s="348"/>
      <c r="AZ413" s="377"/>
      <c r="BA413" s="374"/>
      <c r="BB413" s="374"/>
      <c r="BC413" s="374"/>
      <c r="BD413" s="374"/>
      <c r="BE413" s="374"/>
      <c r="BF413" s="374"/>
      <c r="BG413" s="374"/>
      <c r="BH413" s="378"/>
      <c r="BI413" s="376"/>
      <c r="BJ413" s="379"/>
      <c r="BK413" s="380"/>
      <c r="BL413" s="348"/>
      <c r="BM413" s="381"/>
      <c r="BN413" s="321" t="s">
        <v>14</v>
      </c>
      <c r="BO413" s="372">
        <v>1.2</v>
      </c>
      <c r="BP413" s="373" t="s">
        <v>14</v>
      </c>
      <c r="BQ413" s="360"/>
      <c r="BR413" s="361"/>
      <c r="BS413" s="361"/>
      <c r="BT413" s="361"/>
      <c r="BU413" s="342" t="s">
        <v>210</v>
      </c>
      <c r="BV413" s="342" t="s">
        <v>210</v>
      </c>
      <c r="BW413" s="341" t="s">
        <v>15</v>
      </c>
      <c r="BX413" s="361"/>
      <c r="BY413" s="362"/>
      <c r="BZ413" s="363"/>
      <c r="CA413" s="363"/>
      <c r="CB413" s="363"/>
      <c r="CC413" s="363"/>
    </row>
    <row r="414" spans="2:81" ht="22.5" customHeight="1">
      <c r="B414" s="365">
        <v>260126</v>
      </c>
      <c r="C414" s="366" t="s">
        <v>13873</v>
      </c>
      <c r="D414" s="419"/>
      <c r="E414" s="368"/>
      <c r="F414" s="321" t="s">
        <v>267</v>
      </c>
      <c r="G414" s="326" t="s">
        <v>1959</v>
      </c>
      <c r="H414" s="326" t="s">
        <v>1960</v>
      </c>
      <c r="I414" s="326" t="s">
        <v>383</v>
      </c>
      <c r="J414" s="326" t="s">
        <v>387</v>
      </c>
      <c r="K414" s="326" t="s">
        <v>806</v>
      </c>
      <c r="L414" s="323"/>
      <c r="M414" s="374"/>
      <c r="N414" s="325" t="s">
        <v>438</v>
      </c>
      <c r="O414" s="326">
        <v>10</v>
      </c>
      <c r="P414" s="327" t="s">
        <v>969</v>
      </c>
      <c r="Q414" s="369" t="s">
        <v>969</v>
      </c>
      <c r="R414" s="329" t="s">
        <v>898</v>
      </c>
      <c r="S414" s="331" t="s">
        <v>13874</v>
      </c>
      <c r="T414" s="331" t="s">
        <v>13876</v>
      </c>
      <c r="U414" s="331" t="s">
        <v>13875</v>
      </c>
      <c r="V414" s="331" t="s">
        <v>13877</v>
      </c>
      <c r="W414" s="332" t="s">
        <v>432</v>
      </c>
      <c r="X414" s="331" t="s">
        <v>11079</v>
      </c>
      <c r="Y414" s="331" t="s">
        <v>11080</v>
      </c>
      <c r="Z414" s="331" t="s">
        <v>11080</v>
      </c>
      <c r="AA414" s="331" t="s">
        <v>997</v>
      </c>
      <c r="AB414" s="333"/>
      <c r="AC414" s="333"/>
      <c r="AD414" s="334" t="s">
        <v>933</v>
      </c>
      <c r="AE414" s="335" t="s">
        <v>276</v>
      </c>
      <c r="AF414" s="706">
        <v>41806</v>
      </c>
      <c r="AG414" s="705">
        <v>41894</v>
      </c>
      <c r="AH414" s="376"/>
      <c r="AI414" s="347"/>
      <c r="AJ414" s="347"/>
      <c r="AK414" s="371"/>
      <c r="AL414" s="321" t="s">
        <v>968</v>
      </c>
      <c r="AM414" s="392" t="s">
        <v>15</v>
      </c>
      <c r="AN414" s="392" t="s">
        <v>15</v>
      </c>
      <c r="AO414" s="341" t="s">
        <v>15</v>
      </c>
      <c r="AP414" s="342"/>
      <c r="AQ414" s="343"/>
      <c r="AR414" s="370">
        <v>447</v>
      </c>
      <c r="AS414" s="326">
        <v>100</v>
      </c>
      <c r="AT414" s="392">
        <v>1</v>
      </c>
      <c r="AU414" s="392"/>
      <c r="AV414" s="392">
        <v>1.2</v>
      </c>
      <c r="AW414" s="340"/>
      <c r="AX414" s="347"/>
      <c r="AY414" s="348"/>
      <c r="AZ414" s="377"/>
      <c r="BA414" s="374"/>
      <c r="BB414" s="374"/>
      <c r="BC414" s="374"/>
      <c r="BD414" s="374"/>
      <c r="BE414" s="374"/>
      <c r="BF414" s="374"/>
      <c r="BG414" s="374"/>
      <c r="BH414" s="378"/>
      <c r="BI414" s="376"/>
      <c r="BJ414" s="379"/>
      <c r="BK414" s="380"/>
      <c r="BL414" s="348"/>
      <c r="BM414" s="381"/>
      <c r="BN414" s="321" t="s">
        <v>14</v>
      </c>
      <c r="BO414" s="372"/>
      <c r="BP414" s="373" t="s">
        <v>14</v>
      </c>
      <c r="BQ414" s="360"/>
      <c r="BR414" s="361"/>
      <c r="BS414" s="361"/>
      <c r="BT414" s="361"/>
      <c r="BU414" s="342" t="s">
        <v>210</v>
      </c>
      <c r="BV414" s="342" t="s">
        <v>210</v>
      </c>
      <c r="BW414" s="341" t="s">
        <v>15</v>
      </c>
      <c r="BX414" s="361"/>
      <c r="BY414" s="362"/>
      <c r="BZ414" s="363"/>
      <c r="CA414" s="363"/>
      <c r="CB414" s="363"/>
      <c r="CC414" s="363"/>
    </row>
    <row r="415" spans="2:81" ht="22.5" customHeight="1">
      <c r="B415" s="365">
        <v>260127</v>
      </c>
      <c r="C415" s="366" t="s">
        <v>13868</v>
      </c>
      <c r="D415" s="419"/>
      <c r="E415" s="368"/>
      <c r="F415" s="321" t="s">
        <v>962</v>
      </c>
      <c r="G415" s="326" t="s">
        <v>1946</v>
      </c>
      <c r="H415" s="326" t="s">
        <v>1956</v>
      </c>
      <c r="I415" s="326" t="s">
        <v>383</v>
      </c>
      <c r="J415" s="326" t="s">
        <v>399</v>
      </c>
      <c r="K415" s="326" t="s">
        <v>917</v>
      </c>
      <c r="L415" s="323"/>
      <c r="M415" s="324" t="s">
        <v>10767</v>
      </c>
      <c r="N415" s="325" t="s">
        <v>963</v>
      </c>
      <c r="O415" s="326">
        <v>30</v>
      </c>
      <c r="P415" s="327">
        <v>1566.39</v>
      </c>
      <c r="Q415" s="369">
        <v>1614.7</v>
      </c>
      <c r="R415" s="329" t="s">
        <v>970</v>
      </c>
      <c r="S415" s="331" t="s">
        <v>13869</v>
      </c>
      <c r="T415" s="331" t="s">
        <v>13871</v>
      </c>
      <c r="U415" s="331" t="s">
        <v>13870</v>
      </c>
      <c r="V415" s="331" t="s">
        <v>13872</v>
      </c>
      <c r="W415" s="332" t="s">
        <v>432</v>
      </c>
      <c r="X415" s="331" t="s">
        <v>11079</v>
      </c>
      <c r="Y415" s="331" t="s">
        <v>11080</v>
      </c>
      <c r="Z415" s="331" t="s">
        <v>11080</v>
      </c>
      <c r="AA415" s="331" t="s">
        <v>997</v>
      </c>
      <c r="AB415" s="333"/>
      <c r="AC415" s="333"/>
      <c r="AD415" s="334" t="s">
        <v>2324</v>
      </c>
      <c r="AE415" s="335" t="s">
        <v>210</v>
      </c>
      <c r="AF415" s="706">
        <v>41858</v>
      </c>
      <c r="AG415" s="705">
        <v>41934</v>
      </c>
      <c r="AH415" s="417">
        <v>6.4</v>
      </c>
      <c r="AI415" s="392">
        <v>16.5</v>
      </c>
      <c r="AJ415" s="392">
        <v>13.3</v>
      </c>
      <c r="AK415" s="340">
        <f>SUM(AH415:AJ415)</f>
        <v>36.200000000000003</v>
      </c>
      <c r="AL415" s="321" t="s">
        <v>210</v>
      </c>
      <c r="AM415" s="392" t="s">
        <v>15</v>
      </c>
      <c r="AN415" s="392" t="s">
        <v>15</v>
      </c>
      <c r="AO415" s="341" t="s">
        <v>15</v>
      </c>
      <c r="AP415" s="342"/>
      <c r="AQ415" s="343"/>
      <c r="AR415" s="370">
        <v>1931</v>
      </c>
      <c r="AS415" s="326">
        <v>100</v>
      </c>
      <c r="AT415" s="392">
        <v>1</v>
      </c>
      <c r="AU415" s="392"/>
      <c r="AV415" s="392">
        <v>1</v>
      </c>
      <c r="AW415" s="340"/>
      <c r="AX415" s="347"/>
      <c r="AY415" s="348"/>
      <c r="AZ415" s="377"/>
      <c r="BA415" s="374"/>
      <c r="BB415" s="374"/>
      <c r="BC415" s="374"/>
      <c r="BD415" s="374"/>
      <c r="BE415" s="374"/>
      <c r="BF415" s="374"/>
      <c r="BG415" s="374"/>
      <c r="BH415" s="378"/>
      <c r="BI415" s="376"/>
      <c r="BJ415" s="379"/>
      <c r="BK415" s="380"/>
      <c r="BL415" s="348"/>
      <c r="BM415" s="381"/>
      <c r="BN415" s="321" t="s">
        <v>14</v>
      </c>
      <c r="BO415" s="372"/>
      <c r="BP415" s="373" t="s">
        <v>210</v>
      </c>
      <c r="BQ415" s="360"/>
      <c r="BR415" s="361"/>
      <c r="BS415" s="361"/>
      <c r="BT415" s="361"/>
      <c r="BU415" s="342" t="s">
        <v>210</v>
      </c>
      <c r="BV415" s="342" t="s">
        <v>210</v>
      </c>
      <c r="BW415" s="341" t="s">
        <v>15</v>
      </c>
      <c r="BX415" s="361"/>
      <c r="BY415" s="362"/>
      <c r="BZ415" s="363"/>
      <c r="CA415" s="363"/>
      <c r="CB415" s="363"/>
      <c r="CC415" s="363"/>
    </row>
    <row r="416" spans="2:81" ht="22.5" customHeight="1">
      <c r="B416" s="365">
        <v>260128</v>
      </c>
      <c r="C416" s="366" t="s">
        <v>1033</v>
      </c>
      <c r="D416" s="419"/>
      <c r="E416" s="368"/>
      <c r="F416" s="321" t="s">
        <v>839</v>
      </c>
      <c r="G416" s="326" t="s">
        <v>1957</v>
      </c>
      <c r="H416" s="326" t="s">
        <v>1958</v>
      </c>
      <c r="I416" s="326" t="s">
        <v>383</v>
      </c>
      <c r="J416" s="326" t="s">
        <v>399</v>
      </c>
      <c r="K416" s="326" t="s">
        <v>917</v>
      </c>
      <c r="L416" s="323"/>
      <c r="M416" s="374"/>
      <c r="N416" s="325" t="s">
        <v>437</v>
      </c>
      <c r="O416" s="326" t="s">
        <v>968</v>
      </c>
      <c r="P416" s="327" t="s">
        <v>968</v>
      </c>
      <c r="Q416" s="369" t="s">
        <v>210</v>
      </c>
      <c r="R416" s="329" t="s">
        <v>487</v>
      </c>
      <c r="S416" s="330"/>
      <c r="T416" s="330"/>
      <c r="U416" s="330"/>
      <c r="V416" s="330"/>
      <c r="W416" s="332" t="s">
        <v>13867</v>
      </c>
      <c r="X416" s="330"/>
      <c r="Y416" s="331" t="s">
        <v>14078</v>
      </c>
      <c r="Z416" s="331" t="s">
        <v>14079</v>
      </c>
      <c r="AA416" s="331" t="s">
        <v>14080</v>
      </c>
      <c r="AB416" s="333"/>
      <c r="AC416" s="416"/>
      <c r="AD416" s="375"/>
      <c r="AE416" s="335" t="s">
        <v>210</v>
      </c>
      <c r="AF416" s="706">
        <v>41885</v>
      </c>
      <c r="AG416" s="705">
        <v>41965</v>
      </c>
      <c r="AH416" s="321" t="s">
        <v>210</v>
      </c>
      <c r="AI416" s="392" t="s">
        <v>15</v>
      </c>
      <c r="AJ416" s="392" t="s">
        <v>15</v>
      </c>
      <c r="AK416" s="340" t="s">
        <v>15</v>
      </c>
      <c r="AL416" s="321" t="s">
        <v>210</v>
      </c>
      <c r="AM416" s="392" t="s">
        <v>15</v>
      </c>
      <c r="AN416" s="392" t="s">
        <v>15</v>
      </c>
      <c r="AO416" s="341" t="s">
        <v>15</v>
      </c>
      <c r="AP416" s="342"/>
      <c r="AQ416" s="343"/>
      <c r="AR416" s="370">
        <f>1036+394</f>
        <v>1430</v>
      </c>
      <c r="AS416" s="326">
        <v>100</v>
      </c>
      <c r="AT416" s="392">
        <v>1</v>
      </c>
      <c r="AU416" s="392"/>
      <c r="AV416" s="392">
        <v>1</v>
      </c>
      <c r="AW416" s="340"/>
      <c r="AX416" s="347"/>
      <c r="AY416" s="348"/>
      <c r="AZ416" s="377"/>
      <c r="BA416" s="374"/>
      <c r="BB416" s="374"/>
      <c r="BC416" s="374"/>
      <c r="BD416" s="374"/>
      <c r="BE416" s="374"/>
      <c r="BF416" s="374"/>
      <c r="BG416" s="374"/>
      <c r="BH416" s="378"/>
      <c r="BI416" s="376"/>
      <c r="BJ416" s="379"/>
      <c r="BK416" s="380"/>
      <c r="BL416" s="348"/>
      <c r="BM416" s="381"/>
      <c r="BN416" s="321" t="s">
        <v>14</v>
      </c>
      <c r="BO416" s="372"/>
      <c r="BP416" s="373" t="s">
        <v>14</v>
      </c>
      <c r="BQ416" s="360"/>
      <c r="BR416" s="361"/>
      <c r="BS416" s="361"/>
      <c r="BT416" s="361"/>
      <c r="BU416" s="342" t="s">
        <v>210</v>
      </c>
      <c r="BV416" s="342" t="s">
        <v>210</v>
      </c>
      <c r="BW416" s="341" t="s">
        <v>15</v>
      </c>
      <c r="BX416" s="361"/>
      <c r="BY416" s="362"/>
      <c r="BZ416" s="363"/>
      <c r="CA416" s="363"/>
      <c r="CB416" s="363"/>
      <c r="CC416" s="363"/>
    </row>
    <row r="417" spans="1:82" ht="22.5" customHeight="1">
      <c r="B417" s="365">
        <v>260129</v>
      </c>
      <c r="C417" s="366" t="s">
        <v>13863</v>
      </c>
      <c r="D417" s="419"/>
      <c r="E417" s="368"/>
      <c r="F417" s="321" t="s">
        <v>243</v>
      </c>
      <c r="G417" s="326" t="s">
        <v>1950</v>
      </c>
      <c r="H417" s="326" t="s">
        <v>1951</v>
      </c>
      <c r="I417" s="326" t="s">
        <v>383</v>
      </c>
      <c r="J417" s="326" t="s">
        <v>387</v>
      </c>
      <c r="K417" s="326" t="s">
        <v>917</v>
      </c>
      <c r="L417" s="323"/>
      <c r="M417" s="374"/>
      <c r="N417" s="325" t="s">
        <v>438</v>
      </c>
      <c r="O417" s="326" t="s">
        <v>968</v>
      </c>
      <c r="P417" s="327" t="s">
        <v>968</v>
      </c>
      <c r="Q417" s="369" t="s">
        <v>210</v>
      </c>
      <c r="R417" s="329" t="s">
        <v>967</v>
      </c>
      <c r="S417" s="330"/>
      <c r="T417" s="330"/>
      <c r="U417" s="330"/>
      <c r="V417" s="330"/>
      <c r="W417" s="332" t="s">
        <v>6415</v>
      </c>
      <c r="X417" s="331" t="s">
        <v>13864</v>
      </c>
      <c r="Y417" s="331" t="s">
        <v>13865</v>
      </c>
      <c r="Z417" s="331" t="s">
        <v>16399</v>
      </c>
      <c r="AA417" s="331" t="s">
        <v>13866</v>
      </c>
      <c r="AB417" s="333"/>
      <c r="AC417" s="333"/>
      <c r="AD417" s="334" t="s">
        <v>2332</v>
      </c>
      <c r="AE417" s="391"/>
      <c r="AF417" s="706">
        <v>41887</v>
      </c>
      <c r="AG417" s="705">
        <v>41965</v>
      </c>
      <c r="AH417" s="417" t="s">
        <v>210</v>
      </c>
      <c r="AI417" s="392" t="s">
        <v>210</v>
      </c>
      <c r="AJ417" s="392" t="s">
        <v>210</v>
      </c>
      <c r="AK417" s="340" t="s">
        <v>210</v>
      </c>
      <c r="AL417" s="417" t="s">
        <v>210</v>
      </c>
      <c r="AM417" s="392" t="s">
        <v>210</v>
      </c>
      <c r="AN417" s="392" t="s">
        <v>210</v>
      </c>
      <c r="AO417" s="341" t="s">
        <v>210</v>
      </c>
      <c r="AP417" s="342"/>
      <c r="AQ417" s="343"/>
      <c r="AR417" s="370">
        <v>7171</v>
      </c>
      <c r="AS417" s="326">
        <v>150</v>
      </c>
      <c r="AT417" s="392">
        <v>1</v>
      </c>
      <c r="AU417" s="392"/>
      <c r="AV417" s="392">
        <v>1</v>
      </c>
      <c r="AW417" s="340"/>
      <c r="AX417" s="347"/>
      <c r="AY417" s="348"/>
      <c r="AZ417" s="377"/>
      <c r="BA417" s="374"/>
      <c r="BB417" s="374"/>
      <c r="BC417" s="374"/>
      <c r="BD417" s="374"/>
      <c r="BE417" s="374"/>
      <c r="BF417" s="374"/>
      <c r="BG417" s="374"/>
      <c r="BH417" s="378"/>
      <c r="BI417" s="376"/>
      <c r="BJ417" s="379"/>
      <c r="BK417" s="380"/>
      <c r="BL417" s="348"/>
      <c r="BM417" s="381"/>
      <c r="BN417" s="321" t="s">
        <v>14</v>
      </c>
      <c r="BO417" s="372">
        <v>3.05</v>
      </c>
      <c r="BP417" s="373" t="s">
        <v>210</v>
      </c>
      <c r="BQ417" s="360"/>
      <c r="BR417" s="361"/>
      <c r="BS417" s="361"/>
      <c r="BT417" s="361"/>
      <c r="BU417" s="342" t="s">
        <v>210</v>
      </c>
      <c r="BV417" s="342" t="s">
        <v>210</v>
      </c>
      <c r="BW417" s="341" t="s">
        <v>15</v>
      </c>
      <c r="BX417" s="361"/>
      <c r="BY417" s="362"/>
      <c r="BZ417" s="363"/>
      <c r="CA417" s="363"/>
      <c r="CB417" s="363"/>
      <c r="CC417" s="363"/>
    </row>
    <row r="418" spans="1:82" ht="22.5" customHeight="1">
      <c r="B418" s="365">
        <v>260130</v>
      </c>
      <c r="C418" s="366" t="s">
        <v>13858</v>
      </c>
      <c r="D418" s="419"/>
      <c r="E418" s="368"/>
      <c r="F418" s="321" t="s">
        <v>266</v>
      </c>
      <c r="G418" s="326" t="s">
        <v>1952</v>
      </c>
      <c r="H418" s="326" t="s">
        <v>1953</v>
      </c>
      <c r="I418" s="326" t="s">
        <v>383</v>
      </c>
      <c r="J418" s="326" t="s">
        <v>387</v>
      </c>
      <c r="K418" s="326" t="s">
        <v>806</v>
      </c>
      <c r="L418" s="323"/>
      <c r="M418" s="374"/>
      <c r="N418" s="325" t="s">
        <v>438</v>
      </c>
      <c r="O418" s="326" t="s">
        <v>968</v>
      </c>
      <c r="P418" s="327" t="s">
        <v>968</v>
      </c>
      <c r="Q418" s="369" t="s">
        <v>968</v>
      </c>
      <c r="R418" s="399"/>
      <c r="S418" s="400"/>
      <c r="T418" s="400"/>
      <c r="U418" s="400"/>
      <c r="V418" s="400"/>
      <c r="W418" s="332" t="s">
        <v>971</v>
      </c>
      <c r="X418" s="394" t="s">
        <v>13859</v>
      </c>
      <c r="Y418" s="394" t="s">
        <v>13861</v>
      </c>
      <c r="Z418" s="394" t="s">
        <v>13860</v>
      </c>
      <c r="AA418" s="394" t="s">
        <v>13862</v>
      </c>
      <c r="AB418" s="333"/>
      <c r="AC418" s="333"/>
      <c r="AD418" s="334" t="s">
        <v>1031</v>
      </c>
      <c r="AE418" s="391"/>
      <c r="AF418" s="706">
        <v>41878</v>
      </c>
      <c r="AG418" s="705">
        <v>41928</v>
      </c>
      <c r="AH418" s="417" t="s">
        <v>210</v>
      </c>
      <c r="AI418" s="392" t="s">
        <v>210</v>
      </c>
      <c r="AJ418" s="392" t="s">
        <v>210</v>
      </c>
      <c r="AK418" s="340" t="s">
        <v>210</v>
      </c>
      <c r="AL418" s="417" t="s">
        <v>210</v>
      </c>
      <c r="AM418" s="392" t="s">
        <v>210</v>
      </c>
      <c r="AN418" s="326" t="s">
        <v>14</v>
      </c>
      <c r="AO418" s="341" t="s">
        <v>210</v>
      </c>
      <c r="AP418" s="342"/>
      <c r="AQ418" s="343"/>
      <c r="AR418" s="370">
        <v>224</v>
      </c>
      <c r="AS418" s="326">
        <v>60</v>
      </c>
      <c r="AT418" s="392">
        <v>1</v>
      </c>
      <c r="AU418" s="392"/>
      <c r="AV418" s="392">
        <v>1</v>
      </c>
      <c r="AW418" s="340"/>
      <c r="AX418" s="347"/>
      <c r="AY418" s="348"/>
      <c r="AZ418" s="377"/>
      <c r="BA418" s="374"/>
      <c r="BB418" s="374"/>
      <c r="BC418" s="374"/>
      <c r="BD418" s="374"/>
      <c r="BE418" s="374"/>
      <c r="BF418" s="374"/>
      <c r="BG418" s="374"/>
      <c r="BH418" s="378"/>
      <c r="BI418" s="376"/>
      <c r="BJ418" s="379"/>
      <c r="BK418" s="380"/>
      <c r="BL418" s="348"/>
      <c r="BM418" s="381"/>
      <c r="BN418" s="321" t="s">
        <v>14</v>
      </c>
      <c r="BO418" s="372"/>
      <c r="BP418" s="373" t="s">
        <v>14</v>
      </c>
      <c r="BQ418" s="360"/>
      <c r="BR418" s="361"/>
      <c r="BS418" s="361"/>
      <c r="BT418" s="361"/>
      <c r="BU418" s="342" t="s">
        <v>210</v>
      </c>
      <c r="BV418" s="342" t="s">
        <v>210</v>
      </c>
      <c r="BW418" s="341" t="s">
        <v>15</v>
      </c>
      <c r="BX418" s="361"/>
      <c r="BY418" s="362" t="s">
        <v>1458</v>
      </c>
      <c r="BZ418" s="363"/>
      <c r="CA418" s="363"/>
      <c r="CB418" s="363"/>
      <c r="CC418" s="363"/>
    </row>
    <row r="419" spans="1:82" ht="22.5" customHeight="1">
      <c r="B419" s="365">
        <v>260131</v>
      </c>
      <c r="C419" s="366" t="s">
        <v>14081</v>
      </c>
      <c r="D419" s="419"/>
      <c r="E419" s="368"/>
      <c r="F419" s="321" t="s">
        <v>238</v>
      </c>
      <c r="G419" s="326" t="s">
        <v>1954</v>
      </c>
      <c r="H419" s="326" t="s">
        <v>1955</v>
      </c>
      <c r="I419" s="326" t="s">
        <v>383</v>
      </c>
      <c r="J419" s="326" t="s">
        <v>399</v>
      </c>
      <c r="K419" s="326" t="s">
        <v>917</v>
      </c>
      <c r="L419" s="323"/>
      <c r="M419" s="374"/>
      <c r="N419" s="325" t="s">
        <v>438</v>
      </c>
      <c r="O419" s="326" t="s">
        <v>968</v>
      </c>
      <c r="P419" s="327">
        <v>1937.48</v>
      </c>
      <c r="Q419" s="369">
        <v>1861.47</v>
      </c>
      <c r="R419" s="329" t="s">
        <v>1035</v>
      </c>
      <c r="S419" s="400"/>
      <c r="T419" s="400"/>
      <c r="U419" s="400"/>
      <c r="V419" s="400"/>
      <c r="W419" s="332" t="s">
        <v>982</v>
      </c>
      <c r="X419" s="331" t="s">
        <v>14082</v>
      </c>
      <c r="Y419" s="330"/>
      <c r="Z419" s="330"/>
      <c r="AA419" s="331" t="s">
        <v>14083</v>
      </c>
      <c r="AB419" s="333"/>
      <c r="AC419" s="333"/>
      <c r="AD419" s="334" t="s">
        <v>2333</v>
      </c>
      <c r="AE419" s="335" t="s">
        <v>946</v>
      </c>
      <c r="AF419" s="706">
        <v>41883</v>
      </c>
      <c r="AG419" s="705">
        <v>41939</v>
      </c>
      <c r="AH419" s="417" t="s">
        <v>210</v>
      </c>
      <c r="AI419" s="392" t="s">
        <v>210</v>
      </c>
      <c r="AJ419" s="392" t="s">
        <v>210</v>
      </c>
      <c r="AK419" s="340" t="s">
        <v>210</v>
      </c>
      <c r="AL419" s="417" t="s">
        <v>210</v>
      </c>
      <c r="AM419" s="392" t="s">
        <v>210</v>
      </c>
      <c r="AN419" s="392" t="s">
        <v>210</v>
      </c>
      <c r="AO419" s="341" t="s">
        <v>210</v>
      </c>
      <c r="AP419" s="342"/>
      <c r="AQ419" s="343"/>
      <c r="AR419" s="370">
        <v>2299</v>
      </c>
      <c r="AS419" s="326">
        <v>50</v>
      </c>
      <c r="AT419" s="392">
        <v>0.8</v>
      </c>
      <c r="AU419" s="392"/>
      <c r="AV419" s="392">
        <v>1.4</v>
      </c>
      <c r="AW419" s="340"/>
      <c r="AX419" s="347"/>
      <c r="AY419" s="348"/>
      <c r="AZ419" s="377"/>
      <c r="BA419" s="374"/>
      <c r="BB419" s="374"/>
      <c r="BC419" s="374"/>
      <c r="BD419" s="374"/>
      <c r="BE419" s="374"/>
      <c r="BF419" s="374"/>
      <c r="BG419" s="374"/>
      <c r="BH419" s="378"/>
      <c r="BI419" s="376"/>
      <c r="BJ419" s="379"/>
      <c r="BK419" s="380"/>
      <c r="BL419" s="348"/>
      <c r="BM419" s="381"/>
      <c r="BN419" s="321" t="s">
        <v>14</v>
      </c>
      <c r="BO419" s="372"/>
      <c r="BP419" s="373" t="s">
        <v>14</v>
      </c>
      <c r="BQ419" s="360"/>
      <c r="BR419" s="361"/>
      <c r="BS419" s="361"/>
      <c r="BT419" s="361"/>
      <c r="BU419" s="342" t="s">
        <v>210</v>
      </c>
      <c r="BV419" s="342" t="s">
        <v>210</v>
      </c>
      <c r="BW419" s="341" t="s">
        <v>15</v>
      </c>
      <c r="BX419" s="361"/>
      <c r="BY419" s="362"/>
      <c r="BZ419" s="363"/>
      <c r="CA419" s="363"/>
      <c r="CB419" s="363"/>
      <c r="CC419" s="363"/>
    </row>
    <row r="420" spans="1:82" ht="22.5" customHeight="1">
      <c r="B420" s="365">
        <v>260132</v>
      </c>
      <c r="C420" s="366" t="s">
        <v>13048</v>
      </c>
      <c r="D420" s="419"/>
      <c r="E420" s="368"/>
      <c r="F420" s="321" t="s">
        <v>237</v>
      </c>
      <c r="G420" s="326" t="s">
        <v>1948</v>
      </c>
      <c r="H420" s="326" t="s">
        <v>1949</v>
      </c>
      <c r="I420" s="326" t="s">
        <v>383</v>
      </c>
      <c r="J420" s="326" t="s">
        <v>399</v>
      </c>
      <c r="K420" s="326" t="s">
        <v>917</v>
      </c>
      <c r="L420" s="432" t="s">
        <v>210</v>
      </c>
      <c r="M420" s="324" t="s">
        <v>10767</v>
      </c>
      <c r="N420" s="325" t="s">
        <v>438</v>
      </c>
      <c r="O420" s="326">
        <v>73</v>
      </c>
      <c r="P420" s="327">
        <v>2771.74</v>
      </c>
      <c r="Q420" s="369">
        <v>2864.24</v>
      </c>
      <c r="R420" s="329" t="s">
        <v>1010</v>
      </c>
      <c r="S420" s="332" t="s">
        <v>11188</v>
      </c>
      <c r="T420" s="332" t="s">
        <v>11078</v>
      </c>
      <c r="U420" s="332" t="s">
        <v>16355</v>
      </c>
      <c r="V420" s="332" t="s">
        <v>12158</v>
      </c>
      <c r="W420" s="332" t="s">
        <v>432</v>
      </c>
      <c r="X420" s="331" t="s">
        <v>11079</v>
      </c>
      <c r="Y420" s="331" t="s">
        <v>11080</v>
      </c>
      <c r="Z420" s="331" t="s">
        <v>11080</v>
      </c>
      <c r="AA420" s="331" t="s">
        <v>997</v>
      </c>
      <c r="AB420" s="333"/>
      <c r="AC420" s="333"/>
      <c r="AD420" s="334" t="s">
        <v>730</v>
      </c>
      <c r="AE420" s="335" t="s">
        <v>1467</v>
      </c>
      <c r="AF420" s="706">
        <v>41874</v>
      </c>
      <c r="AG420" s="705">
        <v>42039</v>
      </c>
      <c r="AH420" s="417">
        <v>6.6</v>
      </c>
      <c r="AI420" s="392">
        <v>17</v>
      </c>
      <c r="AJ420" s="392">
        <v>17.899999999999999</v>
      </c>
      <c r="AK420" s="340">
        <f>SUM(AH420:AJ420)</f>
        <v>41.5</v>
      </c>
      <c r="AL420" s="417" t="s">
        <v>210</v>
      </c>
      <c r="AM420" s="392" t="s">
        <v>210</v>
      </c>
      <c r="AN420" s="392" t="s">
        <v>210</v>
      </c>
      <c r="AO420" s="341" t="s">
        <v>210</v>
      </c>
      <c r="AP420" s="342"/>
      <c r="AQ420" s="433" t="s">
        <v>4547</v>
      </c>
      <c r="AR420" s="370">
        <v>3283</v>
      </c>
      <c r="AS420" s="326">
        <v>100</v>
      </c>
      <c r="AT420" s="392">
        <v>0.6</v>
      </c>
      <c r="AU420" s="392"/>
      <c r="AV420" s="392">
        <v>0.6</v>
      </c>
      <c r="AW420" s="340"/>
      <c r="AX420" s="432" t="s">
        <v>210</v>
      </c>
      <c r="AY420" s="429" t="s">
        <v>622</v>
      </c>
      <c r="AZ420" s="377"/>
      <c r="BA420" s="374"/>
      <c r="BB420" s="374"/>
      <c r="BC420" s="374"/>
      <c r="BD420" s="374"/>
      <c r="BE420" s="374"/>
      <c r="BF420" s="374"/>
      <c r="BG420" s="374"/>
      <c r="BH420" s="378"/>
      <c r="BI420" s="376"/>
      <c r="BJ420" s="379"/>
      <c r="BK420" s="380"/>
      <c r="BL420" s="348"/>
      <c r="BM420" s="381"/>
      <c r="BN420" s="321" t="s">
        <v>210</v>
      </c>
      <c r="BO420" s="372"/>
      <c r="BP420" s="373" t="s">
        <v>14</v>
      </c>
      <c r="BQ420" s="360"/>
      <c r="BR420" s="361"/>
      <c r="BS420" s="361"/>
      <c r="BT420" s="361"/>
      <c r="BU420" s="342" t="s">
        <v>210</v>
      </c>
      <c r="BV420" s="342" t="s">
        <v>210</v>
      </c>
      <c r="BW420" s="341" t="s">
        <v>15</v>
      </c>
      <c r="BX420" s="361"/>
      <c r="BY420" s="362"/>
      <c r="BZ420" s="363"/>
      <c r="CA420" s="363"/>
      <c r="CB420" s="363"/>
      <c r="CC420" s="363"/>
    </row>
    <row r="421" spans="1:82" ht="22.5" customHeight="1">
      <c r="B421" s="365">
        <v>260133</v>
      </c>
      <c r="C421" s="366" t="s">
        <v>13852</v>
      </c>
      <c r="D421" s="419"/>
      <c r="E421" s="368"/>
      <c r="F421" s="321" t="s">
        <v>978</v>
      </c>
      <c r="G421" s="326" t="s">
        <v>1946</v>
      </c>
      <c r="H421" s="326" t="s">
        <v>1947</v>
      </c>
      <c r="I421" s="326" t="s">
        <v>383</v>
      </c>
      <c r="J421" s="326" t="s">
        <v>399</v>
      </c>
      <c r="K421" s="326" t="s">
        <v>977</v>
      </c>
      <c r="L421" s="323"/>
      <c r="M421" s="374"/>
      <c r="N421" s="325" t="s">
        <v>976</v>
      </c>
      <c r="O421" s="326" t="s">
        <v>210</v>
      </c>
      <c r="P421" s="327" t="s">
        <v>210</v>
      </c>
      <c r="Q421" s="369" t="s">
        <v>210</v>
      </c>
      <c r="R421" s="329" t="s">
        <v>974</v>
      </c>
      <c r="S421" s="331" t="s">
        <v>13854</v>
      </c>
      <c r="T421" s="331" t="s">
        <v>13853</v>
      </c>
      <c r="U421" s="331" t="s">
        <v>16223</v>
      </c>
      <c r="V421" s="331" t="s">
        <v>13855</v>
      </c>
      <c r="W421" s="332" t="s">
        <v>975</v>
      </c>
      <c r="X421" s="331" t="s">
        <v>13856</v>
      </c>
      <c r="Y421" s="394" t="s">
        <v>11201</v>
      </c>
      <c r="Z421" s="394" t="s">
        <v>11200</v>
      </c>
      <c r="AA421" s="331" t="s">
        <v>13857</v>
      </c>
      <c r="AB421" s="333"/>
      <c r="AC421" s="333"/>
      <c r="AD421" s="334" t="s">
        <v>1013</v>
      </c>
      <c r="AE421" s="335" t="s">
        <v>1448</v>
      </c>
      <c r="AF421" s="706">
        <v>41899</v>
      </c>
      <c r="AG421" s="705">
        <v>41932</v>
      </c>
      <c r="AH421" s="417" t="s">
        <v>210</v>
      </c>
      <c r="AI421" s="392" t="s">
        <v>210</v>
      </c>
      <c r="AJ421" s="392" t="s">
        <v>210</v>
      </c>
      <c r="AK421" s="340" t="s">
        <v>210</v>
      </c>
      <c r="AL421" s="417" t="s">
        <v>210</v>
      </c>
      <c r="AM421" s="392" t="s">
        <v>210</v>
      </c>
      <c r="AN421" s="392" t="s">
        <v>210</v>
      </c>
      <c r="AO421" s="341" t="s">
        <v>210</v>
      </c>
      <c r="AP421" s="342"/>
      <c r="AQ421" s="343"/>
      <c r="AR421" s="370">
        <v>592</v>
      </c>
      <c r="AS421" s="326">
        <v>80</v>
      </c>
      <c r="AT421" s="392">
        <v>1</v>
      </c>
      <c r="AU421" s="392"/>
      <c r="AV421" s="392">
        <v>1</v>
      </c>
      <c r="AW421" s="340"/>
      <c r="AX421" s="347"/>
      <c r="AY421" s="348"/>
      <c r="AZ421" s="377"/>
      <c r="BA421" s="374"/>
      <c r="BB421" s="374"/>
      <c r="BC421" s="374"/>
      <c r="BD421" s="374"/>
      <c r="BE421" s="374"/>
      <c r="BF421" s="374"/>
      <c r="BG421" s="374"/>
      <c r="BH421" s="378"/>
      <c r="BI421" s="376"/>
      <c r="BJ421" s="379"/>
      <c r="BK421" s="380"/>
      <c r="BL421" s="348"/>
      <c r="BM421" s="381"/>
      <c r="BN421" s="321" t="s">
        <v>14</v>
      </c>
      <c r="BO421" s="372"/>
      <c r="BP421" s="373" t="s">
        <v>210</v>
      </c>
      <c r="BQ421" s="360"/>
      <c r="BR421" s="361"/>
      <c r="BS421" s="361"/>
      <c r="BT421" s="361"/>
      <c r="BU421" s="342" t="s">
        <v>210</v>
      </c>
      <c r="BV421" s="342" t="s">
        <v>210</v>
      </c>
      <c r="BW421" s="341" t="s">
        <v>15</v>
      </c>
      <c r="BX421" s="361"/>
      <c r="BY421" s="362"/>
      <c r="BZ421" s="363"/>
      <c r="CA421" s="363"/>
      <c r="CB421" s="363"/>
      <c r="CC421" s="363"/>
    </row>
    <row r="422" spans="1:82" s="465" customFormat="1" ht="22.5" customHeight="1">
      <c r="A422" s="287"/>
      <c r="B422" s="657">
        <v>260134</v>
      </c>
      <c r="C422" s="658" t="s">
        <v>992</v>
      </c>
      <c r="D422" s="707"/>
      <c r="E422" s="660"/>
      <c r="F422" s="661" t="s">
        <v>271</v>
      </c>
      <c r="G422" s="662"/>
      <c r="H422" s="662"/>
      <c r="I422" s="662" t="s">
        <v>383</v>
      </c>
      <c r="J422" s="662" t="s">
        <v>399</v>
      </c>
      <c r="K422" s="662" t="s">
        <v>993</v>
      </c>
      <c r="L422" s="663"/>
      <c r="M422" s="662"/>
      <c r="N422" s="664" t="s">
        <v>994</v>
      </c>
      <c r="O422" s="662" t="s">
        <v>210</v>
      </c>
      <c r="P422" s="665" t="s">
        <v>210</v>
      </c>
      <c r="Q422" s="666" t="s">
        <v>210</v>
      </c>
      <c r="R422" s="667" t="s">
        <v>996</v>
      </c>
      <c r="S422" s="668" t="s">
        <v>13849</v>
      </c>
      <c r="T422" s="708" t="s">
        <v>13851</v>
      </c>
      <c r="U422" s="708" t="s">
        <v>13850</v>
      </c>
      <c r="V422" s="668" t="s">
        <v>13848</v>
      </c>
      <c r="W422" s="669" t="s">
        <v>996</v>
      </c>
      <c r="X422" s="668" t="s">
        <v>13849</v>
      </c>
      <c r="Y422" s="708" t="s">
        <v>13851</v>
      </c>
      <c r="Z422" s="708" t="s">
        <v>13850</v>
      </c>
      <c r="AA422" s="668" t="s">
        <v>13848</v>
      </c>
      <c r="AB422" s="670"/>
      <c r="AC422" s="670"/>
      <c r="AD422" s="671"/>
      <c r="AE422" s="672"/>
      <c r="AF422" s="673">
        <v>41906</v>
      </c>
      <c r="AG422" s="674" t="s">
        <v>10514</v>
      </c>
      <c r="AH422" s="675" t="s">
        <v>210</v>
      </c>
      <c r="AI422" s="676" t="s">
        <v>210</v>
      </c>
      <c r="AJ422" s="676" t="s">
        <v>210</v>
      </c>
      <c r="AK422" s="677" t="s">
        <v>210</v>
      </c>
      <c r="AL422" s="675" t="s">
        <v>210</v>
      </c>
      <c r="AM422" s="676" t="s">
        <v>210</v>
      </c>
      <c r="AN422" s="662" t="s">
        <v>14</v>
      </c>
      <c r="AO422" s="678" t="s">
        <v>210</v>
      </c>
      <c r="AP422" s="663"/>
      <c r="AQ422" s="679"/>
      <c r="AR422" s="680">
        <v>968</v>
      </c>
      <c r="AS422" s="662">
        <v>100</v>
      </c>
      <c r="AT422" s="676">
        <v>1</v>
      </c>
      <c r="AU422" s="676"/>
      <c r="AV422" s="676">
        <v>1.5</v>
      </c>
      <c r="AW422" s="677"/>
      <c r="AX422" s="676"/>
      <c r="AY422" s="681"/>
      <c r="AZ422" s="661"/>
      <c r="BA422" s="662"/>
      <c r="BB422" s="662"/>
      <c r="BC422" s="662"/>
      <c r="BD422" s="662"/>
      <c r="BE422" s="662"/>
      <c r="BF422" s="662"/>
      <c r="BG422" s="662"/>
      <c r="BH422" s="682"/>
      <c r="BI422" s="661"/>
      <c r="BJ422" s="683"/>
      <c r="BK422" s="684"/>
      <c r="BL422" s="681"/>
      <c r="BM422" s="685"/>
      <c r="BN422" s="661" t="s">
        <v>14</v>
      </c>
      <c r="BO422" s="686"/>
      <c r="BP422" s="682" t="s">
        <v>14</v>
      </c>
      <c r="BQ422" s="687"/>
      <c r="BR422" s="663"/>
      <c r="BS422" s="663"/>
      <c r="BT422" s="663"/>
      <c r="BU422" s="663" t="s">
        <v>5510</v>
      </c>
      <c r="BV422" s="663" t="s">
        <v>5510</v>
      </c>
      <c r="BW422" s="678" t="s">
        <v>210</v>
      </c>
      <c r="BX422" s="688"/>
      <c r="BY422" s="689" t="s">
        <v>1076</v>
      </c>
      <c r="BZ422" s="483"/>
      <c r="CA422" s="483"/>
      <c r="CB422" s="483"/>
      <c r="CC422" s="483"/>
      <c r="CD422" s="484"/>
    </row>
    <row r="423" spans="1:82" ht="22.5" customHeight="1">
      <c r="B423" s="365">
        <v>260135</v>
      </c>
      <c r="C423" s="366" t="s">
        <v>13844</v>
      </c>
      <c r="D423" s="419"/>
      <c r="E423" s="368"/>
      <c r="F423" s="321" t="s">
        <v>265</v>
      </c>
      <c r="G423" s="326" t="s">
        <v>1944</v>
      </c>
      <c r="H423" s="326" t="s">
        <v>1945</v>
      </c>
      <c r="I423" s="326" t="s">
        <v>383</v>
      </c>
      <c r="J423" s="326" t="s">
        <v>399</v>
      </c>
      <c r="K423" s="326" t="s">
        <v>977</v>
      </c>
      <c r="L423" s="323"/>
      <c r="M423" s="374"/>
      <c r="N423" s="325" t="s">
        <v>438</v>
      </c>
      <c r="O423" s="326" t="s">
        <v>210</v>
      </c>
      <c r="P423" s="326" t="s">
        <v>210</v>
      </c>
      <c r="Q423" s="373" t="s">
        <v>210</v>
      </c>
      <c r="R423" s="329" t="s">
        <v>1009</v>
      </c>
      <c r="S423" s="331" t="s">
        <v>13845</v>
      </c>
      <c r="T423" s="331" t="s">
        <v>13846</v>
      </c>
      <c r="U423" s="331" t="s">
        <v>16224</v>
      </c>
      <c r="V423" s="331" t="s">
        <v>13847</v>
      </c>
      <c r="W423" s="332" t="s">
        <v>644</v>
      </c>
      <c r="X423" s="394" t="s">
        <v>12044</v>
      </c>
      <c r="Y423" s="394" t="s">
        <v>11201</v>
      </c>
      <c r="Z423" s="394" t="s">
        <v>11200</v>
      </c>
      <c r="AA423" s="394" t="s">
        <v>12045</v>
      </c>
      <c r="AB423" s="333" t="s">
        <v>4334</v>
      </c>
      <c r="AC423" s="333"/>
      <c r="AD423" s="334" t="s">
        <v>1025</v>
      </c>
      <c r="AE423" s="335" t="s">
        <v>1026</v>
      </c>
      <c r="AF423" s="706">
        <v>41904</v>
      </c>
      <c r="AG423" s="705">
        <v>41965</v>
      </c>
      <c r="AH423" s="417" t="s">
        <v>210</v>
      </c>
      <c r="AI423" s="392" t="s">
        <v>210</v>
      </c>
      <c r="AJ423" s="392" t="s">
        <v>210</v>
      </c>
      <c r="AK423" s="340" t="s">
        <v>210</v>
      </c>
      <c r="AL423" s="417" t="s">
        <v>210</v>
      </c>
      <c r="AM423" s="392" t="s">
        <v>210</v>
      </c>
      <c r="AN423" s="392" t="s">
        <v>210</v>
      </c>
      <c r="AO423" s="341" t="s">
        <v>210</v>
      </c>
      <c r="AP423" s="342"/>
      <c r="AQ423" s="343"/>
      <c r="AR423" s="370">
        <f>773+298</f>
        <v>1071</v>
      </c>
      <c r="AS423" s="326">
        <v>100</v>
      </c>
      <c r="AT423" s="392">
        <v>1</v>
      </c>
      <c r="AU423" s="392"/>
      <c r="AV423" s="392">
        <v>1.5</v>
      </c>
      <c r="AW423" s="340"/>
      <c r="AX423" s="347"/>
      <c r="AY423" s="348"/>
      <c r="AZ423" s="377"/>
      <c r="BA423" s="374"/>
      <c r="BB423" s="374"/>
      <c r="BC423" s="374"/>
      <c r="BD423" s="374"/>
      <c r="BE423" s="374"/>
      <c r="BF423" s="374"/>
      <c r="BG423" s="374"/>
      <c r="BH423" s="378"/>
      <c r="BI423" s="377"/>
      <c r="BJ423" s="379"/>
      <c r="BK423" s="380"/>
      <c r="BL423" s="348"/>
      <c r="BM423" s="381"/>
      <c r="BN423" s="321" t="s">
        <v>622</v>
      </c>
      <c r="BO423" s="372"/>
      <c r="BP423" s="373" t="s">
        <v>14</v>
      </c>
      <c r="BQ423" s="360"/>
      <c r="BR423" s="361"/>
      <c r="BS423" s="361"/>
      <c r="BT423" s="361"/>
      <c r="BU423" s="342" t="s">
        <v>210</v>
      </c>
      <c r="BV423" s="342" t="s">
        <v>210</v>
      </c>
      <c r="BW423" s="341" t="s">
        <v>15</v>
      </c>
      <c r="BX423" s="361"/>
      <c r="BY423" s="362"/>
      <c r="BZ423" s="363"/>
      <c r="CA423" s="363"/>
      <c r="CB423" s="363"/>
      <c r="CC423" s="363"/>
    </row>
    <row r="424" spans="1:82" s="465" customFormat="1" ht="22.5" customHeight="1">
      <c r="A424" s="287"/>
      <c r="B424" s="657">
        <v>260136</v>
      </c>
      <c r="C424" s="658" t="s">
        <v>973</v>
      </c>
      <c r="D424" s="707"/>
      <c r="E424" s="660"/>
      <c r="F424" s="661" t="s">
        <v>981</v>
      </c>
      <c r="G424" s="662"/>
      <c r="H424" s="662"/>
      <c r="I424" s="662" t="s">
        <v>383</v>
      </c>
      <c r="J424" s="662" t="s">
        <v>387</v>
      </c>
      <c r="K424" s="662" t="s">
        <v>917</v>
      </c>
      <c r="L424" s="663"/>
      <c r="M424" s="662"/>
      <c r="N424" s="664" t="s">
        <v>438</v>
      </c>
      <c r="O424" s="662" t="s">
        <v>210</v>
      </c>
      <c r="P424" s="662" t="s">
        <v>210</v>
      </c>
      <c r="Q424" s="682" t="s">
        <v>210</v>
      </c>
      <c r="R424" s="667" t="s">
        <v>1001</v>
      </c>
      <c r="S424" s="668" t="s">
        <v>13840</v>
      </c>
      <c r="T424" s="668" t="s">
        <v>13841</v>
      </c>
      <c r="U424" s="668" t="s">
        <v>13842</v>
      </c>
      <c r="V424" s="668" t="s">
        <v>13843</v>
      </c>
      <c r="W424" s="669" t="s">
        <v>712</v>
      </c>
      <c r="X424" s="668" t="s">
        <v>13839</v>
      </c>
      <c r="Y424" s="668" t="s">
        <v>13838</v>
      </c>
      <c r="Z424" s="668" t="s">
        <v>13837</v>
      </c>
      <c r="AA424" s="668" t="s">
        <v>13836</v>
      </c>
      <c r="AB424" s="670"/>
      <c r="AC424" s="670"/>
      <c r="AD424" s="671"/>
      <c r="AE424" s="672"/>
      <c r="AF424" s="673">
        <v>41894</v>
      </c>
      <c r="AG424" s="674" t="s">
        <v>10514</v>
      </c>
      <c r="AH424" s="675" t="s">
        <v>210</v>
      </c>
      <c r="AI424" s="676" t="s">
        <v>210</v>
      </c>
      <c r="AJ424" s="676" t="s">
        <v>210</v>
      </c>
      <c r="AK424" s="677" t="s">
        <v>210</v>
      </c>
      <c r="AL424" s="675" t="s">
        <v>210</v>
      </c>
      <c r="AM424" s="676" t="s">
        <v>210</v>
      </c>
      <c r="AN424" s="662" t="s">
        <v>14</v>
      </c>
      <c r="AO424" s="678" t="s">
        <v>210</v>
      </c>
      <c r="AP424" s="663"/>
      <c r="AQ424" s="679"/>
      <c r="AR424" s="680"/>
      <c r="AS424" s="662">
        <v>150</v>
      </c>
      <c r="AT424" s="676">
        <v>1</v>
      </c>
      <c r="AU424" s="676"/>
      <c r="AV424" s="676">
        <v>1.5</v>
      </c>
      <c r="AW424" s="677"/>
      <c r="AX424" s="676"/>
      <c r="AY424" s="681"/>
      <c r="AZ424" s="661"/>
      <c r="BA424" s="662"/>
      <c r="BB424" s="662"/>
      <c r="BC424" s="662"/>
      <c r="BD424" s="662"/>
      <c r="BE424" s="662"/>
      <c r="BF424" s="662"/>
      <c r="BG424" s="662"/>
      <c r="BH424" s="682"/>
      <c r="BI424" s="661"/>
      <c r="BJ424" s="683"/>
      <c r="BK424" s="684"/>
      <c r="BL424" s="681"/>
      <c r="BM424" s="685"/>
      <c r="BN424" s="661" t="s">
        <v>622</v>
      </c>
      <c r="BO424" s="686"/>
      <c r="BP424" s="682" t="s">
        <v>1078</v>
      </c>
      <c r="BQ424" s="687"/>
      <c r="BR424" s="663"/>
      <c r="BS424" s="663"/>
      <c r="BT424" s="663"/>
      <c r="BU424" s="663" t="s">
        <v>5510</v>
      </c>
      <c r="BV424" s="663" t="s">
        <v>5510</v>
      </c>
      <c r="BW424" s="678" t="s">
        <v>210</v>
      </c>
      <c r="BX424" s="688"/>
      <c r="BY424" s="689" t="s">
        <v>1076</v>
      </c>
      <c r="BZ424" s="483"/>
      <c r="CA424" s="483"/>
      <c r="CB424" s="483"/>
      <c r="CC424" s="483"/>
      <c r="CD424" s="484"/>
    </row>
    <row r="425" spans="1:82" ht="22.5" customHeight="1">
      <c r="B425" s="365">
        <v>260138</v>
      </c>
      <c r="C425" s="366" t="s">
        <v>7784</v>
      </c>
      <c r="D425" s="419"/>
      <c r="E425" s="368"/>
      <c r="F425" s="321" t="s">
        <v>1007</v>
      </c>
      <c r="G425" s="326" t="s">
        <v>1935</v>
      </c>
      <c r="H425" s="326" t="s">
        <v>1943</v>
      </c>
      <c r="I425" s="326" t="s">
        <v>383</v>
      </c>
      <c r="J425" s="326" t="s">
        <v>399</v>
      </c>
      <c r="K425" s="326" t="s">
        <v>917</v>
      </c>
      <c r="L425" s="323"/>
      <c r="M425" s="324" t="s">
        <v>10775</v>
      </c>
      <c r="N425" s="325" t="s">
        <v>437</v>
      </c>
      <c r="O425" s="326" t="s">
        <v>210</v>
      </c>
      <c r="P425" s="326" t="s">
        <v>210</v>
      </c>
      <c r="Q425" s="373" t="s">
        <v>210</v>
      </c>
      <c r="R425" s="329" t="s">
        <v>1084</v>
      </c>
      <c r="S425" s="331" t="s">
        <v>13833</v>
      </c>
      <c r="T425" s="331" t="s">
        <v>13834</v>
      </c>
      <c r="U425" s="331" t="s">
        <v>16452</v>
      </c>
      <c r="V425" s="331" t="s">
        <v>13832</v>
      </c>
      <c r="W425" s="332" t="s">
        <v>1114</v>
      </c>
      <c r="X425" s="332" t="s">
        <v>13835</v>
      </c>
      <c r="Y425" s="332" t="s">
        <v>11625</v>
      </c>
      <c r="Z425" s="332" t="s">
        <v>16479</v>
      </c>
      <c r="AA425" s="332" t="s">
        <v>11627</v>
      </c>
      <c r="AB425" s="333"/>
      <c r="AC425" s="333"/>
      <c r="AD425" s="334" t="s">
        <v>305</v>
      </c>
      <c r="AE425" s="335" t="s">
        <v>1006</v>
      </c>
      <c r="AF425" s="706">
        <v>41878</v>
      </c>
      <c r="AG425" s="705">
        <v>41943</v>
      </c>
      <c r="AH425" s="417" t="s">
        <v>210</v>
      </c>
      <c r="AI425" s="392" t="s">
        <v>210</v>
      </c>
      <c r="AJ425" s="392" t="s">
        <v>210</v>
      </c>
      <c r="AK425" s="340" t="s">
        <v>210</v>
      </c>
      <c r="AL425" s="417" t="s">
        <v>1006</v>
      </c>
      <c r="AM425" s="392" t="s">
        <v>210</v>
      </c>
      <c r="AN425" s="392" t="s">
        <v>210</v>
      </c>
      <c r="AO425" s="341" t="s">
        <v>210</v>
      </c>
      <c r="AP425" s="342"/>
      <c r="AQ425" s="343"/>
      <c r="AR425" s="370">
        <v>1360</v>
      </c>
      <c r="AS425" s="326">
        <v>100</v>
      </c>
      <c r="AT425" s="392">
        <v>1</v>
      </c>
      <c r="AU425" s="392"/>
      <c r="AV425" s="392">
        <v>1.5</v>
      </c>
      <c r="AW425" s="340"/>
      <c r="AX425" s="347"/>
      <c r="AY425" s="348"/>
      <c r="AZ425" s="377"/>
      <c r="BA425" s="374"/>
      <c r="BB425" s="374"/>
      <c r="BC425" s="374"/>
      <c r="BD425" s="374"/>
      <c r="BE425" s="374"/>
      <c r="BF425" s="374"/>
      <c r="BG425" s="374"/>
      <c r="BH425" s="378"/>
      <c r="BI425" s="377"/>
      <c r="BJ425" s="379"/>
      <c r="BK425" s="380"/>
      <c r="BL425" s="348"/>
      <c r="BM425" s="381"/>
      <c r="BN425" s="321" t="s">
        <v>14</v>
      </c>
      <c r="BO425" s="372">
        <v>1.01</v>
      </c>
      <c r="BP425" s="373" t="s">
        <v>14</v>
      </c>
      <c r="BQ425" s="360"/>
      <c r="BR425" s="361"/>
      <c r="BS425" s="361"/>
      <c r="BT425" s="361"/>
      <c r="BU425" s="342" t="s">
        <v>210</v>
      </c>
      <c r="BV425" s="342" t="s">
        <v>210</v>
      </c>
      <c r="BW425" s="341" t="s">
        <v>15</v>
      </c>
      <c r="BX425" s="361"/>
      <c r="BY425" s="362"/>
      <c r="BZ425" s="363"/>
      <c r="CA425" s="363"/>
      <c r="CB425" s="363"/>
      <c r="CC425" s="363"/>
    </row>
    <row r="426" spans="1:82" ht="22.5" customHeight="1">
      <c r="B426" s="365">
        <v>260139</v>
      </c>
      <c r="C426" s="366" t="s">
        <v>1004</v>
      </c>
      <c r="D426" s="419"/>
      <c r="E426" s="368"/>
      <c r="F426" s="321" t="s">
        <v>1008</v>
      </c>
      <c r="G426" s="326" t="s">
        <v>1941</v>
      </c>
      <c r="H426" s="326" t="s">
        <v>1942</v>
      </c>
      <c r="I426" s="326" t="s">
        <v>383</v>
      </c>
      <c r="J426" s="326" t="s">
        <v>399</v>
      </c>
      <c r="K426" s="326" t="s">
        <v>917</v>
      </c>
      <c r="L426" s="323"/>
      <c r="M426" s="324" t="s">
        <v>10767</v>
      </c>
      <c r="N426" s="325" t="s">
        <v>437</v>
      </c>
      <c r="O426" s="326">
        <v>26</v>
      </c>
      <c r="P426" s="327">
        <v>221</v>
      </c>
      <c r="Q426" s="369">
        <v>255</v>
      </c>
      <c r="R426" s="329" t="s">
        <v>1104</v>
      </c>
      <c r="S426" s="394" t="s">
        <v>11497</v>
      </c>
      <c r="T426" s="394" t="s">
        <v>11322</v>
      </c>
      <c r="U426" s="394" t="s">
        <v>11321</v>
      </c>
      <c r="V426" s="394" t="s">
        <v>12859</v>
      </c>
      <c r="W426" s="332" t="s">
        <v>432</v>
      </c>
      <c r="X426" s="331" t="s">
        <v>11079</v>
      </c>
      <c r="Y426" s="331" t="s">
        <v>11080</v>
      </c>
      <c r="Z426" s="331" t="s">
        <v>11080</v>
      </c>
      <c r="AA426" s="331" t="s">
        <v>210</v>
      </c>
      <c r="AB426" s="333"/>
      <c r="AC426" s="333"/>
      <c r="AD426" s="334" t="s">
        <v>8768</v>
      </c>
      <c r="AE426" s="335" t="s">
        <v>1006</v>
      </c>
      <c r="AF426" s="706">
        <v>41908</v>
      </c>
      <c r="AG426" s="705">
        <v>41950</v>
      </c>
      <c r="AH426" s="417">
        <v>16.399999999999999</v>
      </c>
      <c r="AI426" s="392">
        <v>22.1</v>
      </c>
      <c r="AJ426" s="392">
        <v>9.9</v>
      </c>
      <c r="AK426" s="340">
        <f>SUM(AH426:AJ426)</f>
        <v>48.4</v>
      </c>
      <c r="AL426" s="417" t="s">
        <v>210</v>
      </c>
      <c r="AM426" s="392" t="s">
        <v>210</v>
      </c>
      <c r="AN426" s="392" t="s">
        <v>210</v>
      </c>
      <c r="AO426" s="341" t="s">
        <v>210</v>
      </c>
      <c r="AP426" s="342"/>
      <c r="AQ426" s="343"/>
      <c r="AR426" s="370">
        <v>312</v>
      </c>
      <c r="AS426" s="326">
        <v>100</v>
      </c>
      <c r="AT426" s="392">
        <v>0.8</v>
      </c>
      <c r="AU426" s="392"/>
      <c r="AV426" s="392">
        <v>1</v>
      </c>
      <c r="AW426" s="340"/>
      <c r="AX426" s="347"/>
      <c r="AY426" s="348"/>
      <c r="AZ426" s="377"/>
      <c r="BA426" s="374"/>
      <c r="BB426" s="374"/>
      <c r="BC426" s="374"/>
      <c r="BD426" s="374"/>
      <c r="BE426" s="374"/>
      <c r="BF426" s="374"/>
      <c r="BG426" s="374"/>
      <c r="BH426" s="378"/>
      <c r="BI426" s="377"/>
      <c r="BJ426" s="379"/>
      <c r="BK426" s="380"/>
      <c r="BL426" s="348"/>
      <c r="BM426" s="381"/>
      <c r="BN426" s="417" t="s">
        <v>1044</v>
      </c>
      <c r="BO426" s="372"/>
      <c r="BP426" s="340" t="s">
        <v>210</v>
      </c>
      <c r="BQ426" s="360"/>
      <c r="BR426" s="361"/>
      <c r="BS426" s="361"/>
      <c r="BT426" s="361"/>
      <c r="BU426" s="342" t="s">
        <v>210</v>
      </c>
      <c r="BV426" s="342" t="s">
        <v>210</v>
      </c>
      <c r="BW426" s="341" t="s">
        <v>15</v>
      </c>
      <c r="BX426" s="361"/>
      <c r="BY426" s="362"/>
      <c r="BZ426" s="363"/>
      <c r="CA426" s="363"/>
      <c r="CB426" s="363"/>
      <c r="CC426" s="363"/>
    </row>
    <row r="427" spans="1:82" ht="22.5" customHeight="1">
      <c r="B427" s="365">
        <v>260141</v>
      </c>
      <c r="C427" s="366" t="s">
        <v>1029</v>
      </c>
      <c r="D427" s="419"/>
      <c r="E427" s="368"/>
      <c r="F427" s="321" t="s">
        <v>233</v>
      </c>
      <c r="G427" s="326" t="s">
        <v>1939</v>
      </c>
      <c r="H427" s="326" t="s">
        <v>1940</v>
      </c>
      <c r="I427" s="326" t="s">
        <v>383</v>
      </c>
      <c r="J427" s="326" t="s">
        <v>399</v>
      </c>
      <c r="K427" s="326" t="s">
        <v>917</v>
      </c>
      <c r="L427" s="432" t="s">
        <v>210</v>
      </c>
      <c r="M427" s="324" t="s">
        <v>10767</v>
      </c>
      <c r="N427" s="325" t="s">
        <v>438</v>
      </c>
      <c r="O427" s="326">
        <v>20</v>
      </c>
      <c r="P427" s="327">
        <v>2887.56</v>
      </c>
      <c r="Q427" s="369">
        <v>3001.81</v>
      </c>
      <c r="R427" s="329" t="s">
        <v>447</v>
      </c>
      <c r="S427" s="332" t="s">
        <v>11077</v>
      </c>
      <c r="T427" s="332" t="s">
        <v>11078</v>
      </c>
      <c r="U427" s="332" t="s">
        <v>16355</v>
      </c>
      <c r="V427" s="332" t="s">
        <v>11133</v>
      </c>
      <c r="W427" s="332" t="s">
        <v>432</v>
      </c>
      <c r="X427" s="331" t="s">
        <v>11079</v>
      </c>
      <c r="Y427" s="331" t="s">
        <v>11080</v>
      </c>
      <c r="Z427" s="331" t="s">
        <v>11080</v>
      </c>
      <c r="AA427" s="331" t="s">
        <v>210</v>
      </c>
      <c r="AB427" s="333"/>
      <c r="AC427" s="333"/>
      <c r="AD427" s="334" t="s">
        <v>730</v>
      </c>
      <c r="AE427" s="335" t="s">
        <v>1845</v>
      </c>
      <c r="AF427" s="706">
        <v>41914</v>
      </c>
      <c r="AG427" s="705">
        <v>41660</v>
      </c>
      <c r="AH427" s="417">
        <v>4.7</v>
      </c>
      <c r="AI427" s="392">
        <v>15.4</v>
      </c>
      <c r="AJ427" s="392">
        <v>16</v>
      </c>
      <c r="AK427" s="340">
        <f>SUM(AH427:AJ427)</f>
        <v>36.1</v>
      </c>
      <c r="AL427" s="417" t="s">
        <v>210</v>
      </c>
      <c r="AM427" s="392" t="s">
        <v>210</v>
      </c>
      <c r="AN427" s="392" t="s">
        <v>210</v>
      </c>
      <c r="AO427" s="341" t="s">
        <v>210</v>
      </c>
      <c r="AP427" s="342"/>
      <c r="AQ427" s="433" t="s">
        <v>4547</v>
      </c>
      <c r="AR427" s="370">
        <v>3390</v>
      </c>
      <c r="AS427" s="326">
        <v>100</v>
      </c>
      <c r="AT427" s="392">
        <v>0.8</v>
      </c>
      <c r="AU427" s="392"/>
      <c r="AV427" s="392">
        <v>1.2</v>
      </c>
      <c r="AW427" s="340"/>
      <c r="AX427" s="432" t="s">
        <v>210</v>
      </c>
      <c r="AY427" s="429" t="s">
        <v>622</v>
      </c>
      <c r="AZ427" s="377"/>
      <c r="BA427" s="374"/>
      <c r="BB427" s="374"/>
      <c r="BC427" s="374"/>
      <c r="BD427" s="374"/>
      <c r="BE427" s="374"/>
      <c r="BF427" s="374"/>
      <c r="BG427" s="374"/>
      <c r="BH427" s="378"/>
      <c r="BI427" s="377"/>
      <c r="BJ427" s="379"/>
      <c r="BK427" s="380"/>
      <c r="BL427" s="348"/>
      <c r="BM427" s="381"/>
      <c r="BN427" s="417" t="s">
        <v>210</v>
      </c>
      <c r="BO427" s="372"/>
      <c r="BP427" s="340" t="s">
        <v>210</v>
      </c>
      <c r="BQ427" s="360"/>
      <c r="BR427" s="361"/>
      <c r="BS427" s="361"/>
      <c r="BT427" s="361"/>
      <c r="BU427" s="342" t="s">
        <v>210</v>
      </c>
      <c r="BV427" s="342" t="s">
        <v>210</v>
      </c>
      <c r="BW427" s="341" t="s">
        <v>15</v>
      </c>
      <c r="BX427" s="361"/>
      <c r="BY427" s="362"/>
      <c r="BZ427" s="363"/>
      <c r="CA427" s="363"/>
      <c r="CB427" s="363"/>
      <c r="CC427" s="363"/>
    </row>
    <row r="428" spans="1:82" s="465" customFormat="1" ht="22.5" customHeight="1">
      <c r="A428" s="287"/>
      <c r="B428" s="657">
        <v>260143</v>
      </c>
      <c r="C428" s="658" t="s">
        <v>13831</v>
      </c>
      <c r="D428" s="707"/>
      <c r="E428" s="660"/>
      <c r="F428" s="661" t="s">
        <v>1041</v>
      </c>
      <c r="G428" s="662"/>
      <c r="H428" s="662"/>
      <c r="I428" s="662" t="s">
        <v>383</v>
      </c>
      <c r="J428" s="662" t="s">
        <v>399</v>
      </c>
      <c r="K428" s="662" t="s">
        <v>247</v>
      </c>
      <c r="L428" s="663"/>
      <c r="M428" s="662"/>
      <c r="N428" s="664" t="s">
        <v>1042</v>
      </c>
      <c r="O428" s="662">
        <v>0</v>
      </c>
      <c r="P428" s="665" t="s">
        <v>1055</v>
      </c>
      <c r="Q428" s="666" t="s">
        <v>1055</v>
      </c>
      <c r="R428" s="667" t="s">
        <v>1040</v>
      </c>
      <c r="S428" s="668"/>
      <c r="T428" s="668"/>
      <c r="U428" s="668"/>
      <c r="V428" s="668"/>
      <c r="W428" s="669" t="s">
        <v>432</v>
      </c>
      <c r="X428" s="668" t="s">
        <v>11082</v>
      </c>
      <c r="Y428" s="668" t="s">
        <v>11082</v>
      </c>
      <c r="Z428" s="668" t="s">
        <v>11083</v>
      </c>
      <c r="AA428" s="668" t="s">
        <v>210</v>
      </c>
      <c r="AB428" s="670" t="s">
        <v>2269</v>
      </c>
      <c r="AC428" s="670"/>
      <c r="AD428" s="671"/>
      <c r="AE428" s="672"/>
      <c r="AF428" s="673">
        <v>41934</v>
      </c>
      <c r="AG428" s="674" t="s">
        <v>10514</v>
      </c>
      <c r="AH428" s="675"/>
      <c r="AI428" s="676"/>
      <c r="AJ428" s="676"/>
      <c r="AK428" s="677"/>
      <c r="AL428" s="675" t="s">
        <v>210</v>
      </c>
      <c r="AM428" s="676" t="s">
        <v>210</v>
      </c>
      <c r="AN428" s="676" t="s">
        <v>210</v>
      </c>
      <c r="AO428" s="678" t="s">
        <v>210</v>
      </c>
      <c r="AP428" s="663"/>
      <c r="AQ428" s="679"/>
      <c r="AR428" s="680">
        <v>9713</v>
      </c>
      <c r="AS428" s="662">
        <v>100</v>
      </c>
      <c r="AT428" s="676">
        <v>1</v>
      </c>
      <c r="AU428" s="676"/>
      <c r="AV428" s="676">
        <v>1.5</v>
      </c>
      <c r="AW428" s="678"/>
      <c r="AX428" s="675"/>
      <c r="AY428" s="681"/>
      <c r="AZ428" s="661"/>
      <c r="BA428" s="662"/>
      <c r="BB428" s="662"/>
      <c r="BC428" s="662"/>
      <c r="BD428" s="662"/>
      <c r="BE428" s="662"/>
      <c r="BF428" s="662"/>
      <c r="BG428" s="662"/>
      <c r="BH428" s="682"/>
      <c r="BI428" s="661"/>
      <c r="BJ428" s="683"/>
      <c r="BK428" s="684"/>
      <c r="BL428" s="681"/>
      <c r="BM428" s="685"/>
      <c r="BN428" s="675" t="s">
        <v>210</v>
      </c>
      <c r="BO428" s="686"/>
      <c r="BP428" s="677" t="s">
        <v>210</v>
      </c>
      <c r="BQ428" s="687"/>
      <c r="BR428" s="663"/>
      <c r="BS428" s="663"/>
      <c r="BT428" s="663"/>
      <c r="BU428" s="663" t="s">
        <v>5510</v>
      </c>
      <c r="BV428" s="663" t="s">
        <v>5510</v>
      </c>
      <c r="BW428" s="678" t="s">
        <v>15</v>
      </c>
      <c r="BX428" s="688"/>
      <c r="BY428" s="689"/>
      <c r="BZ428" s="483"/>
      <c r="CA428" s="483"/>
      <c r="CB428" s="483"/>
      <c r="CC428" s="483"/>
      <c r="CD428" s="484"/>
    </row>
    <row r="429" spans="1:82" ht="22.5" customHeight="1">
      <c r="B429" s="365">
        <v>260145</v>
      </c>
      <c r="C429" s="366" t="s">
        <v>1039</v>
      </c>
      <c r="D429" s="419"/>
      <c r="E429" s="368"/>
      <c r="F429" s="321" t="s">
        <v>271</v>
      </c>
      <c r="G429" s="709" t="s">
        <v>1937</v>
      </c>
      <c r="H429" s="326" t="s">
        <v>1938</v>
      </c>
      <c r="I429" s="326" t="s">
        <v>383</v>
      </c>
      <c r="J429" s="326" t="s">
        <v>399</v>
      </c>
      <c r="K429" s="326" t="s">
        <v>917</v>
      </c>
      <c r="L429" s="323"/>
      <c r="M429" s="374"/>
      <c r="N429" s="325" t="s">
        <v>1056</v>
      </c>
      <c r="O429" s="326" t="s">
        <v>1055</v>
      </c>
      <c r="P429" s="327" t="s">
        <v>1055</v>
      </c>
      <c r="Q429" s="369" t="s">
        <v>1055</v>
      </c>
      <c r="R429" s="329" t="s">
        <v>996</v>
      </c>
      <c r="S429" s="331" t="s">
        <v>13828</v>
      </c>
      <c r="T429" s="394" t="s">
        <v>12147</v>
      </c>
      <c r="U429" s="394" t="s">
        <v>12146</v>
      </c>
      <c r="V429" s="331" t="s">
        <v>13829</v>
      </c>
      <c r="W429" s="332" t="s">
        <v>592</v>
      </c>
      <c r="X429" s="331" t="s">
        <v>13830</v>
      </c>
      <c r="Y429" s="332" t="s">
        <v>11377</v>
      </c>
      <c r="Z429" s="332" t="s">
        <v>16509</v>
      </c>
      <c r="AA429" s="332" t="s">
        <v>11658</v>
      </c>
      <c r="AB429" s="333"/>
      <c r="AC429" s="416"/>
      <c r="AD429" s="375"/>
      <c r="AE429" s="391"/>
      <c r="AF429" s="706">
        <v>41936</v>
      </c>
      <c r="AG429" s="705">
        <v>42061</v>
      </c>
      <c r="AH429" s="417" t="s">
        <v>210</v>
      </c>
      <c r="AI429" s="392" t="s">
        <v>210</v>
      </c>
      <c r="AJ429" s="392" t="s">
        <v>210</v>
      </c>
      <c r="AK429" s="340" t="s">
        <v>210</v>
      </c>
      <c r="AL429" s="417" t="s">
        <v>210</v>
      </c>
      <c r="AM429" s="392" t="s">
        <v>210</v>
      </c>
      <c r="AN429" s="392" t="s">
        <v>210</v>
      </c>
      <c r="AO429" s="341" t="s">
        <v>210</v>
      </c>
      <c r="AP429" s="342"/>
      <c r="AQ429" s="343"/>
      <c r="AR429" s="370">
        <v>2848</v>
      </c>
      <c r="AS429" s="326">
        <v>50</v>
      </c>
      <c r="AT429" s="392">
        <v>0.6</v>
      </c>
      <c r="AU429" s="392"/>
      <c r="AV429" s="392">
        <v>0.6</v>
      </c>
      <c r="AW429" s="341"/>
      <c r="AX429" s="376"/>
      <c r="AY429" s="348"/>
      <c r="AZ429" s="377"/>
      <c r="BA429" s="374"/>
      <c r="BB429" s="374"/>
      <c r="BC429" s="374"/>
      <c r="BD429" s="374"/>
      <c r="BE429" s="374"/>
      <c r="BF429" s="374"/>
      <c r="BG429" s="374"/>
      <c r="BH429" s="378"/>
      <c r="BI429" s="377"/>
      <c r="BJ429" s="379"/>
      <c r="BK429" s="380"/>
      <c r="BL429" s="348"/>
      <c r="BM429" s="381"/>
      <c r="BN429" s="417" t="s">
        <v>210</v>
      </c>
      <c r="BO429" s="372"/>
      <c r="BP429" s="340" t="s">
        <v>210</v>
      </c>
      <c r="BQ429" s="360"/>
      <c r="BR429" s="361"/>
      <c r="BS429" s="361"/>
      <c r="BT429" s="361"/>
      <c r="BU429" s="342" t="s">
        <v>210</v>
      </c>
      <c r="BV429" s="342" t="s">
        <v>210</v>
      </c>
      <c r="BW429" s="341" t="s">
        <v>15</v>
      </c>
      <c r="BX429" s="361"/>
      <c r="BY429" s="362"/>
      <c r="BZ429" s="363"/>
      <c r="CA429" s="363"/>
      <c r="CB429" s="363"/>
      <c r="CC429" s="363"/>
    </row>
    <row r="430" spans="1:82" ht="22.5" customHeight="1">
      <c r="B430" s="365">
        <v>260146</v>
      </c>
      <c r="C430" s="366" t="s">
        <v>13827</v>
      </c>
      <c r="D430" s="419"/>
      <c r="E430" s="368"/>
      <c r="F430" s="321" t="s">
        <v>228</v>
      </c>
      <c r="G430" s="326" t="s">
        <v>1895</v>
      </c>
      <c r="H430" s="326" t="s">
        <v>1896</v>
      </c>
      <c r="I430" s="326" t="s">
        <v>383</v>
      </c>
      <c r="J430" s="326" t="s">
        <v>399</v>
      </c>
      <c r="K430" s="326" t="s">
        <v>917</v>
      </c>
      <c r="L430" s="323"/>
      <c r="M430" s="374"/>
      <c r="N430" s="325" t="s">
        <v>1056</v>
      </c>
      <c r="O430" s="326" t="s">
        <v>210</v>
      </c>
      <c r="P430" s="327" t="s">
        <v>1055</v>
      </c>
      <c r="Q430" s="369" t="s">
        <v>1055</v>
      </c>
      <c r="R430" s="329" t="s">
        <v>442</v>
      </c>
      <c r="S430" s="394" t="s">
        <v>12566</v>
      </c>
      <c r="T430" s="394" t="s">
        <v>12567</v>
      </c>
      <c r="U430" s="394" t="s">
        <v>16336</v>
      </c>
      <c r="V430" s="394" t="s">
        <v>12568</v>
      </c>
      <c r="W430" s="710"/>
      <c r="X430" s="331"/>
      <c r="Y430" s="331"/>
      <c r="Z430" s="331"/>
      <c r="AA430" s="331"/>
      <c r="AB430" s="333"/>
      <c r="AC430" s="333"/>
      <c r="AD430" s="334" t="s">
        <v>1418</v>
      </c>
      <c r="AE430" s="335" t="s">
        <v>1420</v>
      </c>
      <c r="AF430" s="706">
        <v>41941</v>
      </c>
      <c r="AG430" s="705">
        <v>42013</v>
      </c>
      <c r="AH430" s="417" t="s">
        <v>210</v>
      </c>
      <c r="AI430" s="392" t="s">
        <v>210</v>
      </c>
      <c r="AJ430" s="392" t="s">
        <v>210</v>
      </c>
      <c r="AK430" s="340" t="s">
        <v>210</v>
      </c>
      <c r="AL430" s="417" t="s">
        <v>210</v>
      </c>
      <c r="AM430" s="392" t="s">
        <v>210</v>
      </c>
      <c r="AN430" s="392" t="s">
        <v>210</v>
      </c>
      <c r="AO430" s="341" t="s">
        <v>210</v>
      </c>
      <c r="AP430" s="342"/>
      <c r="AQ430" s="343"/>
      <c r="AR430" s="370">
        <v>9713</v>
      </c>
      <c r="AS430" s="326">
        <v>100</v>
      </c>
      <c r="AT430" s="392">
        <v>0.8</v>
      </c>
      <c r="AU430" s="392"/>
      <c r="AV430" s="392">
        <v>1.2</v>
      </c>
      <c r="AW430" s="341"/>
      <c r="AX430" s="376"/>
      <c r="AY430" s="348"/>
      <c r="AZ430" s="377"/>
      <c r="BA430" s="374"/>
      <c r="BB430" s="374"/>
      <c r="BC430" s="374"/>
      <c r="BD430" s="374"/>
      <c r="BE430" s="374"/>
      <c r="BF430" s="374"/>
      <c r="BG430" s="374"/>
      <c r="BH430" s="378"/>
      <c r="BI430" s="376"/>
      <c r="BJ430" s="431">
        <v>1.75</v>
      </c>
      <c r="BK430" s="380"/>
      <c r="BL430" s="348"/>
      <c r="BM430" s="381"/>
      <c r="BN430" s="321" t="s">
        <v>14</v>
      </c>
      <c r="BO430" s="372"/>
      <c r="BP430" s="373" t="s">
        <v>14</v>
      </c>
      <c r="BQ430" s="360"/>
      <c r="BR430" s="361"/>
      <c r="BS430" s="361"/>
      <c r="BT430" s="361"/>
      <c r="BU430" s="342" t="s">
        <v>210</v>
      </c>
      <c r="BV430" s="342" t="s">
        <v>210</v>
      </c>
      <c r="BW430" s="341" t="s">
        <v>15</v>
      </c>
      <c r="BX430" s="361"/>
      <c r="BY430" s="362"/>
      <c r="BZ430" s="363"/>
      <c r="CA430" s="363"/>
      <c r="CB430" s="363"/>
      <c r="CC430" s="363"/>
    </row>
    <row r="431" spans="1:82" ht="22.5" customHeight="1">
      <c r="B431" s="365">
        <v>260147</v>
      </c>
      <c r="C431" s="366" t="s">
        <v>13825</v>
      </c>
      <c r="D431" s="419"/>
      <c r="E431" s="368"/>
      <c r="F431" s="321" t="s">
        <v>1043</v>
      </c>
      <c r="G431" s="326" t="s">
        <v>1893</v>
      </c>
      <c r="H431" s="326" t="s">
        <v>1894</v>
      </c>
      <c r="I431" s="326" t="s">
        <v>383</v>
      </c>
      <c r="J431" s="326" t="s">
        <v>399</v>
      </c>
      <c r="K431" s="326" t="s">
        <v>917</v>
      </c>
      <c r="L431" s="323"/>
      <c r="M431" s="374"/>
      <c r="N431" s="325" t="s">
        <v>1045</v>
      </c>
      <c r="O431" s="326">
        <v>150</v>
      </c>
      <c r="P431" s="327" t="s">
        <v>210</v>
      </c>
      <c r="Q431" s="369" t="s">
        <v>210</v>
      </c>
      <c r="R431" s="329" t="s">
        <v>1082</v>
      </c>
      <c r="S431" s="331" t="s">
        <v>13826</v>
      </c>
      <c r="T431" s="394" t="s">
        <v>11219</v>
      </c>
      <c r="U431" s="394" t="s">
        <v>16305</v>
      </c>
      <c r="V431" s="394" t="s">
        <v>11220</v>
      </c>
      <c r="W431" s="332" t="s">
        <v>1083</v>
      </c>
      <c r="X431" s="331"/>
      <c r="Y431" s="331"/>
      <c r="Z431" s="331"/>
      <c r="AA431" s="331"/>
      <c r="AB431" s="333" t="s">
        <v>1070</v>
      </c>
      <c r="AC431" s="333"/>
      <c r="AD431" s="334" t="s">
        <v>2337</v>
      </c>
      <c r="AE431" s="335" t="s">
        <v>1399</v>
      </c>
      <c r="AF431" s="706">
        <v>41954</v>
      </c>
      <c r="AG431" s="705">
        <v>41631</v>
      </c>
      <c r="AH431" s="417" t="s">
        <v>210</v>
      </c>
      <c r="AI431" s="392" t="s">
        <v>210</v>
      </c>
      <c r="AJ431" s="392" t="s">
        <v>210</v>
      </c>
      <c r="AK431" s="340" t="s">
        <v>210</v>
      </c>
      <c r="AL431" s="417" t="s">
        <v>210</v>
      </c>
      <c r="AM431" s="392" t="s">
        <v>210</v>
      </c>
      <c r="AN431" s="392" t="s">
        <v>210</v>
      </c>
      <c r="AO431" s="341" t="s">
        <v>210</v>
      </c>
      <c r="AP431" s="342"/>
      <c r="AQ431" s="343"/>
      <c r="AR431" s="370">
        <v>4127</v>
      </c>
      <c r="AS431" s="326">
        <v>130</v>
      </c>
      <c r="AT431" s="392">
        <v>1</v>
      </c>
      <c r="AU431" s="392"/>
      <c r="AV431" s="392">
        <v>1.5</v>
      </c>
      <c r="AW431" s="341"/>
      <c r="AX431" s="376"/>
      <c r="AY431" s="348"/>
      <c r="AZ431" s="377"/>
      <c r="BA431" s="374"/>
      <c r="BB431" s="374"/>
      <c r="BC431" s="374"/>
      <c r="BD431" s="374"/>
      <c r="BE431" s="374"/>
      <c r="BF431" s="374"/>
      <c r="BG431" s="374"/>
      <c r="BH431" s="378"/>
      <c r="BI431" s="376"/>
      <c r="BJ431" s="379"/>
      <c r="BK431" s="380"/>
      <c r="BL431" s="348"/>
      <c r="BM431" s="381"/>
      <c r="BN431" s="321" t="s">
        <v>14</v>
      </c>
      <c r="BO431" s="372">
        <v>1.01</v>
      </c>
      <c r="BP431" s="340" t="s">
        <v>210</v>
      </c>
      <c r="BQ431" s="360"/>
      <c r="BR431" s="361"/>
      <c r="BS431" s="361"/>
      <c r="BT431" s="361"/>
      <c r="BU431" s="342" t="s">
        <v>210</v>
      </c>
      <c r="BV431" s="342" t="s">
        <v>210</v>
      </c>
      <c r="BW431" s="341" t="s">
        <v>15</v>
      </c>
      <c r="BX431" s="361"/>
      <c r="BY431" s="362"/>
      <c r="BZ431" s="363"/>
      <c r="CA431" s="363"/>
      <c r="CB431" s="363"/>
      <c r="CC431" s="363"/>
    </row>
    <row r="432" spans="1:82" ht="22.5" customHeight="1">
      <c r="B432" s="365">
        <v>260148</v>
      </c>
      <c r="C432" s="366" t="s">
        <v>13821</v>
      </c>
      <c r="D432" s="419"/>
      <c r="E432" s="368"/>
      <c r="F432" s="321" t="s">
        <v>979</v>
      </c>
      <c r="G432" s="326" t="s">
        <v>1935</v>
      </c>
      <c r="H432" s="326" t="s">
        <v>1936</v>
      </c>
      <c r="I432" s="326" t="s">
        <v>383</v>
      </c>
      <c r="J432" s="326" t="s">
        <v>399</v>
      </c>
      <c r="K432" s="326" t="s">
        <v>977</v>
      </c>
      <c r="L432" s="323"/>
      <c r="M432" s="374"/>
      <c r="N432" s="325" t="s">
        <v>976</v>
      </c>
      <c r="O432" s="326" t="s">
        <v>210</v>
      </c>
      <c r="P432" s="327" t="s">
        <v>210</v>
      </c>
      <c r="Q432" s="369" t="s">
        <v>210</v>
      </c>
      <c r="R432" s="329" t="s">
        <v>980</v>
      </c>
      <c r="S432" s="330"/>
      <c r="T432" s="330"/>
      <c r="U432" s="330"/>
      <c r="V432" s="330"/>
      <c r="W432" s="332" t="s">
        <v>4285</v>
      </c>
      <c r="X432" s="331" t="s">
        <v>13822</v>
      </c>
      <c r="Y432" s="331" t="s">
        <v>13823</v>
      </c>
      <c r="Z432" s="331" t="s">
        <v>16480</v>
      </c>
      <c r="AA432" s="331" t="s">
        <v>13824</v>
      </c>
      <c r="AB432" s="333"/>
      <c r="AC432" s="333"/>
      <c r="AD432" s="334" t="s">
        <v>1037</v>
      </c>
      <c r="AE432" s="335" t="s">
        <v>1038</v>
      </c>
      <c r="AF432" s="706">
        <v>41898</v>
      </c>
      <c r="AG432" s="705">
        <v>41939</v>
      </c>
      <c r="AH432" s="417" t="s">
        <v>210</v>
      </c>
      <c r="AI432" s="392" t="s">
        <v>210</v>
      </c>
      <c r="AJ432" s="392" t="s">
        <v>210</v>
      </c>
      <c r="AK432" s="340" t="s">
        <v>210</v>
      </c>
      <c r="AL432" s="417" t="s">
        <v>210</v>
      </c>
      <c r="AM432" s="392" t="s">
        <v>210</v>
      </c>
      <c r="AN432" s="392" t="s">
        <v>210</v>
      </c>
      <c r="AO432" s="341" t="s">
        <v>210</v>
      </c>
      <c r="AP432" s="342"/>
      <c r="AQ432" s="343"/>
      <c r="AR432" s="370">
        <v>1360</v>
      </c>
      <c r="AS432" s="326">
        <v>100</v>
      </c>
      <c r="AT432" s="392">
        <v>1</v>
      </c>
      <c r="AU432" s="392"/>
      <c r="AV432" s="392">
        <v>1.5</v>
      </c>
      <c r="AW432" s="341"/>
      <c r="AX432" s="376"/>
      <c r="AY432" s="348"/>
      <c r="AZ432" s="377"/>
      <c r="BA432" s="374"/>
      <c r="BB432" s="374"/>
      <c r="BC432" s="374"/>
      <c r="BD432" s="374"/>
      <c r="BE432" s="374"/>
      <c r="BF432" s="374"/>
      <c r="BG432" s="374"/>
      <c r="BH432" s="378"/>
      <c r="BI432" s="376"/>
      <c r="BJ432" s="379"/>
      <c r="BK432" s="380"/>
      <c r="BL432" s="348"/>
      <c r="BM432" s="381"/>
      <c r="BN432" s="321" t="s">
        <v>14</v>
      </c>
      <c r="BO432" s="372">
        <v>1.41</v>
      </c>
      <c r="BP432" s="373" t="s">
        <v>14</v>
      </c>
      <c r="BQ432" s="360"/>
      <c r="BR432" s="361"/>
      <c r="BS432" s="361"/>
      <c r="BT432" s="361"/>
      <c r="BU432" s="342" t="s">
        <v>210</v>
      </c>
      <c r="BV432" s="342" t="s">
        <v>210</v>
      </c>
      <c r="BW432" s="341" t="s">
        <v>15</v>
      </c>
      <c r="BX432" s="361"/>
      <c r="BY432" s="362"/>
      <c r="BZ432" s="363"/>
      <c r="CA432" s="363"/>
      <c r="CB432" s="363"/>
      <c r="CC432" s="363"/>
    </row>
    <row r="433" spans="2:81" ht="22.5" customHeight="1">
      <c r="B433" s="365">
        <v>260149</v>
      </c>
      <c r="C433" s="366" t="s">
        <v>1047</v>
      </c>
      <c r="D433" s="419"/>
      <c r="E433" s="368"/>
      <c r="F433" s="321" t="s">
        <v>1043</v>
      </c>
      <c r="G433" s="326" t="s">
        <v>1933</v>
      </c>
      <c r="H433" s="326" t="s">
        <v>1934</v>
      </c>
      <c r="I433" s="326" t="s">
        <v>383</v>
      </c>
      <c r="J433" s="326" t="s">
        <v>387</v>
      </c>
      <c r="K433" s="326" t="s">
        <v>247</v>
      </c>
      <c r="L433" s="323"/>
      <c r="M433" s="374"/>
      <c r="N433" s="325" t="s">
        <v>1056</v>
      </c>
      <c r="O433" s="326">
        <v>150</v>
      </c>
      <c r="P433" s="327" t="s">
        <v>210</v>
      </c>
      <c r="Q433" s="369" t="s">
        <v>210</v>
      </c>
      <c r="R433" s="329" t="s">
        <v>10056</v>
      </c>
      <c r="S433" s="394" t="s">
        <v>11283</v>
      </c>
      <c r="T433" s="394" t="s">
        <v>11284</v>
      </c>
      <c r="U433" s="394" t="s">
        <v>16292</v>
      </c>
      <c r="V433" s="394" t="s">
        <v>11285</v>
      </c>
      <c r="W433" s="332" t="s">
        <v>432</v>
      </c>
      <c r="X433" s="331" t="s">
        <v>11079</v>
      </c>
      <c r="Y433" s="331" t="s">
        <v>11080</v>
      </c>
      <c r="Z433" s="331" t="s">
        <v>11080</v>
      </c>
      <c r="AA433" s="331" t="s">
        <v>210</v>
      </c>
      <c r="AB433" s="333" t="s">
        <v>1070</v>
      </c>
      <c r="AC433" s="333"/>
      <c r="AD433" s="334" t="s">
        <v>2337</v>
      </c>
      <c r="AE433" s="335" t="s">
        <v>1473</v>
      </c>
      <c r="AF433" s="706">
        <v>41941</v>
      </c>
      <c r="AG433" s="705">
        <v>42061</v>
      </c>
      <c r="AH433" s="376"/>
      <c r="AI433" s="347"/>
      <c r="AJ433" s="347"/>
      <c r="AK433" s="371"/>
      <c r="AL433" s="417" t="s">
        <v>210</v>
      </c>
      <c r="AM433" s="392" t="s">
        <v>210</v>
      </c>
      <c r="AN433" s="392" t="s">
        <v>210</v>
      </c>
      <c r="AO433" s="341" t="s">
        <v>210</v>
      </c>
      <c r="AP433" s="342"/>
      <c r="AQ433" s="343"/>
      <c r="AR433" s="370">
        <v>1383</v>
      </c>
      <c r="AS433" s="326">
        <v>130</v>
      </c>
      <c r="AT433" s="392">
        <v>1</v>
      </c>
      <c r="AU433" s="392"/>
      <c r="AV433" s="392">
        <v>1.8</v>
      </c>
      <c r="AW433" s="341"/>
      <c r="AX433" s="376"/>
      <c r="AY433" s="348"/>
      <c r="AZ433" s="377"/>
      <c r="BA433" s="374"/>
      <c r="BB433" s="374"/>
      <c r="BC433" s="374"/>
      <c r="BD433" s="374"/>
      <c r="BE433" s="374"/>
      <c r="BF433" s="374"/>
      <c r="BG433" s="374"/>
      <c r="BH433" s="378"/>
      <c r="BI433" s="376"/>
      <c r="BJ433" s="379"/>
      <c r="BK433" s="380"/>
      <c r="BL433" s="348"/>
      <c r="BM433" s="381"/>
      <c r="BN433" s="321" t="s">
        <v>14</v>
      </c>
      <c r="BO433" s="372">
        <v>1.36</v>
      </c>
      <c r="BP433" s="340" t="s">
        <v>210</v>
      </c>
      <c r="BQ433" s="360"/>
      <c r="BR433" s="361"/>
      <c r="BS433" s="361"/>
      <c r="BT433" s="361"/>
      <c r="BU433" s="342" t="s">
        <v>210</v>
      </c>
      <c r="BV433" s="342" t="s">
        <v>210</v>
      </c>
      <c r="BW433" s="341" t="s">
        <v>15</v>
      </c>
      <c r="BX433" s="361"/>
      <c r="BY433" s="362" t="s">
        <v>1753</v>
      </c>
      <c r="BZ433" s="363"/>
      <c r="CA433" s="363"/>
      <c r="CB433" s="363"/>
      <c r="CC433" s="363"/>
    </row>
    <row r="434" spans="2:81" ht="22.5" customHeight="1">
      <c r="B434" s="365">
        <v>260150</v>
      </c>
      <c r="C434" s="366" t="s">
        <v>10125</v>
      </c>
      <c r="D434" s="419"/>
      <c r="E434" s="368"/>
      <c r="F434" s="321" t="s">
        <v>222</v>
      </c>
      <c r="G434" s="326" t="s">
        <v>1931</v>
      </c>
      <c r="H434" s="326" t="s">
        <v>1932</v>
      </c>
      <c r="I434" s="326" t="s">
        <v>383</v>
      </c>
      <c r="J434" s="326" t="s">
        <v>399</v>
      </c>
      <c r="K434" s="326" t="s">
        <v>977</v>
      </c>
      <c r="L434" s="323"/>
      <c r="M434" s="374"/>
      <c r="N434" s="325" t="s">
        <v>1046</v>
      </c>
      <c r="O434" s="326" t="s">
        <v>210</v>
      </c>
      <c r="P434" s="327">
        <v>150</v>
      </c>
      <c r="Q434" s="369">
        <v>150</v>
      </c>
      <c r="R434" s="329" t="s">
        <v>1049</v>
      </c>
      <c r="S434" s="331" t="s">
        <v>11915</v>
      </c>
      <c r="T434" s="331" t="s">
        <v>11916</v>
      </c>
      <c r="U434" s="331" t="s">
        <v>16431</v>
      </c>
      <c r="V434" s="331" t="s">
        <v>11917</v>
      </c>
      <c r="W434" s="332" t="s">
        <v>1050</v>
      </c>
      <c r="X434" s="331" t="s">
        <v>13818</v>
      </c>
      <c r="Y434" s="331" t="s">
        <v>13819</v>
      </c>
      <c r="Z434" s="331" t="s">
        <v>16435</v>
      </c>
      <c r="AA434" s="331" t="s">
        <v>13820</v>
      </c>
      <c r="AB434" s="333"/>
      <c r="AC434" s="416"/>
      <c r="AD434" s="375"/>
      <c r="AE434" s="335" t="s">
        <v>1439</v>
      </c>
      <c r="AF434" s="706">
        <v>41954</v>
      </c>
      <c r="AG434" s="337"/>
      <c r="AH434" s="417" t="s">
        <v>210</v>
      </c>
      <c r="AI434" s="392" t="s">
        <v>210</v>
      </c>
      <c r="AJ434" s="392" t="s">
        <v>210</v>
      </c>
      <c r="AK434" s="340" t="s">
        <v>210</v>
      </c>
      <c r="AL434" s="417" t="s">
        <v>210</v>
      </c>
      <c r="AM434" s="392" t="s">
        <v>210</v>
      </c>
      <c r="AN434" s="392" t="s">
        <v>210</v>
      </c>
      <c r="AO434" s="341" t="s">
        <v>210</v>
      </c>
      <c r="AP434" s="342"/>
      <c r="AQ434" s="343"/>
      <c r="AR434" s="370">
        <v>231</v>
      </c>
      <c r="AS434" s="326">
        <v>120</v>
      </c>
      <c r="AT434" s="392">
        <v>0.8</v>
      </c>
      <c r="AU434" s="392"/>
      <c r="AV434" s="392">
        <v>1.2</v>
      </c>
      <c r="AW434" s="341"/>
      <c r="AX434" s="376"/>
      <c r="AY434" s="348"/>
      <c r="AZ434" s="405" t="s">
        <v>3367</v>
      </c>
      <c r="BA434" s="324" t="s">
        <v>210</v>
      </c>
      <c r="BB434" s="324" t="s">
        <v>210</v>
      </c>
      <c r="BC434" s="324" t="s">
        <v>210</v>
      </c>
      <c r="BD434" s="324" t="s">
        <v>210</v>
      </c>
      <c r="BE434" s="326" t="s">
        <v>10126</v>
      </c>
      <c r="BF434" s="326" t="s">
        <v>10127</v>
      </c>
      <c r="BG434" s="326" t="s">
        <v>10128</v>
      </c>
      <c r="BH434" s="326" t="s">
        <v>10127</v>
      </c>
      <c r="BI434" s="376"/>
      <c r="BJ434" s="379"/>
      <c r="BK434" s="380"/>
      <c r="BL434" s="348"/>
      <c r="BM434" s="381"/>
      <c r="BN434" s="321" t="s">
        <v>14</v>
      </c>
      <c r="BO434" s="372"/>
      <c r="BP434" s="340" t="s">
        <v>210</v>
      </c>
      <c r="BQ434" s="360"/>
      <c r="BR434" s="361"/>
      <c r="BS434" s="361"/>
      <c r="BT434" s="361"/>
      <c r="BU434" s="342" t="s">
        <v>210</v>
      </c>
      <c r="BV434" s="342" t="s">
        <v>210</v>
      </c>
      <c r="BW434" s="341" t="s">
        <v>15</v>
      </c>
      <c r="BX434" s="361"/>
      <c r="BY434" s="362"/>
      <c r="BZ434" s="363"/>
      <c r="CA434" s="363"/>
      <c r="CB434" s="363"/>
      <c r="CC434" s="363"/>
    </row>
    <row r="435" spans="2:81" ht="22.5" customHeight="1">
      <c r="B435" s="365">
        <v>260151</v>
      </c>
      <c r="C435" s="366" t="s">
        <v>13812</v>
      </c>
      <c r="D435" s="419"/>
      <c r="E435" s="368"/>
      <c r="F435" s="321" t="s">
        <v>243</v>
      </c>
      <c r="G435" s="326" t="s">
        <v>1929</v>
      </c>
      <c r="H435" s="326" t="s">
        <v>1930</v>
      </c>
      <c r="I435" s="326" t="s">
        <v>383</v>
      </c>
      <c r="J435" s="326" t="s">
        <v>387</v>
      </c>
      <c r="K435" s="326" t="s">
        <v>1059</v>
      </c>
      <c r="L435" s="323"/>
      <c r="M435" s="374"/>
      <c r="N435" s="325" t="s">
        <v>1060</v>
      </c>
      <c r="O435" s="326" t="s">
        <v>210</v>
      </c>
      <c r="P435" s="327" t="s">
        <v>210</v>
      </c>
      <c r="Q435" s="369" t="s">
        <v>210</v>
      </c>
      <c r="R435" s="329" t="s">
        <v>13814</v>
      </c>
      <c r="S435" s="331" t="s">
        <v>13813</v>
      </c>
      <c r="T435" s="330"/>
      <c r="U435" s="330"/>
      <c r="V435" s="331" t="s">
        <v>13815</v>
      </c>
      <c r="W435" s="332" t="s">
        <v>1081</v>
      </c>
      <c r="X435" s="331" t="s">
        <v>13816</v>
      </c>
      <c r="Y435" s="330"/>
      <c r="Z435" s="330"/>
      <c r="AA435" s="331" t="s">
        <v>13817</v>
      </c>
      <c r="AB435" s="333"/>
      <c r="AC435" s="333"/>
      <c r="AD435" s="334" t="s">
        <v>1464</v>
      </c>
      <c r="AE435" s="391"/>
      <c r="AF435" s="706">
        <v>41932</v>
      </c>
      <c r="AG435" s="705">
        <v>42030</v>
      </c>
      <c r="AH435" s="417" t="s">
        <v>210</v>
      </c>
      <c r="AI435" s="392" t="s">
        <v>210</v>
      </c>
      <c r="AJ435" s="392" t="s">
        <v>210</v>
      </c>
      <c r="AK435" s="340" t="s">
        <v>210</v>
      </c>
      <c r="AL435" s="417" t="s">
        <v>210</v>
      </c>
      <c r="AM435" s="392" t="s">
        <v>210</v>
      </c>
      <c r="AN435" s="392" t="s">
        <v>210</v>
      </c>
      <c r="AO435" s="341" t="s">
        <v>210</v>
      </c>
      <c r="AP435" s="342"/>
      <c r="AQ435" s="343"/>
      <c r="AR435" s="370">
        <v>227</v>
      </c>
      <c r="AS435" s="326">
        <v>100</v>
      </c>
      <c r="AT435" s="392">
        <v>1</v>
      </c>
      <c r="AU435" s="392"/>
      <c r="AV435" s="392">
        <v>1.5</v>
      </c>
      <c r="AW435" s="341"/>
      <c r="AX435" s="376"/>
      <c r="AY435" s="348"/>
      <c r="AZ435" s="377"/>
      <c r="BA435" s="374"/>
      <c r="BB435" s="374"/>
      <c r="BC435" s="374"/>
      <c r="BD435" s="374"/>
      <c r="BE435" s="374"/>
      <c r="BF435" s="374"/>
      <c r="BG435" s="374"/>
      <c r="BH435" s="378"/>
      <c r="BI435" s="376"/>
      <c r="BJ435" s="379"/>
      <c r="BK435" s="380"/>
      <c r="BL435" s="348"/>
      <c r="BM435" s="381"/>
      <c r="BN435" s="321" t="s">
        <v>14</v>
      </c>
      <c r="BO435" s="372">
        <v>1.1100000000000001</v>
      </c>
      <c r="BP435" s="340" t="s">
        <v>210</v>
      </c>
      <c r="BQ435" s="360"/>
      <c r="BR435" s="361"/>
      <c r="BS435" s="361"/>
      <c r="BT435" s="361"/>
      <c r="BU435" s="342" t="s">
        <v>210</v>
      </c>
      <c r="BV435" s="342" t="s">
        <v>210</v>
      </c>
      <c r="BW435" s="341" t="s">
        <v>15</v>
      </c>
      <c r="BX435" s="361"/>
      <c r="BY435" s="362"/>
      <c r="BZ435" s="363"/>
      <c r="CA435" s="363"/>
      <c r="CB435" s="363"/>
      <c r="CC435" s="363"/>
    </row>
    <row r="436" spans="2:81" ht="22.5" customHeight="1">
      <c r="B436" s="365">
        <v>260152</v>
      </c>
      <c r="C436" s="366" t="s">
        <v>1052</v>
      </c>
      <c r="D436" s="419"/>
      <c r="E436" s="368"/>
      <c r="F436" s="321" t="s">
        <v>227</v>
      </c>
      <c r="G436" s="326" t="s">
        <v>1927</v>
      </c>
      <c r="H436" s="326" t="s">
        <v>1928</v>
      </c>
      <c r="I436" s="326" t="s">
        <v>383</v>
      </c>
      <c r="J436" s="326" t="s">
        <v>399</v>
      </c>
      <c r="K436" s="326" t="s">
        <v>917</v>
      </c>
      <c r="L436" s="323"/>
      <c r="M436" s="374"/>
      <c r="N436" s="325" t="s">
        <v>437</v>
      </c>
      <c r="O436" s="326">
        <v>30</v>
      </c>
      <c r="P436" s="327">
        <v>200</v>
      </c>
      <c r="Q436" s="369">
        <v>200</v>
      </c>
      <c r="R436" s="329" t="s">
        <v>1325</v>
      </c>
      <c r="S436" s="331" t="s">
        <v>13809</v>
      </c>
      <c r="T436" s="331" t="s">
        <v>13810</v>
      </c>
      <c r="U436" s="330"/>
      <c r="V436" s="331" t="s">
        <v>13811</v>
      </c>
      <c r="W436" s="332" t="s">
        <v>1080</v>
      </c>
      <c r="X436" s="330"/>
      <c r="Y436" s="330"/>
      <c r="Z436" s="330"/>
      <c r="AA436" s="330"/>
      <c r="AB436" s="333"/>
      <c r="AC436" s="416"/>
      <c r="AD436" s="375"/>
      <c r="AE436" s="335" t="s">
        <v>1078</v>
      </c>
      <c r="AF436" s="706">
        <v>41964</v>
      </c>
      <c r="AG436" s="705">
        <v>41974</v>
      </c>
      <c r="AH436" s="417" t="s">
        <v>210</v>
      </c>
      <c r="AI436" s="392" t="s">
        <v>210</v>
      </c>
      <c r="AJ436" s="392" t="s">
        <v>210</v>
      </c>
      <c r="AK436" s="340" t="s">
        <v>210</v>
      </c>
      <c r="AL436" s="417" t="s">
        <v>210</v>
      </c>
      <c r="AM436" s="392" t="s">
        <v>210</v>
      </c>
      <c r="AN436" s="392" t="s">
        <v>210</v>
      </c>
      <c r="AO436" s="341" t="s">
        <v>210</v>
      </c>
      <c r="AP436" s="342"/>
      <c r="AQ436" s="343"/>
      <c r="AR436" s="370">
        <v>440</v>
      </c>
      <c r="AS436" s="326">
        <v>30</v>
      </c>
      <c r="AT436" s="392">
        <v>0.6</v>
      </c>
      <c r="AU436" s="392"/>
      <c r="AV436" s="392">
        <v>1.4</v>
      </c>
      <c r="AW436" s="341"/>
      <c r="AX436" s="376"/>
      <c r="AY436" s="348"/>
      <c r="AZ436" s="377"/>
      <c r="BA436" s="374"/>
      <c r="BB436" s="374"/>
      <c r="BC436" s="374"/>
      <c r="BD436" s="374"/>
      <c r="BE436" s="374"/>
      <c r="BF436" s="374"/>
      <c r="BG436" s="374"/>
      <c r="BH436" s="378"/>
      <c r="BI436" s="376"/>
      <c r="BJ436" s="379"/>
      <c r="BK436" s="380"/>
      <c r="BL436" s="348"/>
      <c r="BM436" s="381"/>
      <c r="BN436" s="417" t="s">
        <v>210</v>
      </c>
      <c r="BO436" s="372"/>
      <c r="BP436" s="340" t="s">
        <v>210</v>
      </c>
      <c r="BQ436" s="360"/>
      <c r="BR436" s="361"/>
      <c r="BS436" s="361"/>
      <c r="BT436" s="361"/>
      <c r="BU436" s="342" t="s">
        <v>210</v>
      </c>
      <c r="BV436" s="342" t="s">
        <v>210</v>
      </c>
      <c r="BW436" s="341" t="s">
        <v>15</v>
      </c>
      <c r="BX436" s="361"/>
      <c r="BY436" s="362"/>
      <c r="BZ436" s="363"/>
      <c r="CA436" s="363"/>
      <c r="CB436" s="363"/>
      <c r="CC436" s="363"/>
    </row>
    <row r="437" spans="2:81" ht="22.5" customHeight="1">
      <c r="B437" s="365">
        <v>260153</v>
      </c>
      <c r="C437" s="366" t="s">
        <v>1062</v>
      </c>
      <c r="D437" s="419"/>
      <c r="E437" s="368"/>
      <c r="F437" s="321" t="s">
        <v>265</v>
      </c>
      <c r="G437" s="326" t="s">
        <v>1891</v>
      </c>
      <c r="H437" s="326" t="s">
        <v>1892</v>
      </c>
      <c r="I437" s="326" t="s">
        <v>383</v>
      </c>
      <c r="J437" s="326" t="s">
        <v>399</v>
      </c>
      <c r="K437" s="326" t="s">
        <v>247</v>
      </c>
      <c r="L437" s="323"/>
      <c r="M437" s="374"/>
      <c r="N437" s="325" t="s">
        <v>438</v>
      </c>
      <c r="O437" s="326">
        <v>30</v>
      </c>
      <c r="P437" s="327" t="s">
        <v>210</v>
      </c>
      <c r="Q437" s="369" t="s">
        <v>210</v>
      </c>
      <c r="R437" s="329" t="s">
        <v>691</v>
      </c>
      <c r="S437" s="331" t="s">
        <v>13808</v>
      </c>
      <c r="T437" s="394" t="s">
        <v>12244</v>
      </c>
      <c r="U437" s="394" t="s">
        <v>16219</v>
      </c>
      <c r="V437" s="394" t="s">
        <v>12245</v>
      </c>
      <c r="W437" s="332" t="s">
        <v>644</v>
      </c>
      <c r="X437" s="330"/>
      <c r="Y437" s="394" t="s">
        <v>11201</v>
      </c>
      <c r="Z437" s="394" t="s">
        <v>11200</v>
      </c>
      <c r="AA437" s="330"/>
      <c r="AB437" s="333"/>
      <c r="AC437" s="333"/>
      <c r="AD437" s="334" t="s">
        <v>944</v>
      </c>
      <c r="AE437" s="335" t="s">
        <v>1474</v>
      </c>
      <c r="AF437" s="706">
        <v>41964</v>
      </c>
      <c r="AG437" s="705">
        <v>42040</v>
      </c>
      <c r="AH437" s="417" t="s">
        <v>210</v>
      </c>
      <c r="AI437" s="392" t="s">
        <v>210</v>
      </c>
      <c r="AJ437" s="392" t="s">
        <v>210</v>
      </c>
      <c r="AK437" s="340" t="s">
        <v>210</v>
      </c>
      <c r="AL437" s="417" t="s">
        <v>210</v>
      </c>
      <c r="AM437" s="392" t="s">
        <v>210</v>
      </c>
      <c r="AN437" s="392" t="s">
        <v>210</v>
      </c>
      <c r="AO437" s="341" t="s">
        <v>210</v>
      </c>
      <c r="AP437" s="342"/>
      <c r="AQ437" s="343"/>
      <c r="AR437" s="370">
        <v>545</v>
      </c>
      <c r="AS437" s="326">
        <v>50</v>
      </c>
      <c r="AT437" s="392">
        <v>1</v>
      </c>
      <c r="AU437" s="392"/>
      <c r="AV437" s="392">
        <v>1.2</v>
      </c>
      <c r="AW437" s="341"/>
      <c r="AX437" s="376"/>
      <c r="AY437" s="348"/>
      <c r="AZ437" s="377"/>
      <c r="BA437" s="374"/>
      <c r="BB437" s="374"/>
      <c r="BC437" s="374"/>
      <c r="BD437" s="374"/>
      <c r="BE437" s="374"/>
      <c r="BF437" s="374"/>
      <c r="BG437" s="374"/>
      <c r="BH437" s="378"/>
      <c r="BI437" s="376"/>
      <c r="BJ437" s="379"/>
      <c r="BK437" s="380"/>
      <c r="BL437" s="348"/>
      <c r="BM437" s="381"/>
      <c r="BN437" s="321" t="s">
        <v>14</v>
      </c>
      <c r="BO437" s="372">
        <v>1.1399999999999999</v>
      </c>
      <c r="BP437" s="340" t="s">
        <v>1074</v>
      </c>
      <c r="BQ437" s="360"/>
      <c r="BR437" s="361"/>
      <c r="BS437" s="361"/>
      <c r="BT437" s="361"/>
      <c r="BU437" s="342" t="s">
        <v>210</v>
      </c>
      <c r="BV437" s="342" t="s">
        <v>210</v>
      </c>
      <c r="BW437" s="341" t="s">
        <v>15</v>
      </c>
      <c r="BX437" s="361"/>
      <c r="BY437" s="362"/>
      <c r="BZ437" s="363"/>
      <c r="CA437" s="363"/>
      <c r="CB437" s="363"/>
      <c r="CC437" s="363"/>
    </row>
    <row r="438" spans="2:81" ht="22.5" customHeight="1">
      <c r="B438" s="365">
        <v>260154</v>
      </c>
      <c r="C438" s="366" t="s">
        <v>1063</v>
      </c>
      <c r="D438" s="419"/>
      <c r="E438" s="368"/>
      <c r="F438" s="321" t="s">
        <v>266</v>
      </c>
      <c r="G438" s="326" t="s">
        <v>1889</v>
      </c>
      <c r="H438" s="326" t="s">
        <v>1890</v>
      </c>
      <c r="I438" s="326" t="s">
        <v>1066</v>
      </c>
      <c r="J438" s="326" t="s">
        <v>216</v>
      </c>
      <c r="K438" s="326" t="s">
        <v>806</v>
      </c>
      <c r="L438" s="323"/>
      <c r="M438" s="374"/>
      <c r="N438" s="325" t="s">
        <v>1067</v>
      </c>
      <c r="O438" s="326" t="s">
        <v>1068</v>
      </c>
      <c r="P438" s="327">
        <v>2751.18</v>
      </c>
      <c r="Q438" s="369">
        <v>1028.93</v>
      </c>
      <c r="R438" s="329" t="s">
        <v>1064</v>
      </c>
      <c r="S438" s="330"/>
      <c r="T438" s="330"/>
      <c r="U438" s="330"/>
      <c r="V438" s="330"/>
      <c r="W438" s="332" t="s">
        <v>1065</v>
      </c>
      <c r="X438" s="331" t="s">
        <v>13804</v>
      </c>
      <c r="Y438" s="331" t="s">
        <v>13806</v>
      </c>
      <c r="Z438" s="331" t="s">
        <v>13805</v>
      </c>
      <c r="AA438" s="331" t="s">
        <v>13807</v>
      </c>
      <c r="AB438" s="333"/>
      <c r="AC438" s="333"/>
      <c r="AD438" s="334" t="s">
        <v>949</v>
      </c>
      <c r="AE438" s="391"/>
      <c r="AF438" s="706">
        <v>41970</v>
      </c>
      <c r="AG438" s="337"/>
      <c r="AH438" s="417" t="s">
        <v>210</v>
      </c>
      <c r="AI438" s="392" t="s">
        <v>210</v>
      </c>
      <c r="AJ438" s="392" t="s">
        <v>210</v>
      </c>
      <c r="AK438" s="340" t="s">
        <v>210</v>
      </c>
      <c r="AL438" s="417" t="s">
        <v>210</v>
      </c>
      <c r="AM438" s="392" t="s">
        <v>210</v>
      </c>
      <c r="AN438" s="392" t="s">
        <v>210</v>
      </c>
      <c r="AO438" s="341" t="s">
        <v>210</v>
      </c>
      <c r="AP438" s="342"/>
      <c r="AQ438" s="433" t="s">
        <v>4551</v>
      </c>
      <c r="AR438" s="370">
        <v>1118</v>
      </c>
      <c r="AS438" s="326">
        <v>100</v>
      </c>
      <c r="AT438" s="392">
        <v>1.2</v>
      </c>
      <c r="AU438" s="392"/>
      <c r="AV438" s="392">
        <v>1.2</v>
      </c>
      <c r="AW438" s="341"/>
      <c r="AX438" s="376"/>
      <c r="AY438" s="348"/>
      <c r="AZ438" s="377"/>
      <c r="BA438" s="374"/>
      <c r="BB438" s="374"/>
      <c r="BC438" s="374"/>
      <c r="BD438" s="374"/>
      <c r="BE438" s="374"/>
      <c r="BF438" s="374"/>
      <c r="BG438" s="374"/>
      <c r="BH438" s="378"/>
      <c r="BI438" s="376"/>
      <c r="BJ438" s="379"/>
      <c r="BK438" s="380"/>
      <c r="BL438" s="348"/>
      <c r="BM438" s="381"/>
      <c r="BN438" s="417" t="s">
        <v>1074</v>
      </c>
      <c r="BO438" s="372"/>
      <c r="BP438" s="373" t="s">
        <v>1075</v>
      </c>
      <c r="BQ438" s="360"/>
      <c r="BR438" s="361"/>
      <c r="BS438" s="361"/>
      <c r="BT438" s="361"/>
      <c r="BU438" s="342" t="s">
        <v>210</v>
      </c>
      <c r="BV438" s="342" t="s">
        <v>210</v>
      </c>
      <c r="BW438" s="341" t="s">
        <v>15</v>
      </c>
      <c r="BX438" s="361"/>
      <c r="BY438" s="362" t="s">
        <v>1458</v>
      </c>
      <c r="BZ438" s="363"/>
      <c r="CA438" s="363"/>
      <c r="CB438" s="363"/>
      <c r="CC438" s="363"/>
    </row>
    <row r="439" spans="2:81" ht="22.5" customHeight="1">
      <c r="B439" s="365">
        <v>260155</v>
      </c>
      <c r="C439" s="366" t="s">
        <v>995</v>
      </c>
      <c r="D439" s="419"/>
      <c r="E439" s="368"/>
      <c r="F439" s="321" t="s">
        <v>1048</v>
      </c>
      <c r="G439" s="326" t="s">
        <v>1887</v>
      </c>
      <c r="H439" s="326" t="s">
        <v>1888</v>
      </c>
      <c r="I439" s="326" t="s">
        <v>383</v>
      </c>
      <c r="J439" s="326" t="s">
        <v>399</v>
      </c>
      <c r="K439" s="326" t="s">
        <v>993</v>
      </c>
      <c r="L439" s="323"/>
      <c r="M439" s="374"/>
      <c r="N439" s="325" t="s">
        <v>438</v>
      </c>
      <c r="O439" s="326" t="s">
        <v>210</v>
      </c>
      <c r="P439" s="327" t="s">
        <v>210</v>
      </c>
      <c r="Q439" s="369" t="s">
        <v>210</v>
      </c>
      <c r="R439" s="329" t="s">
        <v>996</v>
      </c>
      <c r="S439" s="394" t="s">
        <v>12818</v>
      </c>
      <c r="T439" s="394" t="s">
        <v>12147</v>
      </c>
      <c r="U439" s="394" t="s">
        <v>12146</v>
      </c>
      <c r="V439" s="394" t="s">
        <v>12817</v>
      </c>
      <c r="W439" s="332" t="s">
        <v>996</v>
      </c>
      <c r="X439" s="394" t="s">
        <v>12818</v>
      </c>
      <c r="Y439" s="394" t="s">
        <v>12147</v>
      </c>
      <c r="Z439" s="394" t="s">
        <v>12146</v>
      </c>
      <c r="AA439" s="394" t="s">
        <v>12817</v>
      </c>
      <c r="AB439" s="333"/>
      <c r="AC439" s="416"/>
      <c r="AD439" s="375"/>
      <c r="AE439" s="391"/>
      <c r="AF439" s="706">
        <v>41904</v>
      </c>
      <c r="AG439" s="705">
        <v>41996</v>
      </c>
      <c r="AH439" s="417" t="s">
        <v>210</v>
      </c>
      <c r="AI439" s="392" t="s">
        <v>210</v>
      </c>
      <c r="AJ439" s="392" t="s">
        <v>210</v>
      </c>
      <c r="AK439" s="340" t="s">
        <v>210</v>
      </c>
      <c r="AL439" s="417" t="s">
        <v>210</v>
      </c>
      <c r="AM439" s="392" t="s">
        <v>210</v>
      </c>
      <c r="AN439" s="392" t="s">
        <v>210</v>
      </c>
      <c r="AO439" s="341" t="s">
        <v>210</v>
      </c>
      <c r="AP439" s="342"/>
      <c r="AQ439" s="343"/>
      <c r="AR439" s="370">
        <v>1861</v>
      </c>
      <c r="AS439" s="326">
        <v>100</v>
      </c>
      <c r="AT439" s="392">
        <v>1</v>
      </c>
      <c r="AU439" s="392"/>
      <c r="AV439" s="392">
        <v>1.2</v>
      </c>
      <c r="AW439" s="341"/>
      <c r="AX439" s="376"/>
      <c r="AY439" s="348"/>
      <c r="AZ439" s="377"/>
      <c r="BA439" s="374"/>
      <c r="BB439" s="374"/>
      <c r="BC439" s="374"/>
      <c r="BD439" s="374"/>
      <c r="BE439" s="374"/>
      <c r="BF439" s="374"/>
      <c r="BG439" s="374"/>
      <c r="BH439" s="378"/>
      <c r="BI439" s="376"/>
      <c r="BJ439" s="379"/>
      <c r="BK439" s="380"/>
      <c r="BL439" s="348"/>
      <c r="BM439" s="381"/>
      <c r="BN439" s="321" t="s">
        <v>14</v>
      </c>
      <c r="BO439" s="372"/>
      <c r="BP439" s="373" t="s">
        <v>14</v>
      </c>
      <c r="BQ439" s="360"/>
      <c r="BR439" s="361"/>
      <c r="BS439" s="361"/>
      <c r="BT439" s="361"/>
      <c r="BU439" s="342" t="s">
        <v>210</v>
      </c>
      <c r="BV439" s="342" t="s">
        <v>210</v>
      </c>
      <c r="BW439" s="341" t="s">
        <v>15</v>
      </c>
      <c r="BX439" s="361"/>
      <c r="BY439" s="362"/>
      <c r="BZ439" s="363"/>
      <c r="CA439" s="363"/>
      <c r="CB439" s="363"/>
      <c r="CC439" s="363"/>
    </row>
    <row r="440" spans="2:81" ht="22.5" customHeight="1">
      <c r="B440" s="365">
        <v>260156</v>
      </c>
      <c r="C440" s="366" t="s">
        <v>13803</v>
      </c>
      <c r="D440" s="419"/>
      <c r="E440" s="368"/>
      <c r="F440" s="321" t="s">
        <v>265</v>
      </c>
      <c r="G440" s="326" t="s">
        <v>1925</v>
      </c>
      <c r="H440" s="326" t="s">
        <v>1926</v>
      </c>
      <c r="I440" s="326" t="s">
        <v>383</v>
      </c>
      <c r="J440" s="326" t="s">
        <v>1011</v>
      </c>
      <c r="K440" s="326" t="s">
        <v>247</v>
      </c>
      <c r="L440" s="323"/>
      <c r="M440" s="374"/>
      <c r="N440" s="325" t="s">
        <v>438</v>
      </c>
      <c r="O440" s="326" t="s">
        <v>210</v>
      </c>
      <c r="P440" s="327">
        <v>3518.1</v>
      </c>
      <c r="Q440" s="369">
        <v>1607.5</v>
      </c>
      <c r="R440" s="329" t="s">
        <v>1079</v>
      </c>
      <c r="S440" s="330"/>
      <c r="T440" s="330"/>
      <c r="U440" s="330"/>
      <c r="V440" s="330"/>
      <c r="W440" s="332" t="s">
        <v>507</v>
      </c>
      <c r="X440" s="331" t="s">
        <v>14070</v>
      </c>
      <c r="Y440" s="331" t="s">
        <v>14071</v>
      </c>
      <c r="Z440" s="330"/>
      <c r="AA440" s="331" t="s">
        <v>14072</v>
      </c>
      <c r="AB440" s="333"/>
      <c r="AC440" s="333"/>
      <c r="AD440" s="334" t="s">
        <v>142</v>
      </c>
      <c r="AE440" s="335" t="s">
        <v>245</v>
      </c>
      <c r="AF440" s="706">
        <v>41891</v>
      </c>
      <c r="AG440" s="705">
        <v>41978</v>
      </c>
      <c r="AH440" s="417" t="s">
        <v>210</v>
      </c>
      <c r="AI440" s="392" t="s">
        <v>210</v>
      </c>
      <c r="AJ440" s="392" t="s">
        <v>210</v>
      </c>
      <c r="AK440" s="340" t="s">
        <v>210</v>
      </c>
      <c r="AL440" s="417" t="s">
        <v>210</v>
      </c>
      <c r="AM440" s="392" t="s">
        <v>210</v>
      </c>
      <c r="AN440" s="392" t="s">
        <v>210</v>
      </c>
      <c r="AO440" s="341" t="s">
        <v>210</v>
      </c>
      <c r="AP440" s="342"/>
      <c r="AQ440" s="343"/>
      <c r="AR440" s="370">
        <v>1822</v>
      </c>
      <c r="AS440" s="326">
        <v>150</v>
      </c>
      <c r="AT440" s="392">
        <v>1</v>
      </c>
      <c r="AU440" s="392"/>
      <c r="AV440" s="392">
        <v>1.2</v>
      </c>
      <c r="AW440" s="341"/>
      <c r="AX440" s="376"/>
      <c r="AY440" s="348"/>
      <c r="AZ440" s="377"/>
      <c r="BA440" s="374"/>
      <c r="BB440" s="374"/>
      <c r="BC440" s="374"/>
      <c r="BD440" s="374"/>
      <c r="BE440" s="374"/>
      <c r="BF440" s="374"/>
      <c r="BG440" s="374"/>
      <c r="BH440" s="378"/>
      <c r="BI440" s="376"/>
      <c r="BJ440" s="379"/>
      <c r="BK440" s="380"/>
      <c r="BL440" s="348"/>
      <c r="BM440" s="381"/>
      <c r="BN440" s="321" t="s">
        <v>14</v>
      </c>
      <c r="BO440" s="372"/>
      <c r="BP440" s="373" t="s">
        <v>14</v>
      </c>
      <c r="BQ440" s="360"/>
      <c r="BR440" s="361"/>
      <c r="BS440" s="361"/>
      <c r="BT440" s="361"/>
      <c r="BU440" s="342" t="s">
        <v>210</v>
      </c>
      <c r="BV440" s="342" t="s">
        <v>210</v>
      </c>
      <c r="BW440" s="341" t="s">
        <v>15</v>
      </c>
      <c r="BX440" s="361"/>
      <c r="BY440" s="362"/>
      <c r="BZ440" s="363"/>
      <c r="CA440" s="363"/>
      <c r="CB440" s="363"/>
      <c r="CC440" s="363"/>
    </row>
    <row r="441" spans="2:81" ht="22.5" customHeight="1">
      <c r="B441" s="365">
        <v>260158</v>
      </c>
      <c r="C441" s="366" t="s">
        <v>13796</v>
      </c>
      <c r="D441" s="419"/>
      <c r="E441" s="368"/>
      <c r="F441" s="321" t="s">
        <v>227</v>
      </c>
      <c r="G441" s="326" t="s">
        <v>1923</v>
      </c>
      <c r="H441" s="326" t="s">
        <v>1924</v>
      </c>
      <c r="I441" s="326" t="s">
        <v>383</v>
      </c>
      <c r="J441" s="326" t="s">
        <v>387</v>
      </c>
      <c r="K441" s="326" t="s">
        <v>993</v>
      </c>
      <c r="L441" s="323"/>
      <c r="M441" s="374"/>
      <c r="N441" s="325" t="s">
        <v>438</v>
      </c>
      <c r="O441" s="326" t="s">
        <v>210</v>
      </c>
      <c r="P441" s="327">
        <v>1237.8800000000001</v>
      </c>
      <c r="Q441" s="369">
        <v>607.48</v>
      </c>
      <c r="R441" s="329" t="s">
        <v>1053</v>
      </c>
      <c r="S441" s="331" t="s">
        <v>13800</v>
      </c>
      <c r="T441" s="331" t="s">
        <v>13801</v>
      </c>
      <c r="U441" s="331" t="s">
        <v>16245</v>
      </c>
      <c r="V441" s="331" t="s">
        <v>13802</v>
      </c>
      <c r="W441" s="332" t="s">
        <v>1054</v>
      </c>
      <c r="X441" s="331" t="s">
        <v>13797</v>
      </c>
      <c r="Y441" s="331" t="s">
        <v>13798</v>
      </c>
      <c r="Z441" s="330"/>
      <c r="AA441" s="331" t="s">
        <v>13799</v>
      </c>
      <c r="AB441" s="333"/>
      <c r="AC441" s="333"/>
      <c r="AD441" s="334" t="s">
        <v>1424</v>
      </c>
      <c r="AE441" s="335" t="s">
        <v>1422</v>
      </c>
      <c r="AF441" s="706">
        <v>41963</v>
      </c>
      <c r="AG441" s="705">
        <v>42044</v>
      </c>
      <c r="AH441" s="417" t="s">
        <v>210</v>
      </c>
      <c r="AI441" s="392" t="s">
        <v>210</v>
      </c>
      <c r="AJ441" s="392" t="s">
        <v>210</v>
      </c>
      <c r="AK441" s="340" t="s">
        <v>210</v>
      </c>
      <c r="AL441" s="417" t="s">
        <v>210</v>
      </c>
      <c r="AM441" s="392" t="s">
        <v>210</v>
      </c>
      <c r="AN441" s="392" t="s">
        <v>210</v>
      </c>
      <c r="AO441" s="341" t="s">
        <v>210</v>
      </c>
      <c r="AP441" s="342"/>
      <c r="AQ441" s="343"/>
      <c r="AR441" s="370">
        <v>865</v>
      </c>
      <c r="AS441" s="326">
        <v>100</v>
      </c>
      <c r="AT441" s="392">
        <v>1</v>
      </c>
      <c r="AU441" s="392"/>
      <c r="AV441" s="392">
        <v>1.5</v>
      </c>
      <c r="AW441" s="341"/>
      <c r="AX441" s="376"/>
      <c r="AY441" s="348"/>
      <c r="AZ441" s="377"/>
      <c r="BA441" s="374"/>
      <c r="BB441" s="374"/>
      <c r="BC441" s="374"/>
      <c r="BD441" s="374"/>
      <c r="BE441" s="374"/>
      <c r="BF441" s="374"/>
      <c r="BG441" s="374"/>
      <c r="BH441" s="378"/>
      <c r="BI441" s="376"/>
      <c r="BJ441" s="379"/>
      <c r="BK441" s="380"/>
      <c r="BL441" s="348"/>
      <c r="BM441" s="381"/>
      <c r="BN441" s="321" t="s">
        <v>14</v>
      </c>
      <c r="BO441" s="372"/>
      <c r="BP441" s="373" t="s">
        <v>14</v>
      </c>
      <c r="BQ441" s="360"/>
      <c r="BR441" s="361"/>
      <c r="BS441" s="361"/>
      <c r="BT441" s="361"/>
      <c r="BU441" s="342" t="s">
        <v>210</v>
      </c>
      <c r="BV441" s="342" t="s">
        <v>210</v>
      </c>
      <c r="BW441" s="341" t="s">
        <v>15</v>
      </c>
      <c r="BX441" s="361"/>
      <c r="BY441" s="362"/>
      <c r="BZ441" s="363"/>
      <c r="CA441" s="363"/>
      <c r="CB441" s="363"/>
      <c r="CC441" s="363"/>
    </row>
    <row r="442" spans="2:81" ht="22.5" customHeight="1">
      <c r="B442" s="365">
        <v>260159</v>
      </c>
      <c r="C442" s="366" t="s">
        <v>13792</v>
      </c>
      <c r="D442" s="419"/>
      <c r="E442" s="368"/>
      <c r="F442" s="321" t="s">
        <v>1058</v>
      </c>
      <c r="G442" s="326" t="s">
        <v>1921</v>
      </c>
      <c r="H442" s="326" t="s">
        <v>1922</v>
      </c>
      <c r="I442" s="326" t="s">
        <v>383</v>
      </c>
      <c r="J442" s="326" t="s">
        <v>399</v>
      </c>
      <c r="K442" s="326" t="s">
        <v>247</v>
      </c>
      <c r="L442" s="323"/>
      <c r="M442" s="374"/>
      <c r="N442" s="325" t="s">
        <v>438</v>
      </c>
      <c r="O442" s="326" t="s">
        <v>210</v>
      </c>
      <c r="P442" s="327" t="s">
        <v>1055</v>
      </c>
      <c r="Q442" s="369" t="s">
        <v>210</v>
      </c>
      <c r="R442" s="332" t="s">
        <v>1040</v>
      </c>
      <c r="S442" s="394" t="s">
        <v>11528</v>
      </c>
      <c r="T442" s="394" t="s">
        <v>11529</v>
      </c>
      <c r="U442" s="394" t="s">
        <v>16415</v>
      </c>
      <c r="V442" s="394" t="s">
        <v>11531</v>
      </c>
      <c r="W442" s="332" t="s">
        <v>1069</v>
      </c>
      <c r="X442" s="331" t="s">
        <v>13794</v>
      </c>
      <c r="Y442" s="331" t="s">
        <v>13795</v>
      </c>
      <c r="Z442" s="331" t="s">
        <v>16470</v>
      </c>
      <c r="AA442" s="331" t="s">
        <v>13793</v>
      </c>
      <c r="AB442" s="333"/>
      <c r="AC442" s="333"/>
      <c r="AD442" s="334" t="s">
        <v>944</v>
      </c>
      <c r="AE442" s="391"/>
      <c r="AF442" s="706">
        <v>41935</v>
      </c>
      <c r="AG442" s="705">
        <v>41978</v>
      </c>
      <c r="AH442" s="417" t="s">
        <v>210</v>
      </c>
      <c r="AI442" s="392" t="s">
        <v>210</v>
      </c>
      <c r="AJ442" s="392" t="s">
        <v>210</v>
      </c>
      <c r="AK442" s="340" t="s">
        <v>210</v>
      </c>
      <c r="AL442" s="417" t="s">
        <v>210</v>
      </c>
      <c r="AM442" s="392" t="s">
        <v>210</v>
      </c>
      <c r="AN442" s="392" t="s">
        <v>210</v>
      </c>
      <c r="AO442" s="341" t="s">
        <v>210</v>
      </c>
      <c r="AP442" s="342"/>
      <c r="AQ442" s="343"/>
      <c r="AR442" s="370">
        <v>4319</v>
      </c>
      <c r="AS442" s="326">
        <v>100</v>
      </c>
      <c r="AT442" s="392">
        <v>1</v>
      </c>
      <c r="AU442" s="392"/>
      <c r="AV442" s="392">
        <v>1</v>
      </c>
      <c r="AW442" s="341"/>
      <c r="AX442" s="376"/>
      <c r="AY442" s="348"/>
      <c r="AZ442" s="377"/>
      <c r="BA442" s="374"/>
      <c r="BB442" s="374"/>
      <c r="BC442" s="374"/>
      <c r="BD442" s="374"/>
      <c r="BE442" s="374"/>
      <c r="BF442" s="374"/>
      <c r="BG442" s="374"/>
      <c r="BH442" s="378"/>
      <c r="BI442" s="376"/>
      <c r="BJ442" s="379"/>
      <c r="BK442" s="380"/>
      <c r="BL442" s="348"/>
      <c r="BM442" s="381"/>
      <c r="BN442" s="417" t="s">
        <v>210</v>
      </c>
      <c r="BO442" s="372"/>
      <c r="BP442" s="340" t="s">
        <v>210</v>
      </c>
      <c r="BQ442" s="360"/>
      <c r="BR442" s="361"/>
      <c r="BS442" s="361"/>
      <c r="BT442" s="361"/>
      <c r="BU442" s="342" t="s">
        <v>210</v>
      </c>
      <c r="BV442" s="342" t="s">
        <v>210</v>
      </c>
      <c r="BW442" s="341" t="s">
        <v>15</v>
      </c>
      <c r="BX442" s="361"/>
      <c r="BY442" s="362"/>
      <c r="BZ442" s="363"/>
      <c r="CA442" s="363"/>
      <c r="CB442" s="363"/>
      <c r="CC442" s="363"/>
    </row>
    <row r="443" spans="2:81" ht="22.5" customHeight="1">
      <c r="B443" s="365">
        <v>260160</v>
      </c>
      <c r="C443" s="366" t="s">
        <v>1400</v>
      </c>
      <c r="D443" s="419"/>
      <c r="E443" s="368"/>
      <c r="F443" s="321" t="s">
        <v>839</v>
      </c>
      <c r="G443" s="326" t="s">
        <v>1919</v>
      </c>
      <c r="H443" s="326" t="s">
        <v>1920</v>
      </c>
      <c r="I443" s="326" t="s">
        <v>1071</v>
      </c>
      <c r="J443" s="326" t="s">
        <v>387</v>
      </c>
      <c r="K443" s="326" t="s">
        <v>806</v>
      </c>
      <c r="L443" s="323"/>
      <c r="M443" s="374"/>
      <c r="N443" s="325" t="s">
        <v>521</v>
      </c>
      <c r="O443" s="326" t="s">
        <v>210</v>
      </c>
      <c r="P443" s="327">
        <v>1291.56</v>
      </c>
      <c r="Q443" s="369" t="s">
        <v>210</v>
      </c>
      <c r="R443" s="329" t="s">
        <v>479</v>
      </c>
      <c r="S443" s="331" t="s">
        <v>13569</v>
      </c>
      <c r="T443" s="331" t="s">
        <v>13570</v>
      </c>
      <c r="U443" s="330"/>
      <c r="V443" s="331" t="s">
        <v>13571</v>
      </c>
      <c r="W443" s="332" t="s">
        <v>1401</v>
      </c>
      <c r="X443" s="331" t="s">
        <v>13569</v>
      </c>
      <c r="Y443" s="331" t="s">
        <v>13570</v>
      </c>
      <c r="Z443" s="330"/>
      <c r="AA443" s="331" t="s">
        <v>13571</v>
      </c>
      <c r="AB443" s="333"/>
      <c r="AC443" s="333"/>
      <c r="AD443" s="334" t="s">
        <v>1429</v>
      </c>
      <c r="AE443" s="335" t="s">
        <v>1430</v>
      </c>
      <c r="AF443" s="706">
        <v>41988</v>
      </c>
      <c r="AG443" s="705">
        <v>42019</v>
      </c>
      <c r="AH443" s="417" t="s">
        <v>210</v>
      </c>
      <c r="AI443" s="392" t="s">
        <v>210</v>
      </c>
      <c r="AJ443" s="392" t="s">
        <v>210</v>
      </c>
      <c r="AK443" s="340" t="s">
        <v>210</v>
      </c>
      <c r="AL443" s="417" t="s">
        <v>210</v>
      </c>
      <c r="AM443" s="392" t="s">
        <v>210</v>
      </c>
      <c r="AN443" s="392" t="s">
        <v>210</v>
      </c>
      <c r="AO443" s="341" t="s">
        <v>210</v>
      </c>
      <c r="AP443" s="342"/>
      <c r="AQ443" s="343"/>
      <c r="AR443" s="370">
        <v>851</v>
      </c>
      <c r="AS443" s="326">
        <v>100</v>
      </c>
      <c r="AT443" s="392">
        <v>1.2</v>
      </c>
      <c r="AU443" s="392"/>
      <c r="AV443" s="392">
        <v>1.5</v>
      </c>
      <c r="AW443" s="341"/>
      <c r="AX443" s="376"/>
      <c r="AY443" s="348"/>
      <c r="AZ443" s="377"/>
      <c r="BA443" s="374"/>
      <c r="BB443" s="374"/>
      <c r="BC443" s="374"/>
      <c r="BD443" s="374"/>
      <c r="BE443" s="374"/>
      <c r="BF443" s="374"/>
      <c r="BG443" s="374"/>
      <c r="BH443" s="378"/>
      <c r="BI443" s="376"/>
      <c r="BJ443" s="379"/>
      <c r="BK443" s="380"/>
      <c r="BL443" s="348"/>
      <c r="BM443" s="381"/>
      <c r="BN443" s="321" t="s">
        <v>14</v>
      </c>
      <c r="BO443" s="372"/>
      <c r="BP443" s="373" t="s">
        <v>14</v>
      </c>
      <c r="BQ443" s="360"/>
      <c r="BR443" s="361"/>
      <c r="BS443" s="361"/>
      <c r="BT443" s="361"/>
      <c r="BU443" s="342" t="s">
        <v>210</v>
      </c>
      <c r="BV443" s="342" t="s">
        <v>210</v>
      </c>
      <c r="BW443" s="341" t="s">
        <v>15</v>
      </c>
      <c r="BX443" s="361"/>
      <c r="BY443" s="362"/>
      <c r="BZ443" s="363"/>
      <c r="CA443" s="363"/>
      <c r="CB443" s="363"/>
      <c r="CC443" s="363"/>
    </row>
    <row r="444" spans="2:81" ht="22.5" customHeight="1">
      <c r="B444" s="365">
        <v>260161</v>
      </c>
      <c r="C444" s="366" t="s">
        <v>1384</v>
      </c>
      <c r="D444" s="419"/>
      <c r="E444" s="368"/>
      <c r="F444" s="321" t="s">
        <v>1385</v>
      </c>
      <c r="G444" s="326" t="s">
        <v>1885</v>
      </c>
      <c r="H444" s="326" t="s">
        <v>1886</v>
      </c>
      <c r="I444" s="326" t="s">
        <v>1071</v>
      </c>
      <c r="J444" s="326" t="s">
        <v>399</v>
      </c>
      <c r="K444" s="326" t="s">
        <v>977</v>
      </c>
      <c r="L444" s="323"/>
      <c r="M444" s="374"/>
      <c r="N444" s="325" t="s">
        <v>437</v>
      </c>
      <c r="O444" s="327" t="s">
        <v>210</v>
      </c>
      <c r="P444" s="327" t="s">
        <v>210</v>
      </c>
      <c r="Q444" s="369" t="s">
        <v>210</v>
      </c>
      <c r="R444" s="329" t="s">
        <v>1441</v>
      </c>
      <c r="S444" s="330"/>
      <c r="T444" s="330"/>
      <c r="U444" s="330"/>
      <c r="V444" s="330"/>
      <c r="W444" s="332" t="s">
        <v>1386</v>
      </c>
      <c r="X444" s="331" t="s">
        <v>13788</v>
      </c>
      <c r="Y444" s="331" t="s">
        <v>13790</v>
      </c>
      <c r="Z444" s="331" t="s">
        <v>13789</v>
      </c>
      <c r="AA444" s="331" t="s">
        <v>13791</v>
      </c>
      <c r="AB444" s="333"/>
      <c r="AC444" s="333"/>
      <c r="AD444" s="334" t="s">
        <v>276</v>
      </c>
      <c r="AE444" s="335" t="s">
        <v>210</v>
      </c>
      <c r="AF444" s="706">
        <v>41978</v>
      </c>
      <c r="AG444" s="705">
        <v>42035</v>
      </c>
      <c r="AH444" s="417" t="s">
        <v>210</v>
      </c>
      <c r="AI444" s="392" t="s">
        <v>210</v>
      </c>
      <c r="AJ444" s="392" t="s">
        <v>210</v>
      </c>
      <c r="AK444" s="340" t="s">
        <v>210</v>
      </c>
      <c r="AL444" s="417" t="s">
        <v>210</v>
      </c>
      <c r="AM444" s="392" t="s">
        <v>210</v>
      </c>
      <c r="AN444" s="392" t="s">
        <v>210</v>
      </c>
      <c r="AO444" s="341" t="s">
        <v>210</v>
      </c>
      <c r="AP444" s="342"/>
      <c r="AQ444" s="343"/>
      <c r="AR444" s="370">
        <v>877</v>
      </c>
      <c r="AS444" s="326">
        <v>100</v>
      </c>
      <c r="AT444" s="392">
        <v>1</v>
      </c>
      <c r="AU444" s="392"/>
      <c r="AV444" s="392">
        <v>1.2</v>
      </c>
      <c r="AW444" s="341"/>
      <c r="AX444" s="376"/>
      <c r="AY444" s="348"/>
      <c r="AZ444" s="377"/>
      <c r="BA444" s="374"/>
      <c r="BB444" s="374"/>
      <c r="BC444" s="374"/>
      <c r="BD444" s="374"/>
      <c r="BE444" s="374"/>
      <c r="BF444" s="374"/>
      <c r="BG444" s="374"/>
      <c r="BH444" s="378"/>
      <c r="BI444" s="376"/>
      <c r="BJ444" s="379"/>
      <c r="BK444" s="380"/>
      <c r="BL444" s="348"/>
      <c r="BM444" s="381"/>
      <c r="BN444" s="321" t="s">
        <v>14</v>
      </c>
      <c r="BO444" s="372"/>
      <c r="BP444" s="340" t="s">
        <v>210</v>
      </c>
      <c r="BQ444" s="360"/>
      <c r="BR444" s="361"/>
      <c r="BS444" s="361"/>
      <c r="BT444" s="361"/>
      <c r="BU444" s="342" t="s">
        <v>210</v>
      </c>
      <c r="BV444" s="342" t="s">
        <v>210</v>
      </c>
      <c r="BW444" s="341" t="s">
        <v>15</v>
      </c>
      <c r="BX444" s="361"/>
      <c r="BY444" s="362"/>
      <c r="BZ444" s="363"/>
      <c r="CA444" s="363"/>
      <c r="CB444" s="363"/>
      <c r="CC444" s="363"/>
    </row>
    <row r="445" spans="2:81" ht="22.5" customHeight="1">
      <c r="B445" s="365">
        <v>260162</v>
      </c>
      <c r="C445" s="366" t="s">
        <v>13785</v>
      </c>
      <c r="D445" s="419"/>
      <c r="E445" s="368"/>
      <c r="F445" s="321" t="s">
        <v>839</v>
      </c>
      <c r="G445" s="326" t="s">
        <v>1917</v>
      </c>
      <c r="H445" s="326" t="s">
        <v>1918</v>
      </c>
      <c r="I445" s="326" t="s">
        <v>1071</v>
      </c>
      <c r="J445" s="326" t="s">
        <v>387</v>
      </c>
      <c r="K445" s="326" t="s">
        <v>247</v>
      </c>
      <c r="L445" s="323"/>
      <c r="M445" s="374"/>
      <c r="N445" s="325" t="s">
        <v>1072</v>
      </c>
      <c r="O445" s="326">
        <v>50</v>
      </c>
      <c r="P445" s="327" t="s">
        <v>210</v>
      </c>
      <c r="Q445" s="369" t="s">
        <v>210</v>
      </c>
      <c r="R445" s="329" t="s">
        <v>1022</v>
      </c>
      <c r="S445" s="331" t="s">
        <v>13786</v>
      </c>
      <c r="T445" s="330"/>
      <c r="U445" s="330"/>
      <c r="V445" s="331" t="s">
        <v>13787</v>
      </c>
      <c r="W445" s="332" t="s">
        <v>592</v>
      </c>
      <c r="X445" s="331" t="s">
        <v>11927</v>
      </c>
      <c r="Y445" s="331" t="s">
        <v>11929</v>
      </c>
      <c r="Z445" s="331" t="s">
        <v>11346</v>
      </c>
      <c r="AA445" s="331" t="s">
        <v>11928</v>
      </c>
      <c r="AB445" s="333"/>
      <c r="AC445" s="333"/>
      <c r="AD445" s="334" t="s">
        <v>1410</v>
      </c>
      <c r="AE445" s="335" t="s">
        <v>696</v>
      </c>
      <c r="AF445" s="706">
        <v>41969</v>
      </c>
      <c r="AG445" s="705">
        <v>42041</v>
      </c>
      <c r="AH445" s="417" t="s">
        <v>210</v>
      </c>
      <c r="AI445" s="392" t="s">
        <v>210</v>
      </c>
      <c r="AJ445" s="392" t="s">
        <v>210</v>
      </c>
      <c r="AK445" s="340" t="s">
        <v>210</v>
      </c>
      <c r="AL445" s="417" t="s">
        <v>210</v>
      </c>
      <c r="AM445" s="653" t="s">
        <v>17905</v>
      </c>
      <c r="AN445" s="392" t="s">
        <v>210</v>
      </c>
      <c r="AO445" s="341" t="s">
        <v>210</v>
      </c>
      <c r="AP445" s="418"/>
      <c r="AQ445" s="343"/>
      <c r="AR445" s="370">
        <v>4183</v>
      </c>
      <c r="AS445" s="326">
        <v>100</v>
      </c>
      <c r="AT445" s="392">
        <v>1</v>
      </c>
      <c r="AU445" s="392"/>
      <c r="AV445" s="392">
        <v>1.5</v>
      </c>
      <c r="AW445" s="341"/>
      <c r="AX445" s="453" t="s">
        <v>210</v>
      </c>
      <c r="AY445" s="348"/>
      <c r="AZ445" s="377"/>
      <c r="BA445" s="374"/>
      <c r="BB445" s="374"/>
      <c r="BC445" s="374"/>
      <c r="BD445" s="374"/>
      <c r="BE445" s="374"/>
      <c r="BF445" s="374"/>
      <c r="BG445" s="374"/>
      <c r="BH445" s="378"/>
      <c r="BI445" s="376"/>
      <c r="BJ445" s="379"/>
      <c r="BK445" s="380"/>
      <c r="BL445" s="348"/>
      <c r="BM445" s="381"/>
      <c r="BN445" s="321" t="s">
        <v>14</v>
      </c>
      <c r="BO445" s="372"/>
      <c r="BP445" s="373" t="s">
        <v>14</v>
      </c>
      <c r="BQ445" s="360"/>
      <c r="BR445" s="361"/>
      <c r="BS445" s="361"/>
      <c r="BT445" s="361"/>
      <c r="BU445" s="361"/>
      <c r="BV445" s="418" t="s">
        <v>210</v>
      </c>
      <c r="BW445" s="341" t="s">
        <v>15</v>
      </c>
      <c r="BX445" s="361"/>
      <c r="BY445" s="362"/>
      <c r="BZ445" s="363"/>
      <c r="CA445" s="363"/>
      <c r="CB445" s="363"/>
      <c r="CC445" s="363"/>
    </row>
    <row r="446" spans="2:81" ht="22.5" customHeight="1">
      <c r="B446" s="365">
        <v>260163</v>
      </c>
      <c r="C446" s="366" t="s">
        <v>1389</v>
      </c>
      <c r="D446" s="419"/>
      <c r="E446" s="368"/>
      <c r="F446" s="321" t="s">
        <v>1390</v>
      </c>
      <c r="G446" s="326" t="s">
        <v>1915</v>
      </c>
      <c r="H446" s="326" t="s">
        <v>1916</v>
      </c>
      <c r="I446" s="326" t="s">
        <v>11</v>
      </c>
      <c r="J446" s="326" t="s">
        <v>387</v>
      </c>
      <c r="K446" s="326" t="s">
        <v>977</v>
      </c>
      <c r="L446" s="323"/>
      <c r="M446" s="374"/>
      <c r="N446" s="325" t="s">
        <v>1391</v>
      </c>
      <c r="O446" s="326">
        <v>85</v>
      </c>
      <c r="P446" s="327" t="s">
        <v>210</v>
      </c>
      <c r="Q446" s="369" t="s">
        <v>210</v>
      </c>
      <c r="R446" s="329" t="s">
        <v>1395</v>
      </c>
      <c r="S446" s="394" t="s">
        <v>13782</v>
      </c>
      <c r="T446" s="394" t="s">
        <v>13784</v>
      </c>
      <c r="U446" s="400"/>
      <c r="V446" s="394" t="s">
        <v>13783</v>
      </c>
      <c r="W446" s="332" t="s">
        <v>1392</v>
      </c>
      <c r="X446" s="331" t="s">
        <v>13781</v>
      </c>
      <c r="Y446" s="330"/>
      <c r="Z446" s="330"/>
      <c r="AA446" s="331" t="s">
        <v>13780</v>
      </c>
      <c r="AB446" s="333"/>
      <c r="AC446" s="333"/>
      <c r="AD446" s="334" t="s">
        <v>1475</v>
      </c>
      <c r="AE446" s="335" t="s">
        <v>1038</v>
      </c>
      <c r="AF446" s="706">
        <v>41975</v>
      </c>
      <c r="AG446" s="705">
        <v>42040</v>
      </c>
      <c r="AH446" s="417" t="s">
        <v>210</v>
      </c>
      <c r="AI446" s="392" t="s">
        <v>210</v>
      </c>
      <c r="AJ446" s="392" t="s">
        <v>210</v>
      </c>
      <c r="AK446" s="340" t="s">
        <v>210</v>
      </c>
      <c r="AL446" s="417" t="s">
        <v>210</v>
      </c>
      <c r="AM446" s="392" t="s">
        <v>210</v>
      </c>
      <c r="AN446" s="392" t="s">
        <v>210</v>
      </c>
      <c r="AO446" s="341" t="s">
        <v>210</v>
      </c>
      <c r="AP446" s="342"/>
      <c r="AQ446" s="343"/>
      <c r="AR446" s="370">
        <v>1305</v>
      </c>
      <c r="AS446" s="326">
        <v>100</v>
      </c>
      <c r="AT446" s="392">
        <v>1</v>
      </c>
      <c r="AU446" s="392"/>
      <c r="AV446" s="392">
        <v>1.5</v>
      </c>
      <c r="AW446" s="341"/>
      <c r="AX446" s="376"/>
      <c r="AY446" s="348"/>
      <c r="AZ446" s="377"/>
      <c r="BA446" s="374"/>
      <c r="BB446" s="374"/>
      <c r="BC446" s="374"/>
      <c r="BD446" s="374"/>
      <c r="BE446" s="374"/>
      <c r="BF446" s="374"/>
      <c r="BG446" s="374"/>
      <c r="BH446" s="378"/>
      <c r="BI446" s="376"/>
      <c r="BJ446" s="379"/>
      <c r="BK446" s="380"/>
      <c r="BL446" s="348"/>
      <c r="BM446" s="381"/>
      <c r="BN446" s="321" t="s">
        <v>14</v>
      </c>
      <c r="BO446" s="372"/>
      <c r="BP446" s="373" t="s">
        <v>14</v>
      </c>
      <c r="BQ446" s="360"/>
      <c r="BR446" s="361"/>
      <c r="BS446" s="361"/>
      <c r="BT446" s="361"/>
      <c r="BU446" s="342" t="s">
        <v>210</v>
      </c>
      <c r="BV446" s="342" t="s">
        <v>210</v>
      </c>
      <c r="BW446" s="341" t="s">
        <v>15</v>
      </c>
      <c r="BX446" s="361"/>
      <c r="BY446" s="362"/>
      <c r="BZ446" s="363"/>
      <c r="CA446" s="363"/>
      <c r="CB446" s="363"/>
      <c r="CC446" s="363"/>
    </row>
    <row r="447" spans="2:81" ht="22.5" customHeight="1">
      <c r="B447" s="365">
        <v>260164</v>
      </c>
      <c r="C447" s="366" t="s">
        <v>1398</v>
      </c>
      <c r="D447" s="419"/>
      <c r="E447" s="368"/>
      <c r="F447" s="321" t="s">
        <v>1408</v>
      </c>
      <c r="G447" s="326" t="s">
        <v>1883</v>
      </c>
      <c r="H447" s="326" t="s">
        <v>1884</v>
      </c>
      <c r="I447" s="326" t="s">
        <v>383</v>
      </c>
      <c r="J447" s="326" t="s">
        <v>399</v>
      </c>
      <c r="K447" s="326" t="s">
        <v>917</v>
      </c>
      <c r="L447" s="432" t="s">
        <v>210</v>
      </c>
      <c r="M447" s="324" t="s">
        <v>10767</v>
      </c>
      <c r="N447" s="325" t="s">
        <v>438</v>
      </c>
      <c r="O447" s="326">
        <v>50</v>
      </c>
      <c r="P447" s="327">
        <v>9993</v>
      </c>
      <c r="Q447" s="369">
        <v>10346</v>
      </c>
      <c r="R447" s="329" t="s">
        <v>447</v>
      </c>
      <c r="S447" s="332" t="s">
        <v>13046</v>
      </c>
      <c r="T447" s="332" t="s">
        <v>11087</v>
      </c>
      <c r="U447" s="332" t="s">
        <v>16355</v>
      </c>
      <c r="V447" s="332" t="s">
        <v>13047</v>
      </c>
      <c r="W447" s="332" t="s">
        <v>432</v>
      </c>
      <c r="X447" s="331" t="s">
        <v>11079</v>
      </c>
      <c r="Y447" s="331" t="s">
        <v>11080</v>
      </c>
      <c r="Z447" s="331" t="s">
        <v>11080</v>
      </c>
      <c r="AA447" s="331" t="s">
        <v>210</v>
      </c>
      <c r="AB447" s="333"/>
      <c r="AC447" s="333"/>
      <c r="AD447" s="334" t="s">
        <v>730</v>
      </c>
      <c r="AE447" s="335" t="s">
        <v>231</v>
      </c>
      <c r="AF447" s="706">
        <v>41942</v>
      </c>
      <c r="AG447" s="705">
        <v>42080</v>
      </c>
      <c r="AH447" s="417">
        <v>7.4</v>
      </c>
      <c r="AI447" s="392">
        <v>20.100000000000001</v>
      </c>
      <c r="AJ447" s="392">
        <v>17.8</v>
      </c>
      <c r="AK447" s="340">
        <f>SUM(AH447:AJ447)</f>
        <v>45.3</v>
      </c>
      <c r="AL447" s="417" t="s">
        <v>210</v>
      </c>
      <c r="AM447" s="392" t="s">
        <v>210</v>
      </c>
      <c r="AN447" s="392" t="s">
        <v>210</v>
      </c>
      <c r="AO447" s="341" t="s">
        <v>210</v>
      </c>
      <c r="AP447" s="342"/>
      <c r="AQ447" s="433" t="s">
        <v>4547</v>
      </c>
      <c r="AR447" s="370">
        <v>15119</v>
      </c>
      <c r="AS447" s="326">
        <v>150</v>
      </c>
      <c r="AT447" s="392">
        <v>1</v>
      </c>
      <c r="AU447" s="392"/>
      <c r="AV447" s="392">
        <v>1.2</v>
      </c>
      <c r="AW447" s="341"/>
      <c r="AX447" s="453" t="s">
        <v>210</v>
      </c>
      <c r="AY447" s="429" t="s">
        <v>622</v>
      </c>
      <c r="AZ447" s="377"/>
      <c r="BA447" s="374"/>
      <c r="BB447" s="374"/>
      <c r="BC447" s="374"/>
      <c r="BD447" s="374"/>
      <c r="BE447" s="374"/>
      <c r="BF447" s="374"/>
      <c r="BG447" s="374"/>
      <c r="BH447" s="378"/>
      <c r="BI447" s="376"/>
      <c r="BJ447" s="379"/>
      <c r="BK447" s="380"/>
      <c r="BL447" s="348"/>
      <c r="BM447" s="381"/>
      <c r="BN447" s="321" t="s">
        <v>14</v>
      </c>
      <c r="BO447" s="372"/>
      <c r="BP447" s="373" t="s">
        <v>14</v>
      </c>
      <c r="BQ447" s="360"/>
      <c r="BR447" s="361"/>
      <c r="BS447" s="361"/>
      <c r="BT447" s="361"/>
      <c r="BU447" s="342" t="s">
        <v>210</v>
      </c>
      <c r="BV447" s="342" t="s">
        <v>210</v>
      </c>
      <c r="BW447" s="341" t="s">
        <v>15</v>
      </c>
      <c r="BX447" s="361"/>
      <c r="BY447" s="362" t="s">
        <v>1755</v>
      </c>
      <c r="BZ447" s="363"/>
      <c r="CA447" s="363"/>
      <c r="CB447" s="363"/>
      <c r="CC447" s="363"/>
    </row>
    <row r="448" spans="2:81" ht="22.5" customHeight="1">
      <c r="B448" s="365">
        <v>260165</v>
      </c>
      <c r="C448" s="366" t="s">
        <v>13696</v>
      </c>
      <c r="D448" s="419"/>
      <c r="E448" s="368"/>
      <c r="F448" s="321" t="s">
        <v>233</v>
      </c>
      <c r="G448" s="326" t="s">
        <v>1880</v>
      </c>
      <c r="H448" s="326" t="s">
        <v>1881</v>
      </c>
      <c r="I448" s="326" t="s">
        <v>383</v>
      </c>
      <c r="J448" s="326" t="s">
        <v>387</v>
      </c>
      <c r="K448" s="326" t="s">
        <v>917</v>
      </c>
      <c r="L448" s="323"/>
      <c r="M448" s="374"/>
      <c r="N448" s="325" t="s">
        <v>1407</v>
      </c>
      <c r="O448" s="326" t="s">
        <v>210</v>
      </c>
      <c r="P448" s="327" t="s">
        <v>210</v>
      </c>
      <c r="Q448" s="369" t="s">
        <v>210</v>
      </c>
      <c r="R448" s="329" t="s">
        <v>1444</v>
      </c>
      <c r="S448" s="330"/>
      <c r="T448" s="330"/>
      <c r="U448" s="330"/>
      <c r="V448" s="330"/>
      <c r="W448" s="332" t="s">
        <v>5782</v>
      </c>
      <c r="X448" s="331" t="s">
        <v>13777</v>
      </c>
      <c r="Y448" s="331" t="s">
        <v>13779</v>
      </c>
      <c r="Z448" s="331" t="s">
        <v>13778</v>
      </c>
      <c r="AA448" s="331" t="s">
        <v>13776</v>
      </c>
      <c r="AB448" s="333"/>
      <c r="AC448" s="333"/>
      <c r="AD448" s="334" t="s">
        <v>2033</v>
      </c>
      <c r="AE448" s="335" t="s">
        <v>2032</v>
      </c>
      <c r="AF448" s="706">
        <v>41995</v>
      </c>
      <c r="AG448" s="705">
        <v>42181</v>
      </c>
      <c r="AH448" s="417" t="s">
        <v>210</v>
      </c>
      <c r="AI448" s="392" t="s">
        <v>210</v>
      </c>
      <c r="AJ448" s="392" t="s">
        <v>210</v>
      </c>
      <c r="AK448" s="340" t="s">
        <v>210</v>
      </c>
      <c r="AL448" s="417" t="s">
        <v>210</v>
      </c>
      <c r="AM448" s="392" t="s">
        <v>210</v>
      </c>
      <c r="AN448" s="392" t="s">
        <v>210</v>
      </c>
      <c r="AO448" s="341" t="s">
        <v>210</v>
      </c>
      <c r="AP448" s="342"/>
      <c r="AQ448" s="343"/>
      <c r="AR448" s="370">
        <v>2483</v>
      </c>
      <c r="AS448" s="326">
        <v>150</v>
      </c>
      <c r="AT448" s="392">
        <v>0.6</v>
      </c>
      <c r="AU448" s="392"/>
      <c r="AV448" s="392">
        <v>1.4</v>
      </c>
      <c r="AW448" s="341"/>
      <c r="AX448" s="376"/>
      <c r="AY448" s="348"/>
      <c r="AZ448" s="377"/>
      <c r="BA448" s="374"/>
      <c r="BB448" s="374"/>
      <c r="BC448" s="374"/>
      <c r="BD448" s="374"/>
      <c r="BE448" s="374"/>
      <c r="BF448" s="374"/>
      <c r="BG448" s="374"/>
      <c r="BH448" s="378"/>
      <c r="BI448" s="376"/>
      <c r="BJ448" s="379"/>
      <c r="BK448" s="380"/>
      <c r="BL448" s="348"/>
      <c r="BM448" s="381"/>
      <c r="BN448" s="321" t="s">
        <v>14</v>
      </c>
      <c r="BO448" s="372"/>
      <c r="BP448" s="340" t="s">
        <v>210</v>
      </c>
      <c r="BQ448" s="360"/>
      <c r="BR448" s="361"/>
      <c r="BS448" s="361"/>
      <c r="BT448" s="361"/>
      <c r="BU448" s="342" t="s">
        <v>210</v>
      </c>
      <c r="BV448" s="342" t="s">
        <v>210</v>
      </c>
      <c r="BW448" s="341" t="s">
        <v>15</v>
      </c>
      <c r="BX448" s="361"/>
      <c r="BY448" s="362"/>
      <c r="BZ448" s="363"/>
      <c r="CA448" s="363"/>
      <c r="CB448" s="363"/>
      <c r="CC448" s="363"/>
    </row>
    <row r="449" spans="2:81" ht="22.5" customHeight="1">
      <c r="B449" s="365">
        <v>260166</v>
      </c>
      <c r="C449" s="366" t="s">
        <v>1414</v>
      </c>
      <c r="D449" s="419"/>
      <c r="E449" s="368"/>
      <c r="F449" s="321" t="s">
        <v>1415</v>
      </c>
      <c r="G449" s="326" t="s">
        <v>1878</v>
      </c>
      <c r="H449" s="326" t="s">
        <v>1879</v>
      </c>
      <c r="I449" s="326" t="s">
        <v>383</v>
      </c>
      <c r="J449" s="326" t="s">
        <v>399</v>
      </c>
      <c r="K449" s="326" t="s">
        <v>247</v>
      </c>
      <c r="L449" s="323"/>
      <c r="M449" s="324" t="s">
        <v>10776</v>
      </c>
      <c r="N449" s="325" t="s">
        <v>1416</v>
      </c>
      <c r="O449" s="326">
        <v>30</v>
      </c>
      <c r="P449" s="327" t="s">
        <v>210</v>
      </c>
      <c r="Q449" s="369" t="s">
        <v>210</v>
      </c>
      <c r="R449" s="329" t="s">
        <v>1093</v>
      </c>
      <c r="S449" s="332" t="s">
        <v>12863</v>
      </c>
      <c r="T449" s="332" t="s">
        <v>12864</v>
      </c>
      <c r="U449" s="332" t="s">
        <v>16419</v>
      </c>
      <c r="V449" s="332" t="s">
        <v>12865</v>
      </c>
      <c r="W449" s="332" t="s">
        <v>432</v>
      </c>
      <c r="X449" s="331" t="s">
        <v>11079</v>
      </c>
      <c r="Y449" s="331" t="s">
        <v>11080</v>
      </c>
      <c r="Z449" s="331" t="s">
        <v>11080</v>
      </c>
      <c r="AA449" s="331" t="s">
        <v>210</v>
      </c>
      <c r="AB449" s="333"/>
      <c r="AC449" s="333"/>
      <c r="AD449" s="334" t="s">
        <v>1522</v>
      </c>
      <c r="AE449" s="391"/>
      <c r="AF449" s="706">
        <v>41997</v>
      </c>
      <c r="AG449" s="705">
        <v>42109</v>
      </c>
      <c r="AH449" s="417">
        <v>21.3</v>
      </c>
      <c r="AI449" s="392">
        <v>33.299999999999997</v>
      </c>
      <c r="AJ449" s="392">
        <v>9.5</v>
      </c>
      <c r="AK449" s="340">
        <f>SUM(AH449:AJ449)</f>
        <v>64.099999999999994</v>
      </c>
      <c r="AL449" s="417" t="s">
        <v>210</v>
      </c>
      <c r="AM449" s="392" t="s">
        <v>210</v>
      </c>
      <c r="AN449" s="392" t="s">
        <v>210</v>
      </c>
      <c r="AO449" s="341" t="s">
        <v>210</v>
      </c>
      <c r="AP449" s="342"/>
      <c r="AQ449" s="343"/>
      <c r="AR449" s="370">
        <v>2079</v>
      </c>
      <c r="AS449" s="326">
        <v>80</v>
      </c>
      <c r="AT449" s="392">
        <v>1</v>
      </c>
      <c r="AU449" s="392"/>
      <c r="AV449" s="392">
        <v>1</v>
      </c>
      <c r="AW449" s="341"/>
      <c r="AX449" s="376"/>
      <c r="AY449" s="348"/>
      <c r="AZ449" s="377"/>
      <c r="BA449" s="374"/>
      <c r="BB449" s="374"/>
      <c r="BC449" s="374"/>
      <c r="BD449" s="374"/>
      <c r="BE449" s="374"/>
      <c r="BF449" s="374"/>
      <c r="BG449" s="374"/>
      <c r="BH449" s="378"/>
      <c r="BI449" s="376"/>
      <c r="BJ449" s="379"/>
      <c r="BK449" s="380"/>
      <c r="BL449" s="348"/>
      <c r="BM449" s="381"/>
      <c r="BN449" s="417" t="s">
        <v>210</v>
      </c>
      <c r="BO449" s="372"/>
      <c r="BP449" s="340" t="s">
        <v>210</v>
      </c>
      <c r="BQ449" s="360"/>
      <c r="BR449" s="361"/>
      <c r="BS449" s="361"/>
      <c r="BT449" s="361"/>
      <c r="BU449" s="342" t="s">
        <v>210</v>
      </c>
      <c r="BV449" s="342" t="s">
        <v>210</v>
      </c>
      <c r="BW449" s="341" t="s">
        <v>15</v>
      </c>
      <c r="BX449" s="361"/>
      <c r="BY449" s="362" t="s">
        <v>15596</v>
      </c>
      <c r="BZ449" s="363"/>
      <c r="CA449" s="363"/>
      <c r="CB449" s="363"/>
      <c r="CC449" s="363"/>
    </row>
    <row r="450" spans="2:81" ht="22.5" customHeight="1">
      <c r="B450" s="365">
        <v>260167</v>
      </c>
      <c r="C450" s="366" t="s">
        <v>1402</v>
      </c>
      <c r="D450" s="419"/>
      <c r="E450" s="368"/>
      <c r="F450" s="321" t="s">
        <v>1403</v>
      </c>
      <c r="G450" s="326" t="s">
        <v>1913</v>
      </c>
      <c r="H450" s="326" t="s">
        <v>1914</v>
      </c>
      <c r="I450" s="326" t="s">
        <v>383</v>
      </c>
      <c r="J450" s="326" t="s">
        <v>387</v>
      </c>
      <c r="K450" s="326" t="s">
        <v>977</v>
      </c>
      <c r="L450" s="323"/>
      <c r="M450" s="374"/>
      <c r="N450" s="325" t="s">
        <v>1457</v>
      </c>
      <c r="O450" s="326">
        <v>30</v>
      </c>
      <c r="P450" s="327">
        <v>2355</v>
      </c>
      <c r="Q450" s="369">
        <v>1638</v>
      </c>
      <c r="R450" s="329" t="s">
        <v>1404</v>
      </c>
      <c r="S450" s="331" t="s">
        <v>13694</v>
      </c>
      <c r="T450" s="330"/>
      <c r="U450" s="330"/>
      <c r="V450" s="331" t="s">
        <v>13695</v>
      </c>
      <c r="W450" s="332" t="s">
        <v>1411</v>
      </c>
      <c r="X450" s="330"/>
      <c r="Y450" s="330"/>
      <c r="Z450" s="330"/>
      <c r="AA450" s="330"/>
      <c r="AB450" s="333"/>
      <c r="AC450" s="333"/>
      <c r="AD450" s="334" t="s">
        <v>1440</v>
      </c>
      <c r="AE450" s="335" t="s">
        <v>1520</v>
      </c>
      <c r="AF450" s="706">
        <v>41957</v>
      </c>
      <c r="AG450" s="705">
        <v>42055</v>
      </c>
      <c r="AH450" s="417" t="s">
        <v>210</v>
      </c>
      <c r="AI450" s="392" t="s">
        <v>210</v>
      </c>
      <c r="AJ450" s="392" t="s">
        <v>210</v>
      </c>
      <c r="AK450" s="340" t="s">
        <v>210</v>
      </c>
      <c r="AL450" s="417" t="s">
        <v>210</v>
      </c>
      <c r="AM450" s="392" t="s">
        <v>210</v>
      </c>
      <c r="AN450" s="392" t="s">
        <v>210</v>
      </c>
      <c r="AO450" s="341" t="s">
        <v>210</v>
      </c>
      <c r="AP450" s="342"/>
      <c r="AQ450" s="343"/>
      <c r="AR450" s="370">
        <v>2128</v>
      </c>
      <c r="AS450" s="326">
        <v>120</v>
      </c>
      <c r="AT450" s="392">
        <v>1</v>
      </c>
      <c r="AU450" s="392"/>
      <c r="AV450" s="392">
        <v>1.6</v>
      </c>
      <c r="AW450" s="341"/>
      <c r="AX450" s="376"/>
      <c r="AY450" s="348"/>
      <c r="AZ450" s="377"/>
      <c r="BA450" s="374"/>
      <c r="BB450" s="374"/>
      <c r="BC450" s="374"/>
      <c r="BD450" s="374"/>
      <c r="BE450" s="374"/>
      <c r="BF450" s="374"/>
      <c r="BG450" s="374"/>
      <c r="BH450" s="378"/>
      <c r="BI450" s="376"/>
      <c r="BJ450" s="379"/>
      <c r="BK450" s="380"/>
      <c r="BL450" s="348"/>
      <c r="BM450" s="381"/>
      <c r="BN450" s="321" t="s">
        <v>14</v>
      </c>
      <c r="BO450" s="372">
        <v>1.05</v>
      </c>
      <c r="BP450" s="340" t="s">
        <v>210</v>
      </c>
      <c r="BQ450" s="360"/>
      <c r="BR450" s="361"/>
      <c r="BS450" s="361"/>
      <c r="BT450" s="361"/>
      <c r="BU450" s="342" t="s">
        <v>210</v>
      </c>
      <c r="BV450" s="342" t="s">
        <v>210</v>
      </c>
      <c r="BW450" s="341" t="s">
        <v>15</v>
      </c>
      <c r="BX450" s="361"/>
      <c r="BY450" s="362"/>
      <c r="BZ450" s="363"/>
      <c r="CA450" s="363"/>
      <c r="CB450" s="363"/>
      <c r="CC450" s="363"/>
    </row>
    <row r="451" spans="2:81" ht="22.5" customHeight="1">
      <c r="B451" s="365">
        <v>260168</v>
      </c>
      <c r="C451" s="366" t="s">
        <v>1425</v>
      </c>
      <c r="D451" s="419"/>
      <c r="E451" s="368"/>
      <c r="F451" s="321" t="s">
        <v>839</v>
      </c>
      <c r="G451" s="326" t="s">
        <v>2058</v>
      </c>
      <c r="H451" s="326" t="s">
        <v>2059</v>
      </c>
      <c r="I451" s="326" t="s">
        <v>383</v>
      </c>
      <c r="J451" s="326" t="s">
        <v>387</v>
      </c>
      <c r="K451" s="326" t="s">
        <v>917</v>
      </c>
      <c r="L451" s="323"/>
      <c r="M451" s="374"/>
      <c r="N451" s="325" t="s">
        <v>437</v>
      </c>
      <c r="O451" s="326" t="s">
        <v>210</v>
      </c>
      <c r="P451" s="327" t="s">
        <v>210</v>
      </c>
      <c r="Q451" s="369" t="s">
        <v>210</v>
      </c>
      <c r="R451" s="329" t="s">
        <v>663</v>
      </c>
      <c r="S451" s="330"/>
      <c r="T451" s="330"/>
      <c r="U451" s="330"/>
      <c r="V451" s="330"/>
      <c r="W451" s="332" t="s">
        <v>664</v>
      </c>
      <c r="X451" s="332" t="s">
        <v>13693</v>
      </c>
      <c r="Y451" s="332" t="s">
        <v>11625</v>
      </c>
      <c r="Z451" s="332" t="s">
        <v>16479</v>
      </c>
      <c r="AA451" s="332" t="s">
        <v>11627</v>
      </c>
      <c r="AB451" s="333" t="s">
        <v>3028</v>
      </c>
      <c r="AC451" s="333"/>
      <c r="AD451" s="334" t="s">
        <v>2326</v>
      </c>
      <c r="AE451" s="335" t="s">
        <v>1439</v>
      </c>
      <c r="AF451" s="706">
        <v>41932</v>
      </c>
      <c r="AG451" s="705">
        <v>42105</v>
      </c>
      <c r="AH451" s="417" t="s">
        <v>210</v>
      </c>
      <c r="AI451" s="392" t="s">
        <v>210</v>
      </c>
      <c r="AJ451" s="392" t="s">
        <v>210</v>
      </c>
      <c r="AK451" s="340" t="s">
        <v>210</v>
      </c>
      <c r="AL451" s="417" t="s">
        <v>210</v>
      </c>
      <c r="AM451" s="392" t="s">
        <v>210</v>
      </c>
      <c r="AN451" s="392" t="s">
        <v>210</v>
      </c>
      <c r="AO451" s="341" t="s">
        <v>6261</v>
      </c>
      <c r="AP451" s="342"/>
      <c r="AQ451" s="343"/>
      <c r="AR451" s="370">
        <v>1004</v>
      </c>
      <c r="AS451" s="326">
        <v>100</v>
      </c>
      <c r="AT451" s="392">
        <v>1</v>
      </c>
      <c r="AU451" s="392"/>
      <c r="AV451" s="392">
        <v>1.2</v>
      </c>
      <c r="AW451" s="341"/>
      <c r="AX451" s="376"/>
      <c r="AY451" s="348"/>
      <c r="AZ451" s="377"/>
      <c r="BA451" s="374"/>
      <c r="BB451" s="374"/>
      <c r="BC451" s="374"/>
      <c r="BD451" s="374"/>
      <c r="BE451" s="374"/>
      <c r="BF451" s="374"/>
      <c r="BG451" s="374"/>
      <c r="BH451" s="378"/>
      <c r="BI451" s="376"/>
      <c r="BJ451" s="379"/>
      <c r="BK451" s="380"/>
      <c r="BL451" s="348"/>
      <c r="BM451" s="381"/>
      <c r="BN451" s="321" t="s">
        <v>14</v>
      </c>
      <c r="BO451" s="372"/>
      <c r="BP451" s="373" t="s">
        <v>14</v>
      </c>
      <c r="BQ451" s="360"/>
      <c r="BR451" s="361"/>
      <c r="BS451" s="361"/>
      <c r="BT451" s="361"/>
      <c r="BU451" s="342" t="s">
        <v>210</v>
      </c>
      <c r="BV451" s="342" t="s">
        <v>210</v>
      </c>
      <c r="BW451" s="341" t="s">
        <v>15</v>
      </c>
      <c r="BX451" s="361"/>
      <c r="BY451" s="362"/>
      <c r="BZ451" s="363"/>
      <c r="CA451" s="363"/>
      <c r="CB451" s="363"/>
      <c r="CC451" s="363"/>
    </row>
    <row r="452" spans="2:81" ht="22.5" customHeight="1">
      <c r="B452" s="365">
        <v>260169</v>
      </c>
      <c r="C452" s="366" t="s">
        <v>1426</v>
      </c>
      <c r="D452" s="419"/>
      <c r="E452" s="368"/>
      <c r="F452" s="321" t="s">
        <v>1427</v>
      </c>
      <c r="G452" s="326" t="s">
        <v>1763</v>
      </c>
      <c r="H452" s="326" t="s">
        <v>1764</v>
      </c>
      <c r="I452" s="326" t="s">
        <v>383</v>
      </c>
      <c r="J452" s="326" t="s">
        <v>399</v>
      </c>
      <c r="K452" s="326" t="s">
        <v>917</v>
      </c>
      <c r="L452" s="432" t="s">
        <v>210</v>
      </c>
      <c r="M452" s="324" t="s">
        <v>10767</v>
      </c>
      <c r="N452" s="325" t="s">
        <v>1428</v>
      </c>
      <c r="O452" s="326">
        <v>30</v>
      </c>
      <c r="P452" s="327" t="s">
        <v>210</v>
      </c>
      <c r="Q452" s="369" t="s">
        <v>210</v>
      </c>
      <c r="R452" s="329" t="s">
        <v>469</v>
      </c>
      <c r="S452" s="331" t="s">
        <v>12965</v>
      </c>
      <c r="T452" s="394" t="s">
        <v>11205</v>
      </c>
      <c r="U452" s="394" t="s">
        <v>11207</v>
      </c>
      <c r="V452" s="331" t="s">
        <v>12966</v>
      </c>
      <c r="W452" s="332" t="s">
        <v>432</v>
      </c>
      <c r="X452" s="331" t="s">
        <v>11079</v>
      </c>
      <c r="Y452" s="331" t="s">
        <v>11080</v>
      </c>
      <c r="Z452" s="331" t="s">
        <v>11080</v>
      </c>
      <c r="AA452" s="331" t="s">
        <v>210</v>
      </c>
      <c r="AB452" s="333"/>
      <c r="AC452" s="333"/>
      <c r="AD452" s="334" t="s">
        <v>2325</v>
      </c>
      <c r="AE452" s="335" t="s">
        <v>1740</v>
      </c>
      <c r="AF452" s="706">
        <v>41998</v>
      </c>
      <c r="AG452" s="705">
        <v>42187</v>
      </c>
      <c r="AH452" s="376"/>
      <c r="AI452" s="347"/>
      <c r="AJ452" s="347"/>
      <c r="AK452" s="371"/>
      <c r="AL452" s="417" t="s">
        <v>210</v>
      </c>
      <c r="AM452" s="392" t="s">
        <v>210</v>
      </c>
      <c r="AN452" s="392" t="s">
        <v>210</v>
      </c>
      <c r="AO452" s="341" t="s">
        <v>210</v>
      </c>
      <c r="AP452" s="342"/>
      <c r="AQ452" s="433" t="s">
        <v>4547</v>
      </c>
      <c r="AR452" s="370">
        <v>3544</v>
      </c>
      <c r="AS452" s="326">
        <v>100</v>
      </c>
      <c r="AT452" s="392">
        <v>0.8</v>
      </c>
      <c r="AU452" s="392"/>
      <c r="AV452" s="392">
        <v>0.6</v>
      </c>
      <c r="AW452" s="341"/>
      <c r="AX452" s="453" t="s">
        <v>210</v>
      </c>
      <c r="AY452" s="429" t="s">
        <v>622</v>
      </c>
      <c r="AZ452" s="377"/>
      <c r="BA452" s="374"/>
      <c r="BB452" s="374"/>
      <c r="BC452" s="374"/>
      <c r="BD452" s="374"/>
      <c r="BE452" s="374"/>
      <c r="BF452" s="374"/>
      <c r="BG452" s="374"/>
      <c r="BH452" s="378"/>
      <c r="BI452" s="376"/>
      <c r="BJ452" s="379"/>
      <c r="BK452" s="380"/>
      <c r="BL452" s="348"/>
      <c r="BM452" s="381"/>
      <c r="BN452" s="321" t="s">
        <v>14</v>
      </c>
      <c r="BO452" s="372"/>
      <c r="BP452" s="340" t="s">
        <v>210</v>
      </c>
      <c r="BQ452" s="360"/>
      <c r="BR452" s="361"/>
      <c r="BS452" s="361"/>
      <c r="BT452" s="361"/>
      <c r="BU452" s="342" t="s">
        <v>210</v>
      </c>
      <c r="BV452" s="342" t="s">
        <v>210</v>
      </c>
      <c r="BW452" s="341" t="s">
        <v>15</v>
      </c>
      <c r="BX452" s="361"/>
      <c r="BY452" s="362"/>
      <c r="BZ452" s="363"/>
      <c r="CA452" s="363"/>
      <c r="CB452" s="363"/>
      <c r="CC452" s="363"/>
    </row>
    <row r="453" spans="2:81" ht="22.5" customHeight="1">
      <c r="B453" s="365">
        <v>260170</v>
      </c>
      <c r="C453" s="366" t="s">
        <v>1431</v>
      </c>
      <c r="D453" s="419"/>
      <c r="E453" s="368"/>
      <c r="F453" s="321" t="s">
        <v>308</v>
      </c>
      <c r="G453" s="326" t="s">
        <v>1911</v>
      </c>
      <c r="H453" s="326" t="s">
        <v>1912</v>
      </c>
      <c r="I453" s="326" t="s">
        <v>383</v>
      </c>
      <c r="J453" s="326" t="s">
        <v>399</v>
      </c>
      <c r="K453" s="326" t="s">
        <v>917</v>
      </c>
      <c r="L453" s="323"/>
      <c r="M453" s="324" t="s">
        <v>10767</v>
      </c>
      <c r="N453" s="325" t="s">
        <v>437</v>
      </c>
      <c r="O453" s="326" t="s">
        <v>1476</v>
      </c>
      <c r="P453" s="327">
        <v>1096.4000000000001</v>
      </c>
      <c r="Q453" s="369">
        <v>1184.9000000000001</v>
      </c>
      <c r="R453" s="329" t="s">
        <v>1435</v>
      </c>
      <c r="S453" s="394" t="s">
        <v>11970</v>
      </c>
      <c r="T453" s="394" t="s">
        <v>11973</v>
      </c>
      <c r="U453" s="394" t="s">
        <v>11971</v>
      </c>
      <c r="V453" s="394" t="s">
        <v>11972</v>
      </c>
      <c r="W453" s="332" t="s">
        <v>1432</v>
      </c>
      <c r="X453" s="394" t="s">
        <v>12318</v>
      </c>
      <c r="Y453" s="394" t="s">
        <v>12319</v>
      </c>
      <c r="Z453" s="394" t="s">
        <v>12317</v>
      </c>
      <c r="AA453" s="394" t="s">
        <v>12320</v>
      </c>
      <c r="AB453" s="333"/>
      <c r="AC453" s="416"/>
      <c r="AD453" s="375"/>
      <c r="AE453" s="335" t="s">
        <v>210</v>
      </c>
      <c r="AF453" s="706">
        <v>42010</v>
      </c>
      <c r="AG453" s="705">
        <v>42044</v>
      </c>
      <c r="AH453" s="417" t="s">
        <v>210</v>
      </c>
      <c r="AI453" s="392" t="s">
        <v>210</v>
      </c>
      <c r="AJ453" s="392" t="s">
        <v>210</v>
      </c>
      <c r="AK453" s="340" t="s">
        <v>210</v>
      </c>
      <c r="AL453" s="417" t="s">
        <v>210</v>
      </c>
      <c r="AM453" s="392" t="s">
        <v>210</v>
      </c>
      <c r="AN453" s="392" t="s">
        <v>210</v>
      </c>
      <c r="AO453" s="341" t="s">
        <v>210</v>
      </c>
      <c r="AP453" s="342"/>
      <c r="AQ453" s="343"/>
      <c r="AR453" s="370">
        <v>1602</v>
      </c>
      <c r="AS453" s="326">
        <v>100</v>
      </c>
      <c r="AT453" s="392">
        <v>1</v>
      </c>
      <c r="AU453" s="392"/>
      <c r="AV453" s="392">
        <v>1.5</v>
      </c>
      <c r="AW453" s="341"/>
      <c r="AX453" s="376"/>
      <c r="AY453" s="348"/>
      <c r="AZ453" s="377"/>
      <c r="BA453" s="374"/>
      <c r="BB453" s="374"/>
      <c r="BC453" s="374"/>
      <c r="BD453" s="374"/>
      <c r="BE453" s="374"/>
      <c r="BF453" s="374"/>
      <c r="BG453" s="374"/>
      <c r="BH453" s="378"/>
      <c r="BI453" s="376"/>
      <c r="BJ453" s="379"/>
      <c r="BK453" s="380"/>
      <c r="BL453" s="348"/>
      <c r="BM453" s="381"/>
      <c r="BN453" s="321" t="s">
        <v>14</v>
      </c>
      <c r="BO453" s="372"/>
      <c r="BP453" s="340" t="s">
        <v>210</v>
      </c>
      <c r="BQ453" s="360"/>
      <c r="BR453" s="361"/>
      <c r="BS453" s="361"/>
      <c r="BT453" s="361"/>
      <c r="BU453" s="342" t="s">
        <v>210</v>
      </c>
      <c r="BV453" s="342" t="s">
        <v>210</v>
      </c>
      <c r="BW453" s="341" t="s">
        <v>15</v>
      </c>
      <c r="BX453" s="361"/>
      <c r="BY453" s="362"/>
      <c r="BZ453" s="363"/>
      <c r="CA453" s="363"/>
      <c r="CB453" s="363"/>
      <c r="CC453" s="363"/>
    </row>
    <row r="454" spans="2:81" ht="22.5" customHeight="1">
      <c r="B454" s="711">
        <v>260171</v>
      </c>
      <c r="C454" s="712" t="s">
        <v>13689</v>
      </c>
      <c r="D454" s="713"/>
      <c r="E454" s="714"/>
      <c r="F454" s="715" t="s">
        <v>264</v>
      </c>
      <c r="G454" s="716" t="s">
        <v>1876</v>
      </c>
      <c r="H454" s="716" t="s">
        <v>1877</v>
      </c>
      <c r="I454" s="716" t="s">
        <v>383</v>
      </c>
      <c r="J454" s="716" t="s">
        <v>387</v>
      </c>
      <c r="K454" s="716" t="s">
        <v>1459</v>
      </c>
      <c r="L454" s="717"/>
      <c r="M454" s="716"/>
      <c r="N454" s="718" t="s">
        <v>438</v>
      </c>
      <c r="O454" s="716">
        <v>85</v>
      </c>
      <c r="P454" s="719">
        <v>318.25</v>
      </c>
      <c r="Q454" s="720">
        <v>352.47</v>
      </c>
      <c r="R454" s="721" t="s">
        <v>1460</v>
      </c>
      <c r="S454" s="722" t="s">
        <v>13690</v>
      </c>
      <c r="T454" s="722" t="s">
        <v>13692</v>
      </c>
      <c r="U454" s="722"/>
      <c r="V454" s="722" t="s">
        <v>13691</v>
      </c>
      <c r="W454" s="723" t="s">
        <v>432</v>
      </c>
      <c r="X454" s="722" t="s">
        <v>11083</v>
      </c>
      <c r="Y454" s="722" t="s">
        <v>11081</v>
      </c>
      <c r="Z454" s="722" t="s">
        <v>11082</v>
      </c>
      <c r="AA454" s="722" t="s">
        <v>210</v>
      </c>
      <c r="AB454" s="724"/>
      <c r="AC454" s="724"/>
      <c r="AD454" s="725" t="s">
        <v>1650</v>
      </c>
      <c r="AE454" s="726" t="s">
        <v>1643</v>
      </c>
      <c r="AF454" s="727">
        <v>42335</v>
      </c>
      <c r="AG454" s="728">
        <v>42117</v>
      </c>
      <c r="AH454" s="729"/>
      <c r="AI454" s="730"/>
      <c r="AJ454" s="730"/>
      <c r="AK454" s="731"/>
      <c r="AL454" s="729" t="s">
        <v>210</v>
      </c>
      <c r="AM454" s="730" t="s">
        <v>210</v>
      </c>
      <c r="AN454" s="730" t="s">
        <v>210</v>
      </c>
      <c r="AO454" s="732" t="s">
        <v>210</v>
      </c>
      <c r="AP454" s="717"/>
      <c r="AQ454" s="733"/>
      <c r="AR454" s="734">
        <v>426</v>
      </c>
      <c r="AS454" s="716">
        <v>100</v>
      </c>
      <c r="AT454" s="730">
        <v>1</v>
      </c>
      <c r="AU454" s="730"/>
      <c r="AV454" s="730">
        <v>0.8</v>
      </c>
      <c r="AW454" s="732"/>
      <c r="AX454" s="715"/>
      <c r="AY454" s="735"/>
      <c r="AZ454" s="715"/>
      <c r="BA454" s="716"/>
      <c r="BB454" s="716"/>
      <c r="BC454" s="716"/>
      <c r="BD454" s="716"/>
      <c r="BE454" s="716"/>
      <c r="BF454" s="716"/>
      <c r="BG454" s="716"/>
      <c r="BH454" s="736"/>
      <c r="BI454" s="729"/>
      <c r="BJ454" s="737"/>
      <c r="BK454" s="738"/>
      <c r="BL454" s="735"/>
      <c r="BM454" s="739"/>
      <c r="BN454" s="715" t="s">
        <v>14</v>
      </c>
      <c r="BO454" s="740"/>
      <c r="BP454" s="731" t="s">
        <v>210</v>
      </c>
      <c r="BQ454" s="741"/>
      <c r="BR454" s="742"/>
      <c r="BS454" s="742"/>
      <c r="BT454" s="742"/>
      <c r="BU454" s="717" t="s">
        <v>5510</v>
      </c>
      <c r="BV454" s="717" t="s">
        <v>5510</v>
      </c>
      <c r="BW454" s="711" t="s">
        <v>14</v>
      </c>
      <c r="BX454" s="361"/>
      <c r="BY454" s="743" t="s">
        <v>1753</v>
      </c>
      <c r="BZ454" s="744"/>
      <c r="CA454" s="744"/>
      <c r="CB454" s="744"/>
      <c r="CC454" s="744"/>
    </row>
    <row r="455" spans="2:81" ht="22.5" customHeight="1">
      <c r="B455" s="365">
        <v>260172</v>
      </c>
      <c r="C455" s="366" t="s">
        <v>13688</v>
      </c>
      <c r="D455" s="419"/>
      <c r="E455" s="368"/>
      <c r="F455" s="321" t="s">
        <v>264</v>
      </c>
      <c r="G455" s="326" t="s">
        <v>1874</v>
      </c>
      <c r="H455" s="326" t="s">
        <v>1875</v>
      </c>
      <c r="I455" s="326" t="s">
        <v>383</v>
      </c>
      <c r="J455" s="326" t="s">
        <v>399</v>
      </c>
      <c r="K455" s="326" t="s">
        <v>977</v>
      </c>
      <c r="L455" s="323"/>
      <c r="M455" s="374"/>
      <c r="N455" s="325" t="s">
        <v>438</v>
      </c>
      <c r="O455" s="326" t="s">
        <v>1476</v>
      </c>
      <c r="P455" s="327" t="s">
        <v>210</v>
      </c>
      <c r="Q455" s="369" t="s">
        <v>210</v>
      </c>
      <c r="R455" s="330"/>
      <c r="S455" s="330"/>
      <c r="T455" s="330"/>
      <c r="U455" s="330"/>
      <c r="V455" s="330"/>
      <c r="W455" s="332" t="s">
        <v>1095</v>
      </c>
      <c r="X455" s="394" t="s">
        <v>13121</v>
      </c>
      <c r="Y455" s="394" t="s">
        <v>11852</v>
      </c>
      <c r="Z455" s="394" t="s">
        <v>16280</v>
      </c>
      <c r="AA455" s="394" t="s">
        <v>13122</v>
      </c>
      <c r="AB455" s="333"/>
      <c r="AC455" s="333"/>
      <c r="AD455" s="334" t="s">
        <v>1613</v>
      </c>
      <c r="AE455" s="335" t="s">
        <v>5522</v>
      </c>
      <c r="AF455" s="706">
        <v>42026</v>
      </c>
      <c r="AG455" s="705">
        <v>42100</v>
      </c>
      <c r="AH455" s="417" t="s">
        <v>210</v>
      </c>
      <c r="AI455" s="392" t="s">
        <v>210</v>
      </c>
      <c r="AJ455" s="392" t="s">
        <v>210</v>
      </c>
      <c r="AK455" s="340" t="s">
        <v>210</v>
      </c>
      <c r="AL455" s="417" t="s">
        <v>210</v>
      </c>
      <c r="AM455" s="392" t="s">
        <v>210</v>
      </c>
      <c r="AN455" s="392" t="s">
        <v>210</v>
      </c>
      <c r="AO455" s="341" t="s">
        <v>210</v>
      </c>
      <c r="AP455" s="342"/>
      <c r="AQ455" s="343"/>
      <c r="AR455" s="370">
        <v>7514</v>
      </c>
      <c r="AS455" s="326">
        <v>100</v>
      </c>
      <c r="AT455" s="392">
        <v>1</v>
      </c>
      <c r="AU455" s="392"/>
      <c r="AV455" s="392">
        <v>1.5</v>
      </c>
      <c r="AW455" s="341"/>
      <c r="AX455" s="377"/>
      <c r="AY455" s="348"/>
      <c r="AZ455" s="377"/>
      <c r="BA455" s="374"/>
      <c r="BB455" s="374"/>
      <c r="BC455" s="374"/>
      <c r="BD455" s="374"/>
      <c r="BE455" s="374"/>
      <c r="BF455" s="374"/>
      <c r="BG455" s="374"/>
      <c r="BH455" s="378"/>
      <c r="BI455" s="376"/>
      <c r="BJ455" s="379"/>
      <c r="BK455" s="380"/>
      <c r="BL455" s="348"/>
      <c r="BM455" s="381"/>
      <c r="BN455" s="321" t="s">
        <v>14</v>
      </c>
      <c r="BO455" s="372"/>
      <c r="BP455" s="373" t="s">
        <v>14</v>
      </c>
      <c r="BQ455" s="360"/>
      <c r="BR455" s="361"/>
      <c r="BS455" s="361"/>
      <c r="BT455" s="361"/>
      <c r="BU455" s="342" t="s">
        <v>210</v>
      </c>
      <c r="BV455" s="342" t="s">
        <v>210</v>
      </c>
      <c r="BW455" s="655" t="s">
        <v>14</v>
      </c>
      <c r="BX455" s="361"/>
      <c r="BY455" s="362"/>
      <c r="BZ455" s="363"/>
      <c r="CA455" s="363"/>
      <c r="CB455" s="363"/>
      <c r="CC455" s="363"/>
    </row>
    <row r="456" spans="2:81" ht="22.5" customHeight="1">
      <c r="B456" s="365">
        <v>260173</v>
      </c>
      <c r="C456" s="366" t="s">
        <v>1469</v>
      </c>
      <c r="D456" s="419"/>
      <c r="E456" s="368"/>
      <c r="F456" s="321" t="s">
        <v>264</v>
      </c>
      <c r="G456" s="326" t="s">
        <v>1868</v>
      </c>
      <c r="H456" s="326" t="s">
        <v>1869</v>
      </c>
      <c r="I456" s="326" t="s">
        <v>383</v>
      </c>
      <c r="J456" s="326" t="s">
        <v>399</v>
      </c>
      <c r="K456" s="326" t="s">
        <v>917</v>
      </c>
      <c r="L456" s="323"/>
      <c r="M456" s="374"/>
      <c r="N456" s="325" t="s">
        <v>1477</v>
      </c>
      <c r="O456" s="326" t="s">
        <v>1476</v>
      </c>
      <c r="P456" s="327">
        <v>1098</v>
      </c>
      <c r="Q456" s="369">
        <v>1132</v>
      </c>
      <c r="R456" s="329" t="s">
        <v>1468</v>
      </c>
      <c r="S456" s="330"/>
      <c r="T456" s="330"/>
      <c r="U456" s="330"/>
      <c r="V456" s="330"/>
      <c r="W456" s="332" t="s">
        <v>1095</v>
      </c>
      <c r="X456" s="394" t="s">
        <v>13121</v>
      </c>
      <c r="Y456" s="394" t="s">
        <v>11852</v>
      </c>
      <c r="Z456" s="394" t="s">
        <v>16280</v>
      </c>
      <c r="AA456" s="394" t="s">
        <v>13122</v>
      </c>
      <c r="AB456" s="333"/>
      <c r="AC456" s="333"/>
      <c r="AD456" s="334" t="s">
        <v>2333</v>
      </c>
      <c r="AE456" s="335" t="s">
        <v>922</v>
      </c>
      <c r="AF456" s="706">
        <v>42024</v>
      </c>
      <c r="AG456" s="705">
        <v>42091</v>
      </c>
      <c r="AH456" s="417" t="s">
        <v>210</v>
      </c>
      <c r="AI456" s="392" t="s">
        <v>210</v>
      </c>
      <c r="AJ456" s="392" t="s">
        <v>210</v>
      </c>
      <c r="AK456" s="340" t="s">
        <v>210</v>
      </c>
      <c r="AL456" s="417" t="s">
        <v>210</v>
      </c>
      <c r="AM456" s="392" t="s">
        <v>210</v>
      </c>
      <c r="AN456" s="392" t="s">
        <v>210</v>
      </c>
      <c r="AO456" s="341" t="s">
        <v>210</v>
      </c>
      <c r="AP456" s="342"/>
      <c r="AQ456" s="343"/>
      <c r="AR456" s="370">
        <v>1355</v>
      </c>
      <c r="AS456" s="326">
        <v>100</v>
      </c>
      <c r="AT456" s="392">
        <v>0.8</v>
      </c>
      <c r="AU456" s="392"/>
      <c r="AV456" s="392">
        <v>1.5</v>
      </c>
      <c r="AW456" s="341"/>
      <c r="AX456" s="376"/>
      <c r="AY456" s="348"/>
      <c r="AZ456" s="377"/>
      <c r="BA456" s="374"/>
      <c r="BB456" s="374"/>
      <c r="BC456" s="374"/>
      <c r="BD456" s="374"/>
      <c r="BE456" s="374"/>
      <c r="BF456" s="374"/>
      <c r="BG456" s="374"/>
      <c r="BH456" s="378"/>
      <c r="BI456" s="376"/>
      <c r="BJ456" s="379"/>
      <c r="BK456" s="380"/>
      <c r="BL456" s="348"/>
      <c r="BM456" s="381"/>
      <c r="BN456" s="321" t="s">
        <v>14</v>
      </c>
      <c r="BO456" s="372"/>
      <c r="BP456" s="340" t="s">
        <v>210</v>
      </c>
      <c r="BQ456" s="360"/>
      <c r="BR456" s="361"/>
      <c r="BS456" s="361"/>
      <c r="BT456" s="361"/>
      <c r="BU456" s="342" t="s">
        <v>210</v>
      </c>
      <c r="BV456" s="342" t="s">
        <v>210</v>
      </c>
      <c r="BW456" s="341" t="s">
        <v>15</v>
      </c>
      <c r="BX456" s="361"/>
      <c r="BY456" s="362"/>
      <c r="BZ456" s="363"/>
      <c r="CA456" s="363"/>
      <c r="CB456" s="363"/>
      <c r="CC456" s="363"/>
    </row>
    <row r="457" spans="2:81" ht="22.5" customHeight="1">
      <c r="B457" s="365">
        <v>260174</v>
      </c>
      <c r="C457" s="366" t="s">
        <v>1507</v>
      </c>
      <c r="D457" s="419"/>
      <c r="E457" s="368"/>
      <c r="F457" s="321" t="s">
        <v>1509</v>
      </c>
      <c r="G457" s="326" t="s">
        <v>1866</v>
      </c>
      <c r="H457" s="326" t="s">
        <v>1867</v>
      </c>
      <c r="I457" s="326" t="s">
        <v>383</v>
      </c>
      <c r="J457" s="326" t="s">
        <v>387</v>
      </c>
      <c r="K457" s="326" t="s">
        <v>251</v>
      </c>
      <c r="L457" s="323"/>
      <c r="M457" s="374"/>
      <c r="N457" s="325" t="s">
        <v>1508</v>
      </c>
      <c r="O457" s="326">
        <v>100</v>
      </c>
      <c r="P457" s="327" t="s">
        <v>210</v>
      </c>
      <c r="Q457" s="369" t="s">
        <v>210</v>
      </c>
      <c r="R457" s="329" t="s">
        <v>442</v>
      </c>
      <c r="S457" s="394" t="s">
        <v>12566</v>
      </c>
      <c r="T457" s="394" t="s">
        <v>12567</v>
      </c>
      <c r="U457" s="394" t="s">
        <v>16336</v>
      </c>
      <c r="V457" s="394" t="s">
        <v>12568</v>
      </c>
      <c r="W457" s="332" t="s">
        <v>1510</v>
      </c>
      <c r="X457" s="394" t="s">
        <v>13299</v>
      </c>
      <c r="Y457" s="394" t="s">
        <v>13301</v>
      </c>
      <c r="Z457" s="394" t="s">
        <v>16339</v>
      </c>
      <c r="AA457" s="745" t="s">
        <v>13300</v>
      </c>
      <c r="AB457" s="333"/>
      <c r="AC457" s="416"/>
      <c r="AD457" s="375"/>
      <c r="AE457" s="335" t="s">
        <v>1529</v>
      </c>
      <c r="AF457" s="706">
        <v>41997</v>
      </c>
      <c r="AG457" s="705">
        <v>42060</v>
      </c>
      <c r="AH457" s="417" t="s">
        <v>210</v>
      </c>
      <c r="AI457" s="392" t="s">
        <v>210</v>
      </c>
      <c r="AJ457" s="392" t="s">
        <v>210</v>
      </c>
      <c r="AK457" s="340" t="s">
        <v>210</v>
      </c>
      <c r="AL457" s="417" t="s">
        <v>210</v>
      </c>
      <c r="AM457" s="392" t="s">
        <v>210</v>
      </c>
      <c r="AN457" s="326" t="s">
        <v>14</v>
      </c>
      <c r="AO457" s="341" t="s">
        <v>210</v>
      </c>
      <c r="AP457" s="342"/>
      <c r="AQ457" s="343"/>
      <c r="AR457" s="370">
        <v>362</v>
      </c>
      <c r="AS457" s="326">
        <v>100</v>
      </c>
      <c r="AT457" s="392" t="s">
        <v>1512</v>
      </c>
      <c r="AU457" s="392"/>
      <c r="AV457" s="392">
        <v>2</v>
      </c>
      <c r="AW457" s="341"/>
      <c r="AX457" s="376"/>
      <c r="AY457" s="348"/>
      <c r="AZ457" s="377"/>
      <c r="BA457" s="374"/>
      <c r="BB457" s="374"/>
      <c r="BC457" s="374"/>
      <c r="BD457" s="374"/>
      <c r="BE457" s="374"/>
      <c r="BF457" s="374"/>
      <c r="BG457" s="374"/>
      <c r="BH457" s="378"/>
      <c r="BI457" s="376"/>
      <c r="BJ457" s="379"/>
      <c r="BK457" s="380"/>
      <c r="BL457" s="348"/>
      <c r="BM457" s="381"/>
      <c r="BN457" s="417" t="s">
        <v>210</v>
      </c>
      <c r="BO457" s="372"/>
      <c r="BP457" s="340" t="s">
        <v>210</v>
      </c>
      <c r="BQ457" s="360"/>
      <c r="BR457" s="361"/>
      <c r="BS457" s="361"/>
      <c r="BT457" s="361"/>
      <c r="BU457" s="342" t="s">
        <v>210</v>
      </c>
      <c r="BV457" s="342" t="s">
        <v>210</v>
      </c>
      <c r="BW457" s="341" t="s">
        <v>15</v>
      </c>
      <c r="BX457" s="361"/>
      <c r="BY457" s="362"/>
      <c r="BZ457" s="363"/>
      <c r="CA457" s="363"/>
      <c r="CB457" s="363"/>
      <c r="CC457" s="363"/>
    </row>
    <row r="458" spans="2:81" ht="22.5" customHeight="1">
      <c r="B458" s="365">
        <v>260175</v>
      </c>
      <c r="C458" s="366" t="s">
        <v>1470</v>
      </c>
      <c r="D458" s="419"/>
      <c r="E458" s="368"/>
      <c r="F458" s="321" t="s">
        <v>1471</v>
      </c>
      <c r="G458" s="326" t="s">
        <v>1864</v>
      </c>
      <c r="H458" s="326" t="s">
        <v>1865</v>
      </c>
      <c r="I458" s="326" t="s">
        <v>383</v>
      </c>
      <c r="J458" s="326" t="s">
        <v>399</v>
      </c>
      <c r="K458" s="326" t="s">
        <v>917</v>
      </c>
      <c r="L458" s="323"/>
      <c r="M458" s="374"/>
      <c r="N458" s="325" t="s">
        <v>1472</v>
      </c>
      <c r="O458" s="326">
        <v>150</v>
      </c>
      <c r="P458" s="327">
        <v>153</v>
      </c>
      <c r="Q458" s="369">
        <v>157.5</v>
      </c>
      <c r="R458" s="329" t="s">
        <v>552</v>
      </c>
      <c r="S458" s="330"/>
      <c r="T458" s="330"/>
      <c r="U458" s="330"/>
      <c r="V458" s="330"/>
      <c r="W458" s="332" t="s">
        <v>514</v>
      </c>
      <c r="X458" s="331" t="s">
        <v>13687</v>
      </c>
      <c r="Y458" s="331" t="s">
        <v>11233</v>
      </c>
      <c r="Z458" s="331" t="s">
        <v>11234</v>
      </c>
      <c r="AA458" s="331" t="s">
        <v>11235</v>
      </c>
      <c r="AB458" s="333"/>
      <c r="AC458" s="416"/>
      <c r="AD458" s="375"/>
      <c r="AE458" s="335" t="s">
        <v>210</v>
      </c>
      <c r="AF458" s="706">
        <v>42031</v>
      </c>
      <c r="AG458" s="705">
        <v>42060</v>
      </c>
      <c r="AH458" s="417" t="s">
        <v>210</v>
      </c>
      <c r="AI458" s="392" t="s">
        <v>210</v>
      </c>
      <c r="AJ458" s="392" t="s">
        <v>210</v>
      </c>
      <c r="AK458" s="340" t="s">
        <v>210</v>
      </c>
      <c r="AL458" s="417" t="s">
        <v>210</v>
      </c>
      <c r="AM458" s="392" t="s">
        <v>210</v>
      </c>
      <c r="AN458" s="392" t="s">
        <v>210</v>
      </c>
      <c r="AO458" s="341" t="s">
        <v>210</v>
      </c>
      <c r="AP458" s="342"/>
      <c r="AQ458" s="343"/>
      <c r="AR458" s="370">
        <v>305</v>
      </c>
      <c r="AS458" s="326">
        <v>150</v>
      </c>
      <c r="AT458" s="392">
        <v>1</v>
      </c>
      <c r="AU458" s="392"/>
      <c r="AV458" s="392">
        <v>0.8</v>
      </c>
      <c r="AW458" s="341"/>
      <c r="AX458" s="376"/>
      <c r="AY458" s="348"/>
      <c r="AZ458" s="377"/>
      <c r="BA458" s="374"/>
      <c r="BB458" s="374"/>
      <c r="BC458" s="374"/>
      <c r="BD458" s="374"/>
      <c r="BE458" s="374"/>
      <c r="BF458" s="374"/>
      <c r="BG458" s="374"/>
      <c r="BH458" s="378"/>
      <c r="BI458" s="376"/>
      <c r="BJ458" s="379"/>
      <c r="BK458" s="380"/>
      <c r="BL458" s="348"/>
      <c r="BM458" s="381"/>
      <c r="BN458" s="417" t="s">
        <v>210</v>
      </c>
      <c r="BO458" s="372"/>
      <c r="BP458" s="340" t="s">
        <v>210</v>
      </c>
      <c r="BQ458" s="360"/>
      <c r="BR458" s="361"/>
      <c r="BS458" s="361"/>
      <c r="BT458" s="361"/>
      <c r="BU458" s="342" t="s">
        <v>210</v>
      </c>
      <c r="BV458" s="342" t="s">
        <v>210</v>
      </c>
      <c r="BW458" s="341" t="s">
        <v>15</v>
      </c>
      <c r="BX458" s="361"/>
      <c r="BY458" s="362"/>
      <c r="BZ458" s="363"/>
      <c r="CA458" s="363"/>
      <c r="CB458" s="363"/>
      <c r="CC458" s="363"/>
    </row>
    <row r="459" spans="2:81" ht="22.5" customHeight="1">
      <c r="B459" s="365">
        <v>260176</v>
      </c>
      <c r="C459" s="366" t="s">
        <v>13683</v>
      </c>
      <c r="D459" s="419"/>
      <c r="E459" s="368"/>
      <c r="F459" s="321" t="s">
        <v>222</v>
      </c>
      <c r="G459" s="326" t="s">
        <v>1870</v>
      </c>
      <c r="H459" s="326" t="s">
        <v>1871</v>
      </c>
      <c r="I459" s="326" t="s">
        <v>383</v>
      </c>
      <c r="J459" s="326" t="s">
        <v>387</v>
      </c>
      <c r="K459" s="326" t="s">
        <v>247</v>
      </c>
      <c r="L459" s="323"/>
      <c r="M459" s="374"/>
      <c r="N459" s="325" t="s">
        <v>437</v>
      </c>
      <c r="O459" s="326">
        <v>85</v>
      </c>
      <c r="P459" s="327" t="s">
        <v>210</v>
      </c>
      <c r="Q459" s="369" t="s">
        <v>210</v>
      </c>
      <c r="R459" s="333" t="s">
        <v>791</v>
      </c>
      <c r="S459" s="331" t="s">
        <v>13684</v>
      </c>
      <c r="T459" s="331" t="s">
        <v>13685</v>
      </c>
      <c r="U459" s="400"/>
      <c r="V459" s="331" t="s">
        <v>13686</v>
      </c>
      <c r="W459" s="400"/>
      <c r="X459" s="400"/>
      <c r="Y459" s="400"/>
      <c r="Z459" s="400"/>
      <c r="AA459" s="400"/>
      <c r="AB459" s="333" t="s">
        <v>791</v>
      </c>
      <c r="AC459" s="416"/>
      <c r="AD459" s="375"/>
      <c r="AE459" s="335" t="s">
        <v>210</v>
      </c>
      <c r="AF459" s="706">
        <v>42032</v>
      </c>
      <c r="AG459" s="705">
        <v>42086</v>
      </c>
      <c r="AH459" s="417" t="s">
        <v>210</v>
      </c>
      <c r="AI459" s="392" t="s">
        <v>210</v>
      </c>
      <c r="AJ459" s="392" t="s">
        <v>210</v>
      </c>
      <c r="AK459" s="340" t="s">
        <v>210</v>
      </c>
      <c r="AL459" s="417" t="s">
        <v>210</v>
      </c>
      <c r="AM459" s="392" t="s">
        <v>210</v>
      </c>
      <c r="AN459" s="392" t="s">
        <v>210</v>
      </c>
      <c r="AO459" s="341" t="s">
        <v>210</v>
      </c>
      <c r="AP459" s="342"/>
      <c r="AQ459" s="343"/>
      <c r="AR459" s="370">
        <v>1231</v>
      </c>
      <c r="AS459" s="326">
        <v>100</v>
      </c>
      <c r="AT459" s="392">
        <v>1</v>
      </c>
      <c r="AU459" s="392"/>
      <c r="AV459" s="392">
        <v>1.5</v>
      </c>
      <c r="AW459" s="341"/>
      <c r="AX459" s="376"/>
      <c r="AY459" s="348"/>
      <c r="AZ459" s="377"/>
      <c r="BA459" s="374"/>
      <c r="BB459" s="374"/>
      <c r="BC459" s="374"/>
      <c r="BD459" s="374"/>
      <c r="BE459" s="374"/>
      <c r="BF459" s="374"/>
      <c r="BG459" s="374"/>
      <c r="BH459" s="378"/>
      <c r="BI459" s="376"/>
      <c r="BJ459" s="379"/>
      <c r="BK459" s="380"/>
      <c r="BL459" s="348"/>
      <c r="BM459" s="381"/>
      <c r="BN459" s="321" t="s">
        <v>14</v>
      </c>
      <c r="BO459" s="372"/>
      <c r="BP459" s="373" t="s">
        <v>14</v>
      </c>
      <c r="BQ459" s="360"/>
      <c r="BR459" s="361"/>
      <c r="BS459" s="361"/>
      <c r="BT459" s="361"/>
      <c r="BU459" s="342" t="s">
        <v>210</v>
      </c>
      <c r="BV459" s="342" t="s">
        <v>210</v>
      </c>
      <c r="BW459" s="341" t="s">
        <v>15</v>
      </c>
      <c r="BX459" s="361"/>
      <c r="BY459" s="362"/>
      <c r="BZ459" s="363"/>
      <c r="CA459" s="363"/>
      <c r="CB459" s="363"/>
      <c r="CC459" s="363"/>
    </row>
    <row r="460" spans="2:81" ht="22.5" customHeight="1">
      <c r="B460" s="365">
        <v>260177</v>
      </c>
      <c r="C460" s="366" t="s">
        <v>1495</v>
      </c>
      <c r="D460" s="419"/>
      <c r="E460" s="368"/>
      <c r="F460" s="321" t="s">
        <v>1496</v>
      </c>
      <c r="G460" s="326" t="s">
        <v>1862</v>
      </c>
      <c r="H460" s="326" t="s">
        <v>1863</v>
      </c>
      <c r="I460" s="326" t="s">
        <v>383</v>
      </c>
      <c r="J460" s="326" t="s">
        <v>387</v>
      </c>
      <c r="K460" s="326" t="s">
        <v>236</v>
      </c>
      <c r="L460" s="323"/>
      <c r="M460" s="374"/>
      <c r="N460" s="325" t="s">
        <v>1497</v>
      </c>
      <c r="O460" s="326">
        <v>200</v>
      </c>
      <c r="P460" s="327">
        <v>1665.21</v>
      </c>
      <c r="Q460" s="369">
        <v>1219.9100000000001</v>
      </c>
      <c r="R460" s="329" t="s">
        <v>1498</v>
      </c>
      <c r="S460" s="331" t="s">
        <v>13674</v>
      </c>
      <c r="T460" s="331" t="s">
        <v>13675</v>
      </c>
      <c r="U460" s="331" t="s">
        <v>16311</v>
      </c>
      <c r="V460" s="331" t="s">
        <v>13676</v>
      </c>
      <c r="W460" s="332" t="s">
        <v>1454</v>
      </c>
      <c r="X460" s="330"/>
      <c r="Y460" s="330"/>
      <c r="Z460" s="330"/>
      <c r="AA460" s="330"/>
      <c r="AB460" s="333"/>
      <c r="AC460" s="416"/>
      <c r="AD460" s="375"/>
      <c r="AE460" s="391"/>
      <c r="AF460" s="706">
        <v>42044</v>
      </c>
      <c r="AG460" s="705">
        <v>42108</v>
      </c>
      <c r="AH460" s="417" t="s">
        <v>210</v>
      </c>
      <c r="AI460" s="392" t="s">
        <v>210</v>
      </c>
      <c r="AJ460" s="392" t="s">
        <v>210</v>
      </c>
      <c r="AK460" s="340" t="s">
        <v>210</v>
      </c>
      <c r="AL460" s="417" t="s">
        <v>210</v>
      </c>
      <c r="AM460" s="392" t="s">
        <v>210</v>
      </c>
      <c r="AN460" s="392" t="s">
        <v>210</v>
      </c>
      <c r="AO460" s="341" t="s">
        <v>210</v>
      </c>
      <c r="AP460" s="342"/>
      <c r="AQ460" s="343"/>
      <c r="AR460" s="370">
        <v>2310</v>
      </c>
      <c r="AS460" s="326">
        <v>150</v>
      </c>
      <c r="AT460" s="392">
        <v>0.8</v>
      </c>
      <c r="AU460" s="392"/>
      <c r="AV460" s="392">
        <v>1.5</v>
      </c>
      <c r="AW460" s="341"/>
      <c r="AX460" s="377"/>
      <c r="AY460" s="348"/>
      <c r="AZ460" s="405" t="s">
        <v>3367</v>
      </c>
      <c r="BA460" s="324" t="s">
        <v>210</v>
      </c>
      <c r="BB460" s="324" t="s">
        <v>210</v>
      </c>
      <c r="BC460" s="324" t="s">
        <v>210</v>
      </c>
      <c r="BD460" s="324" t="s">
        <v>210</v>
      </c>
      <c r="BE460" s="326" t="s">
        <v>10382</v>
      </c>
      <c r="BF460" s="326" t="s">
        <v>10383</v>
      </c>
      <c r="BG460" s="326" t="s">
        <v>10382</v>
      </c>
      <c r="BH460" s="326" t="s">
        <v>10383</v>
      </c>
      <c r="BI460" s="376"/>
      <c r="BJ460" s="379"/>
      <c r="BK460" s="380"/>
      <c r="BL460" s="348"/>
      <c r="BM460" s="381"/>
      <c r="BN460" s="321" t="s">
        <v>14</v>
      </c>
      <c r="BO460" s="372"/>
      <c r="BP460" s="373" t="s">
        <v>14</v>
      </c>
      <c r="BQ460" s="360"/>
      <c r="BR460" s="361"/>
      <c r="BS460" s="361"/>
      <c r="BT460" s="361"/>
      <c r="BU460" s="342" t="s">
        <v>210</v>
      </c>
      <c r="BV460" s="342" t="s">
        <v>210</v>
      </c>
      <c r="BW460" s="655" t="s">
        <v>14</v>
      </c>
      <c r="BX460" s="361"/>
      <c r="BY460" s="362"/>
      <c r="BZ460" s="363"/>
      <c r="CA460" s="363"/>
      <c r="CB460" s="363"/>
      <c r="CC460" s="363"/>
    </row>
    <row r="461" spans="2:81" ht="22.5" customHeight="1">
      <c r="B461" s="365">
        <v>260178</v>
      </c>
      <c r="C461" s="366" t="s">
        <v>1482</v>
      </c>
      <c r="D461" s="419"/>
      <c r="E461" s="368"/>
      <c r="F461" s="321" t="s">
        <v>222</v>
      </c>
      <c r="G461" s="326" t="s">
        <v>1860</v>
      </c>
      <c r="H461" s="326" t="s">
        <v>1861</v>
      </c>
      <c r="I461" s="326" t="s">
        <v>383</v>
      </c>
      <c r="J461" s="326" t="s">
        <v>387</v>
      </c>
      <c r="K461" s="326" t="s">
        <v>977</v>
      </c>
      <c r="L461" s="323"/>
      <c r="M461" s="374"/>
      <c r="N461" s="325" t="s">
        <v>438</v>
      </c>
      <c r="O461" s="326">
        <v>150</v>
      </c>
      <c r="P461" s="327">
        <v>5889.7</v>
      </c>
      <c r="Q461" s="369">
        <v>5487.1</v>
      </c>
      <c r="R461" s="329" t="s">
        <v>1484</v>
      </c>
      <c r="S461" s="394" t="s">
        <v>11273</v>
      </c>
      <c r="T461" s="394" t="s">
        <v>11275</v>
      </c>
      <c r="U461" s="394" t="s">
        <v>16430</v>
      </c>
      <c r="V461" s="394" t="s">
        <v>11276</v>
      </c>
      <c r="W461" s="332" t="s">
        <v>432</v>
      </c>
      <c r="X461" s="331" t="s">
        <v>11079</v>
      </c>
      <c r="Y461" s="331" t="s">
        <v>11080</v>
      </c>
      <c r="Z461" s="331" t="s">
        <v>11080</v>
      </c>
      <c r="AA461" s="331" t="s">
        <v>210</v>
      </c>
      <c r="AB461" s="333"/>
      <c r="AC461" s="333"/>
      <c r="AD461" s="334" t="s">
        <v>1630</v>
      </c>
      <c r="AE461" s="335" t="s">
        <v>1611</v>
      </c>
      <c r="AF461" s="706">
        <v>42042</v>
      </c>
      <c r="AG461" s="705">
        <v>42125</v>
      </c>
      <c r="AH461" s="376"/>
      <c r="AI461" s="347"/>
      <c r="AJ461" s="347"/>
      <c r="AK461" s="371"/>
      <c r="AL461" s="417" t="s">
        <v>210</v>
      </c>
      <c r="AM461" s="392" t="s">
        <v>210</v>
      </c>
      <c r="AN461" s="392" t="s">
        <v>210</v>
      </c>
      <c r="AO461" s="341" t="s">
        <v>210</v>
      </c>
      <c r="AP461" s="342"/>
      <c r="AQ461" s="343"/>
      <c r="AR461" s="370">
        <v>6720</v>
      </c>
      <c r="AS461" s="326">
        <v>100</v>
      </c>
      <c r="AT461" s="392">
        <v>1</v>
      </c>
      <c r="AU461" s="392"/>
      <c r="AV461" s="392">
        <v>2</v>
      </c>
      <c r="AW461" s="341"/>
      <c r="AX461" s="376"/>
      <c r="AY461" s="348"/>
      <c r="AZ461" s="377"/>
      <c r="BA461" s="374"/>
      <c r="BB461" s="374"/>
      <c r="BC461" s="374"/>
      <c r="BD461" s="374"/>
      <c r="BE461" s="374"/>
      <c r="BF461" s="374"/>
      <c r="BG461" s="374"/>
      <c r="BH461" s="378"/>
      <c r="BI461" s="376"/>
      <c r="BJ461" s="379"/>
      <c r="BK461" s="380"/>
      <c r="BL461" s="348"/>
      <c r="BM461" s="381"/>
      <c r="BN461" s="321" t="s">
        <v>14</v>
      </c>
      <c r="BO461" s="372"/>
      <c r="BP461" s="373" t="s">
        <v>14</v>
      </c>
      <c r="BQ461" s="360"/>
      <c r="BR461" s="361"/>
      <c r="BS461" s="361"/>
      <c r="BT461" s="361"/>
      <c r="BU461" s="342" t="s">
        <v>210</v>
      </c>
      <c r="BV461" s="342" t="s">
        <v>210</v>
      </c>
      <c r="BW461" s="341" t="s">
        <v>15</v>
      </c>
      <c r="BX461" s="361"/>
      <c r="BY461" s="362" t="s">
        <v>1754</v>
      </c>
      <c r="BZ461" s="363"/>
      <c r="CA461" s="363"/>
      <c r="CB461" s="363"/>
      <c r="CC461" s="363"/>
    </row>
    <row r="462" spans="2:81" ht="22.5" customHeight="1">
      <c r="B462" s="365">
        <v>260179</v>
      </c>
      <c r="C462" s="366" t="s">
        <v>13673</v>
      </c>
      <c r="D462" s="419"/>
      <c r="E462" s="368"/>
      <c r="F462" s="321" t="s">
        <v>1483</v>
      </c>
      <c r="G462" s="326" t="s">
        <v>1858</v>
      </c>
      <c r="H462" s="326" t="s">
        <v>1859</v>
      </c>
      <c r="I462" s="326" t="s">
        <v>383</v>
      </c>
      <c r="J462" s="326" t="s">
        <v>387</v>
      </c>
      <c r="K462" s="326" t="s">
        <v>917</v>
      </c>
      <c r="L462" s="323"/>
      <c r="M462" s="374"/>
      <c r="N462" s="325" t="s">
        <v>1494</v>
      </c>
      <c r="O462" s="326" t="s">
        <v>1732</v>
      </c>
      <c r="P462" s="327">
        <v>8906</v>
      </c>
      <c r="Q462" s="369">
        <v>8737</v>
      </c>
      <c r="R462" s="329" t="s">
        <v>1540</v>
      </c>
      <c r="S462" s="331" t="s">
        <v>13682</v>
      </c>
      <c r="T462" s="331" t="s">
        <v>13680</v>
      </c>
      <c r="U462" s="400"/>
      <c r="V462" s="331" t="s">
        <v>13681</v>
      </c>
      <c r="W462" s="332" t="s">
        <v>1530</v>
      </c>
      <c r="X462" s="331" t="s">
        <v>13679</v>
      </c>
      <c r="Y462" s="331" t="s">
        <v>13677</v>
      </c>
      <c r="Z462" s="331" t="s">
        <v>16510</v>
      </c>
      <c r="AA462" s="331" t="s">
        <v>13678</v>
      </c>
      <c r="AB462" s="333"/>
      <c r="AC462" s="333"/>
      <c r="AD462" s="334" t="s">
        <v>2466</v>
      </c>
      <c r="AE462" s="335" t="s">
        <v>245</v>
      </c>
      <c r="AF462" s="706">
        <v>42038</v>
      </c>
      <c r="AG462" s="705">
        <v>42299</v>
      </c>
      <c r="AH462" s="417" t="s">
        <v>210</v>
      </c>
      <c r="AI462" s="392" t="s">
        <v>210</v>
      </c>
      <c r="AJ462" s="392" t="s">
        <v>210</v>
      </c>
      <c r="AK462" s="340" t="s">
        <v>210</v>
      </c>
      <c r="AL462" s="417" t="s">
        <v>210</v>
      </c>
      <c r="AM462" s="392" t="s">
        <v>210</v>
      </c>
      <c r="AN462" s="392" t="s">
        <v>210</v>
      </c>
      <c r="AO462" s="341" t="s">
        <v>210</v>
      </c>
      <c r="AP462" s="342"/>
      <c r="AQ462" s="343"/>
      <c r="AR462" s="370">
        <v>5251</v>
      </c>
      <c r="AS462" s="326">
        <v>150</v>
      </c>
      <c r="AT462" s="392">
        <v>1</v>
      </c>
      <c r="AU462" s="392"/>
      <c r="AV462" s="392">
        <v>1.2</v>
      </c>
      <c r="AW462" s="341"/>
      <c r="AX462" s="376"/>
      <c r="AY462" s="348"/>
      <c r="AZ462" s="377"/>
      <c r="BA462" s="374"/>
      <c r="BB462" s="374"/>
      <c r="BC462" s="374"/>
      <c r="BD462" s="374"/>
      <c r="BE462" s="374"/>
      <c r="BF462" s="374"/>
      <c r="BG462" s="374"/>
      <c r="BH462" s="378"/>
      <c r="BI462" s="376"/>
      <c r="BJ462" s="379"/>
      <c r="BK462" s="380"/>
      <c r="BL462" s="348"/>
      <c r="BM462" s="381"/>
      <c r="BN462" s="417" t="s">
        <v>210</v>
      </c>
      <c r="BO462" s="372"/>
      <c r="BP462" s="340" t="s">
        <v>210</v>
      </c>
      <c r="BQ462" s="360"/>
      <c r="BR462" s="361"/>
      <c r="BS462" s="361"/>
      <c r="BT462" s="361"/>
      <c r="BU462" s="342" t="s">
        <v>210</v>
      </c>
      <c r="BV462" s="342" t="s">
        <v>210</v>
      </c>
      <c r="BW462" s="341" t="s">
        <v>15</v>
      </c>
      <c r="BX462" s="361"/>
      <c r="BY462" s="362"/>
      <c r="BZ462" s="363"/>
      <c r="CA462" s="363"/>
      <c r="CB462" s="363"/>
      <c r="CC462" s="363"/>
    </row>
    <row r="463" spans="2:81" ht="22.5" customHeight="1">
      <c r="B463" s="365">
        <v>260180</v>
      </c>
      <c r="C463" s="366" t="s">
        <v>1513</v>
      </c>
      <c r="D463" s="419"/>
      <c r="E463" s="368"/>
      <c r="F463" s="321" t="s">
        <v>229</v>
      </c>
      <c r="G463" s="326" t="s">
        <v>1856</v>
      </c>
      <c r="H463" s="326" t="s">
        <v>1857</v>
      </c>
      <c r="I463" s="326" t="s">
        <v>383</v>
      </c>
      <c r="J463" s="326" t="s">
        <v>399</v>
      </c>
      <c r="K463" s="326" t="s">
        <v>247</v>
      </c>
      <c r="L463" s="323"/>
      <c r="M463" s="374"/>
      <c r="N463" s="325" t="s">
        <v>1514</v>
      </c>
      <c r="O463" s="326" t="s">
        <v>1519</v>
      </c>
      <c r="P463" s="327" t="s">
        <v>1519</v>
      </c>
      <c r="Q463" s="369" t="s">
        <v>1519</v>
      </c>
      <c r="R463" s="329" t="s">
        <v>1516</v>
      </c>
      <c r="S463" s="394" t="s">
        <v>11650</v>
      </c>
      <c r="T463" s="400"/>
      <c r="U463" s="400"/>
      <c r="V463" s="394" t="s">
        <v>11651</v>
      </c>
      <c r="W463" s="332" t="s">
        <v>1515</v>
      </c>
      <c r="X463" s="394" t="s">
        <v>12044</v>
      </c>
      <c r="Y463" s="394" t="s">
        <v>11201</v>
      </c>
      <c r="Z463" s="394" t="s">
        <v>11200</v>
      </c>
      <c r="AA463" s="394" t="s">
        <v>12045</v>
      </c>
      <c r="AB463" s="333"/>
      <c r="AC463" s="333"/>
      <c r="AD463" s="334" t="s">
        <v>1590</v>
      </c>
      <c r="AE463" s="335" t="s">
        <v>1603</v>
      </c>
      <c r="AF463" s="706">
        <v>42026</v>
      </c>
      <c r="AG463" s="705">
        <v>42096</v>
      </c>
      <c r="AH463" s="417" t="s">
        <v>210</v>
      </c>
      <c r="AI463" s="392" t="s">
        <v>210</v>
      </c>
      <c r="AJ463" s="392" t="s">
        <v>210</v>
      </c>
      <c r="AK463" s="340" t="s">
        <v>210</v>
      </c>
      <c r="AL463" s="417" t="s">
        <v>210</v>
      </c>
      <c r="AM463" s="392" t="s">
        <v>210</v>
      </c>
      <c r="AN463" s="392" t="s">
        <v>210</v>
      </c>
      <c r="AO463" s="341" t="s">
        <v>210</v>
      </c>
      <c r="AP463" s="342"/>
      <c r="AQ463" s="343"/>
      <c r="AR463" s="370">
        <v>3863</v>
      </c>
      <c r="AS463" s="326">
        <v>80</v>
      </c>
      <c r="AT463" s="392">
        <v>1</v>
      </c>
      <c r="AU463" s="392"/>
      <c r="AV463" s="392">
        <v>1.5</v>
      </c>
      <c r="AW463" s="341"/>
      <c r="AX463" s="376"/>
      <c r="AY463" s="348"/>
      <c r="AZ463" s="377"/>
      <c r="BA463" s="374"/>
      <c r="BB463" s="374"/>
      <c r="BC463" s="374"/>
      <c r="BD463" s="374"/>
      <c r="BE463" s="374"/>
      <c r="BF463" s="374"/>
      <c r="BG463" s="374"/>
      <c r="BH463" s="378"/>
      <c r="BI463" s="376"/>
      <c r="BJ463" s="379"/>
      <c r="BK463" s="380"/>
      <c r="BL463" s="348"/>
      <c r="BM463" s="381"/>
      <c r="BN463" s="321" t="s">
        <v>14</v>
      </c>
      <c r="BO463" s="372">
        <v>1.06</v>
      </c>
      <c r="BP463" s="373" t="s">
        <v>14</v>
      </c>
      <c r="BQ463" s="360"/>
      <c r="BR463" s="361"/>
      <c r="BS463" s="361"/>
      <c r="BT463" s="361"/>
      <c r="BU463" s="342" t="s">
        <v>210</v>
      </c>
      <c r="BV463" s="342" t="s">
        <v>210</v>
      </c>
      <c r="BW463" s="341" t="s">
        <v>15</v>
      </c>
      <c r="BX463" s="361"/>
      <c r="BY463" s="362"/>
      <c r="BZ463" s="363"/>
      <c r="CA463" s="363"/>
      <c r="CB463" s="363"/>
      <c r="CC463" s="363"/>
    </row>
    <row r="464" spans="2:81" ht="22.5" customHeight="1">
      <c r="B464" s="365">
        <v>260181</v>
      </c>
      <c r="C464" s="366" t="s">
        <v>13701</v>
      </c>
      <c r="D464" s="419"/>
      <c r="E464" s="368"/>
      <c r="F464" s="321" t="s">
        <v>839</v>
      </c>
      <c r="G464" s="326" t="s">
        <v>1872</v>
      </c>
      <c r="H464" s="326" t="s">
        <v>1873</v>
      </c>
      <c r="I464" s="326" t="s">
        <v>383</v>
      </c>
      <c r="J464" s="326" t="s">
        <v>399</v>
      </c>
      <c r="K464" s="326" t="s">
        <v>977</v>
      </c>
      <c r="L464" s="323"/>
      <c r="M464" s="374"/>
      <c r="N464" s="325" t="s">
        <v>437</v>
      </c>
      <c r="O464" s="326" t="s">
        <v>210</v>
      </c>
      <c r="P464" s="327">
        <v>698</v>
      </c>
      <c r="Q464" s="369">
        <v>708</v>
      </c>
      <c r="R464" s="329" t="s">
        <v>1478</v>
      </c>
      <c r="S464" s="394" t="s">
        <v>13381</v>
      </c>
      <c r="T464" s="394" t="s">
        <v>13382</v>
      </c>
      <c r="U464" s="394" t="s">
        <v>13383</v>
      </c>
      <c r="V464" s="394" t="s">
        <v>13384</v>
      </c>
      <c r="W464" s="332" t="s">
        <v>1491</v>
      </c>
      <c r="X464" s="330"/>
      <c r="Y464" s="330"/>
      <c r="Z464" s="330"/>
      <c r="AA464" s="330"/>
      <c r="AB464" s="333"/>
      <c r="AC464" s="333"/>
      <c r="AD464" s="334" t="s">
        <v>1521</v>
      </c>
      <c r="AE464" s="335" t="s">
        <v>210</v>
      </c>
      <c r="AF464" s="706">
        <v>42051</v>
      </c>
      <c r="AG464" s="705">
        <v>42059</v>
      </c>
      <c r="AH464" s="417" t="s">
        <v>210</v>
      </c>
      <c r="AI464" s="392" t="s">
        <v>210</v>
      </c>
      <c r="AJ464" s="392" t="s">
        <v>210</v>
      </c>
      <c r="AK464" s="340" t="s">
        <v>210</v>
      </c>
      <c r="AL464" s="417" t="s">
        <v>210</v>
      </c>
      <c r="AM464" s="392" t="s">
        <v>210</v>
      </c>
      <c r="AN464" s="392" t="s">
        <v>210</v>
      </c>
      <c r="AO464" s="341" t="s">
        <v>210</v>
      </c>
      <c r="AP464" s="342"/>
      <c r="AQ464" s="343"/>
      <c r="AR464" s="370">
        <v>841</v>
      </c>
      <c r="AS464" s="326">
        <v>100</v>
      </c>
      <c r="AT464" s="392">
        <v>1</v>
      </c>
      <c r="AU464" s="392"/>
      <c r="AV464" s="392">
        <v>1.4</v>
      </c>
      <c r="AW464" s="341"/>
      <c r="AX464" s="376"/>
      <c r="AY464" s="348"/>
      <c r="AZ464" s="377"/>
      <c r="BA464" s="374"/>
      <c r="BB464" s="374"/>
      <c r="BC464" s="374"/>
      <c r="BD464" s="374"/>
      <c r="BE464" s="374"/>
      <c r="BF464" s="374"/>
      <c r="BG464" s="374"/>
      <c r="BH464" s="378"/>
      <c r="BI464" s="376"/>
      <c r="BJ464" s="379"/>
      <c r="BK464" s="380"/>
      <c r="BL464" s="348"/>
      <c r="BM464" s="381"/>
      <c r="BN464" s="417" t="s">
        <v>210</v>
      </c>
      <c r="BO464" s="372"/>
      <c r="BP464" s="373" t="s">
        <v>14</v>
      </c>
      <c r="BQ464" s="360"/>
      <c r="BR464" s="361"/>
      <c r="BS464" s="361"/>
      <c r="BT464" s="361"/>
      <c r="BU464" s="342" t="s">
        <v>210</v>
      </c>
      <c r="BV464" s="342" t="s">
        <v>210</v>
      </c>
      <c r="BW464" s="341" t="s">
        <v>15</v>
      </c>
      <c r="BX464" s="361"/>
      <c r="BY464" s="362"/>
      <c r="BZ464" s="363"/>
      <c r="CA464" s="363"/>
      <c r="CB464" s="363"/>
      <c r="CC464" s="363"/>
    </row>
    <row r="465" spans="2:81" ht="22.5" customHeight="1">
      <c r="B465" s="365">
        <v>260182</v>
      </c>
      <c r="C465" s="366" t="s">
        <v>1759</v>
      </c>
      <c r="D465" s="419"/>
      <c r="E465" s="368"/>
      <c r="F465" s="321" t="s">
        <v>226</v>
      </c>
      <c r="G465" s="326" t="s">
        <v>1854</v>
      </c>
      <c r="H465" s="326" t="s">
        <v>1855</v>
      </c>
      <c r="I465" s="326" t="s">
        <v>383</v>
      </c>
      <c r="J465" s="326" t="s">
        <v>399</v>
      </c>
      <c r="K465" s="326" t="s">
        <v>917</v>
      </c>
      <c r="L465" s="323"/>
      <c r="M465" s="324" t="s">
        <v>10767</v>
      </c>
      <c r="N465" s="325" t="s">
        <v>437</v>
      </c>
      <c r="O465" s="326">
        <v>30</v>
      </c>
      <c r="P465" s="327">
        <v>1272.5</v>
      </c>
      <c r="Q465" s="369">
        <v>1185.3</v>
      </c>
      <c r="R465" s="329" t="s">
        <v>1539</v>
      </c>
      <c r="S465" s="394" t="s">
        <v>11204</v>
      </c>
      <c r="T465" s="394" t="s">
        <v>11205</v>
      </c>
      <c r="U465" s="394" t="s">
        <v>11207</v>
      </c>
      <c r="V465" s="394" t="s">
        <v>11206</v>
      </c>
      <c r="W465" s="332" t="s">
        <v>432</v>
      </c>
      <c r="X465" s="331" t="s">
        <v>11079</v>
      </c>
      <c r="Y465" s="331" t="s">
        <v>11080</v>
      </c>
      <c r="Z465" s="331" t="s">
        <v>11080</v>
      </c>
      <c r="AA465" s="331" t="s">
        <v>210</v>
      </c>
      <c r="AB465" s="333"/>
      <c r="AC465" s="333"/>
      <c r="AD465" s="334" t="s">
        <v>2325</v>
      </c>
      <c r="AE465" s="335" t="s">
        <v>1610</v>
      </c>
      <c r="AF465" s="706">
        <v>42048</v>
      </c>
      <c r="AG465" s="705">
        <v>42156</v>
      </c>
      <c r="AH465" s="417">
        <v>6.8</v>
      </c>
      <c r="AI465" s="392">
        <v>16.7</v>
      </c>
      <c r="AJ465" s="392">
        <v>10.6</v>
      </c>
      <c r="AK465" s="340">
        <f>SUM(AH465:AJ465)</f>
        <v>34.1</v>
      </c>
      <c r="AL465" s="417" t="s">
        <v>210</v>
      </c>
      <c r="AM465" s="392" t="s">
        <v>210</v>
      </c>
      <c r="AN465" s="392" t="s">
        <v>210</v>
      </c>
      <c r="AO465" s="341" t="s">
        <v>210</v>
      </c>
      <c r="AP465" s="342"/>
      <c r="AQ465" s="343"/>
      <c r="AR465" s="370">
        <v>1510</v>
      </c>
      <c r="AS465" s="326">
        <v>80</v>
      </c>
      <c r="AT465" s="392">
        <v>0.8</v>
      </c>
      <c r="AU465" s="392"/>
      <c r="AV465" s="392">
        <v>1</v>
      </c>
      <c r="AW465" s="341"/>
      <c r="AX465" s="376"/>
      <c r="AY465" s="348"/>
      <c r="AZ465" s="377"/>
      <c r="BA465" s="374"/>
      <c r="BB465" s="374"/>
      <c r="BC465" s="374"/>
      <c r="BD465" s="374"/>
      <c r="BE465" s="374"/>
      <c r="BF465" s="374"/>
      <c r="BG465" s="374"/>
      <c r="BH465" s="378"/>
      <c r="BI465" s="376"/>
      <c r="BJ465" s="379"/>
      <c r="BK465" s="380"/>
      <c r="BL465" s="348"/>
      <c r="BM465" s="381"/>
      <c r="BN465" s="321" t="s">
        <v>14</v>
      </c>
      <c r="BO465" s="372"/>
      <c r="BP465" s="340" t="s">
        <v>210</v>
      </c>
      <c r="BQ465" s="360"/>
      <c r="BR465" s="361"/>
      <c r="BS465" s="361"/>
      <c r="BT465" s="361"/>
      <c r="BU465" s="342" t="s">
        <v>210</v>
      </c>
      <c r="BV465" s="342" t="s">
        <v>210</v>
      </c>
      <c r="BW465" s="341" t="s">
        <v>15</v>
      </c>
      <c r="BX465" s="361"/>
      <c r="BY465" s="362"/>
      <c r="BZ465" s="363"/>
      <c r="CA465" s="363"/>
      <c r="CB465" s="363"/>
      <c r="CC465" s="363"/>
    </row>
    <row r="466" spans="2:81" ht="22.5" customHeight="1">
      <c r="B466" s="365">
        <v>260183</v>
      </c>
      <c r="C466" s="366" t="s">
        <v>1536</v>
      </c>
      <c r="D466" s="419"/>
      <c r="E466" s="368"/>
      <c r="F466" s="321" t="s">
        <v>1533</v>
      </c>
      <c r="G466" s="326" t="s">
        <v>1852</v>
      </c>
      <c r="H466" s="326" t="s">
        <v>1853</v>
      </c>
      <c r="I466" s="326" t="s">
        <v>383</v>
      </c>
      <c r="J466" s="326" t="s">
        <v>399</v>
      </c>
      <c r="K466" s="326" t="s">
        <v>917</v>
      </c>
      <c r="L466" s="432" t="s">
        <v>210</v>
      </c>
      <c r="M466" s="324" t="s">
        <v>10767</v>
      </c>
      <c r="N466" s="325" t="s">
        <v>1608</v>
      </c>
      <c r="O466" s="326">
        <v>50</v>
      </c>
      <c r="P466" s="327" t="s">
        <v>210</v>
      </c>
      <c r="Q466" s="369" t="s">
        <v>210</v>
      </c>
      <c r="R466" s="329" t="s">
        <v>1570</v>
      </c>
      <c r="S466" s="331" t="s">
        <v>13697</v>
      </c>
      <c r="T466" s="331" t="s">
        <v>13699</v>
      </c>
      <c r="U466" s="331" t="s">
        <v>13698</v>
      </c>
      <c r="V466" s="331" t="s">
        <v>13700</v>
      </c>
      <c r="W466" s="332" t="s">
        <v>432</v>
      </c>
      <c r="X466" s="331" t="s">
        <v>11079</v>
      </c>
      <c r="Y466" s="331" t="s">
        <v>11080</v>
      </c>
      <c r="Z466" s="331" t="s">
        <v>11080</v>
      </c>
      <c r="AA466" s="331" t="s">
        <v>210</v>
      </c>
      <c r="AB466" s="333"/>
      <c r="AC466" s="416"/>
      <c r="AD466" s="375"/>
      <c r="AE466" s="335" t="s">
        <v>303</v>
      </c>
      <c r="AF466" s="706">
        <v>42058</v>
      </c>
      <c r="AG466" s="705">
        <v>42124</v>
      </c>
      <c r="AH466" s="417">
        <v>6.8</v>
      </c>
      <c r="AI466" s="392">
        <v>15.5</v>
      </c>
      <c r="AJ466" s="392">
        <v>14.8</v>
      </c>
      <c r="AK466" s="340">
        <f>SUM(AH466:AJ466)</f>
        <v>37.1</v>
      </c>
      <c r="AL466" s="417" t="s">
        <v>210</v>
      </c>
      <c r="AM466" s="392" t="s">
        <v>210</v>
      </c>
      <c r="AN466" s="392" t="s">
        <v>210</v>
      </c>
      <c r="AO466" s="341" t="s">
        <v>210</v>
      </c>
      <c r="AP466" s="342"/>
      <c r="AQ466" s="433" t="s">
        <v>4547</v>
      </c>
      <c r="AR466" s="370">
        <v>5700</v>
      </c>
      <c r="AS466" s="326">
        <v>120</v>
      </c>
      <c r="AT466" s="392">
        <v>0.6</v>
      </c>
      <c r="AU466" s="392"/>
      <c r="AV466" s="392">
        <v>0.6</v>
      </c>
      <c r="AW466" s="341"/>
      <c r="AX466" s="453" t="s">
        <v>210</v>
      </c>
      <c r="AY466" s="429" t="s">
        <v>622</v>
      </c>
      <c r="AZ466" s="377"/>
      <c r="BA466" s="374"/>
      <c r="BB466" s="374"/>
      <c r="BC466" s="374"/>
      <c r="BD466" s="374"/>
      <c r="BE466" s="374"/>
      <c r="BF466" s="374"/>
      <c r="BG466" s="374"/>
      <c r="BH466" s="378"/>
      <c r="BI466" s="376"/>
      <c r="BJ466" s="379"/>
      <c r="BK466" s="380"/>
      <c r="BL466" s="348"/>
      <c r="BM466" s="381"/>
      <c r="BN466" s="321" t="s">
        <v>14</v>
      </c>
      <c r="BO466" s="372"/>
      <c r="BP466" s="340" t="s">
        <v>210</v>
      </c>
      <c r="BQ466" s="360"/>
      <c r="BR466" s="361"/>
      <c r="BS466" s="361"/>
      <c r="BT466" s="361"/>
      <c r="BU466" s="342" t="s">
        <v>210</v>
      </c>
      <c r="BV466" s="342" t="s">
        <v>210</v>
      </c>
      <c r="BW466" s="341" t="s">
        <v>15</v>
      </c>
      <c r="BX466" s="361"/>
      <c r="BY466" s="362"/>
      <c r="BZ466" s="363"/>
      <c r="CA466" s="363"/>
      <c r="CB466" s="363"/>
      <c r="CC466" s="363"/>
    </row>
    <row r="467" spans="2:81" ht="22.5" customHeight="1">
      <c r="B467" s="365">
        <v>260184</v>
      </c>
      <c r="C467" s="366" t="s">
        <v>1849</v>
      </c>
      <c r="D467" s="419"/>
      <c r="E467" s="368"/>
      <c r="F467" s="321" t="s">
        <v>1534</v>
      </c>
      <c r="G467" s="326" t="s">
        <v>1850</v>
      </c>
      <c r="H467" s="326" t="s">
        <v>1851</v>
      </c>
      <c r="I467" s="326" t="s">
        <v>383</v>
      </c>
      <c r="J467" s="326" t="s">
        <v>399</v>
      </c>
      <c r="K467" s="326" t="s">
        <v>917</v>
      </c>
      <c r="L467" s="323"/>
      <c r="M467" s="324" t="s">
        <v>10767</v>
      </c>
      <c r="N467" s="325" t="s">
        <v>438</v>
      </c>
      <c r="O467" s="326">
        <v>150</v>
      </c>
      <c r="P467" s="327" t="s">
        <v>210</v>
      </c>
      <c r="Q467" s="369" t="s">
        <v>1732</v>
      </c>
      <c r="R467" s="329" t="s">
        <v>1098</v>
      </c>
      <c r="S467" s="331" t="s">
        <v>11102</v>
      </c>
      <c r="T467" s="394" t="s">
        <v>12439</v>
      </c>
      <c r="U467" s="394" t="s">
        <v>16310</v>
      </c>
      <c r="V467" s="331" t="s">
        <v>11421</v>
      </c>
      <c r="W467" s="332" t="s">
        <v>432</v>
      </c>
      <c r="X467" s="331" t="s">
        <v>11079</v>
      </c>
      <c r="Y467" s="331" t="s">
        <v>11080</v>
      </c>
      <c r="Z467" s="331" t="s">
        <v>11080</v>
      </c>
      <c r="AA467" s="331" t="s">
        <v>210</v>
      </c>
      <c r="AB467" s="333"/>
      <c r="AC467" s="333"/>
      <c r="AD467" s="334" t="s">
        <v>2326</v>
      </c>
      <c r="AE467" s="335" t="s">
        <v>1747</v>
      </c>
      <c r="AF467" s="706">
        <v>42068</v>
      </c>
      <c r="AG467" s="705">
        <v>42177</v>
      </c>
      <c r="AH467" s="417">
        <v>8.6</v>
      </c>
      <c r="AI467" s="392">
        <v>28.4</v>
      </c>
      <c r="AJ467" s="392">
        <v>35.299999999999997</v>
      </c>
      <c r="AK467" s="340">
        <f>SUM(AH467:AJ467)</f>
        <v>72.3</v>
      </c>
      <c r="AL467" s="417" t="s">
        <v>210</v>
      </c>
      <c r="AM467" s="392" t="s">
        <v>210</v>
      </c>
      <c r="AN467" s="392" t="s">
        <v>210</v>
      </c>
      <c r="AO467" s="341" t="s">
        <v>210</v>
      </c>
      <c r="AP467" s="342"/>
      <c r="AQ467" s="343"/>
      <c r="AR467" s="370">
        <v>5125</v>
      </c>
      <c r="AS467" s="326">
        <v>80</v>
      </c>
      <c r="AT467" s="392">
        <v>0.8</v>
      </c>
      <c r="AU467" s="392"/>
      <c r="AV467" s="392">
        <v>1</v>
      </c>
      <c r="AW467" s="341"/>
      <c r="AX467" s="376"/>
      <c r="AY467" s="348"/>
      <c r="AZ467" s="377"/>
      <c r="BA467" s="374"/>
      <c r="BB467" s="374"/>
      <c r="BC467" s="374"/>
      <c r="BD467" s="374"/>
      <c r="BE467" s="374"/>
      <c r="BF467" s="374"/>
      <c r="BG467" s="374"/>
      <c r="BH467" s="378"/>
      <c r="BI467" s="376"/>
      <c r="BJ467" s="379"/>
      <c r="BK467" s="380"/>
      <c r="BL467" s="348"/>
      <c r="BM467" s="381"/>
      <c r="BN467" s="321" t="s">
        <v>14</v>
      </c>
      <c r="BO467" s="372"/>
      <c r="BP467" s="373" t="s">
        <v>14</v>
      </c>
      <c r="BQ467" s="360"/>
      <c r="BR467" s="361"/>
      <c r="BS467" s="361"/>
      <c r="BT467" s="361"/>
      <c r="BU467" s="342" t="s">
        <v>210</v>
      </c>
      <c r="BV467" s="342" t="s">
        <v>210</v>
      </c>
      <c r="BW467" s="341" t="s">
        <v>15</v>
      </c>
      <c r="BX467" s="361"/>
      <c r="BY467" s="362" t="s">
        <v>1538</v>
      </c>
      <c r="BZ467" s="363"/>
      <c r="CA467" s="363"/>
      <c r="CB467" s="363"/>
      <c r="CC467" s="363"/>
    </row>
    <row r="468" spans="2:81" ht="22.5" customHeight="1">
      <c r="B468" s="365">
        <v>260185</v>
      </c>
      <c r="C468" s="366" t="s">
        <v>1535</v>
      </c>
      <c r="D468" s="419"/>
      <c r="E468" s="368"/>
      <c r="F468" s="321" t="s">
        <v>1043</v>
      </c>
      <c r="G468" s="326" t="s">
        <v>1843</v>
      </c>
      <c r="H468" s="326" t="s">
        <v>1844</v>
      </c>
      <c r="I468" s="326" t="s">
        <v>383</v>
      </c>
      <c r="J468" s="326" t="s">
        <v>399</v>
      </c>
      <c r="K468" s="326" t="s">
        <v>977</v>
      </c>
      <c r="L468" s="323"/>
      <c r="M468" s="374"/>
      <c r="N468" s="325" t="s">
        <v>1490</v>
      </c>
      <c r="O468" s="326" t="s">
        <v>1663</v>
      </c>
      <c r="P468" s="327" t="s">
        <v>210</v>
      </c>
      <c r="Q468" s="369" t="s">
        <v>210</v>
      </c>
      <c r="R468" s="329" t="s">
        <v>1057</v>
      </c>
      <c r="S468" s="394" t="s">
        <v>11283</v>
      </c>
      <c r="T468" s="394" t="s">
        <v>11284</v>
      </c>
      <c r="U468" s="394" t="s">
        <v>16292</v>
      </c>
      <c r="V468" s="394" t="s">
        <v>11285</v>
      </c>
      <c r="W468" s="460" t="s">
        <v>10182</v>
      </c>
      <c r="X468" s="394"/>
      <c r="Y468" s="394" t="s">
        <v>11282</v>
      </c>
      <c r="Z468" s="394" t="s">
        <v>16323</v>
      </c>
      <c r="AA468" s="394" t="s">
        <v>11280</v>
      </c>
      <c r="AB468" s="333"/>
      <c r="AC468" s="333"/>
      <c r="AD468" s="334" t="s">
        <v>2337</v>
      </c>
      <c r="AE468" s="335" t="s">
        <v>1644</v>
      </c>
      <c r="AF468" s="706">
        <v>42045</v>
      </c>
      <c r="AG468" s="705">
        <v>42100</v>
      </c>
      <c r="AH468" s="417" t="s">
        <v>210</v>
      </c>
      <c r="AI468" s="392" t="s">
        <v>210</v>
      </c>
      <c r="AJ468" s="392" t="s">
        <v>210</v>
      </c>
      <c r="AK468" s="340" t="s">
        <v>210</v>
      </c>
      <c r="AL468" s="417" t="s">
        <v>210</v>
      </c>
      <c r="AM468" s="392" t="s">
        <v>210</v>
      </c>
      <c r="AN468" s="392" t="s">
        <v>210</v>
      </c>
      <c r="AO468" s="341" t="s">
        <v>210</v>
      </c>
      <c r="AP468" s="342"/>
      <c r="AQ468" s="343"/>
      <c r="AR468" s="370">
        <v>1044</v>
      </c>
      <c r="AS468" s="326">
        <v>100</v>
      </c>
      <c r="AT468" s="392">
        <v>1</v>
      </c>
      <c r="AU468" s="392"/>
      <c r="AV468" s="392">
        <v>1.5</v>
      </c>
      <c r="AW468" s="341"/>
      <c r="AX468" s="376"/>
      <c r="AY468" s="348"/>
      <c r="AZ468" s="377"/>
      <c r="BA468" s="374"/>
      <c r="BB468" s="374"/>
      <c r="BC468" s="374"/>
      <c r="BD468" s="374"/>
      <c r="BE468" s="374"/>
      <c r="BF468" s="374"/>
      <c r="BG468" s="374"/>
      <c r="BH468" s="378"/>
      <c r="BI468" s="376"/>
      <c r="BJ468" s="379"/>
      <c r="BK468" s="380"/>
      <c r="BL468" s="348"/>
      <c r="BM468" s="381"/>
      <c r="BN468" s="321" t="s">
        <v>14</v>
      </c>
      <c r="BO468" s="372">
        <v>1.48</v>
      </c>
      <c r="BP468" s="340" t="s">
        <v>210</v>
      </c>
      <c r="BQ468" s="360"/>
      <c r="BR468" s="361"/>
      <c r="BS468" s="361"/>
      <c r="BT468" s="361"/>
      <c r="BU468" s="342" t="s">
        <v>210</v>
      </c>
      <c r="BV468" s="342" t="s">
        <v>210</v>
      </c>
      <c r="BW468" s="341" t="s">
        <v>15</v>
      </c>
      <c r="BX468" s="361"/>
      <c r="BY468" s="362"/>
      <c r="BZ468" s="363"/>
      <c r="CA468" s="363"/>
      <c r="CB468" s="363"/>
      <c r="CC468" s="363"/>
    </row>
    <row r="469" spans="2:81" ht="22.5" customHeight="1">
      <c r="B469" s="365">
        <v>260186</v>
      </c>
      <c r="C469" s="366" t="s">
        <v>13655</v>
      </c>
      <c r="D469" s="419"/>
      <c r="E469" s="368"/>
      <c r="F469" s="321" t="s">
        <v>1043</v>
      </c>
      <c r="G469" s="326" t="s">
        <v>1841</v>
      </c>
      <c r="H469" s="326" t="s">
        <v>1842</v>
      </c>
      <c r="I469" s="326" t="s">
        <v>383</v>
      </c>
      <c r="J469" s="326" t="s">
        <v>399</v>
      </c>
      <c r="K469" s="326" t="s">
        <v>917</v>
      </c>
      <c r="L469" s="323"/>
      <c r="M469" s="374"/>
      <c r="N469" s="325" t="s">
        <v>1537</v>
      </c>
      <c r="O469" s="326">
        <v>230</v>
      </c>
      <c r="P469" s="327" t="s">
        <v>210</v>
      </c>
      <c r="Q469" s="369" t="s">
        <v>210</v>
      </c>
      <c r="R469" s="329" t="s">
        <v>1487</v>
      </c>
      <c r="S469" s="331" t="s">
        <v>13659</v>
      </c>
      <c r="T469" s="331" t="s">
        <v>13249</v>
      </c>
      <c r="U469" s="331" t="s">
        <v>16293</v>
      </c>
      <c r="V469" s="331" t="s">
        <v>13660</v>
      </c>
      <c r="W469" s="332" t="s">
        <v>1557</v>
      </c>
      <c r="X469" s="331" t="s">
        <v>13656</v>
      </c>
      <c r="Y469" s="331" t="s">
        <v>13657</v>
      </c>
      <c r="Z469" s="331" t="s">
        <v>16400</v>
      </c>
      <c r="AA469" s="331" t="s">
        <v>13658</v>
      </c>
      <c r="AB469" s="333" t="s">
        <v>1515</v>
      </c>
      <c r="AC469" s="333"/>
      <c r="AD469" s="334" t="s">
        <v>1591</v>
      </c>
      <c r="AE469" s="335" t="s">
        <v>353</v>
      </c>
      <c r="AF469" s="706">
        <v>42037</v>
      </c>
      <c r="AG469" s="705">
        <v>42104</v>
      </c>
      <c r="AH469" s="417" t="s">
        <v>210</v>
      </c>
      <c r="AI469" s="392" t="s">
        <v>210</v>
      </c>
      <c r="AJ469" s="392" t="s">
        <v>210</v>
      </c>
      <c r="AK469" s="340" t="s">
        <v>210</v>
      </c>
      <c r="AL469" s="417" t="s">
        <v>210</v>
      </c>
      <c r="AM469" s="392" t="s">
        <v>210</v>
      </c>
      <c r="AN469" s="392" t="s">
        <v>210</v>
      </c>
      <c r="AO469" s="341" t="s">
        <v>210</v>
      </c>
      <c r="AP469" s="342"/>
      <c r="AQ469" s="343"/>
      <c r="AR469" s="370">
        <v>9452</v>
      </c>
      <c r="AS469" s="326">
        <v>150</v>
      </c>
      <c r="AT469" s="392">
        <v>0.8</v>
      </c>
      <c r="AU469" s="392"/>
      <c r="AV469" s="392">
        <v>1.6</v>
      </c>
      <c r="AW469" s="341"/>
      <c r="AX469" s="376"/>
      <c r="AY469" s="348"/>
      <c r="AZ469" s="377"/>
      <c r="BA469" s="374"/>
      <c r="BB469" s="374"/>
      <c r="BC469" s="374"/>
      <c r="BD469" s="374"/>
      <c r="BE469" s="374"/>
      <c r="BF469" s="374"/>
      <c r="BG469" s="374"/>
      <c r="BH469" s="378"/>
      <c r="BI469" s="376"/>
      <c r="BJ469" s="431">
        <v>11.5</v>
      </c>
      <c r="BK469" s="380"/>
      <c r="BL469" s="348"/>
      <c r="BM469" s="381"/>
      <c r="BN469" s="321" t="s">
        <v>14</v>
      </c>
      <c r="BO469" s="372"/>
      <c r="BP469" s="373" t="s">
        <v>14</v>
      </c>
      <c r="BQ469" s="360"/>
      <c r="BR469" s="361"/>
      <c r="BS469" s="361"/>
      <c r="BT469" s="361"/>
      <c r="BU469" s="342" t="s">
        <v>210</v>
      </c>
      <c r="BV469" s="342" t="s">
        <v>210</v>
      </c>
      <c r="BW469" s="341" t="s">
        <v>15</v>
      </c>
      <c r="BX469" s="361"/>
      <c r="BY469" s="362"/>
      <c r="BZ469" s="363"/>
      <c r="CA469" s="363"/>
      <c r="CB469" s="363"/>
      <c r="CC469" s="363"/>
    </row>
    <row r="470" spans="2:81" ht="22.5" customHeight="1">
      <c r="B470" s="365">
        <v>260187</v>
      </c>
      <c r="C470" s="366" t="s">
        <v>13654</v>
      </c>
      <c r="D470" s="419"/>
      <c r="E470" s="368"/>
      <c r="F470" s="321" t="s">
        <v>1058</v>
      </c>
      <c r="G470" s="326" t="s">
        <v>1839</v>
      </c>
      <c r="H470" s="326" t="s">
        <v>1840</v>
      </c>
      <c r="I470" s="326" t="s">
        <v>383</v>
      </c>
      <c r="J470" s="326" t="s">
        <v>399</v>
      </c>
      <c r="K470" s="326" t="s">
        <v>1544</v>
      </c>
      <c r="L470" s="323"/>
      <c r="M470" s="374"/>
      <c r="N470" s="325" t="s">
        <v>438</v>
      </c>
      <c r="O470" s="326">
        <v>30</v>
      </c>
      <c r="P470" s="327" t="s">
        <v>210</v>
      </c>
      <c r="Q470" s="369" t="s">
        <v>210</v>
      </c>
      <c r="R470" s="329" t="s">
        <v>1545</v>
      </c>
      <c r="S470" s="330"/>
      <c r="T470" s="330"/>
      <c r="U470" s="330"/>
      <c r="V470" s="330"/>
      <c r="W470" s="332" t="s">
        <v>1515</v>
      </c>
      <c r="X470" s="331" t="s">
        <v>13522</v>
      </c>
      <c r="Y470" s="394" t="s">
        <v>11201</v>
      </c>
      <c r="Z470" s="394" t="s">
        <v>11200</v>
      </c>
      <c r="AA470" s="331" t="s">
        <v>13523</v>
      </c>
      <c r="AB470" s="333"/>
      <c r="AC470" s="333"/>
      <c r="AD470" s="334" t="s">
        <v>1631</v>
      </c>
      <c r="AE470" s="335" t="s">
        <v>1038</v>
      </c>
      <c r="AF470" s="706">
        <v>42067</v>
      </c>
      <c r="AG470" s="705">
        <v>42105</v>
      </c>
      <c r="AH470" s="417" t="s">
        <v>210</v>
      </c>
      <c r="AI470" s="392" t="s">
        <v>210</v>
      </c>
      <c r="AJ470" s="392" t="s">
        <v>210</v>
      </c>
      <c r="AK470" s="340" t="s">
        <v>210</v>
      </c>
      <c r="AL470" s="417" t="s">
        <v>210</v>
      </c>
      <c r="AM470" s="392" t="s">
        <v>210</v>
      </c>
      <c r="AN470" s="392" t="s">
        <v>210</v>
      </c>
      <c r="AO470" s="341" t="s">
        <v>210</v>
      </c>
      <c r="AP470" s="342"/>
      <c r="AQ470" s="343"/>
      <c r="AR470" s="370">
        <v>372</v>
      </c>
      <c r="AS470" s="326">
        <v>150</v>
      </c>
      <c r="AT470" s="392">
        <v>1.5</v>
      </c>
      <c r="AU470" s="392"/>
      <c r="AV470" s="392">
        <v>1</v>
      </c>
      <c r="AW470" s="341"/>
      <c r="AX470" s="376"/>
      <c r="AY470" s="348"/>
      <c r="AZ470" s="377"/>
      <c r="BA470" s="374"/>
      <c r="BB470" s="374"/>
      <c r="BC470" s="374"/>
      <c r="BD470" s="374"/>
      <c r="BE470" s="374"/>
      <c r="BF470" s="374"/>
      <c r="BG470" s="374"/>
      <c r="BH470" s="378"/>
      <c r="BI470" s="376"/>
      <c r="BJ470" s="379"/>
      <c r="BK470" s="380"/>
      <c r="BL470" s="348"/>
      <c r="BM470" s="381"/>
      <c r="BN470" s="321" t="s">
        <v>14</v>
      </c>
      <c r="BO470" s="372"/>
      <c r="BP470" s="373" t="s">
        <v>14</v>
      </c>
      <c r="BQ470" s="360"/>
      <c r="BR470" s="361"/>
      <c r="BS470" s="361"/>
      <c r="BT470" s="361"/>
      <c r="BU470" s="342" t="s">
        <v>210</v>
      </c>
      <c r="BV470" s="342" t="s">
        <v>210</v>
      </c>
      <c r="BW470" s="341" t="s">
        <v>15</v>
      </c>
      <c r="BX470" s="361"/>
      <c r="BY470" s="362"/>
      <c r="BZ470" s="363"/>
      <c r="CA470" s="363"/>
      <c r="CB470" s="363"/>
      <c r="CC470" s="363"/>
    </row>
    <row r="471" spans="2:81" ht="22.5" customHeight="1">
      <c r="B471" s="365">
        <v>260188</v>
      </c>
      <c r="C471" s="366" t="s">
        <v>1573</v>
      </c>
      <c r="D471" s="419"/>
      <c r="E471" s="368"/>
      <c r="F471" s="321" t="s">
        <v>1574</v>
      </c>
      <c r="G471" s="326" t="s">
        <v>1837</v>
      </c>
      <c r="H471" s="326" t="s">
        <v>1838</v>
      </c>
      <c r="I471" s="326" t="s">
        <v>383</v>
      </c>
      <c r="J471" s="326" t="s">
        <v>399</v>
      </c>
      <c r="K471" s="326" t="s">
        <v>247</v>
      </c>
      <c r="L471" s="323"/>
      <c r="M471" s="374"/>
      <c r="N471" s="325" t="s">
        <v>1575</v>
      </c>
      <c r="O471" s="326" t="s">
        <v>1597</v>
      </c>
      <c r="P471" s="327" t="s">
        <v>210</v>
      </c>
      <c r="Q471" s="369" t="s">
        <v>210</v>
      </c>
      <c r="R471" s="329" t="s">
        <v>1576</v>
      </c>
      <c r="S471" s="330"/>
      <c r="T471" s="330"/>
      <c r="U471" s="330"/>
      <c r="V471" s="330"/>
      <c r="W471" s="332" t="s">
        <v>1109</v>
      </c>
      <c r="X471" s="331" t="s">
        <v>13652</v>
      </c>
      <c r="Y471" s="330"/>
      <c r="Z471" s="330"/>
      <c r="AA471" s="331" t="s">
        <v>13653</v>
      </c>
      <c r="AB471" s="333"/>
      <c r="AC471" s="333"/>
      <c r="AD471" s="334" t="s">
        <v>1606</v>
      </c>
      <c r="AE471" s="335" t="s">
        <v>231</v>
      </c>
      <c r="AF471" s="706">
        <v>42073</v>
      </c>
      <c r="AG471" s="705">
        <v>42135</v>
      </c>
      <c r="AH471" s="417" t="s">
        <v>210</v>
      </c>
      <c r="AI471" s="392" t="s">
        <v>210</v>
      </c>
      <c r="AJ471" s="392" t="s">
        <v>210</v>
      </c>
      <c r="AK471" s="340" t="s">
        <v>210</v>
      </c>
      <c r="AL471" s="417" t="s">
        <v>210</v>
      </c>
      <c r="AM471" s="392" t="s">
        <v>210</v>
      </c>
      <c r="AN471" s="392" t="s">
        <v>210</v>
      </c>
      <c r="AO471" s="341" t="s">
        <v>210</v>
      </c>
      <c r="AP471" s="342"/>
      <c r="AQ471" s="343"/>
      <c r="AR471" s="370">
        <v>8788</v>
      </c>
      <c r="AS471" s="326">
        <v>150</v>
      </c>
      <c r="AT471" s="392">
        <v>1</v>
      </c>
      <c r="AU471" s="392"/>
      <c r="AV471" s="392">
        <v>1</v>
      </c>
      <c r="AW471" s="341"/>
      <c r="AX471" s="376"/>
      <c r="AY471" s="348"/>
      <c r="AZ471" s="377"/>
      <c r="BA471" s="374"/>
      <c r="BB471" s="374"/>
      <c r="BC471" s="374"/>
      <c r="BD471" s="374"/>
      <c r="BE471" s="374"/>
      <c r="BF471" s="374"/>
      <c r="BG471" s="374"/>
      <c r="BH471" s="378"/>
      <c r="BI471" s="376"/>
      <c r="BJ471" s="379"/>
      <c r="BK471" s="380"/>
      <c r="BL471" s="348"/>
      <c r="BM471" s="381"/>
      <c r="BN471" s="417" t="s">
        <v>210</v>
      </c>
      <c r="BO471" s="372"/>
      <c r="BP471" s="340" t="s">
        <v>210</v>
      </c>
      <c r="BQ471" s="360"/>
      <c r="BR471" s="361"/>
      <c r="BS471" s="361"/>
      <c r="BT471" s="361"/>
      <c r="BU471" s="342" t="s">
        <v>210</v>
      </c>
      <c r="BV471" s="342" t="s">
        <v>210</v>
      </c>
      <c r="BW471" s="341" t="s">
        <v>15</v>
      </c>
      <c r="BX471" s="361"/>
      <c r="BY471" s="362"/>
      <c r="BZ471" s="363"/>
      <c r="CA471" s="363"/>
      <c r="CB471" s="363"/>
      <c r="CC471" s="363"/>
    </row>
    <row r="472" spans="2:81" ht="22.5" customHeight="1">
      <c r="B472" s="365">
        <v>260189</v>
      </c>
      <c r="C472" s="366" t="s">
        <v>1568</v>
      </c>
      <c r="D472" s="419"/>
      <c r="E472" s="368"/>
      <c r="F472" s="321" t="s">
        <v>271</v>
      </c>
      <c r="G472" s="326" t="s">
        <v>1835</v>
      </c>
      <c r="H472" s="326" t="s">
        <v>1836</v>
      </c>
      <c r="I472" s="326" t="s">
        <v>383</v>
      </c>
      <c r="J472" s="326" t="s">
        <v>387</v>
      </c>
      <c r="K472" s="326" t="s">
        <v>247</v>
      </c>
      <c r="L472" s="323"/>
      <c r="M472" s="374"/>
      <c r="N472" s="325" t="s">
        <v>1569</v>
      </c>
      <c r="O472" s="326" t="s">
        <v>1597</v>
      </c>
      <c r="P472" s="327" t="s">
        <v>1597</v>
      </c>
      <c r="Q472" s="369" t="s">
        <v>1597</v>
      </c>
      <c r="R472" s="329" t="s">
        <v>921</v>
      </c>
      <c r="S472" s="330"/>
      <c r="T472" s="330"/>
      <c r="U472" s="330"/>
      <c r="V472" s="330"/>
      <c r="W472" s="332" t="s">
        <v>1438</v>
      </c>
      <c r="X472" s="331" t="s">
        <v>13650</v>
      </c>
      <c r="Y472" s="330"/>
      <c r="Z472" s="330"/>
      <c r="AA472" s="331" t="s">
        <v>13651</v>
      </c>
      <c r="AB472" s="333"/>
      <c r="AC472" s="333"/>
      <c r="AD472" s="334" t="s">
        <v>8769</v>
      </c>
      <c r="AE472" s="335" t="s">
        <v>966</v>
      </c>
      <c r="AF472" s="706">
        <v>42030</v>
      </c>
      <c r="AG472" s="705">
        <v>42185</v>
      </c>
      <c r="AH472" s="417" t="s">
        <v>210</v>
      </c>
      <c r="AI472" s="392" t="s">
        <v>210</v>
      </c>
      <c r="AJ472" s="392" t="s">
        <v>210</v>
      </c>
      <c r="AK472" s="340" t="s">
        <v>210</v>
      </c>
      <c r="AL472" s="417" t="s">
        <v>210</v>
      </c>
      <c r="AM472" s="392" t="s">
        <v>210</v>
      </c>
      <c r="AN472" s="392" t="s">
        <v>210</v>
      </c>
      <c r="AO472" s="341" t="s">
        <v>210</v>
      </c>
      <c r="AP472" s="342"/>
      <c r="AQ472" s="343"/>
      <c r="AR472" s="370">
        <v>488</v>
      </c>
      <c r="AS472" s="326">
        <v>100</v>
      </c>
      <c r="AT472" s="392">
        <v>1</v>
      </c>
      <c r="AU472" s="392"/>
      <c r="AV472" s="392">
        <v>1.5</v>
      </c>
      <c r="AW472" s="341"/>
      <c r="AX472" s="376"/>
      <c r="AY472" s="348"/>
      <c r="AZ472" s="377"/>
      <c r="BA472" s="374"/>
      <c r="BB472" s="374"/>
      <c r="BC472" s="374"/>
      <c r="BD472" s="374"/>
      <c r="BE472" s="374"/>
      <c r="BF472" s="374"/>
      <c r="BG472" s="374"/>
      <c r="BH472" s="378"/>
      <c r="BI472" s="376"/>
      <c r="BJ472" s="379"/>
      <c r="BK472" s="380"/>
      <c r="BL472" s="348"/>
      <c r="BM472" s="381"/>
      <c r="BN472" s="321" t="s">
        <v>14</v>
      </c>
      <c r="BO472" s="372"/>
      <c r="BP472" s="340" t="s">
        <v>210</v>
      </c>
      <c r="BQ472" s="360"/>
      <c r="BR472" s="361"/>
      <c r="BS472" s="361"/>
      <c r="BT472" s="361"/>
      <c r="BU472" s="342" t="s">
        <v>210</v>
      </c>
      <c r="BV472" s="342" t="s">
        <v>210</v>
      </c>
      <c r="BW472" s="341" t="s">
        <v>15</v>
      </c>
      <c r="BX472" s="361"/>
      <c r="BY472" s="362"/>
      <c r="BZ472" s="363"/>
      <c r="CA472" s="363"/>
      <c r="CB472" s="363"/>
      <c r="CC472" s="363"/>
    </row>
    <row r="473" spans="2:81" ht="22.5" customHeight="1">
      <c r="B473" s="365">
        <v>260190</v>
      </c>
      <c r="C473" s="366" t="s">
        <v>1500</v>
      </c>
      <c r="D473" s="419"/>
      <c r="E473" s="368"/>
      <c r="F473" s="321" t="s">
        <v>227</v>
      </c>
      <c r="G473" s="326" t="s">
        <v>1833</v>
      </c>
      <c r="H473" s="326" t="s">
        <v>1834</v>
      </c>
      <c r="I473" s="326" t="s">
        <v>383</v>
      </c>
      <c r="J473" s="326" t="s">
        <v>216</v>
      </c>
      <c r="K473" s="326" t="s">
        <v>806</v>
      </c>
      <c r="L473" s="323"/>
      <c r="M473" s="374"/>
      <c r="N473" s="325" t="s">
        <v>1523</v>
      </c>
      <c r="O473" s="326" t="s">
        <v>210</v>
      </c>
      <c r="P473" s="327">
        <v>2050.71</v>
      </c>
      <c r="Q473" s="369">
        <v>888.49</v>
      </c>
      <c r="R473" s="329" t="s">
        <v>1501</v>
      </c>
      <c r="S473" s="331" t="s">
        <v>13647</v>
      </c>
      <c r="T473" s="331" t="s">
        <v>13648</v>
      </c>
      <c r="U473" s="330"/>
      <c r="V473" s="331" t="s">
        <v>13649</v>
      </c>
      <c r="W473" s="332" t="s">
        <v>1506</v>
      </c>
      <c r="X473" s="331" t="s">
        <v>13643</v>
      </c>
      <c r="Y473" s="331" t="s">
        <v>13645</v>
      </c>
      <c r="Z473" s="331" t="s">
        <v>13644</v>
      </c>
      <c r="AA473" s="331" t="s">
        <v>13646</v>
      </c>
      <c r="AB473" s="333"/>
      <c r="AC473" s="333"/>
      <c r="AD473" s="334" t="s">
        <v>1721</v>
      </c>
      <c r="AE473" s="335" t="s">
        <v>1720</v>
      </c>
      <c r="AF473" s="706">
        <v>42040</v>
      </c>
      <c r="AG473" s="705">
        <v>42151</v>
      </c>
      <c r="AH473" s="417" t="s">
        <v>210</v>
      </c>
      <c r="AI473" s="392" t="s">
        <v>210</v>
      </c>
      <c r="AJ473" s="392" t="s">
        <v>210</v>
      </c>
      <c r="AK473" s="340" t="s">
        <v>210</v>
      </c>
      <c r="AL473" s="417" t="s">
        <v>210</v>
      </c>
      <c r="AM473" s="392" t="s">
        <v>210</v>
      </c>
      <c r="AN473" s="392" t="s">
        <v>210</v>
      </c>
      <c r="AO473" s="341" t="s">
        <v>210</v>
      </c>
      <c r="AP473" s="342"/>
      <c r="AQ473" s="343"/>
      <c r="AR473" s="370">
        <v>1186</v>
      </c>
      <c r="AS473" s="326">
        <v>150</v>
      </c>
      <c r="AT473" s="392">
        <v>0.8</v>
      </c>
      <c r="AU473" s="392"/>
      <c r="AV473" s="392">
        <v>1.4</v>
      </c>
      <c r="AW473" s="341"/>
      <c r="AX473" s="376"/>
      <c r="AY473" s="348"/>
      <c r="AZ473" s="377"/>
      <c r="BA473" s="374"/>
      <c r="BB473" s="374"/>
      <c r="BC473" s="374"/>
      <c r="BD473" s="374"/>
      <c r="BE473" s="374"/>
      <c r="BF473" s="374"/>
      <c r="BG473" s="374"/>
      <c r="BH473" s="378"/>
      <c r="BI473" s="376"/>
      <c r="BJ473" s="379"/>
      <c r="BK473" s="380"/>
      <c r="BL473" s="348"/>
      <c r="BM473" s="381"/>
      <c r="BN473" s="417" t="s">
        <v>210</v>
      </c>
      <c r="BO473" s="372"/>
      <c r="BP473" s="373" t="s">
        <v>14</v>
      </c>
      <c r="BQ473" s="360"/>
      <c r="BR473" s="361"/>
      <c r="BS473" s="361"/>
      <c r="BT473" s="361"/>
      <c r="BU473" s="342" t="s">
        <v>210</v>
      </c>
      <c r="BV473" s="342" t="s">
        <v>210</v>
      </c>
      <c r="BW473" s="341" t="s">
        <v>15</v>
      </c>
      <c r="BX473" s="361"/>
      <c r="BY473" s="362"/>
      <c r="BZ473" s="363"/>
      <c r="CA473" s="363"/>
      <c r="CB473" s="363"/>
      <c r="CC473" s="363"/>
    </row>
    <row r="474" spans="2:81" ht="22.5" customHeight="1">
      <c r="B474" s="365">
        <v>260191</v>
      </c>
      <c r="C474" s="366" t="s">
        <v>1592</v>
      </c>
      <c r="D474" s="419"/>
      <c r="E474" s="368"/>
      <c r="F474" s="321" t="s">
        <v>265</v>
      </c>
      <c r="G474" s="326" t="s">
        <v>1831</v>
      </c>
      <c r="H474" s="326" t="s">
        <v>1832</v>
      </c>
      <c r="I474" s="326" t="s">
        <v>383</v>
      </c>
      <c r="J474" s="326" t="s">
        <v>399</v>
      </c>
      <c r="K474" s="326" t="s">
        <v>1596</v>
      </c>
      <c r="L474" s="323"/>
      <c r="M474" s="374"/>
      <c r="N474" s="325" t="s">
        <v>438</v>
      </c>
      <c r="O474" s="326" t="s">
        <v>1597</v>
      </c>
      <c r="P474" s="327" t="s">
        <v>1597</v>
      </c>
      <c r="Q474" s="369" t="s">
        <v>1597</v>
      </c>
      <c r="R474" s="329" t="s">
        <v>1598</v>
      </c>
      <c r="S474" s="331" t="s">
        <v>13578</v>
      </c>
      <c r="T474" s="331" t="s">
        <v>13580</v>
      </c>
      <c r="U474" s="331" t="s">
        <v>16225</v>
      </c>
      <c r="V474" s="331" t="s">
        <v>13579</v>
      </c>
      <c r="W474" s="332" t="s">
        <v>1599</v>
      </c>
      <c r="X474" s="331" t="s">
        <v>13581</v>
      </c>
      <c r="Y474" s="331" t="s">
        <v>13582</v>
      </c>
      <c r="Z474" s="331" t="s">
        <v>16511</v>
      </c>
      <c r="AA474" s="331" t="s">
        <v>13583</v>
      </c>
      <c r="AB474" s="333"/>
      <c r="AC474" s="333"/>
      <c r="AD474" s="334" t="s">
        <v>1609</v>
      </c>
      <c r="AE474" s="335" t="s">
        <v>1641</v>
      </c>
      <c r="AF474" s="706">
        <v>42083</v>
      </c>
      <c r="AG474" s="705">
        <v>42110</v>
      </c>
      <c r="AH474" s="417" t="s">
        <v>210</v>
      </c>
      <c r="AI474" s="392" t="s">
        <v>210</v>
      </c>
      <c r="AJ474" s="392" t="s">
        <v>210</v>
      </c>
      <c r="AK474" s="340" t="s">
        <v>210</v>
      </c>
      <c r="AL474" s="417" t="s">
        <v>210</v>
      </c>
      <c r="AM474" s="392" t="s">
        <v>210</v>
      </c>
      <c r="AN474" s="392" t="s">
        <v>210</v>
      </c>
      <c r="AO474" s="341" t="s">
        <v>210</v>
      </c>
      <c r="AP474" s="342"/>
      <c r="AQ474" s="343"/>
      <c r="AR474" s="370">
        <v>561</v>
      </c>
      <c r="AS474" s="326">
        <v>100</v>
      </c>
      <c r="AT474" s="392">
        <v>0.8</v>
      </c>
      <c r="AU474" s="392"/>
      <c r="AV474" s="392">
        <v>1.2</v>
      </c>
      <c r="AW474" s="341"/>
      <c r="AX474" s="376"/>
      <c r="AY474" s="348"/>
      <c r="AZ474" s="377"/>
      <c r="BA474" s="374"/>
      <c r="BB474" s="374"/>
      <c r="BC474" s="374"/>
      <c r="BD474" s="374"/>
      <c r="BE474" s="374"/>
      <c r="BF474" s="374"/>
      <c r="BG474" s="374"/>
      <c r="BH474" s="378"/>
      <c r="BI474" s="376"/>
      <c r="BJ474" s="379"/>
      <c r="BK474" s="380"/>
      <c r="BL474" s="348"/>
      <c r="BM474" s="381"/>
      <c r="BN474" s="321" t="s">
        <v>14</v>
      </c>
      <c r="BO474" s="372">
        <v>1.262</v>
      </c>
      <c r="BP474" s="373" t="s">
        <v>14</v>
      </c>
      <c r="BQ474" s="360"/>
      <c r="BR474" s="361"/>
      <c r="BS474" s="361"/>
      <c r="BT474" s="361"/>
      <c r="BU474" s="342" t="s">
        <v>210</v>
      </c>
      <c r="BV474" s="342" t="s">
        <v>210</v>
      </c>
      <c r="BW474" s="341" t="s">
        <v>15</v>
      </c>
      <c r="BX474" s="361"/>
      <c r="BY474" s="362"/>
      <c r="BZ474" s="363"/>
      <c r="CA474" s="363"/>
      <c r="CB474" s="363"/>
      <c r="CC474" s="363"/>
    </row>
    <row r="475" spans="2:81" ht="22.5" customHeight="1">
      <c r="B475" s="365">
        <v>260192</v>
      </c>
      <c r="C475" s="366" t="s">
        <v>13642</v>
      </c>
      <c r="D475" s="419"/>
      <c r="E475" s="368"/>
      <c r="F475" s="321" t="s">
        <v>1556</v>
      </c>
      <c r="G475" s="326" t="s">
        <v>1780</v>
      </c>
      <c r="H475" s="326" t="s">
        <v>1830</v>
      </c>
      <c r="I475" s="326" t="s">
        <v>383</v>
      </c>
      <c r="J475" s="326" t="s">
        <v>387</v>
      </c>
      <c r="K475" s="326" t="s">
        <v>1555</v>
      </c>
      <c r="L475" s="323"/>
      <c r="M475" s="374"/>
      <c r="N475" s="325" t="s">
        <v>438</v>
      </c>
      <c r="O475" s="326">
        <v>30</v>
      </c>
      <c r="P475" s="327" t="s">
        <v>210</v>
      </c>
      <c r="Q475" s="369" t="s">
        <v>210</v>
      </c>
      <c r="R475" s="329" t="s">
        <v>1543</v>
      </c>
      <c r="S475" s="331" t="s">
        <v>12960</v>
      </c>
      <c r="T475" s="330"/>
      <c r="U475" s="330"/>
      <c r="V475" s="331" t="s">
        <v>12961</v>
      </c>
      <c r="W475" s="332" t="s">
        <v>432</v>
      </c>
      <c r="X475" s="331" t="s">
        <v>11079</v>
      </c>
      <c r="Y475" s="331" t="s">
        <v>11080</v>
      </c>
      <c r="Z475" s="331" t="s">
        <v>11080</v>
      </c>
      <c r="AA475" s="331" t="s">
        <v>210</v>
      </c>
      <c r="AB475" s="333" t="s">
        <v>2269</v>
      </c>
      <c r="AC475" s="333"/>
      <c r="AD475" s="334" t="s">
        <v>2334</v>
      </c>
      <c r="AE475" s="335" t="s">
        <v>3096</v>
      </c>
      <c r="AF475" s="706">
        <v>42052</v>
      </c>
      <c r="AG475" s="705">
        <v>42388</v>
      </c>
      <c r="AH475" s="376"/>
      <c r="AI475" s="347"/>
      <c r="AJ475" s="347"/>
      <c r="AK475" s="371"/>
      <c r="AL475" s="417" t="s">
        <v>210</v>
      </c>
      <c r="AM475" s="392" t="s">
        <v>210</v>
      </c>
      <c r="AN475" s="392" t="s">
        <v>210</v>
      </c>
      <c r="AO475" s="341" t="s">
        <v>210</v>
      </c>
      <c r="AP475" s="342"/>
      <c r="AQ475" s="343"/>
      <c r="AR475" s="370">
        <v>1884</v>
      </c>
      <c r="AS475" s="326">
        <v>130</v>
      </c>
      <c r="AT475" s="392">
        <v>0.8</v>
      </c>
      <c r="AU475" s="392"/>
      <c r="AV475" s="392">
        <v>1.2</v>
      </c>
      <c r="AW475" s="341"/>
      <c r="AX475" s="376"/>
      <c r="AY475" s="348"/>
      <c r="AZ475" s="377"/>
      <c r="BA475" s="374"/>
      <c r="BB475" s="374"/>
      <c r="BC475" s="374"/>
      <c r="BD475" s="374"/>
      <c r="BE475" s="374"/>
      <c r="BF475" s="374"/>
      <c r="BG475" s="374"/>
      <c r="BH475" s="378"/>
      <c r="BI475" s="376"/>
      <c r="BJ475" s="379"/>
      <c r="BK475" s="380"/>
      <c r="BL475" s="348"/>
      <c r="BM475" s="381"/>
      <c r="BN475" s="321" t="s">
        <v>14</v>
      </c>
      <c r="BO475" s="372"/>
      <c r="BP475" s="373" t="s">
        <v>14</v>
      </c>
      <c r="BQ475" s="360"/>
      <c r="BR475" s="361"/>
      <c r="BS475" s="361"/>
      <c r="BT475" s="361"/>
      <c r="BU475" s="342" t="s">
        <v>210</v>
      </c>
      <c r="BV475" s="342" t="s">
        <v>210</v>
      </c>
      <c r="BW475" s="341" t="s">
        <v>15</v>
      </c>
      <c r="BX475" s="361"/>
      <c r="BY475" s="362" t="s">
        <v>1753</v>
      </c>
      <c r="BZ475" s="363"/>
      <c r="CA475" s="363"/>
      <c r="CB475" s="363"/>
      <c r="CC475" s="363"/>
    </row>
    <row r="476" spans="2:81" ht="22.5" customHeight="1">
      <c r="B476" s="365">
        <v>260193</v>
      </c>
      <c r="C476" s="366" t="s">
        <v>1526</v>
      </c>
      <c r="D476" s="419"/>
      <c r="E476" s="368"/>
      <c r="F476" s="321" t="s">
        <v>1527</v>
      </c>
      <c r="G476" s="326" t="s">
        <v>1828</v>
      </c>
      <c r="H476" s="326" t="s">
        <v>1829</v>
      </c>
      <c r="I476" s="326" t="s">
        <v>383</v>
      </c>
      <c r="J476" s="326" t="s">
        <v>399</v>
      </c>
      <c r="K476" s="326" t="s">
        <v>977</v>
      </c>
      <c r="L476" s="323"/>
      <c r="M476" s="374"/>
      <c r="N476" s="325" t="s">
        <v>437</v>
      </c>
      <c r="O476" s="326" t="s">
        <v>1597</v>
      </c>
      <c r="P476" s="327" t="s">
        <v>1597</v>
      </c>
      <c r="Q476" s="369" t="s">
        <v>1597</v>
      </c>
      <c r="R476" s="329" t="s">
        <v>1528</v>
      </c>
      <c r="S476" s="330"/>
      <c r="T476" s="330"/>
      <c r="U476" s="330"/>
      <c r="V476" s="330"/>
      <c r="W476" s="331" t="s">
        <v>13636</v>
      </c>
      <c r="X476" s="331" t="s">
        <v>13639</v>
      </c>
      <c r="Y476" s="331" t="s">
        <v>13640</v>
      </c>
      <c r="Z476" s="331" t="s">
        <v>16389</v>
      </c>
      <c r="AA476" s="331" t="s">
        <v>13641</v>
      </c>
      <c r="AB476" s="333"/>
      <c r="AC476" s="333"/>
      <c r="AD476" s="334" t="s">
        <v>2338</v>
      </c>
      <c r="AE476" s="335" t="s">
        <v>1610</v>
      </c>
      <c r="AF476" s="706">
        <v>42054</v>
      </c>
      <c r="AG476" s="705">
        <v>42096</v>
      </c>
      <c r="AH476" s="417" t="s">
        <v>210</v>
      </c>
      <c r="AI476" s="392" t="s">
        <v>210</v>
      </c>
      <c r="AJ476" s="392" t="s">
        <v>210</v>
      </c>
      <c r="AK476" s="340" t="s">
        <v>210</v>
      </c>
      <c r="AL476" s="417" t="s">
        <v>210</v>
      </c>
      <c r="AM476" s="392" t="s">
        <v>15</v>
      </c>
      <c r="AN476" s="392" t="s">
        <v>210</v>
      </c>
      <c r="AO476" s="341" t="s">
        <v>210</v>
      </c>
      <c r="AP476" s="342"/>
      <c r="AQ476" s="343"/>
      <c r="AR476" s="370">
        <v>616</v>
      </c>
      <c r="AS476" s="326">
        <v>100</v>
      </c>
      <c r="AT476" s="392">
        <v>1</v>
      </c>
      <c r="AU476" s="392"/>
      <c r="AV476" s="392">
        <v>2</v>
      </c>
      <c r="AW476" s="341"/>
      <c r="AX476" s="376"/>
      <c r="AY476" s="348"/>
      <c r="AZ476" s="377"/>
      <c r="BA476" s="374"/>
      <c r="BB476" s="374"/>
      <c r="BC476" s="374"/>
      <c r="BD476" s="374"/>
      <c r="BE476" s="374"/>
      <c r="BF476" s="374"/>
      <c r="BG476" s="374"/>
      <c r="BH476" s="378"/>
      <c r="BI476" s="376"/>
      <c r="BJ476" s="379"/>
      <c r="BK476" s="380"/>
      <c r="BL476" s="348"/>
      <c r="BM476" s="381"/>
      <c r="BN476" s="321" t="s">
        <v>14</v>
      </c>
      <c r="BO476" s="372"/>
      <c r="BP476" s="373" t="s">
        <v>14</v>
      </c>
      <c r="BQ476" s="360"/>
      <c r="BR476" s="361"/>
      <c r="BS476" s="361"/>
      <c r="BT476" s="361"/>
      <c r="BU476" s="342" t="s">
        <v>210</v>
      </c>
      <c r="BV476" s="342" t="s">
        <v>210</v>
      </c>
      <c r="BW476" s="341" t="s">
        <v>15</v>
      </c>
      <c r="BX476" s="361"/>
      <c r="BY476" s="362"/>
      <c r="BZ476" s="363"/>
      <c r="CA476" s="363"/>
      <c r="CB476" s="363"/>
      <c r="CC476" s="363"/>
    </row>
    <row r="477" spans="2:81" ht="22.5" customHeight="1">
      <c r="B477" s="365">
        <v>260194</v>
      </c>
      <c r="C477" s="366" t="s">
        <v>1560</v>
      </c>
      <c r="D477" s="419"/>
      <c r="E477" s="368"/>
      <c r="F477" s="321" t="s">
        <v>1561</v>
      </c>
      <c r="G477" s="326" t="s">
        <v>1826</v>
      </c>
      <c r="H477" s="326" t="s">
        <v>1827</v>
      </c>
      <c r="I477" s="326" t="s">
        <v>383</v>
      </c>
      <c r="J477" s="326" t="s">
        <v>387</v>
      </c>
      <c r="K477" s="326" t="s">
        <v>247</v>
      </c>
      <c r="L477" s="323"/>
      <c r="M477" s="374"/>
      <c r="N477" s="325" t="s">
        <v>438</v>
      </c>
      <c r="O477" s="326" t="s">
        <v>1732</v>
      </c>
      <c r="P477" s="327">
        <v>3108.9</v>
      </c>
      <c r="Q477" s="369">
        <v>1637.5</v>
      </c>
      <c r="R477" s="329" t="s">
        <v>1565</v>
      </c>
      <c r="S477" s="331" t="s">
        <v>13631</v>
      </c>
      <c r="T477" s="331" t="s">
        <v>13632</v>
      </c>
      <c r="U477" s="331" t="s">
        <v>16315</v>
      </c>
      <c r="V477" s="331" t="s">
        <v>13633</v>
      </c>
      <c r="W477" s="332" t="s">
        <v>1562</v>
      </c>
      <c r="X477" s="331" t="s">
        <v>13634</v>
      </c>
      <c r="Y477" s="330"/>
      <c r="Z477" s="330"/>
      <c r="AA477" s="331" t="s">
        <v>13635</v>
      </c>
      <c r="AB477" s="333"/>
      <c r="AC477" s="333"/>
      <c r="AD477" s="334" t="s">
        <v>2326</v>
      </c>
      <c r="AE477" s="391"/>
      <c r="AF477" s="706">
        <v>42073</v>
      </c>
      <c r="AG477" s="705">
        <v>42145</v>
      </c>
      <c r="AH477" s="417" t="s">
        <v>210</v>
      </c>
      <c r="AI477" s="392" t="s">
        <v>210</v>
      </c>
      <c r="AJ477" s="392" t="s">
        <v>210</v>
      </c>
      <c r="AK477" s="340" t="s">
        <v>210</v>
      </c>
      <c r="AL477" s="417" t="s">
        <v>210</v>
      </c>
      <c r="AM477" s="392" t="s">
        <v>210</v>
      </c>
      <c r="AN477" s="392" t="s">
        <v>210</v>
      </c>
      <c r="AO477" s="341" t="s">
        <v>210</v>
      </c>
      <c r="AP477" s="342"/>
      <c r="AQ477" s="343"/>
      <c r="AR477" s="370">
        <v>2183</v>
      </c>
      <c r="AS477" s="326">
        <v>120</v>
      </c>
      <c r="AT477" s="392">
        <v>0.8</v>
      </c>
      <c r="AU477" s="392"/>
      <c r="AV477" s="392">
        <v>1</v>
      </c>
      <c r="AW477" s="341"/>
      <c r="AX477" s="376"/>
      <c r="AY477" s="348"/>
      <c r="AZ477" s="377"/>
      <c r="BA477" s="374"/>
      <c r="BB477" s="374"/>
      <c r="BC477" s="374"/>
      <c r="BD477" s="374"/>
      <c r="BE477" s="374"/>
      <c r="BF477" s="374"/>
      <c r="BG477" s="374"/>
      <c r="BH477" s="378"/>
      <c r="BI477" s="376"/>
      <c r="BJ477" s="379"/>
      <c r="BK477" s="380"/>
      <c r="BL477" s="348"/>
      <c r="BM477" s="381"/>
      <c r="BN477" s="321" t="s">
        <v>14</v>
      </c>
      <c r="BO477" s="372"/>
      <c r="BP477" s="340" t="s">
        <v>210</v>
      </c>
      <c r="BQ477" s="360"/>
      <c r="BR477" s="361"/>
      <c r="BS477" s="361"/>
      <c r="BT477" s="361"/>
      <c r="BU477" s="342" t="s">
        <v>210</v>
      </c>
      <c r="BV477" s="342" t="s">
        <v>210</v>
      </c>
      <c r="BW477" s="341" t="s">
        <v>15</v>
      </c>
      <c r="BX477" s="361"/>
      <c r="BY477" s="362"/>
      <c r="BZ477" s="363"/>
      <c r="CA477" s="363"/>
      <c r="CB477" s="363"/>
      <c r="CC477" s="363"/>
    </row>
    <row r="478" spans="2:81" ht="22.5" customHeight="1">
      <c r="B478" s="365">
        <v>260195</v>
      </c>
      <c r="C478" s="366" t="s">
        <v>1584</v>
      </c>
      <c r="D478" s="419"/>
      <c r="E478" s="368"/>
      <c r="F478" s="321" t="s">
        <v>1585</v>
      </c>
      <c r="G478" s="326" t="s">
        <v>1824</v>
      </c>
      <c r="H478" s="326" t="s">
        <v>1825</v>
      </c>
      <c r="I478" s="326" t="s">
        <v>383</v>
      </c>
      <c r="J478" s="326" t="s">
        <v>387</v>
      </c>
      <c r="K478" s="326" t="s">
        <v>1586</v>
      </c>
      <c r="L478" s="323"/>
      <c r="M478" s="374"/>
      <c r="N478" s="746" t="s">
        <v>1587</v>
      </c>
      <c r="O478" s="326">
        <v>100</v>
      </c>
      <c r="P478" s="327" t="s">
        <v>1597</v>
      </c>
      <c r="Q478" s="369" t="s">
        <v>1597</v>
      </c>
      <c r="R478" s="329" t="s">
        <v>1697</v>
      </c>
      <c r="S478" s="332" t="s">
        <v>11095</v>
      </c>
      <c r="T478" s="332" t="s">
        <v>11096</v>
      </c>
      <c r="U478" s="332" t="s">
        <v>11098</v>
      </c>
      <c r="V478" s="332" t="s">
        <v>11097</v>
      </c>
      <c r="W478" s="332" t="s">
        <v>1697</v>
      </c>
      <c r="X478" s="332" t="s">
        <v>11095</v>
      </c>
      <c r="Y478" s="332" t="s">
        <v>11096</v>
      </c>
      <c r="Z478" s="332" t="s">
        <v>11098</v>
      </c>
      <c r="AA478" s="332" t="s">
        <v>11097</v>
      </c>
      <c r="AB478" s="333"/>
      <c r="AC478" s="416"/>
      <c r="AD478" s="375"/>
      <c r="AE478" s="335" t="s">
        <v>2295</v>
      </c>
      <c r="AF478" s="706">
        <v>42086</v>
      </c>
      <c r="AG478" s="705">
        <v>42089</v>
      </c>
      <c r="AH478" s="417" t="s">
        <v>210</v>
      </c>
      <c r="AI478" s="392" t="s">
        <v>210</v>
      </c>
      <c r="AJ478" s="392" t="s">
        <v>210</v>
      </c>
      <c r="AK478" s="340" t="s">
        <v>210</v>
      </c>
      <c r="AL478" s="417" t="s">
        <v>210</v>
      </c>
      <c r="AM478" s="392" t="s">
        <v>210</v>
      </c>
      <c r="AN478" s="392" t="s">
        <v>210</v>
      </c>
      <c r="AO478" s="341" t="s">
        <v>210</v>
      </c>
      <c r="AP478" s="342"/>
      <c r="AQ478" s="343"/>
      <c r="AR478" s="370">
        <v>533</v>
      </c>
      <c r="AS478" s="326">
        <v>150</v>
      </c>
      <c r="AT478" s="392">
        <v>1</v>
      </c>
      <c r="AU478" s="392"/>
      <c r="AV478" s="392">
        <v>1.5</v>
      </c>
      <c r="AW478" s="341"/>
      <c r="AX478" s="376"/>
      <c r="AY478" s="348"/>
      <c r="AZ478" s="377"/>
      <c r="BA478" s="374"/>
      <c r="BB478" s="374"/>
      <c r="BC478" s="374"/>
      <c r="BD478" s="374"/>
      <c r="BE478" s="374"/>
      <c r="BF478" s="374"/>
      <c r="BG478" s="374"/>
      <c r="BH478" s="378"/>
      <c r="BI478" s="376"/>
      <c r="BJ478" s="379"/>
      <c r="BK478" s="380"/>
      <c r="BL478" s="348"/>
      <c r="BM478" s="381"/>
      <c r="BN478" s="417" t="s">
        <v>210</v>
      </c>
      <c r="BO478" s="372"/>
      <c r="BP478" s="373" t="s">
        <v>14</v>
      </c>
      <c r="BQ478" s="360"/>
      <c r="BR478" s="361"/>
      <c r="BS478" s="361"/>
      <c r="BT478" s="361"/>
      <c r="BU478" s="342" t="s">
        <v>210</v>
      </c>
      <c r="BV478" s="342" t="s">
        <v>210</v>
      </c>
      <c r="BW478" s="341" t="s">
        <v>15</v>
      </c>
      <c r="BX478" s="361"/>
      <c r="BY478" s="362"/>
      <c r="BZ478" s="363"/>
      <c r="CA478" s="363"/>
      <c r="CB478" s="363"/>
      <c r="CC478" s="363"/>
    </row>
    <row r="479" spans="2:81" ht="22.5" customHeight="1">
      <c r="B479" s="365">
        <v>260196</v>
      </c>
      <c r="C479" s="366" t="s">
        <v>1588</v>
      </c>
      <c r="D479" s="419"/>
      <c r="E479" s="368"/>
      <c r="F479" s="321" t="s">
        <v>839</v>
      </c>
      <c r="G479" s="326" t="s">
        <v>1809</v>
      </c>
      <c r="H479" s="326" t="s">
        <v>1823</v>
      </c>
      <c r="I479" s="326" t="s">
        <v>383</v>
      </c>
      <c r="J479" s="326" t="s">
        <v>399</v>
      </c>
      <c r="K479" s="326" t="s">
        <v>917</v>
      </c>
      <c r="L479" s="323"/>
      <c r="M479" s="374"/>
      <c r="N479" s="746" t="s">
        <v>1589</v>
      </c>
      <c r="O479" s="326" t="s">
        <v>1597</v>
      </c>
      <c r="P479" s="327" t="s">
        <v>1597</v>
      </c>
      <c r="Q479" s="369" t="s">
        <v>1597</v>
      </c>
      <c r="R479" s="329" t="s">
        <v>1593</v>
      </c>
      <c r="S479" s="331" t="s">
        <v>13588</v>
      </c>
      <c r="T479" s="331" t="s">
        <v>13590</v>
      </c>
      <c r="U479" s="331" t="s">
        <v>13589</v>
      </c>
      <c r="V479" s="331" t="s">
        <v>13586</v>
      </c>
      <c r="W479" s="332" t="s">
        <v>1594</v>
      </c>
      <c r="X479" s="331" t="s">
        <v>13587</v>
      </c>
      <c r="Y479" s="331" t="s">
        <v>13585</v>
      </c>
      <c r="Z479" s="331" t="s">
        <v>13584</v>
      </c>
      <c r="AA479" s="331" t="s">
        <v>13586</v>
      </c>
      <c r="AB479" s="333"/>
      <c r="AC479" s="333"/>
      <c r="AD479" s="334" t="s">
        <v>276</v>
      </c>
      <c r="AE479" s="335" t="s">
        <v>1645</v>
      </c>
      <c r="AF479" s="706">
        <v>42087</v>
      </c>
      <c r="AG479" s="705">
        <v>42178</v>
      </c>
      <c r="AH479" s="417" t="s">
        <v>210</v>
      </c>
      <c r="AI479" s="392" t="s">
        <v>210</v>
      </c>
      <c r="AJ479" s="392" t="s">
        <v>210</v>
      </c>
      <c r="AK479" s="340" t="s">
        <v>210</v>
      </c>
      <c r="AL479" s="417" t="s">
        <v>210</v>
      </c>
      <c r="AM479" s="392" t="s">
        <v>210</v>
      </c>
      <c r="AN479" s="392" t="s">
        <v>210</v>
      </c>
      <c r="AO479" s="341" t="s">
        <v>210</v>
      </c>
      <c r="AP479" s="342"/>
      <c r="AQ479" s="343"/>
      <c r="AR479" s="370">
        <v>1378</v>
      </c>
      <c r="AS479" s="326">
        <v>100</v>
      </c>
      <c r="AT479" s="392">
        <v>1</v>
      </c>
      <c r="AU479" s="392"/>
      <c r="AV479" s="392">
        <v>1.5</v>
      </c>
      <c r="AW479" s="341"/>
      <c r="AX479" s="376"/>
      <c r="AY479" s="348"/>
      <c r="AZ479" s="377"/>
      <c r="BA479" s="374"/>
      <c r="BB479" s="374"/>
      <c r="BC479" s="374"/>
      <c r="BD479" s="374"/>
      <c r="BE479" s="374"/>
      <c r="BF479" s="374"/>
      <c r="BG479" s="374"/>
      <c r="BH479" s="378"/>
      <c r="BI479" s="376"/>
      <c r="BJ479" s="379"/>
      <c r="BK479" s="380"/>
      <c r="BL479" s="348"/>
      <c r="BM479" s="381"/>
      <c r="BN479" s="417" t="s">
        <v>210</v>
      </c>
      <c r="BO479" s="372"/>
      <c r="BP479" s="373" t="s">
        <v>14</v>
      </c>
      <c r="BQ479" s="360"/>
      <c r="BR479" s="361"/>
      <c r="BS479" s="361"/>
      <c r="BT479" s="361"/>
      <c r="BU479" s="342" t="s">
        <v>210</v>
      </c>
      <c r="BV479" s="342" t="s">
        <v>210</v>
      </c>
      <c r="BW479" s="341" t="s">
        <v>15</v>
      </c>
      <c r="BX479" s="361"/>
      <c r="BY479" s="362"/>
      <c r="BZ479" s="363"/>
      <c r="CA479" s="363"/>
      <c r="CB479" s="363"/>
      <c r="CC479" s="363"/>
    </row>
    <row r="480" spans="2:81" ht="22.5" customHeight="1">
      <c r="B480" s="365">
        <v>140005</v>
      </c>
      <c r="C480" s="366" t="s">
        <v>1607</v>
      </c>
      <c r="D480" s="419"/>
      <c r="E480" s="368"/>
      <c r="F480" s="321" t="s">
        <v>1580</v>
      </c>
      <c r="G480" s="326" t="s">
        <v>1768</v>
      </c>
      <c r="H480" s="326" t="s">
        <v>1769</v>
      </c>
      <c r="I480" s="326" t="s">
        <v>1581</v>
      </c>
      <c r="J480" s="326" t="s">
        <v>216</v>
      </c>
      <c r="K480" s="326" t="s">
        <v>224</v>
      </c>
      <c r="L480" s="323"/>
      <c r="M480" s="374"/>
      <c r="N480" s="746" t="s">
        <v>1582</v>
      </c>
      <c r="O480" s="326" t="s">
        <v>1597</v>
      </c>
      <c r="P480" s="327">
        <v>843.6</v>
      </c>
      <c r="Q480" s="369">
        <v>318.5</v>
      </c>
      <c r="R480" s="399"/>
      <c r="S480" s="400"/>
      <c r="T480" s="400"/>
      <c r="U480" s="400"/>
      <c r="V480" s="400"/>
      <c r="W480" s="332" t="s">
        <v>1583</v>
      </c>
      <c r="X480" s="394" t="s">
        <v>13672</v>
      </c>
      <c r="Y480" s="400"/>
      <c r="Z480" s="400"/>
      <c r="AA480" s="394" t="s">
        <v>13630</v>
      </c>
      <c r="AB480" s="333"/>
      <c r="AC480" s="416"/>
      <c r="AD480" s="375"/>
      <c r="AE480" s="335" t="s">
        <v>210</v>
      </c>
      <c r="AF480" s="706">
        <v>42080</v>
      </c>
      <c r="AG480" s="441"/>
      <c r="AH480" s="417" t="s">
        <v>210</v>
      </c>
      <c r="AI480" s="392" t="s">
        <v>210</v>
      </c>
      <c r="AJ480" s="392" t="s">
        <v>210</v>
      </c>
      <c r="AK480" s="340" t="s">
        <v>210</v>
      </c>
      <c r="AL480" s="417" t="s">
        <v>210</v>
      </c>
      <c r="AM480" s="392" t="s">
        <v>210</v>
      </c>
      <c r="AN480" s="392" t="s">
        <v>210</v>
      </c>
      <c r="AO480" s="341" t="s">
        <v>210</v>
      </c>
      <c r="AP480" s="342"/>
      <c r="AQ480" s="343"/>
      <c r="AR480" s="370">
        <v>464</v>
      </c>
      <c r="AS480" s="326">
        <v>80</v>
      </c>
      <c r="AT480" s="392">
        <v>1</v>
      </c>
      <c r="AU480" s="392"/>
      <c r="AV480" s="392">
        <v>1.5</v>
      </c>
      <c r="AW480" s="341"/>
      <c r="AX480" s="376"/>
      <c r="AY480" s="348"/>
      <c r="AZ480" s="377"/>
      <c r="BA480" s="374"/>
      <c r="BB480" s="374"/>
      <c r="BC480" s="374"/>
      <c r="BD480" s="374"/>
      <c r="BE480" s="374"/>
      <c r="BF480" s="374"/>
      <c r="BG480" s="374"/>
      <c r="BH480" s="378"/>
      <c r="BI480" s="376"/>
      <c r="BJ480" s="379"/>
      <c r="BK480" s="380"/>
      <c r="BL480" s="348"/>
      <c r="BM480" s="381"/>
      <c r="BN480" s="321" t="s">
        <v>14</v>
      </c>
      <c r="BO480" s="372"/>
      <c r="BP480" s="373" t="s">
        <v>14</v>
      </c>
      <c r="BQ480" s="360"/>
      <c r="BR480" s="361"/>
      <c r="BS480" s="361"/>
      <c r="BT480" s="361"/>
      <c r="BU480" s="342" t="s">
        <v>210</v>
      </c>
      <c r="BV480" s="342" t="s">
        <v>210</v>
      </c>
      <c r="BW480" s="341" t="s">
        <v>15</v>
      </c>
      <c r="BX480" s="361"/>
      <c r="BY480" s="362"/>
      <c r="BZ480" s="363"/>
      <c r="CA480" s="363"/>
      <c r="CB480" s="363"/>
      <c r="CC480" s="363"/>
    </row>
    <row r="481" spans="1:82" ht="22.5" customHeight="1">
      <c r="B481" s="365">
        <v>140007</v>
      </c>
      <c r="C481" s="366" t="s">
        <v>1655</v>
      </c>
      <c r="D481" s="419"/>
      <c r="E481" s="368"/>
      <c r="F481" s="321" t="s">
        <v>1043</v>
      </c>
      <c r="G481" s="326" t="s">
        <v>1770</v>
      </c>
      <c r="H481" s="326" t="s">
        <v>1771</v>
      </c>
      <c r="I481" s="326" t="s">
        <v>383</v>
      </c>
      <c r="J481" s="326" t="s">
        <v>387</v>
      </c>
      <c r="K481" s="326" t="s">
        <v>977</v>
      </c>
      <c r="L481" s="323"/>
      <c r="M481" s="374"/>
      <c r="N481" s="325" t="s">
        <v>1672</v>
      </c>
      <c r="O481" s="326" t="s">
        <v>210</v>
      </c>
      <c r="P481" s="327">
        <v>1098.42</v>
      </c>
      <c r="Q481" s="369">
        <v>958.2</v>
      </c>
      <c r="R481" s="329" t="s">
        <v>6820</v>
      </c>
      <c r="S481" s="330"/>
      <c r="T481" s="330"/>
      <c r="U481" s="330"/>
      <c r="V481" s="330"/>
      <c r="W481" s="332" t="s">
        <v>592</v>
      </c>
      <c r="X481" s="394" t="s">
        <v>12237</v>
      </c>
      <c r="Y481" s="394" t="s">
        <v>11508</v>
      </c>
      <c r="Z481" s="394" t="s">
        <v>11507</v>
      </c>
      <c r="AA481" s="394" t="s">
        <v>12239</v>
      </c>
      <c r="AB481" s="333"/>
      <c r="AC481" s="333"/>
      <c r="AD481" s="334" t="s">
        <v>276</v>
      </c>
      <c r="AE481" s="335" t="s">
        <v>1737</v>
      </c>
      <c r="AF481" s="706">
        <v>42110</v>
      </c>
      <c r="AG481" s="705">
        <v>42164</v>
      </c>
      <c r="AH481" s="417" t="s">
        <v>210</v>
      </c>
      <c r="AI481" s="392" t="s">
        <v>210</v>
      </c>
      <c r="AJ481" s="392" t="s">
        <v>210</v>
      </c>
      <c r="AK481" s="340" t="s">
        <v>210</v>
      </c>
      <c r="AL481" s="417" t="s">
        <v>210</v>
      </c>
      <c r="AM481" s="392" t="s">
        <v>210</v>
      </c>
      <c r="AN481" s="392" t="s">
        <v>210</v>
      </c>
      <c r="AO481" s="341" t="s">
        <v>210</v>
      </c>
      <c r="AP481" s="342"/>
      <c r="AQ481" s="343"/>
      <c r="AR481" s="370">
        <v>1205</v>
      </c>
      <c r="AS481" s="326">
        <v>100</v>
      </c>
      <c r="AT481" s="392">
        <v>1</v>
      </c>
      <c r="AU481" s="392"/>
      <c r="AV481" s="392">
        <v>1.2</v>
      </c>
      <c r="AW481" s="341"/>
      <c r="AX481" s="376"/>
      <c r="AY481" s="348"/>
      <c r="AZ481" s="377"/>
      <c r="BA481" s="374"/>
      <c r="BB481" s="374"/>
      <c r="BC481" s="374"/>
      <c r="BD481" s="374"/>
      <c r="BE481" s="374"/>
      <c r="BF481" s="374"/>
      <c r="BG481" s="374"/>
      <c r="BH481" s="378"/>
      <c r="BI481" s="376"/>
      <c r="BJ481" s="379"/>
      <c r="BK481" s="380"/>
      <c r="BL481" s="348"/>
      <c r="BM481" s="381"/>
      <c r="BN481" s="321" t="s">
        <v>14</v>
      </c>
      <c r="BO481" s="372">
        <v>1.49</v>
      </c>
      <c r="BP481" s="373" t="s">
        <v>14</v>
      </c>
      <c r="BQ481" s="360"/>
      <c r="BR481" s="361"/>
      <c r="BS481" s="361"/>
      <c r="BT481" s="361"/>
      <c r="BU481" s="342" t="s">
        <v>210</v>
      </c>
      <c r="BV481" s="342" t="s">
        <v>210</v>
      </c>
      <c r="BW481" s="341" t="s">
        <v>15</v>
      </c>
      <c r="BX481" s="361"/>
      <c r="BY481" s="362"/>
      <c r="BZ481" s="363"/>
      <c r="CA481" s="363"/>
      <c r="CB481" s="363"/>
      <c r="CC481" s="363"/>
    </row>
    <row r="482" spans="1:82" ht="22.5" customHeight="1">
      <c r="B482" s="365">
        <v>140009</v>
      </c>
      <c r="C482" s="366" t="s">
        <v>1639</v>
      </c>
      <c r="D482" s="419"/>
      <c r="E482" s="368"/>
      <c r="F482" s="321" t="s">
        <v>1640</v>
      </c>
      <c r="G482" s="326" t="s">
        <v>1772</v>
      </c>
      <c r="H482" s="326" t="s">
        <v>1773</v>
      </c>
      <c r="I482" s="326" t="s">
        <v>766</v>
      </c>
      <c r="J482" s="326" t="s">
        <v>387</v>
      </c>
      <c r="K482" s="326" t="s">
        <v>993</v>
      </c>
      <c r="L482" s="323"/>
      <c r="M482" s="374"/>
      <c r="N482" s="325" t="s">
        <v>1664</v>
      </c>
      <c r="O482" s="326" t="s">
        <v>210</v>
      </c>
      <c r="P482" s="327" t="s">
        <v>210</v>
      </c>
      <c r="Q482" s="369" t="s">
        <v>210</v>
      </c>
      <c r="R482" s="329" t="s">
        <v>1665</v>
      </c>
      <c r="S482" s="331" t="s">
        <v>13627</v>
      </c>
      <c r="T482" s="331" t="s">
        <v>13628</v>
      </c>
      <c r="U482" s="330"/>
      <c r="V482" s="331" t="s">
        <v>13629</v>
      </c>
      <c r="W482" s="330"/>
      <c r="X482" s="330"/>
      <c r="Y482" s="330"/>
      <c r="Z482" s="330"/>
      <c r="AA482" s="330"/>
      <c r="AB482" s="333"/>
      <c r="AC482" s="416"/>
      <c r="AD482" s="375"/>
      <c r="AE482" s="391"/>
      <c r="AF482" s="706">
        <v>42104</v>
      </c>
      <c r="AG482" s="441"/>
      <c r="AH482" s="417" t="s">
        <v>210</v>
      </c>
      <c r="AI482" s="392" t="s">
        <v>210</v>
      </c>
      <c r="AJ482" s="392" t="s">
        <v>210</v>
      </c>
      <c r="AK482" s="340" t="s">
        <v>210</v>
      </c>
      <c r="AL482" s="417" t="s">
        <v>210</v>
      </c>
      <c r="AM482" s="392" t="s">
        <v>210</v>
      </c>
      <c r="AN482" s="392" t="s">
        <v>210</v>
      </c>
      <c r="AO482" s="341" t="s">
        <v>210</v>
      </c>
      <c r="AP482" s="342"/>
      <c r="AQ482" s="343"/>
      <c r="AR482" s="370">
        <v>1014</v>
      </c>
      <c r="AS482" s="326">
        <v>20</v>
      </c>
      <c r="AT482" s="392">
        <v>1.2</v>
      </c>
      <c r="AU482" s="392"/>
      <c r="AV482" s="392">
        <v>1.2</v>
      </c>
      <c r="AW482" s="341"/>
      <c r="AX482" s="376"/>
      <c r="AY482" s="348"/>
      <c r="AZ482" s="377"/>
      <c r="BA482" s="374"/>
      <c r="BB482" s="374"/>
      <c r="BC482" s="374"/>
      <c r="BD482" s="374"/>
      <c r="BE482" s="374"/>
      <c r="BF482" s="374"/>
      <c r="BG482" s="374"/>
      <c r="BH482" s="378"/>
      <c r="BI482" s="376"/>
      <c r="BJ482" s="379"/>
      <c r="BK482" s="380"/>
      <c r="BL482" s="348"/>
      <c r="BM482" s="381"/>
      <c r="BN482" s="417" t="s">
        <v>210</v>
      </c>
      <c r="BO482" s="372"/>
      <c r="BP482" s="340" t="s">
        <v>210</v>
      </c>
      <c r="BQ482" s="360"/>
      <c r="BR482" s="361"/>
      <c r="BS482" s="361"/>
      <c r="BT482" s="361"/>
      <c r="BU482" s="342" t="s">
        <v>210</v>
      </c>
      <c r="BV482" s="342" t="s">
        <v>210</v>
      </c>
      <c r="BW482" s="341" t="s">
        <v>15</v>
      </c>
      <c r="BX482" s="361"/>
      <c r="BY482" s="362"/>
      <c r="BZ482" s="363"/>
      <c r="CA482" s="363"/>
      <c r="CB482" s="363"/>
      <c r="CC482" s="363"/>
    </row>
    <row r="483" spans="1:82" ht="22.5" customHeight="1">
      <c r="B483" s="365">
        <v>140014</v>
      </c>
      <c r="C483" s="366" t="s">
        <v>13623</v>
      </c>
      <c r="D483" s="419"/>
      <c r="E483" s="368"/>
      <c r="F483" s="321" t="s">
        <v>227</v>
      </c>
      <c r="G483" s="326" t="s">
        <v>1774</v>
      </c>
      <c r="H483" s="326" t="s">
        <v>1775</v>
      </c>
      <c r="I483" s="326" t="s">
        <v>383</v>
      </c>
      <c r="J483" s="326" t="s">
        <v>387</v>
      </c>
      <c r="K483" s="326" t="s">
        <v>917</v>
      </c>
      <c r="L483" s="323"/>
      <c r="M483" s="374"/>
      <c r="N483" s="325" t="s">
        <v>438</v>
      </c>
      <c r="O483" s="326" t="s">
        <v>1597</v>
      </c>
      <c r="P483" s="327">
        <v>3387</v>
      </c>
      <c r="Q483" s="369">
        <v>2992.1</v>
      </c>
      <c r="R483" s="329" t="s">
        <v>1551</v>
      </c>
      <c r="S483" s="330"/>
      <c r="T483" s="330"/>
      <c r="U483" s="330"/>
      <c r="V483" s="330"/>
      <c r="W483" s="332" t="s">
        <v>1549</v>
      </c>
      <c r="X483" s="331" t="s">
        <v>13624</v>
      </c>
      <c r="Y483" s="331" t="s">
        <v>13625</v>
      </c>
      <c r="Z483" s="400"/>
      <c r="AA483" s="331" t="s">
        <v>13626</v>
      </c>
      <c r="AB483" s="333"/>
      <c r="AC483" s="333"/>
      <c r="AD483" s="334" t="s">
        <v>2324</v>
      </c>
      <c r="AE483" s="335" t="s">
        <v>1410</v>
      </c>
      <c r="AF483" s="706">
        <v>42067</v>
      </c>
      <c r="AG483" s="705">
        <v>42114</v>
      </c>
      <c r="AH483" s="417" t="s">
        <v>210</v>
      </c>
      <c r="AI483" s="392" t="s">
        <v>210</v>
      </c>
      <c r="AJ483" s="392" t="s">
        <v>210</v>
      </c>
      <c r="AK483" s="340" t="s">
        <v>210</v>
      </c>
      <c r="AL483" s="417" t="s">
        <v>210</v>
      </c>
      <c r="AM483" s="392" t="s">
        <v>210</v>
      </c>
      <c r="AN483" s="392" t="s">
        <v>210</v>
      </c>
      <c r="AO483" s="341" t="s">
        <v>210</v>
      </c>
      <c r="AP483" s="342"/>
      <c r="AQ483" s="343"/>
      <c r="AR483" s="370">
        <v>3440</v>
      </c>
      <c r="AS483" s="326">
        <v>150</v>
      </c>
      <c r="AT483" s="392">
        <v>0.8</v>
      </c>
      <c r="AU483" s="392"/>
      <c r="AV483" s="392">
        <v>1.4</v>
      </c>
      <c r="AW483" s="341"/>
      <c r="AX483" s="376"/>
      <c r="AY483" s="348"/>
      <c r="AZ483" s="377"/>
      <c r="BA483" s="374"/>
      <c r="BB483" s="374"/>
      <c r="BC483" s="374"/>
      <c r="BD483" s="374"/>
      <c r="BE483" s="374"/>
      <c r="BF483" s="374"/>
      <c r="BG483" s="374"/>
      <c r="BH483" s="378"/>
      <c r="BI483" s="376"/>
      <c r="BJ483" s="379"/>
      <c r="BK483" s="380"/>
      <c r="BL483" s="348"/>
      <c r="BM483" s="381"/>
      <c r="BN483" s="321" t="s">
        <v>14</v>
      </c>
      <c r="BO483" s="372"/>
      <c r="BP483" s="373" t="s">
        <v>14</v>
      </c>
      <c r="BQ483" s="360"/>
      <c r="BR483" s="361"/>
      <c r="BS483" s="361"/>
      <c r="BT483" s="361"/>
      <c r="BU483" s="342" t="s">
        <v>210</v>
      </c>
      <c r="BV483" s="342" t="s">
        <v>210</v>
      </c>
      <c r="BW483" s="341" t="s">
        <v>15</v>
      </c>
      <c r="BX483" s="361"/>
      <c r="BY483" s="362"/>
      <c r="BZ483" s="363"/>
      <c r="CA483" s="363"/>
      <c r="CB483" s="363"/>
      <c r="CC483" s="363"/>
    </row>
    <row r="484" spans="1:82" ht="22.5" customHeight="1">
      <c r="B484" s="365">
        <v>140016</v>
      </c>
      <c r="C484" s="366" t="s">
        <v>1579</v>
      </c>
      <c r="D484" s="419"/>
      <c r="E484" s="368"/>
      <c r="F484" s="321" t="s">
        <v>1058</v>
      </c>
      <c r="G484" s="326" t="s">
        <v>1776</v>
      </c>
      <c r="H484" s="326" t="s">
        <v>1777</v>
      </c>
      <c r="I484" s="326" t="s">
        <v>383</v>
      </c>
      <c r="J484" s="326" t="s">
        <v>399</v>
      </c>
      <c r="K484" s="326" t="s">
        <v>247</v>
      </c>
      <c r="L484" s="323"/>
      <c r="M484" s="374"/>
      <c r="N484" s="325" t="s">
        <v>438</v>
      </c>
      <c r="O484" s="326" t="s">
        <v>1597</v>
      </c>
      <c r="P484" s="327" t="s">
        <v>1597</v>
      </c>
      <c r="Q484" s="369" t="s">
        <v>1597</v>
      </c>
      <c r="R484" s="329" t="s">
        <v>1602</v>
      </c>
      <c r="S484" s="331" t="s">
        <v>13620</v>
      </c>
      <c r="T484" s="331" t="s">
        <v>13622</v>
      </c>
      <c r="U484" s="331" t="s">
        <v>16251</v>
      </c>
      <c r="V484" s="331" t="s">
        <v>13621</v>
      </c>
      <c r="W484" s="332" t="s">
        <v>1515</v>
      </c>
      <c r="X484" s="394" t="s">
        <v>12044</v>
      </c>
      <c r="Y484" s="394" t="s">
        <v>11201</v>
      </c>
      <c r="Z484" s="394" t="s">
        <v>11200</v>
      </c>
      <c r="AA484" s="394" t="s">
        <v>12045</v>
      </c>
      <c r="AB484" s="333"/>
      <c r="AC484" s="333"/>
      <c r="AD484" s="334" t="s">
        <v>1653</v>
      </c>
      <c r="AE484" s="391"/>
      <c r="AF484" s="706">
        <v>42075</v>
      </c>
      <c r="AG484" s="705">
        <v>42120</v>
      </c>
      <c r="AH484" s="417" t="s">
        <v>210</v>
      </c>
      <c r="AI484" s="392" t="s">
        <v>210</v>
      </c>
      <c r="AJ484" s="392" t="s">
        <v>210</v>
      </c>
      <c r="AK484" s="340" t="s">
        <v>210</v>
      </c>
      <c r="AL484" s="417" t="s">
        <v>210</v>
      </c>
      <c r="AM484" s="392" t="s">
        <v>210</v>
      </c>
      <c r="AN484" s="392" t="s">
        <v>210</v>
      </c>
      <c r="AO484" s="341" t="s">
        <v>210</v>
      </c>
      <c r="AP484" s="342"/>
      <c r="AQ484" s="343"/>
      <c r="AR484" s="370">
        <v>1014</v>
      </c>
      <c r="AS484" s="326">
        <v>120</v>
      </c>
      <c r="AT484" s="392">
        <v>1</v>
      </c>
      <c r="AU484" s="392"/>
      <c r="AV484" s="392">
        <v>1</v>
      </c>
      <c r="AW484" s="341"/>
      <c r="AX484" s="376"/>
      <c r="AY484" s="348"/>
      <c r="AZ484" s="377"/>
      <c r="BA484" s="374"/>
      <c r="BB484" s="374"/>
      <c r="BC484" s="374"/>
      <c r="BD484" s="374"/>
      <c r="BE484" s="374"/>
      <c r="BF484" s="374"/>
      <c r="BG484" s="374"/>
      <c r="BH484" s="378"/>
      <c r="BI484" s="376"/>
      <c r="BJ484" s="379"/>
      <c r="BK484" s="380"/>
      <c r="BL484" s="348"/>
      <c r="BM484" s="381"/>
      <c r="BN484" s="417" t="s">
        <v>210</v>
      </c>
      <c r="BO484" s="372"/>
      <c r="BP484" s="340" t="s">
        <v>210</v>
      </c>
      <c r="BQ484" s="360"/>
      <c r="BR484" s="361"/>
      <c r="BS484" s="361"/>
      <c r="BT484" s="361"/>
      <c r="BU484" s="342" t="s">
        <v>210</v>
      </c>
      <c r="BV484" s="342" t="s">
        <v>210</v>
      </c>
      <c r="BW484" s="341" t="s">
        <v>15</v>
      </c>
      <c r="BX484" s="361"/>
      <c r="BY484" s="362"/>
      <c r="BZ484" s="363"/>
      <c r="CA484" s="363"/>
      <c r="CB484" s="363"/>
      <c r="CC484" s="363"/>
    </row>
    <row r="485" spans="1:82" ht="22.5" customHeight="1">
      <c r="B485" s="442">
        <v>140034</v>
      </c>
      <c r="C485" s="747" t="s">
        <v>3099</v>
      </c>
      <c r="D485" s="439"/>
      <c r="E485" s="404"/>
      <c r="F485" s="405" t="s">
        <v>3231</v>
      </c>
      <c r="G485" s="324" t="s">
        <v>3232</v>
      </c>
      <c r="H485" s="324" t="s">
        <v>3233</v>
      </c>
      <c r="I485" s="326" t="s">
        <v>383</v>
      </c>
      <c r="J485" s="326" t="s">
        <v>399</v>
      </c>
      <c r="K485" s="326" t="s">
        <v>247</v>
      </c>
      <c r="L485" s="323"/>
      <c r="M485" s="374"/>
      <c r="N485" s="746" t="s">
        <v>521</v>
      </c>
      <c r="O485" s="326">
        <v>100</v>
      </c>
      <c r="P485" s="458">
        <v>1041.0999999999999</v>
      </c>
      <c r="Q485" s="459">
        <v>1050.54</v>
      </c>
      <c r="R485" s="329" t="s">
        <v>920</v>
      </c>
      <c r="S485" s="394" t="s">
        <v>13612</v>
      </c>
      <c r="T485" s="394" t="s">
        <v>13613</v>
      </c>
      <c r="U485" s="394" t="s">
        <v>13614</v>
      </c>
      <c r="V485" s="394" t="s">
        <v>13615</v>
      </c>
      <c r="W485" s="460" t="s">
        <v>3236</v>
      </c>
      <c r="X485" s="394" t="s">
        <v>13616</v>
      </c>
      <c r="Y485" s="394" t="s">
        <v>13618</v>
      </c>
      <c r="Z485" s="394" t="s">
        <v>13617</v>
      </c>
      <c r="AA485" s="394" t="s">
        <v>13619</v>
      </c>
      <c r="AB485" s="333"/>
      <c r="AC485" s="333"/>
      <c r="AD485" s="334" t="s">
        <v>949</v>
      </c>
      <c r="AE485" s="335" t="s">
        <v>210</v>
      </c>
      <c r="AF485" s="475">
        <v>42430</v>
      </c>
      <c r="AG485" s="748">
        <v>42474</v>
      </c>
      <c r="AH485" s="417" t="s">
        <v>210</v>
      </c>
      <c r="AI485" s="392" t="s">
        <v>210</v>
      </c>
      <c r="AJ485" s="392" t="s">
        <v>210</v>
      </c>
      <c r="AK485" s="340" t="s">
        <v>210</v>
      </c>
      <c r="AL485" s="417" t="s">
        <v>210</v>
      </c>
      <c r="AM485" s="392" t="s">
        <v>210</v>
      </c>
      <c r="AN485" s="392" t="s">
        <v>210</v>
      </c>
      <c r="AO485" s="341" t="s">
        <v>210</v>
      </c>
      <c r="AP485" s="342"/>
      <c r="AQ485" s="343"/>
      <c r="AR485" s="452">
        <v>1618</v>
      </c>
      <c r="AS485" s="324">
        <v>130</v>
      </c>
      <c r="AT485" s="432">
        <v>0.8</v>
      </c>
      <c r="AU485" s="432"/>
      <c r="AV485" s="432">
        <v>1</v>
      </c>
      <c r="AW485" s="490"/>
      <c r="AX485" s="376"/>
      <c r="AY485" s="348"/>
      <c r="AZ485" s="405" t="s">
        <v>3367</v>
      </c>
      <c r="BA485" s="324" t="s">
        <v>210</v>
      </c>
      <c r="BB485" s="324" t="s">
        <v>210</v>
      </c>
      <c r="BC485" s="324" t="s">
        <v>210</v>
      </c>
      <c r="BD485" s="324" t="s">
        <v>210</v>
      </c>
      <c r="BE485" s="324" t="s">
        <v>210</v>
      </c>
      <c r="BF485" s="324" t="s">
        <v>210</v>
      </c>
      <c r="BG485" s="324" t="s">
        <v>3719</v>
      </c>
      <c r="BH485" s="426" t="s">
        <v>3443</v>
      </c>
      <c r="BI485" s="410"/>
      <c r="BJ485" s="427" t="s">
        <v>3730</v>
      </c>
      <c r="BK485" s="412"/>
      <c r="BL485" s="413"/>
      <c r="BM485" s="414"/>
      <c r="BN485" s="321" t="s">
        <v>14</v>
      </c>
      <c r="BO485" s="372"/>
      <c r="BP485" s="340" t="s">
        <v>210</v>
      </c>
      <c r="BQ485" s="360"/>
      <c r="BR485" s="361"/>
      <c r="BS485" s="361"/>
      <c r="BT485" s="361"/>
      <c r="BU485" s="342" t="s">
        <v>210</v>
      </c>
      <c r="BV485" s="342" t="s">
        <v>210</v>
      </c>
      <c r="BW485" s="341" t="s">
        <v>15</v>
      </c>
      <c r="BX485" s="361"/>
      <c r="BY485" s="457"/>
      <c r="BZ485" s="363"/>
      <c r="CA485" s="363"/>
      <c r="CB485" s="363"/>
      <c r="CC485" s="363"/>
    </row>
    <row r="486" spans="1:82" ht="22.5" customHeight="1">
      <c r="B486" s="442">
        <v>140052</v>
      </c>
      <c r="C486" s="747" t="s">
        <v>2954</v>
      </c>
      <c r="D486" s="439"/>
      <c r="E486" s="404"/>
      <c r="F486" s="405" t="s">
        <v>1058</v>
      </c>
      <c r="G486" s="324" t="s">
        <v>3024</v>
      </c>
      <c r="H486" s="324" t="s">
        <v>3025</v>
      </c>
      <c r="I486" s="326" t="s">
        <v>383</v>
      </c>
      <c r="J486" s="326" t="s">
        <v>387</v>
      </c>
      <c r="K486" s="326" t="s">
        <v>977</v>
      </c>
      <c r="L486" s="323"/>
      <c r="M486" s="374"/>
      <c r="N486" s="325" t="s">
        <v>438</v>
      </c>
      <c r="O486" s="324">
        <v>30</v>
      </c>
      <c r="P486" s="327" t="s">
        <v>210</v>
      </c>
      <c r="Q486" s="369" t="s">
        <v>210</v>
      </c>
      <c r="R486" s="420" t="s">
        <v>2998</v>
      </c>
      <c r="S486" s="331" t="s">
        <v>12911</v>
      </c>
      <c r="T486" s="331" t="s">
        <v>13568</v>
      </c>
      <c r="U486" s="330"/>
      <c r="V486" s="331" t="s">
        <v>12910</v>
      </c>
      <c r="W486" s="460" t="s">
        <v>3016</v>
      </c>
      <c r="X486" s="331" t="s">
        <v>12915</v>
      </c>
      <c r="Y486" s="331" t="s">
        <v>12914</v>
      </c>
      <c r="Z486" s="331" t="s">
        <v>12913</v>
      </c>
      <c r="AA486" s="331" t="s">
        <v>12912</v>
      </c>
      <c r="AB486" s="416"/>
      <c r="AC486" s="416"/>
      <c r="AD486" s="334" t="s">
        <v>3094</v>
      </c>
      <c r="AE486" s="499" t="s">
        <v>1720</v>
      </c>
      <c r="AF486" s="475">
        <v>42263</v>
      </c>
      <c r="AG486" s="748">
        <v>42346</v>
      </c>
      <c r="AH486" s="417" t="s">
        <v>2963</v>
      </c>
      <c r="AI486" s="392" t="s">
        <v>210</v>
      </c>
      <c r="AJ486" s="392" t="s">
        <v>210</v>
      </c>
      <c r="AK486" s="340" t="s">
        <v>210</v>
      </c>
      <c r="AL486" s="417" t="s">
        <v>210</v>
      </c>
      <c r="AM486" s="392" t="s">
        <v>210</v>
      </c>
      <c r="AN486" s="392" t="s">
        <v>210</v>
      </c>
      <c r="AO486" s="341" t="s">
        <v>210</v>
      </c>
      <c r="AP486" s="342"/>
      <c r="AQ486" s="343"/>
      <c r="AR486" s="452">
        <v>1496</v>
      </c>
      <c r="AS486" s="326">
        <v>100</v>
      </c>
      <c r="AT486" s="392">
        <v>1</v>
      </c>
      <c r="AU486" s="392"/>
      <c r="AV486" s="392">
        <v>1.5</v>
      </c>
      <c r="AW486" s="341"/>
      <c r="AX486" s="376"/>
      <c r="AY486" s="348"/>
      <c r="AZ486" s="407"/>
      <c r="BA486" s="408"/>
      <c r="BB486" s="408"/>
      <c r="BC486" s="408"/>
      <c r="BD486" s="408"/>
      <c r="BE486" s="408"/>
      <c r="BF486" s="408"/>
      <c r="BG486" s="408"/>
      <c r="BH486" s="409"/>
      <c r="BI486" s="410"/>
      <c r="BJ486" s="411"/>
      <c r="BK486" s="412"/>
      <c r="BL486" s="413"/>
      <c r="BM486" s="414"/>
      <c r="BN486" s="321" t="s">
        <v>14</v>
      </c>
      <c r="BO486" s="372"/>
      <c r="BP486" s="373" t="s">
        <v>14</v>
      </c>
      <c r="BQ486" s="360"/>
      <c r="BR486" s="361"/>
      <c r="BS486" s="361"/>
      <c r="BT486" s="361"/>
      <c r="BU486" s="342" t="s">
        <v>210</v>
      </c>
      <c r="BV486" s="342" t="s">
        <v>210</v>
      </c>
      <c r="BW486" s="341" t="s">
        <v>15</v>
      </c>
      <c r="BX486" s="361"/>
      <c r="BY486" s="457"/>
      <c r="BZ486" s="363"/>
      <c r="CA486" s="363"/>
      <c r="CB486" s="363"/>
      <c r="CC486" s="363"/>
    </row>
    <row r="487" spans="1:82" ht="22.5" customHeight="1">
      <c r="B487" s="442">
        <v>140053</v>
      </c>
      <c r="C487" s="747" t="s">
        <v>3836</v>
      </c>
      <c r="D487" s="439"/>
      <c r="E487" s="404"/>
      <c r="F487" s="405" t="s">
        <v>1058</v>
      </c>
      <c r="G487" s="324" t="s">
        <v>3848</v>
      </c>
      <c r="H487" s="324" t="s">
        <v>3849</v>
      </c>
      <c r="I487" s="326" t="s">
        <v>383</v>
      </c>
      <c r="J487" s="326" t="s">
        <v>399</v>
      </c>
      <c r="K487" s="326" t="s">
        <v>917</v>
      </c>
      <c r="L487" s="361"/>
      <c r="M487" s="374"/>
      <c r="N487" s="325" t="s">
        <v>521</v>
      </c>
      <c r="O487" s="326">
        <v>30</v>
      </c>
      <c r="P487" s="458">
        <v>6343</v>
      </c>
      <c r="Q487" s="459">
        <v>6379</v>
      </c>
      <c r="R487" s="420" t="s">
        <v>13567</v>
      </c>
      <c r="S487" s="394" t="s">
        <v>12574</v>
      </c>
      <c r="T487" s="394" t="s">
        <v>12575</v>
      </c>
      <c r="U487" s="400"/>
      <c r="V487" s="394" t="s">
        <v>12576</v>
      </c>
      <c r="W487" s="460" t="s">
        <v>479</v>
      </c>
      <c r="X487" s="394" t="s">
        <v>12574</v>
      </c>
      <c r="Y487" s="394" t="s">
        <v>12575</v>
      </c>
      <c r="Z487" s="400"/>
      <c r="AA487" s="394" t="s">
        <v>12576</v>
      </c>
      <c r="AB487" s="416"/>
      <c r="AC487" s="416"/>
      <c r="AD487" s="447" t="s">
        <v>5523</v>
      </c>
      <c r="AE487" s="335" t="s">
        <v>210</v>
      </c>
      <c r="AF487" s="475">
        <v>42573</v>
      </c>
      <c r="AG487" s="748">
        <v>42870</v>
      </c>
      <c r="AH487" s="417" t="s">
        <v>210</v>
      </c>
      <c r="AI487" s="392" t="s">
        <v>210</v>
      </c>
      <c r="AJ487" s="392" t="s">
        <v>210</v>
      </c>
      <c r="AK487" s="340" t="s">
        <v>210</v>
      </c>
      <c r="AL487" s="417" t="s">
        <v>210</v>
      </c>
      <c r="AM487" s="392" t="s">
        <v>210</v>
      </c>
      <c r="AN487" s="392" t="s">
        <v>210</v>
      </c>
      <c r="AO487" s="341" t="s">
        <v>210</v>
      </c>
      <c r="AP487" s="342"/>
      <c r="AQ487" s="343"/>
      <c r="AR487" s="452">
        <v>8133</v>
      </c>
      <c r="AS487" s="324">
        <v>100</v>
      </c>
      <c r="AT487" s="392">
        <v>1</v>
      </c>
      <c r="AU487" s="392"/>
      <c r="AV487" s="392">
        <v>1.5</v>
      </c>
      <c r="AW487" s="341"/>
      <c r="AX487" s="410"/>
      <c r="AY487" s="413"/>
      <c r="AZ487" s="405" t="s">
        <v>622</v>
      </c>
      <c r="BA487" s="324" t="s">
        <v>3896</v>
      </c>
      <c r="BB487" s="324" t="s">
        <v>3372</v>
      </c>
      <c r="BC487" s="324" t="s">
        <v>3897</v>
      </c>
      <c r="BD487" s="324" t="s">
        <v>3898</v>
      </c>
      <c r="BE487" s="324" t="s">
        <v>3475</v>
      </c>
      <c r="BF487" s="324" t="s">
        <v>3424</v>
      </c>
      <c r="BG487" s="324" t="s">
        <v>3459</v>
      </c>
      <c r="BH487" s="426" t="s">
        <v>3899</v>
      </c>
      <c r="BI487" s="410"/>
      <c r="BJ487" s="427" t="s">
        <v>9793</v>
      </c>
      <c r="BK487" s="412"/>
      <c r="BL487" s="413"/>
      <c r="BM487" s="414"/>
      <c r="BN487" s="321" t="s">
        <v>14</v>
      </c>
      <c r="BO487" s="372"/>
      <c r="BP487" s="373" t="s">
        <v>14</v>
      </c>
      <c r="BQ487" s="360"/>
      <c r="BR487" s="361"/>
      <c r="BS487" s="361"/>
      <c r="BT487" s="361"/>
      <c r="BU487" s="342" t="s">
        <v>210</v>
      </c>
      <c r="BV487" s="342" t="s">
        <v>210</v>
      </c>
      <c r="BW487" s="341" t="s">
        <v>210</v>
      </c>
      <c r="BX487" s="361"/>
      <c r="BY487" s="457"/>
      <c r="BZ487" s="363"/>
      <c r="CA487" s="363"/>
      <c r="CB487" s="363"/>
      <c r="CC487" s="363"/>
    </row>
    <row r="488" spans="1:82" s="465" customFormat="1" ht="22.5" customHeight="1">
      <c r="A488" s="287"/>
      <c r="B488" s="749">
        <v>140060</v>
      </c>
      <c r="C488" s="750" t="s">
        <v>2832</v>
      </c>
      <c r="D488" s="751"/>
      <c r="E488" s="752"/>
      <c r="F488" s="753"/>
      <c r="G488" s="754"/>
      <c r="H488" s="754"/>
      <c r="I488" s="754"/>
      <c r="J488" s="754"/>
      <c r="K488" s="754"/>
      <c r="L488" s="688"/>
      <c r="M488" s="754"/>
      <c r="N488" s="755"/>
      <c r="O488" s="754"/>
      <c r="P488" s="665" t="s">
        <v>210</v>
      </c>
      <c r="Q488" s="666" t="s">
        <v>210</v>
      </c>
      <c r="R488" s="756"/>
      <c r="S488" s="708"/>
      <c r="T488" s="708"/>
      <c r="U488" s="708"/>
      <c r="V488" s="708"/>
      <c r="W488" s="757" t="s">
        <v>2995</v>
      </c>
      <c r="X488" s="708" t="s">
        <v>13610</v>
      </c>
      <c r="Y488" s="708"/>
      <c r="Z488" s="708"/>
      <c r="AA488" s="708" t="s">
        <v>13611</v>
      </c>
      <c r="AB488" s="758"/>
      <c r="AC488" s="758"/>
      <c r="AD488" s="759"/>
      <c r="AE488" s="760"/>
      <c r="AF488" s="761"/>
      <c r="AG488" s="674" t="s">
        <v>10514</v>
      </c>
      <c r="AH488" s="675" t="s">
        <v>210</v>
      </c>
      <c r="AI488" s="676" t="s">
        <v>210</v>
      </c>
      <c r="AJ488" s="676" t="s">
        <v>210</v>
      </c>
      <c r="AK488" s="677" t="s">
        <v>210</v>
      </c>
      <c r="AL488" s="675" t="s">
        <v>210</v>
      </c>
      <c r="AM488" s="676" t="s">
        <v>210</v>
      </c>
      <c r="AN488" s="676" t="s">
        <v>210</v>
      </c>
      <c r="AO488" s="678" t="s">
        <v>210</v>
      </c>
      <c r="AP488" s="663"/>
      <c r="AQ488" s="762"/>
      <c r="AR488" s="763">
        <v>775</v>
      </c>
      <c r="AS488" s="662">
        <v>30</v>
      </c>
      <c r="AT488" s="676">
        <v>1</v>
      </c>
      <c r="AU488" s="676"/>
      <c r="AV488" s="676">
        <v>1</v>
      </c>
      <c r="AW488" s="764"/>
      <c r="AX488" s="765"/>
      <c r="AY488" s="766"/>
      <c r="AZ488" s="753"/>
      <c r="BA488" s="754"/>
      <c r="BB488" s="754"/>
      <c r="BC488" s="754"/>
      <c r="BD488" s="754"/>
      <c r="BE488" s="754"/>
      <c r="BF488" s="754"/>
      <c r="BG488" s="754"/>
      <c r="BH488" s="767"/>
      <c r="BI488" s="753"/>
      <c r="BJ488" s="768"/>
      <c r="BK488" s="769"/>
      <c r="BL488" s="766"/>
      <c r="BM488" s="770"/>
      <c r="BN488" s="765"/>
      <c r="BO488" s="771"/>
      <c r="BP488" s="772"/>
      <c r="BQ488" s="773"/>
      <c r="BR488" s="688"/>
      <c r="BS488" s="688"/>
      <c r="BT488" s="688"/>
      <c r="BU488" s="663" t="s">
        <v>5510</v>
      </c>
      <c r="BV488" s="663" t="s">
        <v>5510</v>
      </c>
      <c r="BW488" s="678" t="s">
        <v>15</v>
      </c>
      <c r="BX488" s="688"/>
      <c r="BY488" s="774"/>
      <c r="BZ488" s="483"/>
      <c r="CA488" s="483"/>
      <c r="CB488" s="483"/>
      <c r="CC488" s="483"/>
      <c r="CD488" s="484"/>
    </row>
    <row r="489" spans="1:82" ht="22.5" customHeight="1">
      <c r="B489" s="442">
        <v>140061</v>
      </c>
      <c r="C489" s="747" t="s">
        <v>2935</v>
      </c>
      <c r="D489" s="439"/>
      <c r="E489" s="404"/>
      <c r="F489" s="405" t="s">
        <v>4072</v>
      </c>
      <c r="G489" s="324" t="s">
        <v>2936</v>
      </c>
      <c r="H489" s="324" t="s">
        <v>2937</v>
      </c>
      <c r="I489" s="326" t="s">
        <v>383</v>
      </c>
      <c r="J489" s="326" t="s">
        <v>387</v>
      </c>
      <c r="K489" s="326" t="s">
        <v>917</v>
      </c>
      <c r="L489" s="323"/>
      <c r="M489" s="408"/>
      <c r="N489" s="444" t="s">
        <v>438</v>
      </c>
      <c r="O489" s="324">
        <v>29</v>
      </c>
      <c r="P489" s="458">
        <v>3248</v>
      </c>
      <c r="Q489" s="459">
        <v>2267</v>
      </c>
      <c r="R489" s="329" t="s">
        <v>432</v>
      </c>
      <c r="S489" s="331" t="s">
        <v>11079</v>
      </c>
      <c r="T489" s="331" t="s">
        <v>11079</v>
      </c>
      <c r="U489" s="331" t="s">
        <v>11079</v>
      </c>
      <c r="V489" s="331" t="s">
        <v>210</v>
      </c>
      <c r="W489" s="332" t="s">
        <v>432</v>
      </c>
      <c r="X489" s="331" t="s">
        <v>11079</v>
      </c>
      <c r="Y489" s="331" t="s">
        <v>11080</v>
      </c>
      <c r="Z489" s="331" t="s">
        <v>11080</v>
      </c>
      <c r="AA489" s="331" t="s">
        <v>210</v>
      </c>
      <c r="AB489" s="416"/>
      <c r="AC489" s="416"/>
      <c r="AD489" s="334" t="s">
        <v>2333</v>
      </c>
      <c r="AE489" s="335" t="s">
        <v>245</v>
      </c>
      <c r="AF489" s="775"/>
      <c r="AG489" s="748">
        <v>42423</v>
      </c>
      <c r="AH489" s="453">
        <v>21.1</v>
      </c>
      <c r="AI489" s="432">
        <v>38</v>
      </c>
      <c r="AJ489" s="432">
        <v>21.1</v>
      </c>
      <c r="AK489" s="455">
        <v>80.2</v>
      </c>
      <c r="AL489" s="417" t="s">
        <v>210</v>
      </c>
      <c r="AM489" s="392" t="s">
        <v>210</v>
      </c>
      <c r="AN489" s="392" t="s">
        <v>210</v>
      </c>
      <c r="AO489" s="341" t="s">
        <v>210</v>
      </c>
      <c r="AP489" s="342"/>
      <c r="AQ489" s="343"/>
      <c r="AR489" s="452">
        <v>3012</v>
      </c>
      <c r="AS489" s="326">
        <v>100</v>
      </c>
      <c r="AT489" s="432">
        <v>1</v>
      </c>
      <c r="AU489" s="432"/>
      <c r="AV489" s="432">
        <v>1.5</v>
      </c>
      <c r="AW489" s="490"/>
      <c r="AX489" s="376"/>
      <c r="AY489" s="348"/>
      <c r="AZ489" s="407"/>
      <c r="BA489" s="408"/>
      <c r="BB489" s="408"/>
      <c r="BC489" s="408"/>
      <c r="BD489" s="408"/>
      <c r="BE489" s="408"/>
      <c r="BF489" s="408"/>
      <c r="BG489" s="408"/>
      <c r="BH489" s="409"/>
      <c r="BI489" s="407"/>
      <c r="BJ489" s="411"/>
      <c r="BK489" s="412"/>
      <c r="BL489" s="413"/>
      <c r="BM489" s="414"/>
      <c r="BN489" s="321" t="s">
        <v>14</v>
      </c>
      <c r="BO489" s="372"/>
      <c r="BP489" s="373" t="s">
        <v>14</v>
      </c>
      <c r="BQ489" s="360"/>
      <c r="BR489" s="361"/>
      <c r="BS489" s="361"/>
      <c r="BT489" s="361"/>
      <c r="BU489" s="342" t="s">
        <v>210</v>
      </c>
      <c r="BV489" s="342" t="s">
        <v>210</v>
      </c>
      <c r="BW489" s="341" t="s">
        <v>15</v>
      </c>
      <c r="BX489" s="361"/>
      <c r="BY489" s="457"/>
      <c r="BZ489" s="363"/>
      <c r="CA489" s="363"/>
      <c r="CB489" s="363"/>
      <c r="CC489" s="363"/>
    </row>
    <row r="490" spans="1:82" ht="22.5" customHeight="1">
      <c r="B490" s="365">
        <v>150002</v>
      </c>
      <c r="C490" s="366" t="s">
        <v>1725</v>
      </c>
      <c r="D490" s="419"/>
      <c r="E490" s="368"/>
      <c r="F490" s="321" t="s">
        <v>2355</v>
      </c>
      <c r="G490" s="326" t="s">
        <v>1817</v>
      </c>
      <c r="H490" s="326" t="s">
        <v>1818</v>
      </c>
      <c r="I490" s="326" t="s">
        <v>383</v>
      </c>
      <c r="J490" s="326" t="s">
        <v>2354</v>
      </c>
      <c r="K490" s="326" t="s">
        <v>247</v>
      </c>
      <c r="L490" s="323"/>
      <c r="M490" s="374"/>
      <c r="N490" s="325" t="s">
        <v>438</v>
      </c>
      <c r="O490" s="326">
        <v>30</v>
      </c>
      <c r="P490" s="327">
        <v>3478.51</v>
      </c>
      <c r="Q490" s="369">
        <v>1723.08</v>
      </c>
      <c r="R490" s="329" t="s">
        <v>432</v>
      </c>
      <c r="S490" s="331" t="s">
        <v>11079</v>
      </c>
      <c r="T490" s="331" t="s">
        <v>11079</v>
      </c>
      <c r="U490" s="331" t="s">
        <v>11079</v>
      </c>
      <c r="V490" s="331" t="s">
        <v>210</v>
      </c>
      <c r="W490" s="332" t="s">
        <v>432</v>
      </c>
      <c r="X490" s="331" t="s">
        <v>11079</v>
      </c>
      <c r="Y490" s="331" t="s">
        <v>11080</v>
      </c>
      <c r="Z490" s="331" t="s">
        <v>11080</v>
      </c>
      <c r="AA490" s="331" t="s">
        <v>210</v>
      </c>
      <c r="AB490" s="416"/>
      <c r="AC490" s="416"/>
      <c r="AD490" s="334" t="s">
        <v>2333</v>
      </c>
      <c r="AE490" s="335" t="s">
        <v>231</v>
      </c>
      <c r="AF490" s="440"/>
      <c r="AG490" s="441"/>
      <c r="AH490" s="376"/>
      <c r="AI490" s="347"/>
      <c r="AJ490" s="347"/>
      <c r="AK490" s="371"/>
      <c r="AL490" s="417" t="s">
        <v>210</v>
      </c>
      <c r="AM490" s="392" t="s">
        <v>210</v>
      </c>
      <c r="AN490" s="392" t="s">
        <v>210</v>
      </c>
      <c r="AO490" s="341" t="s">
        <v>210</v>
      </c>
      <c r="AP490" s="342"/>
      <c r="AQ490" s="343"/>
      <c r="AR490" s="370">
        <v>1835</v>
      </c>
      <c r="AS490" s="326">
        <v>150</v>
      </c>
      <c r="AT490" s="392">
        <v>1</v>
      </c>
      <c r="AU490" s="392"/>
      <c r="AV490" s="392">
        <v>1.2</v>
      </c>
      <c r="AW490" s="341"/>
      <c r="AX490" s="376"/>
      <c r="AY490" s="348"/>
      <c r="AZ490" s="377"/>
      <c r="BA490" s="374"/>
      <c r="BB490" s="374"/>
      <c r="BC490" s="374"/>
      <c r="BD490" s="374"/>
      <c r="BE490" s="374"/>
      <c r="BF490" s="374"/>
      <c r="BG490" s="374"/>
      <c r="BH490" s="378"/>
      <c r="BI490" s="377"/>
      <c r="BJ490" s="379"/>
      <c r="BK490" s="380"/>
      <c r="BL490" s="348"/>
      <c r="BM490" s="381"/>
      <c r="BN490" s="321" t="s">
        <v>14</v>
      </c>
      <c r="BO490" s="372"/>
      <c r="BP490" s="373" t="s">
        <v>14</v>
      </c>
      <c r="BQ490" s="360"/>
      <c r="BR490" s="361"/>
      <c r="BS490" s="361"/>
      <c r="BT490" s="361"/>
      <c r="BU490" s="342" t="s">
        <v>210</v>
      </c>
      <c r="BV490" s="342" t="s">
        <v>210</v>
      </c>
      <c r="BW490" s="341" t="s">
        <v>210</v>
      </c>
      <c r="BX490" s="361"/>
      <c r="BY490" s="362"/>
      <c r="BZ490" s="363"/>
      <c r="CA490" s="363"/>
      <c r="CB490" s="363"/>
      <c r="CC490" s="363"/>
    </row>
    <row r="491" spans="1:82" s="465" customFormat="1" ht="22.5" customHeight="1">
      <c r="A491" s="287"/>
      <c r="B491" s="657">
        <v>150003</v>
      </c>
      <c r="C491" s="658" t="s">
        <v>1646</v>
      </c>
      <c r="D491" s="707"/>
      <c r="E491" s="660"/>
      <c r="F491" s="661" t="s">
        <v>483</v>
      </c>
      <c r="G491" s="662" t="s">
        <v>1778</v>
      </c>
      <c r="H491" s="662" t="s">
        <v>1779</v>
      </c>
      <c r="I491" s="662" t="s">
        <v>383</v>
      </c>
      <c r="J491" s="662" t="s">
        <v>399</v>
      </c>
      <c r="K491" s="662" t="s">
        <v>1647</v>
      </c>
      <c r="L491" s="663"/>
      <c r="M491" s="662"/>
      <c r="N491" s="664" t="s">
        <v>437</v>
      </c>
      <c r="O491" s="662">
        <v>150</v>
      </c>
      <c r="P491" s="665">
        <v>810</v>
      </c>
      <c r="Q491" s="666">
        <v>810</v>
      </c>
      <c r="R491" s="776" t="s">
        <v>2907</v>
      </c>
      <c r="S491" s="669" t="s">
        <v>13607</v>
      </c>
      <c r="T491" s="669" t="s">
        <v>13608</v>
      </c>
      <c r="U491" s="669"/>
      <c r="V491" s="669" t="s">
        <v>13609</v>
      </c>
      <c r="W491" s="669" t="s">
        <v>4349</v>
      </c>
      <c r="X491" s="708" t="s">
        <v>11548</v>
      </c>
      <c r="Y491" s="708" t="s">
        <v>11549</v>
      </c>
      <c r="Z491" s="708" t="s">
        <v>16493</v>
      </c>
      <c r="AA491" s="708" t="s">
        <v>11550</v>
      </c>
      <c r="AB491" s="670"/>
      <c r="AC491" s="670"/>
      <c r="AD491" s="671"/>
      <c r="AE491" s="672" t="s">
        <v>210</v>
      </c>
      <c r="AF491" s="673">
        <v>42103</v>
      </c>
      <c r="AG491" s="674" t="s">
        <v>10514</v>
      </c>
      <c r="AH491" s="675" t="s">
        <v>210</v>
      </c>
      <c r="AI491" s="676" t="s">
        <v>210</v>
      </c>
      <c r="AJ491" s="676" t="s">
        <v>210</v>
      </c>
      <c r="AK491" s="677" t="s">
        <v>210</v>
      </c>
      <c r="AL491" s="675" t="s">
        <v>210</v>
      </c>
      <c r="AM491" s="676" t="s">
        <v>210</v>
      </c>
      <c r="AN491" s="676" t="s">
        <v>210</v>
      </c>
      <c r="AO491" s="678" t="s">
        <v>210</v>
      </c>
      <c r="AP491" s="663"/>
      <c r="AQ491" s="679"/>
      <c r="AR491" s="680">
        <v>1310</v>
      </c>
      <c r="AS491" s="662">
        <v>100</v>
      </c>
      <c r="AT491" s="676">
        <v>1</v>
      </c>
      <c r="AU491" s="676"/>
      <c r="AV491" s="676">
        <v>1.2</v>
      </c>
      <c r="AW491" s="678"/>
      <c r="AX491" s="675"/>
      <c r="AY491" s="681"/>
      <c r="AZ491" s="661"/>
      <c r="BA491" s="662"/>
      <c r="BB491" s="662"/>
      <c r="BC491" s="662"/>
      <c r="BD491" s="662"/>
      <c r="BE491" s="662"/>
      <c r="BF491" s="662"/>
      <c r="BG491" s="662"/>
      <c r="BH491" s="682"/>
      <c r="BI491" s="661"/>
      <c r="BJ491" s="683"/>
      <c r="BK491" s="684"/>
      <c r="BL491" s="681"/>
      <c r="BM491" s="685"/>
      <c r="BN491" s="661" t="s">
        <v>14</v>
      </c>
      <c r="BO491" s="686"/>
      <c r="BP491" s="677" t="s">
        <v>210</v>
      </c>
      <c r="BQ491" s="687"/>
      <c r="BR491" s="663"/>
      <c r="BS491" s="663"/>
      <c r="BT491" s="663"/>
      <c r="BU491" s="663" t="s">
        <v>5510</v>
      </c>
      <c r="BV491" s="663" t="s">
        <v>5510</v>
      </c>
      <c r="BW491" s="678" t="s">
        <v>15</v>
      </c>
      <c r="BX491" s="688"/>
      <c r="BY491" s="689"/>
      <c r="BZ491" s="483"/>
      <c r="CA491" s="483"/>
      <c r="CB491" s="483"/>
      <c r="CC491" s="483"/>
      <c r="CD491" s="484"/>
    </row>
    <row r="492" spans="1:82" ht="22.5" customHeight="1">
      <c r="B492" s="365">
        <v>150013</v>
      </c>
      <c r="C492" s="366" t="s">
        <v>1847</v>
      </c>
      <c r="D492" s="419"/>
      <c r="E492" s="368"/>
      <c r="F492" s="321" t="s">
        <v>1043</v>
      </c>
      <c r="G492" s="326" t="s">
        <v>1770</v>
      </c>
      <c r="H492" s="326" t="s">
        <v>1848</v>
      </c>
      <c r="I492" s="326" t="s">
        <v>383</v>
      </c>
      <c r="J492" s="326" t="s">
        <v>387</v>
      </c>
      <c r="K492" s="326" t="s">
        <v>917</v>
      </c>
      <c r="L492" s="323"/>
      <c r="M492" s="408"/>
      <c r="N492" s="325" t="s">
        <v>438</v>
      </c>
      <c r="O492" s="327">
        <v>70</v>
      </c>
      <c r="P492" s="327" t="s">
        <v>210</v>
      </c>
      <c r="Q492" s="369" t="s">
        <v>210</v>
      </c>
      <c r="R492" s="777" t="s">
        <v>2293</v>
      </c>
      <c r="S492" s="394" t="s">
        <v>13670</v>
      </c>
      <c r="T492" s="645"/>
      <c r="U492" s="645"/>
      <c r="V492" s="332" t="s">
        <v>13671</v>
      </c>
      <c r="W492" s="778"/>
      <c r="X492" s="332"/>
      <c r="Y492" s="332"/>
      <c r="Z492" s="332"/>
      <c r="AA492" s="332"/>
      <c r="AB492" s="333"/>
      <c r="AC492" s="416"/>
      <c r="AD492" s="375"/>
      <c r="AE492" s="335" t="s">
        <v>2722</v>
      </c>
      <c r="AF492" s="706">
        <v>42172</v>
      </c>
      <c r="AG492" s="705">
        <v>42228</v>
      </c>
      <c r="AH492" s="417" t="s">
        <v>210</v>
      </c>
      <c r="AI492" s="392" t="s">
        <v>210</v>
      </c>
      <c r="AJ492" s="392" t="s">
        <v>210</v>
      </c>
      <c r="AK492" s="340" t="s">
        <v>210</v>
      </c>
      <c r="AL492" s="417" t="s">
        <v>210</v>
      </c>
      <c r="AM492" s="392" t="s">
        <v>210</v>
      </c>
      <c r="AN492" s="392" t="s">
        <v>210</v>
      </c>
      <c r="AO492" s="341" t="s">
        <v>210</v>
      </c>
      <c r="AP492" s="342"/>
      <c r="AQ492" s="343"/>
      <c r="AR492" s="370">
        <v>1945</v>
      </c>
      <c r="AS492" s="326">
        <v>150</v>
      </c>
      <c r="AT492" s="392">
        <v>0.8</v>
      </c>
      <c r="AU492" s="392"/>
      <c r="AV492" s="392">
        <v>1.4</v>
      </c>
      <c r="AW492" s="341"/>
      <c r="AX492" s="376"/>
      <c r="AY492" s="348"/>
      <c r="AZ492" s="377"/>
      <c r="BA492" s="374"/>
      <c r="BB492" s="374"/>
      <c r="BC492" s="374"/>
      <c r="BD492" s="374"/>
      <c r="BE492" s="374"/>
      <c r="BF492" s="374"/>
      <c r="BG492" s="374"/>
      <c r="BH492" s="378"/>
      <c r="BI492" s="377"/>
      <c r="BJ492" s="379"/>
      <c r="BK492" s="380"/>
      <c r="BL492" s="348"/>
      <c r="BM492" s="381"/>
      <c r="BN492" s="417" t="s">
        <v>210</v>
      </c>
      <c r="BO492" s="372"/>
      <c r="BP492" s="340" t="s">
        <v>210</v>
      </c>
      <c r="BQ492" s="360"/>
      <c r="BR492" s="361"/>
      <c r="BS492" s="361"/>
      <c r="BT492" s="361"/>
      <c r="BU492" s="342" t="s">
        <v>210</v>
      </c>
      <c r="BV492" s="342" t="s">
        <v>210</v>
      </c>
      <c r="BW492" s="341" t="s">
        <v>15</v>
      </c>
      <c r="BX492" s="361"/>
      <c r="BY492" s="362"/>
      <c r="BZ492" s="363"/>
      <c r="CA492" s="363"/>
      <c r="CB492" s="363"/>
      <c r="CC492" s="363"/>
    </row>
    <row r="493" spans="1:82" ht="22.5" customHeight="1">
      <c r="B493" s="365">
        <v>150033</v>
      </c>
      <c r="C493" s="366" t="s">
        <v>1614</v>
      </c>
      <c r="D493" s="419"/>
      <c r="E493" s="368"/>
      <c r="F493" s="321" t="s">
        <v>1615</v>
      </c>
      <c r="G493" s="326" t="s">
        <v>1780</v>
      </c>
      <c r="H493" s="326" t="s">
        <v>1781</v>
      </c>
      <c r="I493" s="326" t="s">
        <v>1616</v>
      </c>
      <c r="J493" s="326" t="s">
        <v>216</v>
      </c>
      <c r="K493" s="326" t="s">
        <v>1617</v>
      </c>
      <c r="L493" s="323"/>
      <c r="M493" s="408"/>
      <c r="N493" s="325" t="s">
        <v>1618</v>
      </c>
      <c r="O493" s="326" t="s">
        <v>210</v>
      </c>
      <c r="P493" s="327">
        <v>1101</v>
      </c>
      <c r="Q493" s="369">
        <v>385</v>
      </c>
      <c r="R493" s="777" t="s">
        <v>1620</v>
      </c>
      <c r="S493" s="394" t="s">
        <v>12303</v>
      </c>
      <c r="T493" s="394" t="s">
        <v>12304</v>
      </c>
      <c r="U493" s="394" t="s">
        <v>16226</v>
      </c>
      <c r="V493" s="394" t="s">
        <v>12305</v>
      </c>
      <c r="W493" s="332" t="s">
        <v>1619</v>
      </c>
      <c r="X493" s="332" t="s">
        <v>13605</v>
      </c>
      <c r="Y493" s="645"/>
      <c r="Z493" s="645"/>
      <c r="AA493" s="332" t="s">
        <v>13606</v>
      </c>
      <c r="AB493" s="333"/>
      <c r="AC493" s="333"/>
      <c r="AD493" s="334" t="s">
        <v>2031</v>
      </c>
      <c r="AE493" s="335" t="s">
        <v>210</v>
      </c>
      <c r="AF493" s="706">
        <v>42100</v>
      </c>
      <c r="AG493" s="705">
        <v>42193</v>
      </c>
      <c r="AH493" s="417" t="s">
        <v>210</v>
      </c>
      <c r="AI493" s="392" t="s">
        <v>210</v>
      </c>
      <c r="AJ493" s="392" t="s">
        <v>210</v>
      </c>
      <c r="AK493" s="340" t="s">
        <v>210</v>
      </c>
      <c r="AL493" s="417" t="s">
        <v>210</v>
      </c>
      <c r="AM493" s="425" t="s">
        <v>8761</v>
      </c>
      <c r="AN493" s="392" t="s">
        <v>210</v>
      </c>
      <c r="AO493" s="341" t="s">
        <v>210</v>
      </c>
      <c r="AP493" s="418"/>
      <c r="AQ493" s="343"/>
      <c r="AR493" s="370">
        <v>499</v>
      </c>
      <c r="AS493" s="326">
        <v>80</v>
      </c>
      <c r="AT493" s="392">
        <v>1.3</v>
      </c>
      <c r="AU493" s="392"/>
      <c r="AV493" s="392">
        <v>1</v>
      </c>
      <c r="AW493" s="341"/>
      <c r="AX493" s="376"/>
      <c r="AY493" s="348"/>
      <c r="AZ493" s="377"/>
      <c r="BA493" s="374"/>
      <c r="BB493" s="374"/>
      <c r="BC493" s="374"/>
      <c r="BD493" s="374"/>
      <c r="BE493" s="374"/>
      <c r="BF493" s="374"/>
      <c r="BG493" s="374"/>
      <c r="BH493" s="378"/>
      <c r="BI493" s="377"/>
      <c r="BJ493" s="379"/>
      <c r="BK493" s="380"/>
      <c r="BL493" s="348"/>
      <c r="BM493" s="381"/>
      <c r="BN493" s="321" t="s">
        <v>14</v>
      </c>
      <c r="BO493" s="372"/>
      <c r="BP493" s="340" t="s">
        <v>210</v>
      </c>
      <c r="BQ493" s="360"/>
      <c r="BR493" s="361"/>
      <c r="BS493" s="361"/>
      <c r="BT493" s="361"/>
      <c r="BU493" s="361"/>
      <c r="BV493" s="418" t="s">
        <v>5411</v>
      </c>
      <c r="BW493" s="341" t="s">
        <v>15</v>
      </c>
      <c r="BX493" s="361"/>
      <c r="BY493" s="362"/>
      <c r="BZ493" s="363"/>
      <c r="CA493" s="363"/>
      <c r="CB493" s="363"/>
      <c r="CC493" s="363"/>
    </row>
    <row r="494" spans="1:82" ht="22.5" customHeight="1">
      <c r="B494" s="442">
        <v>150035</v>
      </c>
      <c r="C494" s="747" t="s">
        <v>13591</v>
      </c>
      <c r="D494" s="439"/>
      <c r="E494" s="404"/>
      <c r="F494" s="405" t="s">
        <v>2913</v>
      </c>
      <c r="G494" s="324" t="s">
        <v>2914</v>
      </c>
      <c r="H494" s="324" t="s">
        <v>2915</v>
      </c>
      <c r="I494" s="326" t="s">
        <v>383</v>
      </c>
      <c r="J494" s="326" t="s">
        <v>399</v>
      </c>
      <c r="K494" s="324" t="s">
        <v>977</v>
      </c>
      <c r="L494" s="361"/>
      <c r="M494" s="408"/>
      <c r="N494" s="444" t="s">
        <v>2916</v>
      </c>
      <c r="O494" s="324">
        <v>100</v>
      </c>
      <c r="P494" s="458">
        <v>2650</v>
      </c>
      <c r="Q494" s="459">
        <v>2650</v>
      </c>
      <c r="R494" s="779" t="s">
        <v>2917</v>
      </c>
      <c r="S494" s="645"/>
      <c r="T494" s="645"/>
      <c r="U494" s="645"/>
      <c r="V494" s="645"/>
      <c r="W494" s="332" t="s">
        <v>1697</v>
      </c>
      <c r="X494" s="331" t="s">
        <v>12931</v>
      </c>
      <c r="Y494" s="332" t="s">
        <v>11096</v>
      </c>
      <c r="Z494" s="332" t="s">
        <v>11098</v>
      </c>
      <c r="AA494" s="332" t="s">
        <v>11097</v>
      </c>
      <c r="AB494" s="333" t="s">
        <v>592</v>
      </c>
      <c r="AC494" s="416"/>
      <c r="AD494" s="375"/>
      <c r="AE494" s="499" t="s">
        <v>3049</v>
      </c>
      <c r="AF494" s="475">
        <v>42254</v>
      </c>
      <c r="AG494" s="748">
        <v>42303</v>
      </c>
      <c r="AH494" s="417" t="s">
        <v>210</v>
      </c>
      <c r="AI494" s="392" t="s">
        <v>210</v>
      </c>
      <c r="AJ494" s="392" t="s">
        <v>210</v>
      </c>
      <c r="AK494" s="340" t="s">
        <v>210</v>
      </c>
      <c r="AL494" s="417" t="s">
        <v>210</v>
      </c>
      <c r="AM494" s="392" t="s">
        <v>210</v>
      </c>
      <c r="AN494" s="392" t="s">
        <v>210</v>
      </c>
      <c r="AO494" s="341" t="s">
        <v>210</v>
      </c>
      <c r="AP494" s="342"/>
      <c r="AQ494" s="343"/>
      <c r="AR494" s="452">
        <v>3050</v>
      </c>
      <c r="AS494" s="326">
        <v>120</v>
      </c>
      <c r="AT494" s="392">
        <v>1</v>
      </c>
      <c r="AU494" s="392"/>
      <c r="AV494" s="392">
        <v>2</v>
      </c>
      <c r="AW494" s="341"/>
      <c r="AX494" s="410"/>
      <c r="AY494" s="413"/>
      <c r="AZ494" s="407"/>
      <c r="BA494" s="408"/>
      <c r="BB494" s="408"/>
      <c r="BC494" s="408"/>
      <c r="BD494" s="408"/>
      <c r="BE494" s="408"/>
      <c r="BF494" s="408"/>
      <c r="BG494" s="408"/>
      <c r="BH494" s="409"/>
      <c r="BI494" s="407"/>
      <c r="BJ494" s="411"/>
      <c r="BK494" s="412"/>
      <c r="BL494" s="413"/>
      <c r="BM494" s="414"/>
      <c r="BN494" s="321" t="s">
        <v>14</v>
      </c>
      <c r="BO494" s="372"/>
      <c r="BP494" s="340" t="s">
        <v>210</v>
      </c>
      <c r="BQ494" s="360"/>
      <c r="BR494" s="361"/>
      <c r="BS494" s="361"/>
      <c r="BT494" s="361"/>
      <c r="BU494" s="342" t="s">
        <v>210</v>
      </c>
      <c r="BV494" s="342" t="s">
        <v>210</v>
      </c>
      <c r="BW494" s="341" t="s">
        <v>15</v>
      </c>
      <c r="BX494" s="361"/>
      <c r="BY494" s="457"/>
      <c r="BZ494" s="363"/>
      <c r="CA494" s="363"/>
      <c r="CB494" s="363"/>
      <c r="CC494" s="363"/>
    </row>
    <row r="495" spans="1:82" ht="22.5" customHeight="1">
      <c r="B495" s="365">
        <v>150056</v>
      </c>
      <c r="C495" s="366" t="s">
        <v>1604</v>
      </c>
      <c r="D495" s="419"/>
      <c r="E495" s="368"/>
      <c r="F495" s="321" t="s">
        <v>264</v>
      </c>
      <c r="G495" s="326" t="s">
        <v>1782</v>
      </c>
      <c r="H495" s="326" t="s">
        <v>1783</v>
      </c>
      <c r="I495" s="326" t="s">
        <v>383</v>
      </c>
      <c r="J495" s="326" t="s">
        <v>399</v>
      </c>
      <c r="K495" s="326" t="s">
        <v>917</v>
      </c>
      <c r="L495" s="323"/>
      <c r="M495" s="408"/>
      <c r="N495" s="325" t="s">
        <v>1605</v>
      </c>
      <c r="O495" s="326" t="s">
        <v>210</v>
      </c>
      <c r="P495" s="327" t="s">
        <v>210</v>
      </c>
      <c r="Q495" s="369" t="s">
        <v>210</v>
      </c>
      <c r="R495" s="329" t="s">
        <v>1694</v>
      </c>
      <c r="S495" s="331" t="s">
        <v>13602</v>
      </c>
      <c r="T495" s="331" t="s">
        <v>13603</v>
      </c>
      <c r="U495" s="331" t="s">
        <v>16276</v>
      </c>
      <c r="V495" s="331" t="s">
        <v>13604</v>
      </c>
      <c r="W495" s="332" t="s">
        <v>1693</v>
      </c>
      <c r="X495" s="330"/>
      <c r="Y495" s="330"/>
      <c r="Z495" s="330"/>
      <c r="AA495" s="330"/>
      <c r="AB495" s="333"/>
      <c r="AC495" s="333"/>
      <c r="AD495" s="334" t="s">
        <v>1745</v>
      </c>
      <c r="AE495" s="335" t="s">
        <v>1748</v>
      </c>
      <c r="AF495" s="706">
        <v>42076</v>
      </c>
      <c r="AG495" s="705">
        <v>42171</v>
      </c>
      <c r="AH495" s="417" t="s">
        <v>210</v>
      </c>
      <c r="AI495" s="392" t="s">
        <v>210</v>
      </c>
      <c r="AJ495" s="392" t="s">
        <v>210</v>
      </c>
      <c r="AK495" s="340" t="s">
        <v>210</v>
      </c>
      <c r="AL495" s="417" t="s">
        <v>210</v>
      </c>
      <c r="AM495" s="392" t="s">
        <v>210</v>
      </c>
      <c r="AN495" s="392" t="s">
        <v>210</v>
      </c>
      <c r="AO495" s="341" t="s">
        <v>210</v>
      </c>
      <c r="AP495" s="342"/>
      <c r="AQ495" s="343"/>
      <c r="AR495" s="370">
        <v>1283</v>
      </c>
      <c r="AS495" s="326">
        <v>100</v>
      </c>
      <c r="AT495" s="392">
        <v>1</v>
      </c>
      <c r="AU495" s="392"/>
      <c r="AV495" s="392">
        <v>1.5</v>
      </c>
      <c r="AW495" s="341"/>
      <c r="AX495" s="376"/>
      <c r="AY495" s="348"/>
      <c r="AZ495" s="377"/>
      <c r="BA495" s="374"/>
      <c r="BB495" s="374"/>
      <c r="BC495" s="374"/>
      <c r="BD495" s="374"/>
      <c r="BE495" s="374"/>
      <c r="BF495" s="374"/>
      <c r="BG495" s="374"/>
      <c r="BH495" s="378"/>
      <c r="BI495" s="377"/>
      <c r="BJ495" s="379"/>
      <c r="BK495" s="380"/>
      <c r="BL495" s="348"/>
      <c r="BM495" s="381"/>
      <c r="BN495" s="321" t="s">
        <v>14</v>
      </c>
      <c r="BO495" s="372"/>
      <c r="BP495" s="373" t="s">
        <v>14</v>
      </c>
      <c r="BQ495" s="360"/>
      <c r="BR495" s="361"/>
      <c r="BS495" s="361"/>
      <c r="BT495" s="361"/>
      <c r="BU495" s="342" t="s">
        <v>210</v>
      </c>
      <c r="BV495" s="342" t="s">
        <v>210</v>
      </c>
      <c r="BW495" s="341" t="s">
        <v>15</v>
      </c>
      <c r="BX495" s="361"/>
      <c r="BY495" s="362"/>
      <c r="BZ495" s="363"/>
      <c r="CA495" s="363"/>
      <c r="CB495" s="363"/>
      <c r="CC495" s="363"/>
    </row>
    <row r="496" spans="1:82" ht="22.5" customHeight="1">
      <c r="B496" s="365">
        <v>150060</v>
      </c>
      <c r="C496" s="366" t="s">
        <v>1656</v>
      </c>
      <c r="D496" s="419"/>
      <c r="E496" s="368"/>
      <c r="F496" s="321" t="s">
        <v>238</v>
      </c>
      <c r="G496" s="326" t="s">
        <v>1954</v>
      </c>
      <c r="H496" s="326" t="s">
        <v>2042</v>
      </c>
      <c r="I496" s="326" t="s">
        <v>296</v>
      </c>
      <c r="J496" s="326" t="s">
        <v>216</v>
      </c>
      <c r="K496" s="326" t="s">
        <v>1059</v>
      </c>
      <c r="L496" s="323"/>
      <c r="M496" s="408"/>
      <c r="N496" s="325" t="s">
        <v>468</v>
      </c>
      <c r="O496" s="326" t="s">
        <v>210</v>
      </c>
      <c r="P496" s="327" t="s">
        <v>210</v>
      </c>
      <c r="Q496" s="369" t="s">
        <v>210</v>
      </c>
      <c r="R496" s="329" t="s">
        <v>1657</v>
      </c>
      <c r="S496" s="645"/>
      <c r="T496" s="645"/>
      <c r="U496" s="645"/>
      <c r="V496" s="645"/>
      <c r="W496" s="332" t="s">
        <v>1662</v>
      </c>
      <c r="X496" s="331" t="s">
        <v>13592</v>
      </c>
      <c r="Y496" s="331" t="s">
        <v>13593</v>
      </c>
      <c r="Z496" s="330"/>
      <c r="AA496" s="331" t="s">
        <v>13594</v>
      </c>
      <c r="AB496" s="333"/>
      <c r="AC496" s="416"/>
      <c r="AD496" s="375"/>
      <c r="AE496" s="391"/>
      <c r="AF496" s="706">
        <v>42036</v>
      </c>
      <c r="AG496" s="705">
        <v>42055</v>
      </c>
      <c r="AH496" s="417" t="s">
        <v>210</v>
      </c>
      <c r="AI496" s="392" t="s">
        <v>210</v>
      </c>
      <c r="AJ496" s="392" t="s">
        <v>210</v>
      </c>
      <c r="AK496" s="340" t="s">
        <v>210</v>
      </c>
      <c r="AL496" s="321" t="s">
        <v>14</v>
      </c>
      <c r="AM496" s="392" t="s">
        <v>210</v>
      </c>
      <c r="AN496" s="392" t="s">
        <v>210</v>
      </c>
      <c r="AO496" s="341" t="s">
        <v>210</v>
      </c>
      <c r="AP496" s="342"/>
      <c r="AQ496" s="343"/>
      <c r="AR496" s="370">
        <v>267</v>
      </c>
      <c r="AS496" s="326">
        <v>150</v>
      </c>
      <c r="AT496" s="392">
        <v>1</v>
      </c>
      <c r="AU496" s="392"/>
      <c r="AV496" s="392">
        <v>3</v>
      </c>
      <c r="AW496" s="341"/>
      <c r="AX496" s="376"/>
      <c r="AY496" s="348"/>
      <c r="AZ496" s="377"/>
      <c r="BA496" s="374"/>
      <c r="BB496" s="374"/>
      <c r="BC496" s="374"/>
      <c r="BD496" s="374"/>
      <c r="BE496" s="374"/>
      <c r="BF496" s="374"/>
      <c r="BG496" s="374"/>
      <c r="BH496" s="378"/>
      <c r="BI496" s="377"/>
      <c r="BJ496" s="379"/>
      <c r="BK496" s="380"/>
      <c r="BL496" s="348"/>
      <c r="BM496" s="381"/>
      <c r="BN496" s="321" t="s">
        <v>14</v>
      </c>
      <c r="BO496" s="372"/>
      <c r="BP496" s="340" t="s">
        <v>210</v>
      </c>
      <c r="BQ496" s="360"/>
      <c r="BR496" s="361"/>
      <c r="BS496" s="361"/>
      <c r="BT496" s="361"/>
      <c r="BU496" s="342" t="s">
        <v>210</v>
      </c>
      <c r="BV496" s="342" t="s">
        <v>210</v>
      </c>
      <c r="BW496" s="341" t="s">
        <v>15</v>
      </c>
      <c r="BX496" s="361"/>
      <c r="BY496" s="362"/>
      <c r="BZ496" s="363"/>
      <c r="CA496" s="363"/>
      <c r="CB496" s="363"/>
      <c r="CC496" s="363"/>
    </row>
    <row r="497" spans="1:82" ht="22.5" customHeight="1">
      <c r="B497" s="365">
        <v>150064</v>
      </c>
      <c r="C497" s="366" t="s">
        <v>13077</v>
      </c>
      <c r="D497" s="419"/>
      <c r="E497" s="368"/>
      <c r="F497" s="321" t="s">
        <v>266</v>
      </c>
      <c r="G497" s="326" t="s">
        <v>1784</v>
      </c>
      <c r="H497" s="326" t="s">
        <v>1785</v>
      </c>
      <c r="I497" s="326" t="s">
        <v>383</v>
      </c>
      <c r="J497" s="326" t="s">
        <v>399</v>
      </c>
      <c r="K497" s="326" t="s">
        <v>977</v>
      </c>
      <c r="L497" s="323"/>
      <c r="M497" s="408"/>
      <c r="N497" s="325" t="s">
        <v>437</v>
      </c>
      <c r="O497" s="326">
        <v>30</v>
      </c>
      <c r="P497" s="327">
        <v>401</v>
      </c>
      <c r="Q497" s="369">
        <v>341</v>
      </c>
      <c r="R497" s="329" t="s">
        <v>636</v>
      </c>
      <c r="S497" s="331" t="s">
        <v>13078</v>
      </c>
      <c r="T497" s="394" t="s">
        <v>12276</v>
      </c>
      <c r="U497" s="394" t="s">
        <v>12277</v>
      </c>
      <c r="V497" s="331" t="s">
        <v>13079</v>
      </c>
      <c r="W497" s="332" t="s">
        <v>432</v>
      </c>
      <c r="X497" s="331" t="s">
        <v>11079</v>
      </c>
      <c r="Y497" s="331" t="s">
        <v>11080</v>
      </c>
      <c r="Z497" s="331" t="s">
        <v>11080</v>
      </c>
      <c r="AA497" s="331"/>
      <c r="AB497" s="333"/>
      <c r="AC497" s="333"/>
      <c r="AD497" s="334" t="s">
        <v>1722</v>
      </c>
      <c r="AE497" s="335" t="s">
        <v>210</v>
      </c>
      <c r="AF497" s="706">
        <v>42076</v>
      </c>
      <c r="AG497" s="705">
        <v>42149</v>
      </c>
      <c r="AH497" s="376"/>
      <c r="AI497" s="347"/>
      <c r="AJ497" s="347"/>
      <c r="AK497" s="371"/>
      <c r="AL497" s="417" t="s">
        <v>210</v>
      </c>
      <c r="AM497" s="392" t="s">
        <v>210</v>
      </c>
      <c r="AN497" s="392" t="s">
        <v>210</v>
      </c>
      <c r="AO497" s="341" t="s">
        <v>210</v>
      </c>
      <c r="AP497" s="342"/>
      <c r="AQ497" s="343"/>
      <c r="AR497" s="370">
        <v>341</v>
      </c>
      <c r="AS497" s="326">
        <v>50</v>
      </c>
      <c r="AT497" s="392">
        <v>0.8</v>
      </c>
      <c r="AU497" s="392"/>
      <c r="AV497" s="392">
        <v>1.2</v>
      </c>
      <c r="AW497" s="341"/>
      <c r="AX497" s="376"/>
      <c r="AY497" s="348"/>
      <c r="AZ497" s="377"/>
      <c r="BA497" s="374"/>
      <c r="BB497" s="374"/>
      <c r="BC497" s="374"/>
      <c r="BD497" s="374"/>
      <c r="BE497" s="374"/>
      <c r="BF497" s="374"/>
      <c r="BG497" s="374"/>
      <c r="BH497" s="378"/>
      <c r="BI497" s="377"/>
      <c r="BJ497" s="379"/>
      <c r="BK497" s="380"/>
      <c r="BL497" s="348"/>
      <c r="BM497" s="381"/>
      <c r="BN497" s="321" t="s">
        <v>14</v>
      </c>
      <c r="BO497" s="372"/>
      <c r="BP497" s="373" t="s">
        <v>14</v>
      </c>
      <c r="BQ497" s="360"/>
      <c r="BR497" s="361"/>
      <c r="BS497" s="361"/>
      <c r="BT497" s="361"/>
      <c r="BU497" s="342" t="s">
        <v>210</v>
      </c>
      <c r="BV497" s="342" t="s">
        <v>210</v>
      </c>
      <c r="BW497" s="341" t="s">
        <v>15</v>
      </c>
      <c r="BX497" s="361"/>
      <c r="BY497" s="362"/>
      <c r="BZ497" s="363"/>
      <c r="CA497" s="363"/>
      <c r="CB497" s="363"/>
      <c r="CC497" s="363"/>
    </row>
    <row r="498" spans="1:82" ht="22.5" customHeight="1">
      <c r="B498" s="442">
        <v>150068</v>
      </c>
      <c r="C498" s="747" t="s">
        <v>2708</v>
      </c>
      <c r="D498" s="439"/>
      <c r="E498" s="404"/>
      <c r="F498" s="405" t="s">
        <v>266</v>
      </c>
      <c r="G498" s="324" t="s">
        <v>2709</v>
      </c>
      <c r="H498" s="324" t="s">
        <v>2710</v>
      </c>
      <c r="I498" s="326" t="s">
        <v>383</v>
      </c>
      <c r="J498" s="326" t="s">
        <v>1011</v>
      </c>
      <c r="K498" s="324" t="s">
        <v>247</v>
      </c>
      <c r="L498" s="361"/>
      <c r="M498" s="408"/>
      <c r="N498" s="444" t="s">
        <v>2711</v>
      </c>
      <c r="O498" s="324">
        <v>30</v>
      </c>
      <c r="P498" s="327" t="s">
        <v>210</v>
      </c>
      <c r="Q498" s="369" t="s">
        <v>210</v>
      </c>
      <c r="R498" s="420" t="s">
        <v>2893</v>
      </c>
      <c r="S498" s="645"/>
      <c r="T498" s="645"/>
      <c r="U498" s="645"/>
      <c r="V498" s="645"/>
      <c r="W498" s="460" t="s">
        <v>2712</v>
      </c>
      <c r="X498" s="394" t="s">
        <v>13595</v>
      </c>
      <c r="Y498" s="394" t="s">
        <v>13597</v>
      </c>
      <c r="Z498" s="394" t="s">
        <v>13596</v>
      </c>
      <c r="AA498" s="394" t="s">
        <v>13577</v>
      </c>
      <c r="AB498" s="416"/>
      <c r="AC498" s="416"/>
      <c r="AD498" s="447" t="s">
        <v>1420</v>
      </c>
      <c r="AE498" s="499" t="s">
        <v>2880</v>
      </c>
      <c r="AF498" s="475">
        <v>42209</v>
      </c>
      <c r="AG498" s="748">
        <v>42244</v>
      </c>
      <c r="AH498" s="417" t="s">
        <v>210</v>
      </c>
      <c r="AI498" s="392" t="s">
        <v>210</v>
      </c>
      <c r="AJ498" s="392" t="s">
        <v>210</v>
      </c>
      <c r="AK498" s="340" t="s">
        <v>210</v>
      </c>
      <c r="AL498" s="417" t="s">
        <v>210</v>
      </c>
      <c r="AM498" s="392" t="s">
        <v>210</v>
      </c>
      <c r="AN498" s="392" t="s">
        <v>210</v>
      </c>
      <c r="AO498" s="341" t="s">
        <v>210</v>
      </c>
      <c r="AP498" s="342"/>
      <c r="AQ498" s="433" t="s">
        <v>4551</v>
      </c>
      <c r="AR498" s="452">
        <v>238</v>
      </c>
      <c r="AS498" s="324">
        <v>50</v>
      </c>
      <c r="AT498" s="432">
        <v>1</v>
      </c>
      <c r="AU498" s="432"/>
      <c r="AV498" s="432">
        <v>1</v>
      </c>
      <c r="AW498" s="490"/>
      <c r="AX498" s="410"/>
      <c r="AY498" s="413"/>
      <c r="AZ498" s="407"/>
      <c r="BA498" s="408"/>
      <c r="BB498" s="408"/>
      <c r="BC498" s="408"/>
      <c r="BD498" s="408"/>
      <c r="BE498" s="408"/>
      <c r="BF498" s="408"/>
      <c r="BG498" s="408"/>
      <c r="BH498" s="409"/>
      <c r="BI498" s="407"/>
      <c r="BJ498" s="411"/>
      <c r="BK498" s="412"/>
      <c r="BL498" s="413"/>
      <c r="BM498" s="414"/>
      <c r="BN498" s="321" t="s">
        <v>14</v>
      </c>
      <c r="BO498" s="372"/>
      <c r="BP498" s="373" t="s">
        <v>14</v>
      </c>
      <c r="BQ498" s="360"/>
      <c r="BR498" s="361"/>
      <c r="BS498" s="361"/>
      <c r="BT498" s="361"/>
      <c r="BU498" s="342" t="s">
        <v>210</v>
      </c>
      <c r="BV498" s="342" t="s">
        <v>210</v>
      </c>
      <c r="BW498" s="341" t="s">
        <v>15</v>
      </c>
      <c r="BX498" s="361"/>
      <c r="BY498" s="362"/>
      <c r="BZ498" s="363"/>
      <c r="CA498" s="363"/>
      <c r="CB498" s="363"/>
      <c r="CC498" s="363"/>
    </row>
    <row r="499" spans="1:82" ht="22.5" customHeight="1">
      <c r="B499" s="365">
        <v>150070</v>
      </c>
      <c r="C499" s="366" t="s">
        <v>13563</v>
      </c>
      <c r="D499" s="419"/>
      <c r="E499" s="368"/>
      <c r="F499" s="321" t="s">
        <v>222</v>
      </c>
      <c r="G499" s="326" t="s">
        <v>1786</v>
      </c>
      <c r="H499" s="326" t="s">
        <v>1787</v>
      </c>
      <c r="I499" s="326" t="s">
        <v>383</v>
      </c>
      <c r="J499" s="326" t="s">
        <v>399</v>
      </c>
      <c r="K499" s="326" t="s">
        <v>917</v>
      </c>
      <c r="L499" s="323"/>
      <c r="M499" s="408"/>
      <c r="N499" s="325" t="s">
        <v>438</v>
      </c>
      <c r="O499" s="326">
        <v>130</v>
      </c>
      <c r="P499" s="327">
        <v>2997</v>
      </c>
      <c r="Q499" s="369">
        <v>3174</v>
      </c>
      <c r="R499" s="329" t="s">
        <v>1716</v>
      </c>
      <c r="S499" s="645"/>
      <c r="T499" s="645"/>
      <c r="U499" s="645"/>
      <c r="V499" s="645"/>
      <c r="W499" s="332" t="s">
        <v>1712</v>
      </c>
      <c r="X499" s="331" t="s">
        <v>13598</v>
      </c>
      <c r="Y499" s="331" t="s">
        <v>13599</v>
      </c>
      <c r="Z499" s="331" t="s">
        <v>13600</v>
      </c>
      <c r="AA499" s="331" t="s">
        <v>13601</v>
      </c>
      <c r="AB499" s="333"/>
      <c r="AC499" s="333"/>
      <c r="AD499" s="334" t="s">
        <v>2321</v>
      </c>
      <c r="AE499" s="335" t="s">
        <v>1038</v>
      </c>
      <c r="AF499" s="706">
        <v>42135</v>
      </c>
      <c r="AG499" s="705">
        <v>42167</v>
      </c>
      <c r="AH499" s="417" t="s">
        <v>210</v>
      </c>
      <c r="AI499" s="392" t="s">
        <v>210</v>
      </c>
      <c r="AJ499" s="392" t="s">
        <v>210</v>
      </c>
      <c r="AK499" s="340" t="s">
        <v>210</v>
      </c>
      <c r="AL499" s="417" t="s">
        <v>210</v>
      </c>
      <c r="AM499" s="392" t="s">
        <v>210</v>
      </c>
      <c r="AN499" s="392" t="s">
        <v>210</v>
      </c>
      <c r="AO499" s="341" t="s">
        <v>210</v>
      </c>
      <c r="AP499" s="342"/>
      <c r="AQ499" s="343"/>
      <c r="AR499" s="370">
        <v>3763</v>
      </c>
      <c r="AS499" s="326">
        <v>100</v>
      </c>
      <c r="AT499" s="392">
        <v>0.8</v>
      </c>
      <c r="AU499" s="392"/>
      <c r="AV499" s="392">
        <v>1.5</v>
      </c>
      <c r="AW499" s="341"/>
      <c r="AX499" s="376"/>
      <c r="AY499" s="348"/>
      <c r="AZ499" s="377"/>
      <c r="BA499" s="374"/>
      <c r="BB499" s="374"/>
      <c r="BC499" s="374"/>
      <c r="BD499" s="374"/>
      <c r="BE499" s="374"/>
      <c r="BF499" s="374"/>
      <c r="BG499" s="374"/>
      <c r="BH499" s="378"/>
      <c r="BI499" s="377"/>
      <c r="BJ499" s="379"/>
      <c r="BK499" s="380"/>
      <c r="BL499" s="348"/>
      <c r="BM499" s="381"/>
      <c r="BN499" s="321" t="s">
        <v>14</v>
      </c>
      <c r="BO499" s="372">
        <v>1.03</v>
      </c>
      <c r="BP499" s="340" t="s">
        <v>210</v>
      </c>
      <c r="BQ499" s="360"/>
      <c r="BR499" s="361"/>
      <c r="BS499" s="361"/>
      <c r="BT499" s="361"/>
      <c r="BU499" s="342" t="s">
        <v>210</v>
      </c>
      <c r="BV499" s="342" t="s">
        <v>210</v>
      </c>
      <c r="BW499" s="341" t="s">
        <v>15</v>
      </c>
      <c r="BX499" s="361"/>
      <c r="BY499" s="362"/>
      <c r="BZ499" s="363"/>
      <c r="CA499" s="363"/>
      <c r="CB499" s="363"/>
      <c r="CC499" s="363"/>
    </row>
    <row r="500" spans="1:82" s="465" customFormat="1" ht="22.5" customHeight="1">
      <c r="A500" s="287"/>
      <c r="B500" s="657">
        <v>150075</v>
      </c>
      <c r="C500" s="658" t="s">
        <v>1651</v>
      </c>
      <c r="D500" s="707"/>
      <c r="E500" s="660"/>
      <c r="F500" s="661" t="s">
        <v>227</v>
      </c>
      <c r="G500" s="662" t="s">
        <v>1788</v>
      </c>
      <c r="H500" s="662" t="s">
        <v>1789</v>
      </c>
      <c r="I500" s="662" t="s">
        <v>1652</v>
      </c>
      <c r="J500" s="662" t="s">
        <v>387</v>
      </c>
      <c r="K500" s="662" t="s">
        <v>1059</v>
      </c>
      <c r="L500" s="663"/>
      <c r="M500" s="662"/>
      <c r="N500" s="664" t="s">
        <v>1671</v>
      </c>
      <c r="O500" s="662" t="s">
        <v>1671</v>
      </c>
      <c r="P500" s="665" t="s">
        <v>210</v>
      </c>
      <c r="Q500" s="666" t="s">
        <v>210</v>
      </c>
      <c r="R500" s="667" t="s">
        <v>4545</v>
      </c>
      <c r="S500" s="668" t="s">
        <v>13561</v>
      </c>
      <c r="T500" s="668" t="s">
        <v>13313</v>
      </c>
      <c r="U500" s="668" t="s">
        <v>13314</v>
      </c>
      <c r="V500" s="668" t="s">
        <v>13562</v>
      </c>
      <c r="W500" s="669"/>
      <c r="X500" s="668"/>
      <c r="Y500" s="668"/>
      <c r="Z500" s="668"/>
      <c r="AA500" s="668"/>
      <c r="AB500" s="670"/>
      <c r="AC500" s="670"/>
      <c r="AD500" s="671"/>
      <c r="AE500" s="672"/>
      <c r="AF500" s="673">
        <v>42114</v>
      </c>
      <c r="AG500" s="674" t="s">
        <v>10514</v>
      </c>
      <c r="AH500" s="675" t="s">
        <v>210</v>
      </c>
      <c r="AI500" s="676" t="s">
        <v>210</v>
      </c>
      <c r="AJ500" s="676" t="s">
        <v>210</v>
      </c>
      <c r="AK500" s="677" t="s">
        <v>210</v>
      </c>
      <c r="AL500" s="675" t="s">
        <v>210</v>
      </c>
      <c r="AM500" s="676" t="s">
        <v>210</v>
      </c>
      <c r="AN500" s="676" t="s">
        <v>210</v>
      </c>
      <c r="AO500" s="678" t="s">
        <v>210</v>
      </c>
      <c r="AP500" s="663"/>
      <c r="AQ500" s="679"/>
      <c r="AR500" s="680">
        <v>487</v>
      </c>
      <c r="AS500" s="662">
        <v>250</v>
      </c>
      <c r="AT500" s="676">
        <v>0.6</v>
      </c>
      <c r="AU500" s="676"/>
      <c r="AV500" s="676">
        <v>1</v>
      </c>
      <c r="AW500" s="678"/>
      <c r="AX500" s="675"/>
      <c r="AY500" s="681"/>
      <c r="AZ500" s="661"/>
      <c r="BA500" s="662"/>
      <c r="BB500" s="662"/>
      <c r="BC500" s="662"/>
      <c r="BD500" s="662"/>
      <c r="BE500" s="662"/>
      <c r="BF500" s="662"/>
      <c r="BG500" s="662"/>
      <c r="BH500" s="682"/>
      <c r="BI500" s="661"/>
      <c r="BJ500" s="683"/>
      <c r="BK500" s="684"/>
      <c r="BL500" s="681"/>
      <c r="BM500" s="685"/>
      <c r="BN500" s="675" t="s">
        <v>210</v>
      </c>
      <c r="BO500" s="686"/>
      <c r="BP500" s="677" t="s">
        <v>210</v>
      </c>
      <c r="BQ500" s="687"/>
      <c r="BR500" s="663"/>
      <c r="BS500" s="663"/>
      <c r="BT500" s="663"/>
      <c r="BU500" s="663" t="s">
        <v>5510</v>
      </c>
      <c r="BV500" s="663" t="s">
        <v>5510</v>
      </c>
      <c r="BW500" s="678" t="s">
        <v>15</v>
      </c>
      <c r="BX500" s="688"/>
      <c r="BY500" s="689"/>
      <c r="BZ500" s="483"/>
      <c r="CA500" s="483"/>
      <c r="CB500" s="483"/>
      <c r="CC500" s="483"/>
      <c r="CD500" s="484"/>
    </row>
    <row r="501" spans="1:82" ht="22.5" customHeight="1">
      <c r="B501" s="442">
        <v>150076</v>
      </c>
      <c r="C501" s="747" t="s">
        <v>2828</v>
      </c>
      <c r="D501" s="439"/>
      <c r="E501" s="404"/>
      <c r="F501" s="405" t="s">
        <v>709</v>
      </c>
      <c r="G501" s="324" t="s">
        <v>2829</v>
      </c>
      <c r="H501" s="324" t="s">
        <v>2830</v>
      </c>
      <c r="I501" s="326" t="s">
        <v>383</v>
      </c>
      <c r="J501" s="326" t="s">
        <v>399</v>
      </c>
      <c r="K501" s="324" t="s">
        <v>977</v>
      </c>
      <c r="L501" s="323"/>
      <c r="M501" s="408"/>
      <c r="N501" s="444" t="s">
        <v>2831</v>
      </c>
      <c r="O501" s="324">
        <v>20</v>
      </c>
      <c r="P501" s="327" t="s">
        <v>210</v>
      </c>
      <c r="Q501" s="369" t="s">
        <v>210</v>
      </c>
      <c r="R501" s="420" t="s">
        <v>2346</v>
      </c>
      <c r="S501" s="394" t="s">
        <v>12818</v>
      </c>
      <c r="T501" s="394" t="s">
        <v>12147</v>
      </c>
      <c r="U501" s="394" t="s">
        <v>12146</v>
      </c>
      <c r="V501" s="394" t="s">
        <v>12817</v>
      </c>
      <c r="W501" s="460" t="s">
        <v>2346</v>
      </c>
      <c r="X501" s="394" t="s">
        <v>12818</v>
      </c>
      <c r="Y501" s="394" t="s">
        <v>12147</v>
      </c>
      <c r="Z501" s="394" t="s">
        <v>12146</v>
      </c>
      <c r="AA501" s="394" t="s">
        <v>12817</v>
      </c>
      <c r="AB501" s="416"/>
      <c r="AC501" s="416"/>
      <c r="AD501" s="329" t="s">
        <v>2938</v>
      </c>
      <c r="AE501" s="499" t="s">
        <v>5522</v>
      </c>
      <c r="AF501" s="475">
        <v>42217</v>
      </c>
      <c r="AG501" s="748">
        <v>42262</v>
      </c>
      <c r="AH501" s="417" t="s">
        <v>210</v>
      </c>
      <c r="AI501" s="392" t="s">
        <v>210</v>
      </c>
      <c r="AJ501" s="392" t="s">
        <v>210</v>
      </c>
      <c r="AK501" s="340" t="s">
        <v>210</v>
      </c>
      <c r="AL501" s="417" t="s">
        <v>210</v>
      </c>
      <c r="AM501" s="392" t="s">
        <v>210</v>
      </c>
      <c r="AN501" s="392" t="s">
        <v>210</v>
      </c>
      <c r="AO501" s="341" t="s">
        <v>210</v>
      </c>
      <c r="AP501" s="342"/>
      <c r="AQ501" s="343"/>
      <c r="AR501" s="370">
        <v>1419</v>
      </c>
      <c r="AS501" s="324">
        <v>80</v>
      </c>
      <c r="AT501" s="432">
        <v>1</v>
      </c>
      <c r="AU501" s="432"/>
      <c r="AV501" s="432">
        <v>1.3</v>
      </c>
      <c r="AW501" s="490"/>
      <c r="AX501" s="376"/>
      <c r="AY501" s="348"/>
      <c r="AZ501" s="407"/>
      <c r="BA501" s="408"/>
      <c r="BB501" s="408"/>
      <c r="BC501" s="408"/>
      <c r="BD501" s="408"/>
      <c r="BE501" s="408"/>
      <c r="BF501" s="408"/>
      <c r="BG501" s="408"/>
      <c r="BH501" s="409"/>
      <c r="BI501" s="407"/>
      <c r="BJ501" s="411"/>
      <c r="BK501" s="412"/>
      <c r="BL501" s="413"/>
      <c r="BM501" s="414"/>
      <c r="BN501" s="321" t="s">
        <v>14</v>
      </c>
      <c r="BO501" s="372"/>
      <c r="BP501" s="373" t="s">
        <v>14</v>
      </c>
      <c r="BQ501" s="360"/>
      <c r="BR501" s="361"/>
      <c r="BS501" s="361"/>
      <c r="BT501" s="361"/>
      <c r="BU501" s="342" t="s">
        <v>210</v>
      </c>
      <c r="BV501" s="342" t="s">
        <v>210</v>
      </c>
      <c r="BW501" s="341" t="s">
        <v>15</v>
      </c>
      <c r="BX501" s="361"/>
      <c r="BY501" s="457"/>
      <c r="BZ501" s="363"/>
      <c r="CA501" s="363"/>
      <c r="CB501" s="363"/>
      <c r="CC501" s="363"/>
    </row>
    <row r="502" spans="1:82" ht="22.5" customHeight="1">
      <c r="B502" s="442">
        <v>150082</v>
      </c>
      <c r="C502" s="747" t="s">
        <v>2836</v>
      </c>
      <c r="D502" s="439"/>
      <c r="E502" s="404"/>
      <c r="F502" s="405" t="s">
        <v>243</v>
      </c>
      <c r="G502" s="324" t="s">
        <v>2864</v>
      </c>
      <c r="H502" s="324" t="s">
        <v>2865</v>
      </c>
      <c r="I502" s="326" t="s">
        <v>383</v>
      </c>
      <c r="J502" s="326" t="s">
        <v>399</v>
      </c>
      <c r="K502" s="324" t="s">
        <v>247</v>
      </c>
      <c r="L502" s="323"/>
      <c r="M502" s="324" t="s">
        <v>10767</v>
      </c>
      <c r="N502" s="444" t="s">
        <v>438</v>
      </c>
      <c r="O502" s="324">
        <v>30</v>
      </c>
      <c r="P502" s="327">
        <v>1628.87</v>
      </c>
      <c r="Q502" s="369">
        <v>1674.95</v>
      </c>
      <c r="R502" s="420" t="s">
        <v>2890</v>
      </c>
      <c r="S502" s="394" t="s">
        <v>13559</v>
      </c>
      <c r="T502" s="400"/>
      <c r="U502" s="400"/>
      <c r="V502" s="394" t="s">
        <v>13560</v>
      </c>
      <c r="W502" s="332" t="s">
        <v>432</v>
      </c>
      <c r="X502" s="331" t="s">
        <v>11079</v>
      </c>
      <c r="Y502" s="331" t="s">
        <v>11080</v>
      </c>
      <c r="Z502" s="331" t="s">
        <v>11080</v>
      </c>
      <c r="AA502" s="331" t="s">
        <v>210</v>
      </c>
      <c r="AB502" s="333" t="s">
        <v>2889</v>
      </c>
      <c r="AC502" s="333"/>
      <c r="AD502" s="334" t="s">
        <v>2332</v>
      </c>
      <c r="AE502" s="499" t="s">
        <v>3034</v>
      </c>
      <c r="AF502" s="475">
        <v>42220</v>
      </c>
      <c r="AG502" s="748">
        <v>42303</v>
      </c>
      <c r="AH502" s="417">
        <v>26.3</v>
      </c>
      <c r="AI502" s="392">
        <v>19.2</v>
      </c>
      <c r="AJ502" s="392">
        <v>16.100000000000001</v>
      </c>
      <c r="AK502" s="340">
        <f>AH502+AI502+AJ502</f>
        <v>61.6</v>
      </c>
      <c r="AL502" s="417" t="s">
        <v>210</v>
      </c>
      <c r="AM502" s="392" t="s">
        <v>210</v>
      </c>
      <c r="AN502" s="392" t="s">
        <v>210</v>
      </c>
      <c r="AO502" s="341" t="s">
        <v>210</v>
      </c>
      <c r="AP502" s="342"/>
      <c r="AQ502" s="343"/>
      <c r="AR502" s="452">
        <v>2239</v>
      </c>
      <c r="AS502" s="324">
        <v>120</v>
      </c>
      <c r="AT502" s="432">
        <v>1</v>
      </c>
      <c r="AU502" s="432"/>
      <c r="AV502" s="432">
        <v>1.5</v>
      </c>
      <c r="AW502" s="490"/>
      <c r="AX502" s="376"/>
      <c r="AY502" s="348"/>
      <c r="AZ502" s="407"/>
      <c r="BA502" s="408"/>
      <c r="BB502" s="408"/>
      <c r="BC502" s="408"/>
      <c r="BD502" s="408"/>
      <c r="BE502" s="408"/>
      <c r="BF502" s="408"/>
      <c r="BG502" s="408"/>
      <c r="BH502" s="409"/>
      <c r="BI502" s="410"/>
      <c r="BJ502" s="411"/>
      <c r="BK502" s="412"/>
      <c r="BL502" s="413"/>
      <c r="BM502" s="414"/>
      <c r="BN502" s="321" t="s">
        <v>14</v>
      </c>
      <c r="BO502" s="372">
        <v>0.81</v>
      </c>
      <c r="BP502" s="340" t="s">
        <v>210</v>
      </c>
      <c r="BQ502" s="360"/>
      <c r="BR502" s="361"/>
      <c r="BS502" s="361"/>
      <c r="BT502" s="361"/>
      <c r="BU502" s="342" t="s">
        <v>210</v>
      </c>
      <c r="BV502" s="342" t="s">
        <v>210</v>
      </c>
      <c r="BW502" s="341" t="s">
        <v>15</v>
      </c>
      <c r="BX502" s="361"/>
      <c r="BY502" s="457" t="s">
        <v>2964</v>
      </c>
      <c r="BZ502" s="363"/>
      <c r="CA502" s="363"/>
      <c r="CB502" s="363"/>
      <c r="CC502" s="363"/>
    </row>
    <row r="503" spans="1:82" ht="22.5" customHeight="1">
      <c r="B503" s="365">
        <v>150088</v>
      </c>
      <c r="C503" s="366" t="s">
        <v>8846</v>
      </c>
      <c r="D503" s="419"/>
      <c r="E503" s="368"/>
      <c r="F503" s="321" t="s">
        <v>240</v>
      </c>
      <c r="G503" s="326" t="s">
        <v>1790</v>
      </c>
      <c r="H503" s="326" t="s">
        <v>1791</v>
      </c>
      <c r="I503" s="326" t="s">
        <v>383</v>
      </c>
      <c r="J503" s="326" t="s">
        <v>399</v>
      </c>
      <c r="K503" s="326" t="s">
        <v>917</v>
      </c>
      <c r="L503" s="323"/>
      <c r="M503" s="408"/>
      <c r="N503" s="325" t="s">
        <v>2875</v>
      </c>
      <c r="O503" s="326">
        <v>30</v>
      </c>
      <c r="P503" s="327">
        <v>1146.7</v>
      </c>
      <c r="Q503" s="369">
        <v>1190.2</v>
      </c>
      <c r="R503" s="329" t="s">
        <v>447</v>
      </c>
      <c r="S503" s="332" t="s">
        <v>11077</v>
      </c>
      <c r="T503" s="332" t="s">
        <v>11078</v>
      </c>
      <c r="U503" s="332" t="s">
        <v>16355</v>
      </c>
      <c r="V503" s="332" t="s">
        <v>11133</v>
      </c>
      <c r="W503" s="332" t="s">
        <v>432</v>
      </c>
      <c r="X503" s="331" t="s">
        <v>11079</v>
      </c>
      <c r="Y503" s="331" t="s">
        <v>11080</v>
      </c>
      <c r="Z503" s="331" t="s">
        <v>11080</v>
      </c>
      <c r="AA503" s="331" t="s">
        <v>210</v>
      </c>
      <c r="AB503" s="333"/>
      <c r="AC503" s="333"/>
      <c r="AD503" s="334" t="s">
        <v>730</v>
      </c>
      <c r="AE503" s="335" t="s">
        <v>1739</v>
      </c>
      <c r="AF503" s="706">
        <v>42096</v>
      </c>
      <c r="AG503" s="705">
        <v>42153</v>
      </c>
      <c r="AH503" s="376"/>
      <c r="AI503" s="347"/>
      <c r="AJ503" s="347"/>
      <c r="AK503" s="371"/>
      <c r="AL503" s="417" t="s">
        <v>210</v>
      </c>
      <c r="AM503" s="392" t="s">
        <v>210</v>
      </c>
      <c r="AN503" s="392" t="s">
        <v>210</v>
      </c>
      <c r="AO503" s="341" t="s">
        <v>210</v>
      </c>
      <c r="AP503" s="342"/>
      <c r="AQ503" s="343"/>
      <c r="AR503" s="370">
        <v>1409</v>
      </c>
      <c r="AS503" s="326">
        <v>100</v>
      </c>
      <c r="AT503" s="392">
        <v>0.8</v>
      </c>
      <c r="AU503" s="392"/>
      <c r="AV503" s="392">
        <v>1.5</v>
      </c>
      <c r="AW503" s="341"/>
      <c r="AX503" s="376"/>
      <c r="AY503" s="348"/>
      <c r="AZ503" s="377"/>
      <c r="BA503" s="374"/>
      <c r="BB503" s="374"/>
      <c r="BC503" s="374"/>
      <c r="BD503" s="374"/>
      <c r="BE503" s="374"/>
      <c r="BF503" s="374"/>
      <c r="BG503" s="374"/>
      <c r="BH503" s="378"/>
      <c r="BI503" s="376"/>
      <c r="BJ503" s="379"/>
      <c r="BK503" s="380"/>
      <c r="BL503" s="348"/>
      <c r="BM503" s="381"/>
      <c r="BN503" s="321" t="s">
        <v>14</v>
      </c>
      <c r="BO503" s="372"/>
      <c r="BP503" s="373" t="s">
        <v>14</v>
      </c>
      <c r="BQ503" s="360"/>
      <c r="BR503" s="361"/>
      <c r="BS503" s="361"/>
      <c r="BT503" s="361"/>
      <c r="BU503" s="342" t="s">
        <v>210</v>
      </c>
      <c r="BV503" s="342" t="s">
        <v>210</v>
      </c>
      <c r="BW503" s="341" t="s">
        <v>15</v>
      </c>
      <c r="BX503" s="361"/>
      <c r="BY503" s="362"/>
      <c r="BZ503" s="363"/>
      <c r="CA503" s="363"/>
      <c r="CB503" s="363"/>
      <c r="CC503" s="363"/>
    </row>
    <row r="504" spans="1:82" ht="22.5" customHeight="1">
      <c r="B504" s="442">
        <v>150090</v>
      </c>
      <c r="C504" s="747" t="s">
        <v>13558</v>
      </c>
      <c r="D504" s="439"/>
      <c r="E504" s="404"/>
      <c r="F504" s="405" t="s">
        <v>1048</v>
      </c>
      <c r="G504" s="324" t="s">
        <v>2347</v>
      </c>
      <c r="H504" s="324" t="s">
        <v>2348</v>
      </c>
      <c r="I504" s="326" t="s">
        <v>383</v>
      </c>
      <c r="J504" s="326" t="s">
        <v>399</v>
      </c>
      <c r="K504" s="326" t="s">
        <v>917</v>
      </c>
      <c r="L504" s="361"/>
      <c r="M504" s="408"/>
      <c r="N504" s="325" t="s">
        <v>438</v>
      </c>
      <c r="O504" s="326" t="s">
        <v>210</v>
      </c>
      <c r="P504" s="327" t="s">
        <v>210</v>
      </c>
      <c r="Q504" s="369" t="s">
        <v>210</v>
      </c>
      <c r="R504" s="420" t="s">
        <v>2346</v>
      </c>
      <c r="S504" s="394" t="s">
        <v>12818</v>
      </c>
      <c r="T504" s="394" t="s">
        <v>12147</v>
      </c>
      <c r="U504" s="394" t="s">
        <v>12146</v>
      </c>
      <c r="V504" s="394" t="s">
        <v>12817</v>
      </c>
      <c r="W504" s="460" t="s">
        <v>2346</v>
      </c>
      <c r="X504" s="394" t="s">
        <v>12818</v>
      </c>
      <c r="Y504" s="394" t="s">
        <v>12147</v>
      </c>
      <c r="Z504" s="394" t="s">
        <v>12146</v>
      </c>
      <c r="AA504" s="394" t="s">
        <v>12817</v>
      </c>
      <c r="AB504" s="416"/>
      <c r="AC504" s="416"/>
      <c r="AD504" s="375"/>
      <c r="AE504" s="335" t="s">
        <v>966</v>
      </c>
      <c r="AF504" s="475">
        <v>42194</v>
      </c>
      <c r="AG504" s="748">
        <v>42233</v>
      </c>
      <c r="AH504" s="417" t="s">
        <v>210</v>
      </c>
      <c r="AI504" s="392" t="s">
        <v>210</v>
      </c>
      <c r="AJ504" s="392" t="s">
        <v>210</v>
      </c>
      <c r="AK504" s="340" t="s">
        <v>210</v>
      </c>
      <c r="AL504" s="417" t="s">
        <v>210</v>
      </c>
      <c r="AM504" s="392" t="s">
        <v>210</v>
      </c>
      <c r="AN504" s="392" t="s">
        <v>210</v>
      </c>
      <c r="AO504" s="341" t="s">
        <v>210</v>
      </c>
      <c r="AP504" s="342"/>
      <c r="AQ504" s="343"/>
      <c r="AR504" s="452">
        <v>2178</v>
      </c>
      <c r="AS504" s="324">
        <v>100</v>
      </c>
      <c r="AT504" s="432">
        <v>0.8</v>
      </c>
      <c r="AU504" s="432"/>
      <c r="AV504" s="432">
        <v>1.2</v>
      </c>
      <c r="AW504" s="490"/>
      <c r="AX504" s="410"/>
      <c r="AY504" s="413"/>
      <c r="AZ504" s="407"/>
      <c r="BA504" s="408"/>
      <c r="BB504" s="408"/>
      <c r="BC504" s="408"/>
      <c r="BD504" s="408"/>
      <c r="BE504" s="408"/>
      <c r="BF504" s="408"/>
      <c r="BG504" s="408"/>
      <c r="BH504" s="409"/>
      <c r="BI504" s="410"/>
      <c r="BJ504" s="411"/>
      <c r="BK504" s="412"/>
      <c r="BL504" s="413"/>
      <c r="BM504" s="414"/>
      <c r="BN504" s="321" t="s">
        <v>14</v>
      </c>
      <c r="BO504" s="372"/>
      <c r="BP504" s="373" t="s">
        <v>14</v>
      </c>
      <c r="BQ504" s="360"/>
      <c r="BR504" s="361"/>
      <c r="BS504" s="361"/>
      <c r="BT504" s="361"/>
      <c r="BU504" s="342" t="s">
        <v>210</v>
      </c>
      <c r="BV504" s="342" t="s">
        <v>210</v>
      </c>
      <c r="BW504" s="341" t="s">
        <v>15</v>
      </c>
      <c r="BX504" s="361"/>
      <c r="BY504" s="457"/>
      <c r="BZ504" s="363"/>
      <c r="CA504" s="363"/>
      <c r="CB504" s="363"/>
      <c r="CC504" s="363"/>
    </row>
    <row r="505" spans="1:82" ht="22.5" customHeight="1">
      <c r="B505" s="365">
        <v>150091</v>
      </c>
      <c r="C505" s="366" t="s">
        <v>1632</v>
      </c>
      <c r="D505" s="419"/>
      <c r="E505" s="368"/>
      <c r="F505" s="321" t="s">
        <v>271</v>
      </c>
      <c r="G505" s="326" t="s">
        <v>1792</v>
      </c>
      <c r="H505" s="326" t="s">
        <v>1793</v>
      </c>
      <c r="I505" s="326" t="s">
        <v>383</v>
      </c>
      <c r="J505" s="326" t="s">
        <v>387</v>
      </c>
      <c r="K505" s="326" t="s">
        <v>977</v>
      </c>
      <c r="L505" s="323"/>
      <c r="M505" s="408"/>
      <c r="N505" s="325" t="s">
        <v>438</v>
      </c>
      <c r="O505" s="326">
        <v>65</v>
      </c>
      <c r="P505" s="327">
        <v>850</v>
      </c>
      <c r="Q505" s="369">
        <v>800</v>
      </c>
      <c r="R505" s="329" t="s">
        <v>1635</v>
      </c>
      <c r="S505" s="330"/>
      <c r="T505" s="330"/>
      <c r="U505" s="330"/>
      <c r="V505" s="330"/>
      <c r="W505" s="332" t="s">
        <v>12968</v>
      </c>
      <c r="X505" s="331" t="s">
        <v>13556</v>
      </c>
      <c r="Y505" s="331" t="s">
        <v>11187</v>
      </c>
      <c r="Z505" s="331" t="s">
        <v>11186</v>
      </c>
      <c r="AA505" s="331" t="s">
        <v>13557</v>
      </c>
      <c r="AB505" s="333"/>
      <c r="AC505" s="333"/>
      <c r="AD505" s="334" t="s">
        <v>2922</v>
      </c>
      <c r="AE505" s="335" t="s">
        <v>966</v>
      </c>
      <c r="AF505" s="706">
        <v>42069</v>
      </c>
      <c r="AG505" s="705">
        <v>42219</v>
      </c>
      <c r="AH505" s="376"/>
      <c r="AI505" s="347"/>
      <c r="AJ505" s="347"/>
      <c r="AK505" s="371"/>
      <c r="AL505" s="417" t="s">
        <v>210</v>
      </c>
      <c r="AM505" s="392" t="s">
        <v>210</v>
      </c>
      <c r="AN505" s="392" t="s">
        <v>210</v>
      </c>
      <c r="AO505" s="341" t="s">
        <v>210</v>
      </c>
      <c r="AP505" s="342"/>
      <c r="AQ505" s="343"/>
      <c r="AR505" s="370">
        <v>890</v>
      </c>
      <c r="AS505" s="326">
        <v>100</v>
      </c>
      <c r="AT505" s="392">
        <v>1</v>
      </c>
      <c r="AU505" s="392"/>
      <c r="AV505" s="392">
        <v>1.2</v>
      </c>
      <c r="AW505" s="341"/>
      <c r="AX505" s="376"/>
      <c r="AY505" s="348"/>
      <c r="AZ505" s="377"/>
      <c r="BA505" s="374"/>
      <c r="BB505" s="374"/>
      <c r="BC505" s="374"/>
      <c r="BD505" s="374"/>
      <c r="BE505" s="374"/>
      <c r="BF505" s="374"/>
      <c r="BG505" s="374"/>
      <c r="BH505" s="378"/>
      <c r="BI505" s="376"/>
      <c r="BJ505" s="379"/>
      <c r="BK505" s="380"/>
      <c r="BL505" s="348"/>
      <c r="BM505" s="381"/>
      <c r="BN505" s="321" t="s">
        <v>14</v>
      </c>
      <c r="BO505" s="372"/>
      <c r="BP505" s="373" t="s">
        <v>14</v>
      </c>
      <c r="BQ505" s="360"/>
      <c r="BR505" s="361"/>
      <c r="BS505" s="361"/>
      <c r="BT505" s="361"/>
      <c r="BU505" s="342" t="s">
        <v>210</v>
      </c>
      <c r="BV505" s="342" t="s">
        <v>210</v>
      </c>
      <c r="BW505" s="341" t="s">
        <v>15</v>
      </c>
      <c r="BX505" s="361"/>
      <c r="BY505" s="362"/>
      <c r="BZ505" s="363"/>
      <c r="CA505" s="363"/>
      <c r="CB505" s="363"/>
      <c r="CC505" s="363"/>
    </row>
    <row r="506" spans="1:82" ht="22.5" customHeight="1">
      <c r="B506" s="365">
        <v>150097</v>
      </c>
      <c r="C506" s="366" t="s">
        <v>2036</v>
      </c>
      <c r="D506" s="419"/>
      <c r="E506" s="368"/>
      <c r="F506" s="321" t="s">
        <v>839</v>
      </c>
      <c r="G506" s="326" t="s">
        <v>2043</v>
      </c>
      <c r="H506" s="326" t="s">
        <v>2044</v>
      </c>
      <c r="I506" s="326" t="s">
        <v>766</v>
      </c>
      <c r="J506" s="326" t="s">
        <v>387</v>
      </c>
      <c r="K506" s="326" t="s">
        <v>993</v>
      </c>
      <c r="L506" s="323"/>
      <c r="M506" s="408"/>
      <c r="N506" s="325" t="s">
        <v>210</v>
      </c>
      <c r="O506" s="326" t="s">
        <v>210</v>
      </c>
      <c r="P506" s="327">
        <v>836</v>
      </c>
      <c r="Q506" s="369">
        <v>532</v>
      </c>
      <c r="R506" s="329" t="s">
        <v>2290</v>
      </c>
      <c r="S506" s="331" t="s">
        <v>13552</v>
      </c>
      <c r="T506" s="331" t="s">
        <v>13555</v>
      </c>
      <c r="U506" s="331" t="s">
        <v>13554</v>
      </c>
      <c r="V506" s="331" t="s">
        <v>13553</v>
      </c>
      <c r="W506" s="332" t="s">
        <v>2817</v>
      </c>
      <c r="X506" s="330"/>
      <c r="Y506" s="330"/>
      <c r="Z506" s="330"/>
      <c r="AA506" s="330"/>
      <c r="AB506" s="333"/>
      <c r="AC506" s="333"/>
      <c r="AD506" s="329" t="s">
        <v>2816</v>
      </c>
      <c r="AE506" s="391"/>
      <c r="AF506" s="440"/>
      <c r="AG506" s="441"/>
      <c r="AH506" s="417" t="s">
        <v>210</v>
      </c>
      <c r="AI506" s="392" t="s">
        <v>210</v>
      </c>
      <c r="AJ506" s="392" t="s">
        <v>210</v>
      </c>
      <c r="AK506" s="340" t="s">
        <v>210</v>
      </c>
      <c r="AL506" s="417" t="s">
        <v>210</v>
      </c>
      <c r="AM506" s="392" t="s">
        <v>210</v>
      </c>
      <c r="AN506" s="392" t="s">
        <v>210</v>
      </c>
      <c r="AO506" s="341" t="s">
        <v>210</v>
      </c>
      <c r="AP506" s="342"/>
      <c r="AQ506" s="343"/>
      <c r="AR506" s="370">
        <v>778</v>
      </c>
      <c r="AS506" s="326">
        <v>30</v>
      </c>
      <c r="AT506" s="392">
        <v>1</v>
      </c>
      <c r="AU506" s="392"/>
      <c r="AV506" s="392">
        <v>1.5</v>
      </c>
      <c r="AW506" s="341"/>
      <c r="AX506" s="376"/>
      <c r="AY506" s="348"/>
      <c r="AZ506" s="377"/>
      <c r="BA506" s="374"/>
      <c r="BB506" s="374"/>
      <c r="BC506" s="374"/>
      <c r="BD506" s="374"/>
      <c r="BE506" s="374"/>
      <c r="BF506" s="374"/>
      <c r="BG506" s="374"/>
      <c r="BH506" s="378"/>
      <c r="BI506" s="376"/>
      <c r="BJ506" s="379"/>
      <c r="BK506" s="380"/>
      <c r="BL506" s="348"/>
      <c r="BM506" s="381"/>
      <c r="BN506" s="321" t="s">
        <v>14</v>
      </c>
      <c r="BO506" s="372"/>
      <c r="BP506" s="373" t="s">
        <v>14</v>
      </c>
      <c r="BQ506" s="360"/>
      <c r="BR506" s="361"/>
      <c r="BS506" s="361"/>
      <c r="BT506" s="361"/>
      <c r="BU506" s="342" t="s">
        <v>210</v>
      </c>
      <c r="BV506" s="342" t="s">
        <v>210</v>
      </c>
      <c r="BW506" s="341" t="s">
        <v>15</v>
      </c>
      <c r="BX506" s="361"/>
      <c r="BY506" s="362"/>
      <c r="BZ506" s="363"/>
      <c r="CA506" s="363"/>
      <c r="CB506" s="363"/>
      <c r="CC506" s="363"/>
    </row>
    <row r="507" spans="1:82" ht="22.5" customHeight="1">
      <c r="B507" s="365">
        <v>150098</v>
      </c>
      <c r="C507" s="366" t="s">
        <v>13549</v>
      </c>
      <c r="D507" s="419"/>
      <c r="E507" s="368"/>
      <c r="F507" s="321" t="s">
        <v>839</v>
      </c>
      <c r="G507" s="326" t="s">
        <v>1794</v>
      </c>
      <c r="H507" s="326" t="s">
        <v>1795</v>
      </c>
      <c r="I507" s="326" t="s">
        <v>383</v>
      </c>
      <c r="J507" s="326" t="s">
        <v>387</v>
      </c>
      <c r="K507" s="326" t="s">
        <v>247</v>
      </c>
      <c r="L507" s="323"/>
      <c r="M507" s="408"/>
      <c r="N507" s="325" t="s">
        <v>1672</v>
      </c>
      <c r="O507" s="327" t="s">
        <v>210</v>
      </c>
      <c r="P507" s="327" t="s">
        <v>210</v>
      </c>
      <c r="Q507" s="369" t="s">
        <v>210</v>
      </c>
      <c r="R507" s="329" t="s">
        <v>1673</v>
      </c>
      <c r="S507" s="330"/>
      <c r="T507" s="330"/>
      <c r="U507" s="330"/>
      <c r="V507" s="330"/>
      <c r="W507" s="332" t="s">
        <v>725</v>
      </c>
      <c r="X507" s="331" t="s">
        <v>13550</v>
      </c>
      <c r="Y507" s="330"/>
      <c r="Z507" s="330"/>
      <c r="AA507" s="331" t="s">
        <v>13551</v>
      </c>
      <c r="AB507" s="333"/>
      <c r="AC507" s="333"/>
      <c r="AD507" s="334" t="s">
        <v>1719</v>
      </c>
      <c r="AE507" s="335" t="s">
        <v>1705</v>
      </c>
      <c r="AF507" s="706">
        <v>42121</v>
      </c>
      <c r="AG507" s="705">
        <v>42151</v>
      </c>
      <c r="AH507" s="417" t="s">
        <v>210</v>
      </c>
      <c r="AI507" s="392" t="s">
        <v>210</v>
      </c>
      <c r="AJ507" s="392" t="s">
        <v>210</v>
      </c>
      <c r="AK507" s="340" t="s">
        <v>210</v>
      </c>
      <c r="AL507" s="417" t="s">
        <v>210</v>
      </c>
      <c r="AM507" s="392" t="s">
        <v>210</v>
      </c>
      <c r="AN507" s="392" t="s">
        <v>210</v>
      </c>
      <c r="AO507" s="341" t="s">
        <v>2289</v>
      </c>
      <c r="AP507" s="342"/>
      <c r="AQ507" s="343"/>
      <c r="AR507" s="370">
        <v>765</v>
      </c>
      <c r="AS507" s="326">
        <v>150</v>
      </c>
      <c r="AT507" s="392">
        <v>0.8</v>
      </c>
      <c r="AU507" s="392"/>
      <c r="AV507" s="392">
        <v>2</v>
      </c>
      <c r="AW507" s="341"/>
      <c r="AX507" s="376"/>
      <c r="AY507" s="348"/>
      <c r="AZ507" s="377"/>
      <c r="BA507" s="374"/>
      <c r="BB507" s="374"/>
      <c r="BC507" s="374"/>
      <c r="BD507" s="374"/>
      <c r="BE507" s="374"/>
      <c r="BF507" s="374"/>
      <c r="BG507" s="374"/>
      <c r="BH507" s="378"/>
      <c r="BI507" s="376"/>
      <c r="BJ507" s="379"/>
      <c r="BK507" s="380"/>
      <c r="BL507" s="348"/>
      <c r="BM507" s="381"/>
      <c r="BN507" s="417" t="s">
        <v>210</v>
      </c>
      <c r="BO507" s="372"/>
      <c r="BP507" s="373" t="s">
        <v>14</v>
      </c>
      <c r="BQ507" s="360"/>
      <c r="BR507" s="361"/>
      <c r="BS507" s="361"/>
      <c r="BT507" s="361"/>
      <c r="BU507" s="342" t="s">
        <v>210</v>
      </c>
      <c r="BV507" s="342" t="s">
        <v>210</v>
      </c>
      <c r="BW507" s="341" t="s">
        <v>15</v>
      </c>
      <c r="BX507" s="361"/>
      <c r="BY507" s="362"/>
      <c r="BZ507" s="363"/>
      <c r="CA507" s="363"/>
      <c r="CB507" s="363"/>
      <c r="CC507" s="363"/>
    </row>
    <row r="508" spans="1:82" ht="22.5" customHeight="1">
      <c r="B508" s="365">
        <v>150107</v>
      </c>
      <c r="C508" s="366" t="s">
        <v>1648</v>
      </c>
      <c r="D508" s="419"/>
      <c r="E508" s="368"/>
      <c r="F508" s="321" t="s">
        <v>240</v>
      </c>
      <c r="G508" s="326" t="s">
        <v>1796</v>
      </c>
      <c r="H508" s="326" t="s">
        <v>1797</v>
      </c>
      <c r="I508" s="326" t="s">
        <v>383</v>
      </c>
      <c r="J508" s="326" t="s">
        <v>399</v>
      </c>
      <c r="K508" s="326" t="s">
        <v>1649</v>
      </c>
      <c r="L508" s="323"/>
      <c r="M508" s="408"/>
      <c r="N508" s="325" t="s">
        <v>437</v>
      </c>
      <c r="O508" s="326" t="s">
        <v>1671</v>
      </c>
      <c r="P508" s="327">
        <v>650</v>
      </c>
      <c r="Q508" s="369">
        <v>650</v>
      </c>
      <c r="R508" s="329" t="s">
        <v>1136</v>
      </c>
      <c r="S508" s="331" t="s">
        <v>11942</v>
      </c>
      <c r="T508" s="394" t="s">
        <v>11940</v>
      </c>
      <c r="U508" s="394" t="s">
        <v>16215</v>
      </c>
      <c r="V508" s="331" t="s">
        <v>11941</v>
      </c>
      <c r="W508" s="332" t="s">
        <v>1111</v>
      </c>
      <c r="X508" s="331" t="s">
        <v>11936</v>
      </c>
      <c r="Y508" s="331" t="s">
        <v>11938</v>
      </c>
      <c r="Z508" s="331" t="s">
        <v>11937</v>
      </c>
      <c r="AA508" s="331" t="s">
        <v>11939</v>
      </c>
      <c r="AB508" s="333"/>
      <c r="AC508" s="416"/>
      <c r="AD508" s="375"/>
      <c r="AE508" s="335" t="s">
        <v>210</v>
      </c>
      <c r="AF508" s="706">
        <v>42100</v>
      </c>
      <c r="AG508" s="705">
        <v>42177</v>
      </c>
      <c r="AH508" s="417" t="s">
        <v>210</v>
      </c>
      <c r="AI508" s="392" t="s">
        <v>210</v>
      </c>
      <c r="AJ508" s="392" t="s">
        <v>210</v>
      </c>
      <c r="AK508" s="340" t="s">
        <v>210</v>
      </c>
      <c r="AL508" s="417" t="s">
        <v>210</v>
      </c>
      <c r="AM508" s="392" t="s">
        <v>210</v>
      </c>
      <c r="AN508" s="392" t="s">
        <v>210</v>
      </c>
      <c r="AO508" s="341" t="s">
        <v>210</v>
      </c>
      <c r="AP508" s="342"/>
      <c r="AQ508" s="343"/>
      <c r="AR508" s="370">
        <v>835</v>
      </c>
      <c r="AS508" s="326">
        <v>100</v>
      </c>
      <c r="AT508" s="392">
        <v>0.8</v>
      </c>
      <c r="AU508" s="392"/>
      <c r="AV508" s="392">
        <v>1.2</v>
      </c>
      <c r="AW508" s="341"/>
      <c r="AX508" s="376"/>
      <c r="AY508" s="348"/>
      <c r="AZ508" s="377"/>
      <c r="BA508" s="374"/>
      <c r="BB508" s="374"/>
      <c r="BC508" s="374"/>
      <c r="BD508" s="374"/>
      <c r="BE508" s="374"/>
      <c r="BF508" s="374"/>
      <c r="BG508" s="374"/>
      <c r="BH508" s="378"/>
      <c r="BI508" s="376"/>
      <c r="BJ508" s="379"/>
      <c r="BK508" s="380"/>
      <c r="BL508" s="348"/>
      <c r="BM508" s="381"/>
      <c r="BN508" s="321" t="s">
        <v>14</v>
      </c>
      <c r="BO508" s="372"/>
      <c r="BP508" s="340" t="s">
        <v>210</v>
      </c>
      <c r="BQ508" s="360"/>
      <c r="BR508" s="361"/>
      <c r="BS508" s="361"/>
      <c r="BT508" s="361"/>
      <c r="BU508" s="342" t="s">
        <v>210</v>
      </c>
      <c r="BV508" s="342" t="s">
        <v>210</v>
      </c>
      <c r="BW508" s="341" t="s">
        <v>15</v>
      </c>
      <c r="BX508" s="361"/>
      <c r="BY508" s="362"/>
      <c r="BZ508" s="363"/>
      <c r="CA508" s="363"/>
      <c r="CB508" s="363"/>
      <c r="CC508" s="363"/>
    </row>
    <row r="509" spans="1:82" ht="22.5" customHeight="1">
      <c r="B509" s="442">
        <v>150109</v>
      </c>
      <c r="C509" s="747" t="s">
        <v>3147</v>
      </c>
      <c r="D509" s="439"/>
      <c r="E509" s="404"/>
      <c r="F509" s="405" t="s">
        <v>222</v>
      </c>
      <c r="G509" s="324" t="s">
        <v>3155</v>
      </c>
      <c r="H509" s="324" t="s">
        <v>3156</v>
      </c>
      <c r="I509" s="326" t="s">
        <v>383</v>
      </c>
      <c r="J509" s="326" t="s">
        <v>399</v>
      </c>
      <c r="K509" s="326" t="s">
        <v>247</v>
      </c>
      <c r="L509" s="361"/>
      <c r="M509" s="408"/>
      <c r="N509" s="325" t="s">
        <v>438</v>
      </c>
      <c r="O509" s="324">
        <v>85</v>
      </c>
      <c r="P509" s="327" t="s">
        <v>210</v>
      </c>
      <c r="Q509" s="369" t="s">
        <v>210</v>
      </c>
      <c r="R509" s="420" t="s">
        <v>3149</v>
      </c>
      <c r="S509" s="394" t="s">
        <v>13545</v>
      </c>
      <c r="T509" s="394" t="s">
        <v>13547</v>
      </c>
      <c r="U509" s="394" t="s">
        <v>13546</v>
      </c>
      <c r="V509" s="394" t="s">
        <v>13548</v>
      </c>
      <c r="W509" s="460" t="s">
        <v>3152</v>
      </c>
      <c r="X509" s="394" t="s">
        <v>13541</v>
      </c>
      <c r="Y509" s="394" t="s">
        <v>13543</v>
      </c>
      <c r="Z509" s="394" t="s">
        <v>13542</v>
      </c>
      <c r="AA509" s="394" t="s">
        <v>13544</v>
      </c>
      <c r="AB509" s="333"/>
      <c r="AC509" s="416"/>
      <c r="AD509" s="447" t="s">
        <v>3148</v>
      </c>
      <c r="AE509" s="499" t="s">
        <v>1720</v>
      </c>
      <c r="AF509" s="475">
        <v>42355</v>
      </c>
      <c r="AG509" s="748">
        <v>42437</v>
      </c>
      <c r="AH509" s="417" t="s">
        <v>210</v>
      </c>
      <c r="AI509" s="392" t="s">
        <v>210</v>
      </c>
      <c r="AJ509" s="392" t="s">
        <v>210</v>
      </c>
      <c r="AK509" s="340" t="s">
        <v>210</v>
      </c>
      <c r="AL509" s="417" t="s">
        <v>210</v>
      </c>
      <c r="AM509" s="392" t="s">
        <v>210</v>
      </c>
      <c r="AN509" s="392" t="s">
        <v>210</v>
      </c>
      <c r="AO509" s="341" t="s">
        <v>210</v>
      </c>
      <c r="AP509" s="342"/>
      <c r="AQ509" s="343"/>
      <c r="AR509" s="452">
        <v>3450</v>
      </c>
      <c r="AS509" s="326">
        <v>150</v>
      </c>
      <c r="AT509" s="392">
        <v>1</v>
      </c>
      <c r="AU509" s="392"/>
      <c r="AV509" s="392">
        <v>1.5</v>
      </c>
      <c r="AW509" s="341"/>
      <c r="AX509" s="410"/>
      <c r="AY509" s="413"/>
      <c r="AZ509" s="407"/>
      <c r="BA509" s="408"/>
      <c r="BB509" s="408"/>
      <c r="BC509" s="408"/>
      <c r="BD509" s="408"/>
      <c r="BE509" s="408"/>
      <c r="BF509" s="408"/>
      <c r="BG509" s="408"/>
      <c r="BH509" s="409"/>
      <c r="BI509" s="410"/>
      <c r="BJ509" s="411"/>
      <c r="BK509" s="412"/>
      <c r="BL509" s="413"/>
      <c r="BM509" s="414"/>
      <c r="BN509" s="321" t="s">
        <v>14</v>
      </c>
      <c r="BO509" s="372"/>
      <c r="BP509" s="340" t="s">
        <v>210</v>
      </c>
      <c r="BQ509" s="360"/>
      <c r="BR509" s="361"/>
      <c r="BS509" s="361"/>
      <c r="BT509" s="361"/>
      <c r="BU509" s="342" t="s">
        <v>210</v>
      </c>
      <c r="BV509" s="342" t="s">
        <v>210</v>
      </c>
      <c r="BW509" s="341" t="s">
        <v>210</v>
      </c>
      <c r="BX509" s="361"/>
      <c r="BY509" s="457"/>
      <c r="BZ509" s="363"/>
      <c r="CA509" s="363"/>
      <c r="CB509" s="363"/>
      <c r="CC509" s="363"/>
    </row>
    <row r="510" spans="1:82" ht="22.5" customHeight="1">
      <c r="B510" s="365">
        <v>150116</v>
      </c>
      <c r="C510" s="366" t="s">
        <v>13076</v>
      </c>
      <c r="D510" s="419"/>
      <c r="E510" s="368"/>
      <c r="F510" s="321" t="s">
        <v>233</v>
      </c>
      <c r="G510" s="326" t="s">
        <v>1798</v>
      </c>
      <c r="H510" s="326" t="s">
        <v>1799</v>
      </c>
      <c r="I510" s="326" t="s">
        <v>383</v>
      </c>
      <c r="J510" s="326" t="s">
        <v>216</v>
      </c>
      <c r="K510" s="326" t="s">
        <v>917</v>
      </c>
      <c r="L510" s="323"/>
      <c r="M510" s="408"/>
      <c r="N510" s="325" t="s">
        <v>1672</v>
      </c>
      <c r="O510" s="326">
        <v>30</v>
      </c>
      <c r="P510" s="327">
        <v>7463</v>
      </c>
      <c r="Q510" s="369">
        <v>2612</v>
      </c>
      <c r="R510" s="329" t="s">
        <v>636</v>
      </c>
      <c r="S510" s="394" t="s">
        <v>12275</v>
      </c>
      <c r="T510" s="394" t="s">
        <v>12276</v>
      </c>
      <c r="U510" s="394" t="s">
        <v>12277</v>
      </c>
      <c r="V510" s="394" t="s">
        <v>12278</v>
      </c>
      <c r="W510" s="332" t="s">
        <v>432</v>
      </c>
      <c r="X510" s="331" t="s">
        <v>11079</v>
      </c>
      <c r="Y510" s="331" t="s">
        <v>11080</v>
      </c>
      <c r="Z510" s="331" t="s">
        <v>11080</v>
      </c>
      <c r="AA510" s="331" t="s">
        <v>210</v>
      </c>
      <c r="AB510" s="333"/>
      <c r="AC510" s="333"/>
      <c r="AD510" s="334" t="s">
        <v>2070</v>
      </c>
      <c r="AE510" s="335" t="s">
        <v>2071</v>
      </c>
      <c r="AF510" s="706">
        <v>42081</v>
      </c>
      <c r="AG510" s="705">
        <v>42188</v>
      </c>
      <c r="AH510" s="376"/>
      <c r="AI510" s="347"/>
      <c r="AJ510" s="347"/>
      <c r="AK510" s="371"/>
      <c r="AL510" s="417" t="s">
        <v>210</v>
      </c>
      <c r="AM510" s="392" t="s">
        <v>210</v>
      </c>
      <c r="AN510" s="392" t="s">
        <v>210</v>
      </c>
      <c r="AO510" s="341" t="s">
        <v>210</v>
      </c>
      <c r="AP510" s="342"/>
      <c r="AQ510" s="343"/>
      <c r="AR510" s="370">
        <v>2767</v>
      </c>
      <c r="AS510" s="326">
        <v>130</v>
      </c>
      <c r="AT510" s="392">
        <v>1</v>
      </c>
      <c r="AU510" s="392"/>
      <c r="AV510" s="392">
        <v>1.5</v>
      </c>
      <c r="AW510" s="341"/>
      <c r="AX510" s="376"/>
      <c r="AY510" s="348"/>
      <c r="AZ510" s="377"/>
      <c r="BA510" s="374"/>
      <c r="BB510" s="374"/>
      <c r="BC510" s="374"/>
      <c r="BD510" s="374"/>
      <c r="BE510" s="374"/>
      <c r="BF510" s="374"/>
      <c r="BG510" s="374"/>
      <c r="BH510" s="378"/>
      <c r="BI510" s="376"/>
      <c r="BJ510" s="379"/>
      <c r="BK510" s="380"/>
      <c r="BL510" s="348"/>
      <c r="BM510" s="381"/>
      <c r="BN510" s="321" t="s">
        <v>14</v>
      </c>
      <c r="BO510" s="372"/>
      <c r="BP510" s="373" t="s">
        <v>14</v>
      </c>
      <c r="BQ510" s="360"/>
      <c r="BR510" s="361"/>
      <c r="BS510" s="361"/>
      <c r="BT510" s="361"/>
      <c r="BU510" s="342" t="s">
        <v>210</v>
      </c>
      <c r="BV510" s="342" t="s">
        <v>210</v>
      </c>
      <c r="BW510" s="341" t="s">
        <v>15</v>
      </c>
      <c r="BX510" s="361"/>
      <c r="BY510" s="362"/>
      <c r="BZ510" s="363"/>
      <c r="CA510" s="363"/>
      <c r="CB510" s="363"/>
      <c r="CC510" s="363"/>
    </row>
    <row r="511" spans="1:82" ht="22.5" customHeight="1">
      <c r="B511" s="365">
        <v>150118</v>
      </c>
      <c r="C511" s="366" t="s">
        <v>1637</v>
      </c>
      <c r="D511" s="419"/>
      <c r="E511" s="368"/>
      <c r="F511" s="321" t="s">
        <v>240</v>
      </c>
      <c r="G511" s="326" t="s">
        <v>15435</v>
      </c>
      <c r="H511" s="326" t="s">
        <v>15436</v>
      </c>
      <c r="I511" s="326" t="s">
        <v>383</v>
      </c>
      <c r="J511" s="326" t="s">
        <v>387</v>
      </c>
      <c r="K511" s="326" t="s">
        <v>917</v>
      </c>
      <c r="L511" s="432" t="s">
        <v>210</v>
      </c>
      <c r="M511" s="324" t="s">
        <v>6509</v>
      </c>
      <c r="N511" s="325" t="s">
        <v>1638</v>
      </c>
      <c r="O511" s="326">
        <v>30</v>
      </c>
      <c r="P511" s="327">
        <v>7160.3</v>
      </c>
      <c r="Q511" s="369">
        <v>6859.16</v>
      </c>
      <c r="R511" s="329" t="s">
        <v>447</v>
      </c>
      <c r="S511" s="332" t="s">
        <v>11188</v>
      </c>
      <c r="T511" s="332" t="s">
        <v>11078</v>
      </c>
      <c r="U511" s="332" t="s">
        <v>16355</v>
      </c>
      <c r="V511" s="332" t="s">
        <v>12158</v>
      </c>
      <c r="W511" s="332" t="s">
        <v>432</v>
      </c>
      <c r="X511" s="331" t="s">
        <v>11079</v>
      </c>
      <c r="Y511" s="331" t="s">
        <v>11080</v>
      </c>
      <c r="Z511" s="331" t="s">
        <v>11080</v>
      </c>
      <c r="AA511" s="331" t="s">
        <v>210</v>
      </c>
      <c r="AB511" s="333"/>
      <c r="AC511" s="333"/>
      <c r="AD511" s="334" t="s">
        <v>730</v>
      </c>
      <c r="AE511" s="335" t="s">
        <v>1846</v>
      </c>
      <c r="AF511" s="706">
        <v>42106</v>
      </c>
      <c r="AG511" s="705">
        <v>42181</v>
      </c>
      <c r="AH511" s="376"/>
      <c r="AI511" s="347"/>
      <c r="AJ511" s="347"/>
      <c r="AK511" s="371"/>
      <c r="AL511" s="417" t="s">
        <v>210</v>
      </c>
      <c r="AM511" s="392" t="s">
        <v>210</v>
      </c>
      <c r="AN511" s="392" t="s">
        <v>210</v>
      </c>
      <c r="AO511" s="341" t="s">
        <v>210</v>
      </c>
      <c r="AP511" s="342"/>
      <c r="AQ511" s="433" t="s">
        <v>4547</v>
      </c>
      <c r="AR511" s="370">
        <v>7948</v>
      </c>
      <c r="AS511" s="326">
        <v>150</v>
      </c>
      <c r="AT511" s="392">
        <v>0.8</v>
      </c>
      <c r="AU511" s="392"/>
      <c r="AV511" s="392">
        <v>1</v>
      </c>
      <c r="AW511" s="341"/>
      <c r="AX511" s="453" t="s">
        <v>210</v>
      </c>
      <c r="AY511" s="429" t="s">
        <v>622</v>
      </c>
      <c r="AZ511" s="377"/>
      <c r="BA511" s="374"/>
      <c r="BB511" s="374"/>
      <c r="BC511" s="374"/>
      <c r="BD511" s="374"/>
      <c r="BE511" s="374"/>
      <c r="BF511" s="374"/>
      <c r="BG511" s="374"/>
      <c r="BH511" s="378"/>
      <c r="BI511" s="376"/>
      <c r="BJ511" s="379"/>
      <c r="BK511" s="380"/>
      <c r="BL511" s="348"/>
      <c r="BM511" s="381"/>
      <c r="BN511" s="321" t="s">
        <v>14</v>
      </c>
      <c r="BO511" s="372"/>
      <c r="BP511" s="340" t="s">
        <v>210</v>
      </c>
      <c r="BQ511" s="360"/>
      <c r="BR511" s="361"/>
      <c r="BS511" s="361"/>
      <c r="BT511" s="361"/>
      <c r="BU511" s="342" t="s">
        <v>210</v>
      </c>
      <c r="BV511" s="342" t="s">
        <v>210</v>
      </c>
      <c r="BW511" s="341" t="s">
        <v>15</v>
      </c>
      <c r="BX511" s="361"/>
      <c r="BY511" s="362"/>
      <c r="BZ511" s="363"/>
      <c r="CA511" s="363"/>
      <c r="CB511" s="363"/>
      <c r="CC511" s="363"/>
    </row>
    <row r="512" spans="1:82" ht="22.5" customHeight="1">
      <c r="B512" s="365">
        <v>150125</v>
      </c>
      <c r="C512" s="366" t="s">
        <v>1756</v>
      </c>
      <c r="D512" s="419"/>
      <c r="E512" s="368"/>
      <c r="F512" s="321" t="s">
        <v>1058</v>
      </c>
      <c r="G512" s="326" t="s">
        <v>2051</v>
      </c>
      <c r="H512" s="326" t="s">
        <v>2052</v>
      </c>
      <c r="I512" s="326" t="s">
        <v>383</v>
      </c>
      <c r="J512" s="326" t="s">
        <v>216</v>
      </c>
      <c r="K512" s="326" t="s">
        <v>1059</v>
      </c>
      <c r="L512" s="323"/>
      <c r="M512" s="408"/>
      <c r="N512" s="325" t="s">
        <v>2050</v>
      </c>
      <c r="O512" s="326">
        <v>30</v>
      </c>
      <c r="P512" s="327" t="s">
        <v>210</v>
      </c>
      <c r="Q512" s="369" t="s">
        <v>210</v>
      </c>
      <c r="R512" s="329" t="s">
        <v>2879</v>
      </c>
      <c r="S512" s="331" t="s">
        <v>13538</v>
      </c>
      <c r="T512" s="331" t="s">
        <v>13540</v>
      </c>
      <c r="U512" s="331" t="s">
        <v>13539</v>
      </c>
      <c r="V512" s="331" t="s">
        <v>13537</v>
      </c>
      <c r="W512" s="332" t="s">
        <v>2306</v>
      </c>
      <c r="X512" s="331" t="s">
        <v>13535</v>
      </c>
      <c r="Y512" s="330"/>
      <c r="Z512" s="330"/>
      <c r="AA512" s="331" t="s">
        <v>13536</v>
      </c>
      <c r="AB512" s="333"/>
      <c r="AC512" s="333"/>
      <c r="AD512" s="780" t="s">
        <v>2466</v>
      </c>
      <c r="AE512" s="391"/>
      <c r="AF512" s="706">
        <v>42164</v>
      </c>
      <c r="AG512" s="705">
        <v>42240</v>
      </c>
      <c r="AH512" s="417" t="s">
        <v>210</v>
      </c>
      <c r="AI512" s="392" t="s">
        <v>210</v>
      </c>
      <c r="AJ512" s="392" t="s">
        <v>210</v>
      </c>
      <c r="AK512" s="340" t="s">
        <v>210</v>
      </c>
      <c r="AL512" s="417" t="s">
        <v>210</v>
      </c>
      <c r="AM512" s="425" t="s">
        <v>8761</v>
      </c>
      <c r="AN512" s="392" t="s">
        <v>210</v>
      </c>
      <c r="AO512" s="341" t="s">
        <v>210</v>
      </c>
      <c r="AP512" s="418"/>
      <c r="AQ512" s="343"/>
      <c r="AR512" s="370">
        <f>687+690</f>
        <v>1377</v>
      </c>
      <c r="AS512" s="326">
        <v>100</v>
      </c>
      <c r="AT512" s="392">
        <v>0.8</v>
      </c>
      <c r="AU512" s="392"/>
      <c r="AV512" s="392">
        <v>1.2</v>
      </c>
      <c r="AW512" s="341"/>
      <c r="AX512" s="453" t="s">
        <v>210</v>
      </c>
      <c r="AY512" s="348"/>
      <c r="AZ512" s="405" t="s">
        <v>3367</v>
      </c>
      <c r="BA512" s="324" t="s">
        <v>210</v>
      </c>
      <c r="BB512" s="324" t="s">
        <v>210</v>
      </c>
      <c r="BC512" s="324" t="s">
        <v>210</v>
      </c>
      <c r="BD512" s="324" t="s">
        <v>210</v>
      </c>
      <c r="BE512" s="326" t="s">
        <v>10379</v>
      </c>
      <c r="BF512" s="324" t="s">
        <v>3556</v>
      </c>
      <c r="BG512" s="326" t="s">
        <v>10380</v>
      </c>
      <c r="BH512" s="373" t="s">
        <v>10381</v>
      </c>
      <c r="BI512" s="376"/>
      <c r="BJ512" s="379"/>
      <c r="BK512" s="380"/>
      <c r="BL512" s="348"/>
      <c r="BM512" s="381"/>
      <c r="BN512" s="417" t="s">
        <v>210</v>
      </c>
      <c r="BO512" s="372"/>
      <c r="BP512" s="340" t="s">
        <v>210</v>
      </c>
      <c r="BQ512" s="360"/>
      <c r="BR512" s="361"/>
      <c r="BS512" s="361"/>
      <c r="BT512" s="361"/>
      <c r="BU512" s="361"/>
      <c r="BV512" s="418" t="s">
        <v>5411</v>
      </c>
      <c r="BW512" s="341" t="s">
        <v>622</v>
      </c>
      <c r="BX512" s="361"/>
      <c r="BY512" s="362"/>
      <c r="BZ512" s="363"/>
      <c r="CA512" s="363"/>
      <c r="CB512" s="363"/>
      <c r="CC512" s="363"/>
    </row>
    <row r="513" spans="1:82" ht="22.5" customHeight="1">
      <c r="B513" s="365">
        <v>150126</v>
      </c>
      <c r="C513" s="366" t="s">
        <v>13530</v>
      </c>
      <c r="D513" s="419"/>
      <c r="E513" s="368"/>
      <c r="F513" s="321" t="s">
        <v>1706</v>
      </c>
      <c r="G513" s="326" t="s">
        <v>1800</v>
      </c>
      <c r="H513" s="326" t="s">
        <v>1801</v>
      </c>
      <c r="I513" s="326" t="s">
        <v>383</v>
      </c>
      <c r="J513" s="326" t="s">
        <v>387</v>
      </c>
      <c r="K513" s="326" t="s">
        <v>1707</v>
      </c>
      <c r="L513" s="323"/>
      <c r="M513" s="408"/>
      <c r="N513" s="325" t="s">
        <v>1708</v>
      </c>
      <c r="O513" s="326">
        <v>25</v>
      </c>
      <c r="P513" s="327">
        <v>462</v>
      </c>
      <c r="Q513" s="369">
        <v>302</v>
      </c>
      <c r="R513" s="329" t="s">
        <v>1750</v>
      </c>
      <c r="S513" s="330"/>
      <c r="T513" s="330"/>
      <c r="U513" s="330"/>
      <c r="V513" s="330"/>
      <c r="W513" s="332" t="s">
        <v>1676</v>
      </c>
      <c r="X513" s="331" t="s">
        <v>13531</v>
      </c>
      <c r="Y513" s="331" t="s">
        <v>13533</v>
      </c>
      <c r="Z513" s="331" t="s">
        <v>13532</v>
      </c>
      <c r="AA513" s="331" t="s">
        <v>13534</v>
      </c>
      <c r="AB513" s="333"/>
      <c r="AC513" s="333"/>
      <c r="AD513" s="334" t="s">
        <v>1742</v>
      </c>
      <c r="AE513" s="335" t="s">
        <v>1743</v>
      </c>
      <c r="AF513" s="706">
        <v>42135</v>
      </c>
      <c r="AG513" s="705">
        <v>42157</v>
      </c>
      <c r="AH513" s="417" t="s">
        <v>210</v>
      </c>
      <c r="AI513" s="392" t="s">
        <v>210</v>
      </c>
      <c r="AJ513" s="392" t="s">
        <v>210</v>
      </c>
      <c r="AK513" s="340" t="s">
        <v>210</v>
      </c>
      <c r="AL513" s="417" t="s">
        <v>210</v>
      </c>
      <c r="AM513" s="392" t="s">
        <v>210</v>
      </c>
      <c r="AN513" s="392" t="s">
        <v>210</v>
      </c>
      <c r="AO513" s="341" t="s">
        <v>210</v>
      </c>
      <c r="AP513" s="342"/>
      <c r="AQ513" s="343"/>
      <c r="AR513" s="370">
        <v>341</v>
      </c>
      <c r="AS513" s="326">
        <v>120</v>
      </c>
      <c r="AT513" s="392">
        <v>0.8</v>
      </c>
      <c r="AU513" s="392"/>
      <c r="AV513" s="392">
        <v>1.5</v>
      </c>
      <c r="AW513" s="341"/>
      <c r="AX513" s="376"/>
      <c r="AY513" s="348"/>
      <c r="AZ513" s="377"/>
      <c r="BA513" s="374"/>
      <c r="BB513" s="374"/>
      <c r="BC513" s="374"/>
      <c r="BD513" s="374"/>
      <c r="BE513" s="374"/>
      <c r="BF513" s="374"/>
      <c r="BG513" s="374"/>
      <c r="BH513" s="378"/>
      <c r="BI513" s="376"/>
      <c r="BJ513" s="379"/>
      <c r="BK513" s="380"/>
      <c r="BL513" s="348"/>
      <c r="BM513" s="381"/>
      <c r="BN513" s="321" t="s">
        <v>14</v>
      </c>
      <c r="BO513" s="372"/>
      <c r="BP513" s="373" t="s">
        <v>14</v>
      </c>
      <c r="BQ513" s="360"/>
      <c r="BR513" s="361"/>
      <c r="BS513" s="361"/>
      <c r="BT513" s="361"/>
      <c r="BU513" s="342" t="s">
        <v>210</v>
      </c>
      <c r="BV513" s="342" t="s">
        <v>210</v>
      </c>
      <c r="BW513" s="341" t="s">
        <v>15</v>
      </c>
      <c r="BX513" s="361"/>
      <c r="BY513" s="362"/>
      <c r="BZ513" s="363"/>
      <c r="CA513" s="363"/>
      <c r="CB513" s="363"/>
      <c r="CC513" s="363"/>
    </row>
    <row r="514" spans="1:82" ht="22.5" customHeight="1">
      <c r="B514" s="365">
        <v>150127</v>
      </c>
      <c r="C514" s="366" t="s">
        <v>1700</v>
      </c>
      <c r="D514" s="419"/>
      <c r="E514" s="368"/>
      <c r="F514" s="321" t="s">
        <v>1043</v>
      </c>
      <c r="G514" s="326" t="s">
        <v>1802</v>
      </c>
      <c r="H514" s="326" t="s">
        <v>1803</v>
      </c>
      <c r="I514" s="326" t="s">
        <v>383</v>
      </c>
      <c r="J514" s="326" t="s">
        <v>216</v>
      </c>
      <c r="K514" s="326" t="s">
        <v>1701</v>
      </c>
      <c r="L514" s="323"/>
      <c r="M514" s="408"/>
      <c r="N514" s="325" t="s">
        <v>1702</v>
      </c>
      <c r="O514" s="326">
        <v>70</v>
      </c>
      <c r="P514" s="327">
        <v>1200</v>
      </c>
      <c r="Q514" s="369">
        <v>781</v>
      </c>
      <c r="R514" s="329" t="s">
        <v>1703</v>
      </c>
      <c r="S514" s="331" t="s">
        <v>13527</v>
      </c>
      <c r="T514" s="331" t="s">
        <v>13528</v>
      </c>
      <c r="U514" s="331" t="s">
        <v>13010</v>
      </c>
      <c r="V514" s="332" t="s">
        <v>13529</v>
      </c>
      <c r="W514" s="332" t="s">
        <v>592</v>
      </c>
      <c r="X514" s="330"/>
      <c r="Y514" s="330"/>
      <c r="Z514" s="330"/>
      <c r="AA514" s="330"/>
      <c r="AB514" s="333"/>
      <c r="AC514" s="333"/>
      <c r="AD514" s="334" t="s">
        <v>2339</v>
      </c>
      <c r="AE514" s="335" t="s">
        <v>2263</v>
      </c>
      <c r="AF514" s="706">
        <v>42132</v>
      </c>
      <c r="AG514" s="705">
        <v>42198</v>
      </c>
      <c r="AH514" s="417" t="s">
        <v>210</v>
      </c>
      <c r="AI514" s="392" t="s">
        <v>210</v>
      </c>
      <c r="AJ514" s="392" t="s">
        <v>210</v>
      </c>
      <c r="AK514" s="340" t="s">
        <v>210</v>
      </c>
      <c r="AL514" s="417" t="s">
        <v>1704</v>
      </c>
      <c r="AM514" s="392" t="s">
        <v>210</v>
      </c>
      <c r="AN514" s="392" t="s">
        <v>210</v>
      </c>
      <c r="AO514" s="341" t="s">
        <v>210</v>
      </c>
      <c r="AP514" s="342"/>
      <c r="AQ514" s="433" t="s">
        <v>4547</v>
      </c>
      <c r="AR514" s="370">
        <v>1204</v>
      </c>
      <c r="AS514" s="326">
        <v>120</v>
      </c>
      <c r="AT514" s="392">
        <v>1</v>
      </c>
      <c r="AU514" s="392"/>
      <c r="AV514" s="392">
        <v>2</v>
      </c>
      <c r="AW514" s="341"/>
      <c r="AX514" s="376"/>
      <c r="AY514" s="348"/>
      <c r="AZ514" s="377"/>
      <c r="BA514" s="374"/>
      <c r="BB514" s="374"/>
      <c r="BC514" s="374"/>
      <c r="BD514" s="374"/>
      <c r="BE514" s="374"/>
      <c r="BF514" s="374"/>
      <c r="BG514" s="374"/>
      <c r="BH514" s="378"/>
      <c r="BI514" s="376"/>
      <c r="BJ514" s="379"/>
      <c r="BK514" s="380"/>
      <c r="BL514" s="348"/>
      <c r="BM514" s="381"/>
      <c r="BN514" s="321" t="s">
        <v>14</v>
      </c>
      <c r="BO514" s="372">
        <v>1.0900000000000001</v>
      </c>
      <c r="BP514" s="340" t="s">
        <v>210</v>
      </c>
      <c r="BQ514" s="360"/>
      <c r="BR514" s="361"/>
      <c r="BS514" s="361"/>
      <c r="BT514" s="361"/>
      <c r="BU514" s="342" t="s">
        <v>210</v>
      </c>
      <c r="BV514" s="342" t="s">
        <v>210</v>
      </c>
      <c r="BW514" s="341" t="s">
        <v>15</v>
      </c>
      <c r="BX514" s="361"/>
      <c r="BY514" s="362"/>
      <c r="BZ514" s="363"/>
      <c r="CA514" s="363"/>
      <c r="CB514" s="363"/>
      <c r="CC514" s="363"/>
    </row>
    <row r="515" spans="1:82" ht="22.5" customHeight="1">
      <c r="B515" s="365">
        <v>150134</v>
      </c>
      <c r="C515" s="366" t="s">
        <v>13521</v>
      </c>
      <c r="D515" s="419"/>
      <c r="E515" s="368"/>
      <c r="F515" s="321" t="s">
        <v>229</v>
      </c>
      <c r="G515" s="326" t="s">
        <v>1804</v>
      </c>
      <c r="H515" s="326" t="s">
        <v>1805</v>
      </c>
      <c r="I515" s="326" t="s">
        <v>383</v>
      </c>
      <c r="J515" s="326" t="s">
        <v>399</v>
      </c>
      <c r="K515" s="326" t="s">
        <v>977</v>
      </c>
      <c r="L515" s="323"/>
      <c r="M515" s="408"/>
      <c r="N515" s="325" t="s">
        <v>1672</v>
      </c>
      <c r="O515" s="327" t="s">
        <v>210</v>
      </c>
      <c r="P515" s="327" t="s">
        <v>210</v>
      </c>
      <c r="Q515" s="369" t="s">
        <v>210</v>
      </c>
      <c r="R515" s="329" t="s">
        <v>1686</v>
      </c>
      <c r="S515" s="331" t="s">
        <v>13524</v>
      </c>
      <c r="T515" s="331" t="s">
        <v>13525</v>
      </c>
      <c r="U515" s="331" t="s">
        <v>16268</v>
      </c>
      <c r="V515" s="332" t="s">
        <v>13526</v>
      </c>
      <c r="W515" s="332" t="s">
        <v>1515</v>
      </c>
      <c r="X515" s="331" t="s">
        <v>13522</v>
      </c>
      <c r="Y515" s="394" t="s">
        <v>11201</v>
      </c>
      <c r="Z515" s="394" t="s">
        <v>11200</v>
      </c>
      <c r="AA515" s="331" t="s">
        <v>13523</v>
      </c>
      <c r="AB515" s="333"/>
      <c r="AC515" s="333"/>
      <c r="AD515" s="334" t="s">
        <v>1744</v>
      </c>
      <c r="AE515" s="335" t="s">
        <v>1749</v>
      </c>
      <c r="AF515" s="706">
        <v>42109</v>
      </c>
      <c r="AG515" s="705">
        <v>42165</v>
      </c>
      <c r="AH515" s="417" t="s">
        <v>210</v>
      </c>
      <c r="AI515" s="392" t="s">
        <v>210</v>
      </c>
      <c r="AJ515" s="392" t="s">
        <v>210</v>
      </c>
      <c r="AK515" s="340" t="s">
        <v>210</v>
      </c>
      <c r="AL515" s="417" t="s">
        <v>210</v>
      </c>
      <c r="AM515" s="392" t="s">
        <v>210</v>
      </c>
      <c r="AN515" s="392" t="s">
        <v>210</v>
      </c>
      <c r="AO515" s="341" t="s">
        <v>210</v>
      </c>
      <c r="AP515" s="342"/>
      <c r="AQ515" s="343"/>
      <c r="AR515" s="370">
        <v>500</v>
      </c>
      <c r="AS515" s="326">
        <v>60</v>
      </c>
      <c r="AT515" s="392">
        <v>1</v>
      </c>
      <c r="AU515" s="392"/>
      <c r="AV515" s="392">
        <v>1.2</v>
      </c>
      <c r="AW515" s="341"/>
      <c r="AX515" s="376"/>
      <c r="AY515" s="348"/>
      <c r="AZ515" s="377"/>
      <c r="BA515" s="374"/>
      <c r="BB515" s="374"/>
      <c r="BC515" s="374"/>
      <c r="BD515" s="374"/>
      <c r="BE515" s="374"/>
      <c r="BF515" s="374"/>
      <c r="BG515" s="374"/>
      <c r="BH515" s="378"/>
      <c r="BI515" s="376"/>
      <c r="BJ515" s="379"/>
      <c r="BK515" s="380"/>
      <c r="BL515" s="348"/>
      <c r="BM515" s="381"/>
      <c r="BN515" s="417" t="s">
        <v>210</v>
      </c>
      <c r="BO515" s="372"/>
      <c r="BP515" s="340" t="s">
        <v>210</v>
      </c>
      <c r="BQ515" s="360"/>
      <c r="BR515" s="361"/>
      <c r="BS515" s="361"/>
      <c r="BT515" s="361"/>
      <c r="BU515" s="342" t="s">
        <v>210</v>
      </c>
      <c r="BV515" s="342" t="s">
        <v>210</v>
      </c>
      <c r="BW515" s="341" t="s">
        <v>15</v>
      </c>
      <c r="BX515" s="361"/>
      <c r="BY515" s="362"/>
      <c r="BZ515" s="363"/>
      <c r="CA515" s="363"/>
      <c r="CB515" s="363"/>
      <c r="CC515" s="363"/>
    </row>
    <row r="516" spans="1:82" ht="22.5" customHeight="1">
      <c r="B516" s="442">
        <v>150135</v>
      </c>
      <c r="C516" s="747" t="s">
        <v>2835</v>
      </c>
      <c r="D516" s="439"/>
      <c r="E516" s="404"/>
      <c r="F516" s="405" t="s">
        <v>2885</v>
      </c>
      <c r="G516" s="324" t="s">
        <v>2886</v>
      </c>
      <c r="H516" s="324" t="s">
        <v>2887</v>
      </c>
      <c r="I516" s="326" t="s">
        <v>383</v>
      </c>
      <c r="J516" s="326" t="s">
        <v>399</v>
      </c>
      <c r="K516" s="324" t="s">
        <v>247</v>
      </c>
      <c r="L516" s="361"/>
      <c r="M516" s="408"/>
      <c r="N516" s="444" t="s">
        <v>437</v>
      </c>
      <c r="O516" s="327" t="s">
        <v>210</v>
      </c>
      <c r="P516" s="327" t="s">
        <v>210</v>
      </c>
      <c r="Q516" s="369" t="s">
        <v>210</v>
      </c>
      <c r="R516" s="420" t="s">
        <v>2888</v>
      </c>
      <c r="S516" s="394" t="s">
        <v>11735</v>
      </c>
      <c r="T516" s="394" t="s">
        <v>11151</v>
      </c>
      <c r="U516" s="394" t="s">
        <v>11737</v>
      </c>
      <c r="V516" s="332" t="s">
        <v>11738</v>
      </c>
      <c r="W516" s="332" t="s">
        <v>2888</v>
      </c>
      <c r="X516" s="394" t="s">
        <v>11309</v>
      </c>
      <c r="Y516" s="394" t="s">
        <v>11310</v>
      </c>
      <c r="Z516" s="400"/>
      <c r="AA516" s="394" t="s">
        <v>11311</v>
      </c>
      <c r="AB516" s="416"/>
      <c r="AC516" s="416"/>
      <c r="AD516" s="447" t="s">
        <v>3136</v>
      </c>
      <c r="AE516" s="335" t="s">
        <v>210</v>
      </c>
      <c r="AF516" s="475">
        <v>42233</v>
      </c>
      <c r="AG516" s="748">
        <v>42403</v>
      </c>
      <c r="AH516" s="417" t="s">
        <v>210</v>
      </c>
      <c r="AI516" s="392" t="s">
        <v>210</v>
      </c>
      <c r="AJ516" s="392" t="s">
        <v>210</v>
      </c>
      <c r="AK516" s="340" t="s">
        <v>210</v>
      </c>
      <c r="AL516" s="417" t="s">
        <v>210</v>
      </c>
      <c r="AM516" s="392" t="s">
        <v>210</v>
      </c>
      <c r="AN516" s="392" t="s">
        <v>210</v>
      </c>
      <c r="AO516" s="341" t="s">
        <v>210</v>
      </c>
      <c r="AP516" s="342"/>
      <c r="AQ516" s="343"/>
      <c r="AR516" s="452">
        <v>707</v>
      </c>
      <c r="AS516" s="324" t="s">
        <v>3191</v>
      </c>
      <c r="AT516" s="432">
        <v>1</v>
      </c>
      <c r="AU516" s="432"/>
      <c r="AV516" s="432">
        <v>1.5</v>
      </c>
      <c r="AW516" s="490"/>
      <c r="AX516" s="410"/>
      <c r="AY516" s="413"/>
      <c r="AZ516" s="407"/>
      <c r="BA516" s="408"/>
      <c r="BB516" s="408"/>
      <c r="BC516" s="408"/>
      <c r="BD516" s="408"/>
      <c r="BE516" s="408"/>
      <c r="BF516" s="408"/>
      <c r="BG516" s="408"/>
      <c r="BH516" s="409"/>
      <c r="BI516" s="410"/>
      <c r="BJ516" s="411"/>
      <c r="BK516" s="412"/>
      <c r="BL516" s="413"/>
      <c r="BM516" s="414"/>
      <c r="BN516" s="417" t="s">
        <v>210</v>
      </c>
      <c r="BO516" s="372"/>
      <c r="BP516" s="373" t="s">
        <v>14</v>
      </c>
      <c r="BQ516" s="360"/>
      <c r="BR516" s="361"/>
      <c r="BS516" s="361"/>
      <c r="BT516" s="361"/>
      <c r="BU516" s="342" t="s">
        <v>210</v>
      </c>
      <c r="BV516" s="342" t="s">
        <v>210</v>
      </c>
      <c r="BW516" s="341" t="s">
        <v>15</v>
      </c>
      <c r="BX516" s="361"/>
      <c r="BY516" s="457"/>
      <c r="BZ516" s="363"/>
      <c r="CA516" s="363"/>
      <c r="CB516" s="363"/>
      <c r="CC516" s="363"/>
    </row>
    <row r="517" spans="1:82" s="465" customFormat="1" ht="22.5" customHeight="1">
      <c r="A517" s="287"/>
      <c r="B517" s="749">
        <v>150137</v>
      </c>
      <c r="C517" s="781" t="s">
        <v>2060</v>
      </c>
      <c r="D517" s="751"/>
      <c r="E517" s="752"/>
      <c r="F517" s="753" t="s">
        <v>225</v>
      </c>
      <c r="G517" s="754" t="s">
        <v>2061</v>
      </c>
      <c r="H517" s="754" t="s">
        <v>2062</v>
      </c>
      <c r="I517" s="754" t="s">
        <v>2063</v>
      </c>
      <c r="J517" s="662" t="s">
        <v>387</v>
      </c>
      <c r="K517" s="754" t="s">
        <v>1059</v>
      </c>
      <c r="L517" s="688"/>
      <c r="M517" s="754"/>
      <c r="N517" s="755" t="s">
        <v>2064</v>
      </c>
      <c r="O517" s="754">
        <v>0</v>
      </c>
      <c r="P517" s="782">
        <v>336.79</v>
      </c>
      <c r="Q517" s="783">
        <v>306.55</v>
      </c>
      <c r="R517" s="756" t="s">
        <v>2065</v>
      </c>
      <c r="S517" s="708" t="s">
        <v>11739</v>
      </c>
      <c r="T517" s="708" t="s">
        <v>11741</v>
      </c>
      <c r="U517" s="708" t="s">
        <v>11740</v>
      </c>
      <c r="V517" s="669" t="s">
        <v>11742</v>
      </c>
      <c r="W517" s="669" t="s">
        <v>432</v>
      </c>
      <c r="X517" s="708" t="s">
        <v>11084</v>
      </c>
      <c r="Y517" s="708" t="s">
        <v>11084</v>
      </c>
      <c r="Z517" s="708" t="s">
        <v>11080</v>
      </c>
      <c r="AA517" s="708" t="s">
        <v>210</v>
      </c>
      <c r="AB517" s="758"/>
      <c r="AC517" s="758"/>
      <c r="AD517" s="759"/>
      <c r="AE517" s="760" t="s">
        <v>2309</v>
      </c>
      <c r="AF517" s="761">
        <v>42157</v>
      </c>
      <c r="AG517" s="674" t="s">
        <v>10514</v>
      </c>
      <c r="AH517" s="675" t="s">
        <v>210</v>
      </c>
      <c r="AI517" s="676" t="s">
        <v>210</v>
      </c>
      <c r="AJ517" s="676" t="s">
        <v>210</v>
      </c>
      <c r="AK517" s="677" t="s">
        <v>210</v>
      </c>
      <c r="AL517" s="675" t="s">
        <v>210</v>
      </c>
      <c r="AM517" s="662" t="s">
        <v>14</v>
      </c>
      <c r="AN517" s="676" t="s">
        <v>210</v>
      </c>
      <c r="AO517" s="678" t="s">
        <v>210</v>
      </c>
      <c r="AP517" s="784"/>
      <c r="AQ517" s="762"/>
      <c r="AR517" s="763">
        <v>589</v>
      </c>
      <c r="AS517" s="754">
        <v>150</v>
      </c>
      <c r="AT517" s="785">
        <v>1</v>
      </c>
      <c r="AU517" s="785"/>
      <c r="AV517" s="785" t="s">
        <v>2310</v>
      </c>
      <c r="AW517" s="764"/>
      <c r="AX517" s="765"/>
      <c r="AY517" s="766"/>
      <c r="AZ517" s="753"/>
      <c r="BA517" s="754"/>
      <c r="BB517" s="754"/>
      <c r="BC517" s="754"/>
      <c r="BD517" s="754"/>
      <c r="BE517" s="754"/>
      <c r="BF517" s="754"/>
      <c r="BG517" s="754"/>
      <c r="BH517" s="767"/>
      <c r="BI517" s="753"/>
      <c r="BJ517" s="768"/>
      <c r="BK517" s="769"/>
      <c r="BL517" s="766"/>
      <c r="BM517" s="770"/>
      <c r="BN517" s="765"/>
      <c r="BO517" s="771"/>
      <c r="BP517" s="772"/>
      <c r="BQ517" s="773"/>
      <c r="BR517" s="688"/>
      <c r="BS517" s="688"/>
      <c r="BT517" s="688"/>
      <c r="BU517" s="688"/>
      <c r="BV517" s="784"/>
      <c r="BW517" s="678" t="s">
        <v>15</v>
      </c>
      <c r="BX517" s="688"/>
      <c r="BY517" s="774"/>
      <c r="BZ517" s="483"/>
      <c r="CA517" s="483"/>
      <c r="CB517" s="483"/>
      <c r="CC517" s="483"/>
      <c r="CD517" s="484"/>
    </row>
    <row r="518" spans="1:82" ht="22.5" customHeight="1">
      <c r="B518" s="365">
        <v>150143</v>
      </c>
      <c r="C518" s="366" t="s">
        <v>2312</v>
      </c>
      <c r="D518" s="419"/>
      <c r="E518" s="368"/>
      <c r="F518" s="321" t="s">
        <v>839</v>
      </c>
      <c r="G518" s="326" t="s">
        <v>2372</v>
      </c>
      <c r="H518" s="326" t="s">
        <v>2373</v>
      </c>
      <c r="I518" s="326" t="s">
        <v>383</v>
      </c>
      <c r="J518" s="326" t="s">
        <v>399</v>
      </c>
      <c r="K518" s="326" t="s">
        <v>993</v>
      </c>
      <c r="L518" s="323"/>
      <c r="M518" s="408"/>
      <c r="N518" s="444" t="s">
        <v>437</v>
      </c>
      <c r="O518" s="327" t="s">
        <v>210</v>
      </c>
      <c r="P518" s="327" t="s">
        <v>210</v>
      </c>
      <c r="Q518" s="369" t="s">
        <v>210</v>
      </c>
      <c r="R518" s="329" t="s">
        <v>2877</v>
      </c>
      <c r="S518" s="330"/>
      <c r="T518" s="330"/>
      <c r="U518" s="330"/>
      <c r="V518" s="645"/>
      <c r="W518" s="332" t="s">
        <v>2992</v>
      </c>
      <c r="X518" s="331" t="s">
        <v>13519</v>
      </c>
      <c r="Y518" s="330"/>
      <c r="Z518" s="330"/>
      <c r="AA518" s="331" t="s">
        <v>13520</v>
      </c>
      <c r="AB518" s="333"/>
      <c r="AC518" s="416"/>
      <c r="AD518" s="375"/>
      <c r="AE518" s="499" t="s">
        <v>2309</v>
      </c>
      <c r="AF518" s="706">
        <v>42160</v>
      </c>
      <c r="AG518" s="705">
        <v>42188</v>
      </c>
      <c r="AH518" s="417" t="s">
        <v>210</v>
      </c>
      <c r="AI518" s="392" t="s">
        <v>210</v>
      </c>
      <c r="AJ518" s="392" t="s">
        <v>210</v>
      </c>
      <c r="AK518" s="340" t="s">
        <v>210</v>
      </c>
      <c r="AL518" s="417" t="s">
        <v>210</v>
      </c>
      <c r="AM518" s="392" t="s">
        <v>210</v>
      </c>
      <c r="AN518" s="392" t="s">
        <v>210</v>
      </c>
      <c r="AO518" s="341" t="s">
        <v>210</v>
      </c>
      <c r="AP518" s="342"/>
      <c r="AQ518" s="343"/>
      <c r="AR518" s="370">
        <v>312</v>
      </c>
      <c r="AS518" s="326">
        <v>40</v>
      </c>
      <c r="AT518" s="392">
        <v>1</v>
      </c>
      <c r="AU518" s="392"/>
      <c r="AV518" s="392">
        <v>1.5</v>
      </c>
      <c r="AW518" s="341"/>
      <c r="AX518" s="376"/>
      <c r="AY518" s="348"/>
      <c r="AZ518" s="377"/>
      <c r="BA518" s="374"/>
      <c r="BB518" s="374"/>
      <c r="BC518" s="374"/>
      <c r="BD518" s="374"/>
      <c r="BE518" s="374"/>
      <c r="BF518" s="374"/>
      <c r="BG518" s="374"/>
      <c r="BH518" s="378"/>
      <c r="BI518" s="377"/>
      <c r="BJ518" s="379"/>
      <c r="BK518" s="380"/>
      <c r="BL518" s="348"/>
      <c r="BM518" s="381"/>
      <c r="BN518" s="417" t="s">
        <v>210</v>
      </c>
      <c r="BO518" s="372"/>
      <c r="BP518" s="373" t="s">
        <v>14</v>
      </c>
      <c r="BQ518" s="360"/>
      <c r="BR518" s="361"/>
      <c r="BS518" s="361"/>
      <c r="BT518" s="361"/>
      <c r="BU518" s="342" t="s">
        <v>210</v>
      </c>
      <c r="BV518" s="342" t="s">
        <v>210</v>
      </c>
      <c r="BW518" s="341" t="s">
        <v>15</v>
      </c>
      <c r="BX518" s="361"/>
      <c r="BY518" s="362"/>
      <c r="BZ518" s="363"/>
      <c r="CA518" s="363"/>
      <c r="CB518" s="363"/>
      <c r="CC518" s="363"/>
    </row>
    <row r="519" spans="1:82" ht="22.5" customHeight="1">
      <c r="B519" s="365">
        <v>150151</v>
      </c>
      <c r="C519" s="366" t="s">
        <v>1757</v>
      </c>
      <c r="D519" s="419"/>
      <c r="E519" s="368"/>
      <c r="F519" s="321" t="s">
        <v>1762</v>
      </c>
      <c r="G519" s="326" t="s">
        <v>1806</v>
      </c>
      <c r="H519" s="326" t="s">
        <v>1807</v>
      </c>
      <c r="I519" s="326" t="s">
        <v>383</v>
      </c>
      <c r="J519" s="326" t="s">
        <v>387</v>
      </c>
      <c r="K519" s="326" t="s">
        <v>247</v>
      </c>
      <c r="L519" s="323"/>
      <c r="M519" s="408"/>
      <c r="N519" s="325" t="s">
        <v>1761</v>
      </c>
      <c r="O519" s="327">
        <v>40</v>
      </c>
      <c r="P519" s="327">
        <v>649.95000000000005</v>
      </c>
      <c r="Q519" s="369">
        <v>479.58199999999999</v>
      </c>
      <c r="R519" s="329" t="s">
        <v>1040</v>
      </c>
      <c r="S519" s="394" t="s">
        <v>11528</v>
      </c>
      <c r="T519" s="394" t="s">
        <v>11529</v>
      </c>
      <c r="U519" s="394" t="s">
        <v>16415</v>
      </c>
      <c r="V519" s="394" t="s">
        <v>11531</v>
      </c>
      <c r="W519" s="332" t="s">
        <v>1040</v>
      </c>
      <c r="X519" s="394" t="s">
        <v>11528</v>
      </c>
      <c r="Y519" s="394" t="s">
        <v>11529</v>
      </c>
      <c r="Z519" s="394" t="s">
        <v>11530</v>
      </c>
      <c r="AA519" s="394" t="s">
        <v>11531</v>
      </c>
      <c r="AB519" s="333"/>
      <c r="AC519" s="333"/>
      <c r="AD519" s="334" t="s">
        <v>2321</v>
      </c>
      <c r="AE519" s="335" t="s">
        <v>1038</v>
      </c>
      <c r="AF519" s="706">
        <v>42140</v>
      </c>
      <c r="AG519" s="705">
        <v>42202</v>
      </c>
      <c r="AH519" s="417" t="s">
        <v>210</v>
      </c>
      <c r="AI519" s="392" t="s">
        <v>210</v>
      </c>
      <c r="AJ519" s="392" t="s">
        <v>210</v>
      </c>
      <c r="AK519" s="340" t="s">
        <v>210</v>
      </c>
      <c r="AL519" s="417" t="s">
        <v>210</v>
      </c>
      <c r="AM519" s="425" t="s">
        <v>17906</v>
      </c>
      <c r="AN519" s="392" t="s">
        <v>210</v>
      </c>
      <c r="AO519" s="341" t="s">
        <v>210</v>
      </c>
      <c r="AP519" s="786"/>
      <c r="AQ519" s="343"/>
      <c r="AR519" s="370">
        <v>655</v>
      </c>
      <c r="AS519" s="326">
        <v>150</v>
      </c>
      <c r="AT519" s="392">
        <v>0.8</v>
      </c>
      <c r="AU519" s="392"/>
      <c r="AV519" s="392">
        <v>1</v>
      </c>
      <c r="AW519" s="341"/>
      <c r="AX519" s="376"/>
      <c r="AY519" s="348"/>
      <c r="AZ519" s="377"/>
      <c r="BA519" s="374"/>
      <c r="BB519" s="374"/>
      <c r="BC519" s="374"/>
      <c r="BD519" s="374"/>
      <c r="BE519" s="374"/>
      <c r="BF519" s="374"/>
      <c r="BG519" s="374"/>
      <c r="BH519" s="378"/>
      <c r="BI519" s="377"/>
      <c r="BJ519" s="379"/>
      <c r="BK519" s="380"/>
      <c r="BL519" s="348"/>
      <c r="BM519" s="381"/>
      <c r="BN519" s="321" t="s">
        <v>14</v>
      </c>
      <c r="BO519" s="372"/>
      <c r="BP519" s="340" t="s">
        <v>210</v>
      </c>
      <c r="BQ519" s="360"/>
      <c r="BR519" s="361"/>
      <c r="BS519" s="361"/>
      <c r="BT519" s="361"/>
      <c r="BU519" s="361"/>
      <c r="BV519" s="786" t="s">
        <v>5415</v>
      </c>
      <c r="BW519" s="341" t="s">
        <v>15</v>
      </c>
      <c r="BX519" s="361"/>
      <c r="BY519" s="362"/>
      <c r="BZ519" s="363"/>
      <c r="CA519" s="363"/>
      <c r="CB519" s="363"/>
      <c r="CC519" s="363"/>
    </row>
    <row r="520" spans="1:82" ht="22.5" customHeight="1">
      <c r="B520" s="365">
        <v>150155</v>
      </c>
      <c r="C520" s="366" t="s">
        <v>1760</v>
      </c>
      <c r="D520" s="419"/>
      <c r="E520" s="368"/>
      <c r="F520" s="321" t="s">
        <v>483</v>
      </c>
      <c r="G520" s="326" t="s">
        <v>1808</v>
      </c>
      <c r="H520" s="326" t="s">
        <v>2866</v>
      </c>
      <c r="I520" s="326" t="s">
        <v>383</v>
      </c>
      <c r="J520" s="326" t="s">
        <v>399</v>
      </c>
      <c r="K520" s="326" t="s">
        <v>917</v>
      </c>
      <c r="L520" s="323"/>
      <c r="M520" s="408"/>
      <c r="N520" s="325" t="s">
        <v>1710</v>
      </c>
      <c r="O520" s="326">
        <v>150</v>
      </c>
      <c r="P520" s="327" t="s">
        <v>210</v>
      </c>
      <c r="Q520" s="369" t="s">
        <v>210</v>
      </c>
      <c r="R520" s="329" t="s">
        <v>2319</v>
      </c>
      <c r="S520" s="331" t="s">
        <v>11299</v>
      </c>
      <c r="T520" s="331" t="s">
        <v>11301</v>
      </c>
      <c r="U520" s="331" t="s">
        <v>11300</v>
      </c>
      <c r="V520" s="331" t="s">
        <v>11302</v>
      </c>
      <c r="W520" s="332" t="s">
        <v>1683</v>
      </c>
      <c r="X520" s="331" t="s">
        <v>11803</v>
      </c>
      <c r="Y520" s="331" t="s">
        <v>11804</v>
      </c>
      <c r="Z520" s="331" t="s">
        <v>16512</v>
      </c>
      <c r="AA520" s="331" t="s">
        <v>11805</v>
      </c>
      <c r="AB520" s="333"/>
      <c r="AC520" s="333"/>
      <c r="AD520" s="334" t="s">
        <v>2322</v>
      </c>
      <c r="AE520" s="335" t="s">
        <v>1882</v>
      </c>
      <c r="AF520" s="706">
        <v>42121</v>
      </c>
      <c r="AG520" s="705">
        <v>42177</v>
      </c>
      <c r="AH520" s="417" t="s">
        <v>210</v>
      </c>
      <c r="AI520" s="392" t="s">
        <v>210</v>
      </c>
      <c r="AJ520" s="392" t="s">
        <v>210</v>
      </c>
      <c r="AK520" s="340" t="s">
        <v>210</v>
      </c>
      <c r="AL520" s="417" t="s">
        <v>210</v>
      </c>
      <c r="AM520" s="392" t="s">
        <v>210</v>
      </c>
      <c r="AN520" s="392" t="s">
        <v>210</v>
      </c>
      <c r="AO520" s="341" t="s">
        <v>210</v>
      </c>
      <c r="AP520" s="342"/>
      <c r="AQ520" s="343"/>
      <c r="AR520" s="370">
        <v>4080</v>
      </c>
      <c r="AS520" s="326">
        <v>100</v>
      </c>
      <c r="AT520" s="392">
        <v>1</v>
      </c>
      <c r="AU520" s="392"/>
      <c r="AV520" s="392">
        <v>2</v>
      </c>
      <c r="AW520" s="341"/>
      <c r="AX520" s="376"/>
      <c r="AY520" s="348"/>
      <c r="AZ520" s="377"/>
      <c r="BA520" s="374"/>
      <c r="BB520" s="374"/>
      <c r="BC520" s="374"/>
      <c r="BD520" s="374"/>
      <c r="BE520" s="374"/>
      <c r="BF520" s="374"/>
      <c r="BG520" s="374"/>
      <c r="BH520" s="378"/>
      <c r="BI520" s="377"/>
      <c r="BJ520" s="379"/>
      <c r="BK520" s="380"/>
      <c r="BL520" s="348"/>
      <c r="BM520" s="381"/>
      <c r="BN520" s="321" t="s">
        <v>14</v>
      </c>
      <c r="BO520" s="372"/>
      <c r="BP520" s="373" t="s">
        <v>14</v>
      </c>
      <c r="BQ520" s="360"/>
      <c r="BR520" s="361"/>
      <c r="BS520" s="361"/>
      <c r="BT520" s="361"/>
      <c r="BU520" s="342" t="s">
        <v>210</v>
      </c>
      <c r="BV520" s="342" t="s">
        <v>210</v>
      </c>
      <c r="BW520" s="341" t="s">
        <v>15</v>
      </c>
      <c r="BX520" s="361"/>
      <c r="BY520" s="362"/>
      <c r="BZ520" s="363"/>
      <c r="CA520" s="363"/>
      <c r="CB520" s="363"/>
      <c r="CC520" s="363"/>
    </row>
    <row r="521" spans="1:82" ht="22.5" customHeight="1">
      <c r="B521" s="442">
        <v>150157</v>
      </c>
      <c r="C521" s="747" t="s">
        <v>13516</v>
      </c>
      <c r="D521" s="439"/>
      <c r="E521" s="404"/>
      <c r="F521" s="405" t="s">
        <v>237</v>
      </c>
      <c r="G521" s="324" t="s">
        <v>2731</v>
      </c>
      <c r="H521" s="324" t="s">
        <v>2732</v>
      </c>
      <c r="I521" s="326" t="s">
        <v>383</v>
      </c>
      <c r="J521" s="326" t="s">
        <v>399</v>
      </c>
      <c r="K521" s="324" t="s">
        <v>247</v>
      </c>
      <c r="L521" s="323"/>
      <c r="M521" s="408"/>
      <c r="N521" s="444" t="s">
        <v>2733</v>
      </c>
      <c r="O521" s="324">
        <v>99</v>
      </c>
      <c r="P521" s="327" t="s">
        <v>210</v>
      </c>
      <c r="Q521" s="369" t="s">
        <v>210</v>
      </c>
      <c r="R521" s="420" t="s">
        <v>2724</v>
      </c>
      <c r="S521" s="394" t="s">
        <v>13517</v>
      </c>
      <c r="T521" s="400"/>
      <c r="U521" s="400"/>
      <c r="V521" s="394" t="s">
        <v>13518</v>
      </c>
      <c r="W521" s="332" t="s">
        <v>432</v>
      </c>
      <c r="X521" s="331" t="s">
        <v>11079</v>
      </c>
      <c r="Y521" s="331" t="s">
        <v>11080</v>
      </c>
      <c r="Z521" s="331" t="s">
        <v>11080</v>
      </c>
      <c r="AA521" s="331" t="s">
        <v>210</v>
      </c>
      <c r="AB521" s="333" t="s">
        <v>10719</v>
      </c>
      <c r="AC521" s="333"/>
      <c r="AD521" s="334" t="s">
        <v>2910</v>
      </c>
      <c r="AE521" s="499" t="s">
        <v>210</v>
      </c>
      <c r="AF521" s="475">
        <v>42201</v>
      </c>
      <c r="AG521" s="748">
        <v>42255</v>
      </c>
      <c r="AH521" s="417">
        <v>10.1</v>
      </c>
      <c r="AI521" s="392">
        <v>15</v>
      </c>
      <c r="AJ521" s="392">
        <v>14.2</v>
      </c>
      <c r="AK521" s="340">
        <f>AH521+AI521+AJ521</f>
        <v>39.299999999999997</v>
      </c>
      <c r="AL521" s="417" t="s">
        <v>210</v>
      </c>
      <c r="AM521" s="392" t="s">
        <v>210</v>
      </c>
      <c r="AN521" s="392" t="s">
        <v>210</v>
      </c>
      <c r="AO521" s="341" t="s">
        <v>210</v>
      </c>
      <c r="AP521" s="342"/>
      <c r="AQ521" s="343"/>
      <c r="AR521" s="452">
        <f>3413+1623</f>
        <v>5036</v>
      </c>
      <c r="AS521" s="324">
        <v>80</v>
      </c>
      <c r="AT521" s="432">
        <v>1</v>
      </c>
      <c r="AU521" s="432"/>
      <c r="AV521" s="432">
        <v>2</v>
      </c>
      <c r="AW521" s="490"/>
      <c r="AX521" s="376"/>
      <c r="AY521" s="348"/>
      <c r="AZ521" s="407"/>
      <c r="BA521" s="408"/>
      <c r="BB521" s="408"/>
      <c r="BC521" s="408"/>
      <c r="BD521" s="408"/>
      <c r="BE521" s="408"/>
      <c r="BF521" s="408"/>
      <c r="BG521" s="408"/>
      <c r="BH521" s="409"/>
      <c r="BI521" s="407"/>
      <c r="BJ521" s="411"/>
      <c r="BK521" s="412"/>
      <c r="BL521" s="413"/>
      <c r="BM521" s="414"/>
      <c r="BN521" s="321" t="s">
        <v>14</v>
      </c>
      <c r="BO521" s="372"/>
      <c r="BP521" s="373" t="s">
        <v>14</v>
      </c>
      <c r="BQ521" s="360"/>
      <c r="BR521" s="361"/>
      <c r="BS521" s="361"/>
      <c r="BT521" s="361"/>
      <c r="BU521" s="342" t="s">
        <v>210</v>
      </c>
      <c r="BV521" s="342" t="s">
        <v>210</v>
      </c>
      <c r="BW521" s="341" t="s">
        <v>15</v>
      </c>
      <c r="BX521" s="361"/>
      <c r="BY521" s="362" t="s">
        <v>2723</v>
      </c>
      <c r="BZ521" s="363"/>
      <c r="CA521" s="363"/>
      <c r="CB521" s="363"/>
      <c r="CC521" s="363"/>
    </row>
    <row r="522" spans="1:82" ht="22.5" customHeight="1">
      <c r="B522" s="442">
        <v>150158</v>
      </c>
      <c r="C522" s="747" t="s">
        <v>3140</v>
      </c>
      <c r="D522" s="439"/>
      <c r="E522" s="404"/>
      <c r="F522" s="405" t="s">
        <v>3141</v>
      </c>
      <c r="G522" s="324" t="s">
        <v>3142</v>
      </c>
      <c r="H522" s="324" t="s">
        <v>3143</v>
      </c>
      <c r="I522" s="326" t="s">
        <v>383</v>
      </c>
      <c r="J522" s="326" t="s">
        <v>399</v>
      </c>
      <c r="K522" s="326" t="s">
        <v>917</v>
      </c>
      <c r="L522" s="323"/>
      <c r="M522" s="408"/>
      <c r="N522" s="325" t="s">
        <v>437</v>
      </c>
      <c r="O522" s="324">
        <v>100</v>
      </c>
      <c r="P522" s="327" t="s">
        <v>210</v>
      </c>
      <c r="Q522" s="369" t="s">
        <v>210</v>
      </c>
      <c r="R522" s="420" t="s">
        <v>3144</v>
      </c>
      <c r="S522" s="331" t="s">
        <v>13564</v>
      </c>
      <c r="T522" s="394" t="s">
        <v>13394</v>
      </c>
      <c r="U522" s="394" t="s">
        <v>16312</v>
      </c>
      <c r="V522" s="394" t="s">
        <v>13565</v>
      </c>
      <c r="W522" s="460" t="s">
        <v>3144</v>
      </c>
      <c r="X522" s="331" t="s">
        <v>13564</v>
      </c>
      <c r="Y522" s="394" t="s">
        <v>13394</v>
      </c>
      <c r="Z522" s="394" t="s">
        <v>16312</v>
      </c>
      <c r="AA522" s="394" t="s">
        <v>13565</v>
      </c>
      <c r="AB522" s="416"/>
      <c r="AC522" s="416"/>
      <c r="AD522" s="334" t="s">
        <v>2326</v>
      </c>
      <c r="AE522" s="335" t="s">
        <v>210</v>
      </c>
      <c r="AF522" s="475">
        <v>42402</v>
      </c>
      <c r="AG522" s="748">
        <v>42441</v>
      </c>
      <c r="AH522" s="417" t="s">
        <v>210</v>
      </c>
      <c r="AI522" s="392" t="s">
        <v>210</v>
      </c>
      <c r="AJ522" s="392" t="s">
        <v>210</v>
      </c>
      <c r="AK522" s="340" t="s">
        <v>210</v>
      </c>
      <c r="AL522" s="417" t="s">
        <v>210</v>
      </c>
      <c r="AM522" s="392" t="s">
        <v>210</v>
      </c>
      <c r="AN522" s="392" t="s">
        <v>210</v>
      </c>
      <c r="AO522" s="341" t="s">
        <v>210</v>
      </c>
      <c r="AP522" s="342"/>
      <c r="AQ522" s="343"/>
      <c r="AR522" s="452">
        <v>1347</v>
      </c>
      <c r="AS522" s="324">
        <v>100</v>
      </c>
      <c r="AT522" s="432">
        <v>1</v>
      </c>
      <c r="AU522" s="432"/>
      <c r="AV522" s="432">
        <v>1</v>
      </c>
      <c r="AW522" s="490"/>
      <c r="AX522" s="376"/>
      <c r="AY522" s="348"/>
      <c r="AZ522" s="407"/>
      <c r="BA522" s="408"/>
      <c r="BB522" s="408"/>
      <c r="BC522" s="408"/>
      <c r="BD522" s="408"/>
      <c r="BE522" s="408"/>
      <c r="BF522" s="408"/>
      <c r="BG522" s="408"/>
      <c r="BH522" s="409"/>
      <c r="BI522" s="407"/>
      <c r="BJ522" s="411"/>
      <c r="BK522" s="412"/>
      <c r="BL522" s="413"/>
      <c r="BM522" s="414"/>
      <c r="BN522" s="321" t="s">
        <v>14</v>
      </c>
      <c r="BO522" s="372"/>
      <c r="BP522" s="340" t="s">
        <v>210</v>
      </c>
      <c r="BQ522" s="360"/>
      <c r="BR522" s="361"/>
      <c r="BS522" s="361"/>
      <c r="BT522" s="361"/>
      <c r="BU522" s="342" t="s">
        <v>210</v>
      </c>
      <c r="BV522" s="342" t="s">
        <v>210</v>
      </c>
      <c r="BW522" s="341" t="s">
        <v>210</v>
      </c>
      <c r="BX522" s="361"/>
      <c r="BY522" s="457"/>
      <c r="BZ522" s="363"/>
      <c r="CA522" s="363"/>
      <c r="CB522" s="363"/>
      <c r="CC522" s="363"/>
    </row>
    <row r="523" spans="1:82" s="465" customFormat="1" ht="22.5" customHeight="1">
      <c r="A523" s="287"/>
      <c r="B523" s="749">
        <v>150164</v>
      </c>
      <c r="C523" s="750" t="s">
        <v>13512</v>
      </c>
      <c r="D523" s="751"/>
      <c r="E523" s="752"/>
      <c r="F523" s="753"/>
      <c r="G523" s="754"/>
      <c r="H523" s="754"/>
      <c r="I523" s="754"/>
      <c r="J523" s="754"/>
      <c r="K523" s="754"/>
      <c r="L523" s="688"/>
      <c r="M523" s="754"/>
      <c r="N523" s="755"/>
      <c r="O523" s="754"/>
      <c r="P523" s="665" t="s">
        <v>210</v>
      </c>
      <c r="Q523" s="666" t="s">
        <v>210</v>
      </c>
      <c r="R523" s="756" t="s">
        <v>2986</v>
      </c>
      <c r="S523" s="708"/>
      <c r="T523" s="708"/>
      <c r="U523" s="708"/>
      <c r="V523" s="708"/>
      <c r="W523" s="757" t="s">
        <v>2989</v>
      </c>
      <c r="X523" s="708" t="s">
        <v>13514</v>
      </c>
      <c r="Y523" s="708" t="s">
        <v>13515</v>
      </c>
      <c r="Z523" s="708"/>
      <c r="AA523" s="708" t="s">
        <v>13513</v>
      </c>
      <c r="AB523" s="758"/>
      <c r="AC523" s="758"/>
      <c r="AD523" s="759"/>
      <c r="AE523" s="760"/>
      <c r="AF523" s="761"/>
      <c r="AG523" s="674" t="s">
        <v>10514</v>
      </c>
      <c r="AH523" s="675" t="s">
        <v>210</v>
      </c>
      <c r="AI523" s="676" t="s">
        <v>210</v>
      </c>
      <c r="AJ523" s="676" t="s">
        <v>210</v>
      </c>
      <c r="AK523" s="677" t="s">
        <v>210</v>
      </c>
      <c r="AL523" s="675" t="s">
        <v>210</v>
      </c>
      <c r="AM523" s="676" t="s">
        <v>210</v>
      </c>
      <c r="AN523" s="676" t="s">
        <v>210</v>
      </c>
      <c r="AO523" s="678" t="s">
        <v>210</v>
      </c>
      <c r="AP523" s="663"/>
      <c r="AQ523" s="762"/>
      <c r="AR523" s="763"/>
      <c r="AS523" s="754">
        <v>50</v>
      </c>
      <c r="AT523" s="785">
        <v>1</v>
      </c>
      <c r="AU523" s="785"/>
      <c r="AV523" s="785">
        <v>1.2</v>
      </c>
      <c r="AW523" s="764"/>
      <c r="AX523" s="765"/>
      <c r="AY523" s="766"/>
      <c r="AZ523" s="753"/>
      <c r="BA523" s="754"/>
      <c r="BB523" s="754"/>
      <c r="BC523" s="754"/>
      <c r="BD523" s="754"/>
      <c r="BE523" s="754"/>
      <c r="BF523" s="754"/>
      <c r="BG523" s="754"/>
      <c r="BH523" s="767"/>
      <c r="BI523" s="753"/>
      <c r="BJ523" s="768"/>
      <c r="BK523" s="769"/>
      <c r="BL523" s="766"/>
      <c r="BM523" s="770"/>
      <c r="BN523" s="675" t="s">
        <v>210</v>
      </c>
      <c r="BO523" s="686"/>
      <c r="BP523" s="677" t="s">
        <v>210</v>
      </c>
      <c r="BQ523" s="773"/>
      <c r="BR523" s="688"/>
      <c r="BS523" s="688"/>
      <c r="BT523" s="688"/>
      <c r="BU523" s="663" t="s">
        <v>5510</v>
      </c>
      <c r="BV523" s="663" t="s">
        <v>5510</v>
      </c>
      <c r="BW523" s="678" t="s">
        <v>15</v>
      </c>
      <c r="BX523" s="688"/>
      <c r="BY523" s="774"/>
      <c r="BZ523" s="483"/>
      <c r="CA523" s="483"/>
      <c r="CB523" s="483"/>
      <c r="CC523" s="483"/>
      <c r="CD523" s="484"/>
    </row>
    <row r="524" spans="1:82" ht="22.5" customHeight="1">
      <c r="B524" s="442">
        <v>150166</v>
      </c>
      <c r="C524" s="747" t="s">
        <v>3097</v>
      </c>
      <c r="D524" s="439"/>
      <c r="E524" s="404"/>
      <c r="F524" s="405" t="s">
        <v>308</v>
      </c>
      <c r="G524" s="324" t="s">
        <v>1824</v>
      </c>
      <c r="H524" s="324" t="s">
        <v>3192</v>
      </c>
      <c r="I524" s="326" t="s">
        <v>383</v>
      </c>
      <c r="J524" s="326" t="s">
        <v>399</v>
      </c>
      <c r="K524" s="324" t="s">
        <v>9172</v>
      </c>
      <c r="L524" s="787">
        <v>37.299999999999997</v>
      </c>
      <c r="M524" s="324" t="s">
        <v>10767</v>
      </c>
      <c r="N524" s="444" t="s">
        <v>438</v>
      </c>
      <c r="O524" s="324">
        <v>100</v>
      </c>
      <c r="P524" s="327" t="s">
        <v>210</v>
      </c>
      <c r="Q524" s="369" t="s">
        <v>210</v>
      </c>
      <c r="R524" s="420" t="s">
        <v>4032</v>
      </c>
      <c r="S524" s="400"/>
      <c r="T524" s="400"/>
      <c r="U524" s="400"/>
      <c r="V524" s="400"/>
      <c r="W524" s="460" t="s">
        <v>4029</v>
      </c>
      <c r="X524" s="394" t="s">
        <v>13508</v>
      </c>
      <c r="Y524" s="394" t="s">
        <v>13509</v>
      </c>
      <c r="Z524" s="394" t="s">
        <v>13510</v>
      </c>
      <c r="AA524" s="394" t="s">
        <v>13511</v>
      </c>
      <c r="AB524" s="333"/>
      <c r="AC524" s="333"/>
      <c r="AD524" s="334" t="s">
        <v>2326</v>
      </c>
      <c r="AE524" s="391"/>
      <c r="AF524" s="475">
        <v>42318</v>
      </c>
      <c r="AG524" s="748">
        <v>42374</v>
      </c>
      <c r="AH524" s="417" t="s">
        <v>210</v>
      </c>
      <c r="AI524" s="392" t="s">
        <v>210</v>
      </c>
      <c r="AJ524" s="392" t="s">
        <v>210</v>
      </c>
      <c r="AK524" s="340" t="s">
        <v>210</v>
      </c>
      <c r="AL524" s="417" t="s">
        <v>210</v>
      </c>
      <c r="AM524" s="392" t="s">
        <v>210</v>
      </c>
      <c r="AN524" s="392" t="s">
        <v>210</v>
      </c>
      <c r="AO524" s="341" t="s">
        <v>210</v>
      </c>
      <c r="AP524" s="342"/>
      <c r="AQ524" s="343"/>
      <c r="AR524" s="452">
        <v>1331</v>
      </c>
      <c r="AS524" s="324">
        <v>100</v>
      </c>
      <c r="AT524" s="392">
        <v>1</v>
      </c>
      <c r="AU524" s="392"/>
      <c r="AV524" s="392">
        <v>1.5</v>
      </c>
      <c r="AW524" s="341"/>
      <c r="AX524" s="376"/>
      <c r="AY524" s="348"/>
      <c r="AZ524" s="407"/>
      <c r="BA524" s="408"/>
      <c r="BB524" s="408"/>
      <c r="BC524" s="408"/>
      <c r="BD524" s="408"/>
      <c r="BE524" s="408"/>
      <c r="BF524" s="408"/>
      <c r="BG524" s="408"/>
      <c r="BH524" s="409"/>
      <c r="BI524" s="407"/>
      <c r="BJ524" s="411"/>
      <c r="BK524" s="412"/>
      <c r="BL524" s="413"/>
      <c r="BM524" s="414"/>
      <c r="BN524" s="417" t="s">
        <v>210</v>
      </c>
      <c r="BO524" s="372"/>
      <c r="BP524" s="373" t="s">
        <v>14</v>
      </c>
      <c r="BQ524" s="360"/>
      <c r="BR524" s="361"/>
      <c r="BS524" s="361"/>
      <c r="BT524" s="361"/>
      <c r="BU524" s="342" t="s">
        <v>210</v>
      </c>
      <c r="BV524" s="342" t="s">
        <v>210</v>
      </c>
      <c r="BW524" s="341" t="s">
        <v>15</v>
      </c>
      <c r="BX524" s="361"/>
      <c r="BY524" s="457"/>
      <c r="BZ524" s="363"/>
      <c r="CA524" s="363"/>
      <c r="CB524" s="363"/>
      <c r="CC524" s="363"/>
    </row>
    <row r="525" spans="1:82" ht="22.5" customHeight="1">
      <c r="B525" s="788">
        <v>150167</v>
      </c>
      <c r="C525" s="789" t="s">
        <v>2810</v>
      </c>
      <c r="D525" s="790"/>
      <c r="E525" s="791"/>
      <c r="F525" s="792" t="s">
        <v>222</v>
      </c>
      <c r="G525" s="793" t="s">
        <v>2811</v>
      </c>
      <c r="H525" s="793" t="s">
        <v>2812</v>
      </c>
      <c r="I525" s="716" t="s">
        <v>383</v>
      </c>
      <c r="J525" s="716" t="s">
        <v>399</v>
      </c>
      <c r="K525" s="793" t="s">
        <v>247</v>
      </c>
      <c r="L525" s="742"/>
      <c r="M525" s="793"/>
      <c r="N525" s="794" t="s">
        <v>2813</v>
      </c>
      <c r="O525" s="793">
        <v>180</v>
      </c>
      <c r="P525" s="719" t="s">
        <v>210</v>
      </c>
      <c r="Q525" s="720" t="s">
        <v>210</v>
      </c>
      <c r="R525" s="795" t="s">
        <v>2855</v>
      </c>
      <c r="S525" s="796"/>
      <c r="T525" s="796"/>
      <c r="U525" s="796"/>
      <c r="V525" s="796"/>
      <c r="W525" s="797" t="s">
        <v>2957</v>
      </c>
      <c r="X525" s="796"/>
      <c r="Y525" s="796"/>
      <c r="Z525" s="796"/>
      <c r="AA525" s="796" t="s">
        <v>13507</v>
      </c>
      <c r="AB525" s="798"/>
      <c r="AC525" s="798"/>
      <c r="AD525" s="799" t="s">
        <v>3011</v>
      </c>
      <c r="AE525" s="800" t="s">
        <v>2956</v>
      </c>
      <c r="AF525" s="775">
        <v>42219</v>
      </c>
      <c r="AG525" s="801">
        <v>42285</v>
      </c>
      <c r="AH525" s="729" t="s">
        <v>210</v>
      </c>
      <c r="AI525" s="730" t="s">
        <v>210</v>
      </c>
      <c r="AJ525" s="730" t="s">
        <v>210</v>
      </c>
      <c r="AK525" s="731" t="s">
        <v>210</v>
      </c>
      <c r="AL525" s="729" t="s">
        <v>210</v>
      </c>
      <c r="AM525" s="730" t="s">
        <v>210</v>
      </c>
      <c r="AN525" s="730" t="s">
        <v>210</v>
      </c>
      <c r="AO525" s="732" t="s">
        <v>210</v>
      </c>
      <c r="AP525" s="717"/>
      <c r="AQ525" s="733"/>
      <c r="AR525" s="802">
        <v>1460</v>
      </c>
      <c r="AS525" s="793">
        <v>120</v>
      </c>
      <c r="AT525" s="803">
        <v>1</v>
      </c>
      <c r="AU525" s="803"/>
      <c r="AV525" s="803">
        <v>1.2</v>
      </c>
      <c r="AW525" s="804"/>
      <c r="AX525" s="805"/>
      <c r="AY525" s="806"/>
      <c r="AZ525" s="792"/>
      <c r="BA525" s="793"/>
      <c r="BB525" s="793"/>
      <c r="BC525" s="793"/>
      <c r="BD525" s="793"/>
      <c r="BE525" s="793"/>
      <c r="BF525" s="793"/>
      <c r="BG525" s="793"/>
      <c r="BH525" s="807"/>
      <c r="BI525" s="792"/>
      <c r="BJ525" s="808"/>
      <c r="BK525" s="809"/>
      <c r="BL525" s="806"/>
      <c r="BM525" s="810"/>
      <c r="BN525" s="715" t="s">
        <v>14</v>
      </c>
      <c r="BO525" s="740"/>
      <c r="BP525" s="736" t="s">
        <v>14</v>
      </c>
      <c r="BQ525" s="741"/>
      <c r="BR525" s="742"/>
      <c r="BS525" s="742"/>
      <c r="BT525" s="742"/>
      <c r="BU525" s="717" t="s">
        <v>5510</v>
      </c>
      <c r="BV525" s="717" t="s">
        <v>5510</v>
      </c>
      <c r="BW525" s="732" t="s">
        <v>15</v>
      </c>
      <c r="BX525" s="361"/>
      <c r="BY525" s="811"/>
      <c r="BZ525" s="744"/>
      <c r="CA525" s="744"/>
      <c r="CB525" s="744"/>
      <c r="CC525" s="744"/>
    </row>
    <row r="526" spans="1:82" s="465" customFormat="1" ht="22.5" customHeight="1">
      <c r="A526" s="287"/>
      <c r="B526" s="657">
        <v>150173</v>
      </c>
      <c r="C526" s="658" t="s">
        <v>13566</v>
      </c>
      <c r="D526" s="707"/>
      <c r="E526" s="660"/>
      <c r="F526" s="661" t="s">
        <v>839</v>
      </c>
      <c r="G526" s="662" t="s">
        <v>1809</v>
      </c>
      <c r="H526" s="662" t="s">
        <v>2273</v>
      </c>
      <c r="I526" s="662" t="s">
        <v>383</v>
      </c>
      <c r="J526" s="662"/>
      <c r="K526" s="662" t="s">
        <v>9977</v>
      </c>
      <c r="L526" s="663"/>
      <c r="M526" s="662"/>
      <c r="N526" s="664" t="s">
        <v>1664</v>
      </c>
      <c r="O526" s="665" t="s">
        <v>210</v>
      </c>
      <c r="P526" s="665" t="s">
        <v>210</v>
      </c>
      <c r="Q526" s="666" t="s">
        <v>210</v>
      </c>
      <c r="R526" s="667" t="s">
        <v>1679</v>
      </c>
      <c r="S526" s="668"/>
      <c r="T526" s="668"/>
      <c r="U526" s="668"/>
      <c r="V526" s="668"/>
      <c r="W526" s="669" t="s">
        <v>1676</v>
      </c>
      <c r="X526" s="668"/>
      <c r="Y526" s="668"/>
      <c r="Z526" s="668"/>
      <c r="AA526" s="668"/>
      <c r="AB526" s="670"/>
      <c r="AC526" s="670"/>
      <c r="AD526" s="671" t="s">
        <v>1727</v>
      </c>
      <c r="AE526" s="672"/>
      <c r="AF526" s="673">
        <v>42105</v>
      </c>
      <c r="AG526" s="674" t="s">
        <v>10514</v>
      </c>
      <c r="AH526" s="675" t="s">
        <v>210</v>
      </c>
      <c r="AI526" s="676" t="s">
        <v>210</v>
      </c>
      <c r="AJ526" s="676" t="s">
        <v>210</v>
      </c>
      <c r="AK526" s="677" t="s">
        <v>210</v>
      </c>
      <c r="AL526" s="675" t="s">
        <v>210</v>
      </c>
      <c r="AM526" s="676" t="s">
        <v>210</v>
      </c>
      <c r="AN526" s="676" t="s">
        <v>210</v>
      </c>
      <c r="AO526" s="678" t="s">
        <v>210</v>
      </c>
      <c r="AP526" s="663"/>
      <c r="AQ526" s="679"/>
      <c r="AR526" s="680"/>
      <c r="AS526" s="662">
        <v>50</v>
      </c>
      <c r="AT526" s="676">
        <v>1.4</v>
      </c>
      <c r="AU526" s="676"/>
      <c r="AV526" s="676">
        <v>1</v>
      </c>
      <c r="AW526" s="678"/>
      <c r="AX526" s="675"/>
      <c r="AY526" s="681"/>
      <c r="AZ526" s="661"/>
      <c r="BA526" s="662"/>
      <c r="BB526" s="662"/>
      <c r="BC526" s="662"/>
      <c r="BD526" s="662"/>
      <c r="BE526" s="662"/>
      <c r="BF526" s="662"/>
      <c r="BG526" s="662"/>
      <c r="BH526" s="682"/>
      <c r="BI526" s="661"/>
      <c r="BJ526" s="683"/>
      <c r="BK526" s="684"/>
      <c r="BL526" s="681"/>
      <c r="BM526" s="685"/>
      <c r="BN526" s="675" t="s">
        <v>210</v>
      </c>
      <c r="BO526" s="686"/>
      <c r="BP526" s="677" t="s">
        <v>210</v>
      </c>
      <c r="BQ526" s="687"/>
      <c r="BR526" s="663"/>
      <c r="BS526" s="663"/>
      <c r="BT526" s="663"/>
      <c r="BU526" s="663" t="s">
        <v>5510</v>
      </c>
      <c r="BV526" s="663" t="s">
        <v>5510</v>
      </c>
      <c r="BW526" s="678" t="s">
        <v>15</v>
      </c>
      <c r="BX526" s="688"/>
      <c r="BY526" s="689"/>
      <c r="BZ526" s="483"/>
      <c r="CA526" s="483"/>
      <c r="CB526" s="483"/>
      <c r="CC526" s="483"/>
      <c r="CD526" s="484"/>
    </row>
    <row r="527" spans="1:82" ht="22.5" customHeight="1">
      <c r="B527" s="442">
        <v>150185</v>
      </c>
      <c r="C527" s="747" t="s">
        <v>3072</v>
      </c>
      <c r="D527" s="439"/>
      <c r="E527" s="404"/>
      <c r="F527" s="405" t="s">
        <v>1048</v>
      </c>
      <c r="G527" s="324" t="s">
        <v>3073</v>
      </c>
      <c r="H527" s="324" t="s">
        <v>3074</v>
      </c>
      <c r="I527" s="326" t="s">
        <v>383</v>
      </c>
      <c r="J527" s="326" t="s">
        <v>387</v>
      </c>
      <c r="K527" s="326" t="s">
        <v>806</v>
      </c>
      <c r="L527" s="361"/>
      <c r="M527" s="408"/>
      <c r="N527" s="444" t="s">
        <v>438</v>
      </c>
      <c r="O527" s="324">
        <v>50</v>
      </c>
      <c r="P527" s="458">
        <v>1600</v>
      </c>
      <c r="Q527" s="459">
        <v>973</v>
      </c>
      <c r="R527" s="420" t="s">
        <v>2346</v>
      </c>
      <c r="S527" s="394" t="s">
        <v>12145</v>
      </c>
      <c r="T527" s="394" t="s">
        <v>12147</v>
      </c>
      <c r="U527" s="394" t="s">
        <v>12146</v>
      </c>
      <c r="V527" s="394" t="s">
        <v>12148</v>
      </c>
      <c r="W527" s="460" t="s">
        <v>2346</v>
      </c>
      <c r="X527" s="394" t="s">
        <v>12145</v>
      </c>
      <c r="Y527" s="394" t="s">
        <v>12147</v>
      </c>
      <c r="Z527" s="394" t="s">
        <v>12146</v>
      </c>
      <c r="AA527" s="394" t="s">
        <v>12148</v>
      </c>
      <c r="AB527" s="416"/>
      <c r="AC527" s="416"/>
      <c r="AD527" s="375"/>
      <c r="AE527" s="499" t="s">
        <v>966</v>
      </c>
      <c r="AF527" s="475">
        <v>42304</v>
      </c>
      <c r="AG527" s="748">
        <v>42389</v>
      </c>
      <c r="AH527" s="417" t="s">
        <v>210</v>
      </c>
      <c r="AI527" s="392" t="s">
        <v>210</v>
      </c>
      <c r="AJ527" s="392" t="s">
        <v>210</v>
      </c>
      <c r="AK527" s="340" t="s">
        <v>210</v>
      </c>
      <c r="AL527" s="417" t="s">
        <v>210</v>
      </c>
      <c r="AM527" s="392" t="s">
        <v>210</v>
      </c>
      <c r="AN527" s="392" t="s">
        <v>210</v>
      </c>
      <c r="AO527" s="341" t="s">
        <v>210</v>
      </c>
      <c r="AP527" s="342"/>
      <c r="AQ527" s="343"/>
      <c r="AR527" s="452">
        <v>973</v>
      </c>
      <c r="AS527" s="326">
        <v>150</v>
      </c>
      <c r="AT527" s="432">
        <v>0.8</v>
      </c>
      <c r="AU527" s="432"/>
      <c r="AV527" s="432">
        <v>1.4</v>
      </c>
      <c r="AW527" s="490"/>
      <c r="AX527" s="410"/>
      <c r="AY527" s="413"/>
      <c r="AZ527" s="407"/>
      <c r="BA527" s="408"/>
      <c r="BB527" s="408"/>
      <c r="BC527" s="408"/>
      <c r="BD527" s="408"/>
      <c r="BE527" s="408"/>
      <c r="BF527" s="408"/>
      <c r="BG527" s="408"/>
      <c r="BH527" s="409"/>
      <c r="BI527" s="410"/>
      <c r="BJ527" s="411"/>
      <c r="BK527" s="412"/>
      <c r="BL527" s="413"/>
      <c r="BM527" s="414"/>
      <c r="BN527" s="321" t="s">
        <v>14</v>
      </c>
      <c r="BO527" s="372"/>
      <c r="BP527" s="373" t="s">
        <v>14</v>
      </c>
      <c r="BQ527" s="360"/>
      <c r="BR527" s="361"/>
      <c r="BS527" s="361"/>
      <c r="BT527" s="361"/>
      <c r="BU527" s="342" t="s">
        <v>210</v>
      </c>
      <c r="BV527" s="342" t="s">
        <v>210</v>
      </c>
      <c r="BW527" s="341" t="s">
        <v>15</v>
      </c>
      <c r="BX527" s="361"/>
      <c r="BY527" s="457"/>
      <c r="BZ527" s="363"/>
      <c r="CA527" s="363"/>
      <c r="CB527" s="363"/>
      <c r="CC527" s="363"/>
    </row>
    <row r="528" spans="1:82" ht="22.5" customHeight="1">
      <c r="B528" s="442">
        <v>150191</v>
      </c>
      <c r="C528" s="443" t="s">
        <v>2053</v>
      </c>
      <c r="D528" s="439"/>
      <c r="E528" s="404"/>
      <c r="F528" s="405" t="s">
        <v>2054</v>
      </c>
      <c r="G528" s="324" t="s">
        <v>2055</v>
      </c>
      <c r="H528" s="324" t="s">
        <v>2056</v>
      </c>
      <c r="I528" s="324" t="s">
        <v>766</v>
      </c>
      <c r="J528" s="326" t="s">
        <v>399</v>
      </c>
      <c r="K528" s="326" t="s">
        <v>917</v>
      </c>
      <c r="L528" s="323"/>
      <c r="M528" s="408"/>
      <c r="N528" s="444" t="s">
        <v>2057</v>
      </c>
      <c r="O528" s="324">
        <v>40</v>
      </c>
      <c r="P528" s="327" t="s">
        <v>210</v>
      </c>
      <c r="Q528" s="369" t="s">
        <v>210</v>
      </c>
      <c r="R528" s="420" t="s">
        <v>2848</v>
      </c>
      <c r="S528" s="394" t="s">
        <v>12260</v>
      </c>
      <c r="T528" s="394" t="s">
        <v>13196</v>
      </c>
      <c r="U528" s="394" t="s">
        <v>16367</v>
      </c>
      <c r="V528" s="394" t="s">
        <v>13438</v>
      </c>
      <c r="W528" s="460" t="s">
        <v>13506</v>
      </c>
      <c r="X528" s="394" t="s">
        <v>13441</v>
      </c>
      <c r="Y528" s="394" t="s">
        <v>13442</v>
      </c>
      <c r="Z528" s="394" t="s">
        <v>13443</v>
      </c>
      <c r="AA528" s="394" t="s">
        <v>13440</v>
      </c>
      <c r="AB528" s="416"/>
      <c r="AC528" s="416"/>
      <c r="AD528" s="780" t="s">
        <v>3076</v>
      </c>
      <c r="AE528" s="499" t="s">
        <v>210</v>
      </c>
      <c r="AF528" s="475">
        <v>42183</v>
      </c>
      <c r="AG528" s="705">
        <v>42317</v>
      </c>
      <c r="AH528" s="417" t="s">
        <v>210</v>
      </c>
      <c r="AI528" s="392" t="s">
        <v>210</v>
      </c>
      <c r="AJ528" s="392" t="s">
        <v>210</v>
      </c>
      <c r="AK528" s="340" t="s">
        <v>210</v>
      </c>
      <c r="AL528" s="417" t="s">
        <v>210</v>
      </c>
      <c r="AM528" s="392" t="s">
        <v>210</v>
      </c>
      <c r="AN528" s="392" t="s">
        <v>210</v>
      </c>
      <c r="AO528" s="341" t="s">
        <v>210</v>
      </c>
      <c r="AP528" s="342"/>
      <c r="AQ528" s="343"/>
      <c r="AR528" s="452">
        <v>1607</v>
      </c>
      <c r="AS528" s="324">
        <v>80</v>
      </c>
      <c r="AT528" s="432">
        <v>1</v>
      </c>
      <c r="AU528" s="432"/>
      <c r="AV528" s="432">
        <v>1.5</v>
      </c>
      <c r="AW528" s="490"/>
      <c r="AX528" s="376"/>
      <c r="AY528" s="348"/>
      <c r="AZ528" s="407"/>
      <c r="BA528" s="408"/>
      <c r="BB528" s="408"/>
      <c r="BC528" s="408"/>
      <c r="BD528" s="408"/>
      <c r="BE528" s="408"/>
      <c r="BF528" s="408"/>
      <c r="BG528" s="408"/>
      <c r="BH528" s="409"/>
      <c r="BI528" s="410"/>
      <c r="BJ528" s="411"/>
      <c r="BK528" s="412"/>
      <c r="BL528" s="413"/>
      <c r="BM528" s="414"/>
      <c r="BN528" s="417" t="s">
        <v>210</v>
      </c>
      <c r="BO528" s="372"/>
      <c r="BP528" s="373" t="s">
        <v>14</v>
      </c>
      <c r="BQ528" s="360"/>
      <c r="BR528" s="361"/>
      <c r="BS528" s="361"/>
      <c r="BT528" s="361"/>
      <c r="BU528" s="342" t="s">
        <v>210</v>
      </c>
      <c r="BV528" s="342" t="s">
        <v>210</v>
      </c>
      <c r="BW528" s="341" t="s">
        <v>15</v>
      </c>
      <c r="BX528" s="361"/>
      <c r="BY528" s="457"/>
      <c r="BZ528" s="363"/>
      <c r="CA528" s="363"/>
      <c r="CB528" s="363"/>
      <c r="CC528" s="363"/>
    </row>
    <row r="529" spans="1:82" ht="22.5" customHeight="1">
      <c r="B529" s="442">
        <v>150192</v>
      </c>
      <c r="C529" s="747" t="s">
        <v>2823</v>
      </c>
      <c r="D529" s="439"/>
      <c r="E529" s="404"/>
      <c r="F529" s="405" t="s">
        <v>222</v>
      </c>
      <c r="G529" s="324" t="s">
        <v>2824</v>
      </c>
      <c r="H529" s="324" t="s">
        <v>2825</v>
      </c>
      <c r="I529" s="326" t="s">
        <v>383</v>
      </c>
      <c r="J529" s="326" t="s">
        <v>387</v>
      </c>
      <c r="K529" s="326" t="s">
        <v>806</v>
      </c>
      <c r="L529" s="323"/>
      <c r="M529" s="408"/>
      <c r="N529" s="444" t="s">
        <v>2826</v>
      </c>
      <c r="O529" s="324">
        <v>110</v>
      </c>
      <c r="P529" s="327" t="s">
        <v>210</v>
      </c>
      <c r="Q529" s="369" t="s">
        <v>210</v>
      </c>
      <c r="R529" s="420" t="s">
        <v>2852</v>
      </c>
      <c r="S529" s="400"/>
      <c r="T529" s="400"/>
      <c r="U529" s="400"/>
      <c r="V529" s="400"/>
      <c r="W529" s="460" t="s">
        <v>4402</v>
      </c>
      <c r="X529" s="394" t="s">
        <v>13502</v>
      </c>
      <c r="Y529" s="394" t="s">
        <v>13503</v>
      </c>
      <c r="Z529" s="394" t="s">
        <v>16488</v>
      </c>
      <c r="AA529" s="394" t="s">
        <v>13504</v>
      </c>
      <c r="AB529" s="416"/>
      <c r="AC529" s="416"/>
      <c r="AD529" s="334" t="s">
        <v>2947</v>
      </c>
      <c r="AE529" s="335" t="s">
        <v>2905</v>
      </c>
      <c r="AF529" s="475">
        <v>42220</v>
      </c>
      <c r="AG529" s="705">
        <v>42265</v>
      </c>
      <c r="AH529" s="417" t="s">
        <v>210</v>
      </c>
      <c r="AI529" s="392" t="s">
        <v>210</v>
      </c>
      <c r="AJ529" s="392" t="s">
        <v>210</v>
      </c>
      <c r="AK529" s="340" t="s">
        <v>210</v>
      </c>
      <c r="AL529" s="417" t="s">
        <v>210</v>
      </c>
      <c r="AM529" s="392" t="s">
        <v>210</v>
      </c>
      <c r="AN529" s="392" t="s">
        <v>210</v>
      </c>
      <c r="AO529" s="341" t="s">
        <v>210</v>
      </c>
      <c r="AP529" s="342"/>
      <c r="AQ529" s="343"/>
      <c r="AR529" s="452">
        <v>2862</v>
      </c>
      <c r="AS529" s="326">
        <v>120</v>
      </c>
      <c r="AT529" s="432">
        <v>1</v>
      </c>
      <c r="AU529" s="432"/>
      <c r="AV529" s="432">
        <v>1.2</v>
      </c>
      <c r="AW529" s="490"/>
      <c r="AX529" s="376"/>
      <c r="AY529" s="348"/>
      <c r="AZ529" s="407"/>
      <c r="BA529" s="408"/>
      <c r="BB529" s="408"/>
      <c r="BC529" s="408"/>
      <c r="BD529" s="408"/>
      <c r="BE529" s="408"/>
      <c r="BF529" s="408"/>
      <c r="BG529" s="408"/>
      <c r="BH529" s="409"/>
      <c r="BI529" s="410"/>
      <c r="BJ529" s="411"/>
      <c r="BK529" s="412"/>
      <c r="BL529" s="413"/>
      <c r="BM529" s="414"/>
      <c r="BN529" s="321" t="s">
        <v>14</v>
      </c>
      <c r="BO529" s="372"/>
      <c r="BP529" s="373" t="s">
        <v>14</v>
      </c>
      <c r="BQ529" s="360"/>
      <c r="BR529" s="361"/>
      <c r="BS529" s="361"/>
      <c r="BT529" s="361"/>
      <c r="BU529" s="342" t="s">
        <v>210</v>
      </c>
      <c r="BV529" s="342" t="s">
        <v>210</v>
      </c>
      <c r="BW529" s="341" t="s">
        <v>15</v>
      </c>
      <c r="BX529" s="361"/>
      <c r="BY529" s="457"/>
      <c r="BZ529" s="363"/>
      <c r="CA529" s="363"/>
      <c r="CB529" s="363"/>
      <c r="CC529" s="363"/>
    </row>
    <row r="530" spans="1:82" s="465" customFormat="1" ht="22.5" customHeight="1">
      <c r="A530" s="287"/>
      <c r="B530" s="749">
        <v>150201</v>
      </c>
      <c r="C530" s="750" t="s">
        <v>13495</v>
      </c>
      <c r="D530" s="751"/>
      <c r="E530" s="752"/>
      <c r="F530" s="753" t="s">
        <v>3454</v>
      </c>
      <c r="G530" s="754" t="s">
        <v>3455</v>
      </c>
      <c r="H530" s="754" t="s">
        <v>3456</v>
      </c>
      <c r="I530" s="662" t="s">
        <v>383</v>
      </c>
      <c r="J530" s="662" t="s">
        <v>399</v>
      </c>
      <c r="K530" s="662" t="s">
        <v>3460</v>
      </c>
      <c r="L530" s="688"/>
      <c r="M530" s="662"/>
      <c r="N530" s="664" t="s">
        <v>438</v>
      </c>
      <c r="O530" s="754"/>
      <c r="P530" s="665" t="s">
        <v>210</v>
      </c>
      <c r="Q530" s="666" t="s">
        <v>210</v>
      </c>
      <c r="R530" s="667" t="s">
        <v>1019</v>
      </c>
      <c r="S530" s="668" t="s">
        <v>13496</v>
      </c>
      <c r="T530" s="668" t="s">
        <v>13497</v>
      </c>
      <c r="U530" s="668"/>
      <c r="V530" s="668" t="s">
        <v>13498</v>
      </c>
      <c r="W530" s="669" t="s">
        <v>716</v>
      </c>
      <c r="X530" s="668" t="s">
        <v>14148</v>
      </c>
      <c r="Y530" s="668" t="s">
        <v>13500</v>
      </c>
      <c r="Z530" s="668" t="s">
        <v>13501</v>
      </c>
      <c r="AA530" s="668" t="s">
        <v>13499</v>
      </c>
      <c r="AB530" s="758"/>
      <c r="AC530" s="758"/>
      <c r="AD530" s="759"/>
      <c r="AE530" s="760"/>
      <c r="AF530" s="761">
        <v>42472</v>
      </c>
      <c r="AG530" s="674" t="s">
        <v>10514</v>
      </c>
      <c r="AH530" s="675" t="s">
        <v>210</v>
      </c>
      <c r="AI530" s="676" t="s">
        <v>210</v>
      </c>
      <c r="AJ530" s="676" t="s">
        <v>210</v>
      </c>
      <c r="AK530" s="677" t="s">
        <v>210</v>
      </c>
      <c r="AL530" s="675" t="s">
        <v>210</v>
      </c>
      <c r="AM530" s="676" t="s">
        <v>210</v>
      </c>
      <c r="AN530" s="676" t="s">
        <v>622</v>
      </c>
      <c r="AO530" s="678" t="s">
        <v>210</v>
      </c>
      <c r="AP530" s="663"/>
      <c r="AQ530" s="762"/>
      <c r="AR530" s="763"/>
      <c r="AS530" s="754"/>
      <c r="AT530" s="785"/>
      <c r="AU530" s="785"/>
      <c r="AV530" s="785"/>
      <c r="AW530" s="764"/>
      <c r="AX530" s="765"/>
      <c r="AY530" s="766"/>
      <c r="AZ530" s="753" t="s">
        <v>622</v>
      </c>
      <c r="BA530" s="754" t="s">
        <v>3457</v>
      </c>
      <c r="BB530" s="754" t="s">
        <v>3372</v>
      </c>
      <c r="BC530" s="754" t="s">
        <v>3458</v>
      </c>
      <c r="BD530" s="754" t="s">
        <v>3372</v>
      </c>
      <c r="BE530" s="754" t="s">
        <v>3459</v>
      </c>
      <c r="BF530" s="754" t="s">
        <v>3382</v>
      </c>
      <c r="BG530" s="754" t="s">
        <v>210</v>
      </c>
      <c r="BH530" s="767" t="s">
        <v>210</v>
      </c>
      <c r="BI530" s="765"/>
      <c r="BJ530" s="768" t="s">
        <v>9794</v>
      </c>
      <c r="BK530" s="769"/>
      <c r="BL530" s="766"/>
      <c r="BM530" s="770"/>
      <c r="BN530" s="765"/>
      <c r="BO530" s="771"/>
      <c r="BP530" s="772"/>
      <c r="BQ530" s="773"/>
      <c r="BR530" s="688"/>
      <c r="BS530" s="688"/>
      <c r="BT530" s="688"/>
      <c r="BU530" s="663" t="s">
        <v>5510</v>
      </c>
      <c r="BV530" s="663" t="s">
        <v>5510</v>
      </c>
      <c r="BW530" s="678" t="s">
        <v>210</v>
      </c>
      <c r="BX530" s="688"/>
      <c r="BY530" s="774"/>
      <c r="BZ530" s="483"/>
      <c r="CA530" s="483"/>
      <c r="CB530" s="483"/>
      <c r="CC530" s="483"/>
      <c r="CD530" s="484"/>
    </row>
    <row r="531" spans="1:82" ht="22.5" customHeight="1">
      <c r="B531" s="365">
        <v>150216</v>
      </c>
      <c r="C531" s="366" t="s">
        <v>13494</v>
      </c>
      <c r="D531" s="419"/>
      <c r="E531" s="368"/>
      <c r="F531" s="321" t="s">
        <v>266</v>
      </c>
      <c r="G531" s="326" t="s">
        <v>1810</v>
      </c>
      <c r="H531" s="326" t="s">
        <v>1811</v>
      </c>
      <c r="I531" s="326" t="s">
        <v>383</v>
      </c>
      <c r="J531" s="326" t="s">
        <v>387</v>
      </c>
      <c r="K531" s="326" t="s">
        <v>247</v>
      </c>
      <c r="L531" s="323"/>
      <c r="M531" s="408"/>
      <c r="N531" s="325" t="s">
        <v>1672</v>
      </c>
      <c r="O531" s="327" t="s">
        <v>210</v>
      </c>
      <c r="P531" s="327" t="s">
        <v>210</v>
      </c>
      <c r="Q531" s="369" t="s">
        <v>210</v>
      </c>
      <c r="R531" s="329" t="s">
        <v>1690</v>
      </c>
      <c r="S531" s="330"/>
      <c r="T531" s="330"/>
      <c r="U531" s="330"/>
      <c r="V531" s="330"/>
      <c r="W531" s="332" t="s">
        <v>1689</v>
      </c>
      <c r="X531" s="332" t="s">
        <v>11368</v>
      </c>
      <c r="Y531" s="331" t="s">
        <v>12872</v>
      </c>
      <c r="Z531" s="331" t="s">
        <v>12871</v>
      </c>
      <c r="AA531" s="332" t="s">
        <v>11371</v>
      </c>
      <c r="AB531" s="333"/>
      <c r="AC531" s="416"/>
      <c r="AD531" s="375"/>
      <c r="AE531" s="391"/>
      <c r="AF531" s="706">
        <v>42116</v>
      </c>
      <c r="AG531" s="705">
        <v>42227</v>
      </c>
      <c r="AH531" s="417" t="s">
        <v>210</v>
      </c>
      <c r="AI531" s="392" t="s">
        <v>210</v>
      </c>
      <c r="AJ531" s="392" t="s">
        <v>210</v>
      </c>
      <c r="AK531" s="340" t="s">
        <v>210</v>
      </c>
      <c r="AL531" s="321" t="s">
        <v>14</v>
      </c>
      <c r="AM531" s="392" t="s">
        <v>210</v>
      </c>
      <c r="AN531" s="392" t="s">
        <v>210</v>
      </c>
      <c r="AO531" s="341" t="s">
        <v>210</v>
      </c>
      <c r="AP531" s="342"/>
      <c r="AQ531" s="343"/>
      <c r="AR531" s="370">
        <v>257</v>
      </c>
      <c r="AS531" s="326">
        <v>80</v>
      </c>
      <c r="AT531" s="392">
        <v>1</v>
      </c>
      <c r="AU531" s="392"/>
      <c r="AV531" s="392">
        <v>1.5</v>
      </c>
      <c r="AW531" s="341"/>
      <c r="AX531" s="376"/>
      <c r="AY531" s="348"/>
      <c r="AZ531" s="377"/>
      <c r="BA531" s="374"/>
      <c r="BB531" s="374"/>
      <c r="BC531" s="374"/>
      <c r="BD531" s="374"/>
      <c r="BE531" s="374"/>
      <c r="BF531" s="374"/>
      <c r="BG531" s="374"/>
      <c r="BH531" s="378"/>
      <c r="BI531" s="376"/>
      <c r="BJ531" s="379"/>
      <c r="BK531" s="380"/>
      <c r="BL531" s="348"/>
      <c r="BM531" s="381"/>
      <c r="BN531" s="417" t="s">
        <v>210</v>
      </c>
      <c r="BO531" s="372"/>
      <c r="BP531" s="373" t="s">
        <v>14</v>
      </c>
      <c r="BQ531" s="360"/>
      <c r="BR531" s="361"/>
      <c r="BS531" s="361"/>
      <c r="BT531" s="361"/>
      <c r="BU531" s="342" t="s">
        <v>210</v>
      </c>
      <c r="BV531" s="342" t="s">
        <v>210</v>
      </c>
      <c r="BW531" s="341" t="s">
        <v>15</v>
      </c>
      <c r="BX531" s="361"/>
      <c r="BY531" s="362"/>
      <c r="BZ531" s="363"/>
      <c r="CA531" s="363"/>
      <c r="CB531" s="363"/>
      <c r="CC531" s="363"/>
    </row>
    <row r="532" spans="1:82" ht="22.5" customHeight="1">
      <c r="B532" s="365">
        <v>150219</v>
      </c>
      <c r="C532" s="366" t="s">
        <v>1728</v>
      </c>
      <c r="D532" s="419"/>
      <c r="E532" s="368"/>
      <c r="F532" s="321" t="s">
        <v>271</v>
      </c>
      <c r="G532" s="326" t="s">
        <v>1792</v>
      </c>
      <c r="H532" s="326" t="s">
        <v>1812</v>
      </c>
      <c r="I532" s="326" t="s">
        <v>383</v>
      </c>
      <c r="J532" s="326" t="s">
        <v>399</v>
      </c>
      <c r="K532" s="326" t="s">
        <v>917</v>
      </c>
      <c r="L532" s="323"/>
      <c r="M532" s="408"/>
      <c r="N532" s="325" t="s">
        <v>437</v>
      </c>
      <c r="O532" s="326">
        <v>65</v>
      </c>
      <c r="P532" s="327">
        <v>1300</v>
      </c>
      <c r="Q532" s="369">
        <v>1324</v>
      </c>
      <c r="R532" s="329" t="s">
        <v>13486</v>
      </c>
      <c r="S532" s="331" t="s">
        <v>13487</v>
      </c>
      <c r="T532" s="331" t="s">
        <v>13490</v>
      </c>
      <c r="U532" s="331" t="s">
        <v>13489</v>
      </c>
      <c r="V532" s="331" t="s">
        <v>13488</v>
      </c>
      <c r="W532" s="332" t="s">
        <v>1729</v>
      </c>
      <c r="X532" s="331" t="s">
        <v>13491</v>
      </c>
      <c r="Y532" s="330"/>
      <c r="Z532" s="331" t="s">
        <v>13492</v>
      </c>
      <c r="AA532" s="331" t="s">
        <v>13493</v>
      </c>
      <c r="AB532" s="333"/>
      <c r="AC532" s="416"/>
      <c r="AD532" s="375"/>
      <c r="AE532" s="335" t="s">
        <v>210</v>
      </c>
      <c r="AF532" s="706">
        <v>42124</v>
      </c>
      <c r="AG532" s="705">
        <v>42199</v>
      </c>
      <c r="AH532" s="417" t="s">
        <v>210</v>
      </c>
      <c r="AI532" s="392" t="s">
        <v>210</v>
      </c>
      <c r="AJ532" s="392" t="s">
        <v>210</v>
      </c>
      <c r="AK532" s="340" t="s">
        <v>210</v>
      </c>
      <c r="AL532" s="417" t="s">
        <v>210</v>
      </c>
      <c r="AM532" s="392" t="s">
        <v>210</v>
      </c>
      <c r="AN532" s="392" t="s">
        <v>210</v>
      </c>
      <c r="AO532" s="341" t="s">
        <v>210</v>
      </c>
      <c r="AP532" s="342"/>
      <c r="AQ532" s="343"/>
      <c r="AR532" s="370">
        <v>1860</v>
      </c>
      <c r="AS532" s="326">
        <v>80</v>
      </c>
      <c r="AT532" s="392">
        <v>0.8</v>
      </c>
      <c r="AU532" s="392"/>
      <c r="AV532" s="392">
        <v>1.4</v>
      </c>
      <c r="AW532" s="341"/>
      <c r="AX532" s="376"/>
      <c r="AY532" s="348"/>
      <c r="AZ532" s="377"/>
      <c r="BA532" s="374"/>
      <c r="BB532" s="374"/>
      <c r="BC532" s="374"/>
      <c r="BD532" s="374"/>
      <c r="BE532" s="374"/>
      <c r="BF532" s="374"/>
      <c r="BG532" s="374"/>
      <c r="BH532" s="378"/>
      <c r="BI532" s="376"/>
      <c r="BJ532" s="379"/>
      <c r="BK532" s="380"/>
      <c r="BL532" s="348"/>
      <c r="BM532" s="381"/>
      <c r="BN532" s="321" t="s">
        <v>14</v>
      </c>
      <c r="BO532" s="372"/>
      <c r="BP532" s="340" t="s">
        <v>210</v>
      </c>
      <c r="BQ532" s="360"/>
      <c r="BR532" s="361"/>
      <c r="BS532" s="361"/>
      <c r="BT532" s="361"/>
      <c r="BU532" s="342" t="s">
        <v>210</v>
      </c>
      <c r="BV532" s="342" t="s">
        <v>210</v>
      </c>
      <c r="BW532" s="341" t="s">
        <v>15</v>
      </c>
      <c r="BX532" s="361"/>
      <c r="BY532" s="362"/>
      <c r="BZ532" s="363"/>
      <c r="CA532" s="363"/>
      <c r="CB532" s="363"/>
      <c r="CC532" s="363"/>
    </row>
    <row r="533" spans="1:82" ht="22.5" customHeight="1">
      <c r="B533" s="365">
        <v>150228</v>
      </c>
      <c r="C533" s="366" t="s">
        <v>1654</v>
      </c>
      <c r="D533" s="419"/>
      <c r="E533" s="368"/>
      <c r="F533" s="321" t="s">
        <v>1682</v>
      </c>
      <c r="G533" s="326" t="s">
        <v>1813</v>
      </c>
      <c r="H533" s="326" t="s">
        <v>1814</v>
      </c>
      <c r="I533" s="326" t="s">
        <v>383</v>
      </c>
      <c r="J533" s="326" t="s">
        <v>399</v>
      </c>
      <c r="K533" s="326" t="s">
        <v>917</v>
      </c>
      <c r="L533" s="323"/>
      <c r="M533" s="324" t="s">
        <v>10767</v>
      </c>
      <c r="N533" s="325" t="s">
        <v>437</v>
      </c>
      <c r="O533" s="326">
        <v>150</v>
      </c>
      <c r="P533" s="327">
        <v>607.41999999999996</v>
      </c>
      <c r="Q533" s="369">
        <v>626.52</v>
      </c>
      <c r="R533" s="329" t="s">
        <v>910</v>
      </c>
      <c r="S533" s="331" t="s">
        <v>13483</v>
      </c>
      <c r="T533" s="331" t="s">
        <v>13484</v>
      </c>
      <c r="U533" s="331" t="s">
        <v>16222</v>
      </c>
      <c r="V533" s="331" t="s">
        <v>13485</v>
      </c>
      <c r="W533" s="332" t="s">
        <v>432</v>
      </c>
      <c r="X533" s="331" t="s">
        <v>11079</v>
      </c>
      <c r="Y533" s="331" t="s">
        <v>11080</v>
      </c>
      <c r="Z533" s="331" t="s">
        <v>11080</v>
      </c>
      <c r="AA533" s="331" t="s">
        <v>520</v>
      </c>
      <c r="AB533" s="416" t="s">
        <v>16099</v>
      </c>
      <c r="AC533" s="416"/>
      <c r="AD533" s="334" t="s">
        <v>2329</v>
      </c>
      <c r="AE533" s="335" t="s">
        <v>210</v>
      </c>
      <c r="AF533" s="706">
        <v>42100</v>
      </c>
      <c r="AG533" s="705">
        <v>42228</v>
      </c>
      <c r="AH533" s="417">
        <v>27.8</v>
      </c>
      <c r="AI533" s="392">
        <v>23.6</v>
      </c>
      <c r="AJ533" s="392">
        <v>17.5</v>
      </c>
      <c r="AK533" s="340">
        <f>AH533+AI533+AJ533</f>
        <v>68.900000000000006</v>
      </c>
      <c r="AL533" s="417" t="s">
        <v>210</v>
      </c>
      <c r="AM533" s="392" t="s">
        <v>210</v>
      </c>
      <c r="AN533" s="392" t="s">
        <v>210</v>
      </c>
      <c r="AO533" s="341" t="s">
        <v>210</v>
      </c>
      <c r="AP533" s="342"/>
      <c r="AQ533" s="343"/>
      <c r="AR533" s="370">
        <v>245</v>
      </c>
      <c r="AS533" s="326">
        <v>100</v>
      </c>
      <c r="AT533" s="392">
        <v>1</v>
      </c>
      <c r="AU533" s="392"/>
      <c r="AV533" s="392">
        <v>1</v>
      </c>
      <c r="AW533" s="341"/>
      <c r="AX533" s="376"/>
      <c r="AY533" s="348"/>
      <c r="AZ533" s="377"/>
      <c r="BA533" s="374"/>
      <c r="BB533" s="374"/>
      <c r="BC533" s="374"/>
      <c r="BD533" s="374"/>
      <c r="BE533" s="374"/>
      <c r="BF533" s="374"/>
      <c r="BG533" s="374"/>
      <c r="BH533" s="378"/>
      <c r="BI533" s="376"/>
      <c r="BJ533" s="379"/>
      <c r="BK533" s="380"/>
      <c r="BL533" s="348"/>
      <c r="BM533" s="381"/>
      <c r="BN533" s="417" t="s">
        <v>210</v>
      </c>
      <c r="BO533" s="372"/>
      <c r="BP533" s="340" t="s">
        <v>210</v>
      </c>
      <c r="BQ533" s="360"/>
      <c r="BR533" s="361"/>
      <c r="BS533" s="361"/>
      <c r="BT533" s="361"/>
      <c r="BU533" s="342" t="s">
        <v>5512</v>
      </c>
      <c r="BV533" s="342" t="s">
        <v>210</v>
      </c>
      <c r="BW533" s="341" t="s">
        <v>15</v>
      </c>
      <c r="BX533" s="361"/>
      <c r="BY533" s="362" t="s">
        <v>1753</v>
      </c>
      <c r="BZ533" s="363"/>
      <c r="CA533" s="363"/>
      <c r="CB533" s="363"/>
      <c r="CC533" s="363"/>
    </row>
    <row r="534" spans="1:82" s="465" customFormat="1" ht="22.5" customHeight="1">
      <c r="A534" s="287"/>
      <c r="B534" s="657">
        <v>150229</v>
      </c>
      <c r="C534" s="658" t="s">
        <v>1717</v>
      </c>
      <c r="D534" s="707"/>
      <c r="E534" s="660"/>
      <c r="F534" s="661" t="s">
        <v>265</v>
      </c>
      <c r="G534" s="662" t="s">
        <v>1815</v>
      </c>
      <c r="H534" s="662" t="s">
        <v>1816</v>
      </c>
      <c r="I534" s="662" t="s">
        <v>383</v>
      </c>
      <c r="J534" s="662" t="s">
        <v>387</v>
      </c>
      <c r="K534" s="662" t="s">
        <v>917</v>
      </c>
      <c r="L534" s="663"/>
      <c r="M534" s="662"/>
      <c r="N534" s="664" t="s">
        <v>1718</v>
      </c>
      <c r="O534" s="662">
        <v>20</v>
      </c>
      <c r="P534" s="665">
        <v>5600</v>
      </c>
      <c r="Q534" s="666">
        <v>2800</v>
      </c>
      <c r="R534" s="667" t="s">
        <v>1709</v>
      </c>
      <c r="S534" s="668" t="s">
        <v>11304</v>
      </c>
      <c r="T534" s="668" t="s">
        <v>11301</v>
      </c>
      <c r="U534" s="668" t="s">
        <v>11300</v>
      </c>
      <c r="V534" s="668" t="s">
        <v>11308</v>
      </c>
      <c r="W534" s="669" t="s">
        <v>1683</v>
      </c>
      <c r="X534" s="668" t="s">
        <v>11803</v>
      </c>
      <c r="Y534" s="668" t="s">
        <v>11804</v>
      </c>
      <c r="Z534" s="668" t="s">
        <v>16512</v>
      </c>
      <c r="AA534" s="668" t="s">
        <v>11805</v>
      </c>
      <c r="AB534" s="670"/>
      <c r="AC534" s="670"/>
      <c r="AD534" s="671"/>
      <c r="AE534" s="672"/>
      <c r="AF534" s="673">
        <v>42117</v>
      </c>
      <c r="AG534" s="674" t="s">
        <v>10514</v>
      </c>
      <c r="AH534" s="675" t="s">
        <v>210</v>
      </c>
      <c r="AI534" s="676" t="s">
        <v>210</v>
      </c>
      <c r="AJ534" s="676" t="s">
        <v>210</v>
      </c>
      <c r="AK534" s="677" t="s">
        <v>210</v>
      </c>
      <c r="AL534" s="675" t="s">
        <v>210</v>
      </c>
      <c r="AM534" s="676" t="s">
        <v>210</v>
      </c>
      <c r="AN534" s="676" t="s">
        <v>210</v>
      </c>
      <c r="AO534" s="678" t="s">
        <v>210</v>
      </c>
      <c r="AP534" s="663"/>
      <c r="AQ534" s="762"/>
      <c r="AR534" s="680"/>
      <c r="AS534" s="662"/>
      <c r="AT534" s="676"/>
      <c r="AU534" s="676"/>
      <c r="AV534" s="676"/>
      <c r="AW534" s="678"/>
      <c r="AX534" s="675"/>
      <c r="AY534" s="681"/>
      <c r="AZ534" s="661"/>
      <c r="BA534" s="662"/>
      <c r="BB534" s="662"/>
      <c r="BC534" s="662"/>
      <c r="BD534" s="662"/>
      <c r="BE534" s="662"/>
      <c r="BF534" s="662"/>
      <c r="BG534" s="662"/>
      <c r="BH534" s="682"/>
      <c r="BI534" s="661"/>
      <c r="BJ534" s="683"/>
      <c r="BK534" s="684"/>
      <c r="BL534" s="681"/>
      <c r="BM534" s="685"/>
      <c r="BN534" s="675"/>
      <c r="BO534" s="686"/>
      <c r="BP534" s="677"/>
      <c r="BQ534" s="773"/>
      <c r="BR534" s="688"/>
      <c r="BS534" s="688"/>
      <c r="BT534" s="688"/>
      <c r="BU534" s="663" t="s">
        <v>5510</v>
      </c>
      <c r="BV534" s="663" t="s">
        <v>5510</v>
      </c>
      <c r="BW534" s="678" t="s">
        <v>15</v>
      </c>
      <c r="BX534" s="688"/>
      <c r="BY534" s="689"/>
      <c r="BZ534" s="483"/>
      <c r="CA534" s="483"/>
      <c r="CB534" s="483"/>
      <c r="CC534" s="483"/>
      <c r="CD534" s="484"/>
    </row>
    <row r="535" spans="1:82" ht="22.5" customHeight="1">
      <c r="B535" s="442">
        <v>150237</v>
      </c>
      <c r="C535" s="443" t="s">
        <v>2270</v>
      </c>
      <c r="D535" s="439"/>
      <c r="E535" s="404"/>
      <c r="F535" s="405" t="s">
        <v>240</v>
      </c>
      <c r="G535" s="324" t="s">
        <v>2271</v>
      </c>
      <c r="H535" s="324" t="s">
        <v>2272</v>
      </c>
      <c r="I535" s="326" t="s">
        <v>383</v>
      </c>
      <c r="J535" s="326" t="s">
        <v>399</v>
      </c>
      <c r="K535" s="326" t="s">
        <v>247</v>
      </c>
      <c r="L535" s="361"/>
      <c r="M535" s="324" t="s">
        <v>10767</v>
      </c>
      <c r="N535" s="325" t="s">
        <v>438</v>
      </c>
      <c r="O535" s="324">
        <v>30</v>
      </c>
      <c r="P535" s="327" t="s">
        <v>210</v>
      </c>
      <c r="Q535" s="369" t="s">
        <v>210</v>
      </c>
      <c r="R535" s="420" t="s">
        <v>2369</v>
      </c>
      <c r="S535" s="394" t="s">
        <v>13480</v>
      </c>
      <c r="T535" s="394" t="s">
        <v>13481</v>
      </c>
      <c r="U535" s="394" t="s">
        <v>16352</v>
      </c>
      <c r="V535" s="394" t="s">
        <v>13482</v>
      </c>
      <c r="W535" s="332" t="s">
        <v>432</v>
      </c>
      <c r="X535" s="331" t="s">
        <v>11079</v>
      </c>
      <c r="Y535" s="331" t="s">
        <v>11080</v>
      </c>
      <c r="Z535" s="331" t="s">
        <v>11080</v>
      </c>
      <c r="AA535" s="331" t="s">
        <v>520</v>
      </c>
      <c r="AB535" s="416"/>
      <c r="AC535" s="416"/>
      <c r="AD535" s="447" t="s">
        <v>2921</v>
      </c>
      <c r="AE535" s="499" t="s">
        <v>2032</v>
      </c>
      <c r="AF535" s="475">
        <v>42184</v>
      </c>
      <c r="AG535" s="705">
        <v>42247</v>
      </c>
      <c r="AH535" s="417">
        <v>25.7</v>
      </c>
      <c r="AI535" s="392">
        <v>33.200000000000003</v>
      </c>
      <c r="AJ535" s="392">
        <v>12.3</v>
      </c>
      <c r="AK535" s="340">
        <f>AH535+AI535+AJ535</f>
        <v>71.2</v>
      </c>
      <c r="AL535" s="417" t="s">
        <v>210</v>
      </c>
      <c r="AM535" s="392" t="s">
        <v>210</v>
      </c>
      <c r="AN535" s="392" t="s">
        <v>210</v>
      </c>
      <c r="AO535" s="341" t="s">
        <v>210</v>
      </c>
      <c r="AP535" s="342"/>
      <c r="AQ535" s="343"/>
      <c r="AR535" s="452">
        <v>792</v>
      </c>
      <c r="AS535" s="324">
        <v>100</v>
      </c>
      <c r="AT535" s="432">
        <v>0.8</v>
      </c>
      <c r="AU535" s="432"/>
      <c r="AV535" s="432">
        <v>0.8</v>
      </c>
      <c r="AW535" s="490"/>
      <c r="AX535" s="410"/>
      <c r="AY535" s="413"/>
      <c r="AZ535" s="407"/>
      <c r="BA535" s="408"/>
      <c r="BB535" s="408"/>
      <c r="BC535" s="408"/>
      <c r="BD535" s="408"/>
      <c r="BE535" s="408"/>
      <c r="BF535" s="408"/>
      <c r="BG535" s="408"/>
      <c r="BH535" s="409"/>
      <c r="BI535" s="407"/>
      <c r="BJ535" s="411"/>
      <c r="BK535" s="412"/>
      <c r="BL535" s="413"/>
      <c r="BM535" s="414"/>
      <c r="BN535" s="417" t="s">
        <v>210</v>
      </c>
      <c r="BO535" s="372"/>
      <c r="BP535" s="340" t="s">
        <v>210</v>
      </c>
      <c r="BQ535" s="360"/>
      <c r="BR535" s="361"/>
      <c r="BS535" s="361"/>
      <c r="BT535" s="361"/>
      <c r="BU535" s="342" t="s">
        <v>210</v>
      </c>
      <c r="BV535" s="342" t="s">
        <v>210</v>
      </c>
      <c r="BW535" s="341" t="s">
        <v>15</v>
      </c>
      <c r="BX535" s="361"/>
      <c r="BY535" s="457"/>
      <c r="BZ535" s="363"/>
      <c r="CA535" s="363"/>
      <c r="CB535" s="363"/>
      <c r="CC535" s="363"/>
    </row>
    <row r="536" spans="1:82" ht="22.5" customHeight="1">
      <c r="B536" s="365">
        <v>150240</v>
      </c>
      <c r="C536" s="366" t="s">
        <v>2045</v>
      </c>
      <c r="D536" s="419"/>
      <c r="E536" s="368"/>
      <c r="F536" s="321" t="s">
        <v>2046</v>
      </c>
      <c r="G536" s="326" t="s">
        <v>2047</v>
      </c>
      <c r="H536" s="326" t="s">
        <v>2048</v>
      </c>
      <c r="I536" s="326" t="s">
        <v>383</v>
      </c>
      <c r="J536" s="326" t="s">
        <v>387</v>
      </c>
      <c r="K536" s="326" t="s">
        <v>2049</v>
      </c>
      <c r="L536" s="323"/>
      <c r="M536" s="408"/>
      <c r="N536" s="325" t="s">
        <v>2050</v>
      </c>
      <c r="O536" s="326">
        <v>40</v>
      </c>
      <c r="P536" s="327" t="s">
        <v>210</v>
      </c>
      <c r="Q536" s="369" t="s">
        <v>210</v>
      </c>
      <c r="R536" s="329" t="s">
        <v>2366</v>
      </c>
      <c r="S536" s="331" t="s">
        <v>13478</v>
      </c>
      <c r="T536" s="331" t="s">
        <v>13479</v>
      </c>
      <c r="U536" s="331" t="s">
        <v>16453</v>
      </c>
      <c r="V536" s="331" t="s">
        <v>13477</v>
      </c>
      <c r="W536" s="332" t="s">
        <v>2316</v>
      </c>
      <c r="X536" s="394" t="s">
        <v>13467</v>
      </c>
      <c r="Y536" s="394" t="s">
        <v>13456</v>
      </c>
      <c r="Z536" s="394" t="s">
        <v>16471</v>
      </c>
      <c r="AA536" s="394" t="s">
        <v>13457</v>
      </c>
      <c r="AB536" s="333"/>
      <c r="AC536" s="333"/>
      <c r="AD536" s="334" t="s">
        <v>2821</v>
      </c>
      <c r="AE536" s="335" t="s">
        <v>2822</v>
      </c>
      <c r="AF536" s="475">
        <v>42184</v>
      </c>
      <c r="AG536" s="705">
        <v>42228</v>
      </c>
      <c r="AH536" s="417" t="s">
        <v>210</v>
      </c>
      <c r="AI536" s="392" t="s">
        <v>210</v>
      </c>
      <c r="AJ536" s="392" t="s">
        <v>210</v>
      </c>
      <c r="AK536" s="340" t="s">
        <v>210</v>
      </c>
      <c r="AL536" s="417" t="s">
        <v>210</v>
      </c>
      <c r="AM536" s="392" t="s">
        <v>210</v>
      </c>
      <c r="AN536" s="392" t="s">
        <v>210</v>
      </c>
      <c r="AO536" s="341" t="s">
        <v>210</v>
      </c>
      <c r="AP536" s="342"/>
      <c r="AQ536" s="343"/>
      <c r="AR536" s="370">
        <v>517</v>
      </c>
      <c r="AS536" s="326">
        <v>80</v>
      </c>
      <c r="AT536" s="392">
        <v>1</v>
      </c>
      <c r="AU536" s="392"/>
      <c r="AV536" s="392">
        <v>1.5</v>
      </c>
      <c r="AW536" s="341"/>
      <c r="AX536" s="376"/>
      <c r="AY536" s="348"/>
      <c r="AZ536" s="377"/>
      <c r="BA536" s="374"/>
      <c r="BB536" s="374"/>
      <c r="BC536" s="374"/>
      <c r="BD536" s="374"/>
      <c r="BE536" s="374"/>
      <c r="BF536" s="374"/>
      <c r="BG536" s="374"/>
      <c r="BH536" s="378"/>
      <c r="BI536" s="377"/>
      <c r="BJ536" s="379"/>
      <c r="BK536" s="380"/>
      <c r="BL536" s="348"/>
      <c r="BM536" s="381"/>
      <c r="BN536" s="321" t="s">
        <v>14</v>
      </c>
      <c r="BO536" s="372">
        <v>1.35</v>
      </c>
      <c r="BP536" s="373" t="s">
        <v>14</v>
      </c>
      <c r="BQ536" s="360"/>
      <c r="BR536" s="361"/>
      <c r="BS536" s="361"/>
      <c r="BT536" s="361"/>
      <c r="BU536" s="342" t="s">
        <v>210</v>
      </c>
      <c r="BV536" s="342" t="s">
        <v>210</v>
      </c>
      <c r="BW536" s="341" t="s">
        <v>15</v>
      </c>
      <c r="BX536" s="361"/>
      <c r="BY536" s="362"/>
      <c r="BZ536" s="363"/>
      <c r="CA536" s="363"/>
      <c r="CB536" s="363"/>
      <c r="CC536" s="363"/>
    </row>
    <row r="537" spans="1:82" ht="22.5" customHeight="1">
      <c r="B537" s="365">
        <v>150241</v>
      </c>
      <c r="C537" s="366" t="s">
        <v>2037</v>
      </c>
      <c r="D537" s="419"/>
      <c r="E537" s="368"/>
      <c r="F537" s="321" t="s">
        <v>265</v>
      </c>
      <c r="G537" s="326" t="s">
        <v>2341</v>
      </c>
      <c r="H537" s="326" t="s">
        <v>2342</v>
      </c>
      <c r="I537" s="326" t="s">
        <v>383</v>
      </c>
      <c r="J537" s="326" t="s">
        <v>387</v>
      </c>
      <c r="K537" s="326" t="s">
        <v>247</v>
      </c>
      <c r="L537" s="323"/>
      <c r="M537" s="324" t="s">
        <v>10767</v>
      </c>
      <c r="N537" s="325" t="s">
        <v>2343</v>
      </c>
      <c r="O537" s="326">
        <v>21</v>
      </c>
      <c r="P537" s="327" t="s">
        <v>210</v>
      </c>
      <c r="Q537" s="369" t="s">
        <v>210</v>
      </c>
      <c r="R537" s="329" t="s">
        <v>2344</v>
      </c>
      <c r="S537" s="394" t="s">
        <v>12407</v>
      </c>
      <c r="T537" s="394" t="s">
        <v>12408</v>
      </c>
      <c r="U537" s="394" t="s">
        <v>16411</v>
      </c>
      <c r="V537" s="394" t="s">
        <v>12409</v>
      </c>
      <c r="W537" s="332" t="s">
        <v>432</v>
      </c>
      <c r="X537" s="331" t="s">
        <v>11079</v>
      </c>
      <c r="Y537" s="331" t="s">
        <v>11080</v>
      </c>
      <c r="Z537" s="331" t="s">
        <v>11080</v>
      </c>
      <c r="AA537" s="331" t="s">
        <v>520</v>
      </c>
      <c r="AB537" s="333"/>
      <c r="AC537" s="333"/>
      <c r="AD537" s="334" t="s">
        <v>2840</v>
      </c>
      <c r="AE537" s="335" t="s">
        <v>2920</v>
      </c>
      <c r="AF537" s="706">
        <v>42163</v>
      </c>
      <c r="AG537" s="705">
        <v>42272</v>
      </c>
      <c r="AH537" s="417">
        <v>8.1999999999999993</v>
      </c>
      <c r="AI537" s="392">
        <v>18.600000000000001</v>
      </c>
      <c r="AJ537" s="392">
        <v>9.9</v>
      </c>
      <c r="AK537" s="340">
        <f>AH537+AI537+AJ537</f>
        <v>36.700000000000003</v>
      </c>
      <c r="AL537" s="417" t="s">
        <v>210</v>
      </c>
      <c r="AM537" s="392" t="s">
        <v>210</v>
      </c>
      <c r="AN537" s="392" t="s">
        <v>210</v>
      </c>
      <c r="AO537" s="341" t="s">
        <v>210</v>
      </c>
      <c r="AP537" s="342"/>
      <c r="AQ537" s="343"/>
      <c r="AR537" s="370">
        <v>1005</v>
      </c>
      <c r="AS537" s="326">
        <v>100</v>
      </c>
      <c r="AT537" s="392">
        <v>0.8</v>
      </c>
      <c r="AU537" s="392"/>
      <c r="AV537" s="392">
        <v>1.2</v>
      </c>
      <c r="AW537" s="341"/>
      <c r="AX537" s="376"/>
      <c r="AY537" s="348"/>
      <c r="AZ537" s="377"/>
      <c r="BA537" s="374"/>
      <c r="BB537" s="374"/>
      <c r="BC537" s="374"/>
      <c r="BD537" s="374"/>
      <c r="BE537" s="374"/>
      <c r="BF537" s="374"/>
      <c r="BG537" s="374"/>
      <c r="BH537" s="378"/>
      <c r="BI537" s="377"/>
      <c r="BJ537" s="379"/>
      <c r="BK537" s="380"/>
      <c r="BL537" s="348"/>
      <c r="BM537" s="381"/>
      <c r="BN537" s="321" t="s">
        <v>14</v>
      </c>
      <c r="BO537" s="372"/>
      <c r="BP537" s="373" t="s">
        <v>14</v>
      </c>
      <c r="BQ537" s="360"/>
      <c r="BR537" s="361"/>
      <c r="BS537" s="361"/>
      <c r="BT537" s="361"/>
      <c r="BU537" s="342" t="s">
        <v>210</v>
      </c>
      <c r="BV537" s="342" t="s">
        <v>210</v>
      </c>
      <c r="BW537" s="341" t="s">
        <v>15</v>
      </c>
      <c r="BX537" s="361"/>
      <c r="BY537" s="362"/>
      <c r="BZ537" s="363"/>
      <c r="CA537" s="363"/>
      <c r="CB537" s="363"/>
      <c r="CC537" s="363"/>
    </row>
    <row r="538" spans="1:82" s="465" customFormat="1" ht="22.5" customHeight="1">
      <c r="A538" s="287"/>
      <c r="B538" s="657">
        <v>150246</v>
      </c>
      <c r="C538" s="658" t="s">
        <v>1758</v>
      </c>
      <c r="D538" s="707"/>
      <c r="E538" s="660"/>
      <c r="F538" s="661" t="s">
        <v>1043</v>
      </c>
      <c r="G538" s="662" t="s">
        <v>2364</v>
      </c>
      <c r="H538" s="662" t="s">
        <v>2365</v>
      </c>
      <c r="I538" s="662" t="s">
        <v>383</v>
      </c>
      <c r="J538" s="662" t="s">
        <v>399</v>
      </c>
      <c r="K538" s="662" t="s">
        <v>917</v>
      </c>
      <c r="L538" s="663"/>
      <c r="M538" s="662"/>
      <c r="N538" s="664"/>
      <c r="O538" s="662"/>
      <c r="P538" s="665" t="s">
        <v>210</v>
      </c>
      <c r="Q538" s="666" t="s">
        <v>210</v>
      </c>
      <c r="R538" s="667" t="s">
        <v>1017</v>
      </c>
      <c r="S538" s="668"/>
      <c r="T538" s="668"/>
      <c r="U538" s="668"/>
      <c r="V538" s="668"/>
      <c r="W538" s="669" t="s">
        <v>1018</v>
      </c>
      <c r="X538" s="668" t="s">
        <v>13463</v>
      </c>
      <c r="Y538" s="668" t="s">
        <v>13465</v>
      </c>
      <c r="Z538" s="668" t="s">
        <v>13464</v>
      </c>
      <c r="AA538" s="668" t="s">
        <v>13466</v>
      </c>
      <c r="AB538" s="670"/>
      <c r="AC538" s="670"/>
      <c r="AD538" s="671"/>
      <c r="AE538" s="672"/>
      <c r="AF538" s="673">
        <v>42164</v>
      </c>
      <c r="AG538" s="674" t="s">
        <v>10514</v>
      </c>
      <c r="AH538" s="675" t="s">
        <v>210</v>
      </c>
      <c r="AI538" s="676" t="s">
        <v>210</v>
      </c>
      <c r="AJ538" s="676" t="s">
        <v>210</v>
      </c>
      <c r="AK538" s="677" t="s">
        <v>210</v>
      </c>
      <c r="AL538" s="675" t="s">
        <v>210</v>
      </c>
      <c r="AM538" s="676" t="s">
        <v>210</v>
      </c>
      <c r="AN538" s="676" t="s">
        <v>210</v>
      </c>
      <c r="AO538" s="678" t="s">
        <v>210</v>
      </c>
      <c r="AP538" s="663"/>
      <c r="AQ538" s="762"/>
      <c r="AR538" s="680"/>
      <c r="AS538" s="662"/>
      <c r="AT538" s="676"/>
      <c r="AU538" s="676"/>
      <c r="AV538" s="676"/>
      <c r="AW538" s="678"/>
      <c r="AX538" s="675"/>
      <c r="AY538" s="681"/>
      <c r="AZ538" s="661"/>
      <c r="BA538" s="662"/>
      <c r="BB538" s="662"/>
      <c r="BC538" s="662"/>
      <c r="BD538" s="662"/>
      <c r="BE538" s="662"/>
      <c r="BF538" s="662"/>
      <c r="BG538" s="662"/>
      <c r="BH538" s="682"/>
      <c r="BI538" s="661"/>
      <c r="BJ538" s="683"/>
      <c r="BK538" s="684"/>
      <c r="BL538" s="681"/>
      <c r="BM538" s="685"/>
      <c r="BN538" s="675"/>
      <c r="BO538" s="686"/>
      <c r="BP538" s="677"/>
      <c r="BQ538" s="773"/>
      <c r="BR538" s="688"/>
      <c r="BS538" s="688"/>
      <c r="BT538" s="688"/>
      <c r="BU538" s="663" t="s">
        <v>5510</v>
      </c>
      <c r="BV538" s="663" t="s">
        <v>5510</v>
      </c>
      <c r="BW538" s="678" t="s">
        <v>15</v>
      </c>
      <c r="BX538" s="688"/>
      <c r="BY538" s="689"/>
      <c r="BZ538" s="483"/>
      <c r="CA538" s="483"/>
      <c r="CB538" s="483"/>
      <c r="CC538" s="483"/>
      <c r="CD538" s="484"/>
    </row>
    <row r="539" spans="1:82" ht="22.5" customHeight="1">
      <c r="B539" s="442">
        <v>150248</v>
      </c>
      <c r="C539" s="747" t="s">
        <v>13468</v>
      </c>
      <c r="D539" s="439"/>
      <c r="E539" s="404"/>
      <c r="F539" s="405" t="s">
        <v>237</v>
      </c>
      <c r="G539" s="324" t="s">
        <v>3022</v>
      </c>
      <c r="H539" s="324" t="s">
        <v>3023</v>
      </c>
      <c r="I539" s="326" t="s">
        <v>383</v>
      </c>
      <c r="J539" s="326" t="s">
        <v>399</v>
      </c>
      <c r="K539" s="326" t="s">
        <v>917</v>
      </c>
      <c r="L539" s="361"/>
      <c r="M539" s="408"/>
      <c r="N539" s="444" t="s">
        <v>3193</v>
      </c>
      <c r="O539" s="327" t="s">
        <v>210</v>
      </c>
      <c r="P539" s="327" t="s">
        <v>210</v>
      </c>
      <c r="Q539" s="369" t="s">
        <v>210</v>
      </c>
      <c r="R539" s="420" t="s">
        <v>2966</v>
      </c>
      <c r="S539" s="394" t="s">
        <v>13469</v>
      </c>
      <c r="T539" s="394" t="s">
        <v>13471</v>
      </c>
      <c r="U539" s="394" t="s">
        <v>13470</v>
      </c>
      <c r="V539" s="394" t="s">
        <v>13472</v>
      </c>
      <c r="W539" s="460" t="s">
        <v>2967</v>
      </c>
      <c r="X539" s="400"/>
      <c r="Y539" s="400"/>
      <c r="Z539" s="400"/>
      <c r="AA539" s="394" t="s">
        <v>13473</v>
      </c>
      <c r="AB539" s="416"/>
      <c r="AC539" s="416"/>
      <c r="AD539" s="375"/>
      <c r="AE539" s="499" t="s">
        <v>3127</v>
      </c>
      <c r="AF539" s="475">
        <v>42251</v>
      </c>
      <c r="AG539" s="748">
        <v>42409</v>
      </c>
      <c r="AH539" s="417" t="s">
        <v>210</v>
      </c>
      <c r="AI539" s="392" t="s">
        <v>210</v>
      </c>
      <c r="AJ539" s="392" t="s">
        <v>210</v>
      </c>
      <c r="AK539" s="340" t="s">
        <v>210</v>
      </c>
      <c r="AL539" s="417" t="s">
        <v>210</v>
      </c>
      <c r="AM539" s="392" t="s">
        <v>210</v>
      </c>
      <c r="AN539" s="326" t="s">
        <v>14</v>
      </c>
      <c r="AO539" s="341" t="s">
        <v>210</v>
      </c>
      <c r="AP539" s="342"/>
      <c r="AQ539" s="343"/>
      <c r="AR539" s="452">
        <v>6287</v>
      </c>
      <c r="AS539" s="326">
        <v>100</v>
      </c>
      <c r="AT539" s="392">
        <v>1</v>
      </c>
      <c r="AU539" s="392"/>
      <c r="AV539" s="392">
        <v>1.5</v>
      </c>
      <c r="AW539" s="341"/>
      <c r="AX539" s="410"/>
      <c r="AY539" s="413"/>
      <c r="AZ539" s="407"/>
      <c r="BA539" s="408"/>
      <c r="BB539" s="408"/>
      <c r="BC539" s="408"/>
      <c r="BD539" s="408"/>
      <c r="BE539" s="408"/>
      <c r="BF539" s="408"/>
      <c r="BG539" s="408"/>
      <c r="BH539" s="409"/>
      <c r="BI539" s="407"/>
      <c r="BJ539" s="427">
        <v>1.08</v>
      </c>
      <c r="BK539" s="412"/>
      <c r="BL539" s="413"/>
      <c r="BM539" s="414"/>
      <c r="BN539" s="321" t="s">
        <v>14</v>
      </c>
      <c r="BO539" s="372"/>
      <c r="BP539" s="373" t="s">
        <v>14</v>
      </c>
      <c r="BQ539" s="360"/>
      <c r="BR539" s="361"/>
      <c r="BS539" s="361"/>
      <c r="BT539" s="361"/>
      <c r="BU539" s="342" t="s">
        <v>210</v>
      </c>
      <c r="BV539" s="342" t="s">
        <v>210</v>
      </c>
      <c r="BW539" s="341" t="s">
        <v>15</v>
      </c>
      <c r="BX539" s="361"/>
      <c r="BY539" s="457"/>
      <c r="BZ539" s="363"/>
      <c r="CA539" s="363"/>
      <c r="CB539" s="363"/>
      <c r="CC539" s="363"/>
    </row>
    <row r="540" spans="1:82" ht="22.5" customHeight="1">
      <c r="B540" s="365">
        <v>150253</v>
      </c>
      <c r="C540" s="366" t="s">
        <v>2035</v>
      </c>
      <c r="D540" s="419"/>
      <c r="E540" s="368"/>
      <c r="F540" s="321" t="s">
        <v>2066</v>
      </c>
      <c r="G540" s="326" t="s">
        <v>2067</v>
      </c>
      <c r="H540" s="326" t="s">
        <v>2068</v>
      </c>
      <c r="I540" s="326" t="s">
        <v>383</v>
      </c>
      <c r="J540" s="326" t="s">
        <v>399</v>
      </c>
      <c r="K540" s="326" t="s">
        <v>917</v>
      </c>
      <c r="L540" s="323"/>
      <c r="M540" s="324" t="s">
        <v>10767</v>
      </c>
      <c r="N540" s="325" t="s">
        <v>2069</v>
      </c>
      <c r="O540" s="327" t="s">
        <v>2363</v>
      </c>
      <c r="P540" s="327">
        <v>2053</v>
      </c>
      <c r="Q540" s="369">
        <v>2151</v>
      </c>
      <c r="R540" s="329" t="s">
        <v>465</v>
      </c>
      <c r="S540" s="331" t="s">
        <v>13462</v>
      </c>
      <c r="T540" s="394" t="s">
        <v>11825</v>
      </c>
      <c r="U540" s="394" t="s">
        <v>16218</v>
      </c>
      <c r="V540" s="394" t="s">
        <v>11826</v>
      </c>
      <c r="W540" s="332" t="s">
        <v>465</v>
      </c>
      <c r="X540" s="330"/>
      <c r="Y540" s="330"/>
      <c r="Z540" s="330"/>
      <c r="AA540" s="330"/>
      <c r="AB540" s="333"/>
      <c r="AC540" s="333"/>
      <c r="AD540" s="334" t="s">
        <v>2034</v>
      </c>
      <c r="AE540" s="335" t="s">
        <v>210</v>
      </c>
      <c r="AF540" s="706">
        <v>42159</v>
      </c>
      <c r="AG540" s="705">
        <v>42198</v>
      </c>
      <c r="AH540" s="417" t="s">
        <v>210</v>
      </c>
      <c r="AI540" s="392" t="s">
        <v>210</v>
      </c>
      <c r="AJ540" s="392" t="s">
        <v>210</v>
      </c>
      <c r="AK540" s="340" t="s">
        <v>210</v>
      </c>
      <c r="AL540" s="417" t="s">
        <v>210</v>
      </c>
      <c r="AM540" s="392" t="s">
        <v>210</v>
      </c>
      <c r="AN540" s="392" t="s">
        <v>210</v>
      </c>
      <c r="AO540" s="341" t="s">
        <v>210</v>
      </c>
      <c r="AP540" s="342"/>
      <c r="AQ540" s="343"/>
      <c r="AR540" s="370">
        <v>2643</v>
      </c>
      <c r="AS540" s="326">
        <v>100</v>
      </c>
      <c r="AT540" s="392">
        <v>1</v>
      </c>
      <c r="AU540" s="392"/>
      <c r="AV540" s="392">
        <v>1.5</v>
      </c>
      <c r="AW540" s="341"/>
      <c r="AX540" s="376"/>
      <c r="AY540" s="348"/>
      <c r="AZ540" s="377"/>
      <c r="BA540" s="374"/>
      <c r="BB540" s="374"/>
      <c r="BC540" s="374"/>
      <c r="BD540" s="374"/>
      <c r="BE540" s="374"/>
      <c r="BF540" s="374"/>
      <c r="BG540" s="374"/>
      <c r="BH540" s="378"/>
      <c r="BI540" s="377"/>
      <c r="BJ540" s="379"/>
      <c r="BK540" s="380"/>
      <c r="BL540" s="348"/>
      <c r="BM540" s="381"/>
      <c r="BN540" s="321" t="s">
        <v>14</v>
      </c>
      <c r="BO540" s="372"/>
      <c r="BP540" s="373" t="s">
        <v>14</v>
      </c>
      <c r="BQ540" s="360"/>
      <c r="BR540" s="361"/>
      <c r="BS540" s="361"/>
      <c r="BT540" s="361"/>
      <c r="BU540" s="342" t="s">
        <v>210</v>
      </c>
      <c r="BV540" s="342" t="s">
        <v>210</v>
      </c>
      <c r="BW540" s="341" t="s">
        <v>15</v>
      </c>
      <c r="BX540" s="361"/>
      <c r="BY540" s="362"/>
      <c r="BZ540" s="363"/>
      <c r="CA540" s="363"/>
      <c r="CB540" s="363"/>
      <c r="CC540" s="363"/>
    </row>
    <row r="541" spans="1:82" ht="22.5" customHeight="1">
      <c r="B541" s="365">
        <v>150257</v>
      </c>
      <c r="C541" s="366" t="s">
        <v>1733</v>
      </c>
      <c r="D541" s="419"/>
      <c r="E541" s="368"/>
      <c r="F541" s="321" t="s">
        <v>266</v>
      </c>
      <c r="G541" s="326" t="s">
        <v>1784</v>
      </c>
      <c r="H541" s="326" t="s">
        <v>1910</v>
      </c>
      <c r="I541" s="326" t="s">
        <v>383</v>
      </c>
      <c r="J541" s="326" t="s">
        <v>387</v>
      </c>
      <c r="K541" s="326" t="s">
        <v>993</v>
      </c>
      <c r="L541" s="323"/>
      <c r="M541" s="408"/>
      <c r="N541" s="325" t="s">
        <v>438</v>
      </c>
      <c r="O541" s="327" t="s">
        <v>210</v>
      </c>
      <c r="P541" s="327" t="s">
        <v>210</v>
      </c>
      <c r="Q541" s="369" t="s">
        <v>210</v>
      </c>
      <c r="R541" s="399"/>
      <c r="S541" s="400"/>
      <c r="T541" s="400"/>
      <c r="U541" s="400"/>
      <c r="V541" s="400"/>
      <c r="W541" s="332" t="s">
        <v>1734</v>
      </c>
      <c r="X541" s="394" t="s">
        <v>13458</v>
      </c>
      <c r="Y541" s="394" t="s">
        <v>13460</v>
      </c>
      <c r="Z541" s="394" t="s">
        <v>13459</v>
      </c>
      <c r="AA541" s="394" t="s">
        <v>13461</v>
      </c>
      <c r="AB541" s="333"/>
      <c r="AC541" s="416"/>
      <c r="AD541" s="375"/>
      <c r="AE541" s="391"/>
      <c r="AF541" s="706">
        <v>42151</v>
      </c>
      <c r="AG541" s="705">
        <v>42224</v>
      </c>
      <c r="AH541" s="417" t="s">
        <v>210</v>
      </c>
      <c r="AI541" s="392" t="s">
        <v>210</v>
      </c>
      <c r="AJ541" s="392" t="s">
        <v>210</v>
      </c>
      <c r="AK541" s="340" t="s">
        <v>210</v>
      </c>
      <c r="AL541" s="417" t="s">
        <v>210</v>
      </c>
      <c r="AM541" s="392" t="s">
        <v>210</v>
      </c>
      <c r="AN541" s="392" t="s">
        <v>210</v>
      </c>
      <c r="AO541" s="341" t="s">
        <v>210</v>
      </c>
      <c r="AP541" s="342"/>
      <c r="AQ541" s="343"/>
      <c r="AR541" s="370">
        <v>350</v>
      </c>
      <c r="AS541" s="326">
        <v>60</v>
      </c>
      <c r="AT541" s="392">
        <v>1</v>
      </c>
      <c r="AU541" s="392"/>
      <c r="AV541" s="392">
        <v>1.5</v>
      </c>
      <c r="AW541" s="341"/>
      <c r="AX541" s="376"/>
      <c r="AY541" s="348"/>
      <c r="AZ541" s="377"/>
      <c r="BA541" s="374"/>
      <c r="BB541" s="374"/>
      <c r="BC541" s="374"/>
      <c r="BD541" s="374"/>
      <c r="BE541" s="374"/>
      <c r="BF541" s="374"/>
      <c r="BG541" s="374"/>
      <c r="BH541" s="378"/>
      <c r="BI541" s="377"/>
      <c r="BJ541" s="379"/>
      <c r="BK541" s="380"/>
      <c r="BL541" s="348"/>
      <c r="BM541" s="381"/>
      <c r="BN541" s="417" t="s">
        <v>210</v>
      </c>
      <c r="BO541" s="372"/>
      <c r="BP541" s="340" t="s">
        <v>210</v>
      </c>
      <c r="BQ541" s="360"/>
      <c r="BR541" s="361"/>
      <c r="BS541" s="361"/>
      <c r="BT541" s="361"/>
      <c r="BU541" s="342" t="s">
        <v>210</v>
      </c>
      <c r="BV541" s="342" t="s">
        <v>210</v>
      </c>
      <c r="BW541" s="341" t="s">
        <v>15</v>
      </c>
      <c r="BX541" s="361"/>
      <c r="BY541" s="362"/>
      <c r="BZ541" s="363"/>
      <c r="CA541" s="363"/>
      <c r="CB541" s="363"/>
      <c r="CC541" s="363"/>
    </row>
    <row r="542" spans="1:82" ht="22.5" customHeight="1">
      <c r="B542" s="442">
        <v>150259</v>
      </c>
      <c r="C542" s="747" t="s">
        <v>2313</v>
      </c>
      <c r="D542" s="439"/>
      <c r="E542" s="404"/>
      <c r="F542" s="405" t="s">
        <v>1058</v>
      </c>
      <c r="G542" s="324" t="s">
        <v>2314</v>
      </c>
      <c r="H542" s="324" t="s">
        <v>2315</v>
      </c>
      <c r="I542" s="326" t="s">
        <v>383</v>
      </c>
      <c r="J542" s="326" t="s">
        <v>399</v>
      </c>
      <c r="K542" s="326" t="s">
        <v>917</v>
      </c>
      <c r="L542" s="323"/>
      <c r="M542" s="408"/>
      <c r="N542" s="325" t="s">
        <v>437</v>
      </c>
      <c r="O542" s="324">
        <v>30</v>
      </c>
      <c r="P542" s="458">
        <v>448.27</v>
      </c>
      <c r="Q542" s="459">
        <v>508.98</v>
      </c>
      <c r="R542" s="420" t="s">
        <v>2841</v>
      </c>
      <c r="S542" s="400"/>
      <c r="T542" s="400"/>
      <c r="U542" s="400"/>
      <c r="V542" s="400"/>
      <c r="W542" s="460" t="s">
        <v>2317</v>
      </c>
      <c r="X542" s="394" t="s">
        <v>13455</v>
      </c>
      <c r="Y542" s="394" t="s">
        <v>13456</v>
      </c>
      <c r="Z542" s="394" t="s">
        <v>16471</v>
      </c>
      <c r="AA542" s="394" t="s">
        <v>13457</v>
      </c>
      <c r="AB542" s="416"/>
      <c r="AC542" s="416"/>
      <c r="AD542" s="334" t="s">
        <v>2945</v>
      </c>
      <c r="AE542" s="335" t="s">
        <v>210</v>
      </c>
      <c r="AF542" s="475">
        <v>42201</v>
      </c>
      <c r="AG542" s="705">
        <v>42265</v>
      </c>
      <c r="AH542" s="417" t="s">
        <v>210</v>
      </c>
      <c r="AI542" s="392" t="s">
        <v>210</v>
      </c>
      <c r="AJ542" s="392" t="s">
        <v>210</v>
      </c>
      <c r="AK542" s="340" t="s">
        <v>210</v>
      </c>
      <c r="AL542" s="417" t="s">
        <v>210</v>
      </c>
      <c r="AM542" s="392" t="s">
        <v>210</v>
      </c>
      <c r="AN542" s="392" t="s">
        <v>210</v>
      </c>
      <c r="AO542" s="341" t="s">
        <v>210</v>
      </c>
      <c r="AP542" s="342"/>
      <c r="AQ542" s="343"/>
      <c r="AR542" s="370">
        <v>648</v>
      </c>
      <c r="AS542" s="326">
        <v>100</v>
      </c>
      <c r="AT542" s="392">
        <v>0.8</v>
      </c>
      <c r="AU542" s="392"/>
      <c r="AV542" s="392">
        <v>1.4</v>
      </c>
      <c r="AW542" s="341"/>
      <c r="AX542" s="376"/>
      <c r="AY542" s="348"/>
      <c r="AZ542" s="407"/>
      <c r="BA542" s="408"/>
      <c r="BB542" s="408"/>
      <c r="BC542" s="408"/>
      <c r="BD542" s="408"/>
      <c r="BE542" s="408"/>
      <c r="BF542" s="408"/>
      <c r="BG542" s="408"/>
      <c r="BH542" s="409"/>
      <c r="BI542" s="410"/>
      <c r="BJ542" s="411"/>
      <c r="BK542" s="412"/>
      <c r="BL542" s="413"/>
      <c r="BM542" s="414"/>
      <c r="BN542" s="417" t="s">
        <v>210</v>
      </c>
      <c r="BO542" s="372"/>
      <c r="BP542" s="340" t="s">
        <v>210</v>
      </c>
      <c r="BQ542" s="360"/>
      <c r="BR542" s="361"/>
      <c r="BS542" s="361"/>
      <c r="BT542" s="361"/>
      <c r="BU542" s="342" t="s">
        <v>210</v>
      </c>
      <c r="BV542" s="342" t="s">
        <v>210</v>
      </c>
      <c r="BW542" s="341" t="s">
        <v>15</v>
      </c>
      <c r="BX542" s="361"/>
      <c r="BY542" s="457"/>
      <c r="BZ542" s="363"/>
      <c r="CA542" s="363"/>
      <c r="CB542" s="363"/>
      <c r="CC542" s="363"/>
    </row>
    <row r="543" spans="1:82" s="465" customFormat="1" ht="22.5" customHeight="1">
      <c r="A543" s="287"/>
      <c r="B543" s="657">
        <v>150265</v>
      </c>
      <c r="C543" s="658" t="s">
        <v>2038</v>
      </c>
      <c r="D543" s="707"/>
      <c r="E543" s="660"/>
      <c r="F543" s="661" t="s">
        <v>2264</v>
      </c>
      <c r="G543" s="662" t="s">
        <v>2265</v>
      </c>
      <c r="H543" s="662" t="s">
        <v>2266</v>
      </c>
      <c r="I543" s="662" t="s">
        <v>383</v>
      </c>
      <c r="J543" s="662" t="s">
        <v>216</v>
      </c>
      <c r="K543" s="662" t="s">
        <v>247</v>
      </c>
      <c r="L543" s="663"/>
      <c r="M543" s="662"/>
      <c r="N543" s="664" t="s">
        <v>437</v>
      </c>
      <c r="O543" s="665" t="s">
        <v>210</v>
      </c>
      <c r="P543" s="665" t="s">
        <v>210</v>
      </c>
      <c r="Q543" s="666" t="s">
        <v>210</v>
      </c>
      <c r="R543" s="667" t="s">
        <v>2362</v>
      </c>
      <c r="S543" s="708"/>
      <c r="T543" s="668"/>
      <c r="U543" s="668"/>
      <c r="V543" s="668"/>
      <c r="W543" s="669" t="s">
        <v>2359</v>
      </c>
      <c r="X543" s="668"/>
      <c r="Y543" s="668"/>
      <c r="Z543" s="668"/>
      <c r="AA543" s="668"/>
      <c r="AB543" s="670"/>
      <c r="AC543" s="670"/>
      <c r="AD543" s="671"/>
      <c r="AE543" s="672" t="s">
        <v>210</v>
      </c>
      <c r="AF543" s="673">
        <v>42178</v>
      </c>
      <c r="AG543" s="674" t="s">
        <v>10514</v>
      </c>
      <c r="AH543" s="675" t="s">
        <v>210</v>
      </c>
      <c r="AI543" s="676" t="s">
        <v>210</v>
      </c>
      <c r="AJ543" s="676" t="s">
        <v>210</v>
      </c>
      <c r="AK543" s="677" t="s">
        <v>210</v>
      </c>
      <c r="AL543" s="675" t="s">
        <v>210</v>
      </c>
      <c r="AM543" s="676" t="s">
        <v>210</v>
      </c>
      <c r="AN543" s="676" t="s">
        <v>210</v>
      </c>
      <c r="AO543" s="678" t="s">
        <v>210</v>
      </c>
      <c r="AP543" s="688"/>
      <c r="AQ543" s="762"/>
      <c r="AR543" s="680">
        <v>213</v>
      </c>
      <c r="AS543" s="662">
        <v>150</v>
      </c>
      <c r="AT543" s="676">
        <v>1</v>
      </c>
      <c r="AU543" s="676"/>
      <c r="AV543" s="676">
        <v>1.2</v>
      </c>
      <c r="AW543" s="678"/>
      <c r="AX543" s="675"/>
      <c r="AY543" s="681"/>
      <c r="AZ543" s="661"/>
      <c r="BA543" s="662"/>
      <c r="BB543" s="662"/>
      <c r="BC543" s="662"/>
      <c r="BD543" s="662"/>
      <c r="BE543" s="662"/>
      <c r="BF543" s="662"/>
      <c r="BG543" s="662"/>
      <c r="BH543" s="682"/>
      <c r="BI543" s="675"/>
      <c r="BJ543" s="683"/>
      <c r="BK543" s="684"/>
      <c r="BL543" s="681"/>
      <c r="BM543" s="685"/>
      <c r="BN543" s="675" t="s">
        <v>210</v>
      </c>
      <c r="BO543" s="686"/>
      <c r="BP543" s="677" t="s">
        <v>210</v>
      </c>
      <c r="BQ543" s="773"/>
      <c r="BR543" s="688"/>
      <c r="BS543" s="688"/>
      <c r="BT543" s="688"/>
      <c r="BU543" s="688" t="s">
        <v>210</v>
      </c>
      <c r="BV543" s="688" t="s">
        <v>210</v>
      </c>
      <c r="BW543" s="678" t="s">
        <v>15</v>
      </c>
      <c r="BX543" s="688"/>
      <c r="BY543" s="689"/>
      <c r="BZ543" s="483"/>
      <c r="CA543" s="483"/>
      <c r="CB543" s="483"/>
      <c r="CC543" s="483"/>
      <c r="CD543" s="484"/>
    </row>
    <row r="544" spans="1:82" ht="22.5" customHeight="1">
      <c r="B544" s="442">
        <v>150270</v>
      </c>
      <c r="C544" s="443" t="s">
        <v>2274</v>
      </c>
      <c r="D544" s="439"/>
      <c r="E544" s="404"/>
      <c r="F544" s="405" t="s">
        <v>266</v>
      </c>
      <c r="G544" s="324" t="s">
        <v>2275</v>
      </c>
      <c r="H544" s="324" t="s">
        <v>2276</v>
      </c>
      <c r="I544" s="324" t="s">
        <v>1066</v>
      </c>
      <c r="J544" s="324" t="s">
        <v>2277</v>
      </c>
      <c r="K544" s="326" t="s">
        <v>1059</v>
      </c>
      <c r="L544" s="323"/>
      <c r="M544" s="408"/>
      <c r="N544" s="444" t="s">
        <v>2278</v>
      </c>
      <c r="O544" s="324">
        <v>30</v>
      </c>
      <c r="P544" s="327" t="s">
        <v>210</v>
      </c>
      <c r="Q544" s="369" t="s">
        <v>210</v>
      </c>
      <c r="R544" s="420" t="s">
        <v>2279</v>
      </c>
      <c r="S544" s="400"/>
      <c r="T544" s="400"/>
      <c r="U544" s="400"/>
      <c r="V544" s="400"/>
      <c r="W544" s="460" t="s">
        <v>2358</v>
      </c>
      <c r="X544" s="400"/>
      <c r="Y544" s="400"/>
      <c r="Z544" s="400"/>
      <c r="AA544" s="400"/>
      <c r="AB544" s="416"/>
      <c r="AC544" s="416"/>
      <c r="AD544" s="375"/>
      <c r="AE544" s="335" t="s">
        <v>210</v>
      </c>
      <c r="AF544" s="475">
        <v>42187</v>
      </c>
      <c r="AG544" s="705">
        <v>42216</v>
      </c>
      <c r="AH544" s="417" t="s">
        <v>210</v>
      </c>
      <c r="AI544" s="392" t="s">
        <v>210</v>
      </c>
      <c r="AJ544" s="392" t="s">
        <v>210</v>
      </c>
      <c r="AK544" s="340" t="s">
        <v>210</v>
      </c>
      <c r="AL544" s="417" t="s">
        <v>210</v>
      </c>
      <c r="AM544" s="392" t="s">
        <v>210</v>
      </c>
      <c r="AN544" s="392" t="s">
        <v>210</v>
      </c>
      <c r="AO544" s="341" t="s">
        <v>210</v>
      </c>
      <c r="AP544" s="342"/>
      <c r="AQ544" s="433" t="s">
        <v>4551</v>
      </c>
      <c r="AR544" s="452">
        <v>111</v>
      </c>
      <c r="AS544" s="324">
        <v>140</v>
      </c>
      <c r="AT544" s="432">
        <v>1</v>
      </c>
      <c r="AU544" s="432"/>
      <c r="AV544" s="432">
        <v>1</v>
      </c>
      <c r="AW544" s="490"/>
      <c r="AX544" s="376"/>
      <c r="AY544" s="348"/>
      <c r="AZ544" s="407"/>
      <c r="BA544" s="408"/>
      <c r="BB544" s="408"/>
      <c r="BC544" s="408"/>
      <c r="BD544" s="408"/>
      <c r="BE544" s="408"/>
      <c r="BF544" s="408"/>
      <c r="BG544" s="408"/>
      <c r="BH544" s="409"/>
      <c r="BI544" s="410"/>
      <c r="BJ544" s="411"/>
      <c r="BK544" s="412"/>
      <c r="BL544" s="413"/>
      <c r="BM544" s="414"/>
      <c r="BN544" s="417" t="s">
        <v>210</v>
      </c>
      <c r="BO544" s="372"/>
      <c r="BP544" s="373" t="s">
        <v>2965</v>
      </c>
      <c r="BQ544" s="360"/>
      <c r="BR544" s="361"/>
      <c r="BS544" s="361"/>
      <c r="BT544" s="361"/>
      <c r="BU544" s="342" t="s">
        <v>210</v>
      </c>
      <c r="BV544" s="342" t="s">
        <v>210</v>
      </c>
      <c r="BW544" s="341" t="s">
        <v>15</v>
      </c>
      <c r="BX544" s="361"/>
      <c r="BY544" s="457"/>
      <c r="BZ544" s="363"/>
      <c r="CA544" s="363"/>
      <c r="CB544" s="363"/>
      <c r="CC544" s="363"/>
    </row>
    <row r="545" spans="2:81" ht="22.5" customHeight="1">
      <c r="B545" s="442">
        <v>150272</v>
      </c>
      <c r="C545" s="747" t="s">
        <v>13474</v>
      </c>
      <c r="D545" s="439"/>
      <c r="E545" s="404"/>
      <c r="F545" s="405" t="s">
        <v>1058</v>
      </c>
      <c r="G545" s="324" t="s">
        <v>3109</v>
      </c>
      <c r="H545" s="324" t="s">
        <v>3202</v>
      </c>
      <c r="I545" s="326" t="s">
        <v>383</v>
      </c>
      <c r="J545" s="326" t="s">
        <v>399</v>
      </c>
      <c r="K545" s="324" t="s">
        <v>977</v>
      </c>
      <c r="L545" s="361"/>
      <c r="M545" s="408"/>
      <c r="N545" s="444" t="s">
        <v>438</v>
      </c>
      <c r="O545" s="324">
        <v>70</v>
      </c>
      <c r="P545" s="327" t="s">
        <v>210</v>
      </c>
      <c r="Q545" s="369" t="s">
        <v>210</v>
      </c>
      <c r="R545" s="420" t="s">
        <v>2983</v>
      </c>
      <c r="S545" s="400"/>
      <c r="T545" s="400"/>
      <c r="U545" s="400"/>
      <c r="V545" s="400"/>
      <c r="W545" s="460" t="s">
        <v>2980</v>
      </c>
      <c r="X545" s="394" t="s">
        <v>13475</v>
      </c>
      <c r="Y545" s="400"/>
      <c r="Z545" s="400"/>
      <c r="AA545" s="394" t="s">
        <v>13476</v>
      </c>
      <c r="AB545" s="416"/>
      <c r="AC545" s="416"/>
      <c r="AD545" s="447" t="s">
        <v>3087</v>
      </c>
      <c r="AE545" s="499" t="s">
        <v>1038</v>
      </c>
      <c r="AF545" s="475">
        <v>42256</v>
      </c>
      <c r="AG545" s="748">
        <v>42277</v>
      </c>
      <c r="AH545" s="417" t="s">
        <v>210</v>
      </c>
      <c r="AI545" s="392" t="s">
        <v>210</v>
      </c>
      <c r="AJ545" s="392" t="s">
        <v>210</v>
      </c>
      <c r="AK545" s="340" t="s">
        <v>210</v>
      </c>
      <c r="AL545" s="417" t="s">
        <v>210</v>
      </c>
      <c r="AM545" s="392" t="s">
        <v>210</v>
      </c>
      <c r="AN545" s="392" t="s">
        <v>210</v>
      </c>
      <c r="AO545" s="341" t="s">
        <v>210</v>
      </c>
      <c r="AP545" s="342"/>
      <c r="AQ545" s="343"/>
      <c r="AR545" s="452">
        <v>2183</v>
      </c>
      <c r="AS545" s="326">
        <v>100</v>
      </c>
      <c r="AT545" s="392">
        <v>1</v>
      </c>
      <c r="AU545" s="392"/>
      <c r="AV545" s="392">
        <v>1</v>
      </c>
      <c r="AW545" s="341"/>
      <c r="AX545" s="410"/>
      <c r="AY545" s="413"/>
      <c r="AZ545" s="407"/>
      <c r="BA545" s="408"/>
      <c r="BB545" s="408"/>
      <c r="BC545" s="408"/>
      <c r="BD545" s="408"/>
      <c r="BE545" s="408"/>
      <c r="BF545" s="408"/>
      <c r="BG545" s="408"/>
      <c r="BH545" s="409"/>
      <c r="BI545" s="410"/>
      <c r="BJ545" s="427">
        <v>1.78</v>
      </c>
      <c r="BK545" s="412"/>
      <c r="BL545" s="413"/>
      <c r="BM545" s="414"/>
      <c r="BN545" s="321" t="s">
        <v>14</v>
      </c>
      <c r="BO545" s="372"/>
      <c r="BP545" s="373" t="s">
        <v>14</v>
      </c>
      <c r="BQ545" s="360"/>
      <c r="BR545" s="361"/>
      <c r="BS545" s="361"/>
      <c r="BT545" s="361"/>
      <c r="BU545" s="342" t="s">
        <v>210</v>
      </c>
      <c r="BV545" s="342" t="s">
        <v>210</v>
      </c>
      <c r="BW545" s="341" t="s">
        <v>15</v>
      </c>
      <c r="BX545" s="361"/>
      <c r="BY545" s="457"/>
      <c r="BZ545" s="363"/>
      <c r="CA545" s="363"/>
      <c r="CB545" s="363"/>
      <c r="CC545" s="363"/>
    </row>
    <row r="546" spans="2:81" ht="22.5" customHeight="1">
      <c r="B546" s="442">
        <v>150273</v>
      </c>
      <c r="C546" s="747" t="s">
        <v>2923</v>
      </c>
      <c r="D546" s="439"/>
      <c r="E546" s="404"/>
      <c r="F546" s="405" t="s">
        <v>222</v>
      </c>
      <c r="G546" s="324" t="s">
        <v>2924</v>
      </c>
      <c r="H546" s="324" t="s">
        <v>2925</v>
      </c>
      <c r="I546" s="326" t="s">
        <v>383</v>
      </c>
      <c r="J546" s="326" t="s">
        <v>399</v>
      </c>
      <c r="K546" s="326" t="s">
        <v>977</v>
      </c>
      <c r="L546" s="342">
        <v>8</v>
      </c>
      <c r="M546" s="408"/>
      <c r="N546" s="444" t="s">
        <v>2926</v>
      </c>
      <c r="O546" s="324">
        <v>150</v>
      </c>
      <c r="P546" s="327" t="s">
        <v>210</v>
      </c>
      <c r="Q546" s="369" t="s">
        <v>210</v>
      </c>
      <c r="R546" s="420" t="s">
        <v>2928</v>
      </c>
      <c r="S546" s="394" t="s">
        <v>11273</v>
      </c>
      <c r="T546" s="394" t="s">
        <v>11275</v>
      </c>
      <c r="U546" s="394" t="s">
        <v>11274</v>
      </c>
      <c r="V546" s="394" t="s">
        <v>11276</v>
      </c>
      <c r="W546" s="460" t="s">
        <v>2929</v>
      </c>
      <c r="X546" s="394" t="s">
        <v>12874</v>
      </c>
      <c r="Y546" s="394" t="s">
        <v>13454</v>
      </c>
      <c r="Z546" s="394" t="s">
        <v>13453</v>
      </c>
      <c r="AA546" s="394" t="s">
        <v>12875</v>
      </c>
      <c r="AB546" s="416"/>
      <c r="AC546" s="416"/>
      <c r="AD546" s="447" t="s">
        <v>3005</v>
      </c>
      <c r="AE546" s="499" t="s">
        <v>3004</v>
      </c>
      <c r="AF546" s="475">
        <v>42243</v>
      </c>
      <c r="AG546" s="748">
        <v>42290</v>
      </c>
      <c r="AH546" s="417" t="s">
        <v>210</v>
      </c>
      <c r="AI546" s="392" t="s">
        <v>210</v>
      </c>
      <c r="AJ546" s="392" t="s">
        <v>210</v>
      </c>
      <c r="AK546" s="340" t="s">
        <v>210</v>
      </c>
      <c r="AL546" s="417" t="s">
        <v>210</v>
      </c>
      <c r="AM546" s="392" t="s">
        <v>210</v>
      </c>
      <c r="AN546" s="392" t="s">
        <v>210</v>
      </c>
      <c r="AO546" s="341" t="s">
        <v>210</v>
      </c>
      <c r="AP546" s="342"/>
      <c r="AQ546" s="343"/>
      <c r="AR546" s="452">
        <v>4503</v>
      </c>
      <c r="AS546" s="324">
        <v>100</v>
      </c>
      <c r="AT546" s="432">
        <v>1</v>
      </c>
      <c r="AU546" s="432"/>
      <c r="AV546" s="432">
        <v>1.4</v>
      </c>
      <c r="AW546" s="490"/>
      <c r="AX546" s="410"/>
      <c r="AY546" s="413"/>
      <c r="AZ546" s="405" t="s">
        <v>622</v>
      </c>
      <c r="BA546" s="324" t="s">
        <v>3893</v>
      </c>
      <c r="BB546" s="324" t="s">
        <v>10118</v>
      </c>
      <c r="BC546" s="324" t="s">
        <v>3459</v>
      </c>
      <c r="BD546" s="324" t="s">
        <v>10118</v>
      </c>
      <c r="BE546" s="324" t="s">
        <v>210</v>
      </c>
      <c r="BF546" s="324" t="s">
        <v>210</v>
      </c>
      <c r="BG546" s="324" t="s">
        <v>10123</v>
      </c>
      <c r="BH546" s="426" t="s">
        <v>10124</v>
      </c>
      <c r="BI546" s="410"/>
      <c r="BJ546" s="427" t="s">
        <v>210</v>
      </c>
      <c r="BK546" s="412"/>
      <c r="BL546" s="413"/>
      <c r="BM546" s="414"/>
      <c r="BN546" s="321" t="s">
        <v>14</v>
      </c>
      <c r="BO546" s="372"/>
      <c r="BP546" s="340" t="s">
        <v>210</v>
      </c>
      <c r="BQ546" s="360"/>
      <c r="BR546" s="361"/>
      <c r="BS546" s="361"/>
      <c r="BT546" s="361"/>
      <c r="BU546" s="342" t="s">
        <v>210</v>
      </c>
      <c r="BV546" s="342" t="s">
        <v>210</v>
      </c>
      <c r="BW546" s="341" t="s">
        <v>15</v>
      </c>
      <c r="BX546" s="361"/>
      <c r="BY546" s="457"/>
      <c r="BZ546" s="363"/>
      <c r="CA546" s="363"/>
      <c r="CB546" s="363"/>
      <c r="CC546" s="363"/>
    </row>
    <row r="547" spans="2:81" ht="22.5" customHeight="1">
      <c r="B547" s="442">
        <v>150278</v>
      </c>
      <c r="C547" s="747" t="s">
        <v>13446</v>
      </c>
      <c r="D547" s="439"/>
      <c r="E547" s="404"/>
      <c r="F547" s="405" t="s">
        <v>265</v>
      </c>
      <c r="G547" s="324" t="s">
        <v>2717</v>
      </c>
      <c r="H547" s="324" t="s">
        <v>2718</v>
      </c>
      <c r="I547" s="326" t="s">
        <v>383</v>
      </c>
      <c r="J547" s="326" t="s">
        <v>387</v>
      </c>
      <c r="K547" s="324" t="s">
        <v>977</v>
      </c>
      <c r="L547" s="787">
        <v>3.5</v>
      </c>
      <c r="M547" s="408"/>
      <c r="N547" s="325" t="s">
        <v>437</v>
      </c>
      <c r="O547" s="324">
        <v>21</v>
      </c>
      <c r="P547" s="458">
        <v>757.07</v>
      </c>
      <c r="Q547" s="459">
        <v>1058.25</v>
      </c>
      <c r="R547" s="334" t="s">
        <v>2882</v>
      </c>
      <c r="S547" s="812" t="s">
        <v>13451</v>
      </c>
      <c r="T547" s="813"/>
      <c r="U547" s="813"/>
      <c r="V547" s="812" t="s">
        <v>13452</v>
      </c>
      <c r="W547" s="460" t="s">
        <v>2719</v>
      </c>
      <c r="X547" s="812" t="s">
        <v>13447</v>
      </c>
      <c r="Y547" s="812" t="s">
        <v>13448</v>
      </c>
      <c r="Z547" s="812" t="s">
        <v>13449</v>
      </c>
      <c r="AA547" s="812" t="s">
        <v>13450</v>
      </c>
      <c r="AB547" s="416"/>
      <c r="AC547" s="416"/>
      <c r="AD547" s="334" t="s">
        <v>2946</v>
      </c>
      <c r="AE547" s="335" t="s">
        <v>210</v>
      </c>
      <c r="AF547" s="475">
        <v>42206</v>
      </c>
      <c r="AG547" s="705">
        <v>42271</v>
      </c>
      <c r="AH547" s="417" t="s">
        <v>210</v>
      </c>
      <c r="AI547" s="392" t="s">
        <v>210</v>
      </c>
      <c r="AJ547" s="392" t="s">
        <v>210</v>
      </c>
      <c r="AK547" s="340" t="s">
        <v>210</v>
      </c>
      <c r="AL547" s="417" t="s">
        <v>210</v>
      </c>
      <c r="AM547" s="392" t="s">
        <v>210</v>
      </c>
      <c r="AN547" s="392" t="s">
        <v>210</v>
      </c>
      <c r="AO547" s="341" t="s">
        <v>210</v>
      </c>
      <c r="AP547" s="342"/>
      <c r="AQ547" s="343"/>
      <c r="AR547" s="370">
        <v>1014</v>
      </c>
      <c r="AS547" s="326">
        <v>120</v>
      </c>
      <c r="AT547" s="432">
        <v>1</v>
      </c>
      <c r="AU547" s="432"/>
      <c r="AV547" s="432">
        <v>1.5</v>
      </c>
      <c r="AW547" s="490"/>
      <c r="AX547" s="376"/>
      <c r="AY547" s="348"/>
      <c r="AZ547" s="407"/>
      <c r="BA547" s="408"/>
      <c r="BB547" s="408"/>
      <c r="BC547" s="408"/>
      <c r="BD547" s="408"/>
      <c r="BE547" s="408"/>
      <c r="BF547" s="408"/>
      <c r="BG547" s="408"/>
      <c r="BH547" s="409"/>
      <c r="BI547" s="410"/>
      <c r="BJ547" s="411"/>
      <c r="BK547" s="412"/>
      <c r="BL547" s="413"/>
      <c r="BM547" s="414"/>
      <c r="BN547" s="321" t="s">
        <v>14</v>
      </c>
      <c r="BO547" s="372">
        <v>1.01</v>
      </c>
      <c r="BP547" s="373" t="s">
        <v>14</v>
      </c>
      <c r="BQ547" s="360"/>
      <c r="BR547" s="361"/>
      <c r="BS547" s="361"/>
      <c r="BT547" s="361"/>
      <c r="BU547" s="342" t="s">
        <v>210</v>
      </c>
      <c r="BV547" s="342" t="s">
        <v>210</v>
      </c>
      <c r="BW547" s="341" t="s">
        <v>15</v>
      </c>
      <c r="BX547" s="361"/>
      <c r="BY547" s="457"/>
      <c r="BZ547" s="363"/>
      <c r="CA547" s="363"/>
      <c r="CB547" s="363"/>
      <c r="CC547" s="363"/>
    </row>
    <row r="548" spans="2:81" ht="22.5" customHeight="1">
      <c r="B548" s="442">
        <v>150283</v>
      </c>
      <c r="C548" s="747" t="s">
        <v>3645</v>
      </c>
      <c r="D548" s="439"/>
      <c r="E548" s="404"/>
      <c r="F548" s="405" t="s">
        <v>3646</v>
      </c>
      <c r="G548" s="324" t="s">
        <v>3647</v>
      </c>
      <c r="H548" s="324" t="s">
        <v>3648</v>
      </c>
      <c r="I548" s="326" t="s">
        <v>383</v>
      </c>
      <c r="J548" s="326" t="s">
        <v>387</v>
      </c>
      <c r="K548" s="324" t="s">
        <v>3400</v>
      </c>
      <c r="L548" s="361"/>
      <c r="M548" s="408"/>
      <c r="N548" s="325" t="s">
        <v>438</v>
      </c>
      <c r="O548" s="324">
        <v>100</v>
      </c>
      <c r="P548" s="327" t="s">
        <v>210</v>
      </c>
      <c r="Q548" s="369" t="s">
        <v>210</v>
      </c>
      <c r="R548" s="329" t="s">
        <v>442</v>
      </c>
      <c r="S548" s="394" t="s">
        <v>14092</v>
      </c>
      <c r="T548" s="394" t="s">
        <v>12567</v>
      </c>
      <c r="U548" s="394" t="s">
        <v>16336</v>
      </c>
      <c r="V548" s="394" t="s">
        <v>12568</v>
      </c>
      <c r="W548" s="332" t="s">
        <v>432</v>
      </c>
      <c r="X548" s="331" t="s">
        <v>11079</v>
      </c>
      <c r="Y548" s="331" t="s">
        <v>11080</v>
      </c>
      <c r="Z548" s="331" t="s">
        <v>11080</v>
      </c>
      <c r="AA548" s="331" t="s">
        <v>520</v>
      </c>
      <c r="AB548" s="333" t="s">
        <v>2269</v>
      </c>
      <c r="AC548" s="416"/>
      <c r="AD548" s="447" t="s">
        <v>4188</v>
      </c>
      <c r="AE548" s="335" t="s">
        <v>4033</v>
      </c>
      <c r="AF548" s="475">
        <v>42536</v>
      </c>
      <c r="AG548" s="748">
        <v>42651</v>
      </c>
      <c r="AH548" s="417" t="s">
        <v>210</v>
      </c>
      <c r="AI548" s="392" t="s">
        <v>210</v>
      </c>
      <c r="AJ548" s="392" t="s">
        <v>210</v>
      </c>
      <c r="AK548" s="340" t="s">
        <v>210</v>
      </c>
      <c r="AL548" s="417" t="s">
        <v>210</v>
      </c>
      <c r="AM548" s="392" t="s">
        <v>210</v>
      </c>
      <c r="AN548" s="392" t="s">
        <v>210</v>
      </c>
      <c r="AO548" s="341" t="s">
        <v>210</v>
      </c>
      <c r="AP548" s="342"/>
      <c r="AQ548" s="343"/>
      <c r="AR548" s="452">
        <v>2384</v>
      </c>
      <c r="AS548" s="324">
        <v>100</v>
      </c>
      <c r="AT548" s="432">
        <v>1</v>
      </c>
      <c r="AU548" s="432"/>
      <c r="AV548" s="432">
        <v>1.5</v>
      </c>
      <c r="AW548" s="490"/>
      <c r="AX548" s="410"/>
      <c r="AY548" s="413"/>
      <c r="AZ548" s="405" t="s">
        <v>622</v>
      </c>
      <c r="BA548" s="324" t="s">
        <v>9710</v>
      </c>
      <c r="BB548" s="324" t="s">
        <v>9721</v>
      </c>
      <c r="BC548" s="324" t="s">
        <v>9724</v>
      </c>
      <c r="BD548" s="324" t="s">
        <v>9721</v>
      </c>
      <c r="BE548" s="324" t="s">
        <v>9725</v>
      </c>
      <c r="BF548" s="324" t="s">
        <v>9726</v>
      </c>
      <c r="BG548" s="324" t="s">
        <v>9727</v>
      </c>
      <c r="BH548" s="324" t="s">
        <v>9726</v>
      </c>
      <c r="BI548" s="410"/>
      <c r="BJ548" s="411"/>
      <c r="BK548" s="412"/>
      <c r="BL548" s="413"/>
      <c r="BM548" s="414"/>
      <c r="BN548" s="321" t="s">
        <v>14</v>
      </c>
      <c r="BO548" s="372"/>
      <c r="BP548" s="373" t="s">
        <v>14</v>
      </c>
      <c r="BQ548" s="360"/>
      <c r="BR548" s="361"/>
      <c r="BS548" s="361"/>
      <c r="BT548" s="361"/>
      <c r="BU548" s="342" t="s">
        <v>210</v>
      </c>
      <c r="BV548" s="342" t="s">
        <v>210</v>
      </c>
      <c r="BW548" s="341" t="s">
        <v>210</v>
      </c>
      <c r="BX548" s="361"/>
      <c r="BY548" s="457"/>
      <c r="BZ548" s="363"/>
      <c r="CA548" s="363"/>
      <c r="CB548" s="363"/>
      <c r="CC548" s="363"/>
    </row>
    <row r="549" spans="2:81" ht="22.5" customHeight="1">
      <c r="B549" s="442">
        <v>150286</v>
      </c>
      <c r="C549" s="747" t="s">
        <v>2767</v>
      </c>
      <c r="D549" s="439"/>
      <c r="E549" s="404"/>
      <c r="F549" s="405" t="s">
        <v>271</v>
      </c>
      <c r="G549" s="324" t="s">
        <v>2651</v>
      </c>
      <c r="H549" s="324" t="s">
        <v>2768</v>
      </c>
      <c r="I549" s="326" t="s">
        <v>383</v>
      </c>
      <c r="J549" s="326" t="s">
        <v>399</v>
      </c>
      <c r="K549" s="324" t="s">
        <v>2769</v>
      </c>
      <c r="L549" s="323"/>
      <c r="M549" s="408"/>
      <c r="N549" s="444" t="s">
        <v>437</v>
      </c>
      <c r="O549" s="327" t="s">
        <v>210</v>
      </c>
      <c r="P549" s="327">
        <v>514</v>
      </c>
      <c r="Q549" s="369" t="s">
        <v>210</v>
      </c>
      <c r="R549" s="420" t="s">
        <v>2346</v>
      </c>
      <c r="S549" s="394" t="s">
        <v>13444</v>
      </c>
      <c r="T549" s="394" t="s">
        <v>12147</v>
      </c>
      <c r="U549" s="394" t="s">
        <v>12146</v>
      </c>
      <c r="V549" s="394" t="s">
        <v>13445</v>
      </c>
      <c r="W549" s="460" t="s">
        <v>2346</v>
      </c>
      <c r="X549" s="394"/>
      <c r="Y549" s="394" t="s">
        <v>12147</v>
      </c>
      <c r="Z549" s="394" t="s">
        <v>12146</v>
      </c>
      <c r="AA549" s="394"/>
      <c r="AB549" s="416"/>
      <c r="AC549" s="416"/>
      <c r="AD549" s="334" t="s">
        <v>3029</v>
      </c>
      <c r="AE549" s="335" t="s">
        <v>210</v>
      </c>
      <c r="AF549" s="475">
        <v>42214</v>
      </c>
      <c r="AG549" s="705">
        <v>42299</v>
      </c>
      <c r="AH549" s="417" t="s">
        <v>210</v>
      </c>
      <c r="AI549" s="392" t="s">
        <v>210</v>
      </c>
      <c r="AJ549" s="392" t="s">
        <v>210</v>
      </c>
      <c r="AK549" s="340" t="s">
        <v>210</v>
      </c>
      <c r="AL549" s="417" t="s">
        <v>210</v>
      </c>
      <c r="AM549" s="392" t="s">
        <v>210</v>
      </c>
      <c r="AN549" s="392" t="s">
        <v>210</v>
      </c>
      <c r="AO549" s="341" t="s">
        <v>210</v>
      </c>
      <c r="AP549" s="342"/>
      <c r="AQ549" s="343"/>
      <c r="AR549" s="370">
        <v>707</v>
      </c>
      <c r="AS549" s="326">
        <v>60</v>
      </c>
      <c r="AT549" s="432">
        <v>0.8</v>
      </c>
      <c r="AU549" s="432"/>
      <c r="AV549" s="432">
        <v>1.4</v>
      </c>
      <c r="AW549" s="490"/>
      <c r="AX549" s="376"/>
      <c r="AY549" s="348"/>
      <c r="AZ549" s="407"/>
      <c r="BA549" s="408"/>
      <c r="BB549" s="408"/>
      <c r="BC549" s="408"/>
      <c r="BD549" s="408"/>
      <c r="BE549" s="408"/>
      <c r="BF549" s="408"/>
      <c r="BG549" s="408"/>
      <c r="BH549" s="409"/>
      <c r="BI549" s="410"/>
      <c r="BJ549" s="411"/>
      <c r="BK549" s="412"/>
      <c r="BL549" s="413"/>
      <c r="BM549" s="414"/>
      <c r="BN549" s="417" t="s">
        <v>210</v>
      </c>
      <c r="BO549" s="372"/>
      <c r="BP549" s="373" t="s">
        <v>14</v>
      </c>
      <c r="BQ549" s="360"/>
      <c r="BR549" s="361"/>
      <c r="BS549" s="361"/>
      <c r="BT549" s="361"/>
      <c r="BU549" s="342" t="s">
        <v>210</v>
      </c>
      <c r="BV549" s="342" t="s">
        <v>210</v>
      </c>
      <c r="BW549" s="341" t="s">
        <v>15</v>
      </c>
      <c r="BX549" s="361"/>
      <c r="BY549" s="457"/>
      <c r="BZ549" s="363"/>
      <c r="CA549" s="363"/>
      <c r="CB549" s="363"/>
      <c r="CC549" s="363"/>
    </row>
    <row r="550" spans="2:81" ht="22.5" customHeight="1">
      <c r="B550" s="365">
        <v>150287</v>
      </c>
      <c r="C550" s="366" t="s">
        <v>1723</v>
      </c>
      <c r="D550" s="419"/>
      <c r="E550" s="368"/>
      <c r="F550" s="321" t="s">
        <v>271</v>
      </c>
      <c r="G550" s="326" t="s">
        <v>1819</v>
      </c>
      <c r="H550" s="326" t="s">
        <v>1820</v>
      </c>
      <c r="I550" s="326" t="s">
        <v>383</v>
      </c>
      <c r="J550" s="326" t="s">
        <v>387</v>
      </c>
      <c r="K550" s="326" t="s">
        <v>247</v>
      </c>
      <c r="L550" s="323"/>
      <c r="M550" s="408"/>
      <c r="N550" s="325" t="s">
        <v>1724</v>
      </c>
      <c r="O550" s="326">
        <v>55</v>
      </c>
      <c r="P550" s="327">
        <v>631.52</v>
      </c>
      <c r="Q550" s="369">
        <v>688.75</v>
      </c>
      <c r="R550" s="329" t="s">
        <v>432</v>
      </c>
      <c r="S550" s="331" t="s">
        <v>11079</v>
      </c>
      <c r="T550" s="331" t="s">
        <v>11079</v>
      </c>
      <c r="U550" s="331" t="s">
        <v>11079</v>
      </c>
      <c r="V550" s="331" t="s">
        <v>520</v>
      </c>
      <c r="W550" s="332" t="s">
        <v>432</v>
      </c>
      <c r="X550" s="331" t="s">
        <v>11079</v>
      </c>
      <c r="Y550" s="331" t="s">
        <v>11080</v>
      </c>
      <c r="Z550" s="331" t="s">
        <v>11080</v>
      </c>
      <c r="AA550" s="331" t="s">
        <v>520</v>
      </c>
      <c r="AB550" s="333"/>
      <c r="AC550" s="333"/>
      <c r="AD550" s="334" t="s">
        <v>2333</v>
      </c>
      <c r="AE550" s="335" t="s">
        <v>966</v>
      </c>
      <c r="AF550" s="440"/>
      <c r="AG550" s="441"/>
      <c r="AH550" s="376"/>
      <c r="AI550" s="347"/>
      <c r="AJ550" s="347"/>
      <c r="AK550" s="371"/>
      <c r="AL550" s="417" t="s">
        <v>1726</v>
      </c>
      <c r="AM550" s="392" t="s">
        <v>210</v>
      </c>
      <c r="AN550" s="392" t="s">
        <v>210</v>
      </c>
      <c r="AO550" s="341" t="s">
        <v>210</v>
      </c>
      <c r="AP550" s="342"/>
      <c r="AQ550" s="343"/>
      <c r="AR550" s="370">
        <v>883</v>
      </c>
      <c r="AS550" s="326">
        <v>100</v>
      </c>
      <c r="AT550" s="392">
        <v>1</v>
      </c>
      <c r="AU550" s="392"/>
      <c r="AV550" s="392">
        <v>1.5</v>
      </c>
      <c r="AW550" s="341"/>
      <c r="AX550" s="376"/>
      <c r="AY550" s="348"/>
      <c r="AZ550" s="377"/>
      <c r="BA550" s="374"/>
      <c r="BB550" s="374"/>
      <c r="BC550" s="374"/>
      <c r="BD550" s="374"/>
      <c r="BE550" s="374"/>
      <c r="BF550" s="374"/>
      <c r="BG550" s="374"/>
      <c r="BH550" s="378"/>
      <c r="BI550" s="376"/>
      <c r="BJ550" s="379"/>
      <c r="BK550" s="380"/>
      <c r="BL550" s="348"/>
      <c r="BM550" s="381"/>
      <c r="BN550" s="321" t="s">
        <v>14</v>
      </c>
      <c r="BO550" s="372"/>
      <c r="BP550" s="373" t="s">
        <v>14</v>
      </c>
      <c r="BQ550" s="360"/>
      <c r="BR550" s="361"/>
      <c r="BS550" s="361"/>
      <c r="BT550" s="361"/>
      <c r="BU550" s="342" t="s">
        <v>210</v>
      </c>
      <c r="BV550" s="342" t="s">
        <v>210</v>
      </c>
      <c r="BW550" s="341" t="s">
        <v>15</v>
      </c>
      <c r="BX550" s="361"/>
      <c r="BY550" s="362"/>
      <c r="BZ550" s="363"/>
      <c r="CA550" s="363"/>
      <c r="CB550" s="363"/>
      <c r="CC550" s="363"/>
    </row>
    <row r="551" spans="2:81" ht="22.5" customHeight="1">
      <c r="B551" s="442">
        <v>150289</v>
      </c>
      <c r="C551" s="747" t="s">
        <v>2834</v>
      </c>
      <c r="D551" s="439"/>
      <c r="E551" s="404"/>
      <c r="F551" s="405" t="s">
        <v>2939</v>
      </c>
      <c r="G551" s="324" t="s">
        <v>2940</v>
      </c>
      <c r="H551" s="324" t="s">
        <v>1771</v>
      </c>
      <c r="I551" s="324" t="s">
        <v>766</v>
      </c>
      <c r="J551" s="326" t="s">
        <v>399</v>
      </c>
      <c r="K551" s="326" t="s">
        <v>917</v>
      </c>
      <c r="L551" s="323"/>
      <c r="M551" s="408"/>
      <c r="N551" s="444" t="s">
        <v>468</v>
      </c>
      <c r="O551" s="324">
        <v>30</v>
      </c>
      <c r="P551" s="327" t="s">
        <v>210</v>
      </c>
      <c r="Q551" s="369">
        <v>548</v>
      </c>
      <c r="R551" s="420" t="s">
        <v>2848</v>
      </c>
      <c r="S551" s="394" t="s">
        <v>13437</v>
      </c>
      <c r="T551" s="394" t="s">
        <v>13439</v>
      </c>
      <c r="U551" s="394" t="s">
        <v>16368</v>
      </c>
      <c r="V551" s="394" t="s">
        <v>13438</v>
      </c>
      <c r="W551" s="460" t="s">
        <v>2844</v>
      </c>
      <c r="X551" s="394" t="s">
        <v>13441</v>
      </c>
      <c r="Y551" s="394" t="s">
        <v>13442</v>
      </c>
      <c r="Z551" s="394" t="s">
        <v>13443</v>
      </c>
      <c r="AA551" s="394" t="s">
        <v>13440</v>
      </c>
      <c r="AB551" s="416"/>
      <c r="AC551" s="416"/>
      <c r="AD551" s="334" t="s">
        <v>3012</v>
      </c>
      <c r="AE551" s="335" t="s">
        <v>210</v>
      </c>
      <c r="AF551" s="475">
        <v>42222</v>
      </c>
      <c r="AG551" s="705">
        <v>42299</v>
      </c>
      <c r="AH551" s="417" t="s">
        <v>210</v>
      </c>
      <c r="AI551" s="392" t="s">
        <v>210</v>
      </c>
      <c r="AJ551" s="392" t="s">
        <v>210</v>
      </c>
      <c r="AK551" s="340" t="s">
        <v>210</v>
      </c>
      <c r="AL551" s="417" t="s">
        <v>210</v>
      </c>
      <c r="AM551" s="392" t="s">
        <v>210</v>
      </c>
      <c r="AN551" s="392" t="s">
        <v>210</v>
      </c>
      <c r="AO551" s="341" t="s">
        <v>210</v>
      </c>
      <c r="AP551" s="342"/>
      <c r="AQ551" s="343"/>
      <c r="AR551" s="452">
        <v>1592</v>
      </c>
      <c r="AS551" s="324">
        <v>60</v>
      </c>
      <c r="AT551" s="432">
        <v>0.8</v>
      </c>
      <c r="AU551" s="432"/>
      <c r="AV551" s="432">
        <v>1.4</v>
      </c>
      <c r="AW551" s="490"/>
      <c r="AX551" s="376"/>
      <c r="AY551" s="348"/>
      <c r="AZ551" s="407"/>
      <c r="BA551" s="408"/>
      <c r="BB551" s="408"/>
      <c r="BC551" s="408"/>
      <c r="BD551" s="408"/>
      <c r="BE551" s="408"/>
      <c r="BF551" s="408"/>
      <c r="BG551" s="408"/>
      <c r="BH551" s="409"/>
      <c r="BI551" s="410"/>
      <c r="BJ551" s="411"/>
      <c r="BK551" s="412"/>
      <c r="BL551" s="413"/>
      <c r="BM551" s="414"/>
      <c r="BN551" s="417" t="s">
        <v>210</v>
      </c>
      <c r="BO551" s="372"/>
      <c r="BP551" s="373" t="s">
        <v>14</v>
      </c>
      <c r="BQ551" s="360"/>
      <c r="BR551" s="361"/>
      <c r="BS551" s="361"/>
      <c r="BT551" s="361"/>
      <c r="BU551" s="342" t="s">
        <v>210</v>
      </c>
      <c r="BV551" s="342" t="s">
        <v>210</v>
      </c>
      <c r="BW551" s="341" t="s">
        <v>15</v>
      </c>
      <c r="BX551" s="361"/>
      <c r="BY551" s="457"/>
      <c r="BZ551" s="363"/>
      <c r="CA551" s="363"/>
      <c r="CB551" s="363"/>
      <c r="CC551" s="363"/>
    </row>
    <row r="552" spans="2:81" ht="22.5" customHeight="1">
      <c r="B552" s="365">
        <v>150301</v>
      </c>
      <c r="C552" s="366" t="s">
        <v>2040</v>
      </c>
      <c r="D552" s="419"/>
      <c r="E552" s="368"/>
      <c r="F552" s="321" t="s">
        <v>1741</v>
      </c>
      <c r="G552" s="326" t="s">
        <v>1821</v>
      </c>
      <c r="H552" s="326" t="s">
        <v>1822</v>
      </c>
      <c r="I552" s="326" t="s">
        <v>383</v>
      </c>
      <c r="J552" s="326" t="s">
        <v>399</v>
      </c>
      <c r="K552" s="326" t="s">
        <v>917</v>
      </c>
      <c r="L552" s="323"/>
      <c r="M552" s="408"/>
      <c r="N552" s="325" t="s">
        <v>437</v>
      </c>
      <c r="O552" s="326">
        <v>30</v>
      </c>
      <c r="P552" s="327" t="s">
        <v>210</v>
      </c>
      <c r="Q552" s="369" t="s">
        <v>210</v>
      </c>
      <c r="R552" s="329" t="s">
        <v>1094</v>
      </c>
      <c r="S552" s="394" t="s">
        <v>11269</v>
      </c>
      <c r="T552" s="331" t="s">
        <v>11123</v>
      </c>
      <c r="U552" s="331" t="s">
        <v>16209</v>
      </c>
      <c r="V552" s="331" t="s">
        <v>11124</v>
      </c>
      <c r="W552" s="332" t="s">
        <v>432</v>
      </c>
      <c r="X552" s="331" t="s">
        <v>11079</v>
      </c>
      <c r="Y552" s="331" t="s">
        <v>11080</v>
      </c>
      <c r="Z552" s="331" t="s">
        <v>11080</v>
      </c>
      <c r="AA552" s="331" t="s">
        <v>520</v>
      </c>
      <c r="AB552" s="416" t="s">
        <v>16099</v>
      </c>
      <c r="AC552" s="416"/>
      <c r="AD552" s="334" t="s">
        <v>2329</v>
      </c>
      <c r="AE552" s="335" t="s">
        <v>210</v>
      </c>
      <c r="AF552" s="706">
        <v>42132</v>
      </c>
      <c r="AG552" s="705">
        <v>42201</v>
      </c>
      <c r="AH552" s="376"/>
      <c r="AI552" s="347"/>
      <c r="AJ552" s="347"/>
      <c r="AK552" s="371"/>
      <c r="AL552" s="417" t="s">
        <v>210</v>
      </c>
      <c r="AM552" s="392" t="s">
        <v>210</v>
      </c>
      <c r="AN552" s="392" t="s">
        <v>210</v>
      </c>
      <c r="AO552" s="341" t="s">
        <v>210</v>
      </c>
      <c r="AP552" s="342"/>
      <c r="AQ552" s="343"/>
      <c r="AR552" s="370">
        <v>1724</v>
      </c>
      <c r="AS552" s="326">
        <v>80</v>
      </c>
      <c r="AT552" s="392">
        <v>0.6</v>
      </c>
      <c r="AU552" s="392"/>
      <c r="AV552" s="392">
        <v>0.4</v>
      </c>
      <c r="AW552" s="341"/>
      <c r="AX552" s="376"/>
      <c r="AY552" s="348"/>
      <c r="AZ552" s="377"/>
      <c r="BA552" s="374"/>
      <c r="BB552" s="374"/>
      <c r="BC552" s="374"/>
      <c r="BD552" s="374"/>
      <c r="BE552" s="374"/>
      <c r="BF552" s="374"/>
      <c r="BG552" s="374"/>
      <c r="BH552" s="378"/>
      <c r="BI552" s="376"/>
      <c r="BJ552" s="379"/>
      <c r="BK552" s="380"/>
      <c r="BL552" s="348"/>
      <c r="BM552" s="381"/>
      <c r="BN552" s="321" t="s">
        <v>14</v>
      </c>
      <c r="BO552" s="372"/>
      <c r="BP552" s="340" t="s">
        <v>210</v>
      </c>
      <c r="BQ552" s="360"/>
      <c r="BR552" s="361"/>
      <c r="BS552" s="361"/>
      <c r="BT552" s="361"/>
      <c r="BU552" s="342" t="s">
        <v>210</v>
      </c>
      <c r="BV552" s="342" t="s">
        <v>210</v>
      </c>
      <c r="BW552" s="341" t="s">
        <v>15</v>
      </c>
      <c r="BX552" s="361"/>
      <c r="BY552" s="362"/>
      <c r="BZ552" s="363"/>
      <c r="CA552" s="363"/>
      <c r="CB552" s="363"/>
      <c r="CC552" s="363"/>
    </row>
    <row r="553" spans="2:81" ht="22.5" customHeight="1">
      <c r="B553" s="442">
        <v>150311</v>
      </c>
      <c r="C553" s="747" t="s">
        <v>3102</v>
      </c>
      <c r="D553" s="439"/>
      <c r="E553" s="404"/>
      <c r="F553" s="405" t="s">
        <v>3113</v>
      </c>
      <c r="G553" s="324" t="s">
        <v>1780</v>
      </c>
      <c r="H553" s="324" t="s">
        <v>3203</v>
      </c>
      <c r="I553" s="324" t="s">
        <v>3204</v>
      </c>
      <c r="J553" s="324" t="s">
        <v>3204</v>
      </c>
      <c r="K553" s="324" t="s">
        <v>3204</v>
      </c>
      <c r="L553" s="361"/>
      <c r="M553" s="408"/>
      <c r="N553" s="444" t="s">
        <v>3204</v>
      </c>
      <c r="O553" s="324" t="s">
        <v>3204</v>
      </c>
      <c r="P553" s="458" t="s">
        <v>3204</v>
      </c>
      <c r="Q553" s="459" t="s">
        <v>3204</v>
      </c>
      <c r="R553" s="399"/>
      <c r="S553" s="400"/>
      <c r="T553" s="400"/>
      <c r="U553" s="400"/>
      <c r="V553" s="400"/>
      <c r="W553" s="460" t="s">
        <v>4409</v>
      </c>
      <c r="X553" s="400"/>
      <c r="Y553" s="400"/>
      <c r="Z553" s="400"/>
      <c r="AA553" s="400"/>
      <c r="AB553" s="416" t="s">
        <v>3205</v>
      </c>
      <c r="AC553" s="416"/>
      <c r="AD553" s="375"/>
      <c r="AE553" s="391"/>
      <c r="AF553" s="475">
        <v>42358</v>
      </c>
      <c r="AG553" s="748">
        <v>42461</v>
      </c>
      <c r="AH553" s="417" t="s">
        <v>210</v>
      </c>
      <c r="AI553" s="392" t="s">
        <v>210</v>
      </c>
      <c r="AJ553" s="392" t="s">
        <v>210</v>
      </c>
      <c r="AK553" s="340" t="s">
        <v>210</v>
      </c>
      <c r="AL553" s="417" t="s">
        <v>210</v>
      </c>
      <c r="AM553" s="392" t="s">
        <v>210</v>
      </c>
      <c r="AN553" s="392" t="s">
        <v>210</v>
      </c>
      <c r="AO553" s="341" t="s">
        <v>210</v>
      </c>
      <c r="AP553" s="342"/>
      <c r="AQ553" s="343"/>
      <c r="AR553" s="370">
        <v>1209</v>
      </c>
      <c r="AS553" s="326">
        <v>150</v>
      </c>
      <c r="AT553" s="432">
        <v>1.2</v>
      </c>
      <c r="AU553" s="432"/>
      <c r="AV553" s="432">
        <v>1.2</v>
      </c>
      <c r="AW553" s="490"/>
      <c r="AX553" s="410"/>
      <c r="AY553" s="413"/>
      <c r="AZ553" s="405" t="s">
        <v>3367</v>
      </c>
      <c r="BA553" s="324" t="s">
        <v>3368</v>
      </c>
      <c r="BB553" s="324" t="s">
        <v>3368</v>
      </c>
      <c r="BC553" s="408"/>
      <c r="BD553" s="408"/>
      <c r="BE553" s="408"/>
      <c r="BF553" s="408"/>
      <c r="BG553" s="408"/>
      <c r="BH553" s="409"/>
      <c r="BI553" s="410"/>
      <c r="BJ553" s="411"/>
      <c r="BK553" s="412"/>
      <c r="BL553" s="413"/>
      <c r="BM553" s="414"/>
      <c r="BN553" s="321" t="s">
        <v>14</v>
      </c>
      <c r="BO553" s="372"/>
      <c r="BP553" s="340" t="s">
        <v>210</v>
      </c>
      <c r="BQ553" s="360"/>
      <c r="BR553" s="361"/>
      <c r="BS553" s="361"/>
      <c r="BT553" s="361"/>
      <c r="BU553" s="342" t="s">
        <v>210</v>
      </c>
      <c r="BV553" s="342" t="s">
        <v>210</v>
      </c>
      <c r="BW553" s="341" t="s">
        <v>210</v>
      </c>
      <c r="BX553" s="361"/>
      <c r="BY553" s="457"/>
      <c r="BZ553" s="363"/>
      <c r="CA553" s="363"/>
      <c r="CB553" s="363"/>
      <c r="CC553" s="363"/>
    </row>
    <row r="554" spans="2:81" ht="22.5" customHeight="1">
      <c r="B554" s="442">
        <v>150312</v>
      </c>
      <c r="C554" s="747" t="s">
        <v>13435</v>
      </c>
      <c r="D554" s="439"/>
      <c r="E554" s="404"/>
      <c r="F554" s="405" t="s">
        <v>2716</v>
      </c>
      <c r="G554" s="324" t="s">
        <v>2467</v>
      </c>
      <c r="H554" s="324" t="s">
        <v>2468</v>
      </c>
      <c r="I554" s="326" t="s">
        <v>383</v>
      </c>
      <c r="J554" s="326" t="s">
        <v>399</v>
      </c>
      <c r="K554" s="326" t="s">
        <v>247</v>
      </c>
      <c r="L554" s="361"/>
      <c r="M554" s="408"/>
      <c r="N554" s="444" t="s">
        <v>2469</v>
      </c>
      <c r="O554" s="324">
        <v>30</v>
      </c>
      <c r="P554" s="458">
        <v>328.08</v>
      </c>
      <c r="Q554" s="459">
        <v>297.45999999999998</v>
      </c>
      <c r="R554" s="420" t="s">
        <v>2876</v>
      </c>
      <c r="S554" s="394" t="s">
        <v>13436</v>
      </c>
      <c r="T554" s="394" t="s">
        <v>12244</v>
      </c>
      <c r="U554" s="394" t="s">
        <v>16219</v>
      </c>
      <c r="V554" s="394" t="s">
        <v>12245</v>
      </c>
      <c r="W554" s="460" t="s">
        <v>2470</v>
      </c>
      <c r="X554" s="400"/>
      <c r="Y554" s="394" t="s">
        <v>11201</v>
      </c>
      <c r="Z554" s="394" t="s">
        <v>11200</v>
      </c>
      <c r="AA554" s="400"/>
      <c r="AB554" s="416"/>
      <c r="AC554" s="416"/>
      <c r="AD554" s="447" t="s">
        <v>2466</v>
      </c>
      <c r="AE554" s="391"/>
      <c r="AF554" s="475">
        <v>42188</v>
      </c>
      <c r="AG554" s="748">
        <v>42209</v>
      </c>
      <c r="AH554" s="417" t="s">
        <v>210</v>
      </c>
      <c r="AI554" s="392" t="s">
        <v>210</v>
      </c>
      <c r="AJ554" s="392" t="s">
        <v>210</v>
      </c>
      <c r="AK554" s="340" t="s">
        <v>210</v>
      </c>
      <c r="AL554" s="417" t="s">
        <v>210</v>
      </c>
      <c r="AM554" s="392" t="s">
        <v>210</v>
      </c>
      <c r="AN554" s="392" t="s">
        <v>210</v>
      </c>
      <c r="AO554" s="341" t="s">
        <v>210</v>
      </c>
      <c r="AP554" s="342"/>
      <c r="AQ554" s="343"/>
      <c r="AR554" s="452">
        <v>332</v>
      </c>
      <c r="AS554" s="324">
        <v>80</v>
      </c>
      <c r="AT554" s="432">
        <v>1</v>
      </c>
      <c r="AU554" s="432"/>
      <c r="AV554" s="432">
        <v>1.2</v>
      </c>
      <c r="AW554" s="490"/>
      <c r="AX554" s="410"/>
      <c r="AY554" s="413"/>
      <c r="AZ554" s="407"/>
      <c r="BA554" s="408"/>
      <c r="BB554" s="408"/>
      <c r="BC554" s="408"/>
      <c r="BD554" s="408"/>
      <c r="BE554" s="408"/>
      <c r="BF554" s="408"/>
      <c r="BG554" s="408"/>
      <c r="BH554" s="409"/>
      <c r="BI554" s="410"/>
      <c r="BJ554" s="411"/>
      <c r="BK554" s="412"/>
      <c r="BL554" s="413"/>
      <c r="BM554" s="414"/>
      <c r="BN554" s="321" t="s">
        <v>14</v>
      </c>
      <c r="BO554" s="372">
        <v>1.84</v>
      </c>
      <c r="BP554" s="373" t="s">
        <v>14</v>
      </c>
      <c r="BQ554" s="360"/>
      <c r="BR554" s="361"/>
      <c r="BS554" s="361"/>
      <c r="BT554" s="361"/>
      <c r="BU554" s="342" t="s">
        <v>210</v>
      </c>
      <c r="BV554" s="342" t="s">
        <v>210</v>
      </c>
      <c r="BW554" s="341" t="s">
        <v>15</v>
      </c>
      <c r="BX554" s="361"/>
      <c r="BY554" s="457"/>
      <c r="BZ554" s="363"/>
      <c r="CA554" s="363"/>
      <c r="CB554" s="363"/>
      <c r="CC554" s="363"/>
    </row>
    <row r="555" spans="2:81" ht="22.5" customHeight="1">
      <c r="B555" s="365">
        <v>150321</v>
      </c>
      <c r="C555" s="366" t="s">
        <v>2039</v>
      </c>
      <c r="D555" s="419"/>
      <c r="E555" s="368"/>
      <c r="F555" s="321" t="s">
        <v>226</v>
      </c>
      <c r="G555" s="326" t="s">
        <v>2352</v>
      </c>
      <c r="H555" s="326" t="s">
        <v>2353</v>
      </c>
      <c r="I555" s="326" t="s">
        <v>383</v>
      </c>
      <c r="J555" s="326" t="s">
        <v>399</v>
      </c>
      <c r="K555" s="326" t="s">
        <v>917</v>
      </c>
      <c r="L555" s="323"/>
      <c r="M555" s="408"/>
      <c r="N555" s="325" t="s">
        <v>438</v>
      </c>
      <c r="O555" s="324">
        <v>30</v>
      </c>
      <c r="P555" s="327" t="s">
        <v>210</v>
      </c>
      <c r="Q555" s="369" t="s">
        <v>210</v>
      </c>
      <c r="R555" s="420" t="s">
        <v>2299</v>
      </c>
      <c r="S555" s="394" t="s">
        <v>13166</v>
      </c>
      <c r="T555" s="394" t="s">
        <v>11829</v>
      </c>
      <c r="U555" s="394" t="s">
        <v>11828</v>
      </c>
      <c r="V555" s="394" t="s">
        <v>13167</v>
      </c>
      <c r="W555" s="460" t="s">
        <v>2345</v>
      </c>
      <c r="X555" s="394" t="s">
        <v>13434</v>
      </c>
      <c r="Y555" s="394" t="s">
        <v>13170</v>
      </c>
      <c r="Z555" s="394" t="s">
        <v>16507</v>
      </c>
      <c r="AA555" s="394" t="s">
        <v>13169</v>
      </c>
      <c r="AB555" s="333"/>
      <c r="AC555" s="333"/>
      <c r="AD555" s="334" t="s">
        <v>2325</v>
      </c>
      <c r="AE555" s="335" t="s">
        <v>2282</v>
      </c>
      <c r="AF555" s="706">
        <v>42158</v>
      </c>
      <c r="AG555" s="705">
        <v>42214</v>
      </c>
      <c r="AH555" s="417" t="s">
        <v>210</v>
      </c>
      <c r="AI555" s="392" t="s">
        <v>210</v>
      </c>
      <c r="AJ555" s="392" t="s">
        <v>210</v>
      </c>
      <c r="AK555" s="340" t="s">
        <v>210</v>
      </c>
      <c r="AL555" s="417" t="s">
        <v>210</v>
      </c>
      <c r="AM555" s="392" t="s">
        <v>210</v>
      </c>
      <c r="AN555" s="392" t="s">
        <v>210</v>
      </c>
      <c r="AO555" s="341" t="s">
        <v>210</v>
      </c>
      <c r="AP555" s="342"/>
      <c r="AQ555" s="343"/>
      <c r="AR555" s="370">
        <v>957</v>
      </c>
      <c r="AS555" s="326">
        <v>150</v>
      </c>
      <c r="AT555" s="392">
        <v>0.8</v>
      </c>
      <c r="AU555" s="392"/>
      <c r="AV555" s="392">
        <v>1</v>
      </c>
      <c r="AW555" s="341"/>
      <c r="AX555" s="376"/>
      <c r="AY555" s="348"/>
      <c r="AZ555" s="377"/>
      <c r="BA555" s="374"/>
      <c r="BB555" s="374"/>
      <c r="BC555" s="374"/>
      <c r="BD555" s="374"/>
      <c r="BE555" s="374"/>
      <c r="BF555" s="374"/>
      <c r="BG555" s="374"/>
      <c r="BH555" s="378"/>
      <c r="BI555" s="376"/>
      <c r="BJ555" s="379"/>
      <c r="BK555" s="412"/>
      <c r="BL555" s="413"/>
      <c r="BM555" s="414"/>
      <c r="BN555" s="417" t="s">
        <v>210</v>
      </c>
      <c r="BO555" s="372"/>
      <c r="BP555" s="340" t="s">
        <v>210</v>
      </c>
      <c r="BQ555" s="360"/>
      <c r="BR555" s="361"/>
      <c r="BS555" s="361"/>
      <c r="BT555" s="361"/>
      <c r="BU555" s="342" t="s">
        <v>210</v>
      </c>
      <c r="BV555" s="342" t="s">
        <v>210</v>
      </c>
      <c r="BW555" s="341" t="s">
        <v>15</v>
      </c>
      <c r="BX555" s="361"/>
      <c r="BY555" s="362"/>
      <c r="BZ555" s="363"/>
      <c r="CA555" s="363"/>
      <c r="CB555" s="363"/>
      <c r="CC555" s="363"/>
    </row>
    <row r="556" spans="2:81" ht="22.5" customHeight="1">
      <c r="B556" s="442">
        <v>150327</v>
      </c>
      <c r="C556" s="747" t="s">
        <v>2948</v>
      </c>
      <c r="D556" s="439"/>
      <c r="E556" s="404"/>
      <c r="F556" s="405" t="s">
        <v>2949</v>
      </c>
      <c r="G556" s="324" t="s">
        <v>2950</v>
      </c>
      <c r="H556" s="324" t="s">
        <v>3003</v>
      </c>
      <c r="I556" s="326" t="s">
        <v>383</v>
      </c>
      <c r="J556" s="326" t="s">
        <v>399</v>
      </c>
      <c r="K556" s="324" t="s">
        <v>977</v>
      </c>
      <c r="L556" s="342">
        <v>24</v>
      </c>
      <c r="M556" s="408"/>
      <c r="N556" s="444" t="s">
        <v>438</v>
      </c>
      <c r="O556" s="324">
        <v>30</v>
      </c>
      <c r="P556" s="327" t="s">
        <v>210</v>
      </c>
      <c r="Q556" s="369" t="s">
        <v>210</v>
      </c>
      <c r="R556" s="420" t="s">
        <v>2974</v>
      </c>
      <c r="S556" s="394" t="s">
        <v>11806</v>
      </c>
      <c r="T556" s="400"/>
      <c r="U556" s="400"/>
      <c r="V556" s="394" t="s">
        <v>11807</v>
      </c>
      <c r="W556" s="332" t="s">
        <v>1683</v>
      </c>
      <c r="X556" s="331" t="s">
        <v>11803</v>
      </c>
      <c r="Y556" s="331" t="s">
        <v>11804</v>
      </c>
      <c r="Z556" s="331" t="s">
        <v>16512</v>
      </c>
      <c r="AA556" s="331" t="s">
        <v>11805</v>
      </c>
      <c r="AB556" s="416"/>
      <c r="AC556" s="416"/>
      <c r="AD556" s="447" t="s">
        <v>3009</v>
      </c>
      <c r="AE556" s="499" t="s">
        <v>3010</v>
      </c>
      <c r="AF556" s="475">
        <v>42251</v>
      </c>
      <c r="AG556" s="748">
        <v>42293</v>
      </c>
      <c r="AH556" s="417" t="s">
        <v>210</v>
      </c>
      <c r="AI556" s="392" t="s">
        <v>210</v>
      </c>
      <c r="AJ556" s="392" t="s">
        <v>210</v>
      </c>
      <c r="AK556" s="340" t="s">
        <v>210</v>
      </c>
      <c r="AL556" s="417" t="s">
        <v>210</v>
      </c>
      <c r="AM556" s="392" t="s">
        <v>210</v>
      </c>
      <c r="AN556" s="392" t="s">
        <v>210</v>
      </c>
      <c r="AO556" s="341" t="s">
        <v>210</v>
      </c>
      <c r="AP556" s="342"/>
      <c r="AQ556" s="343"/>
      <c r="AR556" s="452">
        <v>6567</v>
      </c>
      <c r="AS556" s="324">
        <v>100</v>
      </c>
      <c r="AT556" s="432">
        <v>1.19</v>
      </c>
      <c r="AU556" s="432"/>
      <c r="AV556" s="432">
        <v>1.4</v>
      </c>
      <c r="AW556" s="490"/>
      <c r="AX556" s="410"/>
      <c r="AY556" s="413"/>
      <c r="AZ556" s="407"/>
      <c r="BA556" s="408"/>
      <c r="BB556" s="408"/>
      <c r="BC556" s="408"/>
      <c r="BD556" s="408"/>
      <c r="BE556" s="408"/>
      <c r="BF556" s="408"/>
      <c r="BG556" s="408"/>
      <c r="BH556" s="409"/>
      <c r="BI556" s="410"/>
      <c r="BJ556" s="411"/>
      <c r="BK556" s="412"/>
      <c r="BL556" s="413"/>
      <c r="BM556" s="414"/>
      <c r="BN556" s="321" t="s">
        <v>14</v>
      </c>
      <c r="BO556" s="372"/>
      <c r="BP556" s="373" t="s">
        <v>14</v>
      </c>
      <c r="BQ556" s="360"/>
      <c r="BR556" s="361"/>
      <c r="BS556" s="361"/>
      <c r="BT556" s="361"/>
      <c r="BU556" s="342" t="s">
        <v>210</v>
      </c>
      <c r="BV556" s="342" t="s">
        <v>210</v>
      </c>
      <c r="BW556" s="341" t="s">
        <v>15</v>
      </c>
      <c r="BX556" s="361"/>
      <c r="BY556" s="457"/>
      <c r="BZ556" s="363"/>
      <c r="CA556" s="363"/>
      <c r="CB556" s="363"/>
      <c r="CC556" s="363"/>
    </row>
    <row r="557" spans="2:81" ht="22.5" customHeight="1">
      <c r="B557" s="442">
        <v>150328</v>
      </c>
      <c r="C557" s="747" t="s">
        <v>13429</v>
      </c>
      <c r="D557" s="439"/>
      <c r="E557" s="404"/>
      <c r="F557" s="405" t="s">
        <v>3831</v>
      </c>
      <c r="G557" s="324" t="s">
        <v>3832</v>
      </c>
      <c r="H557" s="324" t="s">
        <v>3833</v>
      </c>
      <c r="I557" s="326" t="s">
        <v>383</v>
      </c>
      <c r="J557" s="326" t="s">
        <v>1011</v>
      </c>
      <c r="K557" s="326" t="s">
        <v>806</v>
      </c>
      <c r="L557" s="361"/>
      <c r="M557" s="408"/>
      <c r="N557" s="325" t="s">
        <v>438</v>
      </c>
      <c r="O557" s="324" t="s">
        <v>210</v>
      </c>
      <c r="P557" s="327" t="s">
        <v>210</v>
      </c>
      <c r="Q557" s="369" t="s">
        <v>210</v>
      </c>
      <c r="R557" s="399"/>
      <c r="S557" s="400"/>
      <c r="T557" s="400"/>
      <c r="U557" s="400"/>
      <c r="V557" s="400"/>
      <c r="W557" s="332" t="s">
        <v>5783</v>
      </c>
      <c r="X557" s="394" t="s">
        <v>13430</v>
      </c>
      <c r="Y557" s="394" t="s">
        <v>13431</v>
      </c>
      <c r="Z557" s="394" t="s">
        <v>13432</v>
      </c>
      <c r="AA557" s="394" t="s">
        <v>13433</v>
      </c>
      <c r="AB557" s="416"/>
      <c r="AC557" s="416"/>
      <c r="AD557" s="375"/>
      <c r="AE557" s="335" t="s">
        <v>210</v>
      </c>
      <c r="AF557" s="475">
        <v>42574</v>
      </c>
      <c r="AG557" s="748">
        <v>42613</v>
      </c>
      <c r="AH557" s="417" t="s">
        <v>210</v>
      </c>
      <c r="AI557" s="392" t="s">
        <v>210</v>
      </c>
      <c r="AJ557" s="392" t="s">
        <v>210</v>
      </c>
      <c r="AK557" s="340" t="s">
        <v>210</v>
      </c>
      <c r="AL557" s="417" t="s">
        <v>210</v>
      </c>
      <c r="AM557" s="392" t="s">
        <v>210</v>
      </c>
      <c r="AN557" s="392" t="s">
        <v>210</v>
      </c>
      <c r="AO557" s="341" t="s">
        <v>210</v>
      </c>
      <c r="AP557" s="342"/>
      <c r="AQ557" s="433" t="s">
        <v>4551</v>
      </c>
      <c r="AR557" s="452">
        <f>2379+395+136</f>
        <v>2910</v>
      </c>
      <c r="AS557" s="324">
        <v>65</v>
      </c>
      <c r="AT557" s="432">
        <v>1</v>
      </c>
      <c r="AU557" s="432"/>
      <c r="AV557" s="432">
        <v>1.5</v>
      </c>
      <c r="AW557" s="490"/>
      <c r="AX557" s="410"/>
      <c r="AY557" s="413"/>
      <c r="AZ557" s="405" t="s">
        <v>3367</v>
      </c>
      <c r="BA557" s="324" t="s">
        <v>210</v>
      </c>
      <c r="BB557" s="324" t="s">
        <v>210</v>
      </c>
      <c r="BC557" s="324" t="s">
        <v>3555</v>
      </c>
      <c r="BD557" s="324" t="s">
        <v>3556</v>
      </c>
      <c r="BE557" s="324" t="s">
        <v>3834</v>
      </c>
      <c r="BF557" s="324" t="s">
        <v>3372</v>
      </c>
      <c r="BG557" s="324" t="s">
        <v>3835</v>
      </c>
      <c r="BH557" s="426" t="s">
        <v>3512</v>
      </c>
      <c r="BI557" s="410"/>
      <c r="BJ557" s="427" t="s">
        <v>210</v>
      </c>
      <c r="BK557" s="412"/>
      <c r="BL557" s="413"/>
      <c r="BM557" s="414"/>
      <c r="BN557" s="321" t="s">
        <v>14</v>
      </c>
      <c r="BO557" s="372"/>
      <c r="BP557" s="340" t="s">
        <v>210</v>
      </c>
      <c r="BQ557" s="360"/>
      <c r="BR557" s="361"/>
      <c r="BS557" s="361"/>
      <c r="BT557" s="361"/>
      <c r="BU557" s="342" t="s">
        <v>210</v>
      </c>
      <c r="BV557" s="342" t="s">
        <v>210</v>
      </c>
      <c r="BW557" s="341" t="s">
        <v>210</v>
      </c>
      <c r="BX557" s="361"/>
      <c r="BY557" s="457"/>
      <c r="BZ557" s="363"/>
      <c r="CA557" s="363"/>
      <c r="CB557" s="363"/>
      <c r="CC557" s="363"/>
    </row>
    <row r="558" spans="2:81" ht="22.5" customHeight="1">
      <c r="B558" s="442">
        <v>150329</v>
      </c>
      <c r="C558" s="443" t="s">
        <v>2858</v>
      </c>
      <c r="D558" s="439"/>
      <c r="E558" s="404"/>
      <c r="F558" s="405" t="s">
        <v>222</v>
      </c>
      <c r="G558" s="324" t="s">
        <v>2859</v>
      </c>
      <c r="H558" s="324" t="s">
        <v>2860</v>
      </c>
      <c r="I558" s="326" t="s">
        <v>383</v>
      </c>
      <c r="J558" s="326" t="s">
        <v>399</v>
      </c>
      <c r="K558" s="326" t="s">
        <v>993</v>
      </c>
      <c r="L558" s="361"/>
      <c r="M558" s="408"/>
      <c r="N558" s="444" t="s">
        <v>437</v>
      </c>
      <c r="O558" s="458">
        <v>160</v>
      </c>
      <c r="P558" s="327" t="s">
        <v>210</v>
      </c>
      <c r="Q558" s="369" t="s">
        <v>210</v>
      </c>
      <c r="R558" s="420" t="s">
        <v>2861</v>
      </c>
      <c r="S558" s="394" t="s">
        <v>13425</v>
      </c>
      <c r="T558" s="394" t="s">
        <v>13427</v>
      </c>
      <c r="U558" s="394" t="s">
        <v>13426</v>
      </c>
      <c r="V558" s="394" t="s">
        <v>13428</v>
      </c>
      <c r="W558" s="460" t="s">
        <v>2861</v>
      </c>
      <c r="X558" s="394" t="s">
        <v>13425</v>
      </c>
      <c r="Y558" s="394" t="s">
        <v>13427</v>
      </c>
      <c r="Z558" s="394" t="s">
        <v>13426</v>
      </c>
      <c r="AA558" s="394" t="s">
        <v>13428</v>
      </c>
      <c r="AB558" s="416"/>
      <c r="AC558" s="416"/>
      <c r="AD558" s="447" t="s">
        <v>3078</v>
      </c>
      <c r="AE558" s="335" t="s">
        <v>210</v>
      </c>
      <c r="AF558" s="475">
        <v>42228</v>
      </c>
      <c r="AG558" s="748">
        <v>42319</v>
      </c>
      <c r="AH558" s="417" t="s">
        <v>210</v>
      </c>
      <c r="AI558" s="392" t="s">
        <v>210</v>
      </c>
      <c r="AJ558" s="392" t="s">
        <v>210</v>
      </c>
      <c r="AK558" s="340" t="s">
        <v>210</v>
      </c>
      <c r="AL558" s="417" t="s">
        <v>210</v>
      </c>
      <c r="AM558" s="392" t="s">
        <v>210</v>
      </c>
      <c r="AN558" s="392" t="s">
        <v>210</v>
      </c>
      <c r="AO558" s="341" t="s">
        <v>210</v>
      </c>
      <c r="AP558" s="342"/>
      <c r="AQ558" s="343"/>
      <c r="AR558" s="452">
        <v>880</v>
      </c>
      <c r="AS558" s="326">
        <v>100</v>
      </c>
      <c r="AT558" s="432">
        <v>1</v>
      </c>
      <c r="AU558" s="432"/>
      <c r="AV558" s="432">
        <v>1.5</v>
      </c>
      <c r="AW558" s="490"/>
      <c r="AX558" s="410"/>
      <c r="AY558" s="413"/>
      <c r="AZ558" s="407"/>
      <c r="BA558" s="408"/>
      <c r="BB558" s="408"/>
      <c r="BC558" s="408"/>
      <c r="BD558" s="408"/>
      <c r="BE558" s="408"/>
      <c r="BF558" s="408"/>
      <c r="BG558" s="408"/>
      <c r="BH558" s="409"/>
      <c r="BI558" s="410"/>
      <c r="BJ558" s="411"/>
      <c r="BK558" s="412"/>
      <c r="BL558" s="413"/>
      <c r="BM558" s="414"/>
      <c r="BN558" s="321" t="s">
        <v>14</v>
      </c>
      <c r="BO558" s="372"/>
      <c r="BP558" s="373" t="s">
        <v>14</v>
      </c>
      <c r="BQ558" s="360"/>
      <c r="BR558" s="361"/>
      <c r="BS558" s="361"/>
      <c r="BT558" s="361"/>
      <c r="BU558" s="342" t="s">
        <v>210</v>
      </c>
      <c r="BV558" s="342" t="s">
        <v>210</v>
      </c>
      <c r="BW558" s="341" t="s">
        <v>15</v>
      </c>
      <c r="BX558" s="361"/>
      <c r="BY558" s="457"/>
      <c r="BZ558" s="363"/>
      <c r="CA558" s="363"/>
      <c r="CB558" s="363"/>
      <c r="CC558" s="363"/>
    </row>
    <row r="559" spans="2:81" ht="22.5" customHeight="1">
      <c r="B559" s="442">
        <v>150331</v>
      </c>
      <c r="C559" s="747" t="s">
        <v>2736</v>
      </c>
      <c r="D559" s="439"/>
      <c r="E559" s="404"/>
      <c r="F559" s="405" t="s">
        <v>233</v>
      </c>
      <c r="G559" s="324" t="s">
        <v>2737</v>
      </c>
      <c r="H559" s="324" t="s">
        <v>2738</v>
      </c>
      <c r="I559" s="326" t="s">
        <v>383</v>
      </c>
      <c r="J559" s="326" t="s">
        <v>399</v>
      </c>
      <c r="K559" s="326" t="s">
        <v>917</v>
      </c>
      <c r="L559" s="361"/>
      <c r="M559" s="408"/>
      <c r="N559" s="444" t="s">
        <v>437</v>
      </c>
      <c r="O559" s="324">
        <v>30</v>
      </c>
      <c r="P559" s="458">
        <v>953.67</v>
      </c>
      <c r="Q559" s="459">
        <v>1000.74</v>
      </c>
      <c r="R559" s="420" t="s">
        <v>2739</v>
      </c>
      <c r="S559" s="394" t="s">
        <v>13422</v>
      </c>
      <c r="T559" s="394" t="s">
        <v>13424</v>
      </c>
      <c r="U559" s="394" t="s">
        <v>16253</v>
      </c>
      <c r="V559" s="394" t="s">
        <v>13423</v>
      </c>
      <c r="W559" s="460" t="s">
        <v>2739</v>
      </c>
      <c r="X559" s="394" t="s">
        <v>13422</v>
      </c>
      <c r="Y559" s="394" t="s">
        <v>13424</v>
      </c>
      <c r="Z559" s="394" t="s">
        <v>16254</v>
      </c>
      <c r="AA559" s="394" t="s">
        <v>13423</v>
      </c>
      <c r="AB559" s="416"/>
      <c r="AC559" s="416"/>
      <c r="AD559" s="447" t="s">
        <v>2896</v>
      </c>
      <c r="AE559" s="335" t="s">
        <v>210</v>
      </c>
      <c r="AF559" s="475">
        <v>42214</v>
      </c>
      <c r="AG559" s="748">
        <v>42237</v>
      </c>
      <c r="AH559" s="417" t="s">
        <v>210</v>
      </c>
      <c r="AI559" s="392" t="s">
        <v>210</v>
      </c>
      <c r="AJ559" s="392" t="s">
        <v>210</v>
      </c>
      <c r="AK559" s="340" t="s">
        <v>210</v>
      </c>
      <c r="AL559" s="417" t="s">
        <v>210</v>
      </c>
      <c r="AM559" s="392" t="s">
        <v>210</v>
      </c>
      <c r="AN559" s="392" t="s">
        <v>210</v>
      </c>
      <c r="AO559" s="341" t="s">
        <v>210</v>
      </c>
      <c r="AP559" s="342"/>
      <c r="AQ559" s="343"/>
      <c r="AR559" s="452">
        <v>1348</v>
      </c>
      <c r="AS559" s="324">
        <v>100</v>
      </c>
      <c r="AT559" s="432">
        <v>1.7</v>
      </c>
      <c r="AU559" s="432"/>
      <c r="AV559" s="432">
        <v>0.8</v>
      </c>
      <c r="AW559" s="490"/>
      <c r="AX559" s="410"/>
      <c r="AY559" s="413"/>
      <c r="AZ559" s="407"/>
      <c r="BA559" s="408"/>
      <c r="BB559" s="408"/>
      <c r="BC559" s="408"/>
      <c r="BD559" s="408"/>
      <c r="BE559" s="408"/>
      <c r="BF559" s="408"/>
      <c r="BG559" s="408"/>
      <c r="BH559" s="409"/>
      <c r="BI559" s="410"/>
      <c r="BJ559" s="411"/>
      <c r="BK559" s="412"/>
      <c r="BL559" s="413"/>
      <c r="BM559" s="414"/>
      <c r="BN559" s="321" t="s">
        <v>14</v>
      </c>
      <c r="BO559" s="372"/>
      <c r="BP559" s="340" t="s">
        <v>210</v>
      </c>
      <c r="BQ559" s="360"/>
      <c r="BR559" s="361"/>
      <c r="BS559" s="361"/>
      <c r="BT559" s="361"/>
      <c r="BU559" s="342" t="s">
        <v>210</v>
      </c>
      <c r="BV559" s="342" t="s">
        <v>210</v>
      </c>
      <c r="BW559" s="341" t="s">
        <v>15</v>
      </c>
      <c r="BX559" s="361"/>
      <c r="BY559" s="457"/>
      <c r="BZ559" s="363"/>
      <c r="CA559" s="363"/>
      <c r="CB559" s="363"/>
      <c r="CC559" s="363"/>
    </row>
    <row r="560" spans="2:81" ht="22.5" customHeight="1">
      <c r="B560" s="365">
        <v>150336</v>
      </c>
      <c r="C560" s="366" t="s">
        <v>2296</v>
      </c>
      <c r="D560" s="419"/>
      <c r="E560" s="368"/>
      <c r="F560" s="321" t="s">
        <v>249</v>
      </c>
      <c r="G560" s="326" t="s">
        <v>2283</v>
      </c>
      <c r="H560" s="326" t="s">
        <v>2284</v>
      </c>
      <c r="I560" s="326" t="s">
        <v>383</v>
      </c>
      <c r="J560" s="326" t="s">
        <v>387</v>
      </c>
      <c r="K560" s="326" t="s">
        <v>917</v>
      </c>
      <c r="L560" s="323"/>
      <c r="M560" s="324" t="s">
        <v>10767</v>
      </c>
      <c r="N560" s="325" t="s">
        <v>2285</v>
      </c>
      <c r="O560" s="326">
        <v>63</v>
      </c>
      <c r="P560" s="327">
        <v>625</v>
      </c>
      <c r="Q560" s="369">
        <v>435</v>
      </c>
      <c r="R560" s="329" t="s">
        <v>13419</v>
      </c>
      <c r="S560" s="331" t="s">
        <v>13421</v>
      </c>
      <c r="T560" s="331" t="s">
        <v>13313</v>
      </c>
      <c r="U560" s="331" t="s">
        <v>13314</v>
      </c>
      <c r="V560" s="331" t="s">
        <v>13420</v>
      </c>
      <c r="W560" s="332" t="s">
        <v>432</v>
      </c>
      <c r="X560" s="331" t="s">
        <v>11079</v>
      </c>
      <c r="Y560" s="331" t="s">
        <v>11080</v>
      </c>
      <c r="Z560" s="331" t="s">
        <v>11080</v>
      </c>
      <c r="AA560" s="331" t="s">
        <v>520</v>
      </c>
      <c r="AB560" s="333"/>
      <c r="AC560" s="333"/>
      <c r="AD560" s="334" t="s">
        <v>2327</v>
      </c>
      <c r="AE560" s="335" t="s">
        <v>2839</v>
      </c>
      <c r="AF560" s="706">
        <v>42143</v>
      </c>
      <c r="AG560" s="705">
        <v>42228</v>
      </c>
      <c r="AH560" s="417">
        <v>8.1</v>
      </c>
      <c r="AI560" s="392">
        <v>14.1</v>
      </c>
      <c r="AJ560" s="392">
        <v>16</v>
      </c>
      <c r="AK560" s="340">
        <f>AH560+AI560+AJ560</f>
        <v>38.200000000000003</v>
      </c>
      <c r="AL560" s="417" t="s">
        <v>210</v>
      </c>
      <c r="AM560" s="392" t="s">
        <v>210</v>
      </c>
      <c r="AN560" s="392" t="s">
        <v>210</v>
      </c>
      <c r="AO560" s="341" t="s">
        <v>210</v>
      </c>
      <c r="AP560" s="342"/>
      <c r="AQ560" s="343"/>
      <c r="AR560" s="370">
        <v>561</v>
      </c>
      <c r="AS560" s="326">
        <v>120</v>
      </c>
      <c r="AT560" s="392">
        <v>0.8</v>
      </c>
      <c r="AU560" s="392"/>
      <c r="AV560" s="392">
        <v>1</v>
      </c>
      <c r="AW560" s="341"/>
      <c r="AX560" s="376"/>
      <c r="AY560" s="348"/>
      <c r="AZ560" s="377"/>
      <c r="BA560" s="374"/>
      <c r="BB560" s="374"/>
      <c r="BC560" s="374"/>
      <c r="BD560" s="374"/>
      <c r="BE560" s="374"/>
      <c r="BF560" s="374"/>
      <c r="BG560" s="374"/>
      <c r="BH560" s="378"/>
      <c r="BI560" s="376"/>
      <c r="BJ560" s="379"/>
      <c r="BK560" s="412"/>
      <c r="BL560" s="413"/>
      <c r="BM560" s="414"/>
      <c r="BN560" s="321" t="s">
        <v>14</v>
      </c>
      <c r="BO560" s="372"/>
      <c r="BP560" s="340" t="s">
        <v>210</v>
      </c>
      <c r="BQ560" s="360"/>
      <c r="BR560" s="361"/>
      <c r="BS560" s="361"/>
      <c r="BT560" s="361"/>
      <c r="BU560" s="342" t="s">
        <v>210</v>
      </c>
      <c r="BV560" s="342" t="s">
        <v>210</v>
      </c>
      <c r="BW560" s="341" t="s">
        <v>15</v>
      </c>
      <c r="BX560" s="361"/>
      <c r="BY560" s="362"/>
      <c r="BZ560" s="363"/>
      <c r="CA560" s="363"/>
      <c r="CB560" s="363"/>
      <c r="CC560" s="363"/>
    </row>
    <row r="561" spans="1:82" ht="22.5" customHeight="1">
      <c r="B561" s="442">
        <v>150339</v>
      </c>
      <c r="C561" s="747" t="s">
        <v>3108</v>
      </c>
      <c r="D561" s="439"/>
      <c r="E561" s="404"/>
      <c r="F561" s="405" t="s">
        <v>1058</v>
      </c>
      <c r="G561" s="324" t="s">
        <v>3109</v>
      </c>
      <c r="H561" s="324" t="s">
        <v>3124</v>
      </c>
      <c r="I561" s="326" t="s">
        <v>383</v>
      </c>
      <c r="J561" s="324" t="s">
        <v>216</v>
      </c>
      <c r="K561" s="324" t="s">
        <v>3125</v>
      </c>
      <c r="L561" s="361"/>
      <c r="M561" s="408"/>
      <c r="N561" s="325" t="s">
        <v>438</v>
      </c>
      <c r="O561" s="324">
        <v>70</v>
      </c>
      <c r="P561" s="458">
        <v>1614.06</v>
      </c>
      <c r="Q561" s="459">
        <v>538.02</v>
      </c>
      <c r="R561" s="420" t="s">
        <v>479</v>
      </c>
      <c r="S561" s="400"/>
      <c r="T561" s="400"/>
      <c r="U561" s="400"/>
      <c r="V561" s="400"/>
      <c r="W561" s="332" t="s">
        <v>432</v>
      </c>
      <c r="X561" s="331" t="s">
        <v>11079</v>
      </c>
      <c r="Y561" s="331" t="s">
        <v>11080</v>
      </c>
      <c r="Z561" s="331" t="s">
        <v>11080</v>
      </c>
      <c r="AA561" s="331" t="s">
        <v>520</v>
      </c>
      <c r="AB561" s="416"/>
      <c r="AC561" s="416"/>
      <c r="AD561" s="375"/>
      <c r="AE561" s="335" t="s">
        <v>1038</v>
      </c>
      <c r="AF561" s="706">
        <v>42352</v>
      </c>
      <c r="AG561" s="748">
        <v>42460</v>
      </c>
      <c r="AH561" s="410"/>
      <c r="AI561" s="408"/>
      <c r="AJ561" s="500"/>
      <c r="AK561" s="492"/>
      <c r="AL561" s="417" t="s">
        <v>3126</v>
      </c>
      <c r="AM561" s="392" t="s">
        <v>210</v>
      </c>
      <c r="AN561" s="392" t="s">
        <v>210</v>
      </c>
      <c r="AO561" s="341" t="s">
        <v>210</v>
      </c>
      <c r="AP561" s="342"/>
      <c r="AQ561" s="343"/>
      <c r="AR561" s="452">
        <v>342</v>
      </c>
      <c r="AS561" s="324">
        <v>150</v>
      </c>
      <c r="AT561" s="432">
        <v>1</v>
      </c>
      <c r="AU561" s="432"/>
      <c r="AV561" s="432">
        <v>1.5</v>
      </c>
      <c r="AW561" s="490"/>
      <c r="AX561" s="410"/>
      <c r="AY561" s="413"/>
      <c r="AZ561" s="407"/>
      <c r="BA561" s="408"/>
      <c r="BB561" s="408"/>
      <c r="BC561" s="408"/>
      <c r="BD561" s="408"/>
      <c r="BE561" s="408"/>
      <c r="BF561" s="408"/>
      <c r="BG561" s="408"/>
      <c r="BH561" s="409"/>
      <c r="BI561" s="410"/>
      <c r="BJ561" s="411"/>
      <c r="BK561" s="412"/>
      <c r="BL561" s="413"/>
      <c r="BM561" s="414"/>
      <c r="BN561" s="410"/>
      <c r="BO561" s="502"/>
      <c r="BP561" s="492"/>
      <c r="BQ561" s="360"/>
      <c r="BR561" s="361"/>
      <c r="BS561" s="361"/>
      <c r="BT561" s="361"/>
      <c r="BU561" s="342" t="s">
        <v>210</v>
      </c>
      <c r="BV561" s="342" t="s">
        <v>210</v>
      </c>
      <c r="BW561" s="490" t="s">
        <v>622</v>
      </c>
      <c r="BX561" s="361"/>
      <c r="BY561" s="457"/>
      <c r="BZ561" s="363"/>
      <c r="CA561" s="363"/>
      <c r="CB561" s="363"/>
      <c r="CC561" s="363"/>
    </row>
    <row r="562" spans="1:82" ht="22.5" customHeight="1">
      <c r="B562" s="442">
        <v>150344</v>
      </c>
      <c r="C562" s="747" t="s">
        <v>13414</v>
      </c>
      <c r="D562" s="439"/>
      <c r="E562" s="404"/>
      <c r="F562" s="405" t="s">
        <v>266</v>
      </c>
      <c r="G562" s="324" t="s">
        <v>3477</v>
      </c>
      <c r="H562" s="324" t="s">
        <v>3478</v>
      </c>
      <c r="I562" s="326" t="s">
        <v>383</v>
      </c>
      <c r="J562" s="324" t="s">
        <v>216</v>
      </c>
      <c r="K562" s="324" t="s">
        <v>977</v>
      </c>
      <c r="L562" s="361"/>
      <c r="M562" s="408"/>
      <c r="N562" s="324" t="s">
        <v>210</v>
      </c>
      <c r="O562" s="324" t="s">
        <v>210</v>
      </c>
      <c r="P562" s="327" t="s">
        <v>210</v>
      </c>
      <c r="Q562" s="369" t="s">
        <v>210</v>
      </c>
      <c r="R562" s="329" t="s">
        <v>513</v>
      </c>
      <c r="S562" s="330"/>
      <c r="T562" s="330"/>
      <c r="U562" s="330"/>
      <c r="V562" s="330"/>
      <c r="W562" s="332" t="s">
        <v>513</v>
      </c>
      <c r="X562" s="331" t="s">
        <v>13415</v>
      </c>
      <c r="Y562" s="331" t="s">
        <v>13417</v>
      </c>
      <c r="Z562" s="331" t="s">
        <v>13416</v>
      </c>
      <c r="AA562" s="331" t="s">
        <v>13418</v>
      </c>
      <c r="AB562" s="416"/>
      <c r="AC562" s="416"/>
      <c r="AD562" s="375"/>
      <c r="AE562" s="391"/>
      <c r="AF562" s="475">
        <v>42444</v>
      </c>
      <c r="AG562" s="476"/>
      <c r="AH562" s="417" t="s">
        <v>210</v>
      </c>
      <c r="AI562" s="392" t="s">
        <v>210</v>
      </c>
      <c r="AJ562" s="392" t="s">
        <v>210</v>
      </c>
      <c r="AK562" s="340" t="s">
        <v>210</v>
      </c>
      <c r="AL562" s="417" t="s">
        <v>210</v>
      </c>
      <c r="AM562" s="392" t="s">
        <v>210</v>
      </c>
      <c r="AN562" s="392" t="s">
        <v>210</v>
      </c>
      <c r="AO562" s="341" t="s">
        <v>210</v>
      </c>
      <c r="AP562" s="342"/>
      <c r="AQ562" s="343"/>
      <c r="AR562" s="452">
        <v>392</v>
      </c>
      <c r="AS562" s="324">
        <v>50</v>
      </c>
      <c r="AT562" s="432">
        <v>1.2</v>
      </c>
      <c r="AU562" s="432"/>
      <c r="AV562" s="432">
        <v>1.2</v>
      </c>
      <c r="AW562" s="490"/>
      <c r="AX562" s="410"/>
      <c r="AY562" s="413"/>
      <c r="AZ562" s="405" t="s">
        <v>622</v>
      </c>
      <c r="BA562" s="324" t="s">
        <v>3458</v>
      </c>
      <c r="BB562" s="324" t="s">
        <v>3474</v>
      </c>
      <c r="BC562" s="324" t="s">
        <v>3475</v>
      </c>
      <c r="BD562" s="324" t="s">
        <v>3474</v>
      </c>
      <c r="BE562" s="324" t="s">
        <v>3458</v>
      </c>
      <c r="BF562" s="324" t="s">
        <v>3474</v>
      </c>
      <c r="BG562" s="324" t="s">
        <v>3476</v>
      </c>
      <c r="BH562" s="426" t="s">
        <v>3474</v>
      </c>
      <c r="BI562" s="410"/>
      <c r="BJ562" s="427" t="s">
        <v>210</v>
      </c>
      <c r="BK562" s="412"/>
      <c r="BL562" s="413"/>
      <c r="BM562" s="414"/>
      <c r="BN562" s="321" t="s">
        <v>14</v>
      </c>
      <c r="BO562" s="372"/>
      <c r="BP562" s="373" t="s">
        <v>14</v>
      </c>
      <c r="BQ562" s="360"/>
      <c r="BR562" s="361"/>
      <c r="BS562" s="361"/>
      <c r="BT562" s="361"/>
      <c r="BU562" s="342" t="s">
        <v>210</v>
      </c>
      <c r="BV562" s="342" t="s">
        <v>210</v>
      </c>
      <c r="BW562" s="341" t="s">
        <v>15</v>
      </c>
      <c r="BX562" s="361"/>
      <c r="BY562" s="457"/>
      <c r="BZ562" s="363"/>
      <c r="CA562" s="363"/>
      <c r="CB562" s="363"/>
      <c r="CC562" s="363"/>
    </row>
    <row r="563" spans="1:82" ht="22.5" customHeight="1">
      <c r="B563" s="442">
        <v>150357</v>
      </c>
      <c r="C563" s="747" t="s">
        <v>3020</v>
      </c>
      <c r="D563" s="439"/>
      <c r="E563" s="404"/>
      <c r="F563" s="405" t="s">
        <v>3050</v>
      </c>
      <c r="G563" s="324" t="s">
        <v>2101</v>
      </c>
      <c r="H563" s="324" t="s">
        <v>3051</v>
      </c>
      <c r="I563" s="324" t="s">
        <v>1066</v>
      </c>
      <c r="J563" s="324" t="s">
        <v>216</v>
      </c>
      <c r="K563" s="326" t="s">
        <v>203</v>
      </c>
      <c r="L563" s="323"/>
      <c r="M563" s="408"/>
      <c r="N563" s="444" t="s">
        <v>3052</v>
      </c>
      <c r="O563" s="324">
        <v>10</v>
      </c>
      <c r="P563" s="458">
        <v>701</v>
      </c>
      <c r="Q563" s="459">
        <v>302</v>
      </c>
      <c r="R563" s="420" t="s">
        <v>5422</v>
      </c>
      <c r="S563" s="394" t="s">
        <v>12589</v>
      </c>
      <c r="T563" s="394" t="s">
        <v>12591</v>
      </c>
      <c r="U563" s="394" t="s">
        <v>12590</v>
      </c>
      <c r="V563" s="394" t="s">
        <v>12592</v>
      </c>
      <c r="W563" s="332" t="s">
        <v>432</v>
      </c>
      <c r="X563" s="331" t="s">
        <v>11079</v>
      </c>
      <c r="Y563" s="331" t="s">
        <v>11080</v>
      </c>
      <c r="Z563" s="331" t="s">
        <v>11080</v>
      </c>
      <c r="AA563" s="331" t="s">
        <v>210</v>
      </c>
      <c r="AB563" s="416"/>
      <c r="AC563" s="416"/>
      <c r="AD563" s="334" t="s">
        <v>2328</v>
      </c>
      <c r="AE563" s="499" t="s">
        <v>946</v>
      </c>
      <c r="AF563" s="475">
        <v>42275</v>
      </c>
      <c r="AG563" s="748">
        <v>42391</v>
      </c>
      <c r="AH563" s="417" t="s">
        <v>210</v>
      </c>
      <c r="AI563" s="392" t="s">
        <v>210</v>
      </c>
      <c r="AJ563" s="392" t="s">
        <v>210</v>
      </c>
      <c r="AK563" s="340" t="s">
        <v>210</v>
      </c>
      <c r="AL563" s="417" t="s">
        <v>210</v>
      </c>
      <c r="AM563" s="392" t="s">
        <v>210</v>
      </c>
      <c r="AN563" s="392" t="s">
        <v>210</v>
      </c>
      <c r="AO563" s="341" t="s">
        <v>210</v>
      </c>
      <c r="AP563" s="342"/>
      <c r="AQ563" s="343"/>
      <c r="AR563" s="452">
        <v>344</v>
      </c>
      <c r="AS563" s="324">
        <v>100</v>
      </c>
      <c r="AT563" s="432">
        <v>1.3</v>
      </c>
      <c r="AU563" s="432"/>
      <c r="AV563" s="432">
        <v>0.8</v>
      </c>
      <c r="AW563" s="490"/>
      <c r="AX563" s="376"/>
      <c r="AY563" s="348"/>
      <c r="AZ563" s="407"/>
      <c r="BA563" s="408"/>
      <c r="BB563" s="408"/>
      <c r="BC563" s="408"/>
      <c r="BD563" s="408"/>
      <c r="BE563" s="408"/>
      <c r="BF563" s="408"/>
      <c r="BG563" s="408"/>
      <c r="BH563" s="409"/>
      <c r="BI563" s="410"/>
      <c r="BJ563" s="411"/>
      <c r="BK563" s="412"/>
      <c r="BL563" s="413"/>
      <c r="BM563" s="414"/>
      <c r="BN563" s="417" t="s">
        <v>210</v>
      </c>
      <c r="BO563" s="372"/>
      <c r="BP563" s="340" t="s">
        <v>210</v>
      </c>
      <c r="BQ563" s="360"/>
      <c r="BR563" s="361"/>
      <c r="BS563" s="361"/>
      <c r="BT563" s="361"/>
      <c r="BU563" s="342" t="s">
        <v>210</v>
      </c>
      <c r="BV563" s="342" t="s">
        <v>210</v>
      </c>
      <c r="BW563" s="341" t="s">
        <v>15</v>
      </c>
      <c r="BX563" s="361"/>
      <c r="BY563" s="457"/>
      <c r="BZ563" s="363"/>
      <c r="CA563" s="363"/>
      <c r="CB563" s="363"/>
      <c r="CC563" s="363"/>
    </row>
    <row r="564" spans="1:82" ht="22.5" customHeight="1">
      <c r="B564" s="442">
        <v>150360</v>
      </c>
      <c r="C564" s="747" t="s">
        <v>2726</v>
      </c>
      <c r="D564" s="439"/>
      <c r="E564" s="404"/>
      <c r="F564" s="405" t="s">
        <v>2727</v>
      </c>
      <c r="G564" s="324" t="s">
        <v>2728</v>
      </c>
      <c r="H564" s="324" t="s">
        <v>2729</v>
      </c>
      <c r="I564" s="326" t="s">
        <v>383</v>
      </c>
      <c r="J564" s="326" t="s">
        <v>399</v>
      </c>
      <c r="K564" s="326" t="s">
        <v>917</v>
      </c>
      <c r="L564" s="323"/>
      <c r="M564" s="324" t="s">
        <v>10767</v>
      </c>
      <c r="N564" s="444" t="s">
        <v>2730</v>
      </c>
      <c r="O564" s="324">
        <v>30</v>
      </c>
      <c r="P564" s="458">
        <v>1604.4</v>
      </c>
      <c r="Q564" s="459">
        <v>1695.31</v>
      </c>
      <c r="R564" s="329" t="s">
        <v>465</v>
      </c>
      <c r="S564" s="331" t="s">
        <v>13401</v>
      </c>
      <c r="T564" s="394" t="s">
        <v>11825</v>
      </c>
      <c r="U564" s="394" t="s">
        <v>16218</v>
      </c>
      <c r="V564" s="394" t="s">
        <v>11826</v>
      </c>
      <c r="W564" s="332" t="s">
        <v>13403</v>
      </c>
      <c r="X564" s="394" t="s">
        <v>11315</v>
      </c>
      <c r="Y564" s="394" t="s">
        <v>11316</v>
      </c>
      <c r="Z564" s="400"/>
      <c r="AA564" s="394" t="s">
        <v>11317</v>
      </c>
      <c r="AB564" s="416"/>
      <c r="AC564" s="416"/>
      <c r="AD564" s="334" t="s">
        <v>2329</v>
      </c>
      <c r="AE564" s="335" t="s">
        <v>210</v>
      </c>
      <c r="AF564" s="475">
        <v>42210</v>
      </c>
      <c r="AG564" s="748">
        <v>42272</v>
      </c>
      <c r="AH564" s="417" t="s">
        <v>210</v>
      </c>
      <c r="AI564" s="392" t="s">
        <v>2838</v>
      </c>
      <c r="AJ564" s="392" t="s">
        <v>210</v>
      </c>
      <c r="AK564" s="340" t="s">
        <v>210</v>
      </c>
      <c r="AL564" s="417" t="s">
        <v>210</v>
      </c>
      <c r="AM564" s="392" t="s">
        <v>210</v>
      </c>
      <c r="AN564" s="392" t="s">
        <v>210</v>
      </c>
      <c r="AO564" s="341" t="s">
        <v>210</v>
      </c>
      <c r="AP564" s="342"/>
      <c r="AQ564" s="343"/>
      <c r="AR564" s="452">
        <v>2149</v>
      </c>
      <c r="AS564" s="324">
        <v>100</v>
      </c>
      <c r="AT564" s="432">
        <v>1</v>
      </c>
      <c r="AU564" s="432"/>
      <c r="AV564" s="432">
        <v>1</v>
      </c>
      <c r="AW564" s="490"/>
      <c r="AX564" s="376"/>
      <c r="AY564" s="348"/>
      <c r="AZ564" s="407"/>
      <c r="BA564" s="408"/>
      <c r="BB564" s="408"/>
      <c r="BC564" s="408"/>
      <c r="BD564" s="408"/>
      <c r="BE564" s="408"/>
      <c r="BF564" s="408"/>
      <c r="BG564" s="408"/>
      <c r="BH564" s="409"/>
      <c r="BI564" s="410"/>
      <c r="BJ564" s="411"/>
      <c r="BK564" s="412"/>
      <c r="BL564" s="413"/>
      <c r="BM564" s="414"/>
      <c r="BN564" s="321" t="s">
        <v>14</v>
      </c>
      <c r="BO564" s="372"/>
      <c r="BP564" s="340" t="s">
        <v>210</v>
      </c>
      <c r="BQ564" s="360"/>
      <c r="BR564" s="361"/>
      <c r="BS564" s="361"/>
      <c r="BT564" s="361"/>
      <c r="BU564" s="342" t="s">
        <v>210</v>
      </c>
      <c r="BV564" s="342" t="s">
        <v>210</v>
      </c>
      <c r="BW564" s="341" t="s">
        <v>15</v>
      </c>
      <c r="BX564" s="361"/>
      <c r="BY564" s="457"/>
      <c r="BZ564" s="363"/>
      <c r="CA564" s="363"/>
      <c r="CB564" s="363"/>
      <c r="CC564" s="363"/>
    </row>
    <row r="565" spans="1:82" ht="22.5" customHeight="1">
      <c r="B565" s="442">
        <v>150364</v>
      </c>
      <c r="C565" s="747" t="s">
        <v>2932</v>
      </c>
      <c r="D565" s="439"/>
      <c r="E565" s="404"/>
      <c r="F565" s="405" t="s">
        <v>839</v>
      </c>
      <c r="G565" s="324" t="s">
        <v>2933</v>
      </c>
      <c r="H565" s="324" t="s">
        <v>2934</v>
      </c>
      <c r="I565" s="326" t="s">
        <v>383</v>
      </c>
      <c r="J565" s="326" t="s">
        <v>399</v>
      </c>
      <c r="K565" s="326" t="s">
        <v>917</v>
      </c>
      <c r="L565" s="361"/>
      <c r="M565" s="408"/>
      <c r="N565" s="325" t="s">
        <v>437</v>
      </c>
      <c r="O565" s="324">
        <v>30</v>
      </c>
      <c r="P565" s="327" t="s">
        <v>210</v>
      </c>
      <c r="Q565" s="369" t="s">
        <v>210</v>
      </c>
      <c r="R565" s="329" t="s">
        <v>13402</v>
      </c>
      <c r="S565" s="330"/>
      <c r="T565" s="330"/>
      <c r="U565" s="330"/>
      <c r="V565" s="330"/>
      <c r="W565" s="332" t="s">
        <v>445</v>
      </c>
      <c r="X565" s="331" t="s">
        <v>13397</v>
      </c>
      <c r="Y565" s="331" t="s">
        <v>13398</v>
      </c>
      <c r="Z565" s="331" t="s">
        <v>16487</v>
      </c>
      <c r="AA565" s="331" t="s">
        <v>13400</v>
      </c>
      <c r="AB565" s="416"/>
      <c r="AC565" s="416"/>
      <c r="AD565" s="447" t="s">
        <v>3006</v>
      </c>
      <c r="AE565" s="335" t="s">
        <v>210</v>
      </c>
      <c r="AF565" s="475">
        <v>42236</v>
      </c>
      <c r="AG565" s="748">
        <v>42279</v>
      </c>
      <c r="AH565" s="417" t="s">
        <v>210</v>
      </c>
      <c r="AI565" s="392" t="s">
        <v>210</v>
      </c>
      <c r="AJ565" s="392" t="s">
        <v>210</v>
      </c>
      <c r="AK565" s="340" t="s">
        <v>210</v>
      </c>
      <c r="AL565" s="417" t="s">
        <v>210</v>
      </c>
      <c r="AM565" s="392" t="s">
        <v>210</v>
      </c>
      <c r="AN565" s="392" t="s">
        <v>210</v>
      </c>
      <c r="AO565" s="341" t="s">
        <v>210</v>
      </c>
      <c r="AP565" s="342"/>
      <c r="AQ565" s="343"/>
      <c r="AR565" s="452">
        <v>1029</v>
      </c>
      <c r="AS565" s="324">
        <v>100</v>
      </c>
      <c r="AT565" s="432">
        <v>0.8</v>
      </c>
      <c r="AU565" s="432"/>
      <c r="AV565" s="432">
        <v>1.5</v>
      </c>
      <c r="AW565" s="490"/>
      <c r="AX565" s="410"/>
      <c r="AY565" s="413"/>
      <c r="AZ565" s="407"/>
      <c r="BA565" s="408"/>
      <c r="BB565" s="408"/>
      <c r="BC565" s="408"/>
      <c r="BD565" s="408"/>
      <c r="BE565" s="408"/>
      <c r="BF565" s="408"/>
      <c r="BG565" s="408"/>
      <c r="BH565" s="409"/>
      <c r="BI565" s="410"/>
      <c r="BJ565" s="411"/>
      <c r="BK565" s="412"/>
      <c r="BL565" s="413"/>
      <c r="BM565" s="414"/>
      <c r="BN565" s="321" t="s">
        <v>14</v>
      </c>
      <c r="BO565" s="372"/>
      <c r="BP565" s="373" t="s">
        <v>14</v>
      </c>
      <c r="BQ565" s="360"/>
      <c r="BR565" s="361"/>
      <c r="BS565" s="361"/>
      <c r="BT565" s="361"/>
      <c r="BU565" s="342" t="s">
        <v>210</v>
      </c>
      <c r="BV565" s="342" t="s">
        <v>210</v>
      </c>
      <c r="BW565" s="341" t="s">
        <v>15</v>
      </c>
      <c r="BX565" s="361"/>
      <c r="BY565" s="457"/>
      <c r="BZ565" s="363"/>
      <c r="CA565" s="363"/>
      <c r="CB565" s="363"/>
      <c r="CC565" s="363"/>
    </row>
    <row r="566" spans="1:82" s="814" customFormat="1" ht="22.5" customHeight="1">
      <c r="A566" s="287"/>
      <c r="B566" s="788">
        <v>150366</v>
      </c>
      <c r="C566" s="789" t="s">
        <v>2286</v>
      </c>
      <c r="D566" s="790"/>
      <c r="E566" s="791"/>
      <c r="F566" s="792" t="s">
        <v>227</v>
      </c>
      <c r="G566" s="793" t="s">
        <v>2350</v>
      </c>
      <c r="H566" s="793" t="s">
        <v>2351</v>
      </c>
      <c r="I566" s="716" t="s">
        <v>383</v>
      </c>
      <c r="J566" s="716" t="s">
        <v>387</v>
      </c>
      <c r="K566" s="793" t="s">
        <v>2349</v>
      </c>
      <c r="L566" s="742"/>
      <c r="M566" s="793"/>
      <c r="N566" s="718" t="s">
        <v>438</v>
      </c>
      <c r="O566" s="793">
        <v>35</v>
      </c>
      <c r="P566" s="719">
        <v>6226.98</v>
      </c>
      <c r="Q566" s="720">
        <v>3235.02</v>
      </c>
      <c r="R566" s="721" t="s">
        <v>465</v>
      </c>
      <c r="S566" s="722" t="s">
        <v>13364</v>
      </c>
      <c r="T566" s="708" t="s">
        <v>11825</v>
      </c>
      <c r="U566" s="708" t="s">
        <v>16218</v>
      </c>
      <c r="V566" s="708" t="s">
        <v>11826</v>
      </c>
      <c r="W566" s="723" t="s">
        <v>465</v>
      </c>
      <c r="X566" s="722" t="s">
        <v>13364</v>
      </c>
      <c r="Y566" s="708" t="s">
        <v>11825</v>
      </c>
      <c r="Z566" s="708" t="s">
        <v>16218</v>
      </c>
      <c r="AA566" s="708" t="s">
        <v>11826</v>
      </c>
      <c r="AB566" s="798"/>
      <c r="AC566" s="798"/>
      <c r="AD566" s="799"/>
      <c r="AE566" s="800"/>
      <c r="AF566" s="775">
        <v>42132</v>
      </c>
      <c r="AG566" s="728">
        <v>42262</v>
      </c>
      <c r="AH566" s="729" t="s">
        <v>210</v>
      </c>
      <c r="AI566" s="730" t="s">
        <v>210</v>
      </c>
      <c r="AJ566" s="730" t="s">
        <v>210</v>
      </c>
      <c r="AK566" s="731" t="s">
        <v>210</v>
      </c>
      <c r="AL566" s="729" t="s">
        <v>210</v>
      </c>
      <c r="AM566" s="730" t="s">
        <v>210</v>
      </c>
      <c r="AN566" s="730" t="s">
        <v>210</v>
      </c>
      <c r="AO566" s="732" t="s">
        <v>210</v>
      </c>
      <c r="AP566" s="717"/>
      <c r="AQ566" s="733"/>
      <c r="AR566" s="802">
        <v>3581</v>
      </c>
      <c r="AS566" s="716">
        <v>100</v>
      </c>
      <c r="AT566" s="803">
        <v>1</v>
      </c>
      <c r="AU566" s="803"/>
      <c r="AV566" s="803">
        <v>1.5</v>
      </c>
      <c r="AW566" s="804"/>
      <c r="AX566" s="805"/>
      <c r="AY566" s="806"/>
      <c r="AZ566" s="792"/>
      <c r="BA566" s="793"/>
      <c r="BB566" s="793"/>
      <c r="BC566" s="793"/>
      <c r="BD566" s="793"/>
      <c r="BE566" s="793"/>
      <c r="BF566" s="793"/>
      <c r="BG566" s="793"/>
      <c r="BH566" s="807"/>
      <c r="BI566" s="792"/>
      <c r="BJ566" s="808"/>
      <c r="BK566" s="809"/>
      <c r="BL566" s="806"/>
      <c r="BM566" s="810"/>
      <c r="BN566" s="729" t="s">
        <v>210</v>
      </c>
      <c r="BO566" s="740"/>
      <c r="BP566" s="731" t="s">
        <v>210</v>
      </c>
      <c r="BQ566" s="741"/>
      <c r="BR566" s="742"/>
      <c r="BS566" s="742"/>
      <c r="BT566" s="742"/>
      <c r="BU566" s="717" t="s">
        <v>5510</v>
      </c>
      <c r="BV566" s="717" t="s">
        <v>5510</v>
      </c>
      <c r="BW566" s="732" t="s">
        <v>15</v>
      </c>
      <c r="BX566" s="361"/>
      <c r="BY566" s="811"/>
      <c r="BZ566" s="744"/>
      <c r="CA566" s="744"/>
      <c r="CB566" s="744"/>
      <c r="CC566" s="744"/>
      <c r="CD566" s="293"/>
    </row>
    <row r="567" spans="1:82" ht="22.5" customHeight="1">
      <c r="B567" s="442">
        <v>150372</v>
      </c>
      <c r="C567" s="747" t="s">
        <v>2973</v>
      </c>
      <c r="D567" s="439"/>
      <c r="E567" s="404"/>
      <c r="F567" s="405" t="s">
        <v>243</v>
      </c>
      <c r="G567" s="324" t="s">
        <v>3053</v>
      </c>
      <c r="H567" s="324" t="s">
        <v>3054</v>
      </c>
      <c r="I567" s="326" t="s">
        <v>383</v>
      </c>
      <c r="J567" s="326" t="s">
        <v>399</v>
      </c>
      <c r="K567" s="326" t="s">
        <v>917</v>
      </c>
      <c r="L567" s="361"/>
      <c r="M567" s="408"/>
      <c r="N567" s="444" t="s">
        <v>438</v>
      </c>
      <c r="O567" s="324" t="s">
        <v>3204</v>
      </c>
      <c r="P567" s="327" t="s">
        <v>210</v>
      </c>
      <c r="Q567" s="369" t="s">
        <v>210</v>
      </c>
      <c r="R567" s="420" t="s">
        <v>3015</v>
      </c>
      <c r="S567" s="394" t="s">
        <v>13357</v>
      </c>
      <c r="T567" s="394" t="s">
        <v>13358</v>
      </c>
      <c r="U567" s="394" t="s">
        <v>16341</v>
      </c>
      <c r="V567" s="394" t="s">
        <v>13359</v>
      </c>
      <c r="W567" s="460" t="s">
        <v>2977</v>
      </c>
      <c r="X567" s="394" t="s">
        <v>13360</v>
      </c>
      <c r="Y567" s="394" t="s">
        <v>13361</v>
      </c>
      <c r="Z567" s="394" t="s">
        <v>13362</v>
      </c>
      <c r="AA567" s="394" t="s">
        <v>13363</v>
      </c>
      <c r="AB567" s="416"/>
      <c r="AC567" s="416"/>
      <c r="AD567" s="447" t="s">
        <v>3070</v>
      </c>
      <c r="AE567" s="815"/>
      <c r="AF567" s="475">
        <v>42264</v>
      </c>
      <c r="AG567" s="748">
        <v>42346</v>
      </c>
      <c r="AH567" s="417" t="s">
        <v>210</v>
      </c>
      <c r="AI567" s="392" t="s">
        <v>210</v>
      </c>
      <c r="AJ567" s="392" t="s">
        <v>210</v>
      </c>
      <c r="AK567" s="340" t="s">
        <v>210</v>
      </c>
      <c r="AL567" s="417" t="s">
        <v>210</v>
      </c>
      <c r="AM567" s="392" t="s">
        <v>210</v>
      </c>
      <c r="AN567" s="392" t="s">
        <v>210</v>
      </c>
      <c r="AO567" s="341" t="s">
        <v>210</v>
      </c>
      <c r="AP567" s="342"/>
      <c r="AQ567" s="343"/>
      <c r="AR567" s="452">
        <v>4183</v>
      </c>
      <c r="AS567" s="324">
        <v>150</v>
      </c>
      <c r="AT567" s="432">
        <v>1</v>
      </c>
      <c r="AU567" s="432"/>
      <c r="AV567" s="432">
        <v>1.5</v>
      </c>
      <c r="AW567" s="490"/>
      <c r="AX567" s="410"/>
      <c r="AY567" s="413"/>
      <c r="AZ567" s="407"/>
      <c r="BA567" s="408"/>
      <c r="BB567" s="408"/>
      <c r="BC567" s="408"/>
      <c r="BD567" s="408"/>
      <c r="BE567" s="408"/>
      <c r="BF567" s="408"/>
      <c r="BG567" s="408"/>
      <c r="BH567" s="409"/>
      <c r="BI567" s="407"/>
      <c r="BJ567" s="411"/>
      <c r="BK567" s="412"/>
      <c r="BL567" s="413"/>
      <c r="BM567" s="414"/>
      <c r="BN567" s="321" t="s">
        <v>14</v>
      </c>
      <c r="BO567" s="372">
        <v>1.4</v>
      </c>
      <c r="BP567" s="373" t="s">
        <v>14</v>
      </c>
      <c r="BQ567" s="360"/>
      <c r="BR567" s="361"/>
      <c r="BS567" s="361"/>
      <c r="BT567" s="361"/>
      <c r="BU567" s="342" t="s">
        <v>210</v>
      </c>
      <c r="BV567" s="342" t="s">
        <v>210</v>
      </c>
      <c r="BW567" s="341" t="s">
        <v>15</v>
      </c>
      <c r="BX567" s="361"/>
      <c r="BY567" s="457"/>
      <c r="BZ567" s="363"/>
      <c r="CA567" s="363"/>
      <c r="CB567" s="363"/>
      <c r="CC567" s="363"/>
    </row>
    <row r="568" spans="1:82" s="465" customFormat="1" ht="22.5" customHeight="1">
      <c r="A568" s="287"/>
      <c r="B568" s="749">
        <v>150380</v>
      </c>
      <c r="C568" s="750" t="s">
        <v>2908</v>
      </c>
      <c r="D568" s="751"/>
      <c r="E568" s="752"/>
      <c r="F568" s="753" t="s">
        <v>759</v>
      </c>
      <c r="G568" s="754" t="s">
        <v>3055</v>
      </c>
      <c r="H568" s="754" t="s">
        <v>3056</v>
      </c>
      <c r="I568" s="662" t="s">
        <v>383</v>
      </c>
      <c r="J568" s="662" t="s">
        <v>387</v>
      </c>
      <c r="K568" s="662" t="s">
        <v>247</v>
      </c>
      <c r="L568" s="663"/>
      <c r="M568" s="754"/>
      <c r="N568" s="755"/>
      <c r="O568" s="754"/>
      <c r="P568" s="665">
        <v>1119.76</v>
      </c>
      <c r="Q568" s="666">
        <v>900.41</v>
      </c>
      <c r="R568" s="667" t="s">
        <v>2907</v>
      </c>
      <c r="S568" s="668" t="s">
        <v>13355</v>
      </c>
      <c r="T568" s="668" t="s">
        <v>13356</v>
      </c>
      <c r="U568" s="668"/>
      <c r="V568" s="668" t="s">
        <v>13354</v>
      </c>
      <c r="W568" s="669" t="s">
        <v>4349</v>
      </c>
      <c r="X568" s="708" t="s">
        <v>11548</v>
      </c>
      <c r="Y568" s="708" t="s">
        <v>11549</v>
      </c>
      <c r="Z568" s="708" t="s">
        <v>16494</v>
      </c>
      <c r="AA568" s="708" t="s">
        <v>11550</v>
      </c>
      <c r="AB568" s="758"/>
      <c r="AC568" s="758"/>
      <c r="AD568" s="671" t="s">
        <v>2322</v>
      </c>
      <c r="AE568" s="760"/>
      <c r="AF568" s="761">
        <v>42236</v>
      </c>
      <c r="AG568" s="674" t="s">
        <v>10514</v>
      </c>
      <c r="AH568" s="675" t="s">
        <v>210</v>
      </c>
      <c r="AI568" s="676" t="s">
        <v>210</v>
      </c>
      <c r="AJ568" s="676" t="s">
        <v>210</v>
      </c>
      <c r="AK568" s="677" t="s">
        <v>210</v>
      </c>
      <c r="AL568" s="675" t="s">
        <v>210</v>
      </c>
      <c r="AM568" s="676" t="s">
        <v>210</v>
      </c>
      <c r="AN568" s="676" t="s">
        <v>210</v>
      </c>
      <c r="AO568" s="678" t="s">
        <v>210</v>
      </c>
      <c r="AP568" s="663"/>
      <c r="AQ568" s="679"/>
      <c r="AR568" s="763">
        <v>1583</v>
      </c>
      <c r="AS568" s="754">
        <v>80</v>
      </c>
      <c r="AT568" s="785">
        <v>1</v>
      </c>
      <c r="AU568" s="785"/>
      <c r="AV568" s="785">
        <v>1.5</v>
      </c>
      <c r="AW568" s="764"/>
      <c r="AX568" s="675"/>
      <c r="AY568" s="681"/>
      <c r="AZ568" s="753"/>
      <c r="BA568" s="754"/>
      <c r="BB568" s="754"/>
      <c r="BC568" s="754"/>
      <c r="BD568" s="754"/>
      <c r="BE568" s="754"/>
      <c r="BF568" s="754"/>
      <c r="BG568" s="754"/>
      <c r="BH568" s="767"/>
      <c r="BI568" s="753"/>
      <c r="BJ568" s="768"/>
      <c r="BK568" s="769"/>
      <c r="BL568" s="766"/>
      <c r="BM568" s="770"/>
      <c r="BN568" s="675" t="s">
        <v>210</v>
      </c>
      <c r="BO568" s="686"/>
      <c r="BP568" s="677" t="s">
        <v>210</v>
      </c>
      <c r="BQ568" s="687"/>
      <c r="BR568" s="663"/>
      <c r="BS568" s="663"/>
      <c r="BT568" s="663"/>
      <c r="BU568" s="663" t="s">
        <v>5510</v>
      </c>
      <c r="BV568" s="663" t="s">
        <v>5510</v>
      </c>
      <c r="BW568" s="678" t="s">
        <v>15</v>
      </c>
      <c r="BX568" s="688"/>
      <c r="BY568" s="774"/>
      <c r="BZ568" s="483"/>
      <c r="CA568" s="483"/>
      <c r="CB568" s="483"/>
      <c r="CC568" s="483"/>
      <c r="CD568" s="484"/>
    </row>
    <row r="569" spans="1:82" ht="22.5" customHeight="1">
      <c r="B569" s="442">
        <v>150386</v>
      </c>
      <c r="C569" s="747" t="s">
        <v>3038</v>
      </c>
      <c r="D569" s="439"/>
      <c r="E569" s="404"/>
      <c r="F569" s="405" t="s">
        <v>3039</v>
      </c>
      <c r="G569" s="324" t="s">
        <v>3040</v>
      </c>
      <c r="H569" s="324" t="s">
        <v>3041</v>
      </c>
      <c r="I569" s="326" t="s">
        <v>383</v>
      </c>
      <c r="J569" s="326" t="s">
        <v>399</v>
      </c>
      <c r="K569" s="326" t="s">
        <v>917</v>
      </c>
      <c r="L569" s="361"/>
      <c r="M569" s="408"/>
      <c r="N569" s="444" t="s">
        <v>438</v>
      </c>
      <c r="O569" s="324">
        <v>40</v>
      </c>
      <c r="P569" s="327" t="s">
        <v>210</v>
      </c>
      <c r="Q569" s="369" t="s">
        <v>210</v>
      </c>
      <c r="R569" s="420" t="s">
        <v>3827</v>
      </c>
      <c r="S569" s="330"/>
      <c r="T569" s="330"/>
      <c r="U569" s="330"/>
      <c r="V569" s="330"/>
      <c r="W569" s="332" t="s">
        <v>432</v>
      </c>
      <c r="X569" s="331" t="s">
        <v>11079</v>
      </c>
      <c r="Y569" s="331" t="s">
        <v>11080</v>
      </c>
      <c r="Z569" s="331" t="s">
        <v>11080</v>
      </c>
      <c r="AA569" s="331" t="s">
        <v>210</v>
      </c>
      <c r="AB569" s="416"/>
      <c r="AC569" s="416"/>
      <c r="AD569" s="447" t="s">
        <v>3076</v>
      </c>
      <c r="AE569" s="499" t="s">
        <v>3119</v>
      </c>
      <c r="AF569" s="475">
        <v>42290</v>
      </c>
      <c r="AG569" s="748">
        <v>42374</v>
      </c>
      <c r="AH569" s="410"/>
      <c r="AI569" s="500"/>
      <c r="AJ569" s="500"/>
      <c r="AK569" s="492"/>
      <c r="AL569" s="417" t="s">
        <v>210</v>
      </c>
      <c r="AM569" s="392" t="s">
        <v>210</v>
      </c>
      <c r="AN569" s="392" t="s">
        <v>210</v>
      </c>
      <c r="AO569" s="341" t="s">
        <v>210</v>
      </c>
      <c r="AP569" s="342"/>
      <c r="AQ569" s="343"/>
      <c r="AR569" s="452">
        <v>3733</v>
      </c>
      <c r="AS569" s="324">
        <v>100</v>
      </c>
      <c r="AT569" s="432">
        <v>0.8</v>
      </c>
      <c r="AU569" s="432"/>
      <c r="AV569" s="432">
        <v>1.4</v>
      </c>
      <c r="AW569" s="490"/>
      <c r="AX569" s="410"/>
      <c r="AY569" s="413"/>
      <c r="AZ569" s="407"/>
      <c r="BA569" s="408"/>
      <c r="BB569" s="408"/>
      <c r="BC569" s="408"/>
      <c r="BD569" s="408"/>
      <c r="BE569" s="408"/>
      <c r="BF569" s="408"/>
      <c r="BG569" s="408"/>
      <c r="BH569" s="409"/>
      <c r="BI569" s="407"/>
      <c r="BJ569" s="411"/>
      <c r="BK569" s="412"/>
      <c r="BL569" s="413"/>
      <c r="BM569" s="414"/>
      <c r="BN569" s="321" t="s">
        <v>14</v>
      </c>
      <c r="BO569" s="372"/>
      <c r="BP569" s="373" t="s">
        <v>14</v>
      </c>
      <c r="BQ569" s="360"/>
      <c r="BR569" s="361"/>
      <c r="BS569" s="361"/>
      <c r="BT569" s="361"/>
      <c r="BU569" s="342" t="s">
        <v>210</v>
      </c>
      <c r="BV569" s="342" t="s">
        <v>210</v>
      </c>
      <c r="BW569" s="341" t="s">
        <v>15</v>
      </c>
      <c r="BX569" s="361"/>
      <c r="BY569" s="457"/>
      <c r="BZ569" s="363"/>
      <c r="CA569" s="363"/>
      <c r="CB569" s="363"/>
      <c r="CC569" s="363"/>
    </row>
    <row r="570" spans="1:82" ht="22.5" customHeight="1">
      <c r="B570" s="442">
        <v>150387</v>
      </c>
      <c r="C570" s="747" t="s">
        <v>3030</v>
      </c>
      <c r="D570" s="439"/>
      <c r="E570" s="404"/>
      <c r="F570" s="405" t="s">
        <v>3031</v>
      </c>
      <c r="G570" s="324" t="s">
        <v>3032</v>
      </c>
      <c r="H570" s="324" t="s">
        <v>3033</v>
      </c>
      <c r="I570" s="326" t="s">
        <v>383</v>
      </c>
      <c r="J570" s="326" t="s">
        <v>399</v>
      </c>
      <c r="K570" s="326" t="s">
        <v>917</v>
      </c>
      <c r="L570" s="361"/>
      <c r="M570" s="324" t="s">
        <v>6509</v>
      </c>
      <c r="N570" s="444" t="s">
        <v>438</v>
      </c>
      <c r="O570" s="324">
        <v>30</v>
      </c>
      <c r="P570" s="458">
        <v>8224</v>
      </c>
      <c r="Q570" s="459">
        <v>6325</v>
      </c>
      <c r="R570" s="420" t="s">
        <v>3090</v>
      </c>
      <c r="S570" s="394" t="s">
        <v>13352</v>
      </c>
      <c r="T570" s="394" t="s">
        <v>13353</v>
      </c>
      <c r="U570" s="394" t="s">
        <v>11893</v>
      </c>
      <c r="V570" s="331" t="s">
        <v>12921</v>
      </c>
      <c r="W570" s="460" t="s">
        <v>3090</v>
      </c>
      <c r="X570" s="394" t="s">
        <v>13352</v>
      </c>
      <c r="Y570" s="394" t="s">
        <v>13353</v>
      </c>
      <c r="Z570" s="394" t="s">
        <v>11893</v>
      </c>
      <c r="AA570" s="331" t="s">
        <v>12921</v>
      </c>
      <c r="AB570" s="416"/>
      <c r="AC570" s="416"/>
      <c r="AD570" s="447" t="s">
        <v>3118</v>
      </c>
      <c r="AE570" s="499" t="s">
        <v>3120</v>
      </c>
      <c r="AF570" s="475">
        <v>42297</v>
      </c>
      <c r="AG570" s="748">
        <v>42395</v>
      </c>
      <c r="AH570" s="417" t="s">
        <v>210</v>
      </c>
      <c r="AI570" s="392" t="s">
        <v>210</v>
      </c>
      <c r="AJ570" s="392" t="s">
        <v>210</v>
      </c>
      <c r="AK570" s="340" t="s">
        <v>210</v>
      </c>
      <c r="AL570" s="417" t="s">
        <v>210</v>
      </c>
      <c r="AM570" s="392" t="s">
        <v>210</v>
      </c>
      <c r="AN570" s="392" t="s">
        <v>210</v>
      </c>
      <c r="AO570" s="341" t="s">
        <v>210</v>
      </c>
      <c r="AP570" s="342"/>
      <c r="AQ570" s="343"/>
      <c r="AR570" s="452">
        <v>7006</v>
      </c>
      <c r="AS570" s="324">
        <v>130</v>
      </c>
      <c r="AT570" s="432">
        <v>1</v>
      </c>
      <c r="AU570" s="432"/>
      <c r="AV570" s="432">
        <v>1.2</v>
      </c>
      <c r="AW570" s="490"/>
      <c r="AX570" s="410"/>
      <c r="AY570" s="413"/>
      <c r="AZ570" s="407"/>
      <c r="BA570" s="408"/>
      <c r="BB570" s="408"/>
      <c r="BC570" s="408"/>
      <c r="BD570" s="408"/>
      <c r="BE570" s="408"/>
      <c r="BF570" s="408"/>
      <c r="BG570" s="408"/>
      <c r="BH570" s="409"/>
      <c r="BI570" s="407"/>
      <c r="BJ570" s="427">
        <v>1.91</v>
      </c>
      <c r="BK570" s="412"/>
      <c r="BL570" s="413"/>
      <c r="BM570" s="414"/>
      <c r="BN570" s="321" t="s">
        <v>14</v>
      </c>
      <c r="BO570" s="372"/>
      <c r="BP570" s="373" t="s">
        <v>14</v>
      </c>
      <c r="BQ570" s="360"/>
      <c r="BR570" s="361"/>
      <c r="BS570" s="361"/>
      <c r="BT570" s="361"/>
      <c r="BU570" s="342" t="s">
        <v>210</v>
      </c>
      <c r="BV570" s="342" t="s">
        <v>210</v>
      </c>
      <c r="BW570" s="341" t="s">
        <v>15</v>
      </c>
      <c r="BX570" s="361"/>
      <c r="BY570" s="457"/>
      <c r="BZ570" s="363"/>
      <c r="CA570" s="363"/>
      <c r="CB570" s="363"/>
      <c r="CC570" s="363"/>
    </row>
    <row r="571" spans="1:82" s="465" customFormat="1" ht="22.5" customHeight="1">
      <c r="A571" s="287"/>
      <c r="B571" s="657">
        <v>150395</v>
      </c>
      <c r="C571" s="658" t="s">
        <v>2041</v>
      </c>
      <c r="D571" s="707"/>
      <c r="E571" s="660"/>
      <c r="F571" s="661" t="s">
        <v>238</v>
      </c>
      <c r="G571" s="662" t="s">
        <v>2267</v>
      </c>
      <c r="H571" s="662" t="s">
        <v>2268</v>
      </c>
      <c r="I571" s="662" t="s">
        <v>383</v>
      </c>
      <c r="J571" s="662" t="s">
        <v>387</v>
      </c>
      <c r="K571" s="662" t="s">
        <v>247</v>
      </c>
      <c r="L571" s="663"/>
      <c r="M571" s="662"/>
      <c r="N571" s="664" t="s">
        <v>438</v>
      </c>
      <c r="O571" s="662">
        <v>30</v>
      </c>
      <c r="P571" s="665">
        <v>5137.59</v>
      </c>
      <c r="Q571" s="666">
        <v>4759.0812500000002</v>
      </c>
      <c r="R571" s="667" t="s">
        <v>509</v>
      </c>
      <c r="S571" s="668" t="s">
        <v>13350</v>
      </c>
      <c r="T571" s="668"/>
      <c r="U571" s="668"/>
      <c r="V571" s="668" t="s">
        <v>13351</v>
      </c>
      <c r="W571" s="669" t="s">
        <v>432</v>
      </c>
      <c r="X571" s="668" t="s">
        <v>11085</v>
      </c>
      <c r="Y571" s="668" t="s">
        <v>11081</v>
      </c>
      <c r="Z571" s="668" t="s">
        <v>11086</v>
      </c>
      <c r="AA571" s="668" t="s">
        <v>210</v>
      </c>
      <c r="AB571" s="670" t="s">
        <v>2269</v>
      </c>
      <c r="AC571" s="670"/>
      <c r="AD571" s="671"/>
      <c r="AE571" s="672"/>
      <c r="AF571" s="673">
        <v>42179</v>
      </c>
      <c r="AG571" s="674" t="s">
        <v>10514</v>
      </c>
      <c r="AH571" s="675" t="s">
        <v>210</v>
      </c>
      <c r="AI571" s="676" t="s">
        <v>210</v>
      </c>
      <c r="AJ571" s="676" t="s">
        <v>210</v>
      </c>
      <c r="AK571" s="677" t="s">
        <v>210</v>
      </c>
      <c r="AL571" s="675" t="s">
        <v>210</v>
      </c>
      <c r="AM571" s="676" t="s">
        <v>210</v>
      </c>
      <c r="AN571" s="676" t="s">
        <v>210</v>
      </c>
      <c r="AO571" s="678" t="s">
        <v>210</v>
      </c>
      <c r="AP571" s="663"/>
      <c r="AQ571" s="679"/>
      <c r="AR571" s="680"/>
      <c r="AS571" s="662"/>
      <c r="AT571" s="676"/>
      <c r="AU571" s="676"/>
      <c r="AV571" s="676"/>
      <c r="AW571" s="678"/>
      <c r="AX571" s="675"/>
      <c r="AY571" s="681"/>
      <c r="AZ571" s="661"/>
      <c r="BA571" s="662"/>
      <c r="BB571" s="662"/>
      <c r="BC571" s="662"/>
      <c r="BD571" s="662"/>
      <c r="BE571" s="662"/>
      <c r="BF571" s="662"/>
      <c r="BG571" s="662"/>
      <c r="BH571" s="682"/>
      <c r="BI571" s="661"/>
      <c r="BJ571" s="683"/>
      <c r="BK571" s="684"/>
      <c r="BL571" s="681"/>
      <c r="BM571" s="685"/>
      <c r="BN571" s="661" t="s">
        <v>14</v>
      </c>
      <c r="BO571" s="686"/>
      <c r="BP571" s="677" t="s">
        <v>210</v>
      </c>
      <c r="BQ571" s="687"/>
      <c r="BR571" s="663"/>
      <c r="BS571" s="663"/>
      <c r="BT571" s="663"/>
      <c r="BU571" s="663" t="s">
        <v>5510</v>
      </c>
      <c r="BV571" s="663" t="s">
        <v>5510</v>
      </c>
      <c r="BW571" s="678" t="s">
        <v>15</v>
      </c>
      <c r="BX571" s="688"/>
      <c r="BY571" s="689"/>
      <c r="BZ571" s="483"/>
      <c r="CA571" s="483"/>
      <c r="CB571" s="483"/>
      <c r="CC571" s="483"/>
      <c r="CD571" s="484"/>
    </row>
    <row r="572" spans="1:82" ht="22.5" customHeight="1">
      <c r="B572" s="442">
        <v>150396</v>
      </c>
      <c r="C572" s="747" t="s">
        <v>3157</v>
      </c>
      <c r="D572" s="439"/>
      <c r="E572" s="404"/>
      <c r="F572" s="405" t="s">
        <v>237</v>
      </c>
      <c r="G572" s="324" t="s">
        <v>3206</v>
      </c>
      <c r="H572" s="324" t="s">
        <v>3207</v>
      </c>
      <c r="I572" s="326" t="s">
        <v>383</v>
      </c>
      <c r="J572" s="326" t="s">
        <v>387</v>
      </c>
      <c r="K572" s="326" t="s">
        <v>993</v>
      </c>
      <c r="L572" s="361"/>
      <c r="M572" s="408"/>
      <c r="N572" s="325" t="s">
        <v>438</v>
      </c>
      <c r="O572" s="324" t="s">
        <v>210</v>
      </c>
      <c r="P572" s="327" t="s">
        <v>210</v>
      </c>
      <c r="Q572" s="369" t="s">
        <v>210</v>
      </c>
      <c r="R572" s="420" t="s">
        <v>4408</v>
      </c>
      <c r="S572" s="394" t="s">
        <v>13343</v>
      </c>
      <c r="T572" s="394" t="s">
        <v>13345</v>
      </c>
      <c r="U572" s="394" t="s">
        <v>13344</v>
      </c>
      <c r="V572" s="394" t="s">
        <v>13346</v>
      </c>
      <c r="W572" s="460" t="s">
        <v>3287</v>
      </c>
      <c r="X572" s="394" t="s">
        <v>13349</v>
      </c>
      <c r="Y572" s="394" t="s">
        <v>13348</v>
      </c>
      <c r="Z572" s="394" t="s">
        <v>16536</v>
      </c>
      <c r="AA572" s="394" t="s">
        <v>13347</v>
      </c>
      <c r="AB572" s="416"/>
      <c r="AC572" s="416"/>
      <c r="AD572" s="375"/>
      <c r="AE572" s="499" t="s">
        <v>3127</v>
      </c>
      <c r="AF572" s="475">
        <v>42320</v>
      </c>
      <c r="AG572" s="748">
        <v>42496</v>
      </c>
      <c r="AH572" s="417" t="s">
        <v>210</v>
      </c>
      <c r="AI572" s="392" t="s">
        <v>210</v>
      </c>
      <c r="AJ572" s="392" t="s">
        <v>210</v>
      </c>
      <c r="AK572" s="340" t="s">
        <v>210</v>
      </c>
      <c r="AL572" s="417" t="s">
        <v>210</v>
      </c>
      <c r="AM572" s="392" t="s">
        <v>210</v>
      </c>
      <c r="AN572" s="392" t="s">
        <v>210</v>
      </c>
      <c r="AO572" s="341" t="s">
        <v>210</v>
      </c>
      <c r="AP572" s="342"/>
      <c r="AQ572" s="343"/>
      <c r="AR572" s="452">
        <v>1716</v>
      </c>
      <c r="AS572" s="324">
        <v>100</v>
      </c>
      <c r="AT572" s="432">
        <v>1</v>
      </c>
      <c r="AU572" s="432"/>
      <c r="AV572" s="432">
        <v>1.2</v>
      </c>
      <c r="AW572" s="490"/>
      <c r="AX572" s="410"/>
      <c r="AY572" s="413"/>
      <c r="AZ572" s="407"/>
      <c r="BA572" s="408"/>
      <c r="BB572" s="408"/>
      <c r="BC572" s="408"/>
      <c r="BD572" s="408"/>
      <c r="BE572" s="408"/>
      <c r="BF572" s="408"/>
      <c r="BG572" s="408"/>
      <c r="BH572" s="409"/>
      <c r="BI572" s="407"/>
      <c r="BJ572" s="427">
        <v>1.44</v>
      </c>
      <c r="BK572" s="412"/>
      <c r="BL572" s="413"/>
      <c r="BM572" s="414"/>
      <c r="BN572" s="417" t="s">
        <v>210</v>
      </c>
      <c r="BO572" s="372"/>
      <c r="BP572" s="373" t="s">
        <v>14</v>
      </c>
      <c r="BQ572" s="360"/>
      <c r="BR572" s="361"/>
      <c r="BS572" s="361"/>
      <c r="BT572" s="361"/>
      <c r="BU572" s="342" t="s">
        <v>210</v>
      </c>
      <c r="BV572" s="342" t="s">
        <v>210</v>
      </c>
      <c r="BW572" s="422"/>
      <c r="BX572" s="361"/>
      <c r="BY572" s="457"/>
      <c r="BZ572" s="363"/>
      <c r="CA572" s="363"/>
      <c r="CB572" s="363"/>
      <c r="CC572" s="363"/>
    </row>
    <row r="573" spans="1:82" ht="22.5" customHeight="1">
      <c r="B573" s="442">
        <v>150404</v>
      </c>
      <c r="C573" s="747" t="s">
        <v>13337</v>
      </c>
      <c r="D573" s="439"/>
      <c r="E573" s="404"/>
      <c r="F573" s="405" t="s">
        <v>227</v>
      </c>
      <c r="G573" s="324" t="s">
        <v>2350</v>
      </c>
      <c r="H573" s="324" t="s">
        <v>3174</v>
      </c>
      <c r="I573" s="326" t="s">
        <v>383</v>
      </c>
      <c r="J573" s="324" t="s">
        <v>216</v>
      </c>
      <c r="K573" s="326" t="s">
        <v>917</v>
      </c>
      <c r="L573" s="323"/>
      <c r="M573" s="408"/>
      <c r="N573" s="325" t="s">
        <v>438</v>
      </c>
      <c r="O573" s="324">
        <v>35</v>
      </c>
      <c r="P573" s="458">
        <v>9990.8700000000008</v>
      </c>
      <c r="Q573" s="459">
        <v>4929.75</v>
      </c>
      <c r="R573" s="329" t="s">
        <v>708</v>
      </c>
      <c r="S573" s="331" t="s">
        <v>13340</v>
      </c>
      <c r="T573" s="330"/>
      <c r="U573" s="330"/>
      <c r="V573" s="331" t="s">
        <v>13341</v>
      </c>
      <c r="W573" s="332" t="s">
        <v>556</v>
      </c>
      <c r="X573" s="331" t="s">
        <v>13338</v>
      </c>
      <c r="Y573" s="394" t="s">
        <v>15057</v>
      </c>
      <c r="Z573" s="394" t="s">
        <v>15058</v>
      </c>
      <c r="AA573" s="331" t="s">
        <v>13339</v>
      </c>
      <c r="AB573" s="416" t="s">
        <v>13342</v>
      </c>
      <c r="AC573" s="416"/>
      <c r="AD573" s="334" t="s">
        <v>2331</v>
      </c>
      <c r="AE573" s="499" t="s">
        <v>3340</v>
      </c>
      <c r="AF573" s="475">
        <v>42377</v>
      </c>
      <c r="AG573" s="748">
        <v>42506</v>
      </c>
      <c r="AH573" s="417" t="s">
        <v>210</v>
      </c>
      <c r="AI573" s="392" t="s">
        <v>210</v>
      </c>
      <c r="AJ573" s="392" t="s">
        <v>210</v>
      </c>
      <c r="AK573" s="340" t="s">
        <v>210</v>
      </c>
      <c r="AL573" s="417" t="s">
        <v>210</v>
      </c>
      <c r="AM573" s="392" t="s">
        <v>210</v>
      </c>
      <c r="AN573" s="392" t="s">
        <v>210</v>
      </c>
      <c r="AO573" s="341" t="s">
        <v>210</v>
      </c>
      <c r="AP573" s="342"/>
      <c r="AQ573" s="343"/>
      <c r="AR573" s="452">
        <v>5809</v>
      </c>
      <c r="AS573" s="324">
        <v>150</v>
      </c>
      <c r="AT573" s="432">
        <v>0.8</v>
      </c>
      <c r="AU573" s="432"/>
      <c r="AV573" s="432">
        <v>1.5</v>
      </c>
      <c r="AW573" s="490"/>
      <c r="AX573" s="376"/>
      <c r="AY573" s="348"/>
      <c r="AZ573" s="407"/>
      <c r="BA573" s="408"/>
      <c r="BB573" s="408"/>
      <c r="BC573" s="408"/>
      <c r="BD573" s="408"/>
      <c r="BE573" s="408"/>
      <c r="BF573" s="408"/>
      <c r="BG573" s="408"/>
      <c r="BH573" s="409"/>
      <c r="BI573" s="410"/>
      <c r="BJ573" s="411"/>
      <c r="BK573" s="412"/>
      <c r="BL573" s="413"/>
      <c r="BM573" s="414"/>
      <c r="BN573" s="417" t="s">
        <v>210</v>
      </c>
      <c r="BO573" s="372"/>
      <c r="BP573" s="373" t="s">
        <v>14</v>
      </c>
      <c r="BQ573" s="360"/>
      <c r="BR573" s="361"/>
      <c r="BS573" s="361"/>
      <c r="BT573" s="361"/>
      <c r="BU573" s="342" t="s">
        <v>210</v>
      </c>
      <c r="BV573" s="342" t="s">
        <v>210</v>
      </c>
      <c r="BW573" s="341" t="s">
        <v>15</v>
      </c>
      <c r="BX573" s="361"/>
      <c r="BY573" s="457"/>
      <c r="BZ573" s="363"/>
      <c r="CA573" s="363"/>
      <c r="CB573" s="363"/>
      <c r="CC573" s="363"/>
    </row>
    <row r="574" spans="1:82" ht="22.5" customHeight="1">
      <c r="B574" s="442">
        <v>150409</v>
      </c>
      <c r="C574" s="747" t="s">
        <v>2713</v>
      </c>
      <c r="D574" s="439"/>
      <c r="E574" s="404"/>
      <c r="F574" s="405" t="s">
        <v>2714</v>
      </c>
      <c r="G574" s="324" t="s">
        <v>2027</v>
      </c>
      <c r="H574" s="324" t="s">
        <v>2715</v>
      </c>
      <c r="I574" s="326" t="s">
        <v>383</v>
      </c>
      <c r="J574" s="326" t="s">
        <v>399</v>
      </c>
      <c r="K574" s="324" t="s">
        <v>247</v>
      </c>
      <c r="L574" s="323"/>
      <c r="M574" s="408"/>
      <c r="N574" s="444" t="s">
        <v>2711</v>
      </c>
      <c r="O574" s="324">
        <v>100</v>
      </c>
      <c r="P574" s="327" t="s">
        <v>210</v>
      </c>
      <c r="Q574" s="369" t="s">
        <v>210</v>
      </c>
      <c r="R574" s="329" t="s">
        <v>1098</v>
      </c>
      <c r="S574" s="331" t="s">
        <v>13396</v>
      </c>
      <c r="T574" s="394" t="s">
        <v>12439</v>
      </c>
      <c r="U574" s="394" t="s">
        <v>16310</v>
      </c>
      <c r="V574" s="331" t="s">
        <v>13395</v>
      </c>
      <c r="W574" s="332" t="s">
        <v>432</v>
      </c>
      <c r="X574" s="331" t="s">
        <v>11079</v>
      </c>
      <c r="Y574" s="331" t="s">
        <v>11080</v>
      </c>
      <c r="Z574" s="331" t="s">
        <v>11080</v>
      </c>
      <c r="AA574" s="331" t="s">
        <v>210</v>
      </c>
      <c r="AB574" s="416"/>
      <c r="AC574" s="416"/>
      <c r="AD574" s="334" t="s">
        <v>2326</v>
      </c>
      <c r="AE574" s="499" t="s">
        <v>2881</v>
      </c>
      <c r="AF574" s="475">
        <v>42195</v>
      </c>
      <c r="AG574" s="748">
        <v>42271</v>
      </c>
      <c r="AH574" s="417">
        <v>12.1</v>
      </c>
      <c r="AI574" s="392">
        <v>30.4</v>
      </c>
      <c r="AJ574" s="392">
        <v>17.899999999999999</v>
      </c>
      <c r="AK574" s="340">
        <f>AH574+AI574+AJ574</f>
        <v>60.4</v>
      </c>
      <c r="AL574" s="417" t="s">
        <v>210</v>
      </c>
      <c r="AM574" s="392" t="s">
        <v>210</v>
      </c>
      <c r="AN574" s="392" t="s">
        <v>210</v>
      </c>
      <c r="AO574" s="341" t="s">
        <v>210</v>
      </c>
      <c r="AP574" s="342"/>
      <c r="AQ574" s="343"/>
      <c r="AR574" s="452">
        <v>2064</v>
      </c>
      <c r="AS574" s="326">
        <v>100</v>
      </c>
      <c r="AT574" s="432">
        <v>0.8</v>
      </c>
      <c r="AU574" s="432"/>
      <c r="AV574" s="432">
        <v>0.6</v>
      </c>
      <c r="AW574" s="490"/>
      <c r="AX574" s="376"/>
      <c r="AY574" s="348"/>
      <c r="AZ574" s="407"/>
      <c r="BA574" s="408"/>
      <c r="BB574" s="408"/>
      <c r="BC574" s="408"/>
      <c r="BD574" s="408"/>
      <c r="BE574" s="408"/>
      <c r="BF574" s="408"/>
      <c r="BG574" s="408"/>
      <c r="BH574" s="409"/>
      <c r="BI574" s="410"/>
      <c r="BJ574" s="411"/>
      <c r="BK574" s="412"/>
      <c r="BL574" s="413"/>
      <c r="BM574" s="414"/>
      <c r="BN574" s="321" t="s">
        <v>14</v>
      </c>
      <c r="BO574" s="372"/>
      <c r="BP574" s="340" t="s">
        <v>210</v>
      </c>
      <c r="BQ574" s="360"/>
      <c r="BR574" s="361"/>
      <c r="BS574" s="361"/>
      <c r="BT574" s="361"/>
      <c r="BU574" s="342" t="s">
        <v>210</v>
      </c>
      <c r="BV574" s="342" t="s">
        <v>210</v>
      </c>
      <c r="BW574" s="341" t="s">
        <v>210</v>
      </c>
      <c r="BX574" s="361"/>
      <c r="BY574" s="362" t="s">
        <v>1753</v>
      </c>
      <c r="BZ574" s="363"/>
      <c r="CA574" s="363"/>
      <c r="CB574" s="363"/>
      <c r="CC574" s="363"/>
    </row>
    <row r="575" spans="1:82" ht="22.5" customHeight="1">
      <c r="B575" s="442">
        <v>150410</v>
      </c>
      <c r="C575" s="747" t="s">
        <v>2833</v>
      </c>
      <c r="D575" s="439"/>
      <c r="E575" s="404"/>
      <c r="F575" s="321" t="s">
        <v>72</v>
      </c>
      <c r="G575" s="326" t="s">
        <v>2123</v>
      </c>
      <c r="H575" s="326" t="s">
        <v>9903</v>
      </c>
      <c r="I575" s="326" t="s">
        <v>383</v>
      </c>
      <c r="J575" s="326" t="s">
        <v>399</v>
      </c>
      <c r="K575" s="324" t="s">
        <v>977</v>
      </c>
      <c r="L575" s="361"/>
      <c r="M575" s="408"/>
      <c r="N575" s="444" t="s">
        <v>438</v>
      </c>
      <c r="O575" s="324">
        <v>100</v>
      </c>
      <c r="P575" s="327" t="s">
        <v>210</v>
      </c>
      <c r="Q575" s="369" t="s">
        <v>210</v>
      </c>
      <c r="R575" s="329" t="s">
        <v>552</v>
      </c>
      <c r="S575" s="330"/>
      <c r="T575" s="330"/>
      <c r="U575" s="330"/>
      <c r="V575" s="330"/>
      <c r="W575" s="332" t="s">
        <v>514</v>
      </c>
      <c r="X575" s="331" t="s">
        <v>13687</v>
      </c>
      <c r="Y575" s="331" t="s">
        <v>11233</v>
      </c>
      <c r="Z575" s="331" t="s">
        <v>11234</v>
      </c>
      <c r="AA575" s="331" t="s">
        <v>11235</v>
      </c>
      <c r="AB575" s="416"/>
      <c r="AC575" s="416"/>
      <c r="AD575" s="447" t="s">
        <v>2912</v>
      </c>
      <c r="AE575" s="499" t="s">
        <v>2911</v>
      </c>
      <c r="AF575" s="475">
        <v>42202</v>
      </c>
      <c r="AG575" s="748">
        <v>42255</v>
      </c>
      <c r="AH575" s="417" t="s">
        <v>210</v>
      </c>
      <c r="AI575" s="392" t="s">
        <v>210</v>
      </c>
      <c r="AJ575" s="392" t="s">
        <v>210</v>
      </c>
      <c r="AK575" s="340" t="s">
        <v>210</v>
      </c>
      <c r="AL575" s="417" t="s">
        <v>210</v>
      </c>
      <c r="AM575" s="392" t="s">
        <v>210</v>
      </c>
      <c r="AN575" s="392" t="s">
        <v>210</v>
      </c>
      <c r="AO575" s="341" t="s">
        <v>210</v>
      </c>
      <c r="AP575" s="342"/>
      <c r="AQ575" s="343"/>
      <c r="AR575" s="452">
        <v>589</v>
      </c>
      <c r="AS575" s="326">
        <v>100</v>
      </c>
      <c r="AT575" s="432">
        <v>1</v>
      </c>
      <c r="AU575" s="432"/>
      <c r="AV575" s="432">
        <v>2</v>
      </c>
      <c r="AW575" s="490"/>
      <c r="AX575" s="410"/>
      <c r="AY575" s="413"/>
      <c r="AZ575" s="377"/>
      <c r="BA575" s="374"/>
      <c r="BB575" s="374"/>
      <c r="BC575" s="374"/>
      <c r="BD575" s="374"/>
      <c r="BE575" s="374"/>
      <c r="BF575" s="374"/>
      <c r="BG575" s="374"/>
      <c r="BH575" s="378"/>
      <c r="BI575" s="376"/>
      <c r="BJ575" s="379"/>
      <c r="BK575" s="380"/>
      <c r="BL575" s="348"/>
      <c r="BM575" s="381"/>
      <c r="BN575" s="417" t="s">
        <v>210</v>
      </c>
      <c r="BO575" s="372"/>
      <c r="BP575" s="340" t="s">
        <v>210</v>
      </c>
      <c r="BQ575" s="360"/>
      <c r="BR575" s="361"/>
      <c r="BS575" s="361"/>
      <c r="BT575" s="361"/>
      <c r="BU575" s="342" t="s">
        <v>210</v>
      </c>
      <c r="BV575" s="342" t="s">
        <v>210</v>
      </c>
      <c r="BW575" s="341" t="s">
        <v>15</v>
      </c>
      <c r="BX575" s="361"/>
      <c r="BY575" s="457"/>
      <c r="BZ575" s="363"/>
      <c r="CA575" s="363"/>
      <c r="CB575" s="363"/>
      <c r="CC575" s="363"/>
    </row>
    <row r="576" spans="1:82" ht="22.5" customHeight="1">
      <c r="B576" s="442">
        <v>150431</v>
      </c>
      <c r="C576" s="747" t="s">
        <v>2472</v>
      </c>
      <c r="D576" s="439"/>
      <c r="E576" s="404"/>
      <c r="F576" s="405" t="s">
        <v>240</v>
      </c>
      <c r="G576" s="324" t="s">
        <v>2473</v>
      </c>
      <c r="H576" s="324" t="s">
        <v>2474</v>
      </c>
      <c r="I576" s="326" t="s">
        <v>383</v>
      </c>
      <c r="J576" s="326" t="s">
        <v>399</v>
      </c>
      <c r="K576" s="326" t="s">
        <v>917</v>
      </c>
      <c r="L576" s="323"/>
      <c r="M576" s="324" t="s">
        <v>10767</v>
      </c>
      <c r="N576" s="325" t="s">
        <v>437</v>
      </c>
      <c r="O576" s="324">
        <v>30</v>
      </c>
      <c r="P576" s="458" t="s">
        <v>210</v>
      </c>
      <c r="Q576" s="459" t="s">
        <v>210</v>
      </c>
      <c r="R576" s="329" t="s">
        <v>469</v>
      </c>
      <c r="S576" s="394" t="s">
        <v>11204</v>
      </c>
      <c r="T576" s="394" t="s">
        <v>11205</v>
      </c>
      <c r="U576" s="394" t="s">
        <v>11207</v>
      </c>
      <c r="V576" s="394" t="s">
        <v>11206</v>
      </c>
      <c r="W576" s="332" t="s">
        <v>432</v>
      </c>
      <c r="X576" s="331" t="s">
        <v>11079</v>
      </c>
      <c r="Y576" s="331" t="s">
        <v>11080</v>
      </c>
      <c r="Z576" s="331" t="s">
        <v>11080</v>
      </c>
      <c r="AA576" s="331" t="s">
        <v>210</v>
      </c>
      <c r="AB576" s="416"/>
      <c r="AC576" s="416"/>
      <c r="AD576" s="334" t="s">
        <v>2325</v>
      </c>
      <c r="AE576" s="335" t="s">
        <v>210</v>
      </c>
      <c r="AF576" s="475">
        <v>42199</v>
      </c>
      <c r="AG576" s="748">
        <v>42254</v>
      </c>
      <c r="AH576" s="417">
        <v>6.9</v>
      </c>
      <c r="AI576" s="392">
        <v>13.4</v>
      </c>
      <c r="AJ576" s="392">
        <v>11.8</v>
      </c>
      <c r="AK576" s="340">
        <f>AH576+AI576+AJ576</f>
        <v>32.1</v>
      </c>
      <c r="AL576" s="417" t="s">
        <v>2827</v>
      </c>
      <c r="AM576" s="392" t="s">
        <v>210</v>
      </c>
      <c r="AN576" s="392" t="s">
        <v>210</v>
      </c>
      <c r="AO576" s="341" t="s">
        <v>210</v>
      </c>
      <c r="AP576" s="342"/>
      <c r="AQ576" s="343"/>
      <c r="AR576" s="452">
        <v>1457</v>
      </c>
      <c r="AS576" s="324">
        <v>100</v>
      </c>
      <c r="AT576" s="432">
        <v>0.8</v>
      </c>
      <c r="AU576" s="432"/>
      <c r="AV576" s="432">
        <v>1</v>
      </c>
      <c r="AW576" s="490"/>
      <c r="AX576" s="376"/>
      <c r="AY576" s="348"/>
      <c r="AZ576" s="407"/>
      <c r="BA576" s="408"/>
      <c r="BB576" s="408"/>
      <c r="BC576" s="408"/>
      <c r="BD576" s="408"/>
      <c r="BE576" s="408"/>
      <c r="BF576" s="408"/>
      <c r="BG576" s="408"/>
      <c r="BH576" s="409"/>
      <c r="BI576" s="410"/>
      <c r="BJ576" s="411"/>
      <c r="BK576" s="412"/>
      <c r="BL576" s="413"/>
      <c r="BM576" s="414"/>
      <c r="BN576" s="321" t="s">
        <v>2851</v>
      </c>
      <c r="BO576" s="372"/>
      <c r="BP576" s="340" t="s">
        <v>210</v>
      </c>
      <c r="BQ576" s="360"/>
      <c r="BR576" s="361"/>
      <c r="BS576" s="361"/>
      <c r="BT576" s="361"/>
      <c r="BU576" s="342" t="s">
        <v>210</v>
      </c>
      <c r="BV576" s="342" t="s">
        <v>210</v>
      </c>
      <c r="BW576" s="341" t="s">
        <v>15</v>
      </c>
      <c r="BX576" s="361"/>
      <c r="BY576" s="457"/>
      <c r="BZ576" s="363"/>
      <c r="CA576" s="363"/>
      <c r="CB576" s="363"/>
      <c r="CC576" s="363"/>
    </row>
    <row r="577" spans="1:82" ht="22.5" customHeight="1">
      <c r="B577" s="442">
        <v>150446</v>
      </c>
      <c r="C577" s="747" t="s">
        <v>2972</v>
      </c>
      <c r="D577" s="439"/>
      <c r="E577" s="404"/>
      <c r="F577" s="405" t="s">
        <v>222</v>
      </c>
      <c r="G577" s="324" t="s">
        <v>3057</v>
      </c>
      <c r="H577" s="324" t="s">
        <v>3058</v>
      </c>
      <c r="I577" s="326" t="s">
        <v>383</v>
      </c>
      <c r="J577" s="326" t="s">
        <v>387</v>
      </c>
      <c r="K577" s="326" t="s">
        <v>993</v>
      </c>
      <c r="L577" s="361"/>
      <c r="M577" s="408"/>
      <c r="N577" s="444" t="s">
        <v>3208</v>
      </c>
      <c r="O577" s="324">
        <v>70</v>
      </c>
      <c r="P577" s="458" t="s">
        <v>210</v>
      </c>
      <c r="Q577" s="459" t="s">
        <v>210</v>
      </c>
      <c r="R577" s="399"/>
      <c r="S577" s="400"/>
      <c r="T577" s="400"/>
      <c r="U577" s="400"/>
      <c r="V577" s="400"/>
      <c r="W577" s="460" t="s">
        <v>3046</v>
      </c>
      <c r="X577" s="394" t="s">
        <v>13333</v>
      </c>
      <c r="Y577" s="394" t="s">
        <v>13335</v>
      </c>
      <c r="Z577" s="394" t="s">
        <v>13334</v>
      </c>
      <c r="AA577" s="394" t="s">
        <v>13336</v>
      </c>
      <c r="AB577" s="416"/>
      <c r="AC577" s="416"/>
      <c r="AD577" s="420" t="s">
        <v>3266</v>
      </c>
      <c r="AE577" s="499" t="s">
        <v>2956</v>
      </c>
      <c r="AF577" s="475">
        <v>42254</v>
      </c>
      <c r="AG577" s="748">
        <v>42307</v>
      </c>
      <c r="AH577" s="417" t="s">
        <v>210</v>
      </c>
      <c r="AI577" s="392" t="s">
        <v>210</v>
      </c>
      <c r="AJ577" s="392" t="s">
        <v>210</v>
      </c>
      <c r="AK577" s="340" t="s">
        <v>210</v>
      </c>
      <c r="AL577" s="417" t="s">
        <v>210</v>
      </c>
      <c r="AM577" s="392" t="s">
        <v>210</v>
      </c>
      <c r="AN577" s="392" t="s">
        <v>210</v>
      </c>
      <c r="AO577" s="341" t="s">
        <v>210</v>
      </c>
      <c r="AP577" s="342"/>
      <c r="AQ577" s="343"/>
      <c r="AR577" s="452">
        <v>1101</v>
      </c>
      <c r="AS577" s="324">
        <v>150</v>
      </c>
      <c r="AT577" s="432">
        <v>1</v>
      </c>
      <c r="AU577" s="432"/>
      <c r="AV577" s="432">
        <v>1.5</v>
      </c>
      <c r="AW577" s="490"/>
      <c r="AX577" s="410"/>
      <c r="AY577" s="413"/>
      <c r="AZ577" s="407"/>
      <c r="BA577" s="408"/>
      <c r="BB577" s="408"/>
      <c r="BC577" s="408"/>
      <c r="BD577" s="408"/>
      <c r="BE577" s="408"/>
      <c r="BF577" s="408"/>
      <c r="BG577" s="408"/>
      <c r="BH577" s="409"/>
      <c r="BI577" s="410"/>
      <c r="BJ577" s="411"/>
      <c r="BK577" s="412"/>
      <c r="BL577" s="413"/>
      <c r="BM577" s="414"/>
      <c r="BN577" s="417" t="s">
        <v>210</v>
      </c>
      <c r="BO577" s="372"/>
      <c r="BP577" s="373" t="s">
        <v>622</v>
      </c>
      <c r="BQ577" s="360"/>
      <c r="BR577" s="361"/>
      <c r="BS577" s="361"/>
      <c r="BT577" s="361"/>
      <c r="BU577" s="342" t="s">
        <v>210</v>
      </c>
      <c r="BV577" s="342" t="s">
        <v>210</v>
      </c>
      <c r="BW577" s="341" t="s">
        <v>15</v>
      </c>
      <c r="BX577" s="361"/>
      <c r="BY577" s="457"/>
      <c r="BZ577" s="363"/>
      <c r="CA577" s="363"/>
      <c r="CB577" s="363"/>
      <c r="CC577" s="363"/>
    </row>
    <row r="578" spans="1:82" ht="22.5" customHeight="1">
      <c r="B578" s="442">
        <v>150465</v>
      </c>
      <c r="C578" s="747" t="s">
        <v>3071</v>
      </c>
      <c r="D578" s="439"/>
      <c r="E578" s="404"/>
      <c r="F578" s="405" t="s">
        <v>3209</v>
      </c>
      <c r="G578" s="324" t="s">
        <v>3210</v>
      </c>
      <c r="H578" s="324" t="s">
        <v>2915</v>
      </c>
      <c r="I578" s="326" t="s">
        <v>383</v>
      </c>
      <c r="J578" s="326" t="s">
        <v>387</v>
      </c>
      <c r="K578" s="324" t="s">
        <v>247</v>
      </c>
      <c r="L578" s="342">
        <v>15</v>
      </c>
      <c r="M578" s="408"/>
      <c r="N578" s="444" t="s">
        <v>438</v>
      </c>
      <c r="O578" s="324">
        <v>100</v>
      </c>
      <c r="P578" s="458" t="s">
        <v>210</v>
      </c>
      <c r="Q578" s="459" t="s">
        <v>210</v>
      </c>
      <c r="R578" s="329" t="s">
        <v>1697</v>
      </c>
      <c r="S578" s="331" t="s">
        <v>12931</v>
      </c>
      <c r="T578" s="332" t="s">
        <v>11096</v>
      </c>
      <c r="U578" s="332" t="s">
        <v>11098</v>
      </c>
      <c r="V578" s="332" t="s">
        <v>11097</v>
      </c>
      <c r="W578" s="332" t="s">
        <v>13329</v>
      </c>
      <c r="X578" s="331" t="s">
        <v>13331</v>
      </c>
      <c r="Y578" s="331" t="s">
        <v>13332</v>
      </c>
      <c r="Z578" s="330"/>
      <c r="AA578" s="331" t="s">
        <v>13330</v>
      </c>
      <c r="AB578" s="416"/>
      <c r="AC578" s="416"/>
      <c r="AD578" s="375"/>
      <c r="AE578" s="499" t="s">
        <v>3095</v>
      </c>
      <c r="AF578" s="475">
        <v>42307</v>
      </c>
      <c r="AG578" s="748">
        <v>42356</v>
      </c>
      <c r="AH578" s="417" t="s">
        <v>210</v>
      </c>
      <c r="AI578" s="392" t="s">
        <v>210</v>
      </c>
      <c r="AJ578" s="392" t="s">
        <v>210</v>
      </c>
      <c r="AK578" s="340" t="s">
        <v>210</v>
      </c>
      <c r="AL578" s="417" t="s">
        <v>210</v>
      </c>
      <c r="AM578" s="392" t="s">
        <v>210</v>
      </c>
      <c r="AN578" s="392" t="s">
        <v>210</v>
      </c>
      <c r="AO578" s="341" t="s">
        <v>210</v>
      </c>
      <c r="AP578" s="342"/>
      <c r="AQ578" s="343"/>
      <c r="AR578" s="452">
        <v>3776</v>
      </c>
      <c r="AS578" s="324">
        <v>100</v>
      </c>
      <c r="AT578" s="432">
        <v>1</v>
      </c>
      <c r="AU578" s="432"/>
      <c r="AV578" s="432">
        <v>1.5</v>
      </c>
      <c r="AW578" s="490"/>
      <c r="AX578" s="410"/>
      <c r="AY578" s="413"/>
      <c r="AZ578" s="407"/>
      <c r="BA578" s="408"/>
      <c r="BB578" s="408"/>
      <c r="BC578" s="408"/>
      <c r="BD578" s="408"/>
      <c r="BE578" s="408"/>
      <c r="BF578" s="408"/>
      <c r="BG578" s="408"/>
      <c r="BH578" s="409"/>
      <c r="BI578" s="410"/>
      <c r="BJ578" s="411"/>
      <c r="BK578" s="412"/>
      <c r="BL578" s="413"/>
      <c r="BM578" s="414"/>
      <c r="BN578" s="321" t="s">
        <v>622</v>
      </c>
      <c r="BO578" s="372"/>
      <c r="BP578" s="340" t="s">
        <v>210</v>
      </c>
      <c r="BQ578" s="360"/>
      <c r="BR578" s="361"/>
      <c r="BS578" s="361"/>
      <c r="BT578" s="361"/>
      <c r="BU578" s="342" t="s">
        <v>210</v>
      </c>
      <c r="BV578" s="342" t="s">
        <v>210</v>
      </c>
      <c r="BW578" s="341" t="s">
        <v>15</v>
      </c>
      <c r="BX578" s="361"/>
      <c r="BY578" s="457"/>
      <c r="BZ578" s="363"/>
      <c r="CA578" s="363"/>
      <c r="CB578" s="363"/>
      <c r="CC578" s="363"/>
    </row>
    <row r="579" spans="1:82" ht="22.5" customHeight="1">
      <c r="B579" s="442">
        <v>150467</v>
      </c>
      <c r="C579" s="747" t="s">
        <v>3081</v>
      </c>
      <c r="D579" s="439"/>
      <c r="E579" s="404"/>
      <c r="F579" s="405" t="s">
        <v>1509</v>
      </c>
      <c r="G579" s="324" t="s">
        <v>1866</v>
      </c>
      <c r="H579" s="324" t="s">
        <v>3082</v>
      </c>
      <c r="I579" s="326" t="s">
        <v>383</v>
      </c>
      <c r="J579" s="326" t="s">
        <v>399</v>
      </c>
      <c r="K579" s="326" t="s">
        <v>917</v>
      </c>
      <c r="L579" s="361"/>
      <c r="M579" s="324" t="s">
        <v>10767</v>
      </c>
      <c r="N579" s="444" t="s">
        <v>3083</v>
      </c>
      <c r="O579" s="324">
        <v>100</v>
      </c>
      <c r="P579" s="327">
        <v>1104.79</v>
      </c>
      <c r="Q579" s="369">
        <v>1147.54</v>
      </c>
      <c r="R579" s="420" t="s">
        <v>3171</v>
      </c>
      <c r="S579" s="400"/>
      <c r="T579" s="400"/>
      <c r="U579" s="400"/>
      <c r="V579" s="400"/>
      <c r="W579" s="460" t="s">
        <v>3084</v>
      </c>
      <c r="X579" s="394" t="s">
        <v>12542</v>
      </c>
      <c r="Y579" s="394" t="s">
        <v>11693</v>
      </c>
      <c r="Z579" s="394" t="s">
        <v>16340</v>
      </c>
      <c r="AA579" s="394" t="s">
        <v>11692</v>
      </c>
      <c r="AB579" s="416"/>
      <c r="AC579" s="416"/>
      <c r="AD579" s="375"/>
      <c r="AE579" s="335" t="s">
        <v>210</v>
      </c>
      <c r="AF579" s="475">
        <v>42325</v>
      </c>
      <c r="AG579" s="748">
        <v>42374</v>
      </c>
      <c r="AH579" s="417" t="s">
        <v>210</v>
      </c>
      <c r="AI579" s="392" t="s">
        <v>210</v>
      </c>
      <c r="AJ579" s="392" t="s">
        <v>210</v>
      </c>
      <c r="AK579" s="340" t="s">
        <v>210</v>
      </c>
      <c r="AL579" s="417" t="s">
        <v>210</v>
      </c>
      <c r="AM579" s="392" t="s">
        <v>210</v>
      </c>
      <c r="AN579" s="392" t="s">
        <v>210</v>
      </c>
      <c r="AO579" s="341" t="s">
        <v>210</v>
      </c>
      <c r="AP579" s="342"/>
      <c r="AQ579" s="343"/>
      <c r="AR579" s="452">
        <v>1514</v>
      </c>
      <c r="AS579" s="324">
        <v>150</v>
      </c>
      <c r="AT579" s="432">
        <v>1</v>
      </c>
      <c r="AU579" s="432"/>
      <c r="AV579" s="432">
        <v>2</v>
      </c>
      <c r="AW579" s="490"/>
      <c r="AX579" s="410"/>
      <c r="AY579" s="413"/>
      <c r="AZ579" s="407"/>
      <c r="BA579" s="408"/>
      <c r="BB579" s="408"/>
      <c r="BC579" s="408"/>
      <c r="BD579" s="408"/>
      <c r="BE579" s="408"/>
      <c r="BF579" s="408"/>
      <c r="BG579" s="408"/>
      <c r="BH579" s="409"/>
      <c r="BI579" s="410"/>
      <c r="BJ579" s="411"/>
      <c r="BK579" s="412"/>
      <c r="BL579" s="413"/>
      <c r="BM579" s="414"/>
      <c r="BN579" s="417" t="s">
        <v>210</v>
      </c>
      <c r="BO579" s="372"/>
      <c r="BP579" s="373" t="s">
        <v>622</v>
      </c>
      <c r="BQ579" s="360"/>
      <c r="BR579" s="361"/>
      <c r="BS579" s="361"/>
      <c r="BT579" s="361"/>
      <c r="BU579" s="342" t="s">
        <v>210</v>
      </c>
      <c r="BV579" s="342" t="s">
        <v>210</v>
      </c>
      <c r="BW579" s="341" t="s">
        <v>15</v>
      </c>
      <c r="BX579" s="361"/>
      <c r="BY579" s="457"/>
      <c r="BZ579" s="363"/>
      <c r="CA579" s="363"/>
      <c r="CB579" s="363"/>
      <c r="CC579" s="363"/>
    </row>
    <row r="580" spans="1:82" ht="22.5" customHeight="1">
      <c r="B580" s="442">
        <v>150469</v>
      </c>
      <c r="C580" s="747" t="s">
        <v>3103</v>
      </c>
      <c r="D580" s="439"/>
      <c r="E580" s="404"/>
      <c r="F580" s="405" t="s">
        <v>1390</v>
      </c>
      <c r="G580" s="324" t="s">
        <v>3110</v>
      </c>
      <c r="H580" s="324" t="s">
        <v>3173</v>
      </c>
      <c r="I580" s="324" t="s">
        <v>766</v>
      </c>
      <c r="J580" s="326" t="s">
        <v>399</v>
      </c>
      <c r="K580" s="326" t="s">
        <v>806</v>
      </c>
      <c r="L580" s="361"/>
      <c r="M580" s="408"/>
      <c r="N580" s="444" t="s">
        <v>468</v>
      </c>
      <c r="O580" s="324">
        <v>30</v>
      </c>
      <c r="P580" s="458" t="s">
        <v>210</v>
      </c>
      <c r="Q580" s="459" t="s">
        <v>210</v>
      </c>
      <c r="R580" s="420" t="s">
        <v>3104</v>
      </c>
      <c r="S580" s="394" t="s">
        <v>13324</v>
      </c>
      <c r="T580" s="394" t="s">
        <v>13325</v>
      </c>
      <c r="U580" s="394" t="s">
        <v>16416</v>
      </c>
      <c r="V580" s="394" t="s">
        <v>13326</v>
      </c>
      <c r="W580" s="460" t="s">
        <v>3168</v>
      </c>
      <c r="X580" s="394" t="s">
        <v>13327</v>
      </c>
      <c r="Y580" s="400"/>
      <c r="Z580" s="400"/>
      <c r="AA580" s="394" t="s">
        <v>13328</v>
      </c>
      <c r="AB580" s="416"/>
      <c r="AC580" s="416"/>
      <c r="AD580" s="447" t="s">
        <v>4087</v>
      </c>
      <c r="AE580" s="335" t="s">
        <v>210</v>
      </c>
      <c r="AF580" s="475">
        <v>42359</v>
      </c>
      <c r="AG580" s="748">
        <v>42641</v>
      </c>
      <c r="AH580" s="417" t="s">
        <v>210</v>
      </c>
      <c r="AI580" s="392" t="s">
        <v>210</v>
      </c>
      <c r="AJ580" s="392" t="s">
        <v>210</v>
      </c>
      <c r="AK580" s="340" t="s">
        <v>210</v>
      </c>
      <c r="AL580" s="417" t="s">
        <v>210</v>
      </c>
      <c r="AM580" s="392" t="s">
        <v>210</v>
      </c>
      <c r="AN580" s="392" t="s">
        <v>210</v>
      </c>
      <c r="AO580" s="341" t="s">
        <v>210</v>
      </c>
      <c r="AP580" s="342"/>
      <c r="AQ580" s="343"/>
      <c r="AR580" s="452">
        <v>784</v>
      </c>
      <c r="AS580" s="326">
        <v>30</v>
      </c>
      <c r="AT580" s="432">
        <v>0.8</v>
      </c>
      <c r="AU580" s="432"/>
      <c r="AV580" s="432">
        <v>1.2</v>
      </c>
      <c r="AW580" s="490"/>
      <c r="AX580" s="410"/>
      <c r="AY580" s="413"/>
      <c r="AZ580" s="405" t="s">
        <v>10384</v>
      </c>
      <c r="BA580" s="324" t="s">
        <v>9710</v>
      </c>
      <c r="BB580" s="324" t="s">
        <v>9721</v>
      </c>
      <c r="BC580" s="324" t="s">
        <v>9722</v>
      </c>
      <c r="BD580" s="324" t="s">
        <v>9723</v>
      </c>
      <c r="BE580" s="324" t="s">
        <v>9709</v>
      </c>
      <c r="BF580" s="324" t="s">
        <v>9723</v>
      </c>
      <c r="BG580" s="324" t="s">
        <v>9705</v>
      </c>
      <c r="BH580" s="324" t="s">
        <v>9723</v>
      </c>
      <c r="BI580" s="410"/>
      <c r="BJ580" s="427">
        <v>1.67</v>
      </c>
      <c r="BK580" s="412"/>
      <c r="BL580" s="413"/>
      <c r="BM580" s="414"/>
      <c r="BN580" s="417" t="s">
        <v>210</v>
      </c>
      <c r="BO580" s="372"/>
      <c r="BP580" s="340" t="s">
        <v>210</v>
      </c>
      <c r="BQ580" s="360"/>
      <c r="BR580" s="361"/>
      <c r="BS580" s="361"/>
      <c r="BT580" s="361"/>
      <c r="BU580" s="342" t="s">
        <v>210</v>
      </c>
      <c r="BV580" s="342" t="s">
        <v>210</v>
      </c>
      <c r="BW580" s="341" t="s">
        <v>622</v>
      </c>
      <c r="BX580" s="361"/>
      <c r="BY580" s="457"/>
      <c r="BZ580" s="363"/>
      <c r="CA580" s="363"/>
      <c r="CB580" s="363"/>
      <c r="CC580" s="363"/>
    </row>
    <row r="581" spans="1:82" ht="22.5" customHeight="1">
      <c r="B581" s="442">
        <v>150477</v>
      </c>
      <c r="C581" s="747" t="s">
        <v>2837</v>
      </c>
      <c r="D581" s="439"/>
      <c r="E581" s="404"/>
      <c r="F581" s="405" t="s">
        <v>225</v>
      </c>
      <c r="G581" s="324" t="s">
        <v>2297</v>
      </c>
      <c r="H581" s="324" t="s">
        <v>2298</v>
      </c>
      <c r="I581" s="326" t="s">
        <v>383</v>
      </c>
      <c r="J581" s="326" t="s">
        <v>399</v>
      </c>
      <c r="K581" s="326" t="s">
        <v>917</v>
      </c>
      <c r="L581" s="323"/>
      <c r="M581" s="408"/>
      <c r="N581" s="444" t="s">
        <v>2725</v>
      </c>
      <c r="O581" s="324">
        <v>80</v>
      </c>
      <c r="P581" s="327">
        <v>2879.67</v>
      </c>
      <c r="Q581" s="369">
        <v>2961.14</v>
      </c>
      <c r="R581" s="420" t="s">
        <v>2299</v>
      </c>
      <c r="S581" s="394" t="s">
        <v>11827</v>
      </c>
      <c r="T581" s="394" t="s">
        <v>11829</v>
      </c>
      <c r="U581" s="394" t="s">
        <v>11828</v>
      </c>
      <c r="V581" s="394" t="s">
        <v>11830</v>
      </c>
      <c r="W581" s="460" t="s">
        <v>2345</v>
      </c>
      <c r="X581" s="394" t="s">
        <v>13168</v>
      </c>
      <c r="Y581" s="394" t="s">
        <v>13170</v>
      </c>
      <c r="Z581" s="394" t="s">
        <v>16507</v>
      </c>
      <c r="AA581" s="394" t="s">
        <v>13169</v>
      </c>
      <c r="AB581" s="416"/>
      <c r="AC581" s="416"/>
      <c r="AD581" s="334" t="s">
        <v>2325</v>
      </c>
      <c r="AE581" s="499" t="s">
        <v>3007</v>
      </c>
      <c r="AF581" s="475">
        <v>42201</v>
      </c>
      <c r="AG581" s="748">
        <v>42447</v>
      </c>
      <c r="AH581" s="417" t="s">
        <v>210</v>
      </c>
      <c r="AI581" s="392" t="s">
        <v>210</v>
      </c>
      <c r="AJ581" s="392" t="s">
        <v>210</v>
      </c>
      <c r="AK581" s="340" t="s">
        <v>210</v>
      </c>
      <c r="AL581" s="417" t="s">
        <v>210</v>
      </c>
      <c r="AM581" s="392" t="s">
        <v>210</v>
      </c>
      <c r="AN581" s="392" t="s">
        <v>210</v>
      </c>
      <c r="AO581" s="341" t="s">
        <v>210</v>
      </c>
      <c r="AP581" s="342"/>
      <c r="AQ581" s="343"/>
      <c r="AR581" s="452">
        <v>3813</v>
      </c>
      <c r="AS581" s="326">
        <v>120</v>
      </c>
      <c r="AT581" s="432">
        <v>1</v>
      </c>
      <c r="AU581" s="432"/>
      <c r="AV581" s="432">
        <v>1</v>
      </c>
      <c r="AW581" s="490"/>
      <c r="AX581" s="376"/>
      <c r="AY581" s="348"/>
      <c r="AZ581" s="407"/>
      <c r="BA581" s="408"/>
      <c r="BB581" s="408"/>
      <c r="BC581" s="408"/>
      <c r="BD581" s="408"/>
      <c r="BE581" s="408"/>
      <c r="BF581" s="408"/>
      <c r="BG581" s="408"/>
      <c r="BH581" s="409"/>
      <c r="BI581" s="410"/>
      <c r="BJ581" s="411"/>
      <c r="BK581" s="412"/>
      <c r="BL581" s="413"/>
      <c r="BM581" s="414"/>
      <c r="BN581" s="417" t="s">
        <v>210</v>
      </c>
      <c r="BO581" s="372"/>
      <c r="BP581" s="340" t="s">
        <v>210</v>
      </c>
      <c r="BQ581" s="360"/>
      <c r="BR581" s="361"/>
      <c r="BS581" s="361"/>
      <c r="BT581" s="361"/>
      <c r="BU581" s="342" t="s">
        <v>210</v>
      </c>
      <c r="BV581" s="342" t="s">
        <v>210</v>
      </c>
      <c r="BW581" s="341" t="s">
        <v>210</v>
      </c>
      <c r="BX581" s="361"/>
      <c r="BY581" s="457"/>
      <c r="BZ581" s="363"/>
      <c r="CA581" s="363"/>
      <c r="CB581" s="363"/>
      <c r="CC581" s="363"/>
    </row>
    <row r="582" spans="1:82" ht="22.5" customHeight="1">
      <c r="B582" s="442">
        <v>150478</v>
      </c>
      <c r="C582" s="747" t="s">
        <v>2953</v>
      </c>
      <c r="D582" s="439"/>
      <c r="E582" s="404"/>
      <c r="F582" s="405" t="s">
        <v>225</v>
      </c>
      <c r="G582" s="324" t="s">
        <v>1990</v>
      </c>
      <c r="H582" s="324" t="s">
        <v>2298</v>
      </c>
      <c r="I582" s="326" t="s">
        <v>383</v>
      </c>
      <c r="J582" s="326" t="s">
        <v>399</v>
      </c>
      <c r="K582" s="326" t="s">
        <v>917</v>
      </c>
      <c r="L582" s="323"/>
      <c r="M582" s="324" t="s">
        <v>10767</v>
      </c>
      <c r="N582" s="325" t="s">
        <v>437</v>
      </c>
      <c r="O582" s="324">
        <v>30</v>
      </c>
      <c r="P582" s="458">
        <v>1072.71</v>
      </c>
      <c r="Q582" s="459">
        <v>1109.6099999999999</v>
      </c>
      <c r="R582" s="420" t="s">
        <v>2299</v>
      </c>
      <c r="S582" s="394" t="s">
        <v>11827</v>
      </c>
      <c r="T582" s="394" t="s">
        <v>11829</v>
      </c>
      <c r="U582" s="394" t="s">
        <v>11828</v>
      </c>
      <c r="V582" s="394" t="s">
        <v>11830</v>
      </c>
      <c r="W582" s="332" t="s">
        <v>432</v>
      </c>
      <c r="X582" s="331" t="s">
        <v>11079</v>
      </c>
      <c r="Y582" s="331" t="s">
        <v>11080</v>
      </c>
      <c r="Z582" s="331" t="s">
        <v>11080</v>
      </c>
      <c r="AA582" s="331" t="s">
        <v>210</v>
      </c>
      <c r="AB582" s="416"/>
      <c r="AC582" s="416"/>
      <c r="AD582" s="334" t="s">
        <v>2325</v>
      </c>
      <c r="AE582" s="335" t="s">
        <v>210</v>
      </c>
      <c r="AF582" s="475">
        <v>42250</v>
      </c>
      <c r="AG582" s="748">
        <v>42305</v>
      </c>
      <c r="AH582" s="417" t="s">
        <v>210</v>
      </c>
      <c r="AI582" s="392" t="s">
        <v>210</v>
      </c>
      <c r="AJ582" s="392" t="s">
        <v>210</v>
      </c>
      <c r="AK582" s="340" t="s">
        <v>210</v>
      </c>
      <c r="AL582" s="417" t="s">
        <v>210</v>
      </c>
      <c r="AM582" s="392" t="s">
        <v>210</v>
      </c>
      <c r="AN582" s="392" t="s">
        <v>210</v>
      </c>
      <c r="AO582" s="341" t="s">
        <v>210</v>
      </c>
      <c r="AP582" s="342"/>
      <c r="AQ582" s="343"/>
      <c r="AR582" s="452">
        <v>1407</v>
      </c>
      <c r="AS582" s="326">
        <v>100</v>
      </c>
      <c r="AT582" s="432">
        <v>1</v>
      </c>
      <c r="AU582" s="432"/>
      <c r="AV582" s="432">
        <v>1.2</v>
      </c>
      <c r="AW582" s="490"/>
      <c r="AX582" s="376"/>
      <c r="AY582" s="348"/>
      <c r="AZ582" s="407"/>
      <c r="BA582" s="408"/>
      <c r="BB582" s="408"/>
      <c r="BC582" s="408"/>
      <c r="BD582" s="408"/>
      <c r="BE582" s="408"/>
      <c r="BF582" s="408"/>
      <c r="BG582" s="408"/>
      <c r="BH582" s="409"/>
      <c r="BI582" s="410"/>
      <c r="BJ582" s="411"/>
      <c r="BK582" s="412"/>
      <c r="BL582" s="413"/>
      <c r="BM582" s="414"/>
      <c r="BN582" s="321" t="s">
        <v>14</v>
      </c>
      <c r="BO582" s="372"/>
      <c r="BP582" s="373" t="s">
        <v>14</v>
      </c>
      <c r="BQ582" s="360"/>
      <c r="BR582" s="361"/>
      <c r="BS582" s="361"/>
      <c r="BT582" s="361"/>
      <c r="BU582" s="342" t="s">
        <v>210</v>
      </c>
      <c r="BV582" s="342" t="s">
        <v>210</v>
      </c>
      <c r="BW582" s="341" t="s">
        <v>15</v>
      </c>
      <c r="BX582" s="361"/>
      <c r="BY582" s="457"/>
      <c r="BZ582" s="363"/>
      <c r="CA582" s="363"/>
      <c r="CB582" s="363"/>
      <c r="CC582" s="363"/>
    </row>
    <row r="583" spans="1:82" s="465" customFormat="1" ht="22.5" customHeight="1">
      <c r="A583" s="287"/>
      <c r="B583" s="749">
        <v>150481</v>
      </c>
      <c r="C583" s="750" t="s">
        <v>2952</v>
      </c>
      <c r="D583" s="751"/>
      <c r="E583" s="752"/>
      <c r="F583" s="753" t="s">
        <v>3059</v>
      </c>
      <c r="G583" s="754" t="s">
        <v>3060</v>
      </c>
      <c r="H583" s="754" t="s">
        <v>3061</v>
      </c>
      <c r="I583" s="662" t="s">
        <v>383</v>
      </c>
      <c r="J583" s="662" t="s">
        <v>387</v>
      </c>
      <c r="K583" s="662" t="s">
        <v>917</v>
      </c>
      <c r="L583" s="688"/>
      <c r="M583" s="754"/>
      <c r="N583" s="755"/>
      <c r="O583" s="754"/>
      <c r="P583" s="782" t="s">
        <v>210</v>
      </c>
      <c r="Q583" s="783" t="s">
        <v>3026</v>
      </c>
      <c r="R583" s="756" t="s">
        <v>2299</v>
      </c>
      <c r="S583" s="708" t="s">
        <v>13164</v>
      </c>
      <c r="T583" s="708" t="s">
        <v>11829</v>
      </c>
      <c r="U583" s="708" t="s">
        <v>11828</v>
      </c>
      <c r="V583" s="708" t="s">
        <v>13165</v>
      </c>
      <c r="W583" s="757" t="s">
        <v>2345</v>
      </c>
      <c r="X583" s="708"/>
      <c r="Y583" s="708" t="s">
        <v>13170</v>
      </c>
      <c r="Z583" s="708" t="s">
        <v>16507</v>
      </c>
      <c r="AA583" s="708" t="s">
        <v>13169</v>
      </c>
      <c r="AB583" s="758"/>
      <c r="AC583" s="758"/>
      <c r="AD583" s="759"/>
      <c r="AE583" s="760"/>
      <c r="AF583" s="761">
        <v>42244</v>
      </c>
      <c r="AG583" s="674" t="s">
        <v>10514</v>
      </c>
      <c r="AH583" s="675" t="s">
        <v>210</v>
      </c>
      <c r="AI583" s="676" t="s">
        <v>210</v>
      </c>
      <c r="AJ583" s="676" t="s">
        <v>210</v>
      </c>
      <c r="AK583" s="677" t="s">
        <v>210</v>
      </c>
      <c r="AL583" s="675" t="s">
        <v>210</v>
      </c>
      <c r="AM583" s="676" t="s">
        <v>210</v>
      </c>
      <c r="AN583" s="676" t="s">
        <v>210</v>
      </c>
      <c r="AO583" s="678" t="s">
        <v>210</v>
      </c>
      <c r="AP583" s="663"/>
      <c r="AQ583" s="762"/>
      <c r="AR583" s="763">
        <v>3065</v>
      </c>
      <c r="AS583" s="662">
        <v>150</v>
      </c>
      <c r="AT583" s="785">
        <v>0.8</v>
      </c>
      <c r="AU583" s="785"/>
      <c r="AV583" s="785">
        <v>1.5</v>
      </c>
      <c r="AW583" s="764"/>
      <c r="AX583" s="765"/>
      <c r="AY583" s="766"/>
      <c r="AZ583" s="753"/>
      <c r="BA583" s="754"/>
      <c r="BB583" s="754"/>
      <c r="BC583" s="754"/>
      <c r="BD583" s="754"/>
      <c r="BE583" s="754"/>
      <c r="BF583" s="754"/>
      <c r="BG583" s="754"/>
      <c r="BH583" s="767"/>
      <c r="BI583" s="773"/>
      <c r="BJ583" s="768"/>
      <c r="BK583" s="769"/>
      <c r="BL583" s="766"/>
      <c r="BM583" s="770"/>
      <c r="BN583" s="765"/>
      <c r="BO583" s="771"/>
      <c r="BP583" s="772"/>
      <c r="BQ583" s="773"/>
      <c r="BR583" s="688"/>
      <c r="BS583" s="688"/>
      <c r="BT583" s="688"/>
      <c r="BU583" s="663" t="s">
        <v>5510</v>
      </c>
      <c r="BV583" s="663" t="s">
        <v>5510</v>
      </c>
      <c r="BW583" s="678" t="s">
        <v>15</v>
      </c>
      <c r="BX583" s="688"/>
      <c r="BY583" s="774"/>
      <c r="BZ583" s="483"/>
      <c r="CA583" s="483"/>
      <c r="CB583" s="483"/>
      <c r="CC583" s="483"/>
      <c r="CD583" s="484"/>
    </row>
    <row r="584" spans="1:82" s="465" customFormat="1" ht="22.5" customHeight="1">
      <c r="A584" s="287"/>
      <c r="B584" s="749">
        <v>150484</v>
      </c>
      <c r="C584" s="750" t="s">
        <v>13320</v>
      </c>
      <c r="D584" s="751"/>
      <c r="E584" s="752"/>
      <c r="F584" s="753" t="s">
        <v>1058</v>
      </c>
      <c r="G584" s="754" t="s">
        <v>3109</v>
      </c>
      <c r="H584" s="754" t="s">
        <v>3394</v>
      </c>
      <c r="I584" s="662" t="s">
        <v>383</v>
      </c>
      <c r="J584" s="662" t="s">
        <v>387</v>
      </c>
      <c r="K584" s="754" t="s">
        <v>3644</v>
      </c>
      <c r="L584" s="688"/>
      <c r="M584" s="754"/>
      <c r="N584" s="755" t="s">
        <v>438</v>
      </c>
      <c r="O584" s="754" t="s">
        <v>210</v>
      </c>
      <c r="P584" s="665" t="s">
        <v>210</v>
      </c>
      <c r="Q584" s="666" t="s">
        <v>210</v>
      </c>
      <c r="R584" s="756" t="s">
        <v>3507</v>
      </c>
      <c r="S584" s="708" t="s">
        <v>13321</v>
      </c>
      <c r="T584" s="708" t="s">
        <v>13322</v>
      </c>
      <c r="U584" s="708" t="s">
        <v>16251</v>
      </c>
      <c r="V584" s="708" t="s">
        <v>13323</v>
      </c>
      <c r="W584" s="757" t="s">
        <v>2470</v>
      </c>
      <c r="X584" s="668" t="s">
        <v>13018</v>
      </c>
      <c r="Y584" s="708" t="s">
        <v>11201</v>
      </c>
      <c r="Z584" s="708" t="s">
        <v>12155</v>
      </c>
      <c r="AA584" s="668" t="s">
        <v>13019</v>
      </c>
      <c r="AB584" s="758"/>
      <c r="AC584" s="758"/>
      <c r="AD584" s="759"/>
      <c r="AE584" s="760"/>
      <c r="AF584" s="761">
        <v>42471</v>
      </c>
      <c r="AG584" s="674" t="s">
        <v>10514</v>
      </c>
      <c r="AH584" s="675" t="s">
        <v>210</v>
      </c>
      <c r="AI584" s="676" t="s">
        <v>210</v>
      </c>
      <c r="AJ584" s="676" t="s">
        <v>210</v>
      </c>
      <c r="AK584" s="677" t="s">
        <v>210</v>
      </c>
      <c r="AL584" s="675" t="s">
        <v>210</v>
      </c>
      <c r="AM584" s="676" t="s">
        <v>210</v>
      </c>
      <c r="AN584" s="676" t="s">
        <v>210</v>
      </c>
      <c r="AO584" s="678" t="s">
        <v>210</v>
      </c>
      <c r="AP584" s="663"/>
      <c r="AQ584" s="762"/>
      <c r="AR584" s="763">
        <v>855</v>
      </c>
      <c r="AS584" s="754">
        <v>100</v>
      </c>
      <c r="AT584" s="785">
        <v>1</v>
      </c>
      <c r="AU584" s="785"/>
      <c r="AV584" s="785">
        <v>1.2</v>
      </c>
      <c r="AW584" s="764"/>
      <c r="AX584" s="765"/>
      <c r="AY584" s="766"/>
      <c r="AZ584" s="661" t="s">
        <v>3367</v>
      </c>
      <c r="BA584" s="662" t="s">
        <v>3390</v>
      </c>
      <c r="BB584" s="662" t="s">
        <v>3390</v>
      </c>
      <c r="BC584" s="662" t="s">
        <v>3390</v>
      </c>
      <c r="BD584" s="662" t="s">
        <v>3390</v>
      </c>
      <c r="BE584" s="662" t="s">
        <v>3391</v>
      </c>
      <c r="BF584" s="662" t="s">
        <v>3392</v>
      </c>
      <c r="BG584" s="662" t="s">
        <v>3393</v>
      </c>
      <c r="BH584" s="682" t="s">
        <v>3392</v>
      </c>
      <c r="BI584" s="773"/>
      <c r="BJ584" s="768" t="s">
        <v>210</v>
      </c>
      <c r="BK584" s="769"/>
      <c r="BL584" s="766"/>
      <c r="BM584" s="770"/>
      <c r="BN584" s="661" t="s">
        <v>14</v>
      </c>
      <c r="BO584" s="686"/>
      <c r="BP584" s="682" t="s">
        <v>14</v>
      </c>
      <c r="BQ584" s="773"/>
      <c r="BR584" s="688"/>
      <c r="BS584" s="688"/>
      <c r="BT584" s="688"/>
      <c r="BU584" s="663" t="s">
        <v>5510</v>
      </c>
      <c r="BV584" s="663" t="s">
        <v>5510</v>
      </c>
      <c r="BW584" s="678" t="s">
        <v>15</v>
      </c>
      <c r="BX584" s="688"/>
      <c r="BY584" s="774"/>
      <c r="BZ584" s="483"/>
      <c r="CA584" s="483"/>
      <c r="CB584" s="483"/>
      <c r="CC584" s="483"/>
      <c r="CD584" s="484"/>
    </row>
    <row r="585" spans="1:82" ht="22.5" customHeight="1">
      <c r="B585" s="442">
        <v>150486</v>
      </c>
      <c r="C585" s="747" t="s">
        <v>3042</v>
      </c>
      <c r="D585" s="439"/>
      <c r="E585" s="404"/>
      <c r="F585" s="405" t="s">
        <v>264</v>
      </c>
      <c r="G585" s="324" t="s">
        <v>2829</v>
      </c>
      <c r="H585" s="324" t="s">
        <v>3062</v>
      </c>
      <c r="I585" s="326" t="s">
        <v>383</v>
      </c>
      <c r="J585" s="326" t="s">
        <v>387</v>
      </c>
      <c r="K585" s="324" t="s">
        <v>247</v>
      </c>
      <c r="L585" s="361"/>
      <c r="M585" s="408"/>
      <c r="N585" s="325" t="s">
        <v>437</v>
      </c>
      <c r="O585" s="324">
        <v>20</v>
      </c>
      <c r="P585" s="327">
        <v>406.75</v>
      </c>
      <c r="Q585" s="369">
        <v>205.82</v>
      </c>
      <c r="R585" s="420" t="s">
        <v>3043</v>
      </c>
      <c r="S585" s="394" t="s">
        <v>13316</v>
      </c>
      <c r="T585" s="394" t="s">
        <v>13318</v>
      </c>
      <c r="U585" s="394" t="s">
        <v>13317</v>
      </c>
      <c r="V585" s="394" t="s">
        <v>13319</v>
      </c>
      <c r="W585" s="332" t="s">
        <v>432</v>
      </c>
      <c r="X585" s="331" t="s">
        <v>11079</v>
      </c>
      <c r="Y585" s="331" t="s">
        <v>11080</v>
      </c>
      <c r="Z585" s="331" t="s">
        <v>11080</v>
      </c>
      <c r="AA585" s="331" t="s">
        <v>210</v>
      </c>
      <c r="AB585" s="416"/>
      <c r="AC585" s="416"/>
      <c r="AD585" s="447" t="s">
        <v>3508</v>
      </c>
      <c r="AE585" s="335" t="s">
        <v>210</v>
      </c>
      <c r="AF585" s="475">
        <v>42296</v>
      </c>
      <c r="AG585" s="748">
        <v>42476</v>
      </c>
      <c r="AH585" s="410"/>
      <c r="AI585" s="500"/>
      <c r="AJ585" s="500"/>
      <c r="AK585" s="492"/>
      <c r="AL585" s="417" t="s">
        <v>210</v>
      </c>
      <c r="AM585" s="392" t="s">
        <v>210</v>
      </c>
      <c r="AN585" s="392" t="s">
        <v>210</v>
      </c>
      <c r="AO585" s="341" t="s">
        <v>210</v>
      </c>
      <c r="AP585" s="342"/>
      <c r="AQ585" s="343"/>
      <c r="AR585" s="452">
        <v>262</v>
      </c>
      <c r="AS585" s="324">
        <v>150</v>
      </c>
      <c r="AT585" s="432">
        <v>1</v>
      </c>
      <c r="AU585" s="432"/>
      <c r="AV585" s="432">
        <v>1</v>
      </c>
      <c r="AW585" s="490"/>
      <c r="AX585" s="410"/>
      <c r="AY585" s="413"/>
      <c r="AZ585" s="405" t="s">
        <v>622</v>
      </c>
      <c r="BA585" s="324" t="s">
        <v>3509</v>
      </c>
      <c r="BB585" s="324" t="s">
        <v>3510</v>
      </c>
      <c r="BC585" s="324" t="s">
        <v>3511</v>
      </c>
      <c r="BD585" s="324" t="s">
        <v>3510</v>
      </c>
      <c r="BE585" s="326" t="s">
        <v>3363</v>
      </c>
      <c r="BF585" s="324" t="s">
        <v>3512</v>
      </c>
      <c r="BG585" s="324" t="s">
        <v>3513</v>
      </c>
      <c r="BH585" s="426" t="s">
        <v>3512</v>
      </c>
      <c r="BI585" s="410"/>
      <c r="BJ585" s="427" t="s">
        <v>210</v>
      </c>
      <c r="BK585" s="412"/>
      <c r="BL585" s="413"/>
      <c r="BM585" s="414"/>
      <c r="BN585" s="321" t="s">
        <v>14</v>
      </c>
      <c r="BO585" s="372"/>
      <c r="BP585" s="373" t="s">
        <v>14</v>
      </c>
      <c r="BQ585" s="360"/>
      <c r="BR585" s="361"/>
      <c r="BS585" s="361"/>
      <c r="BT585" s="361"/>
      <c r="BU585" s="342" t="s">
        <v>210</v>
      </c>
      <c r="BV585" s="342" t="s">
        <v>210</v>
      </c>
      <c r="BW585" s="341" t="s">
        <v>15</v>
      </c>
      <c r="BX585" s="361"/>
      <c r="BY585" s="457"/>
      <c r="BZ585" s="363"/>
      <c r="CA585" s="363"/>
      <c r="CB585" s="363"/>
      <c r="CC585" s="363"/>
    </row>
    <row r="586" spans="1:82" ht="22.5" customHeight="1">
      <c r="B586" s="442">
        <v>150488</v>
      </c>
      <c r="C586" s="747" t="s">
        <v>2897</v>
      </c>
      <c r="D586" s="439"/>
      <c r="E586" s="404"/>
      <c r="F586" s="405" t="s">
        <v>2898</v>
      </c>
      <c r="G586" s="324" t="s">
        <v>2899</v>
      </c>
      <c r="H586" s="324" t="s">
        <v>2900</v>
      </c>
      <c r="I586" s="326" t="s">
        <v>383</v>
      </c>
      <c r="J586" s="326" t="s">
        <v>399</v>
      </c>
      <c r="K586" s="326" t="s">
        <v>917</v>
      </c>
      <c r="L586" s="432" t="s">
        <v>210</v>
      </c>
      <c r="M586" s="324" t="s">
        <v>10767</v>
      </c>
      <c r="N586" s="444" t="s">
        <v>438</v>
      </c>
      <c r="O586" s="324">
        <v>250</v>
      </c>
      <c r="P586" s="327" t="s">
        <v>210</v>
      </c>
      <c r="Q586" s="369" t="s">
        <v>210</v>
      </c>
      <c r="R586" s="329" t="s">
        <v>486</v>
      </c>
      <c r="S586" s="331" t="s">
        <v>11303</v>
      </c>
      <c r="T586" s="331" t="s">
        <v>11305</v>
      </c>
      <c r="U586" s="331" t="s">
        <v>11306</v>
      </c>
      <c r="V586" s="331" t="s">
        <v>11307</v>
      </c>
      <c r="W586" s="332" t="s">
        <v>432</v>
      </c>
      <c r="X586" s="331" t="s">
        <v>11079</v>
      </c>
      <c r="Y586" s="331" t="s">
        <v>11080</v>
      </c>
      <c r="Z586" s="331" t="s">
        <v>11080</v>
      </c>
      <c r="AA586" s="331" t="s">
        <v>210</v>
      </c>
      <c r="AB586" s="416"/>
      <c r="AC586" s="416"/>
      <c r="AD586" s="334" t="s">
        <v>2322</v>
      </c>
      <c r="AE586" s="499" t="s">
        <v>6424</v>
      </c>
      <c r="AF586" s="475">
        <v>42236</v>
      </c>
      <c r="AG586" s="748">
        <v>42416</v>
      </c>
      <c r="AH586" s="417">
        <v>16.100000000000001</v>
      </c>
      <c r="AI586" s="392">
        <v>39.200000000000003</v>
      </c>
      <c r="AJ586" s="392">
        <v>26.6</v>
      </c>
      <c r="AK586" s="340">
        <f>AH586+AI586+AJ586</f>
        <v>81.900000000000006</v>
      </c>
      <c r="AL586" s="417" t="s">
        <v>210</v>
      </c>
      <c r="AM586" s="392" t="s">
        <v>210</v>
      </c>
      <c r="AN586" s="392" t="s">
        <v>210</v>
      </c>
      <c r="AO586" s="341" t="s">
        <v>210</v>
      </c>
      <c r="AP586" s="342"/>
      <c r="AQ586" s="433" t="s">
        <v>4547</v>
      </c>
      <c r="AR586" s="452">
        <v>3452</v>
      </c>
      <c r="AS586" s="326">
        <v>150</v>
      </c>
      <c r="AT586" s="432">
        <v>0.8</v>
      </c>
      <c r="AU586" s="432"/>
      <c r="AV586" s="432">
        <v>1.2</v>
      </c>
      <c r="AW586" s="490"/>
      <c r="AX586" s="453" t="s">
        <v>210</v>
      </c>
      <c r="AY586" s="429" t="s">
        <v>622</v>
      </c>
      <c r="AZ586" s="407"/>
      <c r="BA586" s="408"/>
      <c r="BB586" s="408"/>
      <c r="BC586" s="408"/>
      <c r="BD586" s="408"/>
      <c r="BE586" s="408"/>
      <c r="BF586" s="408"/>
      <c r="BG586" s="408"/>
      <c r="BH586" s="409"/>
      <c r="BI586" s="410"/>
      <c r="BJ586" s="411"/>
      <c r="BK586" s="412"/>
      <c r="BL586" s="413"/>
      <c r="BM586" s="414"/>
      <c r="BN586" s="321" t="s">
        <v>14</v>
      </c>
      <c r="BO586" s="372"/>
      <c r="BP586" s="373" t="s">
        <v>14</v>
      </c>
      <c r="BQ586" s="360"/>
      <c r="BR586" s="361"/>
      <c r="BS586" s="361"/>
      <c r="BT586" s="361"/>
      <c r="BU586" s="342" t="s">
        <v>210</v>
      </c>
      <c r="BV586" s="342" t="s">
        <v>210</v>
      </c>
      <c r="BW586" s="341" t="s">
        <v>15</v>
      </c>
      <c r="BX586" s="361"/>
      <c r="BY586" s="457"/>
      <c r="BZ586" s="363"/>
      <c r="CA586" s="363"/>
      <c r="CB586" s="363"/>
      <c r="CC586" s="363"/>
    </row>
    <row r="587" spans="1:82" ht="22.5" customHeight="1">
      <c r="B587" s="442">
        <v>150490</v>
      </c>
      <c r="C587" s="747" t="s">
        <v>2951</v>
      </c>
      <c r="D587" s="439"/>
      <c r="E587" s="404"/>
      <c r="F587" s="405" t="s">
        <v>2960</v>
      </c>
      <c r="G587" s="324" t="s">
        <v>2961</v>
      </c>
      <c r="H587" s="324" t="s">
        <v>2962</v>
      </c>
      <c r="I587" s="326" t="s">
        <v>383</v>
      </c>
      <c r="J587" s="326" t="s">
        <v>399</v>
      </c>
      <c r="K587" s="326" t="s">
        <v>917</v>
      </c>
      <c r="L587" s="323"/>
      <c r="M587" s="324" t="s">
        <v>10767</v>
      </c>
      <c r="N587" s="325" t="s">
        <v>437</v>
      </c>
      <c r="O587" s="324">
        <v>200</v>
      </c>
      <c r="P587" s="327">
        <v>1196.51</v>
      </c>
      <c r="Q587" s="369">
        <v>1204.3499999999999</v>
      </c>
      <c r="R587" s="329" t="s">
        <v>469</v>
      </c>
      <c r="S587" s="394" t="s">
        <v>11204</v>
      </c>
      <c r="T587" s="394" t="s">
        <v>11205</v>
      </c>
      <c r="U587" s="394" t="s">
        <v>11207</v>
      </c>
      <c r="V587" s="394" t="s">
        <v>11206</v>
      </c>
      <c r="W587" s="332" t="s">
        <v>432</v>
      </c>
      <c r="X587" s="331" t="s">
        <v>11079</v>
      </c>
      <c r="Y587" s="331" t="s">
        <v>11080</v>
      </c>
      <c r="Z587" s="331" t="s">
        <v>11080</v>
      </c>
      <c r="AA587" s="331" t="s">
        <v>210</v>
      </c>
      <c r="AB587" s="416"/>
      <c r="AC587" s="416"/>
      <c r="AD587" s="334" t="s">
        <v>2325</v>
      </c>
      <c r="AE587" s="335" t="s">
        <v>210</v>
      </c>
      <c r="AF587" s="475">
        <v>42242</v>
      </c>
      <c r="AG587" s="748">
        <v>42304</v>
      </c>
      <c r="AH587" s="417">
        <v>14.6</v>
      </c>
      <c r="AI587" s="392">
        <v>34.700000000000003</v>
      </c>
      <c r="AJ587" s="392">
        <v>28.2</v>
      </c>
      <c r="AK587" s="340">
        <f>AH587+AI587+AJ587</f>
        <v>77.5</v>
      </c>
      <c r="AL587" s="417" t="s">
        <v>210</v>
      </c>
      <c r="AM587" s="392" t="s">
        <v>210</v>
      </c>
      <c r="AN587" s="392" t="s">
        <v>210</v>
      </c>
      <c r="AO587" s="341" t="s">
        <v>210</v>
      </c>
      <c r="AP587" s="342"/>
      <c r="AQ587" s="343"/>
      <c r="AR587" s="452">
        <v>1548</v>
      </c>
      <c r="AS587" s="326">
        <v>100</v>
      </c>
      <c r="AT587" s="432">
        <v>1</v>
      </c>
      <c r="AU587" s="432"/>
      <c r="AV587" s="432">
        <v>1.5</v>
      </c>
      <c r="AW587" s="490"/>
      <c r="AX587" s="376"/>
      <c r="AY587" s="348"/>
      <c r="AZ587" s="407"/>
      <c r="BA587" s="408"/>
      <c r="BB587" s="408"/>
      <c r="BC587" s="408"/>
      <c r="BD587" s="408"/>
      <c r="BE587" s="408"/>
      <c r="BF587" s="408"/>
      <c r="BG587" s="408"/>
      <c r="BH587" s="409"/>
      <c r="BI587" s="410"/>
      <c r="BJ587" s="411"/>
      <c r="BK587" s="412"/>
      <c r="BL587" s="413"/>
      <c r="BM587" s="414"/>
      <c r="BN587" s="417" t="s">
        <v>210</v>
      </c>
      <c r="BO587" s="372"/>
      <c r="BP587" s="340" t="s">
        <v>210</v>
      </c>
      <c r="BQ587" s="360"/>
      <c r="BR587" s="361"/>
      <c r="BS587" s="361"/>
      <c r="BT587" s="361"/>
      <c r="BU587" s="342" t="s">
        <v>210</v>
      </c>
      <c r="BV587" s="342" t="s">
        <v>210</v>
      </c>
      <c r="BW587" s="341" t="s">
        <v>15</v>
      </c>
      <c r="BX587" s="361"/>
      <c r="BY587" s="457" t="s">
        <v>3021</v>
      </c>
      <c r="BZ587" s="363"/>
      <c r="CA587" s="363"/>
      <c r="CB587" s="363"/>
      <c r="CC587" s="363"/>
    </row>
    <row r="588" spans="1:82" s="465" customFormat="1" ht="21" customHeight="1">
      <c r="A588" s="287"/>
      <c r="B588" s="749">
        <v>150491</v>
      </c>
      <c r="C588" s="750" t="s">
        <v>3107</v>
      </c>
      <c r="D588" s="751" t="s">
        <v>4854</v>
      </c>
      <c r="E588" s="752" t="s">
        <v>5363</v>
      </c>
      <c r="F588" s="753" t="s">
        <v>2300</v>
      </c>
      <c r="G588" s="754" t="s">
        <v>2239</v>
      </c>
      <c r="H588" s="754"/>
      <c r="I588" s="754" t="s">
        <v>1066</v>
      </c>
      <c r="J588" s="662" t="s">
        <v>387</v>
      </c>
      <c r="K588" s="662" t="s">
        <v>203</v>
      </c>
      <c r="L588" s="688"/>
      <c r="M588" s="754" t="s">
        <v>7475</v>
      </c>
      <c r="N588" s="755" t="s">
        <v>468</v>
      </c>
      <c r="O588" s="754">
        <v>0</v>
      </c>
      <c r="P588" s="665" t="s">
        <v>210</v>
      </c>
      <c r="Q588" s="666" t="s">
        <v>210</v>
      </c>
      <c r="R588" s="667" t="s">
        <v>1669</v>
      </c>
      <c r="S588" s="668" t="s">
        <v>13312</v>
      </c>
      <c r="T588" s="668" t="s">
        <v>13313</v>
      </c>
      <c r="U588" s="668" t="s">
        <v>13314</v>
      </c>
      <c r="V588" s="668" t="s">
        <v>13315</v>
      </c>
      <c r="W588" s="669" t="s">
        <v>432</v>
      </c>
      <c r="X588" s="668" t="s">
        <v>11082</v>
      </c>
      <c r="Y588" s="668" t="s">
        <v>11082</v>
      </c>
      <c r="Z588" s="668" t="s">
        <v>11080</v>
      </c>
      <c r="AA588" s="668" t="s">
        <v>210</v>
      </c>
      <c r="AB588" s="758"/>
      <c r="AC588" s="758"/>
      <c r="AD588" s="759"/>
      <c r="AE588" s="672" t="s">
        <v>210</v>
      </c>
      <c r="AF588" s="761">
        <v>42316</v>
      </c>
      <c r="AG588" s="674"/>
      <c r="AH588" s="675" t="s">
        <v>210</v>
      </c>
      <c r="AI588" s="676" t="s">
        <v>210</v>
      </c>
      <c r="AJ588" s="676" t="s">
        <v>210</v>
      </c>
      <c r="AK588" s="677" t="s">
        <v>210</v>
      </c>
      <c r="AL588" s="675" t="s">
        <v>210</v>
      </c>
      <c r="AM588" s="676" t="s">
        <v>210</v>
      </c>
      <c r="AN588" s="676" t="s">
        <v>210</v>
      </c>
      <c r="AO588" s="678" t="s">
        <v>210</v>
      </c>
      <c r="AP588" s="688" t="s">
        <v>5655</v>
      </c>
      <c r="AQ588" s="762" t="s">
        <v>4548</v>
      </c>
      <c r="AR588" s="763">
        <v>214</v>
      </c>
      <c r="AS588" s="754">
        <v>120</v>
      </c>
      <c r="AT588" s="785">
        <v>1</v>
      </c>
      <c r="AU588" s="785" t="s">
        <v>3627</v>
      </c>
      <c r="AV588" s="785">
        <v>1</v>
      </c>
      <c r="AW588" s="764" t="s">
        <v>3627</v>
      </c>
      <c r="AX588" s="765"/>
      <c r="AY588" s="766"/>
      <c r="AZ588" s="753" t="s">
        <v>3367</v>
      </c>
      <c r="BA588" s="754"/>
      <c r="BB588" s="754"/>
      <c r="BC588" s="754"/>
      <c r="BD588" s="754"/>
      <c r="BE588" s="754"/>
      <c r="BF588" s="754"/>
      <c r="BG588" s="754"/>
      <c r="BH588" s="767"/>
      <c r="BI588" s="765"/>
      <c r="BJ588" s="768"/>
      <c r="BK588" s="769"/>
      <c r="BL588" s="766"/>
      <c r="BM588" s="770"/>
      <c r="BN588" s="765"/>
      <c r="BO588" s="771"/>
      <c r="BP588" s="772"/>
      <c r="BQ588" s="773"/>
      <c r="BR588" s="688"/>
      <c r="BS588" s="688"/>
      <c r="BT588" s="688"/>
      <c r="BU588" s="688" t="s">
        <v>210</v>
      </c>
      <c r="BV588" s="688" t="s">
        <v>210</v>
      </c>
      <c r="BW588" s="678" t="s">
        <v>15</v>
      </c>
      <c r="BX588" s="688"/>
      <c r="BY588" s="774"/>
      <c r="BZ588" s="483"/>
      <c r="CA588" s="483"/>
      <c r="CB588" s="483"/>
      <c r="CC588" s="483"/>
      <c r="CD588" s="484"/>
    </row>
    <row r="589" spans="1:82" ht="22.5" customHeight="1">
      <c r="B589" s="442">
        <v>150492</v>
      </c>
      <c r="C589" s="747" t="s">
        <v>2340</v>
      </c>
      <c r="D589" s="439"/>
      <c r="E589" s="404"/>
      <c r="F589" s="405" t="s">
        <v>2300</v>
      </c>
      <c r="G589" s="324" t="s">
        <v>2301</v>
      </c>
      <c r="H589" s="324" t="s">
        <v>2302</v>
      </c>
      <c r="I589" s="324" t="s">
        <v>1066</v>
      </c>
      <c r="J589" s="326" t="s">
        <v>399</v>
      </c>
      <c r="K589" s="326" t="s">
        <v>203</v>
      </c>
      <c r="L589" s="361"/>
      <c r="M589" s="408"/>
      <c r="N589" s="444" t="s">
        <v>2471</v>
      </c>
      <c r="O589" s="324">
        <v>0</v>
      </c>
      <c r="P589" s="327" t="s">
        <v>210</v>
      </c>
      <c r="Q589" s="369" t="s">
        <v>210</v>
      </c>
      <c r="R589" s="420" t="s">
        <v>2065</v>
      </c>
      <c r="S589" s="708" t="s">
        <v>11739</v>
      </c>
      <c r="T589" s="708" t="s">
        <v>11741</v>
      </c>
      <c r="U589" s="708" t="s">
        <v>11740</v>
      </c>
      <c r="V589" s="708" t="s">
        <v>11742</v>
      </c>
      <c r="W589" s="332" t="s">
        <v>432</v>
      </c>
      <c r="X589" s="331" t="s">
        <v>11079</v>
      </c>
      <c r="Y589" s="331" t="s">
        <v>11080</v>
      </c>
      <c r="Z589" s="331" t="s">
        <v>11080</v>
      </c>
      <c r="AA589" s="331" t="s">
        <v>210</v>
      </c>
      <c r="AB589" s="416"/>
      <c r="AC589" s="416"/>
      <c r="AD589" s="447" t="s">
        <v>10068</v>
      </c>
      <c r="AE589" s="335" t="s">
        <v>3019</v>
      </c>
      <c r="AF589" s="475">
        <v>42192</v>
      </c>
      <c r="AG589" s="748">
        <v>43281</v>
      </c>
      <c r="AH589" s="417" t="s">
        <v>210</v>
      </c>
      <c r="AI589" s="392" t="s">
        <v>210</v>
      </c>
      <c r="AJ589" s="392" t="s">
        <v>210</v>
      </c>
      <c r="AK589" s="340" t="s">
        <v>210</v>
      </c>
      <c r="AL589" s="410"/>
      <c r="AM589" s="408"/>
      <c r="AN589" s="500"/>
      <c r="AO589" s="422"/>
      <c r="AP589" s="342" t="s">
        <v>210</v>
      </c>
      <c r="AQ589" s="343"/>
      <c r="AR589" s="501"/>
      <c r="AS589" s="408"/>
      <c r="AT589" s="500"/>
      <c r="AU589" s="500"/>
      <c r="AV589" s="500"/>
      <c r="AW589" s="422"/>
      <c r="AX589" s="410"/>
      <c r="AY589" s="413"/>
      <c r="AZ589" s="407"/>
      <c r="BA589" s="408"/>
      <c r="BB589" s="408"/>
      <c r="BC589" s="408"/>
      <c r="BD589" s="408"/>
      <c r="BE589" s="408"/>
      <c r="BF589" s="408"/>
      <c r="BG589" s="408"/>
      <c r="BH589" s="409"/>
      <c r="BI589" s="410"/>
      <c r="BJ589" s="411"/>
      <c r="BK589" s="412"/>
      <c r="BL589" s="413"/>
      <c r="BM589" s="414"/>
      <c r="BN589" s="410"/>
      <c r="BO589" s="502"/>
      <c r="BP589" s="492"/>
      <c r="BQ589" s="360"/>
      <c r="BR589" s="361"/>
      <c r="BS589" s="361"/>
      <c r="BT589" s="361"/>
      <c r="BU589" s="342" t="s">
        <v>210</v>
      </c>
      <c r="BV589" s="342" t="s">
        <v>210</v>
      </c>
      <c r="BW589" s="341" t="s">
        <v>210</v>
      </c>
      <c r="BX589" s="361"/>
      <c r="BY589" s="457"/>
      <c r="BZ589" s="363"/>
      <c r="CA589" s="363"/>
      <c r="CB589" s="363"/>
      <c r="CC589" s="363"/>
    </row>
    <row r="590" spans="1:82" ht="22.5" customHeight="1">
      <c r="B590" s="442">
        <v>150495</v>
      </c>
      <c r="C590" s="747" t="s">
        <v>4124</v>
      </c>
      <c r="D590" s="439"/>
      <c r="E590" s="404"/>
      <c r="F590" s="405" t="s">
        <v>1043</v>
      </c>
      <c r="G590" s="324" t="s">
        <v>4125</v>
      </c>
      <c r="H590" s="324" t="s">
        <v>4126</v>
      </c>
      <c r="I590" s="326" t="s">
        <v>383</v>
      </c>
      <c r="J590" s="326" t="s">
        <v>399</v>
      </c>
      <c r="K590" s="326" t="s">
        <v>917</v>
      </c>
      <c r="L590" s="323"/>
      <c r="M590" s="408"/>
      <c r="N590" s="325" t="s">
        <v>438</v>
      </c>
      <c r="O590" s="324">
        <v>70</v>
      </c>
      <c r="P590" s="327" t="s">
        <v>210</v>
      </c>
      <c r="Q590" s="369" t="s">
        <v>210</v>
      </c>
      <c r="R590" s="329" t="s">
        <v>1487</v>
      </c>
      <c r="S590" s="331" t="s">
        <v>13248</v>
      </c>
      <c r="T590" s="331" t="s">
        <v>13249</v>
      </c>
      <c r="U590" s="331" t="s">
        <v>16293</v>
      </c>
      <c r="V590" s="331" t="s">
        <v>13250</v>
      </c>
      <c r="W590" s="460" t="s">
        <v>4139</v>
      </c>
      <c r="X590" s="400"/>
      <c r="Y590" s="400"/>
      <c r="Z590" s="400"/>
      <c r="AA590" s="400"/>
      <c r="AB590" s="416"/>
      <c r="AC590" s="416"/>
      <c r="AD590" s="334" t="s">
        <v>3569</v>
      </c>
      <c r="AE590" s="499" t="s">
        <v>353</v>
      </c>
      <c r="AF590" s="475">
        <v>42642</v>
      </c>
      <c r="AG590" s="748">
        <v>42796</v>
      </c>
      <c r="AH590" s="417" t="s">
        <v>210</v>
      </c>
      <c r="AI590" s="392" t="s">
        <v>210</v>
      </c>
      <c r="AJ590" s="392" t="s">
        <v>210</v>
      </c>
      <c r="AK590" s="340" t="s">
        <v>210</v>
      </c>
      <c r="AL590" s="417" t="s">
        <v>210</v>
      </c>
      <c r="AM590" s="392" t="s">
        <v>210</v>
      </c>
      <c r="AN590" s="392" t="s">
        <v>210</v>
      </c>
      <c r="AO590" s="341" t="s">
        <v>210</v>
      </c>
      <c r="AP590" s="342"/>
      <c r="AQ590" s="343"/>
      <c r="AR590" s="452">
        <v>9861</v>
      </c>
      <c r="AS590" s="324">
        <v>100</v>
      </c>
      <c r="AT590" s="432">
        <v>0.8</v>
      </c>
      <c r="AU590" s="432"/>
      <c r="AV590" s="432">
        <v>1.2</v>
      </c>
      <c r="AW590" s="490"/>
      <c r="AX590" s="376"/>
      <c r="AY590" s="348"/>
      <c r="AZ590" s="405" t="s">
        <v>4083</v>
      </c>
      <c r="BA590" s="324" t="s">
        <v>210</v>
      </c>
      <c r="BB590" s="324" t="s">
        <v>210</v>
      </c>
      <c r="BC590" s="324" t="s">
        <v>4127</v>
      </c>
      <c r="BD590" s="324" t="s">
        <v>3713</v>
      </c>
      <c r="BE590" s="324" t="s">
        <v>4128</v>
      </c>
      <c r="BF590" s="324" t="s">
        <v>3713</v>
      </c>
      <c r="BG590" s="324" t="s">
        <v>4127</v>
      </c>
      <c r="BH590" s="426" t="s">
        <v>3574</v>
      </c>
      <c r="BI590" s="410"/>
      <c r="BJ590" s="427" t="s">
        <v>210</v>
      </c>
      <c r="BK590" s="412"/>
      <c r="BL590" s="413"/>
      <c r="BM590" s="414"/>
      <c r="BN590" s="321" t="s">
        <v>14</v>
      </c>
      <c r="BO590" s="372">
        <v>0.91</v>
      </c>
      <c r="BP590" s="373" t="s">
        <v>14</v>
      </c>
      <c r="BQ590" s="360"/>
      <c r="BR590" s="361"/>
      <c r="BS590" s="361"/>
      <c r="BT590" s="361"/>
      <c r="BU590" s="342" t="s">
        <v>210</v>
      </c>
      <c r="BV590" s="342" t="s">
        <v>210</v>
      </c>
      <c r="BW590" s="341" t="s">
        <v>210</v>
      </c>
      <c r="BX590" s="361"/>
      <c r="BY590" s="457"/>
      <c r="BZ590" s="363"/>
      <c r="CA590" s="363"/>
      <c r="CB590" s="363"/>
      <c r="CC590" s="363"/>
    </row>
    <row r="591" spans="1:82" ht="22.5" customHeight="1">
      <c r="B591" s="442">
        <v>150496</v>
      </c>
      <c r="C591" s="747" t="s">
        <v>13308</v>
      </c>
      <c r="D591" s="439"/>
      <c r="E591" s="404"/>
      <c r="F591" s="405" t="s">
        <v>1390</v>
      </c>
      <c r="G591" s="324" t="s">
        <v>3609</v>
      </c>
      <c r="H591" s="324" t="s">
        <v>3610</v>
      </c>
      <c r="I591" s="326" t="s">
        <v>383</v>
      </c>
      <c r="J591" s="326" t="s">
        <v>387</v>
      </c>
      <c r="K591" s="324" t="s">
        <v>247</v>
      </c>
      <c r="L591" s="361"/>
      <c r="M591" s="408"/>
      <c r="N591" s="325" t="s">
        <v>438</v>
      </c>
      <c r="O591" s="324">
        <v>70</v>
      </c>
      <c r="P591" s="327" t="s">
        <v>210</v>
      </c>
      <c r="Q591" s="369" t="s">
        <v>210</v>
      </c>
      <c r="R591" s="329" t="s">
        <v>1040</v>
      </c>
      <c r="S591" s="394" t="s">
        <v>11528</v>
      </c>
      <c r="T591" s="394" t="s">
        <v>11529</v>
      </c>
      <c r="U591" s="394" t="s">
        <v>16415</v>
      </c>
      <c r="V591" s="394" t="s">
        <v>11531</v>
      </c>
      <c r="W591" s="460" t="s">
        <v>1069</v>
      </c>
      <c r="X591" s="394" t="s">
        <v>13309</v>
      </c>
      <c r="Y591" s="394" t="s">
        <v>13311</v>
      </c>
      <c r="Z591" s="394" t="s">
        <v>16470</v>
      </c>
      <c r="AA591" s="394" t="s">
        <v>13310</v>
      </c>
      <c r="AB591" s="416"/>
      <c r="AC591" s="416"/>
      <c r="AD591" s="447" t="s">
        <v>3076</v>
      </c>
      <c r="AE591" s="499" t="s">
        <v>1038</v>
      </c>
      <c r="AF591" s="475">
        <v>42510</v>
      </c>
      <c r="AG591" s="748">
        <v>42608</v>
      </c>
      <c r="AH591" s="417" t="s">
        <v>210</v>
      </c>
      <c r="AI591" s="392" t="s">
        <v>210</v>
      </c>
      <c r="AJ591" s="392" t="s">
        <v>210</v>
      </c>
      <c r="AK591" s="340" t="s">
        <v>210</v>
      </c>
      <c r="AL591" s="417" t="s">
        <v>210</v>
      </c>
      <c r="AM591" s="392" t="s">
        <v>210</v>
      </c>
      <c r="AN591" s="392" t="s">
        <v>210</v>
      </c>
      <c r="AO591" s="341" t="s">
        <v>210</v>
      </c>
      <c r="AP591" s="342"/>
      <c r="AQ591" s="343"/>
      <c r="AR591" s="452">
        <v>15030</v>
      </c>
      <c r="AS591" s="324">
        <v>150</v>
      </c>
      <c r="AT591" s="432">
        <v>1</v>
      </c>
      <c r="AU591" s="432"/>
      <c r="AV591" s="432">
        <v>2.6</v>
      </c>
      <c r="AW591" s="490"/>
      <c r="AX591" s="410"/>
      <c r="AY591" s="413"/>
      <c r="AZ591" s="405" t="s">
        <v>4083</v>
      </c>
      <c r="BA591" s="324" t="s">
        <v>210</v>
      </c>
      <c r="BB591" s="324" t="s">
        <v>210</v>
      </c>
      <c r="BC591" s="324" t="s">
        <v>210</v>
      </c>
      <c r="BD591" s="324" t="s">
        <v>210</v>
      </c>
      <c r="BE591" s="324" t="s">
        <v>9705</v>
      </c>
      <c r="BF591" s="324" t="s">
        <v>9708</v>
      </c>
      <c r="BG591" s="324" t="s">
        <v>9710</v>
      </c>
      <c r="BH591" s="324" t="s">
        <v>9708</v>
      </c>
      <c r="BI591" s="410"/>
      <c r="BJ591" s="427">
        <v>3.87</v>
      </c>
      <c r="BK591" s="412"/>
      <c r="BL591" s="413"/>
      <c r="BM591" s="414"/>
      <c r="BN591" s="321" t="s">
        <v>14</v>
      </c>
      <c r="BO591" s="372"/>
      <c r="BP591" s="373" t="s">
        <v>14</v>
      </c>
      <c r="BQ591" s="360"/>
      <c r="BR591" s="361"/>
      <c r="BS591" s="361"/>
      <c r="BT591" s="361"/>
      <c r="BU591" s="342" t="s">
        <v>210</v>
      </c>
      <c r="BV591" s="342" t="s">
        <v>210</v>
      </c>
      <c r="BW591" s="341" t="s">
        <v>210</v>
      </c>
      <c r="BX591" s="361"/>
      <c r="BY591" s="457"/>
      <c r="BZ591" s="363"/>
      <c r="CA591" s="363"/>
      <c r="CB591" s="363"/>
      <c r="CC591" s="363"/>
    </row>
    <row r="592" spans="1:82" ht="22.5" customHeight="1">
      <c r="B592" s="442">
        <v>150497</v>
      </c>
      <c r="C592" s="747" t="s">
        <v>3246</v>
      </c>
      <c r="D592" s="439"/>
      <c r="E592" s="404"/>
      <c r="F592" s="405" t="s">
        <v>3247</v>
      </c>
      <c r="G592" s="324" t="s">
        <v>3248</v>
      </c>
      <c r="H592" s="324" t="s">
        <v>3249</v>
      </c>
      <c r="I592" s="326" t="s">
        <v>383</v>
      </c>
      <c r="J592" s="326" t="s">
        <v>399</v>
      </c>
      <c r="K592" s="326" t="s">
        <v>917</v>
      </c>
      <c r="L592" s="361"/>
      <c r="M592" s="408"/>
      <c r="N592" s="325" t="s">
        <v>438</v>
      </c>
      <c r="O592" s="324">
        <v>100</v>
      </c>
      <c r="P592" s="458">
        <v>1835</v>
      </c>
      <c r="Q592" s="459">
        <v>1849</v>
      </c>
      <c r="R592" s="420" t="s">
        <v>3288</v>
      </c>
      <c r="S592" s="394" t="s">
        <v>13389</v>
      </c>
      <c r="T592" s="394" t="s">
        <v>13390</v>
      </c>
      <c r="U592" s="394" t="s">
        <v>16316</v>
      </c>
      <c r="V592" s="394" t="s">
        <v>13391</v>
      </c>
      <c r="W592" s="332" t="s">
        <v>432</v>
      </c>
      <c r="X592" s="331" t="s">
        <v>11079</v>
      </c>
      <c r="Y592" s="331" t="s">
        <v>11080</v>
      </c>
      <c r="Z592" s="331" t="s">
        <v>11080</v>
      </c>
      <c r="AA592" s="331" t="s">
        <v>210</v>
      </c>
      <c r="AB592" s="416"/>
      <c r="AC592" s="416"/>
      <c r="AD592" s="447" t="s">
        <v>3856</v>
      </c>
      <c r="AE592" s="499" t="s">
        <v>3857</v>
      </c>
      <c r="AF592" s="475">
        <v>42423</v>
      </c>
      <c r="AG592" s="748">
        <v>42580</v>
      </c>
      <c r="AH592" s="453">
        <v>10.6</v>
      </c>
      <c r="AI592" s="324">
        <v>37</v>
      </c>
      <c r="AJ592" s="432">
        <v>22.6</v>
      </c>
      <c r="AK592" s="455">
        <v>70.2</v>
      </c>
      <c r="AL592" s="417" t="s">
        <v>210</v>
      </c>
      <c r="AM592" s="392" t="s">
        <v>210</v>
      </c>
      <c r="AN592" s="392" t="s">
        <v>210</v>
      </c>
      <c r="AO592" s="341" t="s">
        <v>210</v>
      </c>
      <c r="AP592" s="342"/>
      <c r="AQ592" s="343"/>
      <c r="AR592" s="452">
        <v>2311</v>
      </c>
      <c r="AS592" s="324">
        <v>80</v>
      </c>
      <c r="AT592" s="432">
        <v>1</v>
      </c>
      <c r="AU592" s="432"/>
      <c r="AV592" s="432">
        <v>1.5</v>
      </c>
      <c r="AW592" s="490"/>
      <c r="AX592" s="410"/>
      <c r="AY592" s="413"/>
      <c r="AZ592" s="405" t="s">
        <v>622</v>
      </c>
      <c r="BA592" s="324" t="s">
        <v>3554</v>
      </c>
      <c r="BB592" s="324" t="s">
        <v>3372</v>
      </c>
      <c r="BC592" s="324" t="s">
        <v>3555</v>
      </c>
      <c r="BD592" s="324" t="s">
        <v>3556</v>
      </c>
      <c r="BE592" s="324" t="s">
        <v>3557</v>
      </c>
      <c r="BF592" s="324" t="s">
        <v>3512</v>
      </c>
      <c r="BG592" s="324" t="s">
        <v>3558</v>
      </c>
      <c r="BH592" s="426" t="s">
        <v>3559</v>
      </c>
      <c r="BI592" s="410"/>
      <c r="BJ592" s="427" t="s">
        <v>3560</v>
      </c>
      <c r="BK592" s="412"/>
      <c r="BL592" s="413"/>
      <c r="BM592" s="414"/>
      <c r="BN592" s="321" t="s">
        <v>14</v>
      </c>
      <c r="BO592" s="372"/>
      <c r="BP592" s="373" t="s">
        <v>14</v>
      </c>
      <c r="BQ592" s="360"/>
      <c r="BR592" s="361"/>
      <c r="BS592" s="361"/>
      <c r="BT592" s="361"/>
      <c r="BU592" s="342" t="s">
        <v>210</v>
      </c>
      <c r="BV592" s="342" t="s">
        <v>210</v>
      </c>
      <c r="BW592" s="341" t="s">
        <v>210</v>
      </c>
      <c r="BX592" s="361"/>
      <c r="BY592" s="457"/>
      <c r="BZ592" s="363"/>
      <c r="CA592" s="363"/>
      <c r="CB592" s="363"/>
      <c r="CC592" s="363"/>
    </row>
    <row r="593" spans="1:82" ht="22.5" customHeight="1">
      <c r="B593" s="442">
        <v>150501</v>
      </c>
      <c r="C593" s="747" t="s">
        <v>3158</v>
      </c>
      <c r="D593" s="439"/>
      <c r="E593" s="404"/>
      <c r="F593" s="405" t="s">
        <v>3211</v>
      </c>
      <c r="G593" s="324" t="s">
        <v>3212</v>
      </c>
      <c r="H593" s="324" t="s">
        <v>1909</v>
      </c>
      <c r="I593" s="326" t="s">
        <v>383</v>
      </c>
      <c r="J593" s="326" t="s">
        <v>387</v>
      </c>
      <c r="K593" s="324" t="s">
        <v>247</v>
      </c>
      <c r="L593" s="361"/>
      <c r="M593" s="408"/>
      <c r="N593" s="444" t="s">
        <v>438</v>
      </c>
      <c r="O593" s="324">
        <v>30</v>
      </c>
      <c r="P593" s="327" t="s">
        <v>210</v>
      </c>
      <c r="Q593" s="369" t="s">
        <v>210</v>
      </c>
      <c r="R593" s="420" t="s">
        <v>3163</v>
      </c>
      <c r="S593" s="394" t="s">
        <v>13305</v>
      </c>
      <c r="T593" s="394" t="s">
        <v>13307</v>
      </c>
      <c r="U593" s="394" t="s">
        <v>16421</v>
      </c>
      <c r="V593" s="394" t="s">
        <v>13306</v>
      </c>
      <c r="W593" s="460" t="s">
        <v>3162</v>
      </c>
      <c r="X593" s="394" t="s">
        <v>13302</v>
      </c>
      <c r="Y593" s="394" t="s">
        <v>13303</v>
      </c>
      <c r="Z593" s="394" t="s">
        <v>16513</v>
      </c>
      <c r="AA593" s="394" t="s">
        <v>13304</v>
      </c>
      <c r="AB593" s="416"/>
      <c r="AC593" s="416"/>
      <c r="AD593" s="447" t="s">
        <v>3230</v>
      </c>
      <c r="AE593" s="499" t="s">
        <v>3188</v>
      </c>
      <c r="AF593" s="475">
        <v>42374</v>
      </c>
      <c r="AG593" s="748">
        <v>42439</v>
      </c>
      <c r="AH593" s="417" t="s">
        <v>210</v>
      </c>
      <c r="AI593" s="392" t="s">
        <v>210</v>
      </c>
      <c r="AJ593" s="392" t="s">
        <v>210</v>
      </c>
      <c r="AK593" s="340" t="s">
        <v>210</v>
      </c>
      <c r="AL593" s="417" t="s">
        <v>210</v>
      </c>
      <c r="AM593" s="392" t="s">
        <v>210</v>
      </c>
      <c r="AN593" s="392" t="s">
        <v>210</v>
      </c>
      <c r="AO593" s="341" t="s">
        <v>210</v>
      </c>
      <c r="AP593" s="342"/>
      <c r="AQ593" s="343"/>
      <c r="AR593" s="452">
        <v>1046</v>
      </c>
      <c r="AS593" s="324">
        <v>100</v>
      </c>
      <c r="AT593" s="432">
        <v>1</v>
      </c>
      <c r="AU593" s="432"/>
      <c r="AV593" s="432">
        <v>1.5</v>
      </c>
      <c r="AW593" s="490"/>
      <c r="AX593" s="410"/>
      <c r="AY593" s="413"/>
      <c r="AZ593" s="407"/>
      <c r="BA593" s="408"/>
      <c r="BB593" s="408"/>
      <c r="BC593" s="408"/>
      <c r="BD593" s="408"/>
      <c r="BE593" s="408"/>
      <c r="BF593" s="408"/>
      <c r="BG593" s="408"/>
      <c r="BH593" s="409"/>
      <c r="BI593" s="410"/>
      <c r="BJ593" s="411"/>
      <c r="BK593" s="412"/>
      <c r="BL593" s="413"/>
      <c r="BM593" s="414"/>
      <c r="BN593" s="321" t="s">
        <v>14</v>
      </c>
      <c r="BO593" s="372"/>
      <c r="BP593" s="373" t="s">
        <v>14</v>
      </c>
      <c r="BQ593" s="360"/>
      <c r="BR593" s="361"/>
      <c r="BS593" s="361"/>
      <c r="BT593" s="361"/>
      <c r="BU593" s="342" t="s">
        <v>210</v>
      </c>
      <c r="BV593" s="342" t="s">
        <v>210</v>
      </c>
      <c r="BW593" s="341" t="s">
        <v>15</v>
      </c>
      <c r="BX593" s="361"/>
      <c r="BY593" s="457"/>
      <c r="BZ593" s="363"/>
      <c r="CA593" s="363"/>
      <c r="CB593" s="363"/>
      <c r="CC593" s="363"/>
    </row>
    <row r="594" spans="1:82" ht="22.5" customHeight="1">
      <c r="B594" s="442">
        <v>150502</v>
      </c>
      <c r="C594" s="747" t="s">
        <v>3159</v>
      </c>
      <c r="D594" s="439"/>
      <c r="E594" s="404"/>
      <c r="F594" s="405" t="s">
        <v>1509</v>
      </c>
      <c r="G594" s="324" t="s">
        <v>3213</v>
      </c>
      <c r="H594" s="324" t="s">
        <v>3214</v>
      </c>
      <c r="I594" s="326" t="s">
        <v>383</v>
      </c>
      <c r="J594" s="326" t="s">
        <v>399</v>
      </c>
      <c r="K594" s="324" t="s">
        <v>977</v>
      </c>
      <c r="L594" s="361"/>
      <c r="M594" s="408"/>
      <c r="N594" s="325" t="s">
        <v>4298</v>
      </c>
      <c r="O594" s="324">
        <v>100</v>
      </c>
      <c r="P594" s="327" t="s">
        <v>210</v>
      </c>
      <c r="Q594" s="369" t="s">
        <v>210</v>
      </c>
      <c r="R594" s="329" t="s">
        <v>442</v>
      </c>
      <c r="S594" s="394" t="s">
        <v>12566</v>
      </c>
      <c r="T594" s="394" t="s">
        <v>12567</v>
      </c>
      <c r="U594" s="394" t="s">
        <v>16336</v>
      </c>
      <c r="V594" s="394" t="s">
        <v>12568</v>
      </c>
      <c r="W594" s="460" t="s">
        <v>3280</v>
      </c>
      <c r="X594" s="394" t="s">
        <v>13299</v>
      </c>
      <c r="Y594" s="394" t="s">
        <v>13301</v>
      </c>
      <c r="Z594" s="394" t="s">
        <v>16339</v>
      </c>
      <c r="AA594" s="745" t="s">
        <v>13300</v>
      </c>
      <c r="AB594" s="416"/>
      <c r="AC594" s="416"/>
      <c r="AD594" s="375"/>
      <c r="AE594" s="499" t="s">
        <v>3278</v>
      </c>
      <c r="AF594" s="475">
        <v>42349</v>
      </c>
      <c r="AG594" s="748">
        <v>42460</v>
      </c>
      <c r="AH594" s="417" t="s">
        <v>210</v>
      </c>
      <c r="AI594" s="392" t="s">
        <v>210</v>
      </c>
      <c r="AJ594" s="392" t="s">
        <v>210</v>
      </c>
      <c r="AK594" s="340" t="s">
        <v>210</v>
      </c>
      <c r="AL594" s="417" t="s">
        <v>210</v>
      </c>
      <c r="AM594" s="392" t="s">
        <v>210</v>
      </c>
      <c r="AN594" s="392" t="s">
        <v>210</v>
      </c>
      <c r="AO594" s="341" t="s">
        <v>210</v>
      </c>
      <c r="AP594" s="342"/>
      <c r="AQ594" s="343"/>
      <c r="AR594" s="452">
        <v>1536</v>
      </c>
      <c r="AS594" s="324">
        <v>120</v>
      </c>
      <c r="AT594" s="432">
        <v>1</v>
      </c>
      <c r="AU594" s="432"/>
      <c r="AV594" s="432">
        <v>1</v>
      </c>
      <c r="AW594" s="490"/>
      <c r="AX594" s="410"/>
      <c r="AY594" s="413"/>
      <c r="AZ594" s="407"/>
      <c r="BA594" s="408"/>
      <c r="BB594" s="408"/>
      <c r="BC594" s="408"/>
      <c r="BD594" s="408"/>
      <c r="BE594" s="408"/>
      <c r="BF594" s="408"/>
      <c r="BG594" s="408"/>
      <c r="BH594" s="409"/>
      <c r="BI594" s="410"/>
      <c r="BJ594" s="411"/>
      <c r="BK594" s="412"/>
      <c r="BL594" s="413"/>
      <c r="BM594" s="414"/>
      <c r="BN594" s="321" t="s">
        <v>622</v>
      </c>
      <c r="BO594" s="372"/>
      <c r="BP594" s="340" t="s">
        <v>210</v>
      </c>
      <c r="BQ594" s="360"/>
      <c r="BR594" s="361"/>
      <c r="BS594" s="361"/>
      <c r="BT594" s="361"/>
      <c r="BU594" s="342" t="s">
        <v>210</v>
      </c>
      <c r="BV594" s="342" t="s">
        <v>210</v>
      </c>
      <c r="BW594" s="341" t="s">
        <v>15</v>
      </c>
      <c r="BX594" s="361"/>
      <c r="BY594" s="457"/>
      <c r="BZ594" s="363"/>
      <c r="CA594" s="363"/>
      <c r="CB594" s="363"/>
      <c r="CC594" s="363"/>
    </row>
    <row r="595" spans="1:82" s="465" customFormat="1" ht="22.5" customHeight="1">
      <c r="A595" s="287"/>
      <c r="B595" s="749">
        <v>150504</v>
      </c>
      <c r="C595" s="750" t="s">
        <v>3035</v>
      </c>
      <c r="D595" s="751"/>
      <c r="E595" s="752"/>
      <c r="F595" s="753" t="s">
        <v>264</v>
      </c>
      <c r="G595" s="754" t="s">
        <v>3036</v>
      </c>
      <c r="H595" s="754" t="s">
        <v>3037</v>
      </c>
      <c r="I595" s="662" t="s">
        <v>383</v>
      </c>
      <c r="J595" s="662" t="s">
        <v>399</v>
      </c>
      <c r="K595" s="662" t="s">
        <v>917</v>
      </c>
      <c r="L595" s="688"/>
      <c r="M595" s="662"/>
      <c r="N595" s="664" t="s">
        <v>437</v>
      </c>
      <c r="O595" s="754">
        <v>30</v>
      </c>
      <c r="P595" s="782">
        <v>753</v>
      </c>
      <c r="Q595" s="783">
        <v>495</v>
      </c>
      <c r="R595" s="756"/>
      <c r="S595" s="708"/>
      <c r="T595" s="708"/>
      <c r="U595" s="708"/>
      <c r="V595" s="708"/>
      <c r="W595" s="669" t="s">
        <v>1095</v>
      </c>
      <c r="X595" s="708" t="s">
        <v>13121</v>
      </c>
      <c r="Y595" s="708" t="s">
        <v>11852</v>
      </c>
      <c r="Z595" s="708" t="s">
        <v>16280</v>
      </c>
      <c r="AA595" s="708" t="s">
        <v>13122</v>
      </c>
      <c r="AB595" s="758"/>
      <c r="AC595" s="758"/>
      <c r="AD595" s="759"/>
      <c r="AE595" s="760"/>
      <c r="AF595" s="761">
        <v>42299</v>
      </c>
      <c r="AG595" s="674" t="s">
        <v>10514</v>
      </c>
      <c r="AH595" s="675" t="s">
        <v>210</v>
      </c>
      <c r="AI595" s="676" t="s">
        <v>210</v>
      </c>
      <c r="AJ595" s="676" t="s">
        <v>210</v>
      </c>
      <c r="AK595" s="677" t="s">
        <v>210</v>
      </c>
      <c r="AL595" s="675" t="s">
        <v>210</v>
      </c>
      <c r="AM595" s="676" t="s">
        <v>210</v>
      </c>
      <c r="AN595" s="676" t="s">
        <v>210</v>
      </c>
      <c r="AO595" s="678" t="s">
        <v>210</v>
      </c>
      <c r="AP595" s="663"/>
      <c r="AQ595" s="762"/>
      <c r="AR595" s="763"/>
      <c r="AS595" s="754"/>
      <c r="AT595" s="785"/>
      <c r="AU595" s="785"/>
      <c r="AV595" s="785"/>
      <c r="AW595" s="764"/>
      <c r="AX595" s="765"/>
      <c r="AY595" s="766"/>
      <c r="AZ595" s="753"/>
      <c r="BA595" s="754"/>
      <c r="BB595" s="754"/>
      <c r="BC595" s="754"/>
      <c r="BD595" s="754"/>
      <c r="BE595" s="754"/>
      <c r="BF595" s="754"/>
      <c r="BG595" s="754"/>
      <c r="BH595" s="767"/>
      <c r="BI595" s="753"/>
      <c r="BJ595" s="768"/>
      <c r="BK595" s="769"/>
      <c r="BL595" s="766"/>
      <c r="BM595" s="770"/>
      <c r="BN595" s="765"/>
      <c r="BO595" s="771"/>
      <c r="BP595" s="772"/>
      <c r="BQ595" s="773"/>
      <c r="BR595" s="688"/>
      <c r="BS595" s="688"/>
      <c r="BT595" s="688"/>
      <c r="BU595" s="663" t="s">
        <v>5510</v>
      </c>
      <c r="BV595" s="663" t="s">
        <v>5510</v>
      </c>
      <c r="BW595" s="678" t="s">
        <v>15</v>
      </c>
      <c r="BX595" s="688"/>
      <c r="BY595" s="774"/>
      <c r="BZ595" s="483"/>
      <c r="CA595" s="483"/>
      <c r="CB595" s="483"/>
      <c r="CC595" s="483"/>
      <c r="CD595" s="484"/>
    </row>
    <row r="596" spans="1:82" ht="22.5" customHeight="1">
      <c r="B596" s="442">
        <v>150508</v>
      </c>
      <c r="C596" s="747" t="s">
        <v>2814</v>
      </c>
      <c r="D596" s="439"/>
      <c r="E596" s="404"/>
      <c r="F596" s="405" t="s">
        <v>227</v>
      </c>
      <c r="G596" s="324" t="s">
        <v>1774</v>
      </c>
      <c r="H596" s="324" t="s">
        <v>2815</v>
      </c>
      <c r="I596" s="326" t="s">
        <v>383</v>
      </c>
      <c r="J596" s="326" t="s">
        <v>387</v>
      </c>
      <c r="K596" s="326" t="s">
        <v>917</v>
      </c>
      <c r="L596" s="323"/>
      <c r="M596" s="408"/>
      <c r="N596" s="325" t="s">
        <v>437</v>
      </c>
      <c r="O596" s="324">
        <v>30</v>
      </c>
      <c r="P596" s="327" t="s">
        <v>2927</v>
      </c>
      <c r="Q596" s="369" t="s">
        <v>210</v>
      </c>
      <c r="R596" s="329" t="s">
        <v>636</v>
      </c>
      <c r="S596" s="331" t="s">
        <v>13075</v>
      </c>
      <c r="T596" s="394" t="s">
        <v>12276</v>
      </c>
      <c r="U596" s="394" t="s">
        <v>12277</v>
      </c>
      <c r="V596" s="331" t="s">
        <v>13074</v>
      </c>
      <c r="W596" s="332" t="s">
        <v>432</v>
      </c>
      <c r="X596" s="331" t="s">
        <v>11079</v>
      </c>
      <c r="Y596" s="331" t="s">
        <v>11080</v>
      </c>
      <c r="Z596" s="331" t="s">
        <v>11080</v>
      </c>
      <c r="AA596" s="331" t="s">
        <v>210</v>
      </c>
      <c r="AB596" s="416"/>
      <c r="AC596" s="416"/>
      <c r="AD596" s="334" t="s">
        <v>3045</v>
      </c>
      <c r="AE596" s="335" t="s">
        <v>210</v>
      </c>
      <c r="AF596" s="475">
        <v>42180</v>
      </c>
      <c r="AG596" s="748">
        <v>42303</v>
      </c>
      <c r="AH596" s="453">
        <v>18.3</v>
      </c>
      <c r="AI596" s="432">
        <v>27.4</v>
      </c>
      <c r="AJ596" s="432">
        <v>20.5</v>
      </c>
      <c r="AK596" s="455">
        <v>66.2</v>
      </c>
      <c r="AL596" s="417" t="s">
        <v>210</v>
      </c>
      <c r="AM596" s="392" t="s">
        <v>210</v>
      </c>
      <c r="AN596" s="392" t="s">
        <v>210</v>
      </c>
      <c r="AO596" s="341" t="s">
        <v>210</v>
      </c>
      <c r="AP596" s="342"/>
      <c r="AQ596" s="343"/>
      <c r="AR596" s="452">
        <v>1000</v>
      </c>
      <c r="AS596" s="324">
        <v>130</v>
      </c>
      <c r="AT596" s="432">
        <v>1</v>
      </c>
      <c r="AU596" s="432"/>
      <c r="AV596" s="432">
        <v>1.2</v>
      </c>
      <c r="AW596" s="490"/>
      <c r="AX596" s="376"/>
      <c r="AY596" s="348"/>
      <c r="AZ596" s="407"/>
      <c r="BA596" s="408"/>
      <c r="BB596" s="408"/>
      <c r="BC596" s="408"/>
      <c r="BD596" s="408"/>
      <c r="BE596" s="408"/>
      <c r="BF596" s="408"/>
      <c r="BG596" s="408"/>
      <c r="BH596" s="409"/>
      <c r="BI596" s="410"/>
      <c r="BJ596" s="411"/>
      <c r="BK596" s="412"/>
      <c r="BL596" s="413"/>
      <c r="BM596" s="414"/>
      <c r="BN596" s="417" t="s">
        <v>210</v>
      </c>
      <c r="BO596" s="372"/>
      <c r="BP596" s="373" t="s">
        <v>622</v>
      </c>
      <c r="BQ596" s="360"/>
      <c r="BR596" s="361"/>
      <c r="BS596" s="361"/>
      <c r="BT596" s="361"/>
      <c r="BU596" s="342" t="s">
        <v>210</v>
      </c>
      <c r="BV596" s="342" t="s">
        <v>210</v>
      </c>
      <c r="BW596" s="341" t="s">
        <v>15</v>
      </c>
      <c r="BX596" s="361"/>
      <c r="BY596" s="457"/>
      <c r="BZ596" s="363"/>
      <c r="CA596" s="363"/>
      <c r="CB596" s="363"/>
      <c r="CC596" s="363"/>
    </row>
    <row r="597" spans="1:82" ht="22.5" customHeight="1">
      <c r="B597" s="442">
        <v>150509</v>
      </c>
      <c r="C597" s="747" t="s">
        <v>3063</v>
      </c>
      <c r="D597" s="439"/>
      <c r="E597" s="404"/>
      <c r="F597" s="405" t="s">
        <v>3064</v>
      </c>
      <c r="G597" s="324" t="s">
        <v>3079</v>
      </c>
      <c r="H597" s="324" t="s">
        <v>3080</v>
      </c>
      <c r="I597" s="326" t="s">
        <v>383</v>
      </c>
      <c r="J597" s="326" t="s">
        <v>399</v>
      </c>
      <c r="K597" s="326" t="s">
        <v>917</v>
      </c>
      <c r="L597" s="361"/>
      <c r="M597" s="408"/>
      <c r="N597" s="325" t="s">
        <v>437</v>
      </c>
      <c r="O597" s="324">
        <v>40</v>
      </c>
      <c r="P597" s="327" t="s">
        <v>210</v>
      </c>
      <c r="Q597" s="369" t="s">
        <v>210</v>
      </c>
      <c r="R597" s="420" t="s">
        <v>3067</v>
      </c>
      <c r="S597" s="394" t="s">
        <v>13293</v>
      </c>
      <c r="T597" s="394" t="s">
        <v>13294</v>
      </c>
      <c r="U597" s="400"/>
      <c r="V597" s="394" t="s">
        <v>13295</v>
      </c>
      <c r="W597" s="460" t="s">
        <v>3065</v>
      </c>
      <c r="X597" s="394" t="s">
        <v>13296</v>
      </c>
      <c r="Y597" s="394" t="s">
        <v>13297</v>
      </c>
      <c r="Z597" s="400"/>
      <c r="AA597" s="394" t="s">
        <v>13298</v>
      </c>
      <c r="AB597" s="416"/>
      <c r="AC597" s="416"/>
      <c r="AD597" s="447" t="s">
        <v>3098</v>
      </c>
      <c r="AE597" s="335" t="s">
        <v>210</v>
      </c>
      <c r="AF597" s="475">
        <v>42304</v>
      </c>
      <c r="AG597" s="748">
        <v>42356</v>
      </c>
      <c r="AH597" s="417" t="s">
        <v>210</v>
      </c>
      <c r="AI597" s="392" t="s">
        <v>210</v>
      </c>
      <c r="AJ597" s="392" t="s">
        <v>210</v>
      </c>
      <c r="AK597" s="340" t="s">
        <v>210</v>
      </c>
      <c r="AL597" s="417" t="s">
        <v>210</v>
      </c>
      <c r="AM597" s="392" t="s">
        <v>210</v>
      </c>
      <c r="AN597" s="392" t="s">
        <v>210</v>
      </c>
      <c r="AO597" s="341" t="s">
        <v>210</v>
      </c>
      <c r="AP597" s="342"/>
      <c r="AQ597" s="343"/>
      <c r="AR597" s="452">
        <v>302</v>
      </c>
      <c r="AS597" s="324">
        <v>150</v>
      </c>
      <c r="AT597" s="432">
        <v>0.8</v>
      </c>
      <c r="AU597" s="432"/>
      <c r="AV597" s="432">
        <v>1</v>
      </c>
      <c r="AW597" s="490"/>
      <c r="AX597" s="410"/>
      <c r="AY597" s="413"/>
      <c r="AZ597" s="407"/>
      <c r="BA597" s="408"/>
      <c r="BB597" s="408"/>
      <c r="BC597" s="408"/>
      <c r="BD597" s="408"/>
      <c r="BE597" s="408"/>
      <c r="BF597" s="408"/>
      <c r="BG597" s="408"/>
      <c r="BH597" s="409"/>
      <c r="BI597" s="410"/>
      <c r="BJ597" s="411"/>
      <c r="BK597" s="412"/>
      <c r="BL597" s="413"/>
      <c r="BM597" s="414"/>
      <c r="BN597" s="417" t="s">
        <v>210</v>
      </c>
      <c r="BO597" s="372"/>
      <c r="BP597" s="340" t="s">
        <v>210</v>
      </c>
      <c r="BQ597" s="360"/>
      <c r="BR597" s="361"/>
      <c r="BS597" s="361"/>
      <c r="BT597" s="361"/>
      <c r="BU597" s="342" t="s">
        <v>210</v>
      </c>
      <c r="BV597" s="342" t="s">
        <v>210</v>
      </c>
      <c r="BW597" s="341" t="s">
        <v>15</v>
      </c>
      <c r="BX597" s="361"/>
      <c r="BY597" s="457"/>
      <c r="BZ597" s="363"/>
      <c r="CA597" s="363"/>
      <c r="CB597" s="363"/>
      <c r="CC597" s="363"/>
    </row>
    <row r="598" spans="1:82" ht="22.5" customHeight="1">
      <c r="B598" s="442">
        <v>150516</v>
      </c>
      <c r="C598" s="747" t="s">
        <v>13286</v>
      </c>
      <c r="D598" s="439"/>
      <c r="E598" s="404"/>
      <c r="F598" s="405" t="s">
        <v>3715</v>
      </c>
      <c r="G598" s="324" t="s">
        <v>3716</v>
      </c>
      <c r="H598" s="324" t="s">
        <v>3717</v>
      </c>
      <c r="I598" s="326" t="s">
        <v>383</v>
      </c>
      <c r="J598" s="326" t="s">
        <v>399</v>
      </c>
      <c r="K598" s="324" t="s">
        <v>977</v>
      </c>
      <c r="L598" s="323"/>
      <c r="M598" s="408"/>
      <c r="N598" s="325" t="s">
        <v>438</v>
      </c>
      <c r="O598" s="324">
        <v>60</v>
      </c>
      <c r="P598" s="327">
        <v>2923.2</v>
      </c>
      <c r="Q598" s="369">
        <v>3706.2</v>
      </c>
      <c r="R598" s="329" t="s">
        <v>3725</v>
      </c>
      <c r="S598" s="394" t="s">
        <v>13290</v>
      </c>
      <c r="T598" s="394" t="s">
        <v>13291</v>
      </c>
      <c r="U598" s="394" t="s">
        <v>16227</v>
      </c>
      <c r="V598" s="394" t="s">
        <v>13292</v>
      </c>
      <c r="W598" s="460" t="s">
        <v>3722</v>
      </c>
      <c r="X598" s="394" t="s">
        <v>13288</v>
      </c>
      <c r="Y598" s="394" t="s">
        <v>13287</v>
      </c>
      <c r="Z598" s="394" t="s">
        <v>16349</v>
      </c>
      <c r="AA598" s="394" t="s">
        <v>13289</v>
      </c>
      <c r="AB598" s="416"/>
      <c r="AC598" s="416"/>
      <c r="AD598" s="334" t="s">
        <v>2327</v>
      </c>
      <c r="AE598" s="499" t="s">
        <v>966</v>
      </c>
      <c r="AF598" s="475">
        <v>42503</v>
      </c>
      <c r="AG598" s="748">
        <v>42577</v>
      </c>
      <c r="AH598" s="417" t="s">
        <v>210</v>
      </c>
      <c r="AI598" s="392" t="s">
        <v>210</v>
      </c>
      <c r="AJ598" s="392" t="s">
        <v>210</v>
      </c>
      <c r="AK598" s="340" t="s">
        <v>210</v>
      </c>
      <c r="AL598" s="417" t="s">
        <v>210</v>
      </c>
      <c r="AM598" s="392" t="s">
        <v>210</v>
      </c>
      <c r="AN598" s="392" t="s">
        <v>210</v>
      </c>
      <c r="AO598" s="341" t="s">
        <v>210</v>
      </c>
      <c r="AP598" s="342"/>
      <c r="AQ598" s="343"/>
      <c r="AR598" s="452">
        <v>4187</v>
      </c>
      <c r="AS598" s="326">
        <v>150</v>
      </c>
      <c r="AT598" s="392">
        <v>1</v>
      </c>
      <c r="AU598" s="392"/>
      <c r="AV598" s="392">
        <v>1.5</v>
      </c>
      <c r="AW598" s="341"/>
      <c r="AX598" s="376"/>
      <c r="AY598" s="348"/>
      <c r="AZ598" s="405" t="s">
        <v>3367</v>
      </c>
      <c r="BA598" s="324" t="s">
        <v>210</v>
      </c>
      <c r="BB598" s="324" t="s">
        <v>210</v>
      </c>
      <c r="BC598" s="324" t="s">
        <v>3718</v>
      </c>
      <c r="BD598" s="324" t="s">
        <v>3434</v>
      </c>
      <c r="BE598" s="324" t="s">
        <v>3719</v>
      </c>
      <c r="BF598" s="324" t="s">
        <v>3720</v>
      </c>
      <c r="BG598" s="324" t="s">
        <v>3721</v>
      </c>
      <c r="BH598" s="426" t="s">
        <v>3556</v>
      </c>
      <c r="BI598" s="410"/>
      <c r="BJ598" s="427" t="s">
        <v>210</v>
      </c>
      <c r="BK598" s="412"/>
      <c r="BL598" s="413"/>
      <c r="BM598" s="414"/>
      <c r="BN598" s="321" t="s">
        <v>210</v>
      </c>
      <c r="BO598" s="372"/>
      <c r="BP598" s="373" t="s">
        <v>14</v>
      </c>
      <c r="BQ598" s="360"/>
      <c r="BR598" s="361"/>
      <c r="BS598" s="361"/>
      <c r="BT598" s="361"/>
      <c r="BU598" s="342" t="s">
        <v>210</v>
      </c>
      <c r="BV598" s="342" t="s">
        <v>210</v>
      </c>
      <c r="BW598" s="341" t="s">
        <v>210</v>
      </c>
      <c r="BX598" s="361"/>
      <c r="BY598" s="457"/>
      <c r="BZ598" s="363"/>
      <c r="CA598" s="363"/>
      <c r="CB598" s="363"/>
      <c r="CC598" s="363"/>
    </row>
    <row r="599" spans="1:82" ht="22.5" customHeight="1">
      <c r="B599" s="442">
        <v>150536</v>
      </c>
      <c r="C599" s="747" t="s">
        <v>3100</v>
      </c>
      <c r="D599" s="439"/>
      <c r="E599" s="404"/>
      <c r="F599" s="405" t="s">
        <v>271</v>
      </c>
      <c r="G599" s="324" t="s">
        <v>2651</v>
      </c>
      <c r="H599" s="324" t="s">
        <v>3128</v>
      </c>
      <c r="I599" s="326" t="s">
        <v>383</v>
      </c>
      <c r="J599" s="326" t="s">
        <v>387</v>
      </c>
      <c r="K599" s="324" t="s">
        <v>3129</v>
      </c>
      <c r="L599" s="361"/>
      <c r="M599" s="408"/>
      <c r="N599" s="444" t="s">
        <v>3193</v>
      </c>
      <c r="O599" s="324" t="s">
        <v>3204</v>
      </c>
      <c r="P599" s="458">
        <v>1310.78</v>
      </c>
      <c r="Q599" s="459">
        <v>947.87</v>
      </c>
      <c r="R599" s="420" t="s">
        <v>2346</v>
      </c>
      <c r="S599" s="394" t="s">
        <v>12818</v>
      </c>
      <c r="T599" s="394" t="s">
        <v>12147</v>
      </c>
      <c r="U599" s="394" t="s">
        <v>12146</v>
      </c>
      <c r="V599" s="394" t="s">
        <v>12817</v>
      </c>
      <c r="W599" s="460" t="s">
        <v>2346</v>
      </c>
      <c r="X599" s="394" t="s">
        <v>12818</v>
      </c>
      <c r="Y599" s="394" t="s">
        <v>12147</v>
      </c>
      <c r="Z599" s="394" t="s">
        <v>12146</v>
      </c>
      <c r="AA599" s="394" t="s">
        <v>12817</v>
      </c>
      <c r="AB599" s="416"/>
      <c r="AC599" s="416"/>
      <c r="AD599" s="334" t="s">
        <v>8768</v>
      </c>
      <c r="AE599" s="499" t="s">
        <v>966</v>
      </c>
      <c r="AF599" s="475">
        <v>42321</v>
      </c>
      <c r="AG599" s="748">
        <v>42419</v>
      </c>
      <c r="AH599" s="417" t="s">
        <v>210</v>
      </c>
      <c r="AI599" s="392" t="s">
        <v>210</v>
      </c>
      <c r="AJ599" s="392" t="s">
        <v>210</v>
      </c>
      <c r="AK599" s="340" t="s">
        <v>210</v>
      </c>
      <c r="AL599" s="417" t="s">
        <v>210</v>
      </c>
      <c r="AM599" s="392" t="s">
        <v>210</v>
      </c>
      <c r="AN599" s="392" t="s">
        <v>210</v>
      </c>
      <c r="AO599" s="341" t="s">
        <v>210</v>
      </c>
      <c r="AP599" s="342"/>
      <c r="AQ599" s="343"/>
      <c r="AR599" s="452">
        <v>1451</v>
      </c>
      <c r="AS599" s="324">
        <v>100</v>
      </c>
      <c r="AT599" s="432">
        <v>1</v>
      </c>
      <c r="AU599" s="432"/>
      <c r="AV599" s="432">
        <v>1.5</v>
      </c>
      <c r="AW599" s="490"/>
      <c r="AX599" s="410"/>
      <c r="AY599" s="413"/>
      <c r="AZ599" s="407"/>
      <c r="BA599" s="408"/>
      <c r="BB599" s="408"/>
      <c r="BC599" s="408"/>
      <c r="BD599" s="408"/>
      <c r="BE599" s="408"/>
      <c r="BF599" s="408"/>
      <c r="BG599" s="408"/>
      <c r="BH599" s="409"/>
      <c r="BI599" s="410"/>
      <c r="BJ599" s="411"/>
      <c r="BK599" s="412"/>
      <c r="BL599" s="413"/>
      <c r="BM599" s="414"/>
      <c r="BN599" s="321" t="s">
        <v>14</v>
      </c>
      <c r="BO599" s="372"/>
      <c r="BP599" s="373" t="s">
        <v>14</v>
      </c>
      <c r="BQ599" s="360"/>
      <c r="BR599" s="361"/>
      <c r="BS599" s="361"/>
      <c r="BT599" s="361"/>
      <c r="BU599" s="342" t="s">
        <v>210</v>
      </c>
      <c r="BV599" s="342" t="s">
        <v>210</v>
      </c>
      <c r="BW599" s="341" t="s">
        <v>15</v>
      </c>
      <c r="BX599" s="361"/>
      <c r="BY599" s="457"/>
      <c r="BZ599" s="363"/>
      <c r="CA599" s="363"/>
      <c r="CB599" s="363"/>
      <c r="CC599" s="363"/>
    </row>
    <row r="600" spans="1:82" ht="22.5" customHeight="1">
      <c r="B600" s="442">
        <v>150544</v>
      </c>
      <c r="C600" s="747" t="s">
        <v>4973</v>
      </c>
      <c r="D600" s="439"/>
      <c r="E600" s="404"/>
      <c r="F600" s="405" t="s">
        <v>240</v>
      </c>
      <c r="G600" s="324" t="s">
        <v>4974</v>
      </c>
      <c r="H600" s="324" t="s">
        <v>4975</v>
      </c>
      <c r="I600" s="326" t="s">
        <v>383</v>
      </c>
      <c r="J600" s="326" t="s">
        <v>399</v>
      </c>
      <c r="K600" s="326" t="s">
        <v>917</v>
      </c>
      <c r="L600" s="392" t="s">
        <v>210</v>
      </c>
      <c r="M600" s="408"/>
      <c r="N600" s="444" t="s">
        <v>5162</v>
      </c>
      <c r="O600" s="324">
        <v>30</v>
      </c>
      <c r="P600" s="816">
        <v>2998</v>
      </c>
      <c r="Q600" s="817">
        <v>3039</v>
      </c>
      <c r="R600" s="420" t="s">
        <v>5170</v>
      </c>
      <c r="S600" s="400"/>
      <c r="T600" s="400"/>
      <c r="U600" s="400"/>
      <c r="V600" s="400"/>
      <c r="W600" s="460" t="s">
        <v>4977</v>
      </c>
      <c r="X600" s="394" t="s">
        <v>13702</v>
      </c>
      <c r="Y600" s="400"/>
      <c r="Z600" s="400"/>
      <c r="AA600" s="394" t="s">
        <v>13703</v>
      </c>
      <c r="AB600" s="416"/>
      <c r="AC600" s="416"/>
      <c r="AD600" s="447" t="s">
        <v>2921</v>
      </c>
      <c r="AE600" s="335" t="s">
        <v>210</v>
      </c>
      <c r="AF600" s="475">
        <v>42821</v>
      </c>
      <c r="AG600" s="748">
        <v>42886</v>
      </c>
      <c r="AH600" s="417" t="s">
        <v>210</v>
      </c>
      <c r="AI600" s="392" t="s">
        <v>210</v>
      </c>
      <c r="AJ600" s="392" t="s">
        <v>210</v>
      </c>
      <c r="AK600" s="340" t="s">
        <v>210</v>
      </c>
      <c r="AL600" s="417" t="s">
        <v>210</v>
      </c>
      <c r="AM600" s="392" t="s">
        <v>210</v>
      </c>
      <c r="AN600" s="392" t="s">
        <v>210</v>
      </c>
      <c r="AO600" s="341" t="s">
        <v>210</v>
      </c>
      <c r="AP600" s="342"/>
      <c r="AQ600" s="433" t="s">
        <v>4547</v>
      </c>
      <c r="AR600" s="501"/>
      <c r="AS600" s="408"/>
      <c r="AT600" s="500"/>
      <c r="AU600" s="500"/>
      <c r="AV600" s="500"/>
      <c r="AW600" s="422"/>
      <c r="AX600" s="453" t="s">
        <v>210</v>
      </c>
      <c r="AY600" s="455" t="s">
        <v>210</v>
      </c>
      <c r="AZ600" s="405" t="s">
        <v>4083</v>
      </c>
      <c r="BA600" s="324" t="s">
        <v>210</v>
      </c>
      <c r="BB600" s="324" t="s">
        <v>210</v>
      </c>
      <c r="BC600" s="324" t="s">
        <v>210</v>
      </c>
      <c r="BD600" s="324" t="s">
        <v>210</v>
      </c>
      <c r="BE600" s="324" t="s">
        <v>210</v>
      </c>
      <c r="BF600" s="324" t="s">
        <v>210</v>
      </c>
      <c r="BG600" s="324" t="s">
        <v>4976</v>
      </c>
      <c r="BH600" s="426" t="s">
        <v>3978</v>
      </c>
      <c r="BI600" s="410"/>
      <c r="BJ600" s="427" t="s">
        <v>210</v>
      </c>
      <c r="BK600" s="412"/>
      <c r="BL600" s="413"/>
      <c r="BM600" s="414"/>
      <c r="BN600" s="407"/>
      <c r="BO600" s="502"/>
      <c r="BP600" s="409"/>
      <c r="BQ600" s="360"/>
      <c r="BR600" s="361"/>
      <c r="BS600" s="361"/>
      <c r="BT600" s="361"/>
      <c r="BU600" s="342" t="s">
        <v>210</v>
      </c>
      <c r="BV600" s="342" t="s">
        <v>210</v>
      </c>
      <c r="BW600" s="341" t="s">
        <v>210</v>
      </c>
      <c r="BX600" s="361"/>
      <c r="BY600" s="457"/>
      <c r="BZ600" s="363"/>
      <c r="CA600" s="363"/>
      <c r="CB600" s="363"/>
      <c r="CC600" s="363"/>
    </row>
    <row r="601" spans="1:82" ht="22.5" customHeight="1">
      <c r="B601" s="442">
        <v>150546</v>
      </c>
      <c r="C601" s="747" t="s">
        <v>2941</v>
      </c>
      <c r="D601" s="439"/>
      <c r="E601" s="404"/>
      <c r="F601" s="405" t="s">
        <v>2942</v>
      </c>
      <c r="G601" s="324" t="s">
        <v>2943</v>
      </c>
      <c r="H601" s="324" t="s">
        <v>2944</v>
      </c>
      <c r="I601" s="326" t="s">
        <v>383</v>
      </c>
      <c r="J601" s="326" t="s">
        <v>399</v>
      </c>
      <c r="K601" s="326" t="s">
        <v>917</v>
      </c>
      <c r="L601" s="323"/>
      <c r="M601" s="324" t="s">
        <v>10768</v>
      </c>
      <c r="N601" s="444" t="s">
        <v>438</v>
      </c>
      <c r="O601" s="324">
        <v>40</v>
      </c>
      <c r="P601" s="327" t="s">
        <v>210</v>
      </c>
      <c r="Q601" s="369" t="s">
        <v>210</v>
      </c>
      <c r="R601" s="329" t="s">
        <v>1098</v>
      </c>
      <c r="S601" s="331" t="s">
        <v>11102</v>
      </c>
      <c r="T601" s="394" t="s">
        <v>12439</v>
      </c>
      <c r="U601" s="394" t="s">
        <v>16310</v>
      </c>
      <c r="V601" s="331" t="s">
        <v>11421</v>
      </c>
      <c r="W601" s="332" t="s">
        <v>432</v>
      </c>
      <c r="X601" s="331" t="s">
        <v>11079</v>
      </c>
      <c r="Y601" s="331" t="s">
        <v>11080</v>
      </c>
      <c r="Z601" s="331" t="s">
        <v>11080</v>
      </c>
      <c r="AA601" s="331" t="s">
        <v>210</v>
      </c>
      <c r="AB601" s="416"/>
      <c r="AC601" s="416"/>
      <c r="AD601" s="334" t="s">
        <v>2326</v>
      </c>
      <c r="AE601" s="499" t="s">
        <v>3189</v>
      </c>
      <c r="AF601" s="475">
        <v>42240</v>
      </c>
      <c r="AG601" s="748">
        <v>42443</v>
      </c>
      <c r="AH601" s="417">
        <v>5.2</v>
      </c>
      <c r="AI601" s="392">
        <v>14.7</v>
      </c>
      <c r="AJ601" s="392">
        <v>10.199999999999999</v>
      </c>
      <c r="AK601" s="340">
        <f>AH601+AI601+AJ601</f>
        <v>30.099999999999998</v>
      </c>
      <c r="AL601" s="417" t="s">
        <v>210</v>
      </c>
      <c r="AM601" s="392" t="s">
        <v>210</v>
      </c>
      <c r="AN601" s="392" t="s">
        <v>210</v>
      </c>
      <c r="AO601" s="341" t="s">
        <v>210</v>
      </c>
      <c r="AP601" s="342"/>
      <c r="AQ601" s="343"/>
      <c r="AR601" s="452">
        <v>6567</v>
      </c>
      <c r="AS601" s="324">
        <v>80</v>
      </c>
      <c r="AT601" s="432">
        <v>0.8</v>
      </c>
      <c r="AU601" s="432"/>
      <c r="AV601" s="432">
        <v>1</v>
      </c>
      <c r="AW601" s="490"/>
      <c r="AX601" s="376"/>
      <c r="AY601" s="348"/>
      <c r="AZ601" s="407"/>
      <c r="BA601" s="408"/>
      <c r="BB601" s="408"/>
      <c r="BC601" s="408"/>
      <c r="BD601" s="408"/>
      <c r="BE601" s="408"/>
      <c r="BF601" s="408"/>
      <c r="BG601" s="408"/>
      <c r="BH601" s="409"/>
      <c r="BI601" s="410"/>
      <c r="BJ601" s="411"/>
      <c r="BK601" s="412"/>
      <c r="BL601" s="413"/>
      <c r="BM601" s="414"/>
      <c r="BN601" s="417" t="s">
        <v>210</v>
      </c>
      <c r="BO601" s="372"/>
      <c r="BP601" s="373" t="s">
        <v>622</v>
      </c>
      <c r="BQ601" s="360"/>
      <c r="BR601" s="361"/>
      <c r="BS601" s="361"/>
      <c r="BT601" s="361"/>
      <c r="BU601" s="342" t="s">
        <v>210</v>
      </c>
      <c r="BV601" s="342" t="s">
        <v>210</v>
      </c>
      <c r="BW601" s="341" t="s">
        <v>210</v>
      </c>
      <c r="BX601" s="361"/>
      <c r="BY601" s="457"/>
      <c r="BZ601" s="363"/>
      <c r="CA601" s="363"/>
      <c r="CB601" s="363"/>
      <c r="CC601" s="363"/>
    </row>
    <row r="602" spans="1:82" ht="22.5" customHeight="1">
      <c r="B602" s="442">
        <v>150554</v>
      </c>
      <c r="C602" s="747" t="s">
        <v>3114</v>
      </c>
      <c r="D602" s="439"/>
      <c r="E602" s="404"/>
      <c r="F602" s="405" t="s">
        <v>3130</v>
      </c>
      <c r="G602" s="324" t="s">
        <v>3131</v>
      </c>
      <c r="H602" s="324" t="s">
        <v>3215</v>
      </c>
      <c r="I602" s="326" t="s">
        <v>383</v>
      </c>
      <c r="J602" s="326" t="s">
        <v>399</v>
      </c>
      <c r="K602" s="324" t="s">
        <v>3129</v>
      </c>
      <c r="L602" s="323"/>
      <c r="M602" s="408"/>
      <c r="N602" s="325" t="s">
        <v>437</v>
      </c>
      <c r="O602" s="324" t="s">
        <v>3204</v>
      </c>
      <c r="P602" s="458">
        <v>411</v>
      </c>
      <c r="Q602" s="459">
        <v>411</v>
      </c>
      <c r="R602" s="420" t="s">
        <v>6401</v>
      </c>
      <c r="S602" s="400"/>
      <c r="T602" s="400"/>
      <c r="U602" s="400"/>
      <c r="V602" s="400"/>
      <c r="W602" s="818" t="s">
        <v>3137</v>
      </c>
      <c r="X602" s="394" t="s">
        <v>13282</v>
      </c>
      <c r="Y602" s="394" t="s">
        <v>13283</v>
      </c>
      <c r="Z602" s="394" t="s">
        <v>13285</v>
      </c>
      <c r="AA602" s="819" t="s">
        <v>13284</v>
      </c>
      <c r="AB602" s="333"/>
      <c r="AC602" s="333"/>
      <c r="AD602" s="334" t="s">
        <v>3139</v>
      </c>
      <c r="AE602" s="335" t="s">
        <v>210</v>
      </c>
      <c r="AF602" s="475">
        <v>42355</v>
      </c>
      <c r="AG602" s="748">
        <v>42421</v>
      </c>
      <c r="AH602" s="417" t="s">
        <v>210</v>
      </c>
      <c r="AI602" s="392" t="s">
        <v>210</v>
      </c>
      <c r="AJ602" s="392" t="s">
        <v>210</v>
      </c>
      <c r="AK602" s="340" t="s">
        <v>210</v>
      </c>
      <c r="AL602" s="417" t="s">
        <v>3138</v>
      </c>
      <c r="AM602" s="392" t="s">
        <v>210</v>
      </c>
      <c r="AN602" s="392" t="s">
        <v>210</v>
      </c>
      <c r="AO602" s="341" t="s">
        <v>210</v>
      </c>
      <c r="AP602" s="342"/>
      <c r="AQ602" s="343"/>
      <c r="AR602" s="452">
        <v>656</v>
      </c>
      <c r="AS602" s="324">
        <v>150</v>
      </c>
      <c r="AT602" s="432">
        <v>1</v>
      </c>
      <c r="AU602" s="432"/>
      <c r="AV602" s="432">
        <v>1.5</v>
      </c>
      <c r="AW602" s="490"/>
      <c r="AX602" s="376"/>
      <c r="AY602" s="348"/>
      <c r="AZ602" s="407"/>
      <c r="BA602" s="408"/>
      <c r="BB602" s="408"/>
      <c r="BC602" s="408"/>
      <c r="BD602" s="408"/>
      <c r="BE602" s="408"/>
      <c r="BF602" s="408"/>
      <c r="BG602" s="408"/>
      <c r="BH602" s="409"/>
      <c r="BI602" s="410"/>
      <c r="BJ602" s="411"/>
      <c r="BK602" s="412"/>
      <c r="BL602" s="413"/>
      <c r="BM602" s="414"/>
      <c r="BN602" s="417" t="s">
        <v>210</v>
      </c>
      <c r="BO602" s="372"/>
      <c r="BP602" s="373" t="s">
        <v>622</v>
      </c>
      <c r="BQ602" s="360"/>
      <c r="BR602" s="361"/>
      <c r="BS602" s="361"/>
      <c r="BT602" s="361"/>
      <c r="BU602" s="342" t="s">
        <v>210</v>
      </c>
      <c r="BV602" s="342" t="s">
        <v>210</v>
      </c>
      <c r="BW602" s="341" t="s">
        <v>15</v>
      </c>
      <c r="BX602" s="361"/>
      <c r="BY602" s="457"/>
      <c r="BZ602" s="363"/>
      <c r="CA602" s="363"/>
      <c r="CB602" s="363"/>
      <c r="CC602" s="363"/>
    </row>
    <row r="603" spans="1:82" ht="22.5" customHeight="1">
      <c r="B603" s="442">
        <v>150555</v>
      </c>
      <c r="C603" s="747" t="s">
        <v>3283</v>
      </c>
      <c r="D603" s="439"/>
      <c r="E603" s="404"/>
      <c r="F603" s="405" t="s">
        <v>1385</v>
      </c>
      <c r="G603" s="324" t="s">
        <v>3347</v>
      </c>
      <c r="H603" s="324" t="s">
        <v>3348</v>
      </c>
      <c r="I603" s="326" t="s">
        <v>383</v>
      </c>
      <c r="J603" s="326" t="s">
        <v>399</v>
      </c>
      <c r="K603" s="326" t="s">
        <v>917</v>
      </c>
      <c r="L603" s="361"/>
      <c r="M603" s="408"/>
      <c r="N603" s="444" t="s">
        <v>438</v>
      </c>
      <c r="O603" s="326">
        <v>30</v>
      </c>
      <c r="P603" s="327" t="s">
        <v>210</v>
      </c>
      <c r="Q603" s="369" t="s">
        <v>210</v>
      </c>
      <c r="R603" s="420" t="s">
        <v>3501</v>
      </c>
      <c r="S603" s="394" t="s">
        <v>13276</v>
      </c>
      <c r="T603" s="400"/>
      <c r="U603" s="400"/>
      <c r="V603" s="394" t="s">
        <v>13277</v>
      </c>
      <c r="W603" s="460" t="s">
        <v>3504</v>
      </c>
      <c r="X603" s="394" t="s">
        <v>13278</v>
      </c>
      <c r="Y603" s="394" t="s">
        <v>13279</v>
      </c>
      <c r="Z603" s="394" t="s">
        <v>13280</v>
      </c>
      <c r="AA603" s="394" t="s">
        <v>13281</v>
      </c>
      <c r="AB603" s="416"/>
      <c r="AC603" s="416"/>
      <c r="AD603" s="447" t="s">
        <v>3524</v>
      </c>
      <c r="AE603" s="499" t="s">
        <v>353</v>
      </c>
      <c r="AF603" s="475">
        <v>42432</v>
      </c>
      <c r="AG603" s="748">
        <v>42503</v>
      </c>
      <c r="AH603" s="417" t="s">
        <v>210</v>
      </c>
      <c r="AI603" s="392" t="s">
        <v>210</v>
      </c>
      <c r="AJ603" s="392" t="s">
        <v>210</v>
      </c>
      <c r="AK603" s="340" t="s">
        <v>210</v>
      </c>
      <c r="AL603" s="417" t="s">
        <v>210</v>
      </c>
      <c r="AM603" s="392" t="s">
        <v>210</v>
      </c>
      <c r="AN603" s="392" t="s">
        <v>210</v>
      </c>
      <c r="AO603" s="341" t="s">
        <v>210</v>
      </c>
      <c r="AP603" s="342"/>
      <c r="AQ603" s="343"/>
      <c r="AR603" s="452">
        <v>1674</v>
      </c>
      <c r="AS603" s="324">
        <v>100</v>
      </c>
      <c r="AT603" s="432">
        <v>1</v>
      </c>
      <c r="AU603" s="432"/>
      <c r="AV603" s="432">
        <v>1.5</v>
      </c>
      <c r="AW603" s="490"/>
      <c r="AX603" s="410"/>
      <c r="AY603" s="413"/>
      <c r="AZ603" s="407"/>
      <c r="BA603" s="408"/>
      <c r="BB603" s="408"/>
      <c r="BC603" s="408"/>
      <c r="BD603" s="408"/>
      <c r="BE603" s="408"/>
      <c r="BF603" s="408"/>
      <c r="BG603" s="408"/>
      <c r="BH603" s="409"/>
      <c r="BI603" s="410"/>
      <c r="BJ603" s="411"/>
      <c r="BK603" s="412"/>
      <c r="BL603" s="413"/>
      <c r="BM603" s="414"/>
      <c r="BN603" s="321" t="s">
        <v>14</v>
      </c>
      <c r="BO603" s="372"/>
      <c r="BP603" s="373" t="s">
        <v>14</v>
      </c>
      <c r="BQ603" s="360"/>
      <c r="BR603" s="361"/>
      <c r="BS603" s="361"/>
      <c r="BT603" s="361"/>
      <c r="BU603" s="342" t="s">
        <v>210</v>
      </c>
      <c r="BV603" s="342" t="s">
        <v>210</v>
      </c>
      <c r="BW603" s="341" t="s">
        <v>15</v>
      </c>
      <c r="BX603" s="361"/>
      <c r="BY603" s="457"/>
      <c r="BZ603" s="363"/>
      <c r="CA603" s="363"/>
      <c r="CB603" s="363"/>
      <c r="CC603" s="363"/>
    </row>
    <row r="604" spans="1:82" ht="22.5" customHeight="1">
      <c r="B604" s="442">
        <v>150566</v>
      </c>
      <c r="C604" s="747" t="s">
        <v>3331</v>
      </c>
      <c r="D604" s="439"/>
      <c r="E604" s="404"/>
      <c r="F604" s="405" t="s">
        <v>1043</v>
      </c>
      <c r="G604" s="324" t="s">
        <v>3299</v>
      </c>
      <c r="H604" s="324" t="s">
        <v>3332</v>
      </c>
      <c r="I604" s="326" t="s">
        <v>383</v>
      </c>
      <c r="J604" s="326" t="s">
        <v>399</v>
      </c>
      <c r="K604" s="326" t="s">
        <v>247</v>
      </c>
      <c r="L604" s="361"/>
      <c r="M604" s="408"/>
      <c r="N604" s="325" t="s">
        <v>3333</v>
      </c>
      <c r="O604" s="324">
        <v>140</v>
      </c>
      <c r="P604" s="327" t="s">
        <v>210</v>
      </c>
      <c r="Q604" s="369" t="s">
        <v>210</v>
      </c>
      <c r="R604" s="329" t="s">
        <v>3337</v>
      </c>
      <c r="S604" s="394" t="s">
        <v>13274</v>
      </c>
      <c r="T604" s="394" t="s">
        <v>16539</v>
      </c>
      <c r="U604" s="394" t="s">
        <v>16294</v>
      </c>
      <c r="V604" s="394" t="s">
        <v>13275</v>
      </c>
      <c r="W604" s="460" t="s">
        <v>3334</v>
      </c>
      <c r="X604" s="394" t="s">
        <v>13271</v>
      </c>
      <c r="Y604" s="394" t="s">
        <v>13272</v>
      </c>
      <c r="Z604" s="394" t="s">
        <v>16240</v>
      </c>
      <c r="AA604" s="394" t="s">
        <v>13273</v>
      </c>
      <c r="AB604" s="333"/>
      <c r="AC604" s="416"/>
      <c r="AD604" s="447" t="s">
        <v>3707</v>
      </c>
      <c r="AE604" s="335" t="s">
        <v>210</v>
      </c>
      <c r="AF604" s="475">
        <v>42458</v>
      </c>
      <c r="AG604" s="748">
        <v>42557</v>
      </c>
      <c r="AH604" s="417" t="s">
        <v>210</v>
      </c>
      <c r="AI604" s="392" t="s">
        <v>210</v>
      </c>
      <c r="AJ604" s="392" t="s">
        <v>210</v>
      </c>
      <c r="AK604" s="340" t="s">
        <v>210</v>
      </c>
      <c r="AL604" s="417" t="s">
        <v>210</v>
      </c>
      <c r="AM604" s="392" t="s">
        <v>210</v>
      </c>
      <c r="AN604" s="392" t="s">
        <v>210</v>
      </c>
      <c r="AO604" s="341" t="s">
        <v>210</v>
      </c>
      <c r="AP604" s="342"/>
      <c r="AQ604" s="343"/>
      <c r="AR604" s="452">
        <v>1829</v>
      </c>
      <c r="AS604" s="324">
        <v>100</v>
      </c>
      <c r="AT604" s="432">
        <v>1</v>
      </c>
      <c r="AU604" s="432"/>
      <c r="AV604" s="432">
        <v>1.5</v>
      </c>
      <c r="AW604" s="490"/>
      <c r="AX604" s="410"/>
      <c r="AY604" s="413"/>
      <c r="AZ604" s="405" t="s">
        <v>4083</v>
      </c>
      <c r="BA604" s="324" t="s">
        <v>210</v>
      </c>
      <c r="BB604" s="324" t="s">
        <v>210</v>
      </c>
      <c r="BC604" s="324" t="s">
        <v>210</v>
      </c>
      <c r="BD604" s="324" t="s">
        <v>210</v>
      </c>
      <c r="BE604" s="324" t="s">
        <v>9715</v>
      </c>
      <c r="BF604" s="324" t="s">
        <v>9708</v>
      </c>
      <c r="BG604" s="324" t="s">
        <v>9715</v>
      </c>
      <c r="BH604" s="324" t="s">
        <v>9708</v>
      </c>
      <c r="BI604" s="410"/>
      <c r="BJ604" s="427" t="s">
        <v>210</v>
      </c>
      <c r="BK604" s="412"/>
      <c r="BL604" s="413"/>
      <c r="BM604" s="414"/>
      <c r="BN604" s="321" t="s">
        <v>14</v>
      </c>
      <c r="BO604" s="372">
        <v>1.0900000000000001</v>
      </c>
      <c r="BP604" s="373" t="s">
        <v>14</v>
      </c>
      <c r="BQ604" s="360"/>
      <c r="BR604" s="361"/>
      <c r="BS604" s="361"/>
      <c r="BT604" s="361"/>
      <c r="BU604" s="342" t="s">
        <v>210</v>
      </c>
      <c r="BV604" s="342" t="s">
        <v>210</v>
      </c>
      <c r="BW604" s="341" t="s">
        <v>210</v>
      </c>
      <c r="BX604" s="361"/>
      <c r="BY604" s="457"/>
      <c r="BZ604" s="363"/>
      <c r="CA604" s="363"/>
      <c r="CB604" s="363"/>
      <c r="CC604" s="363"/>
    </row>
    <row r="605" spans="1:82" ht="22.5" customHeight="1">
      <c r="B605" s="442">
        <v>150576</v>
      </c>
      <c r="C605" s="747" t="s">
        <v>3101</v>
      </c>
      <c r="D605" s="439"/>
      <c r="E605" s="404"/>
      <c r="F605" s="405" t="s">
        <v>3111</v>
      </c>
      <c r="G605" s="324" t="s">
        <v>3112</v>
      </c>
      <c r="H605" s="324" t="s">
        <v>3216</v>
      </c>
      <c r="I605" s="326" t="s">
        <v>383</v>
      </c>
      <c r="J605" s="326" t="s">
        <v>387</v>
      </c>
      <c r="K605" s="326" t="s">
        <v>917</v>
      </c>
      <c r="L605" s="432" t="s">
        <v>210</v>
      </c>
      <c r="M605" s="324" t="s">
        <v>6509</v>
      </c>
      <c r="N605" s="444" t="s">
        <v>438</v>
      </c>
      <c r="O605" s="324">
        <v>24</v>
      </c>
      <c r="P605" s="327" t="s">
        <v>210</v>
      </c>
      <c r="Q605" s="369" t="s">
        <v>210</v>
      </c>
      <c r="R605" s="329" t="s">
        <v>447</v>
      </c>
      <c r="S605" s="332" t="s">
        <v>11188</v>
      </c>
      <c r="T605" s="332" t="s">
        <v>11078</v>
      </c>
      <c r="U605" s="332" t="s">
        <v>16355</v>
      </c>
      <c r="V605" s="332" t="s">
        <v>12158</v>
      </c>
      <c r="W605" s="332" t="s">
        <v>432</v>
      </c>
      <c r="X605" s="331" t="s">
        <v>11079</v>
      </c>
      <c r="Y605" s="331" t="s">
        <v>11080</v>
      </c>
      <c r="Z605" s="331" t="s">
        <v>11080</v>
      </c>
      <c r="AA605" s="331"/>
      <c r="AB605" s="416"/>
      <c r="AC605" s="416"/>
      <c r="AD605" s="447" t="s">
        <v>2921</v>
      </c>
      <c r="AE605" s="499" t="s">
        <v>3190</v>
      </c>
      <c r="AF605" s="475">
        <v>42334</v>
      </c>
      <c r="AG605" s="748">
        <v>42424</v>
      </c>
      <c r="AH605" s="410"/>
      <c r="AI605" s="408"/>
      <c r="AJ605" s="500"/>
      <c r="AK605" s="492"/>
      <c r="AL605" s="417" t="s">
        <v>210</v>
      </c>
      <c r="AM605" s="392" t="s">
        <v>210</v>
      </c>
      <c r="AN605" s="392" t="s">
        <v>210</v>
      </c>
      <c r="AO605" s="341" t="s">
        <v>210</v>
      </c>
      <c r="AP605" s="342"/>
      <c r="AQ605" s="433" t="s">
        <v>4547</v>
      </c>
      <c r="AR605" s="452">
        <v>5550</v>
      </c>
      <c r="AS605" s="324">
        <v>150</v>
      </c>
      <c r="AT605" s="432">
        <v>0.8</v>
      </c>
      <c r="AU605" s="432"/>
      <c r="AV605" s="432">
        <v>1.4</v>
      </c>
      <c r="AW605" s="490"/>
      <c r="AX605" s="453" t="s">
        <v>210</v>
      </c>
      <c r="AY605" s="429" t="s">
        <v>622</v>
      </c>
      <c r="AZ605" s="407"/>
      <c r="BA605" s="408"/>
      <c r="BB605" s="408"/>
      <c r="BC605" s="408"/>
      <c r="BD605" s="408"/>
      <c r="BE605" s="408"/>
      <c r="BF605" s="408"/>
      <c r="BG605" s="408"/>
      <c r="BH605" s="409"/>
      <c r="BI605" s="410"/>
      <c r="BJ605" s="411"/>
      <c r="BK605" s="412"/>
      <c r="BL605" s="413"/>
      <c r="BM605" s="414"/>
      <c r="BN605" s="321" t="s">
        <v>622</v>
      </c>
      <c r="BO605" s="372">
        <v>2.17</v>
      </c>
      <c r="BP605" s="340" t="s">
        <v>210</v>
      </c>
      <c r="BQ605" s="360"/>
      <c r="BR605" s="361"/>
      <c r="BS605" s="361"/>
      <c r="BT605" s="361"/>
      <c r="BU605" s="342" t="s">
        <v>210</v>
      </c>
      <c r="BV605" s="342" t="s">
        <v>210</v>
      </c>
      <c r="BW605" s="341" t="s">
        <v>210</v>
      </c>
      <c r="BX605" s="361"/>
      <c r="BY605" s="457"/>
      <c r="BZ605" s="363"/>
      <c r="CA605" s="363"/>
      <c r="CB605" s="363"/>
      <c r="CC605" s="363"/>
    </row>
    <row r="606" spans="1:82" ht="22.5" customHeight="1">
      <c r="B606" s="442">
        <v>150580</v>
      </c>
      <c r="C606" s="747" t="s">
        <v>3315</v>
      </c>
      <c r="D606" s="439"/>
      <c r="E606" s="404"/>
      <c r="F606" s="405" t="s">
        <v>3316</v>
      </c>
      <c r="G606" s="324" t="s">
        <v>3317</v>
      </c>
      <c r="H606" s="324" t="s">
        <v>3318</v>
      </c>
      <c r="I606" s="326" t="s">
        <v>383</v>
      </c>
      <c r="J606" s="326" t="s">
        <v>399</v>
      </c>
      <c r="K606" s="326" t="s">
        <v>917</v>
      </c>
      <c r="L606" s="361"/>
      <c r="M606" s="408"/>
      <c r="N606" s="325" t="s">
        <v>437</v>
      </c>
      <c r="O606" s="324">
        <v>40</v>
      </c>
      <c r="P606" s="327" t="s">
        <v>210</v>
      </c>
      <c r="Q606" s="369" t="s">
        <v>210</v>
      </c>
      <c r="R606" s="420" t="s">
        <v>3144</v>
      </c>
      <c r="S606" s="394" t="s">
        <v>13392</v>
      </c>
      <c r="T606" s="394" t="s">
        <v>13394</v>
      </c>
      <c r="U606" s="394" t="s">
        <v>16312</v>
      </c>
      <c r="V606" s="394" t="s">
        <v>13393</v>
      </c>
      <c r="W606" s="460" t="s">
        <v>3144</v>
      </c>
      <c r="X606" s="400"/>
      <c r="Y606" s="394" t="s">
        <v>13394</v>
      </c>
      <c r="Z606" s="394" t="s">
        <v>16312</v>
      </c>
      <c r="AA606" s="400"/>
      <c r="AB606" s="333"/>
      <c r="AC606" s="416"/>
      <c r="AD606" s="375"/>
      <c r="AE606" s="335" t="s">
        <v>210</v>
      </c>
      <c r="AF606" s="475">
        <v>42467</v>
      </c>
      <c r="AG606" s="748">
        <v>42490</v>
      </c>
      <c r="AH606" s="417" t="s">
        <v>210</v>
      </c>
      <c r="AI606" s="392" t="s">
        <v>210</v>
      </c>
      <c r="AJ606" s="392" t="s">
        <v>210</v>
      </c>
      <c r="AK606" s="340" t="s">
        <v>210</v>
      </c>
      <c r="AL606" s="417" t="s">
        <v>210</v>
      </c>
      <c r="AM606" s="392" t="s">
        <v>210</v>
      </c>
      <c r="AN606" s="392" t="s">
        <v>210</v>
      </c>
      <c r="AO606" s="341" t="s">
        <v>210</v>
      </c>
      <c r="AP606" s="342"/>
      <c r="AQ606" s="343"/>
      <c r="AR606" s="452">
        <v>347</v>
      </c>
      <c r="AS606" s="324">
        <v>80</v>
      </c>
      <c r="AT606" s="432">
        <v>1</v>
      </c>
      <c r="AU606" s="432"/>
      <c r="AV606" s="432">
        <v>1.5</v>
      </c>
      <c r="AW606" s="490"/>
      <c r="AX606" s="410"/>
      <c r="AY606" s="413"/>
      <c r="AZ606" s="405" t="s">
        <v>3367</v>
      </c>
      <c r="BA606" s="324" t="s">
        <v>3368</v>
      </c>
      <c r="BB606" s="324" t="s">
        <v>3368</v>
      </c>
      <c r="BC606" s="408"/>
      <c r="BD606" s="408"/>
      <c r="BE606" s="408"/>
      <c r="BF606" s="408"/>
      <c r="BG606" s="408"/>
      <c r="BH606" s="409"/>
      <c r="BI606" s="410"/>
      <c r="BJ606" s="411"/>
      <c r="BK606" s="412"/>
      <c r="BL606" s="413"/>
      <c r="BM606" s="414"/>
      <c r="BN606" s="321" t="s">
        <v>14</v>
      </c>
      <c r="BO606" s="372"/>
      <c r="BP606" s="373" t="s">
        <v>14</v>
      </c>
      <c r="BQ606" s="360"/>
      <c r="BR606" s="361"/>
      <c r="BS606" s="361"/>
      <c r="BT606" s="361"/>
      <c r="BU606" s="342" t="s">
        <v>210</v>
      </c>
      <c r="BV606" s="342" t="s">
        <v>210</v>
      </c>
      <c r="BW606" s="341" t="s">
        <v>210</v>
      </c>
      <c r="BX606" s="361"/>
      <c r="BY606" s="457"/>
      <c r="BZ606" s="363"/>
      <c r="CA606" s="363"/>
      <c r="CB606" s="363"/>
      <c r="CC606" s="363"/>
    </row>
    <row r="607" spans="1:82" ht="22.5" customHeight="1">
      <c r="B607" s="442">
        <v>150581</v>
      </c>
      <c r="C607" s="747" t="s">
        <v>3284</v>
      </c>
      <c r="D607" s="439"/>
      <c r="E607" s="404"/>
      <c r="F607" s="405" t="s">
        <v>1390</v>
      </c>
      <c r="G607" s="324" t="s">
        <v>3319</v>
      </c>
      <c r="H607" s="324" t="s">
        <v>3320</v>
      </c>
      <c r="I607" s="326" t="s">
        <v>383</v>
      </c>
      <c r="J607" s="326" t="s">
        <v>399</v>
      </c>
      <c r="K607" s="326" t="s">
        <v>917</v>
      </c>
      <c r="L607" s="323"/>
      <c r="M607" s="408"/>
      <c r="N607" s="444" t="s">
        <v>3321</v>
      </c>
      <c r="O607" s="324">
        <v>83</v>
      </c>
      <c r="P607" s="327" t="s">
        <v>210</v>
      </c>
      <c r="Q607" s="369" t="s">
        <v>210</v>
      </c>
      <c r="R607" s="420" t="s">
        <v>3322</v>
      </c>
      <c r="S607" s="394" t="s">
        <v>13381</v>
      </c>
      <c r="T607" s="394" t="s">
        <v>13382</v>
      </c>
      <c r="U607" s="394" t="s">
        <v>13383</v>
      </c>
      <c r="V607" s="394" t="s">
        <v>13384</v>
      </c>
      <c r="W607" s="460" t="s">
        <v>3323</v>
      </c>
      <c r="X607" s="394" t="s">
        <v>13388</v>
      </c>
      <c r="Y607" s="394" t="s">
        <v>13386</v>
      </c>
      <c r="Z607" s="394" t="s">
        <v>13385</v>
      </c>
      <c r="AA607" s="394" t="s">
        <v>13387</v>
      </c>
      <c r="AB607" s="416"/>
      <c r="AC607" s="416"/>
      <c r="AD607" s="334" t="s">
        <v>3570</v>
      </c>
      <c r="AE607" s="335" t="s">
        <v>210</v>
      </c>
      <c r="AF607" s="475">
        <v>42423</v>
      </c>
      <c r="AG607" s="748">
        <v>42513</v>
      </c>
      <c r="AH607" s="417" t="s">
        <v>210</v>
      </c>
      <c r="AI607" s="392" t="s">
        <v>210</v>
      </c>
      <c r="AJ607" s="392" t="s">
        <v>210</v>
      </c>
      <c r="AK607" s="340" t="s">
        <v>210</v>
      </c>
      <c r="AL607" s="417" t="s">
        <v>210</v>
      </c>
      <c r="AM607" s="392" t="s">
        <v>210</v>
      </c>
      <c r="AN607" s="392" t="s">
        <v>210</v>
      </c>
      <c r="AO607" s="341" t="s">
        <v>210</v>
      </c>
      <c r="AP607" s="342"/>
      <c r="AQ607" s="343"/>
      <c r="AR607" s="452">
        <v>859</v>
      </c>
      <c r="AS607" s="324">
        <v>150</v>
      </c>
      <c r="AT607" s="432">
        <v>0.8</v>
      </c>
      <c r="AU607" s="432"/>
      <c r="AV607" s="432">
        <v>1.8</v>
      </c>
      <c r="AW607" s="490"/>
      <c r="AX607" s="376"/>
      <c r="AY607" s="348"/>
      <c r="AZ607" s="407"/>
      <c r="BA607" s="408"/>
      <c r="BB607" s="408"/>
      <c r="BC607" s="408"/>
      <c r="BD607" s="408"/>
      <c r="BE607" s="408"/>
      <c r="BF607" s="408"/>
      <c r="BG607" s="408"/>
      <c r="BH607" s="409"/>
      <c r="BI607" s="410"/>
      <c r="BJ607" s="411"/>
      <c r="BK607" s="412"/>
      <c r="BL607" s="413"/>
      <c r="BM607" s="414"/>
      <c r="BN607" s="417" t="s">
        <v>210</v>
      </c>
      <c r="BO607" s="372"/>
      <c r="BP607" s="373" t="s">
        <v>622</v>
      </c>
      <c r="BQ607" s="360"/>
      <c r="BR607" s="361"/>
      <c r="BS607" s="361"/>
      <c r="BT607" s="361"/>
      <c r="BU607" s="342" t="s">
        <v>210</v>
      </c>
      <c r="BV607" s="342" t="s">
        <v>210</v>
      </c>
      <c r="BW607" s="341" t="s">
        <v>15</v>
      </c>
      <c r="BX607" s="361"/>
      <c r="BY607" s="457"/>
      <c r="BZ607" s="363"/>
      <c r="CA607" s="363"/>
      <c r="CB607" s="363"/>
      <c r="CC607" s="363"/>
    </row>
    <row r="608" spans="1:82" ht="22.5" customHeight="1">
      <c r="B608" s="442">
        <v>150582</v>
      </c>
      <c r="C608" s="747" t="s">
        <v>3346</v>
      </c>
      <c r="D608" s="439"/>
      <c r="E608" s="404"/>
      <c r="F608" s="405" t="s">
        <v>227</v>
      </c>
      <c r="G608" s="324" t="s">
        <v>1774</v>
      </c>
      <c r="H608" s="324" t="s">
        <v>3618</v>
      </c>
      <c r="I608" s="326" t="s">
        <v>383</v>
      </c>
      <c r="J608" s="326" t="s">
        <v>387</v>
      </c>
      <c r="K608" s="324" t="s">
        <v>3533</v>
      </c>
      <c r="L608" s="361"/>
      <c r="M608" s="408"/>
      <c r="N608" s="325" t="s">
        <v>521</v>
      </c>
      <c r="O608" s="324" t="s">
        <v>210</v>
      </c>
      <c r="P608" s="327" t="s">
        <v>210</v>
      </c>
      <c r="Q608" s="369" t="s">
        <v>210</v>
      </c>
      <c r="R608" s="329" t="s">
        <v>4028</v>
      </c>
      <c r="S608" s="331" t="s">
        <v>13269</v>
      </c>
      <c r="T608" s="330"/>
      <c r="U608" s="330"/>
      <c r="V608" s="331" t="s">
        <v>13270</v>
      </c>
      <c r="W608" s="332" t="s">
        <v>4028</v>
      </c>
      <c r="X608" s="331" t="s">
        <v>13269</v>
      </c>
      <c r="Y608" s="330"/>
      <c r="Z608" s="330"/>
      <c r="AA608" s="331" t="s">
        <v>13270</v>
      </c>
      <c r="AB608" s="333" t="s">
        <v>3969</v>
      </c>
      <c r="AC608" s="416"/>
      <c r="AD608" s="447" t="s">
        <v>3118</v>
      </c>
      <c r="AE608" s="499" t="s">
        <v>947</v>
      </c>
      <c r="AF608" s="475">
        <v>42514</v>
      </c>
      <c r="AG608" s="748">
        <v>42564</v>
      </c>
      <c r="AH608" s="417" t="s">
        <v>210</v>
      </c>
      <c r="AI608" s="392" t="s">
        <v>210</v>
      </c>
      <c r="AJ608" s="392" t="s">
        <v>210</v>
      </c>
      <c r="AK608" s="340" t="s">
        <v>210</v>
      </c>
      <c r="AL608" s="417" t="s">
        <v>210</v>
      </c>
      <c r="AM608" s="392" t="s">
        <v>210</v>
      </c>
      <c r="AN608" s="392" t="s">
        <v>210</v>
      </c>
      <c r="AO608" s="341" t="s">
        <v>210</v>
      </c>
      <c r="AP608" s="342"/>
      <c r="AQ608" s="343"/>
      <c r="AR608" s="452">
        <v>7241</v>
      </c>
      <c r="AS608" s="326">
        <v>150</v>
      </c>
      <c r="AT608" s="432">
        <v>0.8</v>
      </c>
      <c r="AU608" s="432"/>
      <c r="AV608" s="432">
        <v>1.5</v>
      </c>
      <c r="AW608" s="490"/>
      <c r="AX608" s="410"/>
      <c r="AY608" s="413"/>
      <c r="AZ608" s="405" t="s">
        <v>3367</v>
      </c>
      <c r="BA608" s="324" t="s">
        <v>210</v>
      </c>
      <c r="BB608" s="324" t="s">
        <v>210</v>
      </c>
      <c r="BC608" s="324" t="s">
        <v>3457</v>
      </c>
      <c r="BD608" s="324" t="s">
        <v>3372</v>
      </c>
      <c r="BE608" s="324" t="s">
        <v>3619</v>
      </c>
      <c r="BF608" s="324" t="s">
        <v>3372</v>
      </c>
      <c r="BG608" s="324" t="s">
        <v>3620</v>
      </c>
      <c r="BH608" s="426" t="s">
        <v>3494</v>
      </c>
      <c r="BI608" s="410"/>
      <c r="BJ608" s="427" t="s">
        <v>9793</v>
      </c>
      <c r="BK608" s="412"/>
      <c r="BL608" s="413"/>
      <c r="BM608" s="414"/>
      <c r="BN608" s="321" t="s">
        <v>14</v>
      </c>
      <c r="BO608" s="372"/>
      <c r="BP608" s="373" t="s">
        <v>14</v>
      </c>
      <c r="BQ608" s="360"/>
      <c r="BR608" s="361"/>
      <c r="BS608" s="361"/>
      <c r="BT608" s="361"/>
      <c r="BU608" s="342" t="s">
        <v>210</v>
      </c>
      <c r="BV608" s="342" t="s">
        <v>210</v>
      </c>
      <c r="BW608" s="341" t="s">
        <v>210</v>
      </c>
      <c r="BX608" s="361"/>
      <c r="BY608" s="457"/>
      <c r="BZ608" s="363"/>
      <c r="CA608" s="363"/>
      <c r="CB608" s="363"/>
      <c r="CC608" s="363"/>
    </row>
    <row r="609" spans="2:81" ht="22.5" customHeight="1">
      <c r="B609" s="442">
        <v>150585</v>
      </c>
      <c r="C609" s="747" t="s">
        <v>13268</v>
      </c>
      <c r="D609" s="439"/>
      <c r="E609" s="404"/>
      <c r="F609" s="321" t="s">
        <v>222</v>
      </c>
      <c r="G609" s="326" t="s">
        <v>1860</v>
      </c>
      <c r="H609" s="324" t="s">
        <v>3349</v>
      </c>
      <c r="I609" s="326" t="s">
        <v>383</v>
      </c>
      <c r="J609" s="326" t="s">
        <v>399</v>
      </c>
      <c r="K609" s="324" t="s">
        <v>977</v>
      </c>
      <c r="L609" s="361"/>
      <c r="M609" s="408"/>
      <c r="N609" s="325" t="s">
        <v>438</v>
      </c>
      <c r="O609" s="324">
        <v>150</v>
      </c>
      <c r="P609" s="458">
        <v>660</v>
      </c>
      <c r="Q609" s="459">
        <v>740</v>
      </c>
      <c r="R609" s="329" t="s">
        <v>1484</v>
      </c>
      <c r="S609" s="394" t="s">
        <v>11273</v>
      </c>
      <c r="T609" s="394" t="s">
        <v>11275</v>
      </c>
      <c r="U609" s="394" t="s">
        <v>11274</v>
      </c>
      <c r="V609" s="394" t="s">
        <v>11276</v>
      </c>
      <c r="W609" s="332" t="s">
        <v>432</v>
      </c>
      <c r="X609" s="331" t="s">
        <v>11079</v>
      </c>
      <c r="Y609" s="331" t="s">
        <v>11080</v>
      </c>
      <c r="Z609" s="331" t="s">
        <v>11080</v>
      </c>
      <c r="AA609" s="331" t="s">
        <v>210</v>
      </c>
      <c r="AB609" s="416"/>
      <c r="AC609" s="416"/>
      <c r="AD609" s="447" t="s">
        <v>3281</v>
      </c>
      <c r="AE609" s="499" t="s">
        <v>3282</v>
      </c>
      <c r="AF609" s="475">
        <v>42417</v>
      </c>
      <c r="AG609" s="748">
        <v>42460</v>
      </c>
      <c r="AH609" s="410"/>
      <c r="AI609" s="408"/>
      <c r="AJ609" s="500"/>
      <c r="AK609" s="492"/>
      <c r="AL609" s="417" t="s">
        <v>210</v>
      </c>
      <c r="AM609" s="392" t="s">
        <v>210</v>
      </c>
      <c r="AN609" s="392" t="s">
        <v>210</v>
      </c>
      <c r="AO609" s="341" t="s">
        <v>210</v>
      </c>
      <c r="AP609" s="342"/>
      <c r="AQ609" s="343"/>
      <c r="AR609" s="452">
        <v>937</v>
      </c>
      <c r="AS609" s="324">
        <v>120</v>
      </c>
      <c r="AT609" s="432">
        <v>1</v>
      </c>
      <c r="AU609" s="432"/>
      <c r="AV609" s="432">
        <v>1.2</v>
      </c>
      <c r="AW609" s="490"/>
      <c r="AX609" s="410"/>
      <c r="AY609" s="413"/>
      <c r="AZ609" s="405" t="s">
        <v>3367</v>
      </c>
      <c r="BA609" s="324" t="s">
        <v>210</v>
      </c>
      <c r="BB609" s="324" t="s">
        <v>210</v>
      </c>
      <c r="BC609" s="324" t="s">
        <v>210</v>
      </c>
      <c r="BD609" s="324" t="s">
        <v>210</v>
      </c>
      <c r="BE609" s="324" t="s">
        <v>210</v>
      </c>
      <c r="BF609" s="324" t="s">
        <v>210</v>
      </c>
      <c r="BG609" s="324" t="s">
        <v>10121</v>
      </c>
      <c r="BH609" s="426" t="s">
        <v>10122</v>
      </c>
      <c r="BI609" s="410"/>
      <c r="BJ609" s="427">
        <v>14.4</v>
      </c>
      <c r="BK609" s="412"/>
      <c r="BL609" s="413"/>
      <c r="BM609" s="414"/>
      <c r="BN609" s="321" t="s">
        <v>14</v>
      </c>
      <c r="BO609" s="372"/>
      <c r="BP609" s="373" t="s">
        <v>14</v>
      </c>
      <c r="BQ609" s="360"/>
      <c r="BR609" s="361"/>
      <c r="BS609" s="361"/>
      <c r="BT609" s="361"/>
      <c r="BU609" s="342" t="s">
        <v>210</v>
      </c>
      <c r="BV609" s="342" t="s">
        <v>210</v>
      </c>
      <c r="BW609" s="341" t="s">
        <v>15</v>
      </c>
      <c r="BX609" s="361"/>
      <c r="BY609" s="457"/>
      <c r="BZ609" s="363"/>
      <c r="CA609" s="363"/>
      <c r="CB609" s="363"/>
      <c r="CC609" s="363"/>
    </row>
    <row r="610" spans="2:81" ht="22.5" customHeight="1">
      <c r="B610" s="442">
        <v>150588</v>
      </c>
      <c r="C610" s="747" t="s">
        <v>3194</v>
      </c>
      <c r="D610" s="439"/>
      <c r="E610" s="404"/>
      <c r="F610" s="405" t="s">
        <v>3195</v>
      </c>
      <c r="G610" s="324" t="s">
        <v>3196</v>
      </c>
      <c r="H610" s="324" t="s">
        <v>3197</v>
      </c>
      <c r="I610" s="326" t="s">
        <v>383</v>
      </c>
      <c r="J610" s="326" t="s">
        <v>399</v>
      </c>
      <c r="K610" s="326" t="s">
        <v>917</v>
      </c>
      <c r="L610" s="323"/>
      <c r="M610" s="408"/>
      <c r="N610" s="325" t="s">
        <v>438</v>
      </c>
      <c r="O610" s="324">
        <v>40</v>
      </c>
      <c r="P610" s="458">
        <v>9560</v>
      </c>
      <c r="Q610" s="459">
        <v>9632.7999999999993</v>
      </c>
      <c r="R610" s="420" t="s">
        <v>3199</v>
      </c>
      <c r="S610" s="394" t="s">
        <v>13265</v>
      </c>
      <c r="T610" s="394" t="s">
        <v>13266</v>
      </c>
      <c r="U610" s="394" t="s">
        <v>16405</v>
      </c>
      <c r="V610" s="394" t="s">
        <v>13267</v>
      </c>
      <c r="W610" s="332" t="s">
        <v>432</v>
      </c>
      <c r="X610" s="331" t="s">
        <v>11079</v>
      </c>
      <c r="Y610" s="331" t="s">
        <v>11080</v>
      </c>
      <c r="Z610" s="331" t="s">
        <v>11080</v>
      </c>
      <c r="AA610" s="331" t="s">
        <v>210</v>
      </c>
      <c r="AB610" s="416" t="s">
        <v>4321</v>
      </c>
      <c r="AC610" s="416"/>
      <c r="AD610" s="334" t="s">
        <v>3592</v>
      </c>
      <c r="AE610" s="499" t="s">
        <v>1720</v>
      </c>
      <c r="AF610" s="475">
        <v>42423</v>
      </c>
      <c r="AG610" s="748">
        <v>42643</v>
      </c>
      <c r="AH610" s="417" t="s">
        <v>210</v>
      </c>
      <c r="AI610" s="392" t="s">
        <v>210</v>
      </c>
      <c r="AJ610" s="392" t="s">
        <v>210</v>
      </c>
      <c r="AK610" s="340" t="s">
        <v>210</v>
      </c>
      <c r="AL610" s="417" t="s">
        <v>210</v>
      </c>
      <c r="AM610" s="392" t="s">
        <v>210</v>
      </c>
      <c r="AN610" s="392" t="s">
        <v>210</v>
      </c>
      <c r="AO610" s="341" t="s">
        <v>210</v>
      </c>
      <c r="AP610" s="342"/>
      <c r="AQ610" s="343"/>
      <c r="AR610" s="452">
        <v>11351</v>
      </c>
      <c r="AS610" s="324">
        <v>80</v>
      </c>
      <c r="AT610" s="432">
        <v>1</v>
      </c>
      <c r="AU610" s="432"/>
      <c r="AV610" s="432">
        <v>1.5</v>
      </c>
      <c r="AW610" s="490"/>
      <c r="AX610" s="376"/>
      <c r="AY610" s="348"/>
      <c r="AZ610" s="405" t="s">
        <v>622</v>
      </c>
      <c r="BA610" s="324" t="s">
        <v>9696</v>
      </c>
      <c r="BB610" s="324" t="s">
        <v>9697</v>
      </c>
      <c r="BC610" s="324" t="s">
        <v>9698</v>
      </c>
      <c r="BD610" s="324" t="s">
        <v>9699</v>
      </c>
      <c r="BE610" s="324" t="s">
        <v>9700</v>
      </c>
      <c r="BF610" s="324" t="s">
        <v>9699</v>
      </c>
      <c r="BG610" s="324" t="s">
        <v>9701</v>
      </c>
      <c r="BH610" s="426" t="s">
        <v>9702</v>
      </c>
      <c r="BI610" s="453">
        <v>0.5</v>
      </c>
      <c r="BJ610" s="427">
        <v>0.64</v>
      </c>
      <c r="BK610" s="412"/>
      <c r="BL610" s="413"/>
      <c r="BM610" s="414"/>
      <c r="BN610" s="321" t="s">
        <v>14</v>
      </c>
      <c r="BO610" s="372"/>
      <c r="BP610" s="373" t="s">
        <v>14</v>
      </c>
      <c r="BQ610" s="360"/>
      <c r="BR610" s="361"/>
      <c r="BS610" s="361"/>
      <c r="BT610" s="361"/>
      <c r="BU610" s="342" t="s">
        <v>210</v>
      </c>
      <c r="BV610" s="342" t="s">
        <v>210</v>
      </c>
      <c r="BW610" s="341" t="s">
        <v>210</v>
      </c>
      <c r="BX610" s="361"/>
      <c r="BY610" s="457"/>
      <c r="BZ610" s="363"/>
      <c r="CA610" s="363"/>
      <c r="CB610" s="363"/>
      <c r="CC610" s="363"/>
    </row>
    <row r="611" spans="2:81" ht="22.5" customHeight="1">
      <c r="B611" s="442">
        <v>150592</v>
      </c>
      <c r="C611" s="747" t="s">
        <v>3344</v>
      </c>
      <c r="D611" s="439"/>
      <c r="E611" s="404"/>
      <c r="F611" s="405" t="s">
        <v>3121</v>
      </c>
      <c r="G611" s="324" t="s">
        <v>3122</v>
      </c>
      <c r="H611" s="324" t="s">
        <v>3123</v>
      </c>
      <c r="I611" s="326" t="s">
        <v>383</v>
      </c>
      <c r="J611" s="326" t="s">
        <v>387</v>
      </c>
      <c r="K611" s="326" t="s">
        <v>247</v>
      </c>
      <c r="L611" s="361"/>
      <c r="M611" s="408"/>
      <c r="N611" s="444" t="s">
        <v>438</v>
      </c>
      <c r="O611" s="326">
        <v>30</v>
      </c>
      <c r="P611" s="327" t="s">
        <v>210</v>
      </c>
      <c r="Q611" s="369" t="s">
        <v>210</v>
      </c>
      <c r="R611" s="420" t="s">
        <v>3104</v>
      </c>
      <c r="S611" s="400"/>
      <c r="T611" s="400"/>
      <c r="U611" s="400"/>
      <c r="V611" s="400"/>
      <c r="W611" s="332" t="s">
        <v>432</v>
      </c>
      <c r="X611" s="331" t="s">
        <v>11079</v>
      </c>
      <c r="Y611" s="331" t="s">
        <v>11080</v>
      </c>
      <c r="Z611" s="331" t="s">
        <v>11080</v>
      </c>
      <c r="AA611" s="331" t="s">
        <v>210</v>
      </c>
      <c r="AB611" s="333" t="s">
        <v>1040</v>
      </c>
      <c r="AC611" s="416"/>
      <c r="AD611" s="447" t="s">
        <v>4262</v>
      </c>
      <c r="AE611" s="499" t="s">
        <v>3118</v>
      </c>
      <c r="AF611" s="475">
        <v>42423</v>
      </c>
      <c r="AG611" s="748">
        <v>42479</v>
      </c>
      <c r="AH611" s="410"/>
      <c r="AI611" s="408"/>
      <c r="AJ611" s="500"/>
      <c r="AK611" s="492"/>
      <c r="AL611" s="417" t="s">
        <v>210</v>
      </c>
      <c r="AM611" s="392" t="s">
        <v>3351</v>
      </c>
      <c r="AN611" s="392" t="s">
        <v>210</v>
      </c>
      <c r="AO611" s="341" t="s">
        <v>210</v>
      </c>
      <c r="AP611" s="342"/>
      <c r="AQ611" s="343"/>
      <c r="AR611" s="452">
        <v>847</v>
      </c>
      <c r="AS611" s="324">
        <v>150</v>
      </c>
      <c r="AT611" s="432">
        <v>1</v>
      </c>
      <c r="AU611" s="432"/>
      <c r="AV611" s="432">
        <v>1.5</v>
      </c>
      <c r="AW611" s="490"/>
      <c r="AX611" s="410"/>
      <c r="AY611" s="413"/>
      <c r="AZ611" s="405" t="s">
        <v>622</v>
      </c>
      <c r="BA611" s="324" t="s">
        <v>3373</v>
      </c>
      <c r="BB611" s="324" t="s">
        <v>3360</v>
      </c>
      <c r="BC611" s="324" t="s">
        <v>3361</v>
      </c>
      <c r="BD611" s="324" t="s">
        <v>3362</v>
      </c>
      <c r="BE611" s="324" t="s">
        <v>3363</v>
      </c>
      <c r="BF611" s="324" t="s">
        <v>3364</v>
      </c>
      <c r="BG611" s="324" t="s">
        <v>3365</v>
      </c>
      <c r="BH611" s="426" t="s">
        <v>3366</v>
      </c>
      <c r="BI611" s="410"/>
      <c r="BJ611" s="411"/>
      <c r="BK611" s="412"/>
      <c r="BL611" s="413"/>
      <c r="BM611" s="414"/>
      <c r="BN611" s="321" t="s">
        <v>622</v>
      </c>
      <c r="BO611" s="372"/>
      <c r="BP611" s="340" t="s">
        <v>210</v>
      </c>
      <c r="BQ611" s="360"/>
      <c r="BR611" s="361"/>
      <c r="BS611" s="361"/>
      <c r="BT611" s="361"/>
      <c r="BU611" s="342" t="s">
        <v>210</v>
      </c>
      <c r="BV611" s="342" t="s">
        <v>210</v>
      </c>
      <c r="BW611" s="341" t="s">
        <v>210</v>
      </c>
      <c r="BX611" s="361"/>
      <c r="BY611" s="457"/>
      <c r="BZ611" s="363"/>
      <c r="CA611" s="363"/>
      <c r="CB611" s="363"/>
      <c r="CC611" s="363"/>
    </row>
    <row r="612" spans="2:81" ht="22.5" customHeight="1">
      <c r="B612" s="442">
        <v>150595</v>
      </c>
      <c r="C612" s="747" t="s">
        <v>3253</v>
      </c>
      <c r="D612" s="439"/>
      <c r="E612" s="404"/>
      <c r="F612" s="405" t="s">
        <v>3254</v>
      </c>
      <c r="G612" s="324" t="s">
        <v>1780</v>
      </c>
      <c r="H612" s="324" t="s">
        <v>3255</v>
      </c>
      <c r="I612" s="326" t="s">
        <v>383</v>
      </c>
      <c r="J612" s="326" t="s">
        <v>399</v>
      </c>
      <c r="K612" s="326" t="s">
        <v>247</v>
      </c>
      <c r="L612" s="361"/>
      <c r="M612" s="408"/>
      <c r="N612" s="325" t="s">
        <v>438</v>
      </c>
      <c r="O612" s="326">
        <v>30</v>
      </c>
      <c r="P612" s="458">
        <v>777.79</v>
      </c>
      <c r="Q612" s="459">
        <v>756.6</v>
      </c>
      <c r="R612" s="329" t="s">
        <v>974</v>
      </c>
      <c r="S612" s="331" t="s">
        <v>13262</v>
      </c>
      <c r="T612" s="331" t="s">
        <v>13263</v>
      </c>
      <c r="U612" s="331" t="s">
        <v>16223</v>
      </c>
      <c r="V612" s="331" t="s">
        <v>13264</v>
      </c>
      <c r="W612" s="332" t="s">
        <v>644</v>
      </c>
      <c r="X612" s="331" t="s">
        <v>13260</v>
      </c>
      <c r="Y612" s="394" t="s">
        <v>13234</v>
      </c>
      <c r="Z612" s="394" t="s">
        <v>13233</v>
      </c>
      <c r="AA612" s="331" t="s">
        <v>13261</v>
      </c>
      <c r="AB612" s="416"/>
      <c r="AC612" s="416"/>
      <c r="AD612" s="447" t="s">
        <v>2466</v>
      </c>
      <c r="AE612" s="499" t="s">
        <v>4261</v>
      </c>
      <c r="AF612" s="475">
        <v>42441</v>
      </c>
      <c r="AG612" s="748">
        <v>42553</v>
      </c>
      <c r="AH612" s="417" t="s">
        <v>210</v>
      </c>
      <c r="AI612" s="392" t="s">
        <v>210</v>
      </c>
      <c r="AJ612" s="392" t="s">
        <v>210</v>
      </c>
      <c r="AK612" s="340" t="s">
        <v>210</v>
      </c>
      <c r="AL612" s="417" t="s">
        <v>210</v>
      </c>
      <c r="AM612" s="392" t="s">
        <v>210</v>
      </c>
      <c r="AN612" s="392" t="s">
        <v>210</v>
      </c>
      <c r="AO612" s="341" t="s">
        <v>210</v>
      </c>
      <c r="AP612" s="342"/>
      <c r="AQ612" s="343"/>
      <c r="AR612" s="452">
        <v>999</v>
      </c>
      <c r="AS612" s="324">
        <v>100</v>
      </c>
      <c r="AT612" s="432">
        <v>1</v>
      </c>
      <c r="AU612" s="432"/>
      <c r="AV612" s="432">
        <v>1</v>
      </c>
      <c r="AW612" s="490"/>
      <c r="AX612" s="410"/>
      <c r="AY612" s="413"/>
      <c r="AZ612" s="405" t="s">
        <v>3367</v>
      </c>
      <c r="BA612" s="324" t="s">
        <v>210</v>
      </c>
      <c r="BB612" s="324" t="s">
        <v>210</v>
      </c>
      <c r="BC612" s="324" t="s">
        <v>210</v>
      </c>
      <c r="BD612" s="324" t="s">
        <v>210</v>
      </c>
      <c r="BE612" s="324" t="s">
        <v>3624</v>
      </c>
      <c r="BF612" s="324" t="s">
        <v>3625</v>
      </c>
      <c r="BG612" s="324" t="s">
        <v>3626</v>
      </c>
      <c r="BH612" s="426" t="s">
        <v>3627</v>
      </c>
      <c r="BI612" s="410"/>
      <c r="BJ612" s="427" t="s">
        <v>3628</v>
      </c>
      <c r="BK612" s="412"/>
      <c r="BL612" s="413"/>
      <c r="BM612" s="414"/>
      <c r="BN612" s="321" t="s">
        <v>622</v>
      </c>
      <c r="BO612" s="372"/>
      <c r="BP612" s="340" t="s">
        <v>210</v>
      </c>
      <c r="BQ612" s="360"/>
      <c r="BR612" s="361"/>
      <c r="BS612" s="361"/>
      <c r="BT612" s="361"/>
      <c r="BU612" s="342" t="s">
        <v>210</v>
      </c>
      <c r="BV612" s="342" t="s">
        <v>210</v>
      </c>
      <c r="BW612" s="341" t="s">
        <v>210</v>
      </c>
      <c r="BX612" s="361"/>
      <c r="BY612" s="457"/>
      <c r="BZ612" s="363"/>
      <c r="CA612" s="363"/>
      <c r="CB612" s="363"/>
      <c r="CC612" s="363"/>
    </row>
    <row r="613" spans="2:81" ht="22.5" customHeight="1">
      <c r="B613" s="442">
        <v>150598</v>
      </c>
      <c r="C613" s="747" t="s">
        <v>3298</v>
      </c>
      <c r="D613" s="439"/>
      <c r="E613" s="404"/>
      <c r="F613" s="405" t="s">
        <v>1043</v>
      </c>
      <c r="G613" s="324" t="s">
        <v>3299</v>
      </c>
      <c r="H613" s="324" t="s">
        <v>3300</v>
      </c>
      <c r="I613" s="326" t="s">
        <v>383</v>
      </c>
      <c r="J613" s="326" t="s">
        <v>399</v>
      </c>
      <c r="K613" s="324" t="s">
        <v>977</v>
      </c>
      <c r="L613" s="323"/>
      <c r="M613" s="408"/>
      <c r="N613" s="325" t="s">
        <v>438</v>
      </c>
      <c r="O613" s="324">
        <v>140</v>
      </c>
      <c r="P613" s="458">
        <v>1372</v>
      </c>
      <c r="Q613" s="459">
        <v>1456</v>
      </c>
      <c r="R613" s="329" t="s">
        <v>1057</v>
      </c>
      <c r="S613" s="394" t="s">
        <v>11283</v>
      </c>
      <c r="T613" s="394" t="s">
        <v>11284</v>
      </c>
      <c r="U613" s="394" t="s">
        <v>16292</v>
      </c>
      <c r="V613" s="394" t="s">
        <v>11285</v>
      </c>
      <c r="W613" s="332" t="s">
        <v>432</v>
      </c>
      <c r="X613" s="331" t="s">
        <v>11079</v>
      </c>
      <c r="Y613" s="331" t="s">
        <v>11080</v>
      </c>
      <c r="Z613" s="331" t="s">
        <v>11080</v>
      </c>
      <c r="AA613" s="331" t="s">
        <v>210</v>
      </c>
      <c r="AB613" s="333"/>
      <c r="AC613" s="333"/>
      <c r="AD613" s="334" t="s">
        <v>3569</v>
      </c>
      <c r="AE613" s="499" t="s">
        <v>231</v>
      </c>
      <c r="AF613" s="475">
        <v>42461</v>
      </c>
      <c r="AG613" s="748">
        <v>42516</v>
      </c>
      <c r="AH613" s="417">
        <v>18.399999999999999</v>
      </c>
      <c r="AI613" s="392">
        <v>23.9</v>
      </c>
      <c r="AJ613" s="392">
        <v>12.5</v>
      </c>
      <c r="AK613" s="340">
        <f>AH613+AI613+AJ613</f>
        <v>54.8</v>
      </c>
      <c r="AL613" s="417" t="s">
        <v>210</v>
      </c>
      <c r="AM613" s="392" t="s">
        <v>210</v>
      </c>
      <c r="AN613" s="392" t="s">
        <v>210</v>
      </c>
      <c r="AO613" s="341" t="s">
        <v>210</v>
      </c>
      <c r="AP613" s="342"/>
      <c r="AQ613" s="343"/>
      <c r="AR613" s="452">
        <v>2120</v>
      </c>
      <c r="AS613" s="324">
        <v>100</v>
      </c>
      <c r="AT613" s="432">
        <v>1</v>
      </c>
      <c r="AU613" s="432"/>
      <c r="AV613" s="432">
        <v>1.5</v>
      </c>
      <c r="AW613" s="490"/>
      <c r="AX613" s="376"/>
      <c r="AY613" s="348"/>
      <c r="AZ613" s="405" t="s">
        <v>622</v>
      </c>
      <c r="BA613" s="324" t="s">
        <v>3607</v>
      </c>
      <c r="BB613" s="324" t="s">
        <v>3606</v>
      </c>
      <c r="BC613" s="324" t="s">
        <v>3604</v>
      </c>
      <c r="BD613" s="324" t="s">
        <v>3372</v>
      </c>
      <c r="BE613" s="324" t="s">
        <v>3605</v>
      </c>
      <c r="BF613" s="324" t="s">
        <v>3372</v>
      </c>
      <c r="BG613" s="324" t="s">
        <v>3608</v>
      </c>
      <c r="BH613" s="426" t="s">
        <v>3556</v>
      </c>
      <c r="BI613" s="410"/>
      <c r="BJ613" s="427" t="s">
        <v>9793</v>
      </c>
      <c r="BK613" s="412"/>
      <c r="BL613" s="413"/>
      <c r="BM613" s="414"/>
      <c r="BN613" s="417" t="s">
        <v>210</v>
      </c>
      <c r="BO613" s="372"/>
      <c r="BP613" s="373" t="s">
        <v>622</v>
      </c>
      <c r="BQ613" s="360"/>
      <c r="BR613" s="361"/>
      <c r="BS613" s="361"/>
      <c r="BT613" s="361"/>
      <c r="BU613" s="342" t="s">
        <v>210</v>
      </c>
      <c r="BV613" s="342" t="s">
        <v>210</v>
      </c>
      <c r="BW613" s="341" t="s">
        <v>210</v>
      </c>
      <c r="BX613" s="361"/>
      <c r="BY613" s="457"/>
      <c r="BZ613" s="363"/>
      <c r="CA613" s="363"/>
      <c r="CB613" s="363"/>
      <c r="CC613" s="363"/>
    </row>
    <row r="614" spans="2:81" ht="22.5" customHeight="1">
      <c r="B614" s="442" t="s">
        <v>4921</v>
      </c>
      <c r="C614" s="747" t="s">
        <v>4886</v>
      </c>
      <c r="D614" s="439"/>
      <c r="E614" s="404"/>
      <c r="F614" s="405" t="s">
        <v>1043</v>
      </c>
      <c r="G614" s="324" t="s">
        <v>3299</v>
      </c>
      <c r="H614" s="324" t="s">
        <v>4913</v>
      </c>
      <c r="I614" s="326" t="s">
        <v>383</v>
      </c>
      <c r="J614" s="326" t="s">
        <v>399</v>
      </c>
      <c r="K614" s="326" t="s">
        <v>917</v>
      </c>
      <c r="L614" s="392" t="s">
        <v>210</v>
      </c>
      <c r="M614" s="408"/>
      <c r="N614" s="325" t="s">
        <v>437</v>
      </c>
      <c r="O614" s="324">
        <v>100</v>
      </c>
      <c r="P614" s="816">
        <v>2900</v>
      </c>
      <c r="Q614" s="817">
        <v>2900</v>
      </c>
      <c r="R614" s="329" t="s">
        <v>1082</v>
      </c>
      <c r="S614" s="394" t="s">
        <v>13259</v>
      </c>
      <c r="T614" s="394" t="s">
        <v>11219</v>
      </c>
      <c r="U614" s="394" t="s">
        <v>16305</v>
      </c>
      <c r="V614" s="394" t="s">
        <v>11220</v>
      </c>
      <c r="W614" s="460" t="s">
        <v>8664</v>
      </c>
      <c r="X614" s="400"/>
      <c r="Y614" s="400"/>
      <c r="Z614" s="400"/>
      <c r="AA614" s="400"/>
      <c r="AB614" s="416" t="s">
        <v>4223</v>
      </c>
      <c r="AC614" s="416"/>
      <c r="AD614" s="334" t="s">
        <v>3569</v>
      </c>
      <c r="AE614" s="335" t="s">
        <v>210</v>
      </c>
      <c r="AF614" s="475">
        <v>42724</v>
      </c>
      <c r="AG614" s="748">
        <v>42885</v>
      </c>
      <c r="AH614" s="417" t="s">
        <v>210</v>
      </c>
      <c r="AI614" s="392" t="s">
        <v>210</v>
      </c>
      <c r="AJ614" s="392" t="s">
        <v>210</v>
      </c>
      <c r="AK614" s="340" t="s">
        <v>210</v>
      </c>
      <c r="AL614" s="417" t="s">
        <v>210</v>
      </c>
      <c r="AM614" s="392" t="s">
        <v>210</v>
      </c>
      <c r="AN614" s="392" t="s">
        <v>210</v>
      </c>
      <c r="AO614" s="341" t="s">
        <v>210</v>
      </c>
      <c r="AP614" s="342"/>
      <c r="AQ614" s="433" t="s">
        <v>4547</v>
      </c>
      <c r="AR614" s="452">
        <v>2852</v>
      </c>
      <c r="AS614" s="324">
        <v>80</v>
      </c>
      <c r="AT614" s="432">
        <v>0.8</v>
      </c>
      <c r="AU614" s="432"/>
      <c r="AV614" s="432">
        <v>1.4</v>
      </c>
      <c r="AW614" s="490"/>
      <c r="AX614" s="453" t="s">
        <v>210</v>
      </c>
      <c r="AY614" s="340" t="s">
        <v>622</v>
      </c>
      <c r="AZ614" s="405" t="s">
        <v>622</v>
      </c>
      <c r="BA614" s="324" t="s">
        <v>4914</v>
      </c>
      <c r="BB614" s="324" t="s">
        <v>4915</v>
      </c>
      <c r="BC614" s="324" t="s">
        <v>4916</v>
      </c>
      <c r="BD614" s="324" t="s">
        <v>4917</v>
      </c>
      <c r="BE614" s="324" t="s">
        <v>4916</v>
      </c>
      <c r="BF614" s="324" t="s">
        <v>3713</v>
      </c>
      <c r="BG614" s="324" t="s">
        <v>4911</v>
      </c>
      <c r="BH614" s="426" t="s">
        <v>3574</v>
      </c>
      <c r="BI614" s="410"/>
      <c r="BJ614" s="427" t="s">
        <v>9793</v>
      </c>
      <c r="BK614" s="412"/>
      <c r="BL614" s="413"/>
      <c r="BM614" s="414"/>
      <c r="BN614" s="321" t="s">
        <v>622</v>
      </c>
      <c r="BO614" s="372">
        <v>1.18</v>
      </c>
      <c r="BP614" s="373" t="s">
        <v>14</v>
      </c>
      <c r="BQ614" s="360"/>
      <c r="BR614" s="361"/>
      <c r="BS614" s="361"/>
      <c r="BT614" s="361"/>
      <c r="BU614" s="342" t="s">
        <v>210</v>
      </c>
      <c r="BV614" s="342" t="s">
        <v>210</v>
      </c>
      <c r="BW614" s="341" t="s">
        <v>210</v>
      </c>
      <c r="BX614" s="361"/>
      <c r="BY614" s="457"/>
      <c r="BZ614" s="363"/>
      <c r="CA614" s="363"/>
      <c r="CB614" s="363"/>
      <c r="CC614" s="363"/>
    </row>
    <row r="615" spans="2:81" ht="22.5" customHeight="1">
      <c r="B615" s="442" t="s">
        <v>4922</v>
      </c>
      <c r="C615" s="747" t="s">
        <v>4912</v>
      </c>
      <c r="D615" s="439"/>
      <c r="E615" s="404"/>
      <c r="F615" s="405" t="s">
        <v>1043</v>
      </c>
      <c r="G615" s="324" t="s">
        <v>16324</v>
      </c>
      <c r="H615" s="324" t="s">
        <v>4913</v>
      </c>
      <c r="I615" s="326" t="s">
        <v>383</v>
      </c>
      <c r="J615" s="326" t="s">
        <v>399</v>
      </c>
      <c r="K615" s="326" t="s">
        <v>917</v>
      </c>
      <c r="L615" s="392" t="s">
        <v>210</v>
      </c>
      <c r="M615" s="408"/>
      <c r="N615" s="444" t="s">
        <v>438</v>
      </c>
      <c r="O615" s="324">
        <v>100</v>
      </c>
      <c r="P615" s="816">
        <v>2000</v>
      </c>
      <c r="Q615" s="817">
        <v>2000</v>
      </c>
      <c r="R615" s="329" t="s">
        <v>1082</v>
      </c>
      <c r="S615" s="394" t="s">
        <v>13259</v>
      </c>
      <c r="T615" s="394" t="s">
        <v>11219</v>
      </c>
      <c r="U615" s="394" t="s">
        <v>16305</v>
      </c>
      <c r="V615" s="394" t="s">
        <v>11220</v>
      </c>
      <c r="W615" s="332" t="s">
        <v>592</v>
      </c>
      <c r="X615" s="331" t="s">
        <v>13256</v>
      </c>
      <c r="Y615" s="331" t="s">
        <v>13257</v>
      </c>
      <c r="Z615" s="331" t="s">
        <v>16325</v>
      </c>
      <c r="AA615" s="331" t="s">
        <v>13258</v>
      </c>
      <c r="AB615" s="333" t="s">
        <v>1095</v>
      </c>
      <c r="AC615" s="416"/>
      <c r="AD615" s="447" t="s">
        <v>3707</v>
      </c>
      <c r="AE615" s="499" t="s">
        <v>353</v>
      </c>
      <c r="AF615" s="475">
        <v>42724</v>
      </c>
      <c r="AG615" s="748">
        <v>42885</v>
      </c>
      <c r="AH615" s="417" t="s">
        <v>210</v>
      </c>
      <c r="AI615" s="392" t="s">
        <v>210</v>
      </c>
      <c r="AJ615" s="392" t="s">
        <v>210</v>
      </c>
      <c r="AK615" s="340" t="s">
        <v>210</v>
      </c>
      <c r="AL615" s="417" t="s">
        <v>210</v>
      </c>
      <c r="AM615" s="392" t="s">
        <v>210</v>
      </c>
      <c r="AN615" s="392" t="s">
        <v>210</v>
      </c>
      <c r="AO615" s="341" t="s">
        <v>210</v>
      </c>
      <c r="AP615" s="342"/>
      <c r="AQ615" s="433" t="s">
        <v>4547</v>
      </c>
      <c r="AR615" s="452">
        <v>2671</v>
      </c>
      <c r="AS615" s="324">
        <v>80</v>
      </c>
      <c r="AT615" s="432"/>
      <c r="AU615" s="432"/>
      <c r="AV615" s="432"/>
      <c r="AW615" s="490"/>
      <c r="AX615" s="453" t="s">
        <v>210</v>
      </c>
      <c r="AY615" s="455" t="s">
        <v>210</v>
      </c>
      <c r="AZ615" s="405" t="s">
        <v>622</v>
      </c>
      <c r="BA615" s="324" t="s">
        <v>4914</v>
      </c>
      <c r="BB615" s="324" t="s">
        <v>4915</v>
      </c>
      <c r="BC615" s="324" t="s">
        <v>4916</v>
      </c>
      <c r="BD615" s="324" t="s">
        <v>4917</v>
      </c>
      <c r="BE615" s="324" t="s">
        <v>4916</v>
      </c>
      <c r="BF615" s="324" t="s">
        <v>3713</v>
      </c>
      <c r="BG615" s="324" t="s">
        <v>4911</v>
      </c>
      <c r="BH615" s="426" t="s">
        <v>3574</v>
      </c>
      <c r="BI615" s="410"/>
      <c r="BJ615" s="427" t="s">
        <v>9793</v>
      </c>
      <c r="BK615" s="412"/>
      <c r="BL615" s="413"/>
      <c r="BM615" s="414"/>
      <c r="BN615" s="321" t="s">
        <v>622</v>
      </c>
      <c r="BO615" s="372">
        <v>1.01</v>
      </c>
      <c r="BP615" s="373" t="s">
        <v>14</v>
      </c>
      <c r="BQ615" s="360"/>
      <c r="BR615" s="361"/>
      <c r="BS615" s="361"/>
      <c r="BT615" s="361"/>
      <c r="BU615" s="342" t="s">
        <v>210</v>
      </c>
      <c r="BV615" s="342" t="s">
        <v>210</v>
      </c>
      <c r="BW615" s="341" t="s">
        <v>210</v>
      </c>
      <c r="BX615" s="361"/>
      <c r="BY615" s="457"/>
      <c r="BZ615" s="363"/>
      <c r="CA615" s="363"/>
      <c r="CB615" s="363"/>
      <c r="CC615" s="363"/>
    </row>
    <row r="616" spans="2:81" ht="22.5" customHeight="1">
      <c r="B616" s="442">
        <v>150616</v>
      </c>
      <c r="C616" s="747" t="s">
        <v>3275</v>
      </c>
      <c r="D616" s="439"/>
      <c r="E616" s="404"/>
      <c r="F616" s="405" t="s">
        <v>1043</v>
      </c>
      <c r="G616" s="324" t="s">
        <v>3276</v>
      </c>
      <c r="H616" s="324" t="s">
        <v>3277</v>
      </c>
      <c r="I616" s="326" t="s">
        <v>383</v>
      </c>
      <c r="J616" s="326" t="s">
        <v>399</v>
      </c>
      <c r="K616" s="326" t="s">
        <v>917</v>
      </c>
      <c r="L616" s="361"/>
      <c r="M616" s="408"/>
      <c r="N616" s="325" t="s">
        <v>438</v>
      </c>
      <c r="O616" s="324">
        <v>160</v>
      </c>
      <c r="P616" s="327" t="s">
        <v>210</v>
      </c>
      <c r="Q616" s="369" t="s">
        <v>210</v>
      </c>
      <c r="R616" s="420" t="s">
        <v>3350</v>
      </c>
      <c r="S616" s="394" t="s">
        <v>13253</v>
      </c>
      <c r="T616" s="394" t="s">
        <v>13254</v>
      </c>
      <c r="U616" s="394" t="s">
        <v>16295</v>
      </c>
      <c r="V616" s="394" t="s">
        <v>13255</v>
      </c>
      <c r="W616" s="460" t="s">
        <v>3499</v>
      </c>
      <c r="X616" s="332" t="s">
        <v>11615</v>
      </c>
      <c r="Y616" s="645"/>
      <c r="Z616" s="645"/>
      <c r="AA616" s="332" t="s">
        <v>11616</v>
      </c>
      <c r="AB616" s="416"/>
      <c r="AC616" s="416"/>
      <c r="AD616" s="375"/>
      <c r="AE616" s="815"/>
      <c r="AF616" s="475">
        <v>42438</v>
      </c>
      <c r="AG616" s="748">
        <v>42577</v>
      </c>
      <c r="AH616" s="417" t="s">
        <v>210</v>
      </c>
      <c r="AI616" s="392" t="s">
        <v>210</v>
      </c>
      <c r="AJ616" s="392" t="s">
        <v>210</v>
      </c>
      <c r="AK616" s="340" t="s">
        <v>210</v>
      </c>
      <c r="AL616" s="417" t="s">
        <v>210</v>
      </c>
      <c r="AM616" s="392" t="s">
        <v>210</v>
      </c>
      <c r="AN616" s="392" t="s">
        <v>210</v>
      </c>
      <c r="AO616" s="341" t="s">
        <v>210</v>
      </c>
      <c r="AP616" s="342"/>
      <c r="AQ616" s="343"/>
      <c r="AR616" s="452">
        <v>13090</v>
      </c>
      <c r="AS616" s="324">
        <v>120</v>
      </c>
      <c r="AT616" s="432">
        <v>0.8</v>
      </c>
      <c r="AU616" s="432"/>
      <c r="AV616" s="432">
        <v>1.2</v>
      </c>
      <c r="AW616" s="490"/>
      <c r="AX616" s="410"/>
      <c r="AY616" s="413"/>
      <c r="AZ616" s="407"/>
      <c r="BA616" s="408"/>
      <c r="BB616" s="408"/>
      <c r="BC616" s="408"/>
      <c r="BD616" s="408"/>
      <c r="BE616" s="408"/>
      <c r="BF616" s="408"/>
      <c r="BG616" s="408"/>
      <c r="BH616" s="409"/>
      <c r="BI616" s="410"/>
      <c r="BJ616" s="427">
        <v>2.85</v>
      </c>
      <c r="BK616" s="412"/>
      <c r="BL616" s="413"/>
      <c r="BM616" s="414"/>
      <c r="BN616" s="417" t="s">
        <v>210</v>
      </c>
      <c r="BO616" s="372"/>
      <c r="BP616" s="373" t="s">
        <v>622</v>
      </c>
      <c r="BQ616" s="360"/>
      <c r="BR616" s="361"/>
      <c r="BS616" s="361"/>
      <c r="BT616" s="361"/>
      <c r="BU616" s="342" t="s">
        <v>210</v>
      </c>
      <c r="BV616" s="342" t="s">
        <v>210</v>
      </c>
      <c r="BW616" s="341" t="s">
        <v>210</v>
      </c>
      <c r="BX616" s="361"/>
      <c r="BY616" s="457"/>
      <c r="BZ616" s="363"/>
      <c r="CA616" s="363"/>
      <c r="CB616" s="363"/>
      <c r="CC616" s="363"/>
    </row>
    <row r="617" spans="2:81" ht="22.5" customHeight="1">
      <c r="B617" s="442">
        <v>150627</v>
      </c>
      <c r="C617" s="747" t="s">
        <v>3635</v>
      </c>
      <c r="D617" s="439"/>
      <c r="E617" s="404"/>
      <c r="F617" s="405" t="s">
        <v>1043</v>
      </c>
      <c r="G617" s="324" t="s">
        <v>3636</v>
      </c>
      <c r="H617" s="324" t="s">
        <v>3637</v>
      </c>
      <c r="I617" s="326" t="s">
        <v>383</v>
      </c>
      <c r="J617" s="326" t="s">
        <v>399</v>
      </c>
      <c r="K617" s="326" t="s">
        <v>917</v>
      </c>
      <c r="L617" s="361"/>
      <c r="M617" s="408"/>
      <c r="N617" s="325" t="s">
        <v>438</v>
      </c>
      <c r="O617" s="324">
        <v>140</v>
      </c>
      <c r="P617" s="327" t="s">
        <v>210</v>
      </c>
      <c r="Q617" s="369" t="s">
        <v>210</v>
      </c>
      <c r="R617" s="329" t="s">
        <v>1487</v>
      </c>
      <c r="S617" s="331" t="s">
        <v>13248</v>
      </c>
      <c r="T617" s="331" t="s">
        <v>13249</v>
      </c>
      <c r="U617" s="331" t="s">
        <v>16293</v>
      </c>
      <c r="V617" s="331" t="s">
        <v>13250</v>
      </c>
      <c r="W617" s="332" t="s">
        <v>432</v>
      </c>
      <c r="X617" s="331" t="s">
        <v>11079</v>
      </c>
      <c r="Y617" s="331" t="s">
        <v>11080</v>
      </c>
      <c r="Z617" s="331" t="s">
        <v>11080</v>
      </c>
      <c r="AA617" s="331" t="s">
        <v>210</v>
      </c>
      <c r="AB617" s="416"/>
      <c r="AC617" s="416"/>
      <c r="AD617" s="447" t="s">
        <v>3805</v>
      </c>
      <c r="AE617" s="499" t="s">
        <v>353</v>
      </c>
      <c r="AF617" s="475">
        <v>42535</v>
      </c>
      <c r="AG617" s="748">
        <v>42608</v>
      </c>
      <c r="AH617" s="376"/>
      <c r="AI617" s="347"/>
      <c r="AJ617" s="347"/>
      <c r="AK617" s="371"/>
      <c r="AL617" s="417" t="s">
        <v>210</v>
      </c>
      <c r="AM617" s="392" t="s">
        <v>210</v>
      </c>
      <c r="AN617" s="392" t="s">
        <v>622</v>
      </c>
      <c r="AO617" s="341" t="s">
        <v>210</v>
      </c>
      <c r="AP617" s="342"/>
      <c r="AQ617" s="343"/>
      <c r="AR617" s="452">
        <v>5961</v>
      </c>
      <c r="AS617" s="324">
        <v>150</v>
      </c>
      <c r="AT617" s="432">
        <v>1</v>
      </c>
      <c r="AU617" s="432"/>
      <c r="AV617" s="432">
        <v>1.8</v>
      </c>
      <c r="AW617" s="490"/>
      <c r="AX617" s="410"/>
      <c r="AY617" s="413"/>
      <c r="AZ617" s="405" t="s">
        <v>622</v>
      </c>
      <c r="BA617" s="324" t="s">
        <v>9730</v>
      </c>
      <c r="BB617" s="324" t="s">
        <v>9731</v>
      </c>
      <c r="BC617" s="324" t="s">
        <v>210</v>
      </c>
      <c r="BD617" s="324" t="s">
        <v>210</v>
      </c>
      <c r="BE617" s="324" t="s">
        <v>9725</v>
      </c>
      <c r="BF617" s="324" t="s">
        <v>9732</v>
      </c>
      <c r="BG617" s="324" t="s">
        <v>9733</v>
      </c>
      <c r="BH617" s="426" t="s">
        <v>9734</v>
      </c>
      <c r="BI617" s="410"/>
      <c r="BJ617" s="427">
        <v>1.1000000000000001</v>
      </c>
      <c r="BK617" s="412"/>
      <c r="BL617" s="413"/>
      <c r="BM617" s="414"/>
      <c r="BN617" s="321" t="s">
        <v>3714</v>
      </c>
      <c r="BO617" s="372"/>
      <c r="BP617" s="373" t="s">
        <v>14</v>
      </c>
      <c r="BQ617" s="360"/>
      <c r="BR617" s="361"/>
      <c r="BS617" s="361"/>
      <c r="BT617" s="361"/>
      <c r="BU617" s="342" t="s">
        <v>210</v>
      </c>
      <c r="BV617" s="342" t="s">
        <v>210</v>
      </c>
      <c r="BW617" s="341" t="s">
        <v>210</v>
      </c>
      <c r="BX617" s="361"/>
      <c r="BY617" s="457"/>
      <c r="BZ617" s="363"/>
      <c r="CA617" s="363"/>
      <c r="CB617" s="363"/>
      <c r="CC617" s="363"/>
    </row>
    <row r="618" spans="2:81" ht="22.5" customHeight="1">
      <c r="B618" s="442">
        <v>150627</v>
      </c>
      <c r="C618" s="747" t="s">
        <v>3659</v>
      </c>
      <c r="D618" s="439"/>
      <c r="E618" s="404"/>
      <c r="F618" s="405" t="s">
        <v>1043</v>
      </c>
      <c r="G618" s="324" t="s">
        <v>3636</v>
      </c>
      <c r="H618" s="324" t="s">
        <v>3637</v>
      </c>
      <c r="I618" s="326" t="s">
        <v>383</v>
      </c>
      <c r="J618" s="326" t="s">
        <v>387</v>
      </c>
      <c r="K618" s="326" t="s">
        <v>917</v>
      </c>
      <c r="L618" s="361"/>
      <c r="M618" s="408"/>
      <c r="N618" s="325" t="s">
        <v>438</v>
      </c>
      <c r="O618" s="324">
        <v>140</v>
      </c>
      <c r="P618" s="327" t="s">
        <v>210</v>
      </c>
      <c r="Q618" s="369" t="s">
        <v>210</v>
      </c>
      <c r="R618" s="329" t="s">
        <v>1487</v>
      </c>
      <c r="S618" s="331" t="s">
        <v>13248</v>
      </c>
      <c r="T618" s="331" t="s">
        <v>13249</v>
      </c>
      <c r="U618" s="331" t="s">
        <v>16293</v>
      </c>
      <c r="V618" s="331" t="s">
        <v>13250</v>
      </c>
      <c r="W618" s="332" t="s">
        <v>512</v>
      </c>
      <c r="X618" s="331" t="s">
        <v>13251</v>
      </c>
      <c r="Y618" s="330"/>
      <c r="Z618" s="330"/>
      <c r="AA618" s="331" t="s">
        <v>13252</v>
      </c>
      <c r="AB618" s="416"/>
      <c r="AC618" s="416"/>
      <c r="AD618" s="447" t="s">
        <v>3805</v>
      </c>
      <c r="AE618" s="499" t="s">
        <v>353</v>
      </c>
      <c r="AF618" s="475">
        <v>42546</v>
      </c>
      <c r="AG618" s="748">
        <v>42626</v>
      </c>
      <c r="AH618" s="417" t="s">
        <v>210</v>
      </c>
      <c r="AI618" s="392" t="s">
        <v>210</v>
      </c>
      <c r="AJ618" s="392" t="s">
        <v>210</v>
      </c>
      <c r="AK618" s="340" t="s">
        <v>210</v>
      </c>
      <c r="AL618" s="417" t="s">
        <v>210</v>
      </c>
      <c r="AM618" s="392" t="s">
        <v>210</v>
      </c>
      <c r="AN618" s="392" t="s">
        <v>622</v>
      </c>
      <c r="AO618" s="341" t="s">
        <v>210</v>
      </c>
      <c r="AP618" s="342"/>
      <c r="AQ618" s="343"/>
      <c r="AR618" s="452">
        <v>5579</v>
      </c>
      <c r="AS618" s="324">
        <v>150</v>
      </c>
      <c r="AT618" s="432">
        <v>1</v>
      </c>
      <c r="AU618" s="432"/>
      <c r="AV618" s="432">
        <v>2.2999999999999998</v>
      </c>
      <c r="AW618" s="490"/>
      <c r="AX618" s="410"/>
      <c r="AY618" s="413"/>
      <c r="AZ618" s="405" t="s">
        <v>622</v>
      </c>
      <c r="BA618" s="324" t="s">
        <v>9730</v>
      </c>
      <c r="BB618" s="324" t="s">
        <v>9731</v>
      </c>
      <c r="BC618" s="324" t="s">
        <v>210</v>
      </c>
      <c r="BD618" s="324" t="s">
        <v>210</v>
      </c>
      <c r="BE618" s="324" t="s">
        <v>9725</v>
      </c>
      <c r="BF618" s="324" t="s">
        <v>9732</v>
      </c>
      <c r="BG618" s="324" t="s">
        <v>9733</v>
      </c>
      <c r="BH618" s="426" t="s">
        <v>9734</v>
      </c>
      <c r="BI618" s="410"/>
      <c r="BJ618" s="427">
        <v>1.1000000000000001</v>
      </c>
      <c r="BK618" s="412"/>
      <c r="BL618" s="413"/>
      <c r="BM618" s="414"/>
      <c r="BN618" s="321" t="s">
        <v>3714</v>
      </c>
      <c r="BO618" s="372"/>
      <c r="BP618" s="373" t="s">
        <v>14</v>
      </c>
      <c r="BQ618" s="360"/>
      <c r="BR618" s="361"/>
      <c r="BS618" s="361"/>
      <c r="BT618" s="361"/>
      <c r="BU618" s="342" t="s">
        <v>210</v>
      </c>
      <c r="BV618" s="342" t="s">
        <v>210</v>
      </c>
      <c r="BW618" s="341" t="s">
        <v>210</v>
      </c>
      <c r="BX618" s="361"/>
      <c r="BY618" s="457"/>
      <c r="BZ618" s="363"/>
      <c r="CA618" s="363"/>
      <c r="CB618" s="363"/>
      <c r="CC618" s="363"/>
    </row>
    <row r="619" spans="2:81" ht="22.5" customHeight="1">
      <c r="B619" s="442">
        <v>150630</v>
      </c>
      <c r="C619" s="747" t="s">
        <v>3401</v>
      </c>
      <c r="D619" s="439"/>
      <c r="E619" s="404"/>
      <c r="F619" s="405" t="s">
        <v>3402</v>
      </c>
      <c r="G619" s="324" t="s">
        <v>3403</v>
      </c>
      <c r="H619" s="324" t="s">
        <v>3404</v>
      </c>
      <c r="I619" s="326" t="s">
        <v>383</v>
      </c>
      <c r="J619" s="326" t="s">
        <v>399</v>
      </c>
      <c r="K619" s="326" t="s">
        <v>247</v>
      </c>
      <c r="L619" s="361"/>
      <c r="M619" s="408"/>
      <c r="N619" s="325" t="s">
        <v>438</v>
      </c>
      <c r="O619" s="324">
        <v>150</v>
      </c>
      <c r="P619" s="327" t="s">
        <v>210</v>
      </c>
      <c r="Q619" s="369" t="s">
        <v>210</v>
      </c>
      <c r="R619" s="329" t="s">
        <v>13241</v>
      </c>
      <c r="S619" s="331" t="s">
        <v>13244</v>
      </c>
      <c r="T619" s="331" t="s">
        <v>13246</v>
      </c>
      <c r="U619" s="331" t="s">
        <v>13245</v>
      </c>
      <c r="V619" s="331" t="s">
        <v>13247</v>
      </c>
      <c r="W619" s="332" t="s">
        <v>3405</v>
      </c>
      <c r="X619" s="331" t="s">
        <v>13236</v>
      </c>
      <c r="Y619" s="331" t="s">
        <v>13237</v>
      </c>
      <c r="Z619" s="331" t="s">
        <v>13238</v>
      </c>
      <c r="AA619" s="331" t="s">
        <v>13239</v>
      </c>
      <c r="AB619" s="416" t="s">
        <v>13240</v>
      </c>
      <c r="AC619" s="416"/>
      <c r="AD619" s="447" t="s">
        <v>3118</v>
      </c>
      <c r="AE619" s="815"/>
      <c r="AF619" s="475">
        <v>42479</v>
      </c>
      <c r="AG619" s="748">
        <v>42544</v>
      </c>
      <c r="AH619" s="417" t="s">
        <v>210</v>
      </c>
      <c r="AI619" s="392" t="s">
        <v>210</v>
      </c>
      <c r="AJ619" s="392" t="s">
        <v>210</v>
      </c>
      <c r="AK619" s="340" t="s">
        <v>210</v>
      </c>
      <c r="AL619" s="417" t="s">
        <v>210</v>
      </c>
      <c r="AM619" s="392" t="s">
        <v>210</v>
      </c>
      <c r="AN619" s="392" t="s">
        <v>210</v>
      </c>
      <c r="AO619" s="341" t="s">
        <v>210</v>
      </c>
      <c r="AP619" s="342"/>
      <c r="AQ619" s="343"/>
      <c r="AR619" s="452">
        <v>1427</v>
      </c>
      <c r="AS619" s="324">
        <v>100</v>
      </c>
      <c r="AT619" s="432">
        <v>1</v>
      </c>
      <c r="AU619" s="432"/>
      <c r="AV619" s="432">
        <v>1.6</v>
      </c>
      <c r="AW619" s="490"/>
      <c r="AX619" s="410"/>
      <c r="AY619" s="413"/>
      <c r="AZ619" s="405" t="s">
        <v>3367</v>
      </c>
      <c r="BA619" s="324" t="s">
        <v>210</v>
      </c>
      <c r="BB619" s="324" t="s">
        <v>210</v>
      </c>
      <c r="BC619" s="324" t="s">
        <v>3408</v>
      </c>
      <c r="BD619" s="324" t="s">
        <v>3409</v>
      </c>
      <c r="BE619" s="324" t="s">
        <v>3410</v>
      </c>
      <c r="BF619" s="324" t="s">
        <v>3409</v>
      </c>
      <c r="BG619" s="324" t="s">
        <v>3411</v>
      </c>
      <c r="BH619" s="426" t="s">
        <v>3412</v>
      </c>
      <c r="BI619" s="410"/>
      <c r="BJ619" s="411"/>
      <c r="BK619" s="412"/>
      <c r="BL619" s="413"/>
      <c r="BM619" s="414"/>
      <c r="BN619" s="417" t="s">
        <v>210</v>
      </c>
      <c r="BO619" s="372"/>
      <c r="BP619" s="340" t="s">
        <v>210</v>
      </c>
      <c r="BQ619" s="360"/>
      <c r="BR619" s="361"/>
      <c r="BS619" s="361"/>
      <c r="BT619" s="361"/>
      <c r="BU619" s="342" t="s">
        <v>210</v>
      </c>
      <c r="BV619" s="342" t="s">
        <v>210</v>
      </c>
      <c r="BW619" s="341" t="s">
        <v>210</v>
      </c>
      <c r="BX619" s="361"/>
      <c r="BY619" s="457"/>
      <c r="BZ619" s="363"/>
      <c r="CA619" s="363"/>
      <c r="CB619" s="363"/>
      <c r="CC619" s="363"/>
    </row>
    <row r="620" spans="2:81" ht="22.5" customHeight="1">
      <c r="B620" s="442">
        <v>150631</v>
      </c>
      <c r="C620" s="747" t="s">
        <v>3531</v>
      </c>
      <c r="D620" s="439"/>
      <c r="E620" s="404"/>
      <c r="F620" s="405" t="s">
        <v>3528</v>
      </c>
      <c r="G620" s="324" t="s">
        <v>3529</v>
      </c>
      <c r="H620" s="324" t="s">
        <v>3530</v>
      </c>
      <c r="I620" s="326" t="s">
        <v>383</v>
      </c>
      <c r="J620" s="326" t="s">
        <v>399</v>
      </c>
      <c r="K620" s="324" t="s">
        <v>3533</v>
      </c>
      <c r="L620" s="361"/>
      <c r="M620" s="408"/>
      <c r="N620" s="325" t="s">
        <v>3534</v>
      </c>
      <c r="O620" s="324">
        <v>30</v>
      </c>
      <c r="P620" s="327" t="s">
        <v>210</v>
      </c>
      <c r="Q620" s="369" t="s">
        <v>210</v>
      </c>
      <c r="R620" s="329" t="s">
        <v>3535</v>
      </c>
      <c r="S620" s="331" t="s">
        <v>13229</v>
      </c>
      <c r="T620" s="331" t="s">
        <v>13230</v>
      </c>
      <c r="U620" s="331" t="s">
        <v>16256</v>
      </c>
      <c r="V620" s="331" t="s">
        <v>13231</v>
      </c>
      <c r="W620" s="460" t="s">
        <v>2470</v>
      </c>
      <c r="X620" s="394" t="s">
        <v>13232</v>
      </c>
      <c r="Y620" s="394" t="s">
        <v>13234</v>
      </c>
      <c r="Z620" s="394" t="s">
        <v>13233</v>
      </c>
      <c r="AA620" s="394" t="s">
        <v>13235</v>
      </c>
      <c r="AB620" s="416"/>
      <c r="AC620" s="416"/>
      <c r="AD620" s="447" t="s">
        <v>3658</v>
      </c>
      <c r="AE620" s="499" t="s">
        <v>4260</v>
      </c>
      <c r="AF620" s="475">
        <v>42496</v>
      </c>
      <c r="AG620" s="748">
        <v>42558</v>
      </c>
      <c r="AH620" s="417" t="s">
        <v>210</v>
      </c>
      <c r="AI620" s="392" t="s">
        <v>210</v>
      </c>
      <c r="AJ620" s="392" t="s">
        <v>210</v>
      </c>
      <c r="AK620" s="340" t="s">
        <v>210</v>
      </c>
      <c r="AL620" s="417" t="s">
        <v>210</v>
      </c>
      <c r="AM620" s="392" t="s">
        <v>210</v>
      </c>
      <c r="AN620" s="392" t="s">
        <v>210</v>
      </c>
      <c r="AO620" s="341" t="s">
        <v>210</v>
      </c>
      <c r="AP620" s="342"/>
      <c r="AQ620" s="343"/>
      <c r="AR620" s="452">
        <v>2128</v>
      </c>
      <c r="AS620" s="324">
        <v>100</v>
      </c>
      <c r="AT620" s="432">
        <v>1</v>
      </c>
      <c r="AU620" s="432"/>
      <c r="AV620" s="432">
        <v>1</v>
      </c>
      <c r="AW620" s="490"/>
      <c r="AX620" s="410"/>
      <c r="AY620" s="413"/>
      <c r="AZ620" s="405" t="s">
        <v>3367</v>
      </c>
      <c r="BA620" s="324" t="s">
        <v>210</v>
      </c>
      <c r="BB620" s="324" t="s">
        <v>210</v>
      </c>
      <c r="BC620" s="324" t="s">
        <v>9729</v>
      </c>
      <c r="BD620" s="324" t="s">
        <v>6579</v>
      </c>
      <c r="BE620" s="324" t="s">
        <v>9728</v>
      </c>
      <c r="BF620" s="324" t="s">
        <v>3495</v>
      </c>
      <c r="BG620" s="324" t="s">
        <v>210</v>
      </c>
      <c r="BH620" s="426" t="s">
        <v>210</v>
      </c>
      <c r="BI620" s="410"/>
      <c r="BJ620" s="427">
        <v>3.84</v>
      </c>
      <c r="BK620" s="412"/>
      <c r="BL620" s="413"/>
      <c r="BM620" s="414"/>
      <c r="BN620" s="321" t="s">
        <v>622</v>
      </c>
      <c r="BO620" s="372">
        <v>2.14</v>
      </c>
      <c r="BP620" s="373" t="s">
        <v>622</v>
      </c>
      <c r="BQ620" s="360"/>
      <c r="BR620" s="361"/>
      <c r="BS620" s="361"/>
      <c r="BT620" s="361"/>
      <c r="BU620" s="342" t="s">
        <v>210</v>
      </c>
      <c r="BV620" s="342" t="s">
        <v>210</v>
      </c>
      <c r="BW620" s="341" t="s">
        <v>210</v>
      </c>
      <c r="BX620" s="361"/>
      <c r="BY620" s="457"/>
      <c r="BZ620" s="363"/>
      <c r="CA620" s="363"/>
      <c r="CB620" s="363"/>
      <c r="CC620" s="363"/>
    </row>
    <row r="621" spans="2:81" ht="22.5" customHeight="1">
      <c r="B621" s="442">
        <v>150631</v>
      </c>
      <c r="C621" s="747" t="s">
        <v>3532</v>
      </c>
      <c r="D621" s="439"/>
      <c r="E621" s="404"/>
      <c r="F621" s="405" t="s">
        <v>3528</v>
      </c>
      <c r="G621" s="324" t="s">
        <v>3529</v>
      </c>
      <c r="H621" s="324" t="s">
        <v>3530</v>
      </c>
      <c r="I621" s="326" t="s">
        <v>383</v>
      </c>
      <c r="J621" s="326" t="s">
        <v>387</v>
      </c>
      <c r="K621" s="324" t="s">
        <v>247</v>
      </c>
      <c r="L621" s="361"/>
      <c r="M621" s="408"/>
      <c r="N621" s="325" t="s">
        <v>3534</v>
      </c>
      <c r="O621" s="324">
        <v>30</v>
      </c>
      <c r="P621" s="327" t="s">
        <v>210</v>
      </c>
      <c r="Q621" s="369" t="s">
        <v>210</v>
      </c>
      <c r="R621" s="329" t="s">
        <v>3535</v>
      </c>
      <c r="S621" s="331" t="s">
        <v>13229</v>
      </c>
      <c r="T621" s="331" t="s">
        <v>13230</v>
      </c>
      <c r="U621" s="331" t="s">
        <v>16256</v>
      </c>
      <c r="V621" s="331" t="s">
        <v>13231</v>
      </c>
      <c r="W621" s="332" t="s">
        <v>735</v>
      </c>
      <c r="X621" s="330"/>
      <c r="Y621" s="330"/>
      <c r="Z621" s="330"/>
      <c r="AA621" s="330"/>
      <c r="AB621" s="416"/>
      <c r="AC621" s="416"/>
      <c r="AD621" s="447" t="s">
        <v>3658</v>
      </c>
      <c r="AE621" s="499" t="s">
        <v>4260</v>
      </c>
      <c r="AF621" s="475">
        <v>42496</v>
      </c>
      <c r="AG621" s="748">
        <v>42558</v>
      </c>
      <c r="AH621" s="417" t="s">
        <v>210</v>
      </c>
      <c r="AI621" s="392" t="s">
        <v>210</v>
      </c>
      <c r="AJ621" s="392" t="s">
        <v>210</v>
      </c>
      <c r="AK621" s="340" t="s">
        <v>210</v>
      </c>
      <c r="AL621" s="417" t="s">
        <v>210</v>
      </c>
      <c r="AM621" s="392" t="s">
        <v>210</v>
      </c>
      <c r="AN621" s="392" t="s">
        <v>210</v>
      </c>
      <c r="AO621" s="341" t="s">
        <v>210</v>
      </c>
      <c r="AP621" s="342"/>
      <c r="AQ621" s="343"/>
      <c r="AR621" s="452">
        <v>2057</v>
      </c>
      <c r="AS621" s="324">
        <v>100</v>
      </c>
      <c r="AT621" s="432">
        <v>0.8</v>
      </c>
      <c r="AU621" s="432"/>
      <c r="AV621" s="432">
        <v>1.2</v>
      </c>
      <c r="AW621" s="490"/>
      <c r="AX621" s="410"/>
      <c r="AY621" s="413"/>
      <c r="AZ621" s="405" t="s">
        <v>3367</v>
      </c>
      <c r="BA621" s="324" t="s">
        <v>210</v>
      </c>
      <c r="BB621" s="324" t="s">
        <v>210</v>
      </c>
      <c r="BC621" s="324" t="s">
        <v>9729</v>
      </c>
      <c r="BD621" s="324" t="s">
        <v>6579</v>
      </c>
      <c r="BE621" s="324" t="s">
        <v>9728</v>
      </c>
      <c r="BF621" s="324" t="s">
        <v>3495</v>
      </c>
      <c r="BG621" s="324" t="s">
        <v>210</v>
      </c>
      <c r="BH621" s="426" t="s">
        <v>210</v>
      </c>
      <c r="BI621" s="410"/>
      <c r="BJ621" s="427">
        <v>3.84</v>
      </c>
      <c r="BK621" s="412"/>
      <c r="BL621" s="413"/>
      <c r="BM621" s="414"/>
      <c r="BN621" s="321" t="s">
        <v>622</v>
      </c>
      <c r="BO621" s="372">
        <v>1.92</v>
      </c>
      <c r="BP621" s="373" t="s">
        <v>622</v>
      </c>
      <c r="BQ621" s="360"/>
      <c r="BR621" s="361"/>
      <c r="BS621" s="361"/>
      <c r="BT621" s="361"/>
      <c r="BU621" s="342" t="s">
        <v>210</v>
      </c>
      <c r="BV621" s="342" t="s">
        <v>210</v>
      </c>
      <c r="BW621" s="341" t="s">
        <v>210</v>
      </c>
      <c r="BX621" s="361"/>
      <c r="BY621" s="457"/>
      <c r="BZ621" s="363"/>
      <c r="CA621" s="363"/>
      <c r="CB621" s="363"/>
      <c r="CC621" s="363"/>
    </row>
    <row r="622" spans="2:81" ht="22.5" customHeight="1">
      <c r="B622" s="442">
        <v>150634</v>
      </c>
      <c r="C622" s="747" t="s">
        <v>3888</v>
      </c>
      <c r="D622" s="439"/>
      <c r="E622" s="404"/>
      <c r="F622" s="405" t="s">
        <v>266</v>
      </c>
      <c r="G622" s="324" t="s">
        <v>3889</v>
      </c>
      <c r="H622" s="324" t="s">
        <v>3891</v>
      </c>
      <c r="I622" s="326" t="s">
        <v>383</v>
      </c>
      <c r="J622" s="326" t="s">
        <v>399</v>
      </c>
      <c r="K622" s="324" t="s">
        <v>977</v>
      </c>
      <c r="L622" s="361"/>
      <c r="M622" s="408"/>
      <c r="N622" s="325" t="s">
        <v>438</v>
      </c>
      <c r="O622" s="326">
        <v>30</v>
      </c>
      <c r="P622" s="327" t="s">
        <v>210</v>
      </c>
      <c r="Q622" s="369" t="s">
        <v>210</v>
      </c>
      <c r="R622" s="420" t="s">
        <v>3428</v>
      </c>
      <c r="S622" s="400"/>
      <c r="T622" s="400"/>
      <c r="U622" s="400"/>
      <c r="V622" s="400"/>
      <c r="W622" s="460" t="s">
        <v>3425</v>
      </c>
      <c r="X622" s="394" t="s">
        <v>13227</v>
      </c>
      <c r="Y622" s="394" t="s">
        <v>13226</v>
      </c>
      <c r="Z622" s="394" t="s">
        <v>13225</v>
      </c>
      <c r="AA622" s="394" t="s">
        <v>13228</v>
      </c>
      <c r="AB622" s="416"/>
      <c r="AC622" s="416"/>
      <c r="AD622" s="447" t="s">
        <v>3118</v>
      </c>
      <c r="AE622" s="499" t="s">
        <v>4071</v>
      </c>
      <c r="AF622" s="475">
        <v>42580</v>
      </c>
      <c r="AG622" s="748">
        <v>42646</v>
      </c>
      <c r="AH622" s="417" t="s">
        <v>210</v>
      </c>
      <c r="AI622" s="392" t="s">
        <v>210</v>
      </c>
      <c r="AJ622" s="392" t="s">
        <v>210</v>
      </c>
      <c r="AK622" s="340" t="s">
        <v>210</v>
      </c>
      <c r="AL622" s="417" t="s">
        <v>210</v>
      </c>
      <c r="AM622" s="392" t="s">
        <v>210</v>
      </c>
      <c r="AN622" s="392" t="s">
        <v>210</v>
      </c>
      <c r="AO622" s="341" t="s">
        <v>210</v>
      </c>
      <c r="AP622" s="342"/>
      <c r="AQ622" s="343"/>
      <c r="AR622" s="501"/>
      <c r="AS622" s="324">
        <v>100</v>
      </c>
      <c r="AT622" s="432">
        <v>1</v>
      </c>
      <c r="AU622" s="432"/>
      <c r="AV622" s="432">
        <v>1.6</v>
      </c>
      <c r="AW622" s="490"/>
      <c r="AX622" s="410"/>
      <c r="AY622" s="413"/>
      <c r="AZ622" s="405" t="s">
        <v>622</v>
      </c>
      <c r="BA622" s="324" t="s">
        <v>3459</v>
      </c>
      <c r="BB622" s="324" t="s">
        <v>3931</v>
      </c>
      <c r="BC622" s="324" t="s">
        <v>3932</v>
      </c>
      <c r="BD622" s="324" t="s">
        <v>3931</v>
      </c>
      <c r="BE622" s="324" t="s">
        <v>3933</v>
      </c>
      <c r="BF622" s="324" t="s">
        <v>3934</v>
      </c>
      <c r="BG622" s="324" t="s">
        <v>3935</v>
      </c>
      <c r="BH622" s="426" t="s">
        <v>3936</v>
      </c>
      <c r="BI622" s="410"/>
      <c r="BJ622" s="427" t="s">
        <v>9793</v>
      </c>
      <c r="BK622" s="412"/>
      <c r="BL622" s="413"/>
      <c r="BM622" s="414"/>
      <c r="BN622" s="321" t="s">
        <v>14</v>
      </c>
      <c r="BO622" s="372"/>
      <c r="BP622" s="373" t="s">
        <v>14</v>
      </c>
      <c r="BQ622" s="360"/>
      <c r="BR622" s="361"/>
      <c r="BS622" s="361"/>
      <c r="BT622" s="361"/>
      <c r="BU622" s="342" t="s">
        <v>210</v>
      </c>
      <c r="BV622" s="342" t="s">
        <v>210</v>
      </c>
      <c r="BW622" s="341" t="s">
        <v>210</v>
      </c>
      <c r="BX622" s="361"/>
      <c r="BY622" s="457"/>
      <c r="BZ622" s="363"/>
      <c r="CA622" s="363"/>
      <c r="CB622" s="363"/>
      <c r="CC622" s="363"/>
    </row>
    <row r="623" spans="2:81" ht="22.5" customHeight="1">
      <c r="B623" s="442">
        <v>150635</v>
      </c>
      <c r="C623" s="747" t="s">
        <v>13222</v>
      </c>
      <c r="D623" s="439"/>
      <c r="E623" s="404"/>
      <c r="F623" s="407"/>
      <c r="G623" s="408"/>
      <c r="H623" s="408"/>
      <c r="I623" s="408"/>
      <c r="J623" s="408"/>
      <c r="K623" s="408"/>
      <c r="L623" s="361"/>
      <c r="M623" s="408"/>
      <c r="N623" s="511"/>
      <c r="O623" s="408"/>
      <c r="P623" s="327" t="s">
        <v>210</v>
      </c>
      <c r="Q623" s="369" t="s">
        <v>210</v>
      </c>
      <c r="R623" s="420" t="s">
        <v>3428</v>
      </c>
      <c r="S623" s="400"/>
      <c r="T623" s="400"/>
      <c r="U623" s="400"/>
      <c r="V623" s="400"/>
      <c r="W623" s="460" t="s">
        <v>3425</v>
      </c>
      <c r="X623" s="394" t="s">
        <v>13223</v>
      </c>
      <c r="Y623" s="394" t="s">
        <v>13226</v>
      </c>
      <c r="Z623" s="394" t="s">
        <v>13225</v>
      </c>
      <c r="AA623" s="394" t="s">
        <v>13224</v>
      </c>
      <c r="AB623" s="416"/>
      <c r="AC623" s="416"/>
      <c r="AD623" s="447" t="s">
        <v>3118</v>
      </c>
      <c r="AE623" s="335" t="s">
        <v>210</v>
      </c>
      <c r="AF623" s="475">
        <v>42444</v>
      </c>
      <c r="AG623" s="748">
        <v>42499</v>
      </c>
      <c r="AH623" s="417" t="s">
        <v>210</v>
      </c>
      <c r="AI623" s="392" t="s">
        <v>210</v>
      </c>
      <c r="AJ623" s="392" t="s">
        <v>210</v>
      </c>
      <c r="AK623" s="340" t="s">
        <v>210</v>
      </c>
      <c r="AL623" s="417" t="s">
        <v>210</v>
      </c>
      <c r="AM623" s="392" t="s">
        <v>210</v>
      </c>
      <c r="AN623" s="392" t="s">
        <v>210</v>
      </c>
      <c r="AO623" s="341" t="s">
        <v>210</v>
      </c>
      <c r="AP623" s="342"/>
      <c r="AQ623" s="343"/>
      <c r="AR623" s="452">
        <v>123</v>
      </c>
      <c r="AS623" s="324">
        <v>50</v>
      </c>
      <c r="AT623" s="432">
        <v>0.8</v>
      </c>
      <c r="AU623" s="432"/>
      <c r="AV623" s="432">
        <v>1.6</v>
      </c>
      <c r="AW623" s="490"/>
      <c r="AX623" s="410"/>
      <c r="AY623" s="413"/>
      <c r="AZ623" s="407"/>
      <c r="BA623" s="408"/>
      <c r="BB623" s="408"/>
      <c r="BC623" s="408"/>
      <c r="BD623" s="408"/>
      <c r="BE623" s="408"/>
      <c r="BF623" s="408"/>
      <c r="BG623" s="408"/>
      <c r="BH623" s="409"/>
      <c r="BI623" s="410"/>
      <c r="BJ623" s="411"/>
      <c r="BK623" s="412"/>
      <c r="BL623" s="413"/>
      <c r="BM623" s="414"/>
      <c r="BN623" s="417" t="s">
        <v>210</v>
      </c>
      <c r="BO623" s="372"/>
      <c r="BP623" s="373" t="s">
        <v>622</v>
      </c>
      <c r="BQ623" s="360"/>
      <c r="BR623" s="361"/>
      <c r="BS623" s="361"/>
      <c r="BT623" s="361"/>
      <c r="BU623" s="342" t="s">
        <v>210</v>
      </c>
      <c r="BV623" s="342" t="s">
        <v>210</v>
      </c>
      <c r="BW623" s="341" t="s">
        <v>210</v>
      </c>
      <c r="BX623" s="361"/>
      <c r="BY623" s="457"/>
      <c r="BZ623" s="363"/>
      <c r="CA623" s="363"/>
      <c r="CB623" s="363"/>
      <c r="CC623" s="363"/>
    </row>
    <row r="624" spans="2:81" ht="22.5" customHeight="1">
      <c r="B624" s="442">
        <v>160006</v>
      </c>
      <c r="C624" s="747" t="s">
        <v>3160</v>
      </c>
      <c r="D624" s="439"/>
      <c r="E624" s="404"/>
      <c r="F624" s="405" t="s">
        <v>222</v>
      </c>
      <c r="G624" s="324" t="s">
        <v>3217</v>
      </c>
      <c r="H624" s="324" t="s">
        <v>3218</v>
      </c>
      <c r="I624" s="326" t="s">
        <v>383</v>
      </c>
      <c r="J624" s="326" t="s">
        <v>387</v>
      </c>
      <c r="K624" s="326" t="s">
        <v>993</v>
      </c>
      <c r="L624" s="361"/>
      <c r="M624" s="408"/>
      <c r="N624" s="325" t="s">
        <v>437</v>
      </c>
      <c r="O624" s="408"/>
      <c r="P624" s="458">
        <v>875.81</v>
      </c>
      <c r="Q624" s="459">
        <v>555.41</v>
      </c>
      <c r="R624" s="420" t="s">
        <v>13218</v>
      </c>
      <c r="S624" s="394" t="s">
        <v>13220</v>
      </c>
      <c r="T624" s="394" t="s">
        <v>11410</v>
      </c>
      <c r="U624" s="394" t="s">
        <v>11409</v>
      </c>
      <c r="V624" s="394" t="s">
        <v>13221</v>
      </c>
      <c r="W624" s="460" t="s">
        <v>8060</v>
      </c>
      <c r="X624" s="394" t="s">
        <v>11406</v>
      </c>
      <c r="Y624" s="394" t="s">
        <v>11405</v>
      </c>
      <c r="Z624" s="394" t="s">
        <v>11404</v>
      </c>
      <c r="AA624" s="394" t="s">
        <v>11407</v>
      </c>
      <c r="AB624" s="416"/>
      <c r="AC624" s="416"/>
      <c r="AD624" s="375"/>
      <c r="AE624" s="335" t="s">
        <v>210</v>
      </c>
      <c r="AF624" s="475">
        <v>42377</v>
      </c>
      <c r="AG624" s="748">
        <v>42528</v>
      </c>
      <c r="AH624" s="417" t="s">
        <v>210</v>
      </c>
      <c r="AI624" s="392" t="s">
        <v>210</v>
      </c>
      <c r="AJ624" s="392" t="s">
        <v>210</v>
      </c>
      <c r="AK624" s="340" t="s">
        <v>210</v>
      </c>
      <c r="AL624" s="417" t="s">
        <v>210</v>
      </c>
      <c r="AM624" s="392" t="s">
        <v>210</v>
      </c>
      <c r="AN624" s="392" t="s">
        <v>210</v>
      </c>
      <c r="AO624" s="341" t="s">
        <v>210</v>
      </c>
      <c r="AP624" s="342"/>
      <c r="AQ624" s="343"/>
      <c r="AR624" s="452">
        <v>750</v>
      </c>
      <c r="AS624" s="324">
        <v>100</v>
      </c>
      <c r="AT624" s="432">
        <v>1</v>
      </c>
      <c r="AU624" s="432"/>
      <c r="AV624" s="432">
        <v>1.5</v>
      </c>
      <c r="AW624" s="490"/>
      <c r="AX624" s="410"/>
      <c r="AY624" s="413"/>
      <c r="AZ624" s="405" t="s">
        <v>622</v>
      </c>
      <c r="BA624" s="324" t="s">
        <v>3893</v>
      </c>
      <c r="BB624" s="324" t="s">
        <v>10116</v>
      </c>
      <c r="BC624" s="324" t="s">
        <v>10117</v>
      </c>
      <c r="BD624" s="324" t="s">
        <v>10118</v>
      </c>
      <c r="BE624" s="324" t="s">
        <v>10117</v>
      </c>
      <c r="BF624" s="324" t="s">
        <v>10119</v>
      </c>
      <c r="BG624" s="324" t="s">
        <v>10117</v>
      </c>
      <c r="BH624" s="426" t="s">
        <v>10120</v>
      </c>
      <c r="BI624" s="410"/>
      <c r="BJ624" s="427">
        <v>1.4</v>
      </c>
      <c r="BK624" s="412"/>
      <c r="BL624" s="413"/>
      <c r="BM624" s="414"/>
      <c r="BN624" s="417" t="s">
        <v>210</v>
      </c>
      <c r="BO624" s="372"/>
      <c r="BP624" s="373" t="s">
        <v>622</v>
      </c>
      <c r="BQ624" s="360"/>
      <c r="BR624" s="361"/>
      <c r="BS624" s="361"/>
      <c r="BT624" s="361"/>
      <c r="BU624" s="342" t="s">
        <v>210</v>
      </c>
      <c r="BV624" s="342" t="s">
        <v>210</v>
      </c>
      <c r="BW624" s="341" t="s">
        <v>210</v>
      </c>
      <c r="BX624" s="361"/>
      <c r="BY624" s="457"/>
      <c r="BZ624" s="363"/>
      <c r="CA624" s="363"/>
      <c r="CB624" s="363"/>
      <c r="CC624" s="363"/>
    </row>
    <row r="625" spans="1:82" ht="22.5" customHeight="1">
      <c r="B625" s="442">
        <v>160008</v>
      </c>
      <c r="C625" s="747" t="s">
        <v>13210</v>
      </c>
      <c r="D625" s="439"/>
      <c r="E625" s="404"/>
      <c r="F625" s="405" t="s">
        <v>222</v>
      </c>
      <c r="G625" s="324" t="s">
        <v>3175</v>
      </c>
      <c r="H625" s="324" t="s">
        <v>3176</v>
      </c>
      <c r="I625" s="326" t="s">
        <v>383</v>
      </c>
      <c r="J625" s="326" t="s">
        <v>387</v>
      </c>
      <c r="K625" s="326" t="s">
        <v>247</v>
      </c>
      <c r="L625" s="361"/>
      <c r="M625" s="408"/>
      <c r="N625" s="444" t="s">
        <v>438</v>
      </c>
      <c r="O625" s="324">
        <v>110</v>
      </c>
      <c r="P625" s="458">
        <v>697.79</v>
      </c>
      <c r="Q625" s="459">
        <v>575.35</v>
      </c>
      <c r="R625" s="329" t="s">
        <v>986</v>
      </c>
      <c r="S625" s="331" t="s">
        <v>13212</v>
      </c>
      <c r="T625" s="331" t="s">
        <v>13213</v>
      </c>
      <c r="U625" s="331" t="s">
        <v>16402</v>
      </c>
      <c r="V625" s="331" t="s">
        <v>13214</v>
      </c>
      <c r="W625" s="332" t="s">
        <v>1479</v>
      </c>
      <c r="X625" s="332" t="s">
        <v>11834</v>
      </c>
      <c r="Y625" s="332" t="s">
        <v>11836</v>
      </c>
      <c r="Z625" s="332" t="s">
        <v>11835</v>
      </c>
      <c r="AA625" s="331" t="s">
        <v>13211</v>
      </c>
      <c r="AB625" s="416"/>
      <c r="AC625" s="416"/>
      <c r="AD625" s="375"/>
      <c r="AE625" s="499" t="s">
        <v>4259</v>
      </c>
      <c r="AF625" s="475">
        <v>42387</v>
      </c>
      <c r="AG625" s="748">
        <v>42454</v>
      </c>
      <c r="AH625" s="417" t="s">
        <v>210</v>
      </c>
      <c r="AI625" s="392" t="s">
        <v>210</v>
      </c>
      <c r="AJ625" s="392" t="s">
        <v>210</v>
      </c>
      <c r="AK625" s="340" t="s">
        <v>210</v>
      </c>
      <c r="AL625" s="417" t="s">
        <v>210</v>
      </c>
      <c r="AM625" s="392" t="s">
        <v>210</v>
      </c>
      <c r="AN625" s="392" t="s">
        <v>210</v>
      </c>
      <c r="AO625" s="341" t="s">
        <v>210</v>
      </c>
      <c r="AP625" s="342"/>
      <c r="AQ625" s="343"/>
      <c r="AR625" s="452">
        <v>1335</v>
      </c>
      <c r="AS625" s="324">
        <v>100</v>
      </c>
      <c r="AT625" s="432">
        <v>1</v>
      </c>
      <c r="AU625" s="432"/>
      <c r="AV625" s="432">
        <v>2.2000000000000002</v>
      </c>
      <c r="AW625" s="490"/>
      <c r="AX625" s="410"/>
      <c r="AY625" s="413"/>
      <c r="AZ625" s="407"/>
      <c r="BA625" s="408"/>
      <c r="BB625" s="408"/>
      <c r="BC625" s="408"/>
      <c r="BD625" s="408"/>
      <c r="BE625" s="408"/>
      <c r="BF625" s="408"/>
      <c r="BG625" s="408"/>
      <c r="BH625" s="409"/>
      <c r="BI625" s="410"/>
      <c r="BJ625" s="411"/>
      <c r="BK625" s="412"/>
      <c r="BL625" s="413"/>
      <c r="BM625" s="414"/>
      <c r="BN625" s="321" t="s">
        <v>14</v>
      </c>
      <c r="BO625" s="372"/>
      <c r="BP625" s="373" t="s">
        <v>14</v>
      </c>
      <c r="BQ625" s="360"/>
      <c r="BR625" s="361"/>
      <c r="BS625" s="361"/>
      <c r="BT625" s="361"/>
      <c r="BU625" s="342" t="s">
        <v>210</v>
      </c>
      <c r="BV625" s="342" t="s">
        <v>210</v>
      </c>
      <c r="BW625" s="341" t="s">
        <v>210</v>
      </c>
      <c r="BX625" s="361"/>
      <c r="BY625" s="457"/>
      <c r="BZ625" s="363"/>
      <c r="CA625" s="363"/>
      <c r="CB625" s="363"/>
      <c r="CC625" s="363"/>
    </row>
    <row r="626" spans="1:82" ht="22.5" customHeight="1">
      <c r="B626" s="442">
        <v>160010</v>
      </c>
      <c r="C626" s="747" t="s">
        <v>3091</v>
      </c>
      <c r="D626" s="439"/>
      <c r="E626" s="404"/>
      <c r="F626" s="405" t="s">
        <v>267</v>
      </c>
      <c r="G626" s="324" t="s">
        <v>3092</v>
      </c>
      <c r="H626" s="324" t="s">
        <v>3093</v>
      </c>
      <c r="I626" s="326" t="s">
        <v>383</v>
      </c>
      <c r="J626" s="326" t="s">
        <v>399</v>
      </c>
      <c r="K626" s="326" t="s">
        <v>247</v>
      </c>
      <c r="L626" s="323"/>
      <c r="M626" s="408"/>
      <c r="N626" s="444" t="s">
        <v>438</v>
      </c>
      <c r="O626" s="324">
        <v>40</v>
      </c>
      <c r="P626" s="458">
        <v>553</v>
      </c>
      <c r="Q626" s="459">
        <v>570</v>
      </c>
      <c r="R626" s="420" t="s">
        <v>13173</v>
      </c>
      <c r="S626" s="394" t="s">
        <v>12589</v>
      </c>
      <c r="T626" s="394" t="s">
        <v>12591</v>
      </c>
      <c r="U626" s="394" t="s">
        <v>12590</v>
      </c>
      <c r="V626" s="394" t="s">
        <v>12592</v>
      </c>
      <c r="W626" s="332" t="s">
        <v>432</v>
      </c>
      <c r="X626" s="331" t="s">
        <v>11079</v>
      </c>
      <c r="Y626" s="331" t="s">
        <v>11080</v>
      </c>
      <c r="Z626" s="331" t="s">
        <v>11080</v>
      </c>
      <c r="AA626" s="331" t="s">
        <v>210</v>
      </c>
      <c r="AB626" s="416"/>
      <c r="AC626" s="416"/>
      <c r="AD626" s="334" t="s">
        <v>2328</v>
      </c>
      <c r="AE626" s="335" t="s">
        <v>210</v>
      </c>
      <c r="AF626" s="475">
        <v>42306</v>
      </c>
      <c r="AG626" s="748">
        <v>42418</v>
      </c>
      <c r="AH626" s="410"/>
      <c r="AI626" s="408"/>
      <c r="AJ626" s="500"/>
      <c r="AK626" s="492"/>
      <c r="AL626" s="417" t="s">
        <v>210</v>
      </c>
      <c r="AM626" s="392" t="s">
        <v>210</v>
      </c>
      <c r="AN626" s="392" t="s">
        <v>210</v>
      </c>
      <c r="AO626" s="341" t="s">
        <v>210</v>
      </c>
      <c r="AP626" s="342"/>
      <c r="AQ626" s="343"/>
      <c r="AR626" s="452">
        <v>784</v>
      </c>
      <c r="AS626" s="324">
        <v>100</v>
      </c>
      <c r="AT626" s="432">
        <v>1</v>
      </c>
      <c r="AU626" s="432"/>
      <c r="AV626" s="432">
        <v>1.5</v>
      </c>
      <c r="AW626" s="490"/>
      <c r="AX626" s="376"/>
      <c r="AY626" s="348"/>
      <c r="AZ626" s="407"/>
      <c r="BA626" s="408"/>
      <c r="BB626" s="408"/>
      <c r="BC626" s="408"/>
      <c r="BD626" s="408"/>
      <c r="BE626" s="408"/>
      <c r="BF626" s="408"/>
      <c r="BG626" s="408"/>
      <c r="BH626" s="409"/>
      <c r="BI626" s="410"/>
      <c r="BJ626" s="411"/>
      <c r="BK626" s="412"/>
      <c r="BL626" s="413"/>
      <c r="BM626" s="414"/>
      <c r="BN626" s="321" t="s">
        <v>14</v>
      </c>
      <c r="BO626" s="372"/>
      <c r="BP626" s="373" t="s">
        <v>14</v>
      </c>
      <c r="BQ626" s="360"/>
      <c r="BR626" s="361"/>
      <c r="BS626" s="361"/>
      <c r="BT626" s="361"/>
      <c r="BU626" s="342" t="s">
        <v>210</v>
      </c>
      <c r="BV626" s="342" t="s">
        <v>210</v>
      </c>
      <c r="BW626" s="341" t="s">
        <v>210</v>
      </c>
      <c r="BX626" s="361"/>
      <c r="BY626" s="457"/>
      <c r="BZ626" s="363"/>
      <c r="CA626" s="363"/>
      <c r="CB626" s="363"/>
      <c r="CC626" s="363"/>
    </row>
    <row r="627" spans="1:82" ht="22.5" customHeight="1">
      <c r="B627" s="442">
        <v>160011</v>
      </c>
      <c r="C627" s="747" t="s">
        <v>13204</v>
      </c>
      <c r="D627" s="439"/>
      <c r="E627" s="404"/>
      <c r="F627" s="405" t="s">
        <v>3814</v>
      </c>
      <c r="G627" s="324" t="s">
        <v>16472</v>
      </c>
      <c r="H627" s="324" t="s">
        <v>3815</v>
      </c>
      <c r="I627" s="326" t="s">
        <v>383</v>
      </c>
      <c r="J627" s="326" t="s">
        <v>387</v>
      </c>
      <c r="K627" s="326" t="s">
        <v>247</v>
      </c>
      <c r="L627" s="361"/>
      <c r="M627" s="408"/>
      <c r="N627" s="325" t="s">
        <v>438</v>
      </c>
      <c r="O627" s="324">
        <v>40</v>
      </c>
      <c r="P627" s="327" t="s">
        <v>210</v>
      </c>
      <c r="Q627" s="369" t="s">
        <v>210</v>
      </c>
      <c r="R627" s="420" t="s">
        <v>513</v>
      </c>
      <c r="S627" s="394" t="s">
        <v>13207</v>
      </c>
      <c r="T627" s="394" t="s">
        <v>13208</v>
      </c>
      <c r="U627" s="394" t="s">
        <v>16454</v>
      </c>
      <c r="V627" s="394" t="s">
        <v>13209</v>
      </c>
      <c r="W627" s="332" t="s">
        <v>13206</v>
      </c>
      <c r="X627" s="394" t="s">
        <v>13205</v>
      </c>
      <c r="Y627" s="332" t="s">
        <v>11625</v>
      </c>
      <c r="Z627" s="332" t="s">
        <v>16479</v>
      </c>
      <c r="AA627" s="332" t="s">
        <v>11627</v>
      </c>
      <c r="AB627" s="333"/>
      <c r="AC627" s="416"/>
      <c r="AD627" s="447" t="s">
        <v>305</v>
      </c>
      <c r="AE627" s="499" t="s">
        <v>1038</v>
      </c>
      <c r="AF627" s="475">
        <v>42572</v>
      </c>
      <c r="AG627" s="748">
        <v>42607</v>
      </c>
      <c r="AH627" s="417" t="s">
        <v>210</v>
      </c>
      <c r="AI627" s="392" t="s">
        <v>210</v>
      </c>
      <c r="AJ627" s="392" t="s">
        <v>210</v>
      </c>
      <c r="AK627" s="340" t="s">
        <v>210</v>
      </c>
      <c r="AL627" s="417" t="s">
        <v>210</v>
      </c>
      <c r="AM627" s="392" t="s">
        <v>210</v>
      </c>
      <c r="AN627" s="392" t="s">
        <v>210</v>
      </c>
      <c r="AO627" s="341" t="s">
        <v>210</v>
      </c>
      <c r="AP627" s="342"/>
      <c r="AQ627" s="343"/>
      <c r="AR627" s="452">
        <v>4340</v>
      </c>
      <c r="AS627" s="324">
        <v>120</v>
      </c>
      <c r="AT627" s="392">
        <v>1</v>
      </c>
      <c r="AU627" s="392"/>
      <c r="AV627" s="392">
        <v>1</v>
      </c>
      <c r="AW627" s="341"/>
      <c r="AX627" s="410"/>
      <c r="AY627" s="413"/>
      <c r="AZ627" s="405" t="s">
        <v>3367</v>
      </c>
      <c r="BA627" s="324" t="s">
        <v>210</v>
      </c>
      <c r="BB627" s="324" t="s">
        <v>210</v>
      </c>
      <c r="BC627" s="324" t="s">
        <v>3555</v>
      </c>
      <c r="BD627" s="324" t="s">
        <v>3434</v>
      </c>
      <c r="BE627" s="324" t="s">
        <v>210</v>
      </c>
      <c r="BF627" s="324" t="s">
        <v>210</v>
      </c>
      <c r="BG627" s="324" t="s">
        <v>210</v>
      </c>
      <c r="BH627" s="426" t="s">
        <v>210</v>
      </c>
      <c r="BI627" s="410"/>
      <c r="BJ627" s="427" t="s">
        <v>210</v>
      </c>
      <c r="BK627" s="412"/>
      <c r="BL627" s="413"/>
      <c r="BM627" s="414"/>
      <c r="BN627" s="321" t="s">
        <v>210</v>
      </c>
      <c r="BO627" s="372"/>
      <c r="BP627" s="373" t="s">
        <v>210</v>
      </c>
      <c r="BQ627" s="360"/>
      <c r="BR627" s="361"/>
      <c r="BS627" s="361"/>
      <c r="BT627" s="361"/>
      <c r="BU627" s="342" t="s">
        <v>210</v>
      </c>
      <c r="BV627" s="342" t="s">
        <v>210</v>
      </c>
      <c r="BW627" s="341" t="s">
        <v>210</v>
      </c>
      <c r="BX627" s="361"/>
      <c r="BY627" s="457"/>
      <c r="BZ627" s="363"/>
      <c r="CA627" s="363"/>
      <c r="CB627" s="363"/>
      <c r="CC627" s="363"/>
    </row>
    <row r="628" spans="1:82" ht="22.5" customHeight="1">
      <c r="B628" s="442">
        <v>160015</v>
      </c>
      <c r="C628" s="747" t="s">
        <v>13198</v>
      </c>
      <c r="D628" s="439"/>
      <c r="E628" s="404"/>
      <c r="F628" s="405" t="s">
        <v>3638</v>
      </c>
      <c r="G628" s="324" t="s">
        <v>3639</v>
      </c>
      <c r="H628" s="324" t="s">
        <v>3640</v>
      </c>
      <c r="I628" s="326" t="s">
        <v>383</v>
      </c>
      <c r="J628" s="326" t="s">
        <v>1011</v>
      </c>
      <c r="K628" s="326" t="s">
        <v>917</v>
      </c>
      <c r="L628" s="323"/>
      <c r="M628" s="408"/>
      <c r="N628" s="325" t="s">
        <v>438</v>
      </c>
      <c r="O628" s="324">
        <v>20</v>
      </c>
      <c r="P628" s="327" t="s">
        <v>210</v>
      </c>
      <c r="Q628" s="369" t="s">
        <v>210</v>
      </c>
      <c r="R628" s="329" t="s">
        <v>3641</v>
      </c>
      <c r="S628" s="394" t="s">
        <v>15743</v>
      </c>
      <c r="T628" s="394" t="s">
        <v>13201</v>
      </c>
      <c r="U628" s="394" t="s">
        <v>16374</v>
      </c>
      <c r="V628" s="394" t="s">
        <v>13200</v>
      </c>
      <c r="W628" s="460" t="s">
        <v>4023</v>
      </c>
      <c r="X628" s="394" t="s">
        <v>13202</v>
      </c>
      <c r="Y628" s="394" t="s">
        <v>13203</v>
      </c>
      <c r="Z628" s="394" t="s">
        <v>16390</v>
      </c>
      <c r="AA628" s="394" t="s">
        <v>13199</v>
      </c>
      <c r="AB628" s="416"/>
      <c r="AC628" s="416"/>
      <c r="AD628" s="334" t="s">
        <v>2338</v>
      </c>
      <c r="AE628" s="499" t="s">
        <v>3786</v>
      </c>
      <c r="AF628" s="475">
        <v>42536</v>
      </c>
      <c r="AG628" s="748">
        <v>42661</v>
      </c>
      <c r="AH628" s="417" t="s">
        <v>210</v>
      </c>
      <c r="AI628" s="392" t="s">
        <v>210</v>
      </c>
      <c r="AJ628" s="392" t="s">
        <v>210</v>
      </c>
      <c r="AK628" s="340" t="s">
        <v>210</v>
      </c>
      <c r="AL628" s="417" t="s">
        <v>210</v>
      </c>
      <c r="AM628" s="392" t="s">
        <v>210</v>
      </c>
      <c r="AN628" s="392" t="s">
        <v>210</v>
      </c>
      <c r="AO628" s="341" t="s">
        <v>210</v>
      </c>
      <c r="AP628" s="342"/>
      <c r="AQ628" s="343"/>
      <c r="AR628" s="452">
        <v>3659</v>
      </c>
      <c r="AS628" s="324">
        <v>150</v>
      </c>
      <c r="AT628" s="432">
        <v>0.8</v>
      </c>
      <c r="AU628" s="432"/>
      <c r="AV628" s="432">
        <v>2.6</v>
      </c>
      <c r="AW628" s="490"/>
      <c r="AX628" s="376"/>
      <c r="AY628" s="348"/>
      <c r="AZ628" s="405" t="s">
        <v>3367</v>
      </c>
      <c r="BA628" s="324" t="s">
        <v>210</v>
      </c>
      <c r="BB628" s="324" t="s">
        <v>210</v>
      </c>
      <c r="BC628" s="324" t="s">
        <v>3787</v>
      </c>
      <c r="BD628" s="324" t="s">
        <v>3382</v>
      </c>
      <c r="BE628" s="324" t="s">
        <v>3788</v>
      </c>
      <c r="BF628" s="324" t="s">
        <v>3382</v>
      </c>
      <c r="BG628" s="324" t="s">
        <v>210</v>
      </c>
      <c r="BH628" s="426" t="s">
        <v>210</v>
      </c>
      <c r="BI628" s="410"/>
      <c r="BJ628" s="427" t="s">
        <v>210</v>
      </c>
      <c r="BK628" s="412"/>
      <c r="BL628" s="413"/>
      <c r="BM628" s="414"/>
      <c r="BN628" s="321" t="s">
        <v>3714</v>
      </c>
      <c r="BO628" s="372"/>
      <c r="BP628" s="373" t="s">
        <v>3714</v>
      </c>
      <c r="BQ628" s="360"/>
      <c r="BR628" s="361"/>
      <c r="BS628" s="361"/>
      <c r="BT628" s="361"/>
      <c r="BU628" s="342" t="s">
        <v>210</v>
      </c>
      <c r="BV628" s="342" t="s">
        <v>210</v>
      </c>
      <c r="BW628" s="341" t="s">
        <v>210</v>
      </c>
      <c r="BX628" s="361"/>
      <c r="BY628" s="457"/>
      <c r="BZ628" s="363"/>
      <c r="CA628" s="363"/>
      <c r="CB628" s="363"/>
      <c r="CC628" s="363"/>
    </row>
    <row r="629" spans="1:82" s="465" customFormat="1" ht="22.5" customHeight="1">
      <c r="A629" s="287"/>
      <c r="B629" s="749">
        <v>160027</v>
      </c>
      <c r="C629" s="750" t="s">
        <v>13197</v>
      </c>
      <c r="D629" s="751"/>
      <c r="E629" s="752"/>
      <c r="F629" s="753"/>
      <c r="G629" s="754"/>
      <c r="H629" s="754"/>
      <c r="I629" s="662" t="s">
        <v>383</v>
      </c>
      <c r="J629" s="662" t="s">
        <v>399</v>
      </c>
      <c r="K629" s="662" t="s">
        <v>917</v>
      </c>
      <c r="L629" s="688"/>
      <c r="M629" s="754"/>
      <c r="N629" s="755"/>
      <c r="O629" s="754"/>
      <c r="P629" s="665" t="s">
        <v>210</v>
      </c>
      <c r="Q629" s="666" t="s">
        <v>210</v>
      </c>
      <c r="R629" s="756"/>
      <c r="S629" s="708"/>
      <c r="T629" s="708"/>
      <c r="U629" s="708"/>
      <c r="V629" s="708"/>
      <c r="W629" s="757"/>
      <c r="X629" s="708"/>
      <c r="Y629" s="708"/>
      <c r="Z629" s="708"/>
      <c r="AA629" s="708"/>
      <c r="AB629" s="670"/>
      <c r="AC629" s="758"/>
      <c r="AD629" s="759"/>
      <c r="AE629" s="760"/>
      <c r="AF629" s="761"/>
      <c r="AG629" s="674" t="s">
        <v>10514</v>
      </c>
      <c r="AH629" s="675" t="s">
        <v>210</v>
      </c>
      <c r="AI629" s="676" t="s">
        <v>210</v>
      </c>
      <c r="AJ629" s="676" t="s">
        <v>210</v>
      </c>
      <c r="AK629" s="677" t="s">
        <v>210</v>
      </c>
      <c r="AL629" s="675" t="s">
        <v>210</v>
      </c>
      <c r="AM629" s="676" t="s">
        <v>210</v>
      </c>
      <c r="AN629" s="676" t="s">
        <v>210</v>
      </c>
      <c r="AO629" s="678" t="s">
        <v>210</v>
      </c>
      <c r="AP629" s="663"/>
      <c r="AQ629" s="762"/>
      <c r="AR629" s="763"/>
      <c r="AS629" s="754"/>
      <c r="AT629" s="785"/>
      <c r="AU629" s="785"/>
      <c r="AV629" s="785"/>
      <c r="AW629" s="764"/>
      <c r="AX629" s="765"/>
      <c r="AY629" s="766"/>
      <c r="AZ629" s="753"/>
      <c r="BA629" s="754"/>
      <c r="BB629" s="754"/>
      <c r="BC629" s="754"/>
      <c r="BD629" s="754"/>
      <c r="BE629" s="754"/>
      <c r="BF629" s="754"/>
      <c r="BG629" s="754"/>
      <c r="BH629" s="767"/>
      <c r="BI629" s="753"/>
      <c r="BJ629" s="768"/>
      <c r="BK629" s="769"/>
      <c r="BL629" s="766"/>
      <c r="BM629" s="770"/>
      <c r="BN629" s="765"/>
      <c r="BO629" s="771"/>
      <c r="BP629" s="772"/>
      <c r="BQ629" s="773"/>
      <c r="BR629" s="688"/>
      <c r="BS629" s="688"/>
      <c r="BT629" s="688"/>
      <c r="BU629" s="663" t="s">
        <v>5510</v>
      </c>
      <c r="BV629" s="663" t="s">
        <v>5510</v>
      </c>
      <c r="BW629" s="678" t="s">
        <v>210</v>
      </c>
      <c r="BX629" s="688"/>
      <c r="BY629" s="774"/>
      <c r="BZ629" s="483"/>
      <c r="CA629" s="483"/>
      <c r="CB629" s="483"/>
      <c r="CC629" s="483"/>
      <c r="CD629" s="484"/>
    </row>
    <row r="630" spans="1:82" s="465" customFormat="1" ht="22.5" customHeight="1">
      <c r="A630" s="287"/>
      <c r="B630" s="749">
        <v>160031</v>
      </c>
      <c r="C630" s="750" t="s">
        <v>3161</v>
      </c>
      <c r="D630" s="751"/>
      <c r="E630" s="752"/>
      <c r="F630" s="753" t="s">
        <v>3219</v>
      </c>
      <c r="G630" s="754" t="s">
        <v>3220</v>
      </c>
      <c r="H630" s="754" t="s">
        <v>3221</v>
      </c>
      <c r="I630" s="662" t="s">
        <v>383</v>
      </c>
      <c r="J630" s="662" t="s">
        <v>399</v>
      </c>
      <c r="K630" s="662" t="s">
        <v>917</v>
      </c>
      <c r="L630" s="688"/>
      <c r="M630" s="754"/>
      <c r="N630" s="755"/>
      <c r="O630" s="754"/>
      <c r="P630" s="665" t="s">
        <v>210</v>
      </c>
      <c r="Q630" s="666" t="s">
        <v>210</v>
      </c>
      <c r="R630" s="756" t="s">
        <v>2848</v>
      </c>
      <c r="S630" s="708" t="s">
        <v>13194</v>
      </c>
      <c r="T630" s="708" t="s">
        <v>13196</v>
      </c>
      <c r="U630" s="708" t="s">
        <v>16369</v>
      </c>
      <c r="V630" s="708" t="s">
        <v>13195</v>
      </c>
      <c r="W630" s="757" t="s">
        <v>2844</v>
      </c>
      <c r="X630" s="708"/>
      <c r="Y630" s="708"/>
      <c r="Z630" s="708"/>
      <c r="AA630" s="708"/>
      <c r="AB630" s="758"/>
      <c r="AC630" s="758"/>
      <c r="AD630" s="759"/>
      <c r="AE630" s="760"/>
      <c r="AF630" s="761">
        <v>42346</v>
      </c>
      <c r="AG630" s="674" t="s">
        <v>10514</v>
      </c>
      <c r="AH630" s="675" t="s">
        <v>210</v>
      </c>
      <c r="AI630" s="676" t="s">
        <v>210</v>
      </c>
      <c r="AJ630" s="676" t="s">
        <v>210</v>
      </c>
      <c r="AK630" s="677" t="s">
        <v>210</v>
      </c>
      <c r="AL630" s="675" t="s">
        <v>210</v>
      </c>
      <c r="AM630" s="676" t="s">
        <v>210</v>
      </c>
      <c r="AN630" s="676" t="s">
        <v>210</v>
      </c>
      <c r="AO630" s="678" t="s">
        <v>210</v>
      </c>
      <c r="AP630" s="663"/>
      <c r="AQ630" s="762"/>
      <c r="AR630" s="763"/>
      <c r="AS630" s="754"/>
      <c r="AT630" s="785"/>
      <c r="AU630" s="785"/>
      <c r="AV630" s="785"/>
      <c r="AW630" s="764"/>
      <c r="AX630" s="765"/>
      <c r="AY630" s="766"/>
      <c r="AZ630" s="753"/>
      <c r="BA630" s="754"/>
      <c r="BB630" s="754"/>
      <c r="BC630" s="754"/>
      <c r="BD630" s="754"/>
      <c r="BE630" s="754"/>
      <c r="BF630" s="754"/>
      <c r="BG630" s="754"/>
      <c r="BH630" s="767"/>
      <c r="BI630" s="753"/>
      <c r="BJ630" s="768"/>
      <c r="BK630" s="769"/>
      <c r="BL630" s="766"/>
      <c r="BM630" s="770"/>
      <c r="BN630" s="765"/>
      <c r="BO630" s="771"/>
      <c r="BP630" s="772"/>
      <c r="BQ630" s="773"/>
      <c r="BR630" s="688"/>
      <c r="BS630" s="688"/>
      <c r="BT630" s="688"/>
      <c r="BU630" s="663" t="s">
        <v>5510</v>
      </c>
      <c r="BV630" s="663" t="s">
        <v>5510</v>
      </c>
      <c r="BW630" s="678" t="s">
        <v>210</v>
      </c>
      <c r="BX630" s="688"/>
      <c r="BY630" s="774"/>
      <c r="BZ630" s="483"/>
      <c r="CA630" s="483"/>
      <c r="CB630" s="483"/>
      <c r="CC630" s="483"/>
      <c r="CD630" s="484"/>
    </row>
    <row r="631" spans="1:82" ht="22.5" customHeight="1">
      <c r="B631" s="442">
        <v>160035</v>
      </c>
      <c r="C631" s="747" t="s">
        <v>3823</v>
      </c>
      <c r="D631" s="439"/>
      <c r="E631" s="404"/>
      <c r="F631" s="405" t="s">
        <v>3824</v>
      </c>
      <c r="G631" s="324" t="s">
        <v>3825</v>
      </c>
      <c r="H631" s="324" t="s">
        <v>3826</v>
      </c>
      <c r="I631" s="326" t="s">
        <v>383</v>
      </c>
      <c r="J631" s="326" t="s">
        <v>399</v>
      </c>
      <c r="K631" s="326" t="s">
        <v>917</v>
      </c>
      <c r="L631" s="361"/>
      <c r="M631" s="408"/>
      <c r="N631" s="325" t="s">
        <v>438</v>
      </c>
      <c r="O631" s="408"/>
      <c r="P631" s="327" t="s">
        <v>210</v>
      </c>
      <c r="Q631" s="369" t="s">
        <v>210</v>
      </c>
      <c r="R631" s="420" t="s">
        <v>3827</v>
      </c>
      <c r="S631" s="394" t="s">
        <v>13191</v>
      </c>
      <c r="T631" s="394" t="s">
        <v>13192</v>
      </c>
      <c r="U631" s="394" t="s">
        <v>16455</v>
      </c>
      <c r="V631" s="394" t="s">
        <v>13193</v>
      </c>
      <c r="W631" s="332" t="s">
        <v>432</v>
      </c>
      <c r="X631" s="331" t="s">
        <v>11079</v>
      </c>
      <c r="Y631" s="331" t="s">
        <v>11080</v>
      </c>
      <c r="Z631" s="331" t="s">
        <v>11080</v>
      </c>
      <c r="AA631" s="331" t="s">
        <v>210</v>
      </c>
      <c r="AB631" s="416"/>
      <c r="AC631" s="416"/>
      <c r="AD631" s="447" t="s">
        <v>4070</v>
      </c>
      <c r="AE631" s="499" t="s">
        <v>4258</v>
      </c>
      <c r="AF631" s="475">
        <v>42573</v>
      </c>
      <c r="AG631" s="748">
        <v>42651</v>
      </c>
      <c r="AH631" s="410"/>
      <c r="AI631" s="500"/>
      <c r="AJ631" s="500"/>
      <c r="AK631" s="492"/>
      <c r="AL631" s="417" t="s">
        <v>210</v>
      </c>
      <c r="AM631" s="392" t="s">
        <v>210</v>
      </c>
      <c r="AN631" s="392" t="s">
        <v>210</v>
      </c>
      <c r="AO631" s="341" t="s">
        <v>210</v>
      </c>
      <c r="AP631" s="342"/>
      <c r="AQ631" s="343"/>
      <c r="AR631" s="452">
        <v>7374</v>
      </c>
      <c r="AS631" s="324">
        <v>100</v>
      </c>
      <c r="AT631" s="432" t="s">
        <v>4413</v>
      </c>
      <c r="AU631" s="432"/>
      <c r="AV631" s="432">
        <v>0.8</v>
      </c>
      <c r="AW631" s="490"/>
      <c r="AX631" s="410"/>
      <c r="AY631" s="413"/>
      <c r="AZ631" s="405" t="s">
        <v>622</v>
      </c>
      <c r="BA631" s="324" t="s">
        <v>9713</v>
      </c>
      <c r="BB631" s="324" t="s">
        <v>9714</v>
      </c>
      <c r="BC631" s="324" t="s">
        <v>9715</v>
      </c>
      <c r="BD631" s="324" t="s">
        <v>9716</v>
      </c>
      <c r="BE631" s="324" t="s">
        <v>9717</v>
      </c>
      <c r="BF631" s="324" t="s">
        <v>9718</v>
      </c>
      <c r="BG631" s="324" t="s">
        <v>9719</v>
      </c>
      <c r="BH631" s="426" t="s">
        <v>9720</v>
      </c>
      <c r="BI631" s="410"/>
      <c r="BJ631" s="411"/>
      <c r="BK631" s="412"/>
      <c r="BL631" s="413"/>
      <c r="BM631" s="414"/>
      <c r="BN631" s="321" t="s">
        <v>14</v>
      </c>
      <c r="BO631" s="372"/>
      <c r="BP631" s="373" t="s">
        <v>14</v>
      </c>
      <c r="BQ631" s="360"/>
      <c r="BR631" s="361"/>
      <c r="BS631" s="361"/>
      <c r="BT631" s="361"/>
      <c r="BU631" s="342" t="s">
        <v>210</v>
      </c>
      <c r="BV631" s="342" t="s">
        <v>210</v>
      </c>
      <c r="BW631" s="341" t="s">
        <v>210</v>
      </c>
      <c r="BX631" s="361"/>
      <c r="BY631" s="457"/>
      <c r="BZ631" s="363"/>
      <c r="CA631" s="363"/>
      <c r="CB631" s="363"/>
      <c r="CC631" s="363"/>
    </row>
    <row r="632" spans="1:82" ht="22.5" customHeight="1">
      <c r="B632" s="442">
        <v>160038</v>
      </c>
      <c r="C632" s="747" t="s">
        <v>13184</v>
      </c>
      <c r="D632" s="439"/>
      <c r="E632" s="404"/>
      <c r="F632" s="405" t="s">
        <v>375</v>
      </c>
      <c r="G632" s="324" t="s">
        <v>6301</v>
      </c>
      <c r="H632" s="324" t="s">
        <v>6302</v>
      </c>
      <c r="I632" s="326" t="s">
        <v>383</v>
      </c>
      <c r="J632" s="326" t="s">
        <v>387</v>
      </c>
      <c r="K632" s="324" t="s">
        <v>3352</v>
      </c>
      <c r="L632" s="361"/>
      <c r="M632" s="408"/>
      <c r="N632" s="325" t="s">
        <v>437</v>
      </c>
      <c r="O632" s="324">
        <v>29</v>
      </c>
      <c r="P632" s="327" t="s">
        <v>210</v>
      </c>
      <c r="Q632" s="369" t="s">
        <v>210</v>
      </c>
      <c r="R632" s="329" t="s">
        <v>1598</v>
      </c>
      <c r="S632" s="331" t="s">
        <v>13185</v>
      </c>
      <c r="T632" s="331" t="s">
        <v>13187</v>
      </c>
      <c r="U632" s="331" t="s">
        <v>16225</v>
      </c>
      <c r="V632" s="331" t="s">
        <v>13186</v>
      </c>
      <c r="W632" s="332" t="s">
        <v>1599</v>
      </c>
      <c r="X632" s="331" t="s">
        <v>13188</v>
      </c>
      <c r="Y632" s="331" t="s">
        <v>13189</v>
      </c>
      <c r="Z632" s="330"/>
      <c r="AA632" s="331" t="s">
        <v>13190</v>
      </c>
      <c r="AB632" s="416"/>
      <c r="AC632" s="416"/>
      <c r="AD632" s="447" t="s">
        <v>2466</v>
      </c>
      <c r="AE632" s="335" t="s">
        <v>3553</v>
      </c>
      <c r="AF632" s="475">
        <v>42437</v>
      </c>
      <c r="AG632" s="748">
        <v>42503</v>
      </c>
      <c r="AH632" s="417" t="s">
        <v>210</v>
      </c>
      <c r="AI632" s="392" t="s">
        <v>210</v>
      </c>
      <c r="AJ632" s="392" t="s">
        <v>210</v>
      </c>
      <c r="AK632" s="340" t="s">
        <v>210</v>
      </c>
      <c r="AL632" s="417" t="s">
        <v>210</v>
      </c>
      <c r="AM632" s="392" t="s">
        <v>210</v>
      </c>
      <c r="AN632" s="392" t="s">
        <v>210</v>
      </c>
      <c r="AO632" s="655" t="s">
        <v>14</v>
      </c>
      <c r="AP632" s="342"/>
      <c r="AQ632" s="343"/>
      <c r="AR632" s="452">
        <v>173</v>
      </c>
      <c r="AS632" s="324">
        <v>100</v>
      </c>
      <c r="AT632" s="432">
        <v>1</v>
      </c>
      <c r="AU632" s="432"/>
      <c r="AV632" s="432">
        <v>1.5</v>
      </c>
      <c r="AW632" s="490"/>
      <c r="AX632" s="410"/>
      <c r="AY632" s="413"/>
      <c r="AZ632" s="407"/>
      <c r="BA632" s="408"/>
      <c r="BB632" s="408"/>
      <c r="BC632" s="408"/>
      <c r="BD632" s="408"/>
      <c r="BE632" s="408"/>
      <c r="BF632" s="408"/>
      <c r="BG632" s="408"/>
      <c r="BH632" s="409"/>
      <c r="BI632" s="410"/>
      <c r="BJ632" s="411"/>
      <c r="BK632" s="412"/>
      <c r="BL632" s="413"/>
      <c r="BM632" s="414"/>
      <c r="BN632" s="417" t="s">
        <v>210</v>
      </c>
      <c r="BO632" s="372"/>
      <c r="BP632" s="373" t="s">
        <v>622</v>
      </c>
      <c r="BQ632" s="360"/>
      <c r="BR632" s="361"/>
      <c r="BS632" s="361"/>
      <c r="BT632" s="361"/>
      <c r="BU632" s="342" t="s">
        <v>210</v>
      </c>
      <c r="BV632" s="342" t="s">
        <v>210</v>
      </c>
      <c r="BW632" s="341" t="s">
        <v>210</v>
      </c>
      <c r="BX632" s="361"/>
      <c r="BY632" s="457"/>
      <c r="BZ632" s="363"/>
      <c r="CA632" s="363"/>
      <c r="CB632" s="363"/>
      <c r="CC632" s="363"/>
    </row>
    <row r="633" spans="1:82" ht="22.5" customHeight="1">
      <c r="B633" s="442">
        <v>160039</v>
      </c>
      <c r="C633" s="747" t="s">
        <v>13183</v>
      </c>
      <c r="D633" s="439"/>
      <c r="E633" s="404"/>
      <c r="F633" s="405" t="s">
        <v>3181</v>
      </c>
      <c r="G633" s="324" t="s">
        <v>3182</v>
      </c>
      <c r="H633" s="324" t="s">
        <v>3183</v>
      </c>
      <c r="I633" s="326" t="s">
        <v>383</v>
      </c>
      <c r="J633" s="326" t="s">
        <v>399</v>
      </c>
      <c r="K633" s="326" t="s">
        <v>917</v>
      </c>
      <c r="L633" s="361"/>
      <c r="M633" s="408"/>
      <c r="N633" s="325" t="s">
        <v>3184</v>
      </c>
      <c r="O633" s="326" t="s">
        <v>3185</v>
      </c>
      <c r="P633" s="327" t="s">
        <v>210</v>
      </c>
      <c r="Q633" s="369" t="s">
        <v>210</v>
      </c>
      <c r="R633" s="329" t="s">
        <v>629</v>
      </c>
      <c r="S633" s="400"/>
      <c r="T633" s="400"/>
      <c r="U633" s="400"/>
      <c r="V633" s="400"/>
      <c r="W633" s="460" t="s">
        <v>3186</v>
      </c>
      <c r="X633" s="394" t="s">
        <v>13217</v>
      </c>
      <c r="Y633" s="394" t="s">
        <v>13215</v>
      </c>
      <c r="Z633" s="400"/>
      <c r="AA633" s="394" t="s">
        <v>13216</v>
      </c>
      <c r="AB633" s="333"/>
      <c r="AC633" s="416"/>
      <c r="AD633" s="447" t="s">
        <v>3187</v>
      </c>
      <c r="AE633" s="335" t="s">
        <v>210</v>
      </c>
      <c r="AF633" s="475">
        <v>42389</v>
      </c>
      <c r="AG633" s="748">
        <v>42418</v>
      </c>
      <c r="AH633" s="417" t="s">
        <v>210</v>
      </c>
      <c r="AI633" s="392" t="s">
        <v>210</v>
      </c>
      <c r="AJ633" s="392" t="s">
        <v>210</v>
      </c>
      <c r="AK633" s="340" t="s">
        <v>210</v>
      </c>
      <c r="AL633" s="417" t="s">
        <v>210</v>
      </c>
      <c r="AM633" s="392" t="s">
        <v>210</v>
      </c>
      <c r="AN633" s="392" t="s">
        <v>210</v>
      </c>
      <c r="AO633" s="341" t="s">
        <v>210</v>
      </c>
      <c r="AP633" s="342"/>
      <c r="AQ633" s="343"/>
      <c r="AR633" s="452">
        <v>247</v>
      </c>
      <c r="AS633" s="324">
        <v>80</v>
      </c>
      <c r="AT633" s="397">
        <v>0.35</v>
      </c>
      <c r="AU633" s="397"/>
      <c r="AV633" s="397">
        <v>1.45</v>
      </c>
      <c r="AW633" s="820"/>
      <c r="AX633" s="410"/>
      <c r="AY633" s="413"/>
      <c r="AZ633" s="407"/>
      <c r="BA633" s="408"/>
      <c r="BB633" s="408"/>
      <c r="BC633" s="408"/>
      <c r="BD633" s="408"/>
      <c r="BE633" s="408"/>
      <c r="BF633" s="408"/>
      <c r="BG633" s="408"/>
      <c r="BH633" s="409"/>
      <c r="BI633" s="410"/>
      <c r="BJ633" s="411"/>
      <c r="BK633" s="412"/>
      <c r="BL633" s="413"/>
      <c r="BM633" s="414"/>
      <c r="BN633" s="417" t="s">
        <v>210</v>
      </c>
      <c r="BO633" s="372"/>
      <c r="BP633" s="340" t="s">
        <v>210</v>
      </c>
      <c r="BQ633" s="360"/>
      <c r="BR633" s="361"/>
      <c r="BS633" s="361"/>
      <c r="BT633" s="361"/>
      <c r="BU633" s="342" t="s">
        <v>210</v>
      </c>
      <c r="BV633" s="342" t="s">
        <v>210</v>
      </c>
      <c r="BW633" s="341" t="s">
        <v>210</v>
      </c>
      <c r="BX633" s="361"/>
      <c r="BY633" s="457"/>
      <c r="BZ633" s="363"/>
      <c r="CA633" s="363"/>
      <c r="CB633" s="363"/>
      <c r="CC633" s="363"/>
    </row>
    <row r="634" spans="1:82" ht="22.5" customHeight="1">
      <c r="B634" s="442">
        <v>160040</v>
      </c>
      <c r="C634" s="747" t="s">
        <v>13172</v>
      </c>
      <c r="D634" s="439"/>
      <c r="E634" s="404"/>
      <c r="F634" s="405" t="s">
        <v>3593</v>
      </c>
      <c r="G634" s="324" t="s">
        <v>3594</v>
      </c>
      <c r="H634" s="324" t="s">
        <v>3595</v>
      </c>
      <c r="I634" s="326" t="s">
        <v>383</v>
      </c>
      <c r="J634" s="326" t="s">
        <v>399</v>
      </c>
      <c r="K634" s="326" t="s">
        <v>247</v>
      </c>
      <c r="L634" s="361"/>
      <c r="M634" s="408"/>
      <c r="N634" s="444" t="s">
        <v>438</v>
      </c>
      <c r="O634" s="326" t="s">
        <v>210</v>
      </c>
      <c r="P634" s="327" t="s">
        <v>210</v>
      </c>
      <c r="Q634" s="646" t="s">
        <v>210</v>
      </c>
      <c r="R634" s="332" t="s">
        <v>3598</v>
      </c>
      <c r="S634" s="645"/>
      <c r="T634" s="645"/>
      <c r="U634" s="645"/>
      <c r="V634" s="645"/>
      <c r="W634" s="332" t="s">
        <v>5259</v>
      </c>
      <c r="X634" s="332" t="s">
        <v>13179</v>
      </c>
      <c r="Y634" s="332" t="s">
        <v>13181</v>
      </c>
      <c r="Z634" s="332" t="s">
        <v>13180</v>
      </c>
      <c r="AA634" s="394" t="s">
        <v>13182</v>
      </c>
      <c r="AB634" s="333"/>
      <c r="AC634" s="416"/>
      <c r="AD634" s="375"/>
      <c r="AE634" s="499" t="s">
        <v>3525</v>
      </c>
      <c r="AF634" s="475">
        <v>42444</v>
      </c>
      <c r="AG634" s="748">
        <v>42545</v>
      </c>
      <c r="AH634" s="417" t="s">
        <v>210</v>
      </c>
      <c r="AI634" s="392" t="s">
        <v>210</v>
      </c>
      <c r="AJ634" s="392" t="s">
        <v>210</v>
      </c>
      <c r="AK634" s="340" t="s">
        <v>210</v>
      </c>
      <c r="AL634" s="417" t="s">
        <v>210</v>
      </c>
      <c r="AM634" s="392" t="s">
        <v>210</v>
      </c>
      <c r="AN634" s="392" t="s">
        <v>210</v>
      </c>
      <c r="AO634" s="341" t="s">
        <v>210</v>
      </c>
      <c r="AP634" s="342"/>
      <c r="AQ634" s="343"/>
      <c r="AR634" s="452">
        <v>1184</v>
      </c>
      <c r="AS634" s="324">
        <v>150</v>
      </c>
      <c r="AT634" s="432">
        <v>1</v>
      </c>
      <c r="AU634" s="432"/>
      <c r="AV634" s="432">
        <v>1.2</v>
      </c>
      <c r="AW634" s="490"/>
      <c r="AX634" s="410"/>
      <c r="AY634" s="413"/>
      <c r="AZ634" s="405" t="s">
        <v>3367</v>
      </c>
      <c r="BA634" s="324" t="s">
        <v>210</v>
      </c>
      <c r="BB634" s="324" t="s">
        <v>210</v>
      </c>
      <c r="BC634" s="324" t="s">
        <v>210</v>
      </c>
      <c r="BD634" s="324" t="s">
        <v>210</v>
      </c>
      <c r="BE634" s="324" t="s">
        <v>3596</v>
      </c>
      <c r="BF634" s="324" t="s">
        <v>3512</v>
      </c>
      <c r="BG634" s="324" t="s">
        <v>3597</v>
      </c>
      <c r="BH634" s="426" t="s">
        <v>3512</v>
      </c>
      <c r="BI634" s="410"/>
      <c r="BJ634" s="427" t="s">
        <v>210</v>
      </c>
      <c r="BK634" s="412"/>
      <c r="BL634" s="413"/>
      <c r="BM634" s="414"/>
      <c r="BN634" s="321" t="s">
        <v>14</v>
      </c>
      <c r="BO634" s="372"/>
      <c r="BP634" s="340" t="s">
        <v>210</v>
      </c>
      <c r="BQ634" s="360"/>
      <c r="BR634" s="361"/>
      <c r="BS634" s="361"/>
      <c r="BT634" s="361"/>
      <c r="BU634" s="342" t="s">
        <v>210</v>
      </c>
      <c r="BV634" s="342" t="s">
        <v>210</v>
      </c>
      <c r="BW634" s="341" t="s">
        <v>210</v>
      </c>
      <c r="BX634" s="361"/>
      <c r="BY634" s="457"/>
      <c r="BZ634" s="363"/>
      <c r="CA634" s="363"/>
      <c r="CB634" s="363"/>
      <c r="CC634" s="363"/>
    </row>
    <row r="635" spans="1:82" ht="22.5" customHeight="1">
      <c r="B635" s="442">
        <v>160042</v>
      </c>
      <c r="C635" s="747" t="s">
        <v>4580</v>
      </c>
      <c r="D635" s="439"/>
      <c r="E635" s="404"/>
      <c r="F635" s="405" t="s">
        <v>229</v>
      </c>
      <c r="G635" s="324" t="s">
        <v>4581</v>
      </c>
      <c r="H635" s="324" t="s">
        <v>4582</v>
      </c>
      <c r="I635" s="326" t="s">
        <v>383</v>
      </c>
      <c r="J635" s="326" t="s">
        <v>399</v>
      </c>
      <c r="K635" s="324" t="s">
        <v>293</v>
      </c>
      <c r="L635" s="342">
        <v>2</v>
      </c>
      <c r="M635" s="408"/>
      <c r="N635" s="325" t="s">
        <v>437</v>
      </c>
      <c r="O635" s="324">
        <v>25</v>
      </c>
      <c r="P635" s="816">
        <v>298</v>
      </c>
      <c r="Q635" s="821">
        <v>298</v>
      </c>
      <c r="R635" s="332" t="s">
        <v>4583</v>
      </c>
      <c r="S635" s="332" t="s">
        <v>13176</v>
      </c>
      <c r="T635" s="332" t="s">
        <v>13177</v>
      </c>
      <c r="U635" s="332" t="s">
        <v>16375</v>
      </c>
      <c r="V635" s="332" t="s">
        <v>13178</v>
      </c>
      <c r="W635" s="332" t="s">
        <v>4586</v>
      </c>
      <c r="X635" s="645"/>
      <c r="Y635" s="645"/>
      <c r="Z635" s="645"/>
      <c r="AA635" s="645"/>
      <c r="AB635" s="333" t="s">
        <v>1686</v>
      </c>
      <c r="AC635" s="333"/>
      <c r="AD635" s="334" t="s">
        <v>2338</v>
      </c>
      <c r="AE635" s="335" t="s">
        <v>210</v>
      </c>
      <c r="AF635" s="475">
        <v>42729</v>
      </c>
      <c r="AG635" s="748">
        <v>42772</v>
      </c>
      <c r="AH635" s="417" t="s">
        <v>210</v>
      </c>
      <c r="AI635" s="392" t="s">
        <v>210</v>
      </c>
      <c r="AJ635" s="392" t="s">
        <v>210</v>
      </c>
      <c r="AK635" s="340" t="s">
        <v>210</v>
      </c>
      <c r="AL635" s="417" t="s">
        <v>210</v>
      </c>
      <c r="AM635" s="392" t="s">
        <v>210</v>
      </c>
      <c r="AN635" s="392" t="s">
        <v>210</v>
      </c>
      <c r="AO635" s="341" t="s">
        <v>210</v>
      </c>
      <c r="AP635" s="342"/>
      <c r="AQ635" s="433" t="s">
        <v>4547</v>
      </c>
      <c r="AR635" s="501"/>
      <c r="AS635" s="324">
        <v>100</v>
      </c>
      <c r="AT635" s="432">
        <v>1</v>
      </c>
      <c r="AU635" s="432"/>
      <c r="AV635" s="432">
        <v>1.5</v>
      </c>
      <c r="AW635" s="490"/>
      <c r="AX635" s="453" t="s">
        <v>210</v>
      </c>
      <c r="AY635" s="455" t="s">
        <v>210</v>
      </c>
      <c r="AZ635" s="405" t="s">
        <v>622</v>
      </c>
      <c r="BA635" s="324" t="s">
        <v>4811</v>
      </c>
      <c r="BB635" s="324" t="s">
        <v>3556</v>
      </c>
      <c r="BC635" s="324" t="s">
        <v>4635</v>
      </c>
      <c r="BD635" s="324" t="s">
        <v>3556</v>
      </c>
      <c r="BE635" s="324" t="s">
        <v>4636</v>
      </c>
      <c r="BF635" s="324" t="s">
        <v>3512</v>
      </c>
      <c r="BG635" s="324" t="s">
        <v>4637</v>
      </c>
      <c r="BH635" s="426" t="s">
        <v>4638</v>
      </c>
      <c r="BI635" s="410"/>
      <c r="BJ635" s="427" t="s">
        <v>210</v>
      </c>
      <c r="BK635" s="412"/>
      <c r="BL635" s="413"/>
      <c r="BM635" s="414"/>
      <c r="BN635" s="321" t="s">
        <v>4721</v>
      </c>
      <c r="BO635" s="372"/>
      <c r="BP635" s="373" t="s">
        <v>14</v>
      </c>
      <c r="BQ635" s="360"/>
      <c r="BR635" s="361"/>
      <c r="BS635" s="361"/>
      <c r="BT635" s="361"/>
      <c r="BU635" s="342" t="s">
        <v>210</v>
      </c>
      <c r="BV635" s="342" t="s">
        <v>210</v>
      </c>
      <c r="BW635" s="341" t="s">
        <v>210</v>
      </c>
      <c r="BX635" s="361"/>
      <c r="BY635" s="457"/>
      <c r="BZ635" s="363"/>
      <c r="CA635" s="363"/>
      <c r="CB635" s="363"/>
      <c r="CC635" s="363"/>
    </row>
    <row r="636" spans="1:82" ht="22.5" customHeight="1">
      <c r="B636" s="442">
        <v>160048</v>
      </c>
      <c r="C636" s="747" t="s">
        <v>13174</v>
      </c>
      <c r="D636" s="439"/>
      <c r="E636" s="404"/>
      <c r="F636" s="405" t="s">
        <v>238</v>
      </c>
      <c r="G636" s="324" t="s">
        <v>1954</v>
      </c>
      <c r="H636" s="324" t="s">
        <v>3177</v>
      </c>
      <c r="I636" s="326" t="s">
        <v>383</v>
      </c>
      <c r="J636" s="326" t="s">
        <v>387</v>
      </c>
      <c r="K636" s="326" t="s">
        <v>993</v>
      </c>
      <c r="L636" s="361"/>
      <c r="M636" s="408"/>
      <c r="N636" s="325" t="s">
        <v>437</v>
      </c>
      <c r="O636" s="326">
        <v>30</v>
      </c>
      <c r="P636" s="458">
        <v>273.60000000000002</v>
      </c>
      <c r="Q636" s="822">
        <v>141.77000000000001</v>
      </c>
      <c r="R636" s="332" t="s">
        <v>4021</v>
      </c>
      <c r="S636" s="645"/>
      <c r="T636" s="645"/>
      <c r="U636" s="645"/>
      <c r="V636" s="645"/>
      <c r="W636" s="332" t="s">
        <v>3178</v>
      </c>
      <c r="X636" s="645"/>
      <c r="Y636" s="332" t="s">
        <v>12752</v>
      </c>
      <c r="Z636" s="332" t="s">
        <v>16514</v>
      </c>
      <c r="AA636" s="332" t="s">
        <v>13175</v>
      </c>
      <c r="AB636" s="416"/>
      <c r="AC636" s="416"/>
      <c r="AD636" s="375"/>
      <c r="AE636" s="335" t="s">
        <v>210</v>
      </c>
      <c r="AF636" s="475">
        <v>42408</v>
      </c>
      <c r="AG636" s="748">
        <v>42582</v>
      </c>
      <c r="AH636" s="417" t="s">
        <v>210</v>
      </c>
      <c r="AI636" s="392" t="s">
        <v>210</v>
      </c>
      <c r="AJ636" s="392" t="s">
        <v>210</v>
      </c>
      <c r="AK636" s="340" t="s">
        <v>210</v>
      </c>
      <c r="AL636" s="417" t="s">
        <v>210</v>
      </c>
      <c r="AM636" s="392" t="s">
        <v>210</v>
      </c>
      <c r="AN636" s="392" t="s">
        <v>210</v>
      </c>
      <c r="AO636" s="341" t="s">
        <v>210</v>
      </c>
      <c r="AP636" s="342"/>
      <c r="AQ636" s="343"/>
      <c r="AR636" s="452">
        <v>211</v>
      </c>
      <c r="AS636" s="324">
        <v>120</v>
      </c>
      <c r="AT636" s="432">
        <v>1</v>
      </c>
      <c r="AU636" s="432"/>
      <c r="AV636" s="432">
        <v>1.5</v>
      </c>
      <c r="AW636" s="490"/>
      <c r="AX636" s="410"/>
      <c r="AY636" s="413"/>
      <c r="AZ636" s="405" t="s">
        <v>3367</v>
      </c>
      <c r="BA636" s="324" t="s">
        <v>210</v>
      </c>
      <c r="BB636" s="324" t="s">
        <v>210</v>
      </c>
      <c r="BC636" s="324" t="s">
        <v>9705</v>
      </c>
      <c r="BD636" s="324" t="s">
        <v>9706</v>
      </c>
      <c r="BE636" s="324" t="s">
        <v>9707</v>
      </c>
      <c r="BF636" s="324" t="s">
        <v>9708</v>
      </c>
      <c r="BG636" s="324" t="s">
        <v>9709</v>
      </c>
      <c r="BH636" s="324" t="s">
        <v>9708</v>
      </c>
      <c r="BI636" s="410"/>
      <c r="BJ636" s="411"/>
      <c r="BK636" s="412"/>
      <c r="BL636" s="413"/>
      <c r="BM636" s="414"/>
      <c r="BN636" s="321" t="s">
        <v>622</v>
      </c>
      <c r="BO636" s="372"/>
      <c r="BP636" s="340" t="s">
        <v>210</v>
      </c>
      <c r="BQ636" s="360"/>
      <c r="BR636" s="361"/>
      <c r="BS636" s="361"/>
      <c r="BT636" s="361"/>
      <c r="BU636" s="342" t="s">
        <v>210</v>
      </c>
      <c r="BV636" s="342" t="s">
        <v>210</v>
      </c>
      <c r="BW636" s="341" t="s">
        <v>210</v>
      </c>
      <c r="BX636" s="361"/>
      <c r="BY636" s="457"/>
      <c r="BZ636" s="363"/>
      <c r="CA636" s="363"/>
      <c r="CB636" s="363"/>
      <c r="CC636" s="363"/>
    </row>
    <row r="637" spans="1:82" ht="22.5" customHeight="1">
      <c r="B637" s="442">
        <v>160054</v>
      </c>
      <c r="C637" s="747" t="s">
        <v>3132</v>
      </c>
      <c r="D637" s="439"/>
      <c r="E637" s="404"/>
      <c r="F637" s="405" t="s">
        <v>3133</v>
      </c>
      <c r="G637" s="324" t="s">
        <v>3134</v>
      </c>
      <c r="H637" s="324" t="s">
        <v>3135</v>
      </c>
      <c r="I637" s="326" t="s">
        <v>383</v>
      </c>
      <c r="J637" s="326" t="s">
        <v>399</v>
      </c>
      <c r="K637" s="326" t="s">
        <v>917</v>
      </c>
      <c r="L637" s="432" t="s">
        <v>210</v>
      </c>
      <c r="M637" s="324" t="s">
        <v>6509</v>
      </c>
      <c r="N637" s="325" t="s">
        <v>438</v>
      </c>
      <c r="O637" s="326">
        <v>30</v>
      </c>
      <c r="P637" s="327" t="s">
        <v>210</v>
      </c>
      <c r="Q637" s="369" t="s">
        <v>210</v>
      </c>
      <c r="R637" s="823" t="s">
        <v>447</v>
      </c>
      <c r="S637" s="402" t="s">
        <v>11077</v>
      </c>
      <c r="T637" s="402" t="s">
        <v>11078</v>
      </c>
      <c r="U637" s="402" t="s">
        <v>16355</v>
      </c>
      <c r="V637" s="402" t="s">
        <v>11133</v>
      </c>
      <c r="W637" s="401" t="s">
        <v>432</v>
      </c>
      <c r="X637" s="402" t="s">
        <v>11079</v>
      </c>
      <c r="Y637" s="402" t="s">
        <v>11080</v>
      </c>
      <c r="Z637" s="402" t="s">
        <v>11080</v>
      </c>
      <c r="AA637" s="401" t="s">
        <v>210</v>
      </c>
      <c r="AB637" s="333"/>
      <c r="AC637" s="416"/>
      <c r="AD637" s="447" t="s">
        <v>2921</v>
      </c>
      <c r="AE637" s="335" t="s">
        <v>231</v>
      </c>
      <c r="AF637" s="475">
        <v>42387</v>
      </c>
      <c r="AG637" s="748">
        <v>42500</v>
      </c>
      <c r="AH637" s="410"/>
      <c r="AI637" s="408"/>
      <c r="AJ637" s="500"/>
      <c r="AK637" s="492"/>
      <c r="AL637" s="417" t="s">
        <v>210</v>
      </c>
      <c r="AM637" s="392" t="s">
        <v>210</v>
      </c>
      <c r="AN637" s="392" t="s">
        <v>210</v>
      </c>
      <c r="AO637" s="341" t="s">
        <v>210</v>
      </c>
      <c r="AP637" s="342"/>
      <c r="AQ637" s="433" t="s">
        <v>4547</v>
      </c>
      <c r="AR637" s="452">
        <v>7966</v>
      </c>
      <c r="AS637" s="324">
        <v>150</v>
      </c>
      <c r="AT637" s="432">
        <v>0.8</v>
      </c>
      <c r="AU637" s="432"/>
      <c r="AV637" s="432">
        <v>1.2</v>
      </c>
      <c r="AW637" s="490"/>
      <c r="AX637" s="453" t="s">
        <v>210</v>
      </c>
      <c r="AY637" s="429" t="s">
        <v>622</v>
      </c>
      <c r="AZ637" s="405" t="s">
        <v>3367</v>
      </c>
      <c r="BA637" s="324" t="s">
        <v>210</v>
      </c>
      <c r="BB637" s="324" t="s">
        <v>210</v>
      </c>
      <c r="BC637" s="324" t="s">
        <v>3997</v>
      </c>
      <c r="BD637" s="324" t="s">
        <v>3559</v>
      </c>
      <c r="BE637" s="324" t="s">
        <v>3997</v>
      </c>
      <c r="BF637" s="324" t="s">
        <v>3422</v>
      </c>
      <c r="BG637" s="324" t="s">
        <v>210</v>
      </c>
      <c r="BH637" s="426" t="s">
        <v>210</v>
      </c>
      <c r="BI637" s="410"/>
      <c r="BJ637" s="427" t="s">
        <v>210</v>
      </c>
      <c r="BK637" s="412"/>
      <c r="BL637" s="413"/>
      <c r="BM637" s="414"/>
      <c r="BN637" s="321" t="s">
        <v>14</v>
      </c>
      <c r="BO637" s="372">
        <v>1.51</v>
      </c>
      <c r="BP637" s="373" t="s">
        <v>14</v>
      </c>
      <c r="BQ637" s="360"/>
      <c r="BR637" s="361"/>
      <c r="BS637" s="361"/>
      <c r="BT637" s="361"/>
      <c r="BU637" s="342" t="s">
        <v>210</v>
      </c>
      <c r="BV637" s="342" t="s">
        <v>210</v>
      </c>
      <c r="BW637" s="341" t="s">
        <v>210</v>
      </c>
      <c r="BX637" s="361"/>
      <c r="BY637" s="457"/>
      <c r="BZ637" s="363"/>
      <c r="CA637" s="363"/>
      <c r="CB637" s="363"/>
      <c r="CC637" s="363"/>
    </row>
    <row r="638" spans="1:82" ht="22.5" customHeight="1">
      <c r="B638" s="442">
        <v>160055</v>
      </c>
      <c r="C638" s="747" t="s">
        <v>3699</v>
      </c>
      <c r="D638" s="439"/>
      <c r="E638" s="404"/>
      <c r="F638" s="405" t="s">
        <v>1043</v>
      </c>
      <c r="G638" s="324" t="s">
        <v>3700</v>
      </c>
      <c r="H638" s="324" t="s">
        <v>3709</v>
      </c>
      <c r="I638" s="326" t="s">
        <v>383</v>
      </c>
      <c r="J638" s="326" t="s">
        <v>399</v>
      </c>
      <c r="K638" s="324" t="s">
        <v>977</v>
      </c>
      <c r="L638" s="361"/>
      <c r="M638" s="408"/>
      <c r="N638" s="325" t="s">
        <v>438</v>
      </c>
      <c r="O638" s="324">
        <v>70</v>
      </c>
      <c r="P638" s="327" t="s">
        <v>210</v>
      </c>
      <c r="Q638" s="369" t="s">
        <v>210</v>
      </c>
      <c r="R638" s="329" t="s">
        <v>16198</v>
      </c>
      <c r="S638" s="330"/>
      <c r="T638" s="330"/>
      <c r="U638" s="330"/>
      <c r="V638" s="330"/>
      <c r="W638" s="332" t="s">
        <v>16198</v>
      </c>
      <c r="X638" s="331" t="s">
        <v>13153</v>
      </c>
      <c r="Y638" s="331" t="s">
        <v>13154</v>
      </c>
      <c r="Z638" s="331" t="s">
        <v>16308</v>
      </c>
      <c r="AA638" s="331" t="s">
        <v>13155</v>
      </c>
      <c r="AB638" s="416"/>
      <c r="AC638" s="416"/>
      <c r="AD638" s="447" t="s">
        <v>3707</v>
      </c>
      <c r="AE638" s="499" t="s">
        <v>3708</v>
      </c>
      <c r="AF638" s="475">
        <v>42543</v>
      </c>
      <c r="AG638" s="748">
        <v>42566</v>
      </c>
      <c r="AH638" s="417" t="s">
        <v>210</v>
      </c>
      <c r="AI638" s="392" t="s">
        <v>210</v>
      </c>
      <c r="AJ638" s="392" t="s">
        <v>210</v>
      </c>
      <c r="AK638" s="340" t="s">
        <v>210</v>
      </c>
      <c r="AL638" s="417" t="s">
        <v>210</v>
      </c>
      <c r="AM638" s="392" t="s">
        <v>210</v>
      </c>
      <c r="AN638" s="392" t="s">
        <v>210</v>
      </c>
      <c r="AO638" s="341" t="s">
        <v>210</v>
      </c>
      <c r="AP638" s="342"/>
      <c r="AQ638" s="343"/>
      <c r="AR638" s="452">
        <v>4843</v>
      </c>
      <c r="AS638" s="326">
        <v>100</v>
      </c>
      <c r="AT638" s="392">
        <v>1</v>
      </c>
      <c r="AU638" s="392"/>
      <c r="AV638" s="392">
        <v>1.5</v>
      </c>
      <c r="AW638" s="341"/>
      <c r="AX638" s="410"/>
      <c r="AY638" s="413"/>
      <c r="AZ638" s="405" t="s">
        <v>622</v>
      </c>
      <c r="BA638" s="324" t="s">
        <v>3710</v>
      </c>
      <c r="BB638" s="324" t="s">
        <v>3711</v>
      </c>
      <c r="BC638" s="324" t="s">
        <v>3712</v>
      </c>
      <c r="BD638" s="324" t="s">
        <v>3380</v>
      </c>
      <c r="BE638" s="324" t="s">
        <v>210</v>
      </c>
      <c r="BF638" s="324" t="s">
        <v>210</v>
      </c>
      <c r="BG638" s="324" t="s">
        <v>3712</v>
      </c>
      <c r="BH638" s="426" t="s">
        <v>3713</v>
      </c>
      <c r="BI638" s="410"/>
      <c r="BJ638" s="427" t="s">
        <v>9793</v>
      </c>
      <c r="BK638" s="412"/>
      <c r="BL638" s="413"/>
      <c r="BM638" s="414"/>
      <c r="BN638" s="321" t="s">
        <v>14</v>
      </c>
      <c r="BO638" s="372">
        <v>0.85</v>
      </c>
      <c r="BP638" s="373" t="s">
        <v>14</v>
      </c>
      <c r="BQ638" s="360"/>
      <c r="BR638" s="361"/>
      <c r="BS638" s="361"/>
      <c r="BT638" s="361"/>
      <c r="BU638" s="342" t="s">
        <v>210</v>
      </c>
      <c r="BV638" s="342" t="s">
        <v>210</v>
      </c>
      <c r="BW638" s="341" t="s">
        <v>210</v>
      </c>
      <c r="BX638" s="361"/>
      <c r="BY638" s="457" t="s">
        <v>3822</v>
      </c>
      <c r="BZ638" s="363"/>
      <c r="CA638" s="363"/>
      <c r="CB638" s="363"/>
      <c r="CC638" s="363"/>
    </row>
    <row r="639" spans="1:82" ht="22.5" customHeight="1">
      <c r="B639" s="442">
        <v>160064</v>
      </c>
      <c r="C639" s="747" t="s">
        <v>4288</v>
      </c>
      <c r="D639" s="439"/>
      <c r="E639" s="404"/>
      <c r="F639" s="405" t="s">
        <v>4291</v>
      </c>
      <c r="G639" s="324" t="s">
        <v>4289</v>
      </c>
      <c r="H639" s="324" t="s">
        <v>4290</v>
      </c>
      <c r="I639" s="326" t="s">
        <v>383</v>
      </c>
      <c r="J639" s="326" t="s">
        <v>387</v>
      </c>
      <c r="K639" s="326" t="s">
        <v>917</v>
      </c>
      <c r="L639" s="361"/>
      <c r="M639" s="408"/>
      <c r="N639" s="325" t="s">
        <v>438</v>
      </c>
      <c r="O639" s="324">
        <v>30</v>
      </c>
      <c r="P639" s="458">
        <v>3110.25</v>
      </c>
      <c r="Q639" s="459">
        <v>1743.18</v>
      </c>
      <c r="R639" s="329" t="s">
        <v>432</v>
      </c>
      <c r="S639" s="331" t="s">
        <v>11079</v>
      </c>
      <c r="T639" s="331" t="s">
        <v>11079</v>
      </c>
      <c r="U639" s="331" t="s">
        <v>11079</v>
      </c>
      <c r="V639" s="331" t="s">
        <v>210</v>
      </c>
      <c r="W639" s="332" t="s">
        <v>432</v>
      </c>
      <c r="X639" s="331" t="s">
        <v>11079</v>
      </c>
      <c r="Y639" s="331" t="s">
        <v>11080</v>
      </c>
      <c r="Z639" s="331" t="s">
        <v>11080</v>
      </c>
      <c r="AA639" s="331" t="s">
        <v>210</v>
      </c>
      <c r="AB639" s="416"/>
      <c r="AC639" s="416"/>
      <c r="AD639" s="447" t="s">
        <v>4615</v>
      </c>
      <c r="AE639" s="499" t="s">
        <v>245</v>
      </c>
      <c r="AF639" s="775"/>
      <c r="AG639" s="748">
        <v>42699</v>
      </c>
      <c r="AH639" s="486" t="s">
        <v>16119</v>
      </c>
      <c r="AI639" s="487" t="s">
        <v>16120</v>
      </c>
      <c r="AJ639" s="487" t="s">
        <v>16121</v>
      </c>
      <c r="AK639" s="895" t="s">
        <v>16122</v>
      </c>
      <c r="AL639" s="417" t="s">
        <v>210</v>
      </c>
      <c r="AM639" s="392" t="s">
        <v>622</v>
      </c>
      <c r="AN639" s="392" t="s">
        <v>210</v>
      </c>
      <c r="AO639" s="341" t="s">
        <v>210</v>
      </c>
      <c r="AP639" s="418"/>
      <c r="AQ639" s="343"/>
      <c r="AR639" s="452">
        <v>1952</v>
      </c>
      <c r="AS639" s="324">
        <v>150</v>
      </c>
      <c r="AT639" s="432">
        <v>0.75</v>
      </c>
      <c r="AU639" s="432"/>
      <c r="AV639" s="432">
        <v>0.25</v>
      </c>
      <c r="AW639" s="490"/>
      <c r="AX639" s="410"/>
      <c r="AY639" s="413"/>
      <c r="AZ639" s="405" t="s">
        <v>3367</v>
      </c>
      <c r="BA639" s="324" t="s">
        <v>210</v>
      </c>
      <c r="BB639" s="324" t="s">
        <v>210</v>
      </c>
      <c r="BC639" s="324" t="s">
        <v>210</v>
      </c>
      <c r="BD639" s="324" t="s">
        <v>210</v>
      </c>
      <c r="BE639" s="324" t="s">
        <v>9710</v>
      </c>
      <c r="BF639" s="324" t="s">
        <v>9711</v>
      </c>
      <c r="BG639" s="324" t="s">
        <v>9710</v>
      </c>
      <c r="BH639" s="426" t="s">
        <v>9712</v>
      </c>
      <c r="BI639" s="453"/>
      <c r="BJ639" s="427" t="s">
        <v>9703</v>
      </c>
      <c r="BK639" s="412"/>
      <c r="BL639" s="413"/>
      <c r="BM639" s="414"/>
      <c r="BN639" s="417" t="s">
        <v>210</v>
      </c>
      <c r="BO639" s="372"/>
      <c r="BP639" s="340" t="s">
        <v>210</v>
      </c>
      <c r="BQ639" s="360"/>
      <c r="BR639" s="361"/>
      <c r="BS639" s="361"/>
      <c r="BT639" s="361"/>
      <c r="BU639" s="342" t="s">
        <v>5511</v>
      </c>
      <c r="BV639" s="418" t="s">
        <v>210</v>
      </c>
      <c r="BW639" s="341" t="s">
        <v>210</v>
      </c>
      <c r="BX639" s="361"/>
      <c r="BY639" s="457"/>
      <c r="BZ639" s="363"/>
      <c r="CA639" s="363"/>
      <c r="CB639" s="363"/>
      <c r="CC639" s="363"/>
    </row>
    <row r="640" spans="1:82" ht="22.5" customHeight="1">
      <c r="B640" s="442">
        <v>160068</v>
      </c>
      <c r="C640" s="747" t="s">
        <v>3292</v>
      </c>
      <c r="D640" s="439"/>
      <c r="E640" s="404"/>
      <c r="F640" s="405" t="s">
        <v>264</v>
      </c>
      <c r="G640" s="324" t="s">
        <v>3293</v>
      </c>
      <c r="H640" s="324" t="s">
        <v>3294</v>
      </c>
      <c r="I640" s="326" t="s">
        <v>383</v>
      </c>
      <c r="J640" s="326" t="s">
        <v>387</v>
      </c>
      <c r="K640" s="326" t="s">
        <v>806</v>
      </c>
      <c r="L640" s="361"/>
      <c r="M640" s="408"/>
      <c r="N640" s="325" t="s">
        <v>438</v>
      </c>
      <c r="O640" s="324">
        <v>30</v>
      </c>
      <c r="P640" s="327">
        <v>700</v>
      </c>
      <c r="Q640" s="369">
        <v>350</v>
      </c>
      <c r="R640" s="824"/>
      <c r="S640" s="394" t="s">
        <v>13151</v>
      </c>
      <c r="T640" s="400"/>
      <c r="U640" s="400"/>
      <c r="V640" s="394" t="s">
        <v>13152</v>
      </c>
      <c r="W640" s="460" t="s">
        <v>3295</v>
      </c>
      <c r="X640" s="400"/>
      <c r="Y640" s="400"/>
      <c r="Z640" s="400"/>
      <c r="AA640" s="400"/>
      <c r="AB640" s="416"/>
      <c r="AC640" s="416"/>
      <c r="AD640" s="447" t="s">
        <v>2938</v>
      </c>
      <c r="AE640" s="499" t="s">
        <v>3445</v>
      </c>
      <c r="AF640" s="475">
        <v>42459</v>
      </c>
      <c r="AG640" s="748">
        <v>42486</v>
      </c>
      <c r="AH640" s="417" t="s">
        <v>210</v>
      </c>
      <c r="AI640" s="392" t="s">
        <v>210</v>
      </c>
      <c r="AJ640" s="392" t="s">
        <v>210</v>
      </c>
      <c r="AK640" s="340" t="s">
        <v>210</v>
      </c>
      <c r="AL640" s="417" t="s">
        <v>210</v>
      </c>
      <c r="AM640" s="392" t="s">
        <v>210</v>
      </c>
      <c r="AN640" s="392" t="s">
        <v>210</v>
      </c>
      <c r="AO640" s="341" t="s">
        <v>210</v>
      </c>
      <c r="AP640" s="342"/>
      <c r="AQ640" s="343"/>
      <c r="AR640" s="452">
        <v>494</v>
      </c>
      <c r="AS640" s="324">
        <v>100</v>
      </c>
      <c r="AT640" s="392">
        <v>1</v>
      </c>
      <c r="AU640" s="392"/>
      <c r="AV640" s="392">
        <v>1.2</v>
      </c>
      <c r="AW640" s="341"/>
      <c r="AX640" s="410"/>
      <c r="AY640" s="413"/>
      <c r="AZ640" s="405" t="s">
        <v>3367</v>
      </c>
      <c r="BA640" s="324" t="s">
        <v>210</v>
      </c>
      <c r="BB640" s="324" t="s">
        <v>210</v>
      </c>
      <c r="BC640" s="324" t="s">
        <v>210</v>
      </c>
      <c r="BD640" s="324" t="s">
        <v>210</v>
      </c>
      <c r="BE640" s="324" t="s">
        <v>3496</v>
      </c>
      <c r="BF640" s="324" t="s">
        <v>3495</v>
      </c>
      <c r="BG640" s="324" t="s">
        <v>3480</v>
      </c>
      <c r="BH640" s="426" t="s">
        <v>3360</v>
      </c>
      <c r="BI640" s="410"/>
      <c r="BJ640" s="411"/>
      <c r="BK640" s="412"/>
      <c r="BL640" s="413"/>
      <c r="BM640" s="414"/>
      <c r="BN640" s="321" t="s">
        <v>14</v>
      </c>
      <c r="BO640" s="372"/>
      <c r="BP640" s="373" t="s">
        <v>14</v>
      </c>
      <c r="BQ640" s="360"/>
      <c r="BR640" s="361"/>
      <c r="BS640" s="361"/>
      <c r="BT640" s="361"/>
      <c r="BU640" s="342" t="s">
        <v>210</v>
      </c>
      <c r="BV640" s="342" t="s">
        <v>210</v>
      </c>
      <c r="BW640" s="341" t="s">
        <v>210</v>
      </c>
      <c r="BX640" s="361"/>
      <c r="BY640" s="457"/>
      <c r="BZ640" s="363"/>
      <c r="CA640" s="363"/>
      <c r="CB640" s="363"/>
      <c r="CC640" s="363"/>
    </row>
    <row r="641" spans="2:81" ht="22.5" customHeight="1">
      <c r="B641" s="442">
        <v>160070</v>
      </c>
      <c r="C641" s="747" t="s">
        <v>13147</v>
      </c>
      <c r="D641" s="439"/>
      <c r="E641" s="404"/>
      <c r="F641" s="405" t="s">
        <v>3994</v>
      </c>
      <c r="G641" s="324" t="s">
        <v>3992</v>
      </c>
      <c r="H641" s="324" t="s">
        <v>3993</v>
      </c>
      <c r="I641" s="326" t="s">
        <v>383</v>
      </c>
      <c r="J641" s="326" t="s">
        <v>399</v>
      </c>
      <c r="K641" s="324" t="s">
        <v>977</v>
      </c>
      <c r="L641" s="361"/>
      <c r="M641" s="408"/>
      <c r="N641" s="325" t="s">
        <v>438</v>
      </c>
      <c r="O641" s="326" t="s">
        <v>210</v>
      </c>
      <c r="P641" s="327" t="s">
        <v>210</v>
      </c>
      <c r="Q641" s="369" t="s">
        <v>210</v>
      </c>
      <c r="R641" s="329" t="s">
        <v>3468</v>
      </c>
      <c r="S641" s="400"/>
      <c r="T641" s="400"/>
      <c r="U641" s="400"/>
      <c r="V641" s="513"/>
      <c r="W641" s="460" t="s">
        <v>3471</v>
      </c>
      <c r="X641" s="394" t="s">
        <v>13148</v>
      </c>
      <c r="Y641" s="394" t="s">
        <v>13149</v>
      </c>
      <c r="Z641" s="400"/>
      <c r="AA641" s="394" t="s">
        <v>13150</v>
      </c>
      <c r="AB641" s="416"/>
      <c r="AC641" s="416"/>
      <c r="AD641" s="447" t="s">
        <v>3629</v>
      </c>
      <c r="AE641" s="815"/>
      <c r="AF641" s="475">
        <v>42401</v>
      </c>
      <c r="AG641" s="748">
        <v>42542</v>
      </c>
      <c r="AH641" s="417" t="s">
        <v>210</v>
      </c>
      <c r="AI641" s="392" t="s">
        <v>210</v>
      </c>
      <c r="AJ641" s="392" t="s">
        <v>210</v>
      </c>
      <c r="AK641" s="340" t="s">
        <v>210</v>
      </c>
      <c r="AL641" s="417" t="s">
        <v>210</v>
      </c>
      <c r="AM641" s="392" t="s">
        <v>210</v>
      </c>
      <c r="AN641" s="392" t="s">
        <v>210</v>
      </c>
      <c r="AO641" s="341" t="s">
        <v>210</v>
      </c>
      <c r="AP641" s="342"/>
      <c r="AQ641" s="343"/>
      <c r="AR641" s="452">
        <v>1011</v>
      </c>
      <c r="AS641" s="324">
        <v>100</v>
      </c>
      <c r="AT641" s="432">
        <v>1</v>
      </c>
      <c r="AU641" s="432"/>
      <c r="AV641" s="432">
        <v>1.5</v>
      </c>
      <c r="AW641" s="490"/>
      <c r="AX641" s="410"/>
      <c r="AY641" s="413"/>
      <c r="AZ641" s="405" t="s">
        <v>622</v>
      </c>
      <c r="BA641" s="324" t="s">
        <v>3995</v>
      </c>
      <c r="BB641" s="324" t="s">
        <v>3372</v>
      </c>
      <c r="BC641" s="324" t="s">
        <v>3990</v>
      </c>
      <c r="BD641" s="324" t="s">
        <v>3372</v>
      </c>
      <c r="BE641" s="324" t="s">
        <v>3991</v>
      </c>
      <c r="BF641" s="324" t="s">
        <v>3996</v>
      </c>
      <c r="BG641" s="324" t="s">
        <v>3997</v>
      </c>
      <c r="BH641" s="426" t="s">
        <v>3996</v>
      </c>
      <c r="BI641" s="410"/>
      <c r="BJ641" s="427" t="s">
        <v>210</v>
      </c>
      <c r="BK641" s="412"/>
      <c r="BL641" s="413"/>
      <c r="BM641" s="414"/>
      <c r="BN641" s="321" t="s">
        <v>14</v>
      </c>
      <c r="BO641" s="372"/>
      <c r="BP641" s="373" t="s">
        <v>14</v>
      </c>
      <c r="BQ641" s="360"/>
      <c r="BR641" s="361"/>
      <c r="BS641" s="361"/>
      <c r="BT641" s="361"/>
      <c r="BU641" s="342" t="s">
        <v>210</v>
      </c>
      <c r="BV641" s="342" t="s">
        <v>210</v>
      </c>
      <c r="BW641" s="341" t="s">
        <v>210</v>
      </c>
      <c r="BX641" s="361"/>
      <c r="BY641" s="457"/>
      <c r="BZ641" s="363"/>
      <c r="CA641" s="363"/>
      <c r="CB641" s="363"/>
      <c r="CC641" s="363"/>
    </row>
    <row r="642" spans="2:81" ht="22.5" customHeight="1">
      <c r="B642" s="442">
        <v>160080</v>
      </c>
      <c r="C642" s="747" t="s">
        <v>13139</v>
      </c>
      <c r="D642" s="439"/>
      <c r="E642" s="404"/>
      <c r="F642" s="405" t="s">
        <v>3301</v>
      </c>
      <c r="G642" s="324" t="s">
        <v>3302</v>
      </c>
      <c r="H642" s="324" t="s">
        <v>2915</v>
      </c>
      <c r="I642" s="326" t="s">
        <v>383</v>
      </c>
      <c r="J642" s="326" t="s">
        <v>399</v>
      </c>
      <c r="K642" s="326" t="s">
        <v>247</v>
      </c>
      <c r="L642" s="361"/>
      <c r="M642" s="408"/>
      <c r="N642" s="325" t="s">
        <v>438</v>
      </c>
      <c r="O642" s="324">
        <v>100</v>
      </c>
      <c r="P642" s="327" t="s">
        <v>210</v>
      </c>
      <c r="Q642" s="369" t="s">
        <v>210</v>
      </c>
      <c r="R642" s="329" t="s">
        <v>3303</v>
      </c>
      <c r="S642" s="394" t="s">
        <v>13145</v>
      </c>
      <c r="T642" s="394" t="s">
        <v>13146</v>
      </c>
      <c r="U642" s="400"/>
      <c r="V642" s="394" t="s">
        <v>13144</v>
      </c>
      <c r="W642" s="460" t="s">
        <v>3306</v>
      </c>
      <c r="X642" s="394" t="s">
        <v>13140</v>
      </c>
      <c r="Y642" s="394" t="s">
        <v>13142</v>
      </c>
      <c r="Z642" s="394" t="s">
        <v>13141</v>
      </c>
      <c r="AA642" s="394" t="s">
        <v>13143</v>
      </c>
      <c r="AB642" s="333"/>
      <c r="AC642" s="416"/>
      <c r="AD642" s="447" t="s">
        <v>3076</v>
      </c>
      <c r="AE642" s="335" t="s">
        <v>808</v>
      </c>
      <c r="AF642" s="475">
        <v>42446</v>
      </c>
      <c r="AG642" s="748">
        <v>42549</v>
      </c>
      <c r="AH642" s="417" t="s">
        <v>210</v>
      </c>
      <c r="AI642" s="392" t="s">
        <v>210</v>
      </c>
      <c r="AJ642" s="392" t="s">
        <v>210</v>
      </c>
      <c r="AK642" s="340" t="s">
        <v>210</v>
      </c>
      <c r="AL642" s="417" t="s">
        <v>210</v>
      </c>
      <c r="AM642" s="392" t="s">
        <v>210</v>
      </c>
      <c r="AN642" s="392" t="s">
        <v>210</v>
      </c>
      <c r="AO642" s="341" t="s">
        <v>210</v>
      </c>
      <c r="AP642" s="342"/>
      <c r="AQ642" s="343"/>
      <c r="AR642" s="452">
        <v>2966</v>
      </c>
      <c r="AS642" s="324">
        <v>80</v>
      </c>
      <c r="AT642" s="432">
        <v>1</v>
      </c>
      <c r="AU642" s="432"/>
      <c r="AV642" s="432">
        <v>1.5</v>
      </c>
      <c r="AW642" s="490"/>
      <c r="AX642" s="410"/>
      <c r="AY642" s="413"/>
      <c r="AZ642" s="405" t="s">
        <v>622</v>
      </c>
      <c r="BA642" s="324" t="s">
        <v>3486</v>
      </c>
      <c r="BB642" s="324" t="s">
        <v>3372</v>
      </c>
      <c r="BC642" s="324" t="s">
        <v>3363</v>
      </c>
      <c r="BD642" s="324" t="s">
        <v>3372</v>
      </c>
      <c r="BE642" s="324" t="s">
        <v>3486</v>
      </c>
      <c r="BF642" s="324" t="s">
        <v>3492</v>
      </c>
      <c r="BG642" s="324" t="s">
        <v>3493</v>
      </c>
      <c r="BH642" s="426" t="s">
        <v>3494</v>
      </c>
      <c r="BI642" s="410"/>
      <c r="BJ642" s="427" t="s">
        <v>3484</v>
      </c>
      <c r="BK642" s="412"/>
      <c r="BL642" s="413"/>
      <c r="BM642" s="414"/>
      <c r="BN642" s="321" t="s">
        <v>14</v>
      </c>
      <c r="BO642" s="372"/>
      <c r="BP642" s="373" t="s">
        <v>14</v>
      </c>
      <c r="BQ642" s="360"/>
      <c r="BR642" s="361"/>
      <c r="BS642" s="361"/>
      <c r="BT642" s="361"/>
      <c r="BU642" s="342" t="s">
        <v>210</v>
      </c>
      <c r="BV642" s="342" t="s">
        <v>210</v>
      </c>
      <c r="BW642" s="341" t="s">
        <v>210</v>
      </c>
      <c r="BX642" s="361"/>
      <c r="BY642" s="457"/>
      <c r="BZ642" s="363"/>
      <c r="CA642" s="363"/>
      <c r="CB642" s="363"/>
      <c r="CC642" s="363"/>
    </row>
    <row r="643" spans="2:81" ht="22.5" customHeight="1">
      <c r="B643" s="442">
        <v>160082</v>
      </c>
      <c r="C643" s="747" t="s">
        <v>3515</v>
      </c>
      <c r="D643" s="439"/>
      <c r="E643" s="404"/>
      <c r="F643" s="405" t="s">
        <v>237</v>
      </c>
      <c r="G643" s="324" t="s">
        <v>3022</v>
      </c>
      <c r="H643" s="324" t="s">
        <v>3516</v>
      </c>
      <c r="I643" s="326" t="s">
        <v>383</v>
      </c>
      <c r="J643" s="326" t="s">
        <v>387</v>
      </c>
      <c r="K643" s="326" t="s">
        <v>247</v>
      </c>
      <c r="L643" s="361"/>
      <c r="M643" s="408"/>
      <c r="N643" s="325" t="s">
        <v>438</v>
      </c>
      <c r="O643" s="326">
        <v>80</v>
      </c>
      <c r="P643" s="327" t="s">
        <v>210</v>
      </c>
      <c r="Q643" s="369" t="s">
        <v>210</v>
      </c>
      <c r="R643" s="329" t="s">
        <v>3517</v>
      </c>
      <c r="S643" s="331" t="s">
        <v>13156</v>
      </c>
      <c r="T643" s="331" t="s">
        <v>13157</v>
      </c>
      <c r="U643" s="330"/>
      <c r="V643" s="331" t="s">
        <v>13158</v>
      </c>
      <c r="W643" s="332" t="s">
        <v>432</v>
      </c>
      <c r="X643" s="331" t="s">
        <v>11079</v>
      </c>
      <c r="Y643" s="331" t="s">
        <v>11080</v>
      </c>
      <c r="Z643" s="331" t="s">
        <v>11080</v>
      </c>
      <c r="AA643" s="331"/>
      <c r="AB643" s="333" t="s">
        <v>3519</v>
      </c>
      <c r="AC643" s="416"/>
      <c r="AD643" s="447" t="s">
        <v>3830</v>
      </c>
      <c r="AE643" s="335" t="s">
        <v>3127</v>
      </c>
      <c r="AF643" s="475">
        <v>42533</v>
      </c>
      <c r="AG643" s="748">
        <v>42570</v>
      </c>
      <c r="AH643" s="376"/>
      <c r="AI643" s="347"/>
      <c r="AJ643" s="347"/>
      <c r="AK643" s="371"/>
      <c r="AL643" s="417" t="s">
        <v>210</v>
      </c>
      <c r="AM643" s="392" t="s">
        <v>210</v>
      </c>
      <c r="AN643" s="326" t="s">
        <v>14</v>
      </c>
      <c r="AO643" s="341" t="s">
        <v>210</v>
      </c>
      <c r="AP643" s="342"/>
      <c r="AQ643" s="343"/>
      <c r="AR643" s="452">
        <v>457</v>
      </c>
      <c r="AS643" s="324">
        <v>100</v>
      </c>
      <c r="AT643" s="432">
        <v>1</v>
      </c>
      <c r="AU643" s="432"/>
      <c r="AV643" s="432">
        <v>1.5</v>
      </c>
      <c r="AW643" s="490"/>
      <c r="AX643" s="410"/>
      <c r="AY643" s="413"/>
      <c r="AZ643" s="405" t="s">
        <v>622</v>
      </c>
      <c r="BA643" s="324" t="s">
        <v>3761</v>
      </c>
      <c r="BB643" s="324" t="s">
        <v>3372</v>
      </c>
      <c r="BC643" s="324" t="s">
        <v>3766</v>
      </c>
      <c r="BD643" s="324" t="s">
        <v>3372</v>
      </c>
      <c r="BE643" s="324" t="s">
        <v>3767</v>
      </c>
      <c r="BF643" s="324" t="s">
        <v>3372</v>
      </c>
      <c r="BG643" s="324" t="s">
        <v>3761</v>
      </c>
      <c r="BH643" s="426" t="s">
        <v>3768</v>
      </c>
      <c r="BI643" s="410"/>
      <c r="BJ643" s="427" t="s">
        <v>210</v>
      </c>
      <c r="BK643" s="412"/>
      <c r="BL643" s="413"/>
      <c r="BM643" s="414"/>
      <c r="BN643" s="417" t="s">
        <v>210</v>
      </c>
      <c r="BO643" s="372"/>
      <c r="BP643" s="373" t="s">
        <v>14</v>
      </c>
      <c r="BQ643" s="360"/>
      <c r="BR643" s="361"/>
      <c r="BS643" s="361"/>
      <c r="BT643" s="361"/>
      <c r="BU643" s="342" t="s">
        <v>210</v>
      </c>
      <c r="BV643" s="342" t="s">
        <v>210</v>
      </c>
      <c r="BW643" s="341" t="s">
        <v>210</v>
      </c>
      <c r="BX643" s="361"/>
      <c r="BY643" s="457"/>
      <c r="BZ643" s="363"/>
      <c r="CA643" s="363"/>
      <c r="CB643" s="363"/>
      <c r="CC643" s="363"/>
    </row>
    <row r="644" spans="2:81" ht="22.5" customHeight="1">
      <c r="B644" s="442">
        <v>160089</v>
      </c>
      <c r="C644" s="747" t="s">
        <v>13133</v>
      </c>
      <c r="D644" s="439"/>
      <c r="E644" s="404"/>
      <c r="F644" s="405" t="s">
        <v>3731</v>
      </c>
      <c r="G644" s="324" t="s">
        <v>3732</v>
      </c>
      <c r="H644" s="324" t="s">
        <v>2048</v>
      </c>
      <c r="I644" s="324" t="s">
        <v>766</v>
      </c>
      <c r="J644" s="326" t="s">
        <v>387</v>
      </c>
      <c r="K644" s="326" t="s">
        <v>917</v>
      </c>
      <c r="L644" s="361"/>
      <c r="M644" s="408"/>
      <c r="N644" s="325" t="s">
        <v>3735</v>
      </c>
      <c r="O644" s="324">
        <v>40</v>
      </c>
      <c r="P644" s="327" t="s">
        <v>210</v>
      </c>
      <c r="Q644" s="369" t="s">
        <v>210</v>
      </c>
      <c r="R644" s="420" t="s">
        <v>3950</v>
      </c>
      <c r="S644" s="394" t="s">
        <v>13135</v>
      </c>
      <c r="T644" s="394" t="s">
        <v>13137</v>
      </c>
      <c r="U644" s="394" t="s">
        <v>13136</v>
      </c>
      <c r="V644" s="394" t="s">
        <v>13138</v>
      </c>
      <c r="W644" s="825"/>
      <c r="X644" s="400"/>
      <c r="Y644" s="400"/>
      <c r="Z644" s="400"/>
      <c r="AA644" s="400"/>
      <c r="AB644" s="416"/>
      <c r="AC644" s="416"/>
      <c r="AD644" s="447" t="s">
        <v>3118</v>
      </c>
      <c r="AE644" s="335" t="s">
        <v>210</v>
      </c>
      <c r="AF644" s="475">
        <v>42560</v>
      </c>
      <c r="AG644" s="748">
        <v>42601</v>
      </c>
      <c r="AH644" s="417" t="s">
        <v>210</v>
      </c>
      <c r="AI644" s="392" t="s">
        <v>210</v>
      </c>
      <c r="AJ644" s="392" t="s">
        <v>210</v>
      </c>
      <c r="AK644" s="340" t="s">
        <v>210</v>
      </c>
      <c r="AL644" s="417" t="s">
        <v>210</v>
      </c>
      <c r="AM644" s="392" t="s">
        <v>210</v>
      </c>
      <c r="AN644" s="392" t="s">
        <v>210</v>
      </c>
      <c r="AO644" s="341" t="s">
        <v>210</v>
      </c>
      <c r="AP644" s="342"/>
      <c r="AQ644" s="343"/>
      <c r="AR644" s="452">
        <f>2067+774</f>
        <v>2841</v>
      </c>
      <c r="AS644" s="324">
        <v>80</v>
      </c>
      <c r="AT644" s="432">
        <v>0.8</v>
      </c>
      <c r="AU644" s="432"/>
      <c r="AV644" s="432">
        <v>1.2</v>
      </c>
      <c r="AW644" s="490"/>
      <c r="AX644" s="410"/>
      <c r="AY644" s="413"/>
      <c r="AZ644" s="405" t="s">
        <v>622</v>
      </c>
      <c r="BA644" s="324" t="s">
        <v>3555</v>
      </c>
      <c r="BB644" s="324" t="s">
        <v>3372</v>
      </c>
      <c r="BC644" s="324" t="s">
        <v>3555</v>
      </c>
      <c r="BD644" s="324" t="s">
        <v>3372</v>
      </c>
      <c r="BE644" s="324" t="s">
        <v>3734</v>
      </c>
      <c r="BF644" s="324" t="s">
        <v>3574</v>
      </c>
      <c r="BG644" s="324" t="s">
        <v>3733</v>
      </c>
      <c r="BH644" s="426" t="s">
        <v>3372</v>
      </c>
      <c r="BI644" s="410"/>
      <c r="BJ644" s="427" t="s">
        <v>210</v>
      </c>
      <c r="BK644" s="412"/>
      <c r="BL644" s="413"/>
      <c r="BM644" s="414"/>
      <c r="BN644" s="321" t="s">
        <v>14</v>
      </c>
      <c r="BO644" s="372">
        <v>1.1200000000000001</v>
      </c>
      <c r="BP644" s="340" t="s">
        <v>210</v>
      </c>
      <c r="BQ644" s="360"/>
      <c r="BR644" s="361"/>
      <c r="BS644" s="361"/>
      <c r="BT644" s="361"/>
      <c r="BU644" s="342" t="s">
        <v>210</v>
      </c>
      <c r="BV644" s="342" t="s">
        <v>210</v>
      </c>
      <c r="BW644" s="341" t="s">
        <v>210</v>
      </c>
      <c r="BX644" s="361"/>
      <c r="BY644" s="457"/>
      <c r="BZ644" s="363"/>
      <c r="CA644" s="363"/>
      <c r="CB644" s="363"/>
      <c r="CC644" s="363"/>
    </row>
    <row r="645" spans="2:81" ht="22.5" customHeight="1">
      <c r="B645" s="442">
        <v>160095</v>
      </c>
      <c r="C645" s="747" t="s">
        <v>3285</v>
      </c>
      <c r="D645" s="439"/>
      <c r="E645" s="404"/>
      <c r="F645" s="405" t="s">
        <v>3369</v>
      </c>
      <c r="G645" s="324" t="s">
        <v>3370</v>
      </c>
      <c r="H645" s="324" t="s">
        <v>3371</v>
      </c>
      <c r="I645" s="326" t="s">
        <v>383</v>
      </c>
      <c r="J645" s="326" t="s">
        <v>399</v>
      </c>
      <c r="K645" s="326" t="s">
        <v>977</v>
      </c>
      <c r="L645" s="323"/>
      <c r="M645" s="408"/>
      <c r="N645" s="325" t="s">
        <v>438</v>
      </c>
      <c r="O645" s="324">
        <v>60</v>
      </c>
      <c r="P645" s="327" t="s">
        <v>210</v>
      </c>
      <c r="Q645" s="369" t="s">
        <v>210</v>
      </c>
      <c r="R645" s="420" t="s">
        <v>3354</v>
      </c>
      <c r="S645" s="394" t="s">
        <v>13131</v>
      </c>
      <c r="T645" s="394" t="s">
        <v>11457</v>
      </c>
      <c r="U645" s="394" t="s">
        <v>12067</v>
      </c>
      <c r="V645" s="394" t="s">
        <v>13132</v>
      </c>
      <c r="W645" s="460" t="s">
        <v>3354</v>
      </c>
      <c r="X645" s="394" t="s">
        <v>13134</v>
      </c>
      <c r="Y645" s="394" t="s">
        <v>11457</v>
      </c>
      <c r="Z645" s="394" t="s">
        <v>12067</v>
      </c>
      <c r="AA645" s="394" t="s">
        <v>13132</v>
      </c>
      <c r="AB645" s="416"/>
      <c r="AC645" s="416"/>
      <c r="AD645" s="334" t="s">
        <v>2327</v>
      </c>
      <c r="AE645" s="335" t="s">
        <v>966</v>
      </c>
      <c r="AF645" s="475">
        <v>42416</v>
      </c>
      <c r="AG645" s="748">
        <v>42478</v>
      </c>
      <c r="AH645" s="417" t="s">
        <v>210</v>
      </c>
      <c r="AI645" s="392" t="s">
        <v>210</v>
      </c>
      <c r="AJ645" s="392" t="s">
        <v>210</v>
      </c>
      <c r="AK645" s="340" t="s">
        <v>210</v>
      </c>
      <c r="AL645" s="417" t="s">
        <v>210</v>
      </c>
      <c r="AM645" s="392" t="s">
        <v>210</v>
      </c>
      <c r="AN645" s="392" t="s">
        <v>210</v>
      </c>
      <c r="AO645" s="341" t="s">
        <v>210</v>
      </c>
      <c r="AP645" s="342"/>
      <c r="AQ645" s="343"/>
      <c r="AR645" s="452">
        <f>562+2694</f>
        <v>3256</v>
      </c>
      <c r="AS645" s="324">
        <v>100</v>
      </c>
      <c r="AT645" s="432">
        <v>1</v>
      </c>
      <c r="AU645" s="432"/>
      <c r="AV645" s="432">
        <v>1.5</v>
      </c>
      <c r="AW645" s="490"/>
      <c r="AX645" s="376"/>
      <c r="AY645" s="348"/>
      <c r="AZ645" s="405" t="s">
        <v>622</v>
      </c>
      <c r="BA645" s="324" t="s">
        <v>3373</v>
      </c>
      <c r="BB645" s="324" t="s">
        <v>3372</v>
      </c>
      <c r="BC645" s="324" t="s">
        <v>3374</v>
      </c>
      <c r="BD645" s="324" t="s">
        <v>3372</v>
      </c>
      <c r="BE645" s="324" t="s">
        <v>3375</v>
      </c>
      <c r="BF645" s="324" t="s">
        <v>3372</v>
      </c>
      <c r="BG645" s="324" t="s">
        <v>3374</v>
      </c>
      <c r="BH645" s="426" t="s">
        <v>3372</v>
      </c>
      <c r="BI645" s="410"/>
      <c r="BJ645" s="411"/>
      <c r="BK645" s="412"/>
      <c r="BL645" s="413"/>
      <c r="BM645" s="414"/>
      <c r="BN645" s="417" t="s">
        <v>210</v>
      </c>
      <c r="BO645" s="372"/>
      <c r="BP645" s="373" t="s">
        <v>14</v>
      </c>
      <c r="BQ645" s="360"/>
      <c r="BR645" s="361"/>
      <c r="BS645" s="361"/>
      <c r="BT645" s="361"/>
      <c r="BU645" s="342" t="s">
        <v>210</v>
      </c>
      <c r="BV645" s="342" t="s">
        <v>210</v>
      </c>
      <c r="BW645" s="341" t="s">
        <v>210</v>
      </c>
      <c r="BX645" s="361"/>
      <c r="BY645" s="457"/>
      <c r="BZ645" s="363"/>
      <c r="CA645" s="363"/>
      <c r="CB645" s="363"/>
      <c r="CC645" s="363"/>
    </row>
    <row r="646" spans="2:81" ht="22.5" customHeight="1">
      <c r="B646" s="442">
        <v>160113</v>
      </c>
      <c r="C646" s="747" t="s">
        <v>7782</v>
      </c>
      <c r="D646" s="439"/>
      <c r="E646" s="404"/>
      <c r="F646" s="405" t="s">
        <v>3436</v>
      </c>
      <c r="G646" s="324" t="s">
        <v>3437</v>
      </c>
      <c r="H646" s="324" t="s">
        <v>3438</v>
      </c>
      <c r="I646" s="326" t="s">
        <v>383</v>
      </c>
      <c r="J646" s="326" t="s">
        <v>399</v>
      </c>
      <c r="K646" s="324" t="s">
        <v>3444</v>
      </c>
      <c r="L646" s="361"/>
      <c r="M646" s="408"/>
      <c r="N646" s="325" t="s">
        <v>437</v>
      </c>
      <c r="O646" s="324">
        <v>30</v>
      </c>
      <c r="P646" s="327" t="s">
        <v>210</v>
      </c>
      <c r="Q646" s="369" t="s">
        <v>210</v>
      </c>
      <c r="R646" s="329" t="s">
        <v>1136</v>
      </c>
      <c r="S646" s="331" t="s">
        <v>13159</v>
      </c>
      <c r="T646" s="394" t="s">
        <v>11940</v>
      </c>
      <c r="U646" s="394" t="s">
        <v>16215</v>
      </c>
      <c r="V646" s="331" t="s">
        <v>13160</v>
      </c>
      <c r="W646" s="332" t="s">
        <v>1111</v>
      </c>
      <c r="X646" s="331" t="s">
        <v>11936</v>
      </c>
      <c r="Y646" s="331" t="s">
        <v>11938</v>
      </c>
      <c r="Z646" s="331" t="s">
        <v>11937</v>
      </c>
      <c r="AA646" s="331" t="s">
        <v>11939</v>
      </c>
      <c r="AB646" s="333"/>
      <c r="AC646" s="416"/>
      <c r="AD646" s="447" t="s">
        <v>3612</v>
      </c>
      <c r="AE646" s="335" t="s">
        <v>210</v>
      </c>
      <c r="AF646" s="475">
        <v>42485</v>
      </c>
      <c r="AG646" s="748">
        <v>42521</v>
      </c>
      <c r="AH646" s="417" t="s">
        <v>210</v>
      </c>
      <c r="AI646" s="392" t="s">
        <v>210</v>
      </c>
      <c r="AJ646" s="392" t="s">
        <v>210</v>
      </c>
      <c r="AK646" s="340" t="s">
        <v>210</v>
      </c>
      <c r="AL646" s="417" t="s">
        <v>210</v>
      </c>
      <c r="AM646" s="392" t="s">
        <v>210</v>
      </c>
      <c r="AN646" s="392" t="s">
        <v>210</v>
      </c>
      <c r="AO646" s="341" t="s">
        <v>210</v>
      </c>
      <c r="AP646" s="342"/>
      <c r="AQ646" s="343"/>
      <c r="AR646" s="452">
        <v>1477</v>
      </c>
      <c r="AS646" s="324">
        <v>100</v>
      </c>
      <c r="AT646" s="432">
        <v>1</v>
      </c>
      <c r="AU646" s="432"/>
      <c r="AV646" s="432">
        <v>1</v>
      </c>
      <c r="AW646" s="490"/>
      <c r="AX646" s="410"/>
      <c r="AY646" s="413"/>
      <c r="AZ646" s="405" t="s">
        <v>622</v>
      </c>
      <c r="BA646" s="324" t="s">
        <v>3440</v>
      </c>
      <c r="BB646" s="324" t="s">
        <v>3439</v>
      </c>
      <c r="BC646" s="324" t="s">
        <v>3441</v>
      </c>
      <c r="BD646" s="324" t="s">
        <v>3439</v>
      </c>
      <c r="BE646" s="324" t="s">
        <v>3442</v>
      </c>
      <c r="BF646" s="324" t="s">
        <v>3442</v>
      </c>
      <c r="BG646" s="324" t="s">
        <v>3497</v>
      </c>
      <c r="BH646" s="426" t="s">
        <v>3443</v>
      </c>
      <c r="BI646" s="410"/>
      <c r="BJ646" s="411"/>
      <c r="BK646" s="412"/>
      <c r="BL646" s="413"/>
      <c r="BM646" s="414"/>
      <c r="BN646" s="321" t="s">
        <v>14</v>
      </c>
      <c r="BO646" s="372"/>
      <c r="BP646" s="373" t="s">
        <v>14</v>
      </c>
      <c r="BQ646" s="360"/>
      <c r="BR646" s="361"/>
      <c r="BS646" s="361"/>
      <c r="BT646" s="361"/>
      <c r="BU646" s="342" t="s">
        <v>210</v>
      </c>
      <c r="BV646" s="342" t="s">
        <v>210</v>
      </c>
      <c r="BW646" s="341" t="s">
        <v>210</v>
      </c>
      <c r="BX646" s="361"/>
      <c r="BY646" s="457"/>
      <c r="BZ646" s="363"/>
      <c r="CA646" s="363"/>
      <c r="CB646" s="363"/>
      <c r="CC646" s="363"/>
    </row>
    <row r="647" spans="2:81" ht="22.5" customHeight="1">
      <c r="B647" s="442">
        <v>160118</v>
      </c>
      <c r="C647" s="747" t="s">
        <v>3386</v>
      </c>
      <c r="D647" s="439"/>
      <c r="E647" s="404"/>
      <c r="F647" s="405" t="s">
        <v>3387</v>
      </c>
      <c r="G647" s="324" t="s">
        <v>3388</v>
      </c>
      <c r="H647" s="324" t="s">
        <v>3389</v>
      </c>
      <c r="I647" s="326" t="s">
        <v>383</v>
      </c>
      <c r="J647" s="326" t="s">
        <v>399</v>
      </c>
      <c r="K647" s="326" t="s">
        <v>917</v>
      </c>
      <c r="L647" s="361"/>
      <c r="M647" s="408"/>
      <c r="N647" s="325" t="s">
        <v>437</v>
      </c>
      <c r="O647" s="324">
        <v>40</v>
      </c>
      <c r="P647" s="327" t="s">
        <v>210</v>
      </c>
      <c r="Q647" s="369" t="s">
        <v>210</v>
      </c>
      <c r="R647" s="420" t="s">
        <v>479</v>
      </c>
      <c r="S647" s="394" t="s">
        <v>13574</v>
      </c>
      <c r="T647" s="394" t="s">
        <v>13575</v>
      </c>
      <c r="U647" s="400"/>
      <c r="V647" s="394" t="s">
        <v>13576</v>
      </c>
      <c r="W647" s="460" t="s">
        <v>479</v>
      </c>
      <c r="X647" s="394" t="s">
        <v>13574</v>
      </c>
      <c r="Y647" s="394" t="s">
        <v>13575</v>
      </c>
      <c r="Z647" s="400"/>
      <c r="AA647" s="394" t="s">
        <v>13576</v>
      </c>
      <c r="AB647" s="333"/>
      <c r="AC647" s="416"/>
      <c r="AD647" s="375"/>
      <c r="AE647" s="335" t="s">
        <v>210</v>
      </c>
      <c r="AF647" s="475">
        <v>42472</v>
      </c>
      <c r="AG647" s="748">
        <v>42501</v>
      </c>
      <c r="AH647" s="417" t="s">
        <v>210</v>
      </c>
      <c r="AI647" s="392" t="s">
        <v>210</v>
      </c>
      <c r="AJ647" s="392" t="s">
        <v>210</v>
      </c>
      <c r="AK647" s="340" t="s">
        <v>210</v>
      </c>
      <c r="AL647" s="417" t="s">
        <v>210</v>
      </c>
      <c r="AM647" s="392" t="s">
        <v>210</v>
      </c>
      <c r="AN647" s="392" t="s">
        <v>210</v>
      </c>
      <c r="AO647" s="341" t="s">
        <v>210</v>
      </c>
      <c r="AP647" s="342"/>
      <c r="AQ647" s="343"/>
      <c r="AR647" s="452">
        <v>430</v>
      </c>
      <c r="AS647" s="324">
        <v>30</v>
      </c>
      <c r="AT647" s="432">
        <v>0.6</v>
      </c>
      <c r="AU647" s="432"/>
      <c r="AV647" s="432">
        <v>1</v>
      </c>
      <c r="AW647" s="490"/>
      <c r="AX647" s="410"/>
      <c r="AY647" s="413"/>
      <c r="AZ647" s="405" t="s">
        <v>622</v>
      </c>
      <c r="BA647" s="324" t="s">
        <v>3479</v>
      </c>
      <c r="BB647" s="324" t="s">
        <v>3372</v>
      </c>
      <c r="BC647" s="324" t="s">
        <v>3363</v>
      </c>
      <c r="BD647" s="324" t="s">
        <v>3372</v>
      </c>
      <c r="BE647" s="324" t="s">
        <v>210</v>
      </c>
      <c r="BF647" s="324" t="s">
        <v>210</v>
      </c>
      <c r="BG647" s="324" t="s">
        <v>3435</v>
      </c>
      <c r="BH647" s="426" t="s">
        <v>3491</v>
      </c>
      <c r="BI647" s="410"/>
      <c r="BJ647" s="427" t="s">
        <v>3484</v>
      </c>
      <c r="BK647" s="412"/>
      <c r="BL647" s="413"/>
      <c r="BM647" s="414"/>
      <c r="BN647" s="321" t="s">
        <v>14</v>
      </c>
      <c r="BO647" s="372"/>
      <c r="BP647" s="373" t="s">
        <v>14</v>
      </c>
      <c r="BQ647" s="360"/>
      <c r="BR647" s="361"/>
      <c r="BS647" s="361"/>
      <c r="BT647" s="361"/>
      <c r="BU647" s="342" t="s">
        <v>210</v>
      </c>
      <c r="BV647" s="342" t="s">
        <v>210</v>
      </c>
      <c r="BW647" s="341" t="s">
        <v>210</v>
      </c>
      <c r="BX647" s="361"/>
      <c r="BY647" s="457"/>
      <c r="BZ647" s="363"/>
      <c r="CA647" s="363"/>
      <c r="CB647" s="363"/>
      <c r="CC647" s="363"/>
    </row>
    <row r="648" spans="2:81" ht="22.5" customHeight="1">
      <c r="B648" s="442">
        <v>160120</v>
      </c>
      <c r="C648" s="747" t="s">
        <v>3415</v>
      </c>
      <c r="D648" s="439"/>
      <c r="E648" s="404"/>
      <c r="F648" s="405" t="s">
        <v>3416</v>
      </c>
      <c r="G648" s="324" t="s">
        <v>3417</v>
      </c>
      <c r="H648" s="324" t="s">
        <v>3418</v>
      </c>
      <c r="I648" s="326" t="s">
        <v>383</v>
      </c>
      <c r="J648" s="326" t="s">
        <v>399</v>
      </c>
      <c r="K648" s="326" t="s">
        <v>917</v>
      </c>
      <c r="L648" s="361"/>
      <c r="M648" s="324" t="s">
        <v>10767</v>
      </c>
      <c r="N648" s="325" t="s">
        <v>3419</v>
      </c>
      <c r="O648" s="324">
        <v>30</v>
      </c>
      <c r="P648" s="327">
        <v>3758</v>
      </c>
      <c r="Q648" s="369">
        <v>4088</v>
      </c>
      <c r="R648" s="329" t="s">
        <v>465</v>
      </c>
      <c r="S648" s="394" t="s">
        <v>11824</v>
      </c>
      <c r="T648" s="394" t="s">
        <v>11825</v>
      </c>
      <c r="U648" s="394" t="s">
        <v>16218</v>
      </c>
      <c r="V648" s="394" t="s">
        <v>11826</v>
      </c>
      <c r="W648" s="460" t="s">
        <v>4020</v>
      </c>
      <c r="X648" s="394" t="s">
        <v>11315</v>
      </c>
      <c r="Y648" s="394" t="s">
        <v>11316</v>
      </c>
      <c r="Z648" s="400"/>
      <c r="AA648" s="394" t="s">
        <v>11317</v>
      </c>
      <c r="AB648" s="333"/>
      <c r="AC648" s="416"/>
      <c r="AD648" s="447" t="s">
        <v>3583</v>
      </c>
      <c r="AE648" s="335" t="s">
        <v>210</v>
      </c>
      <c r="AF648" s="475">
        <v>42482</v>
      </c>
      <c r="AG648" s="748">
        <v>42574</v>
      </c>
      <c r="AH648" s="417" t="s">
        <v>210</v>
      </c>
      <c r="AI648" s="392" t="s">
        <v>210</v>
      </c>
      <c r="AJ648" s="392" t="s">
        <v>210</v>
      </c>
      <c r="AK648" s="340" t="s">
        <v>210</v>
      </c>
      <c r="AL648" s="417" t="s">
        <v>210</v>
      </c>
      <c r="AM648" s="392" t="s">
        <v>210</v>
      </c>
      <c r="AN648" s="392" t="s">
        <v>210</v>
      </c>
      <c r="AO648" s="341" t="s">
        <v>210</v>
      </c>
      <c r="AP648" s="342"/>
      <c r="AQ648" s="343"/>
      <c r="AR648" s="452">
        <v>4773</v>
      </c>
      <c r="AS648" s="324">
        <v>80</v>
      </c>
      <c r="AT648" s="432">
        <v>1</v>
      </c>
      <c r="AU648" s="432"/>
      <c r="AV648" s="432">
        <v>1.5</v>
      </c>
      <c r="AW648" s="490"/>
      <c r="AX648" s="410"/>
      <c r="AY648" s="413"/>
      <c r="AZ648" s="405" t="s">
        <v>3367</v>
      </c>
      <c r="BA648" s="324" t="s">
        <v>210</v>
      </c>
      <c r="BB648" s="324" t="s">
        <v>210</v>
      </c>
      <c r="BC648" s="324" t="s">
        <v>3989</v>
      </c>
      <c r="BD648" s="324" t="s">
        <v>3382</v>
      </c>
      <c r="BE648" s="324" t="s">
        <v>3990</v>
      </c>
      <c r="BF648" s="324" t="s">
        <v>3382</v>
      </c>
      <c r="BG648" s="324" t="s">
        <v>3991</v>
      </c>
      <c r="BH648" s="426" t="s">
        <v>3382</v>
      </c>
      <c r="BI648" s="410"/>
      <c r="BJ648" s="427" t="s">
        <v>210</v>
      </c>
      <c r="BK648" s="412"/>
      <c r="BL648" s="413"/>
      <c r="BM648" s="414"/>
      <c r="BN648" s="321" t="s">
        <v>14</v>
      </c>
      <c r="BO648" s="372"/>
      <c r="BP648" s="373" t="s">
        <v>14</v>
      </c>
      <c r="BQ648" s="360"/>
      <c r="BR648" s="361"/>
      <c r="BS648" s="361"/>
      <c r="BT648" s="361"/>
      <c r="BU648" s="342" t="s">
        <v>210</v>
      </c>
      <c r="BV648" s="342" t="s">
        <v>210</v>
      </c>
      <c r="BW648" s="341" t="s">
        <v>210</v>
      </c>
      <c r="BX648" s="361"/>
      <c r="BY648" s="457"/>
      <c r="BZ648" s="363"/>
      <c r="CA648" s="363"/>
      <c r="CB648" s="363"/>
      <c r="CC648" s="363"/>
    </row>
    <row r="649" spans="2:81" ht="22.5" customHeight="1">
      <c r="B649" s="442">
        <v>160121</v>
      </c>
      <c r="C649" s="747" t="s">
        <v>12967</v>
      </c>
      <c r="D649" s="439"/>
      <c r="E649" s="404"/>
      <c r="F649" s="405" t="s">
        <v>1048</v>
      </c>
      <c r="G649" s="324" t="s">
        <v>3779</v>
      </c>
      <c r="H649" s="324" t="s">
        <v>3780</v>
      </c>
      <c r="I649" s="326" t="s">
        <v>383</v>
      </c>
      <c r="J649" s="326" t="s">
        <v>387</v>
      </c>
      <c r="K649" s="326" t="s">
        <v>806</v>
      </c>
      <c r="L649" s="361"/>
      <c r="M649" s="408"/>
      <c r="N649" s="325" t="s">
        <v>438</v>
      </c>
      <c r="O649" s="324">
        <v>65</v>
      </c>
      <c r="P649" s="327" t="s">
        <v>210</v>
      </c>
      <c r="Q649" s="369" t="s">
        <v>210</v>
      </c>
      <c r="R649" s="329" t="s">
        <v>12968</v>
      </c>
      <c r="S649" s="331" t="s">
        <v>12969</v>
      </c>
      <c r="T649" s="331" t="s">
        <v>11187</v>
      </c>
      <c r="U649" s="331" t="s">
        <v>11186</v>
      </c>
      <c r="V649" s="331" t="s">
        <v>12970</v>
      </c>
      <c r="W649" s="332" t="s">
        <v>432</v>
      </c>
      <c r="X649" s="331" t="s">
        <v>11079</v>
      </c>
      <c r="Y649" s="331" t="s">
        <v>11080</v>
      </c>
      <c r="Z649" s="331" t="s">
        <v>11080</v>
      </c>
      <c r="AA649" s="331"/>
      <c r="AB649" s="416"/>
      <c r="AC649" s="416"/>
      <c r="AD649" s="447" t="s">
        <v>3764</v>
      </c>
      <c r="AE649" s="335" t="s">
        <v>966</v>
      </c>
      <c r="AF649" s="475">
        <v>42410</v>
      </c>
      <c r="AG649" s="748">
        <v>42559</v>
      </c>
      <c r="AH649" s="453">
        <v>17.3</v>
      </c>
      <c r="AI649" s="324">
        <v>28.8</v>
      </c>
      <c r="AJ649" s="432">
        <v>14.8</v>
      </c>
      <c r="AK649" s="455">
        <v>60.9</v>
      </c>
      <c r="AL649" s="417" t="s">
        <v>210</v>
      </c>
      <c r="AM649" s="392" t="s">
        <v>210</v>
      </c>
      <c r="AN649" s="392" t="s">
        <v>210</v>
      </c>
      <c r="AO649" s="341" t="s">
        <v>210</v>
      </c>
      <c r="AP649" s="342"/>
      <c r="AQ649" s="343"/>
      <c r="AR649" s="452">
        <v>4126</v>
      </c>
      <c r="AS649" s="324">
        <v>150</v>
      </c>
      <c r="AT649" s="432">
        <v>1</v>
      </c>
      <c r="AU649" s="432"/>
      <c r="AV649" s="432">
        <v>1.2</v>
      </c>
      <c r="AW649" s="490"/>
      <c r="AX649" s="410"/>
      <c r="AY649" s="413"/>
      <c r="AZ649" s="405" t="s">
        <v>3367</v>
      </c>
      <c r="BA649" s="324" t="s">
        <v>210</v>
      </c>
      <c r="BB649" s="324" t="s">
        <v>210</v>
      </c>
      <c r="BC649" s="324" t="s">
        <v>210</v>
      </c>
      <c r="BD649" s="324" t="s">
        <v>210</v>
      </c>
      <c r="BE649" s="324" t="s">
        <v>210</v>
      </c>
      <c r="BF649" s="324" t="s">
        <v>210</v>
      </c>
      <c r="BG649" s="324" t="s">
        <v>3781</v>
      </c>
      <c r="BH649" s="426" t="s">
        <v>3782</v>
      </c>
      <c r="BI649" s="410"/>
      <c r="BJ649" s="427" t="s">
        <v>210</v>
      </c>
      <c r="BK649" s="412"/>
      <c r="BL649" s="413"/>
      <c r="BM649" s="414"/>
      <c r="BN649" s="417" t="s">
        <v>210</v>
      </c>
      <c r="BO649" s="372"/>
      <c r="BP649" s="340" t="s">
        <v>210</v>
      </c>
      <c r="BQ649" s="360"/>
      <c r="BR649" s="361"/>
      <c r="BS649" s="361"/>
      <c r="BT649" s="361"/>
      <c r="BU649" s="342" t="s">
        <v>210</v>
      </c>
      <c r="BV649" s="342" t="s">
        <v>210</v>
      </c>
      <c r="BW649" s="341" t="s">
        <v>210</v>
      </c>
      <c r="BX649" s="361"/>
      <c r="BY649" s="457"/>
      <c r="BZ649" s="363"/>
      <c r="CA649" s="363"/>
      <c r="CB649" s="363"/>
      <c r="CC649" s="363"/>
    </row>
    <row r="650" spans="2:81" ht="22.5" customHeight="1">
      <c r="B650" s="442">
        <v>160123</v>
      </c>
      <c r="C650" s="747" t="s">
        <v>3256</v>
      </c>
      <c r="D650" s="439"/>
      <c r="E650" s="404"/>
      <c r="F650" s="405" t="s">
        <v>266</v>
      </c>
      <c r="G650" s="324" t="s">
        <v>3257</v>
      </c>
      <c r="H650" s="324" t="s">
        <v>3258</v>
      </c>
      <c r="I650" s="326" t="s">
        <v>383</v>
      </c>
      <c r="J650" s="326" t="s">
        <v>399</v>
      </c>
      <c r="K650" s="324" t="s">
        <v>6552</v>
      </c>
      <c r="L650" s="361"/>
      <c r="M650" s="408"/>
      <c r="N650" s="325" t="s">
        <v>438</v>
      </c>
      <c r="O650" s="324">
        <v>30</v>
      </c>
      <c r="P650" s="458">
        <v>968.14</v>
      </c>
      <c r="Q650" s="459">
        <v>991.18</v>
      </c>
      <c r="R650" s="420" t="s">
        <v>4017</v>
      </c>
      <c r="S650" s="394" t="s">
        <v>13127</v>
      </c>
      <c r="T650" s="394" t="s">
        <v>13129</v>
      </c>
      <c r="U650" s="394" t="s">
        <v>13128</v>
      </c>
      <c r="V650" s="394" t="s">
        <v>13130</v>
      </c>
      <c r="W650" s="332" t="s">
        <v>674</v>
      </c>
      <c r="X650" s="394" t="s">
        <v>13123</v>
      </c>
      <c r="Y650" s="394" t="s">
        <v>13126</v>
      </c>
      <c r="Z650" s="394" t="s">
        <v>13125</v>
      </c>
      <c r="AA650" s="394" t="s">
        <v>13124</v>
      </c>
      <c r="AB650" s="416"/>
      <c r="AC650" s="416"/>
      <c r="AD650" s="447" t="s">
        <v>3514</v>
      </c>
      <c r="AE650" s="815"/>
      <c r="AF650" s="475">
        <v>42443</v>
      </c>
      <c r="AG650" s="748">
        <v>42506</v>
      </c>
      <c r="AH650" s="417" t="s">
        <v>210</v>
      </c>
      <c r="AI650" s="392" t="s">
        <v>210</v>
      </c>
      <c r="AJ650" s="392" t="s">
        <v>210</v>
      </c>
      <c r="AK650" s="340" t="s">
        <v>210</v>
      </c>
      <c r="AL650" s="417" t="s">
        <v>210</v>
      </c>
      <c r="AM650" s="392" t="s">
        <v>210</v>
      </c>
      <c r="AN650" s="392" t="s">
        <v>210</v>
      </c>
      <c r="AO650" s="341" t="s">
        <v>210</v>
      </c>
      <c r="AP650" s="342"/>
      <c r="AQ650" s="343"/>
      <c r="AR650" s="452">
        <v>1177</v>
      </c>
      <c r="AS650" s="324">
        <v>120</v>
      </c>
      <c r="AT650" s="432">
        <v>1</v>
      </c>
      <c r="AU650" s="432"/>
      <c r="AV650" s="432">
        <v>1.6</v>
      </c>
      <c r="AW650" s="490"/>
      <c r="AX650" s="410"/>
      <c r="AY650" s="413"/>
      <c r="AZ650" s="405" t="s">
        <v>622</v>
      </c>
      <c r="BA650" s="324" t="s">
        <v>3486</v>
      </c>
      <c r="BB650" s="324" t="s">
        <v>3372</v>
      </c>
      <c r="BC650" s="324" t="s">
        <v>3490</v>
      </c>
      <c r="BD650" s="324" t="s">
        <v>3372</v>
      </c>
      <c r="BE650" s="324" t="s">
        <v>3479</v>
      </c>
      <c r="BF650" s="324" t="s">
        <v>3372</v>
      </c>
      <c r="BG650" s="324" t="s">
        <v>210</v>
      </c>
      <c r="BH650" s="426" t="s">
        <v>210</v>
      </c>
      <c r="BI650" s="410"/>
      <c r="BJ650" s="427" t="s">
        <v>3484</v>
      </c>
      <c r="BK650" s="412"/>
      <c r="BL650" s="413"/>
      <c r="BM650" s="414"/>
      <c r="BN650" s="321" t="s">
        <v>14</v>
      </c>
      <c r="BO650" s="372"/>
      <c r="BP650" s="373" t="s">
        <v>14</v>
      </c>
      <c r="BQ650" s="360"/>
      <c r="BR650" s="361"/>
      <c r="BS650" s="361"/>
      <c r="BT650" s="361"/>
      <c r="BU650" s="342" t="s">
        <v>210</v>
      </c>
      <c r="BV650" s="342" t="s">
        <v>210</v>
      </c>
      <c r="BW650" s="341" t="s">
        <v>210</v>
      </c>
      <c r="BX650" s="361"/>
      <c r="BY650" s="457"/>
      <c r="BZ650" s="363"/>
      <c r="CA650" s="363"/>
      <c r="CB650" s="363"/>
      <c r="CC650" s="363"/>
    </row>
    <row r="651" spans="2:81" ht="22.5" customHeight="1">
      <c r="B651" s="442">
        <v>160124</v>
      </c>
      <c r="C651" s="747" t="s">
        <v>3345</v>
      </c>
      <c r="D651" s="439"/>
      <c r="E651" s="404"/>
      <c r="F651" s="405" t="s">
        <v>304</v>
      </c>
      <c r="G651" s="324" t="s">
        <v>1904</v>
      </c>
      <c r="H651" s="324" t="s">
        <v>3197</v>
      </c>
      <c r="I651" s="326" t="s">
        <v>383</v>
      </c>
      <c r="J651" s="326" t="s">
        <v>399</v>
      </c>
      <c r="K651" s="326" t="s">
        <v>917</v>
      </c>
      <c r="L651" s="323"/>
      <c r="M651" s="408"/>
      <c r="N651" s="325" t="s">
        <v>3771</v>
      </c>
      <c r="O651" s="324">
        <v>40</v>
      </c>
      <c r="P651" s="327" t="s">
        <v>210</v>
      </c>
      <c r="Q651" s="369" t="s">
        <v>210</v>
      </c>
      <c r="R651" s="329" t="s">
        <v>442</v>
      </c>
      <c r="S651" s="394" t="s">
        <v>12566</v>
      </c>
      <c r="T651" s="394" t="s">
        <v>12567</v>
      </c>
      <c r="U651" s="394" t="s">
        <v>16336</v>
      </c>
      <c r="V651" s="394" t="s">
        <v>12568</v>
      </c>
      <c r="W651" s="460" t="s">
        <v>4387</v>
      </c>
      <c r="X651" s="400"/>
      <c r="Y651" s="400"/>
      <c r="Z651" s="400"/>
      <c r="AA651" s="400"/>
      <c r="AB651" s="416" t="s">
        <v>4320</v>
      </c>
      <c r="AC651" s="416"/>
      <c r="AD651" s="334" t="s">
        <v>2326</v>
      </c>
      <c r="AE651" s="335" t="s">
        <v>210</v>
      </c>
      <c r="AF651" s="475">
        <v>42475</v>
      </c>
      <c r="AG651" s="748">
        <v>42545</v>
      </c>
      <c r="AH651" s="417" t="s">
        <v>210</v>
      </c>
      <c r="AI651" s="392" t="s">
        <v>210</v>
      </c>
      <c r="AJ651" s="392" t="s">
        <v>210</v>
      </c>
      <c r="AK651" s="340" t="s">
        <v>210</v>
      </c>
      <c r="AL651" s="417" t="s">
        <v>210</v>
      </c>
      <c r="AM651" s="392" t="s">
        <v>210</v>
      </c>
      <c r="AN651" s="392" t="s">
        <v>210</v>
      </c>
      <c r="AO651" s="341" t="s">
        <v>210</v>
      </c>
      <c r="AP651" s="342"/>
      <c r="AQ651" s="343"/>
      <c r="AR651" s="452">
        <v>4234</v>
      </c>
      <c r="AS651" s="324">
        <v>80</v>
      </c>
      <c r="AT651" s="432">
        <v>1</v>
      </c>
      <c r="AU651" s="432"/>
      <c r="AV651" s="432">
        <v>1.5</v>
      </c>
      <c r="AW651" s="490"/>
      <c r="AX651" s="376"/>
      <c r="AY651" s="348"/>
      <c r="AZ651" s="405" t="s">
        <v>622</v>
      </c>
      <c r="BA651" s="324" t="s">
        <v>3769</v>
      </c>
      <c r="BB651" s="324" t="s">
        <v>3492</v>
      </c>
      <c r="BC651" s="324" t="s">
        <v>3770</v>
      </c>
      <c r="BD651" s="324" t="s">
        <v>3556</v>
      </c>
      <c r="BE651" s="324" t="s">
        <v>3761</v>
      </c>
      <c r="BF651" s="324" t="s">
        <v>3574</v>
      </c>
      <c r="BG651" s="324" t="s">
        <v>3766</v>
      </c>
      <c r="BH651" s="426" t="s">
        <v>3494</v>
      </c>
      <c r="BI651" s="410"/>
      <c r="BJ651" s="427" t="s">
        <v>9793</v>
      </c>
      <c r="BK651" s="412"/>
      <c r="BL651" s="413"/>
      <c r="BM651" s="414"/>
      <c r="BN651" s="321" t="s">
        <v>14</v>
      </c>
      <c r="BO651" s="372"/>
      <c r="BP651" s="373" t="s">
        <v>14</v>
      </c>
      <c r="BQ651" s="360"/>
      <c r="BR651" s="361"/>
      <c r="BS651" s="361"/>
      <c r="BT651" s="361"/>
      <c r="BU651" s="342" t="s">
        <v>210</v>
      </c>
      <c r="BV651" s="342" t="s">
        <v>210</v>
      </c>
      <c r="BW651" s="341" t="s">
        <v>210</v>
      </c>
      <c r="BX651" s="361"/>
      <c r="BY651" s="457"/>
      <c r="BZ651" s="363"/>
      <c r="CA651" s="363"/>
      <c r="CB651" s="363"/>
      <c r="CC651" s="363"/>
    </row>
    <row r="652" spans="2:81" ht="22.5" customHeight="1">
      <c r="B652" s="442">
        <v>160136</v>
      </c>
      <c r="C652" s="747" t="s">
        <v>3250</v>
      </c>
      <c r="D652" s="439"/>
      <c r="E652" s="404"/>
      <c r="F652" s="405" t="s">
        <v>1509</v>
      </c>
      <c r="G652" s="324" t="s">
        <v>3251</v>
      </c>
      <c r="H652" s="324" t="s">
        <v>3252</v>
      </c>
      <c r="I652" s="326" t="s">
        <v>383</v>
      </c>
      <c r="J652" s="326" t="s">
        <v>399</v>
      </c>
      <c r="K652" s="326" t="s">
        <v>917</v>
      </c>
      <c r="L652" s="361"/>
      <c r="M652" s="324" t="s">
        <v>10767</v>
      </c>
      <c r="N652" s="325" t="s">
        <v>437</v>
      </c>
      <c r="O652" s="324">
        <v>100</v>
      </c>
      <c r="P652" s="327" t="s">
        <v>210</v>
      </c>
      <c r="Q652" s="369" t="s">
        <v>210</v>
      </c>
      <c r="R652" s="420" t="s">
        <v>3171</v>
      </c>
      <c r="S652" s="400"/>
      <c r="T652" s="400"/>
      <c r="U652" s="400"/>
      <c r="V652" s="400"/>
      <c r="W652" s="460" t="s">
        <v>3084</v>
      </c>
      <c r="X652" s="394" t="s">
        <v>12542</v>
      </c>
      <c r="Y652" s="394" t="s">
        <v>11693</v>
      </c>
      <c r="Z652" s="394" t="s">
        <v>16340</v>
      </c>
      <c r="AA652" s="394" t="s">
        <v>11692</v>
      </c>
      <c r="AB652" s="416"/>
      <c r="AC652" s="416"/>
      <c r="AD652" s="375"/>
      <c r="AE652" s="335" t="s">
        <v>3353</v>
      </c>
      <c r="AF652" s="475">
        <v>42437</v>
      </c>
      <c r="AG652" s="748">
        <v>42460</v>
      </c>
      <c r="AH652" s="417" t="s">
        <v>210</v>
      </c>
      <c r="AI652" s="392" t="s">
        <v>210</v>
      </c>
      <c r="AJ652" s="392" t="s">
        <v>210</v>
      </c>
      <c r="AK652" s="340" t="s">
        <v>210</v>
      </c>
      <c r="AL652" s="417" t="s">
        <v>210</v>
      </c>
      <c r="AM652" s="392" t="s">
        <v>210</v>
      </c>
      <c r="AN652" s="392" t="s">
        <v>210</v>
      </c>
      <c r="AO652" s="341" t="s">
        <v>210</v>
      </c>
      <c r="AP652" s="342"/>
      <c r="AQ652" s="343"/>
      <c r="AR652" s="452">
        <v>1460</v>
      </c>
      <c r="AS652" s="324">
        <v>100</v>
      </c>
      <c r="AT652" s="432">
        <v>1</v>
      </c>
      <c r="AU652" s="432"/>
      <c r="AV652" s="432">
        <v>2</v>
      </c>
      <c r="AW652" s="490"/>
      <c r="AX652" s="410"/>
      <c r="AY652" s="413"/>
      <c r="AZ652" s="405" t="s">
        <v>622</v>
      </c>
      <c r="BA652" s="324" t="s">
        <v>3486</v>
      </c>
      <c r="BB652" s="324" t="s">
        <v>3487</v>
      </c>
      <c r="BC652" s="324" t="s">
        <v>3488</v>
      </c>
      <c r="BD652" s="324" t="s">
        <v>3487</v>
      </c>
      <c r="BE652" s="324" t="s">
        <v>3489</v>
      </c>
      <c r="BF652" s="324" t="s">
        <v>3474</v>
      </c>
      <c r="BG652" s="324" t="s">
        <v>210</v>
      </c>
      <c r="BH652" s="426" t="s">
        <v>210</v>
      </c>
      <c r="BI652" s="410"/>
      <c r="BJ652" s="427" t="s">
        <v>3484</v>
      </c>
      <c r="BK652" s="412"/>
      <c r="BL652" s="413"/>
      <c r="BM652" s="414"/>
      <c r="BN652" s="417" t="s">
        <v>210</v>
      </c>
      <c r="BO652" s="372"/>
      <c r="BP652" s="373" t="s">
        <v>14</v>
      </c>
      <c r="BQ652" s="360"/>
      <c r="BR652" s="361"/>
      <c r="BS652" s="361"/>
      <c r="BT652" s="361"/>
      <c r="BU652" s="342" t="s">
        <v>210</v>
      </c>
      <c r="BV652" s="342" t="s">
        <v>210</v>
      </c>
      <c r="BW652" s="341" t="s">
        <v>210</v>
      </c>
      <c r="BX652" s="361"/>
      <c r="BY652" s="457"/>
      <c r="BZ652" s="363"/>
      <c r="CA652" s="363"/>
      <c r="CB652" s="363"/>
      <c r="CC652" s="363"/>
    </row>
    <row r="653" spans="2:81" ht="22.5" customHeight="1">
      <c r="B653" s="442">
        <v>160154</v>
      </c>
      <c r="C653" s="747" t="s">
        <v>3237</v>
      </c>
      <c r="D653" s="439"/>
      <c r="E653" s="404"/>
      <c r="F653" s="405" t="s">
        <v>3238</v>
      </c>
      <c r="G653" s="324" t="s">
        <v>3239</v>
      </c>
      <c r="H653" s="324" t="s">
        <v>3240</v>
      </c>
      <c r="I653" s="326" t="s">
        <v>383</v>
      </c>
      <c r="J653" s="326" t="s">
        <v>399</v>
      </c>
      <c r="K653" s="326" t="s">
        <v>247</v>
      </c>
      <c r="L653" s="361"/>
      <c r="M653" s="408"/>
      <c r="N653" s="325" t="s">
        <v>437</v>
      </c>
      <c r="O653" s="324">
        <v>30</v>
      </c>
      <c r="P653" s="458">
        <v>258</v>
      </c>
      <c r="Q653" s="459">
        <v>304</v>
      </c>
      <c r="R653" s="420" t="s">
        <v>3241</v>
      </c>
      <c r="S653" s="400"/>
      <c r="T653" s="400"/>
      <c r="U653" s="400"/>
      <c r="V653" s="400"/>
      <c r="W653" s="332" t="s">
        <v>1095</v>
      </c>
      <c r="X653" s="394" t="s">
        <v>13121</v>
      </c>
      <c r="Y653" s="394" t="s">
        <v>11852</v>
      </c>
      <c r="Z653" s="394" t="s">
        <v>16280</v>
      </c>
      <c r="AA653" s="394" t="s">
        <v>13122</v>
      </c>
      <c r="AB653" s="416"/>
      <c r="AC653" s="416"/>
      <c r="AD653" s="447" t="s">
        <v>8770</v>
      </c>
      <c r="AE653" s="335" t="s">
        <v>3353</v>
      </c>
      <c r="AF653" s="475">
        <v>42430</v>
      </c>
      <c r="AG653" s="748">
        <v>42472</v>
      </c>
      <c r="AH653" s="417" t="s">
        <v>210</v>
      </c>
      <c r="AI653" s="392" t="s">
        <v>210</v>
      </c>
      <c r="AJ653" s="392" t="s">
        <v>210</v>
      </c>
      <c r="AK653" s="340" t="s">
        <v>210</v>
      </c>
      <c r="AL653" s="417" t="s">
        <v>210</v>
      </c>
      <c r="AM653" s="392" t="s">
        <v>210</v>
      </c>
      <c r="AN653" s="392" t="s">
        <v>210</v>
      </c>
      <c r="AO653" s="341" t="s">
        <v>210</v>
      </c>
      <c r="AP653" s="342"/>
      <c r="AQ653" s="343"/>
      <c r="AR653" s="452">
        <v>350</v>
      </c>
      <c r="AS653" s="324">
        <v>120</v>
      </c>
      <c r="AT653" s="432">
        <v>1.2</v>
      </c>
      <c r="AU653" s="432"/>
      <c r="AV653" s="432">
        <v>1</v>
      </c>
      <c r="AW653" s="490"/>
      <c r="AX653" s="410"/>
      <c r="AY653" s="413"/>
      <c r="AZ653" s="405" t="s">
        <v>3367</v>
      </c>
      <c r="BA653" s="324" t="s">
        <v>3368</v>
      </c>
      <c r="BB653" s="324" t="s">
        <v>3368</v>
      </c>
      <c r="BC653" s="324" t="s">
        <v>3485</v>
      </c>
      <c r="BD653" s="324" t="s">
        <v>3443</v>
      </c>
      <c r="BE653" s="324" t="s">
        <v>210</v>
      </c>
      <c r="BF653" s="324" t="s">
        <v>210</v>
      </c>
      <c r="BG653" s="324" t="s">
        <v>3480</v>
      </c>
      <c r="BH653" s="426" t="s">
        <v>3443</v>
      </c>
      <c r="BI653" s="410"/>
      <c r="BJ653" s="427" t="s">
        <v>3484</v>
      </c>
      <c r="BK653" s="412"/>
      <c r="BL653" s="413"/>
      <c r="BM653" s="414"/>
      <c r="BN653" s="321" t="s">
        <v>14</v>
      </c>
      <c r="BO653" s="372"/>
      <c r="BP653" s="340" t="s">
        <v>210</v>
      </c>
      <c r="BQ653" s="360"/>
      <c r="BR653" s="361"/>
      <c r="BS653" s="361"/>
      <c r="BT653" s="361"/>
      <c r="BU653" s="342" t="s">
        <v>210</v>
      </c>
      <c r="BV653" s="342" t="s">
        <v>210</v>
      </c>
      <c r="BW653" s="341" t="s">
        <v>210</v>
      </c>
      <c r="BX653" s="361"/>
      <c r="BY653" s="457"/>
      <c r="BZ653" s="363"/>
      <c r="CA653" s="363"/>
      <c r="CB653" s="363"/>
      <c r="CC653" s="363"/>
    </row>
    <row r="654" spans="2:81" ht="22.5" customHeight="1">
      <c r="B654" s="442">
        <v>160155</v>
      </c>
      <c r="C654" s="747" t="s">
        <v>8847</v>
      </c>
      <c r="D654" s="439"/>
      <c r="E654" s="404"/>
      <c r="F654" s="405" t="s">
        <v>3243</v>
      </c>
      <c r="G654" s="324" t="s">
        <v>3244</v>
      </c>
      <c r="H654" s="324" t="s">
        <v>3245</v>
      </c>
      <c r="I654" s="326" t="s">
        <v>383</v>
      </c>
      <c r="J654" s="326" t="s">
        <v>399</v>
      </c>
      <c r="K654" s="326" t="s">
        <v>917</v>
      </c>
      <c r="L654" s="323"/>
      <c r="M654" s="324" t="s">
        <v>10767</v>
      </c>
      <c r="N654" s="325" t="s">
        <v>437</v>
      </c>
      <c r="O654" s="324">
        <v>45</v>
      </c>
      <c r="P654" s="458">
        <v>1197.8</v>
      </c>
      <c r="Q654" s="459">
        <v>1205.5999999999999</v>
      </c>
      <c r="R654" s="329" t="s">
        <v>469</v>
      </c>
      <c r="S654" s="394" t="s">
        <v>11204</v>
      </c>
      <c r="T654" s="394" t="s">
        <v>11205</v>
      </c>
      <c r="U654" s="394" t="s">
        <v>11207</v>
      </c>
      <c r="V654" s="394" t="s">
        <v>11206</v>
      </c>
      <c r="W654" s="332" t="s">
        <v>432</v>
      </c>
      <c r="X654" s="331" t="s">
        <v>11079</v>
      </c>
      <c r="Y654" s="331" t="s">
        <v>11080</v>
      </c>
      <c r="Z654" s="331" t="s">
        <v>11080</v>
      </c>
      <c r="AA654" s="331" t="s">
        <v>210</v>
      </c>
      <c r="AB654" s="416"/>
      <c r="AC654" s="416"/>
      <c r="AD654" s="334" t="s">
        <v>2325</v>
      </c>
      <c r="AE654" s="335" t="s">
        <v>210</v>
      </c>
      <c r="AF654" s="475">
        <v>42431</v>
      </c>
      <c r="AG654" s="748">
        <v>42481</v>
      </c>
      <c r="AH654" s="453">
        <v>7.8</v>
      </c>
      <c r="AI654" s="324">
        <v>18.899999999999999</v>
      </c>
      <c r="AJ654" s="432">
        <v>10.7</v>
      </c>
      <c r="AK654" s="455">
        <f>SUBTOTAL(9,AH654:AJ654)</f>
        <v>37.4</v>
      </c>
      <c r="AL654" s="417" t="s">
        <v>210</v>
      </c>
      <c r="AM654" s="392" t="s">
        <v>210</v>
      </c>
      <c r="AN654" s="392" t="s">
        <v>210</v>
      </c>
      <c r="AO654" s="341" t="s">
        <v>210</v>
      </c>
      <c r="AP654" s="342"/>
      <c r="AQ654" s="343"/>
      <c r="AR654" s="452">
        <v>1471</v>
      </c>
      <c r="AS654" s="324">
        <v>100</v>
      </c>
      <c r="AT654" s="432">
        <v>0.8</v>
      </c>
      <c r="AU654" s="432"/>
      <c r="AV654" s="432">
        <v>1.4</v>
      </c>
      <c r="AW654" s="490"/>
      <c r="AX654" s="376"/>
      <c r="AY654" s="348"/>
      <c r="AZ654" s="405" t="s">
        <v>3367</v>
      </c>
      <c r="BA654" s="324" t="s">
        <v>210</v>
      </c>
      <c r="BB654" s="324" t="s">
        <v>210</v>
      </c>
      <c r="BC654" s="324" t="s">
        <v>3459</v>
      </c>
      <c r="BD654" s="324" t="s">
        <v>3372</v>
      </c>
      <c r="BE654" s="324" t="s">
        <v>3558</v>
      </c>
      <c r="BF654" s="324" t="s">
        <v>3372</v>
      </c>
      <c r="BG654" s="324" t="s">
        <v>3555</v>
      </c>
      <c r="BH654" s="426" t="s">
        <v>3372</v>
      </c>
      <c r="BI654" s="410"/>
      <c r="BJ654" s="427" t="s">
        <v>210</v>
      </c>
      <c r="BK654" s="412"/>
      <c r="BL654" s="413"/>
      <c r="BM654" s="414"/>
      <c r="BN654" s="321" t="s">
        <v>14</v>
      </c>
      <c r="BO654" s="372"/>
      <c r="BP654" s="340" t="s">
        <v>210</v>
      </c>
      <c r="BQ654" s="360"/>
      <c r="BR654" s="361"/>
      <c r="BS654" s="361"/>
      <c r="BT654" s="361"/>
      <c r="BU654" s="342" t="s">
        <v>210</v>
      </c>
      <c r="BV654" s="342" t="s">
        <v>210</v>
      </c>
      <c r="BW654" s="341" t="s">
        <v>210</v>
      </c>
      <c r="BX654" s="361"/>
      <c r="BY654" s="457"/>
      <c r="BZ654" s="363"/>
      <c r="CA654" s="363"/>
      <c r="CB654" s="363"/>
      <c r="CC654" s="363"/>
    </row>
    <row r="655" spans="2:81" ht="22.5" customHeight="1">
      <c r="B655" s="442">
        <v>160156</v>
      </c>
      <c r="C655" s="747" t="s">
        <v>3286</v>
      </c>
      <c r="D655" s="439"/>
      <c r="E655" s="404"/>
      <c r="F655" s="405" t="s">
        <v>3289</v>
      </c>
      <c r="G655" s="324" t="s">
        <v>3290</v>
      </c>
      <c r="H655" s="324" t="s">
        <v>3291</v>
      </c>
      <c r="I655" s="326" t="s">
        <v>383</v>
      </c>
      <c r="J655" s="326" t="s">
        <v>399</v>
      </c>
      <c r="K655" s="326" t="s">
        <v>917</v>
      </c>
      <c r="L655" s="432" t="s">
        <v>210</v>
      </c>
      <c r="M655" s="324" t="s">
        <v>10767</v>
      </c>
      <c r="N655" s="325" t="s">
        <v>438</v>
      </c>
      <c r="O655" s="324">
        <v>200</v>
      </c>
      <c r="P655" s="327" t="s">
        <v>210</v>
      </c>
      <c r="Q655" s="369" t="s">
        <v>210</v>
      </c>
      <c r="R655" s="329" t="s">
        <v>486</v>
      </c>
      <c r="S655" s="331" t="s">
        <v>11299</v>
      </c>
      <c r="T655" s="331" t="s">
        <v>11301</v>
      </c>
      <c r="U655" s="331" t="s">
        <v>11300</v>
      </c>
      <c r="V655" s="331" t="s">
        <v>11302</v>
      </c>
      <c r="W655" s="332" t="s">
        <v>432</v>
      </c>
      <c r="X655" s="331" t="s">
        <v>11079</v>
      </c>
      <c r="Y655" s="331" t="s">
        <v>11080</v>
      </c>
      <c r="Z655" s="331" t="s">
        <v>11080</v>
      </c>
      <c r="AA655" s="331" t="s">
        <v>210</v>
      </c>
      <c r="AB655" s="416"/>
      <c r="AC655" s="416"/>
      <c r="AD655" s="334" t="s">
        <v>2322</v>
      </c>
      <c r="AE655" s="499" t="s">
        <v>3603</v>
      </c>
      <c r="AF655" s="475">
        <v>42455</v>
      </c>
      <c r="AG655" s="748">
        <v>42545</v>
      </c>
      <c r="AH655" s="453">
        <v>16.600000000000001</v>
      </c>
      <c r="AI655" s="324">
        <v>38.4</v>
      </c>
      <c r="AJ655" s="432">
        <v>30.8</v>
      </c>
      <c r="AK655" s="455">
        <f>SUBTOTAL(9,AH655:AJ655)</f>
        <v>85.8</v>
      </c>
      <c r="AL655" s="417" t="s">
        <v>210</v>
      </c>
      <c r="AM655" s="392" t="s">
        <v>210</v>
      </c>
      <c r="AN655" s="392" t="s">
        <v>210</v>
      </c>
      <c r="AO655" s="341" t="s">
        <v>210</v>
      </c>
      <c r="AP655" s="342"/>
      <c r="AQ655" s="433" t="s">
        <v>4547</v>
      </c>
      <c r="AR655" s="452">
        <v>3207</v>
      </c>
      <c r="AS655" s="324">
        <v>120</v>
      </c>
      <c r="AT655" s="432">
        <v>0.8</v>
      </c>
      <c r="AU655" s="432"/>
      <c r="AV655" s="392">
        <v>1.2</v>
      </c>
      <c r="AW655" s="341"/>
      <c r="AX655" s="453" t="s">
        <v>210</v>
      </c>
      <c r="AY655" s="429" t="s">
        <v>622</v>
      </c>
      <c r="AZ655" s="405" t="s">
        <v>3367</v>
      </c>
      <c r="BA655" s="324" t="s">
        <v>210</v>
      </c>
      <c r="BB655" s="324" t="s">
        <v>210</v>
      </c>
      <c r="BC655" s="324" t="s">
        <v>3459</v>
      </c>
      <c r="BD655" s="324" t="s">
        <v>3749</v>
      </c>
      <c r="BE655" s="324" t="s">
        <v>3476</v>
      </c>
      <c r="BF655" s="324" t="s">
        <v>3372</v>
      </c>
      <c r="BG655" s="324" t="s">
        <v>3475</v>
      </c>
      <c r="BH655" s="426" t="s">
        <v>3372</v>
      </c>
      <c r="BI655" s="376"/>
      <c r="BJ655" s="431" t="s">
        <v>210</v>
      </c>
      <c r="BK655" s="412"/>
      <c r="BL655" s="413"/>
      <c r="BM655" s="414"/>
      <c r="BN655" s="321" t="s">
        <v>14</v>
      </c>
      <c r="BO655" s="372"/>
      <c r="BP655" s="373" t="s">
        <v>14</v>
      </c>
      <c r="BQ655" s="360"/>
      <c r="BR655" s="361"/>
      <c r="BS655" s="361"/>
      <c r="BT655" s="361"/>
      <c r="BU655" s="342" t="s">
        <v>210</v>
      </c>
      <c r="BV655" s="342" t="s">
        <v>210</v>
      </c>
      <c r="BW655" s="341" t="s">
        <v>210</v>
      </c>
      <c r="BX655" s="361"/>
      <c r="BY655" s="457"/>
      <c r="BZ655" s="363"/>
      <c r="CA655" s="363"/>
      <c r="CB655" s="363"/>
      <c r="CC655" s="363"/>
    </row>
    <row r="656" spans="2:81" ht="22.5" customHeight="1">
      <c r="B656" s="442">
        <v>160157</v>
      </c>
      <c r="C656" s="747" t="s">
        <v>3226</v>
      </c>
      <c r="D656" s="439"/>
      <c r="E656" s="404"/>
      <c r="F656" s="405" t="s">
        <v>1058</v>
      </c>
      <c r="G656" s="324" t="s">
        <v>3224</v>
      </c>
      <c r="H656" s="324" t="s">
        <v>3225</v>
      </c>
      <c r="I656" s="326" t="s">
        <v>383</v>
      </c>
      <c r="J656" s="326" t="s">
        <v>387</v>
      </c>
      <c r="K656" s="326" t="s">
        <v>247</v>
      </c>
      <c r="L656" s="361"/>
      <c r="M656" s="408"/>
      <c r="N656" s="325" t="s">
        <v>438</v>
      </c>
      <c r="O656" s="324">
        <v>30</v>
      </c>
      <c r="P656" s="458">
        <v>16790</v>
      </c>
      <c r="Q656" s="459">
        <v>14300</v>
      </c>
      <c r="R656" s="420" t="s">
        <v>465</v>
      </c>
      <c r="S656" s="394" t="s">
        <v>13116</v>
      </c>
      <c r="T656" s="394" t="s">
        <v>11825</v>
      </c>
      <c r="U656" s="394" t="s">
        <v>16218</v>
      </c>
      <c r="V656" s="394" t="s">
        <v>11826</v>
      </c>
      <c r="W656" s="460" t="s">
        <v>3227</v>
      </c>
      <c r="X656" s="394" t="s">
        <v>13117</v>
      </c>
      <c r="Y656" s="394" t="s">
        <v>13119</v>
      </c>
      <c r="Z656" s="394" t="s">
        <v>13118</v>
      </c>
      <c r="AA656" s="394" t="s">
        <v>13120</v>
      </c>
      <c r="AB656" s="416"/>
      <c r="AC656" s="416"/>
      <c r="AD656" s="447" t="s">
        <v>337</v>
      </c>
      <c r="AE656" s="499" t="s">
        <v>1720</v>
      </c>
      <c r="AF656" s="475">
        <v>42426</v>
      </c>
      <c r="AG656" s="748">
        <v>42608</v>
      </c>
      <c r="AH656" s="417" t="s">
        <v>210</v>
      </c>
      <c r="AI656" s="392" t="s">
        <v>210</v>
      </c>
      <c r="AJ656" s="392" t="s">
        <v>210</v>
      </c>
      <c r="AK656" s="340" t="s">
        <v>210</v>
      </c>
      <c r="AL656" s="417" t="s">
        <v>210</v>
      </c>
      <c r="AM656" s="392" t="s">
        <v>210</v>
      </c>
      <c r="AN656" s="392" t="s">
        <v>210</v>
      </c>
      <c r="AO656" s="341" t="s">
        <v>210</v>
      </c>
      <c r="AP656" s="342"/>
      <c r="AQ656" s="343"/>
      <c r="AR656" s="452">
        <v>16768</v>
      </c>
      <c r="AS656" s="324">
        <v>100</v>
      </c>
      <c r="AT656" s="432">
        <v>1</v>
      </c>
      <c r="AU656" s="432"/>
      <c r="AV656" s="432">
        <v>1.5</v>
      </c>
      <c r="AW656" s="490"/>
      <c r="AX656" s="410"/>
      <c r="AY656" s="413"/>
      <c r="AZ656" s="405" t="s">
        <v>3367</v>
      </c>
      <c r="BA656" s="324" t="s">
        <v>210</v>
      </c>
      <c r="BB656" s="324" t="s">
        <v>210</v>
      </c>
      <c r="BC656" s="324" t="s">
        <v>210</v>
      </c>
      <c r="BD656" s="324" t="s">
        <v>210</v>
      </c>
      <c r="BE656" s="324" t="s">
        <v>210</v>
      </c>
      <c r="BF656" s="324" t="s">
        <v>210</v>
      </c>
      <c r="BG656" s="324" t="s">
        <v>210</v>
      </c>
      <c r="BH656" s="426" t="s">
        <v>210</v>
      </c>
      <c r="BI656" s="410"/>
      <c r="BJ656" s="427" t="s">
        <v>3484</v>
      </c>
      <c r="BK656" s="412"/>
      <c r="BL656" s="413"/>
      <c r="BM656" s="414"/>
      <c r="BN656" s="417" t="s">
        <v>210</v>
      </c>
      <c r="BO656" s="372"/>
      <c r="BP656" s="340" t="s">
        <v>210</v>
      </c>
      <c r="BQ656" s="360"/>
      <c r="BR656" s="361"/>
      <c r="BS656" s="361"/>
      <c r="BT656" s="361"/>
      <c r="BU656" s="342" t="s">
        <v>210</v>
      </c>
      <c r="BV656" s="342" t="s">
        <v>210</v>
      </c>
      <c r="BW656" s="341" t="s">
        <v>210</v>
      </c>
      <c r="BX656" s="361"/>
      <c r="BY656" s="457"/>
      <c r="BZ656" s="363"/>
      <c r="CA656" s="363"/>
      <c r="CB656" s="363"/>
      <c r="CC656" s="363"/>
    </row>
    <row r="657" spans="2:81" ht="22.5" customHeight="1">
      <c r="B657" s="442">
        <v>160185</v>
      </c>
      <c r="C657" s="747" t="s">
        <v>3840</v>
      </c>
      <c r="D657" s="439"/>
      <c r="E657" s="404"/>
      <c r="F657" s="405" t="s">
        <v>3837</v>
      </c>
      <c r="G657" s="324" t="s">
        <v>3838</v>
      </c>
      <c r="H657" s="324" t="s">
        <v>3839</v>
      </c>
      <c r="I657" s="326" t="s">
        <v>383</v>
      </c>
      <c r="J657" s="326" t="s">
        <v>387</v>
      </c>
      <c r="K657" s="324" t="s">
        <v>977</v>
      </c>
      <c r="L657" s="361"/>
      <c r="M657" s="408"/>
      <c r="N657" s="325" t="s">
        <v>438</v>
      </c>
      <c r="O657" s="324">
        <v>75</v>
      </c>
      <c r="P657" s="327" t="s">
        <v>210</v>
      </c>
      <c r="Q657" s="369" t="s">
        <v>210</v>
      </c>
      <c r="R657" s="420" t="s">
        <v>3901</v>
      </c>
      <c r="S657" s="400"/>
      <c r="T657" s="400"/>
      <c r="U657" s="400"/>
      <c r="V657" s="400"/>
      <c r="W657" s="460" t="s">
        <v>3841</v>
      </c>
      <c r="X657" s="394" t="s">
        <v>13112</v>
      </c>
      <c r="Y657" s="394" t="s">
        <v>13113</v>
      </c>
      <c r="Z657" s="394" t="s">
        <v>13114</v>
      </c>
      <c r="AA657" s="394" t="s">
        <v>13115</v>
      </c>
      <c r="AB657" s="416"/>
      <c r="AC657" s="416"/>
      <c r="AD657" s="375"/>
      <c r="AE657" s="499" t="s">
        <v>3965</v>
      </c>
      <c r="AF657" s="475">
        <v>42573</v>
      </c>
      <c r="AG657" s="748">
        <v>42613</v>
      </c>
      <c r="AH657" s="417" t="s">
        <v>210</v>
      </c>
      <c r="AI657" s="392" t="s">
        <v>210</v>
      </c>
      <c r="AJ657" s="392" t="s">
        <v>210</v>
      </c>
      <c r="AK657" s="340" t="s">
        <v>210</v>
      </c>
      <c r="AL657" s="417" t="s">
        <v>210</v>
      </c>
      <c r="AM657" s="392" t="s">
        <v>210</v>
      </c>
      <c r="AN657" s="392" t="s">
        <v>622</v>
      </c>
      <c r="AO657" s="341" t="s">
        <v>210</v>
      </c>
      <c r="AP657" s="342"/>
      <c r="AQ657" s="343"/>
      <c r="AR657" s="452">
        <v>784</v>
      </c>
      <c r="AS657" s="324">
        <v>100</v>
      </c>
      <c r="AT657" s="392">
        <v>1</v>
      </c>
      <c r="AU657" s="392"/>
      <c r="AV657" s="392">
        <v>1.5</v>
      </c>
      <c r="AW657" s="341"/>
      <c r="AX657" s="410"/>
      <c r="AY657" s="413"/>
      <c r="AZ657" s="405" t="s">
        <v>3367</v>
      </c>
      <c r="BA657" s="324" t="s">
        <v>210</v>
      </c>
      <c r="BB657" s="324" t="s">
        <v>210</v>
      </c>
      <c r="BC657" s="324" t="s">
        <v>3844</v>
      </c>
      <c r="BD657" s="324" t="s">
        <v>3845</v>
      </c>
      <c r="BE657" s="324" t="s">
        <v>3846</v>
      </c>
      <c r="BF657" s="324" t="s">
        <v>3845</v>
      </c>
      <c r="BG657" s="324" t="s">
        <v>3847</v>
      </c>
      <c r="BH657" s="426" t="s">
        <v>3482</v>
      </c>
      <c r="BI657" s="410"/>
      <c r="BJ657" s="427" t="s">
        <v>9793</v>
      </c>
      <c r="BK657" s="412"/>
      <c r="BL657" s="413"/>
      <c r="BM657" s="414"/>
      <c r="BN657" s="321" t="s">
        <v>210</v>
      </c>
      <c r="BO657" s="372"/>
      <c r="BP657" s="373" t="s">
        <v>14</v>
      </c>
      <c r="BQ657" s="360"/>
      <c r="BR657" s="361"/>
      <c r="BS657" s="361"/>
      <c r="BT657" s="361"/>
      <c r="BU657" s="342" t="s">
        <v>210</v>
      </c>
      <c r="BV657" s="342" t="s">
        <v>210</v>
      </c>
      <c r="BW657" s="341" t="s">
        <v>210</v>
      </c>
      <c r="BX657" s="361"/>
      <c r="BY657" s="457"/>
      <c r="BZ657" s="363"/>
      <c r="CA657" s="363"/>
      <c r="CB657" s="363"/>
      <c r="CC657" s="363"/>
    </row>
    <row r="658" spans="2:81" ht="22.5" customHeight="1">
      <c r="B658" s="442">
        <v>160196</v>
      </c>
      <c r="C658" s="747" t="s">
        <v>3259</v>
      </c>
      <c r="D658" s="439"/>
      <c r="E658" s="404"/>
      <c r="F658" s="405" t="s">
        <v>3260</v>
      </c>
      <c r="G658" s="324" t="s">
        <v>3261</v>
      </c>
      <c r="H658" s="324" t="s">
        <v>3262</v>
      </c>
      <c r="I658" s="326" t="s">
        <v>383</v>
      </c>
      <c r="J658" s="326" t="s">
        <v>399</v>
      </c>
      <c r="K658" s="326" t="s">
        <v>247</v>
      </c>
      <c r="L658" s="361"/>
      <c r="M658" s="408"/>
      <c r="N658" s="325" t="s">
        <v>438</v>
      </c>
      <c r="O658" s="324">
        <v>30</v>
      </c>
      <c r="P658" s="327" t="s">
        <v>210</v>
      </c>
      <c r="Q658" s="459">
        <v>970.9</v>
      </c>
      <c r="R658" s="329" t="s">
        <v>431</v>
      </c>
      <c r="S658" s="394" t="s">
        <v>12411</v>
      </c>
      <c r="T658" s="394" t="s">
        <v>12408</v>
      </c>
      <c r="U658" s="394" t="s">
        <v>16411</v>
      </c>
      <c r="V658" s="394" t="s">
        <v>12409</v>
      </c>
      <c r="W658" s="460" t="s">
        <v>3263</v>
      </c>
      <c r="X658" s="400"/>
      <c r="Y658" s="400"/>
      <c r="Z658" s="400"/>
      <c r="AA658" s="400"/>
      <c r="AB658" s="333" t="s">
        <v>1019</v>
      </c>
      <c r="AC658" s="416"/>
      <c r="AD658" s="447" t="s">
        <v>3330</v>
      </c>
      <c r="AE658" s="499" t="s">
        <v>245</v>
      </c>
      <c r="AF658" s="475">
        <v>42443</v>
      </c>
      <c r="AG658" s="748">
        <v>42485</v>
      </c>
      <c r="AH658" s="417" t="s">
        <v>210</v>
      </c>
      <c r="AI658" s="392" t="s">
        <v>210</v>
      </c>
      <c r="AJ658" s="392" t="s">
        <v>210</v>
      </c>
      <c r="AK658" s="340" t="s">
        <v>210</v>
      </c>
      <c r="AL658" s="417" t="s">
        <v>210</v>
      </c>
      <c r="AM658" s="392" t="s">
        <v>210</v>
      </c>
      <c r="AN658" s="392" t="s">
        <v>210</v>
      </c>
      <c r="AO658" s="341" t="s">
        <v>210</v>
      </c>
      <c r="AP658" s="342"/>
      <c r="AQ658" s="343"/>
      <c r="AR658" s="452">
        <v>1229</v>
      </c>
      <c r="AS658" s="324">
        <v>100</v>
      </c>
      <c r="AT658" s="432">
        <v>1</v>
      </c>
      <c r="AU658" s="432"/>
      <c r="AV658" s="432">
        <v>1.2</v>
      </c>
      <c r="AW658" s="490"/>
      <c r="AX658" s="410"/>
      <c r="AY658" s="413"/>
      <c r="AZ658" s="405" t="s">
        <v>3367</v>
      </c>
      <c r="BA658" s="324" t="s">
        <v>210</v>
      </c>
      <c r="BB658" s="324" t="s">
        <v>210</v>
      </c>
      <c r="BC658" s="324" t="s">
        <v>210</v>
      </c>
      <c r="BD658" s="324" t="s">
        <v>210</v>
      </c>
      <c r="BE658" s="324" t="s">
        <v>3760</v>
      </c>
      <c r="BF658" s="324" t="s">
        <v>3495</v>
      </c>
      <c r="BG658" s="324" t="s">
        <v>3761</v>
      </c>
      <c r="BH658" s="426" t="s">
        <v>3762</v>
      </c>
      <c r="BI658" s="410"/>
      <c r="BJ658" s="427" t="s">
        <v>210</v>
      </c>
      <c r="BK658" s="412"/>
      <c r="BL658" s="413"/>
      <c r="BM658" s="414"/>
      <c r="BN658" s="321" t="s">
        <v>14</v>
      </c>
      <c r="BO658" s="372"/>
      <c r="BP658" s="373" t="s">
        <v>14</v>
      </c>
      <c r="BQ658" s="360"/>
      <c r="BR658" s="361"/>
      <c r="BS658" s="361"/>
      <c r="BT658" s="361"/>
      <c r="BU658" s="342" t="s">
        <v>210</v>
      </c>
      <c r="BV658" s="342" t="s">
        <v>210</v>
      </c>
      <c r="BW658" s="341" t="s">
        <v>210</v>
      </c>
      <c r="BX658" s="361"/>
      <c r="BY658" s="457"/>
      <c r="BZ658" s="363"/>
      <c r="CA658" s="363"/>
      <c r="CB658" s="363"/>
      <c r="CC658" s="363"/>
    </row>
    <row r="659" spans="2:81" ht="22.5" customHeight="1">
      <c r="B659" s="442">
        <v>160201</v>
      </c>
      <c r="C659" s="747" t="s">
        <v>3341</v>
      </c>
      <c r="D659" s="439"/>
      <c r="E659" s="404"/>
      <c r="F659" s="405" t="s">
        <v>3376</v>
      </c>
      <c r="G659" s="324" t="s">
        <v>3377</v>
      </c>
      <c r="H659" s="324" t="s">
        <v>3378</v>
      </c>
      <c r="I659" s="326" t="s">
        <v>383</v>
      </c>
      <c r="J659" s="326" t="s">
        <v>399</v>
      </c>
      <c r="K659" s="326" t="s">
        <v>977</v>
      </c>
      <c r="L659" s="361"/>
      <c r="M659" s="408"/>
      <c r="N659" s="325" t="s">
        <v>438</v>
      </c>
      <c r="O659" s="324">
        <v>110</v>
      </c>
      <c r="P659" s="327" t="s">
        <v>210</v>
      </c>
      <c r="Q659" s="369" t="s">
        <v>210</v>
      </c>
      <c r="R659" s="329" t="s">
        <v>3383</v>
      </c>
      <c r="S659" s="331" t="s">
        <v>13109</v>
      </c>
      <c r="T659" s="331" t="s">
        <v>13111</v>
      </c>
      <c r="U659" s="331" t="s">
        <v>16296</v>
      </c>
      <c r="V659" s="331" t="s">
        <v>13110</v>
      </c>
      <c r="W659" s="332" t="s">
        <v>592</v>
      </c>
      <c r="X659" s="394" t="s">
        <v>12237</v>
      </c>
      <c r="Y659" s="394" t="s">
        <v>11508</v>
      </c>
      <c r="Z659" s="394" t="s">
        <v>11507</v>
      </c>
      <c r="AA659" s="394" t="s">
        <v>12239</v>
      </c>
      <c r="AB659" s="333"/>
      <c r="AC659" s="416"/>
      <c r="AD659" s="447" t="s">
        <v>3526</v>
      </c>
      <c r="AE659" s="499" t="s">
        <v>3527</v>
      </c>
      <c r="AF659" s="475">
        <v>42471</v>
      </c>
      <c r="AG659" s="748">
        <v>42510</v>
      </c>
      <c r="AH659" s="417" t="s">
        <v>210</v>
      </c>
      <c r="AI659" s="392" t="s">
        <v>210</v>
      </c>
      <c r="AJ659" s="392" t="s">
        <v>210</v>
      </c>
      <c r="AK659" s="340" t="s">
        <v>210</v>
      </c>
      <c r="AL659" s="417" t="s">
        <v>210</v>
      </c>
      <c r="AM659" s="392" t="s">
        <v>210</v>
      </c>
      <c r="AN659" s="392" t="s">
        <v>210</v>
      </c>
      <c r="AO659" s="341" t="s">
        <v>210</v>
      </c>
      <c r="AP659" s="342"/>
      <c r="AQ659" s="343"/>
      <c r="AR659" s="452">
        <v>836</v>
      </c>
      <c r="AS659" s="324">
        <v>80</v>
      </c>
      <c r="AT659" s="432">
        <v>0.8</v>
      </c>
      <c r="AU659" s="432"/>
      <c r="AV659" s="432">
        <v>1.5</v>
      </c>
      <c r="AW659" s="490"/>
      <c r="AX659" s="410"/>
      <c r="AY659" s="413"/>
      <c r="AZ659" s="405" t="s">
        <v>3367</v>
      </c>
      <c r="BA659" s="324" t="s">
        <v>210</v>
      </c>
      <c r="BB659" s="324" t="s">
        <v>210</v>
      </c>
      <c r="BC659" s="324" t="s">
        <v>3379</v>
      </c>
      <c r="BD659" s="324" t="s">
        <v>3380</v>
      </c>
      <c r="BE659" s="324" t="s">
        <v>210</v>
      </c>
      <c r="BF659" s="324" t="s">
        <v>210</v>
      </c>
      <c r="BG659" s="324" t="s">
        <v>3381</v>
      </c>
      <c r="BH659" s="426" t="s">
        <v>3382</v>
      </c>
      <c r="BI659" s="410"/>
      <c r="BJ659" s="427" t="s">
        <v>210</v>
      </c>
      <c r="BK659" s="412"/>
      <c r="BL659" s="413"/>
      <c r="BM659" s="414"/>
      <c r="BN659" s="417" t="s">
        <v>210</v>
      </c>
      <c r="BO659" s="372"/>
      <c r="BP659" s="373" t="s">
        <v>14</v>
      </c>
      <c r="BQ659" s="360"/>
      <c r="BR659" s="361"/>
      <c r="BS659" s="361"/>
      <c r="BT659" s="361"/>
      <c r="BU659" s="342" t="s">
        <v>210</v>
      </c>
      <c r="BV659" s="342" t="s">
        <v>210</v>
      </c>
      <c r="BW659" s="341" t="s">
        <v>210</v>
      </c>
      <c r="BX659" s="361"/>
      <c r="BY659" s="457"/>
      <c r="BZ659" s="363"/>
      <c r="CA659" s="363"/>
      <c r="CB659" s="363"/>
      <c r="CC659" s="363"/>
    </row>
    <row r="660" spans="2:81" ht="22.5" customHeight="1">
      <c r="B660" s="442">
        <v>160202</v>
      </c>
      <c r="C660" s="747" t="s">
        <v>13161</v>
      </c>
      <c r="D660" s="439"/>
      <c r="E660" s="404"/>
      <c r="F660" s="405" t="s">
        <v>3309</v>
      </c>
      <c r="G660" s="324" t="s">
        <v>3310</v>
      </c>
      <c r="H660" s="324" t="s">
        <v>3311</v>
      </c>
      <c r="I660" s="326" t="s">
        <v>383</v>
      </c>
      <c r="J660" s="326" t="s">
        <v>387</v>
      </c>
      <c r="K660" s="326" t="s">
        <v>8477</v>
      </c>
      <c r="L660" s="361"/>
      <c r="M660" s="408"/>
      <c r="N660" s="325" t="s">
        <v>438</v>
      </c>
      <c r="O660" s="324">
        <v>30</v>
      </c>
      <c r="P660" s="458">
        <v>730.11</v>
      </c>
      <c r="Q660" s="459">
        <v>378.62</v>
      </c>
      <c r="R660" s="329" t="s">
        <v>3312</v>
      </c>
      <c r="S660" s="400"/>
      <c r="T660" s="330"/>
      <c r="U660" s="330"/>
      <c r="V660" s="330"/>
      <c r="W660" s="332" t="s">
        <v>712</v>
      </c>
      <c r="X660" s="331" t="s">
        <v>13042</v>
      </c>
      <c r="Y660" s="331" t="s">
        <v>12060</v>
      </c>
      <c r="Z660" s="331" t="s">
        <v>13044</v>
      </c>
      <c r="AA660" s="331" t="s">
        <v>12061</v>
      </c>
      <c r="AB660" s="333"/>
      <c r="AC660" s="416"/>
      <c r="AD660" s="447" t="s">
        <v>2921</v>
      </c>
      <c r="AE660" s="499" t="s">
        <v>2032</v>
      </c>
      <c r="AF660" s="475">
        <v>42467</v>
      </c>
      <c r="AG660" s="748">
        <v>42482</v>
      </c>
      <c r="AH660" s="417" t="s">
        <v>210</v>
      </c>
      <c r="AI660" s="392" t="s">
        <v>210</v>
      </c>
      <c r="AJ660" s="392" t="s">
        <v>210</v>
      </c>
      <c r="AK660" s="340" t="s">
        <v>210</v>
      </c>
      <c r="AL660" s="417" t="s">
        <v>210</v>
      </c>
      <c r="AM660" s="392" t="s">
        <v>210</v>
      </c>
      <c r="AN660" s="392" t="s">
        <v>210</v>
      </c>
      <c r="AO660" s="341" t="s">
        <v>210</v>
      </c>
      <c r="AP660" s="342"/>
      <c r="AQ660" s="343"/>
      <c r="AR660" s="452">
        <v>434</v>
      </c>
      <c r="AS660" s="326">
        <v>150</v>
      </c>
      <c r="AT660" s="432">
        <v>1</v>
      </c>
      <c r="AU660" s="432"/>
      <c r="AV660" s="432">
        <v>1.5</v>
      </c>
      <c r="AW660" s="490"/>
      <c r="AX660" s="410"/>
      <c r="AY660" s="413"/>
      <c r="AZ660" s="405" t="s">
        <v>622</v>
      </c>
      <c r="BA660" s="324" t="s">
        <v>3479</v>
      </c>
      <c r="BB660" s="324" t="s">
        <v>3372</v>
      </c>
      <c r="BC660" s="324" t="s">
        <v>3480</v>
      </c>
      <c r="BD660" s="324" t="s">
        <v>3372</v>
      </c>
      <c r="BE660" s="324" t="s">
        <v>210</v>
      </c>
      <c r="BF660" s="324" t="s">
        <v>210</v>
      </c>
      <c r="BG660" s="324" t="s">
        <v>3481</v>
      </c>
      <c r="BH660" s="426" t="s">
        <v>3482</v>
      </c>
      <c r="BI660" s="410"/>
      <c r="BJ660" s="427" t="s">
        <v>210</v>
      </c>
      <c r="BK660" s="412"/>
      <c r="BL660" s="413"/>
      <c r="BM660" s="414"/>
      <c r="BN660" s="321" t="s">
        <v>14</v>
      </c>
      <c r="BO660" s="372"/>
      <c r="BP660" s="373" t="s">
        <v>14</v>
      </c>
      <c r="BQ660" s="360"/>
      <c r="BR660" s="361"/>
      <c r="BS660" s="361"/>
      <c r="BT660" s="361"/>
      <c r="BU660" s="342" t="s">
        <v>210</v>
      </c>
      <c r="BV660" s="342" t="s">
        <v>210</v>
      </c>
      <c r="BW660" s="341" t="s">
        <v>210</v>
      </c>
      <c r="BX660" s="361"/>
      <c r="BY660" s="457"/>
      <c r="BZ660" s="363"/>
      <c r="CA660" s="363"/>
      <c r="CB660" s="363"/>
      <c r="CC660" s="363"/>
    </row>
    <row r="661" spans="2:81" ht="22.5" customHeight="1">
      <c r="B661" s="442">
        <v>160218</v>
      </c>
      <c r="C661" s="747" t="s">
        <v>3326</v>
      </c>
      <c r="D661" s="439"/>
      <c r="E661" s="404"/>
      <c r="F661" s="405" t="s">
        <v>3327</v>
      </c>
      <c r="G661" s="324" t="s">
        <v>3328</v>
      </c>
      <c r="H661" s="324" t="s">
        <v>3329</v>
      </c>
      <c r="I661" s="326" t="s">
        <v>383</v>
      </c>
      <c r="J661" s="326" t="s">
        <v>399</v>
      </c>
      <c r="K661" s="326" t="s">
        <v>247</v>
      </c>
      <c r="L661" s="323"/>
      <c r="M661" s="408"/>
      <c r="N661" s="325" t="s">
        <v>437</v>
      </c>
      <c r="O661" s="324">
        <v>30</v>
      </c>
      <c r="P661" s="458">
        <v>598.70000000000005</v>
      </c>
      <c r="Q661" s="459">
        <v>621.91999999999996</v>
      </c>
      <c r="R661" s="329" t="s">
        <v>1040</v>
      </c>
      <c r="S661" s="394" t="s">
        <v>11528</v>
      </c>
      <c r="T661" s="394" t="s">
        <v>11529</v>
      </c>
      <c r="U661" s="394" t="s">
        <v>16415</v>
      </c>
      <c r="V661" s="394" t="s">
        <v>11531</v>
      </c>
      <c r="W661" s="332" t="s">
        <v>1040</v>
      </c>
      <c r="X661" s="394" t="s">
        <v>11528</v>
      </c>
      <c r="Y661" s="394" t="s">
        <v>11529</v>
      </c>
      <c r="Z661" s="394" t="s">
        <v>11530</v>
      </c>
      <c r="AA661" s="394" t="s">
        <v>11531</v>
      </c>
      <c r="AB661" s="333"/>
      <c r="AC661" s="333"/>
      <c r="AD661" s="334" t="s">
        <v>2321</v>
      </c>
      <c r="AE661" s="335" t="s">
        <v>210</v>
      </c>
      <c r="AF661" s="475">
        <v>42468</v>
      </c>
      <c r="AG661" s="748">
        <v>42524</v>
      </c>
      <c r="AH661" s="417" t="s">
        <v>210</v>
      </c>
      <c r="AI661" s="392" t="s">
        <v>210</v>
      </c>
      <c r="AJ661" s="392" t="s">
        <v>210</v>
      </c>
      <c r="AK661" s="340" t="s">
        <v>210</v>
      </c>
      <c r="AL661" s="417" t="s">
        <v>210</v>
      </c>
      <c r="AM661" s="425" t="s">
        <v>8761</v>
      </c>
      <c r="AN661" s="392" t="s">
        <v>210</v>
      </c>
      <c r="AO661" s="341" t="s">
        <v>210</v>
      </c>
      <c r="AP661" s="418"/>
      <c r="AQ661" s="343"/>
      <c r="AR661" s="452">
        <v>799</v>
      </c>
      <c r="AS661" s="324">
        <v>100</v>
      </c>
      <c r="AT661" s="432">
        <v>0.8</v>
      </c>
      <c r="AU661" s="432"/>
      <c r="AV661" s="432">
        <v>1.5</v>
      </c>
      <c r="AW661" s="490"/>
      <c r="AX661" s="376"/>
      <c r="AY661" s="348"/>
      <c r="AZ661" s="405" t="s">
        <v>622</v>
      </c>
      <c r="BA661" s="324" t="s">
        <v>3420</v>
      </c>
      <c r="BB661" s="324" t="s">
        <v>3372</v>
      </c>
      <c r="BC661" s="324" t="s">
        <v>3421</v>
      </c>
      <c r="BD661" s="324" t="s">
        <v>3422</v>
      </c>
      <c r="BE661" s="324" t="s">
        <v>210</v>
      </c>
      <c r="BF661" s="324" t="s">
        <v>210</v>
      </c>
      <c r="BG661" s="324" t="s">
        <v>3423</v>
      </c>
      <c r="BH661" s="426" t="s">
        <v>3424</v>
      </c>
      <c r="BI661" s="410"/>
      <c r="BJ661" s="427" t="s">
        <v>210</v>
      </c>
      <c r="BK661" s="412"/>
      <c r="BL661" s="413"/>
      <c r="BM661" s="414"/>
      <c r="BN661" s="321" t="s">
        <v>14</v>
      </c>
      <c r="BO661" s="372"/>
      <c r="BP661" s="373" t="s">
        <v>14</v>
      </c>
      <c r="BQ661" s="360"/>
      <c r="BR661" s="361"/>
      <c r="BS661" s="361"/>
      <c r="BT661" s="361"/>
      <c r="BU661" s="342" t="s">
        <v>210</v>
      </c>
      <c r="BV661" s="418">
        <v>-15</v>
      </c>
      <c r="BW661" s="341" t="s">
        <v>210</v>
      </c>
      <c r="BX661" s="361"/>
      <c r="BY661" s="457"/>
      <c r="BZ661" s="363"/>
      <c r="CA661" s="363"/>
      <c r="CB661" s="363"/>
      <c r="CC661" s="363"/>
    </row>
    <row r="662" spans="2:81" ht="22.5" customHeight="1">
      <c r="B662" s="442">
        <v>160219</v>
      </c>
      <c r="C662" s="747" t="s">
        <v>3613</v>
      </c>
      <c r="D662" s="439"/>
      <c r="E662" s="404"/>
      <c r="F662" s="405" t="s">
        <v>1048</v>
      </c>
      <c r="G662" s="324" t="s">
        <v>2651</v>
      </c>
      <c r="H662" s="324" t="s">
        <v>3614</v>
      </c>
      <c r="I662" s="326" t="s">
        <v>383</v>
      </c>
      <c r="J662" s="326" t="s">
        <v>387</v>
      </c>
      <c r="K662" s="324" t="s">
        <v>3223</v>
      </c>
      <c r="L662" s="342">
        <v>5</v>
      </c>
      <c r="M662" s="408"/>
      <c r="N662" s="325" t="s">
        <v>3617</v>
      </c>
      <c r="O662" s="324">
        <v>60</v>
      </c>
      <c r="P662" s="327" t="s">
        <v>210</v>
      </c>
      <c r="Q662" s="369" t="s">
        <v>210</v>
      </c>
      <c r="R662" s="329" t="s">
        <v>996</v>
      </c>
      <c r="S662" s="394" t="s">
        <v>12818</v>
      </c>
      <c r="T662" s="394" t="s">
        <v>12147</v>
      </c>
      <c r="U662" s="394" t="s">
        <v>12146</v>
      </c>
      <c r="V662" s="394" t="s">
        <v>12817</v>
      </c>
      <c r="W662" s="332" t="s">
        <v>996</v>
      </c>
      <c r="X662" s="394" t="s">
        <v>12818</v>
      </c>
      <c r="Y662" s="394" t="s">
        <v>12147</v>
      </c>
      <c r="Z662" s="394" t="s">
        <v>12146</v>
      </c>
      <c r="AA662" s="394" t="s">
        <v>12817</v>
      </c>
      <c r="AB662" s="416"/>
      <c r="AC662" s="416"/>
      <c r="AD662" s="334" t="s">
        <v>8768</v>
      </c>
      <c r="AE662" s="499" t="s">
        <v>966</v>
      </c>
      <c r="AF662" s="475">
        <v>42514</v>
      </c>
      <c r="AG662" s="748">
        <v>42682</v>
      </c>
      <c r="AH662" s="417" t="s">
        <v>210</v>
      </c>
      <c r="AI662" s="392" t="s">
        <v>210</v>
      </c>
      <c r="AJ662" s="392" t="s">
        <v>210</v>
      </c>
      <c r="AK662" s="340" t="s">
        <v>210</v>
      </c>
      <c r="AL662" s="417" t="s">
        <v>210</v>
      </c>
      <c r="AM662" s="392" t="s">
        <v>210</v>
      </c>
      <c r="AN662" s="392" t="s">
        <v>210</v>
      </c>
      <c r="AO662" s="341" t="s">
        <v>210</v>
      </c>
      <c r="AP662" s="342"/>
      <c r="AQ662" s="433" t="s">
        <v>4548</v>
      </c>
      <c r="AR662" s="452">
        <v>1229</v>
      </c>
      <c r="AS662" s="324">
        <v>150</v>
      </c>
      <c r="AT662" s="432">
        <v>0.8</v>
      </c>
      <c r="AU662" s="432"/>
      <c r="AV662" s="432">
        <v>1.3</v>
      </c>
      <c r="AW662" s="490"/>
      <c r="AX662" s="453" t="s">
        <v>210</v>
      </c>
      <c r="AY662" s="455" t="s">
        <v>210</v>
      </c>
      <c r="AZ662" s="405" t="s">
        <v>3367</v>
      </c>
      <c r="BA662" s="324" t="s">
        <v>210</v>
      </c>
      <c r="BB662" s="324" t="s">
        <v>210</v>
      </c>
      <c r="BC662" s="324" t="s">
        <v>3615</v>
      </c>
      <c r="BD662" s="324" t="s">
        <v>3422</v>
      </c>
      <c r="BE662" s="324" t="s">
        <v>210</v>
      </c>
      <c r="BF662" s="324" t="s">
        <v>210</v>
      </c>
      <c r="BG662" s="324" t="s">
        <v>3616</v>
      </c>
      <c r="BH662" s="426" t="s">
        <v>3424</v>
      </c>
      <c r="BI662" s="410"/>
      <c r="BJ662" s="427" t="s">
        <v>210</v>
      </c>
      <c r="BK662" s="412"/>
      <c r="BL662" s="413"/>
      <c r="BM662" s="414"/>
      <c r="BN662" s="321" t="s">
        <v>14</v>
      </c>
      <c r="BO662" s="372"/>
      <c r="BP662" s="340" t="s">
        <v>210</v>
      </c>
      <c r="BQ662" s="360"/>
      <c r="BR662" s="361"/>
      <c r="BS662" s="361"/>
      <c r="BT662" s="361"/>
      <c r="BU662" s="342" t="s">
        <v>210</v>
      </c>
      <c r="BV662" s="342" t="s">
        <v>210</v>
      </c>
      <c r="BW662" s="341" t="s">
        <v>210</v>
      </c>
      <c r="BX662" s="361"/>
      <c r="BY662" s="457"/>
      <c r="BZ662" s="363"/>
      <c r="CA662" s="363"/>
      <c r="CB662" s="363"/>
      <c r="CC662" s="363"/>
    </row>
    <row r="663" spans="2:81" ht="22.5" customHeight="1">
      <c r="B663" s="442">
        <v>160222</v>
      </c>
      <c r="C663" s="747" t="s">
        <v>13104</v>
      </c>
      <c r="D663" s="439"/>
      <c r="E663" s="404"/>
      <c r="F663" s="405" t="s">
        <v>4059</v>
      </c>
      <c r="G663" s="324" t="s">
        <v>4060</v>
      </c>
      <c r="H663" s="324" t="s">
        <v>4061</v>
      </c>
      <c r="I663" s="324" t="s">
        <v>4067</v>
      </c>
      <c r="J663" s="326" t="s">
        <v>387</v>
      </c>
      <c r="K663" s="324" t="s">
        <v>4068</v>
      </c>
      <c r="L663" s="432" t="s">
        <v>210</v>
      </c>
      <c r="M663" s="408"/>
      <c r="N663" s="444" t="s">
        <v>4069</v>
      </c>
      <c r="O663" s="327" t="s">
        <v>210</v>
      </c>
      <c r="P663" s="327">
        <v>351</v>
      </c>
      <c r="Q663" s="369">
        <v>294</v>
      </c>
      <c r="R663" s="420" t="s">
        <v>4255</v>
      </c>
      <c r="S663" s="400"/>
      <c r="T663" s="400"/>
      <c r="U663" s="400"/>
      <c r="V663" s="400"/>
      <c r="W663" s="460" t="s">
        <v>4252</v>
      </c>
      <c r="X663" s="394" t="s">
        <v>13106</v>
      </c>
      <c r="Y663" s="394" t="s">
        <v>13108</v>
      </c>
      <c r="Z663" s="394" t="s">
        <v>13107</v>
      </c>
      <c r="AA663" s="394" t="s">
        <v>13105</v>
      </c>
      <c r="AB663" s="333" t="s">
        <v>1070</v>
      </c>
      <c r="AC663" s="333"/>
      <c r="AD663" s="329" t="s">
        <v>2816</v>
      </c>
      <c r="AE663" s="335" t="s">
        <v>210</v>
      </c>
      <c r="AF663" s="475">
        <v>42626</v>
      </c>
      <c r="AG663" s="748">
        <v>42689</v>
      </c>
      <c r="AH663" s="417" t="s">
        <v>210</v>
      </c>
      <c r="AI663" s="392" t="s">
        <v>210</v>
      </c>
      <c r="AJ663" s="392" t="s">
        <v>210</v>
      </c>
      <c r="AK663" s="340" t="s">
        <v>210</v>
      </c>
      <c r="AL663" s="417" t="s">
        <v>210</v>
      </c>
      <c r="AM663" s="392" t="s">
        <v>210</v>
      </c>
      <c r="AN663" s="392" t="s">
        <v>210</v>
      </c>
      <c r="AO663" s="341" t="s">
        <v>210</v>
      </c>
      <c r="AP663" s="342"/>
      <c r="AQ663" s="433" t="s">
        <v>4548</v>
      </c>
      <c r="AR663" s="452">
        <v>368</v>
      </c>
      <c r="AS663" s="324">
        <v>150</v>
      </c>
      <c r="AT663" s="432">
        <v>1.4</v>
      </c>
      <c r="AU663" s="432"/>
      <c r="AV663" s="432">
        <v>2.2000000000000002</v>
      </c>
      <c r="AW663" s="490"/>
      <c r="AX663" s="453" t="s">
        <v>210</v>
      </c>
      <c r="AY663" s="455" t="s">
        <v>210</v>
      </c>
      <c r="AZ663" s="405" t="s">
        <v>622</v>
      </c>
      <c r="BA663" s="324" t="s">
        <v>4063</v>
      </c>
      <c r="BB663" s="324" t="s">
        <v>4065</v>
      </c>
      <c r="BC663" s="324" t="s">
        <v>4064</v>
      </c>
      <c r="BD663" s="324" t="s">
        <v>4065</v>
      </c>
      <c r="BE663" s="324" t="s">
        <v>4062</v>
      </c>
      <c r="BF663" s="324" t="s">
        <v>3559</v>
      </c>
      <c r="BG663" s="324" t="s">
        <v>4066</v>
      </c>
      <c r="BH663" s="426" t="s">
        <v>3574</v>
      </c>
      <c r="BI663" s="410"/>
      <c r="BJ663" s="427" t="s">
        <v>210</v>
      </c>
      <c r="BK663" s="412"/>
      <c r="BL663" s="413"/>
      <c r="BM663" s="414"/>
      <c r="BN663" s="321" t="s">
        <v>14</v>
      </c>
      <c r="BO663" s="372"/>
      <c r="BP663" s="373" t="s">
        <v>14</v>
      </c>
      <c r="BQ663" s="360"/>
      <c r="BR663" s="361"/>
      <c r="BS663" s="361"/>
      <c r="BT663" s="361"/>
      <c r="BU663" s="342" t="s">
        <v>210</v>
      </c>
      <c r="BV663" s="342" t="s">
        <v>210</v>
      </c>
      <c r="BW663" s="341" t="s">
        <v>210</v>
      </c>
      <c r="BX663" s="361"/>
      <c r="BY663" s="457"/>
      <c r="BZ663" s="363"/>
      <c r="CA663" s="363"/>
      <c r="CB663" s="363"/>
      <c r="CC663" s="363"/>
    </row>
    <row r="664" spans="2:81" ht="22.5" customHeight="1">
      <c r="B664" s="442">
        <v>160225</v>
      </c>
      <c r="C664" s="747" t="s">
        <v>3270</v>
      </c>
      <c r="D664" s="439"/>
      <c r="E664" s="404"/>
      <c r="F664" s="405" t="s">
        <v>375</v>
      </c>
      <c r="G664" s="324" t="s">
        <v>3268</v>
      </c>
      <c r="H664" s="324" t="s">
        <v>3269</v>
      </c>
      <c r="I664" s="326" t="s">
        <v>383</v>
      </c>
      <c r="J664" s="326" t="s">
        <v>3271</v>
      </c>
      <c r="K664" s="324" t="s">
        <v>223</v>
      </c>
      <c r="L664" s="432" t="s">
        <v>210</v>
      </c>
      <c r="M664" s="408"/>
      <c r="N664" s="325" t="s">
        <v>438</v>
      </c>
      <c r="O664" s="324">
        <v>30</v>
      </c>
      <c r="P664" s="327" t="s">
        <v>210</v>
      </c>
      <c r="Q664" s="369" t="s">
        <v>210</v>
      </c>
      <c r="R664" s="329" t="s">
        <v>465</v>
      </c>
      <c r="S664" s="394" t="s">
        <v>11824</v>
      </c>
      <c r="T664" s="394" t="s">
        <v>11825</v>
      </c>
      <c r="U664" s="394" t="s">
        <v>16218</v>
      </c>
      <c r="V664" s="394" t="s">
        <v>11826</v>
      </c>
      <c r="W664" s="460" t="s">
        <v>3272</v>
      </c>
      <c r="X664" s="394" t="s">
        <v>13101</v>
      </c>
      <c r="Y664" s="394" t="s">
        <v>13103</v>
      </c>
      <c r="Z664" s="400"/>
      <c r="AA664" s="394" t="s">
        <v>13102</v>
      </c>
      <c r="AB664" s="333"/>
      <c r="AC664" s="416"/>
      <c r="AD664" s="447" t="s">
        <v>3634</v>
      </c>
      <c r="AE664" s="499" t="s">
        <v>4169</v>
      </c>
      <c r="AF664" s="475">
        <v>42444</v>
      </c>
      <c r="AG664" s="748">
        <v>42537</v>
      </c>
      <c r="AH664" s="417" t="s">
        <v>210</v>
      </c>
      <c r="AI664" s="392" t="s">
        <v>210</v>
      </c>
      <c r="AJ664" s="392" t="s">
        <v>210</v>
      </c>
      <c r="AK664" s="340" t="s">
        <v>210</v>
      </c>
      <c r="AL664" s="417" t="s">
        <v>210</v>
      </c>
      <c r="AM664" s="392" t="s">
        <v>210</v>
      </c>
      <c r="AN664" s="392" t="s">
        <v>210</v>
      </c>
      <c r="AO664" s="341" t="s">
        <v>210</v>
      </c>
      <c r="AP664" s="342"/>
      <c r="AQ664" s="433" t="s">
        <v>4547</v>
      </c>
      <c r="AR664" s="452">
        <v>2609</v>
      </c>
      <c r="AS664" s="324">
        <v>200</v>
      </c>
      <c r="AT664" s="432">
        <v>1</v>
      </c>
      <c r="AU664" s="432"/>
      <c r="AV664" s="432">
        <v>1.5</v>
      </c>
      <c r="AW664" s="490"/>
      <c r="AX664" s="453" t="s">
        <v>210</v>
      </c>
      <c r="AY664" s="455" t="s">
        <v>210</v>
      </c>
      <c r="AZ664" s="405" t="s">
        <v>3367</v>
      </c>
      <c r="BA664" s="324" t="s">
        <v>210</v>
      </c>
      <c r="BB664" s="324" t="s">
        <v>210</v>
      </c>
      <c r="BC664" s="324" t="s">
        <v>210</v>
      </c>
      <c r="BD664" s="324" t="s">
        <v>210</v>
      </c>
      <c r="BE664" s="324" t="s">
        <v>210</v>
      </c>
      <c r="BF664" s="324" t="s">
        <v>210</v>
      </c>
      <c r="BG664" s="324" t="s">
        <v>210</v>
      </c>
      <c r="BH664" s="426" t="s">
        <v>210</v>
      </c>
      <c r="BI664" s="410"/>
      <c r="BJ664" s="427" t="s">
        <v>210</v>
      </c>
      <c r="BK664" s="412"/>
      <c r="BL664" s="413"/>
      <c r="BM664" s="414"/>
      <c r="BN664" s="417" t="s">
        <v>210</v>
      </c>
      <c r="BO664" s="372"/>
      <c r="BP664" s="340" t="s">
        <v>210</v>
      </c>
      <c r="BQ664" s="360"/>
      <c r="BR664" s="361"/>
      <c r="BS664" s="361"/>
      <c r="BT664" s="361"/>
      <c r="BU664" s="342" t="s">
        <v>210</v>
      </c>
      <c r="BV664" s="342" t="s">
        <v>210</v>
      </c>
      <c r="BW664" s="341" t="s">
        <v>210</v>
      </c>
      <c r="BX664" s="361"/>
      <c r="BY664" s="457"/>
      <c r="BZ664" s="363"/>
      <c r="CA664" s="363"/>
      <c r="CB664" s="363"/>
      <c r="CC664" s="363"/>
    </row>
    <row r="665" spans="2:81" ht="22.5" customHeight="1">
      <c r="B665" s="442">
        <v>160226</v>
      </c>
      <c r="C665" s="747" t="s">
        <v>3115</v>
      </c>
      <c r="D665" s="439"/>
      <c r="E665" s="404"/>
      <c r="F665" s="405" t="s">
        <v>3116</v>
      </c>
      <c r="G665" s="324" t="s">
        <v>3117</v>
      </c>
      <c r="H665" s="324" t="s">
        <v>3222</v>
      </c>
      <c r="I665" s="326" t="s">
        <v>383</v>
      </c>
      <c r="J665" s="326" t="s">
        <v>387</v>
      </c>
      <c r="K665" s="324" t="s">
        <v>3223</v>
      </c>
      <c r="L665" s="826" t="s">
        <v>4589</v>
      </c>
      <c r="M665" s="408"/>
      <c r="N665" s="325" t="s">
        <v>438</v>
      </c>
      <c r="O665" s="326" t="s">
        <v>210</v>
      </c>
      <c r="P665" s="327" t="s">
        <v>210</v>
      </c>
      <c r="Q665" s="369" t="s">
        <v>210</v>
      </c>
      <c r="R665" s="420" t="s">
        <v>4312</v>
      </c>
      <c r="S665" s="394" t="s">
        <v>13098</v>
      </c>
      <c r="T665" s="394" t="s">
        <v>13099</v>
      </c>
      <c r="U665" s="394" t="s">
        <v>16291</v>
      </c>
      <c r="V665" s="394" t="s">
        <v>13100</v>
      </c>
      <c r="W665" s="332" t="s">
        <v>644</v>
      </c>
      <c r="X665" s="400"/>
      <c r="Y665" s="394" t="s">
        <v>11201</v>
      </c>
      <c r="Z665" s="394" t="s">
        <v>11200</v>
      </c>
      <c r="AA665" s="400"/>
      <c r="AB665" s="333"/>
      <c r="AC665" s="416"/>
      <c r="AD665" s="447" t="s">
        <v>2938</v>
      </c>
      <c r="AE665" s="499" t="s">
        <v>946</v>
      </c>
      <c r="AF665" s="475">
        <v>42346</v>
      </c>
      <c r="AG665" s="748">
        <v>42471</v>
      </c>
      <c r="AH665" s="417" t="s">
        <v>210</v>
      </c>
      <c r="AI665" s="392" t="s">
        <v>210</v>
      </c>
      <c r="AJ665" s="392" t="s">
        <v>210</v>
      </c>
      <c r="AK665" s="340" t="s">
        <v>210</v>
      </c>
      <c r="AL665" s="417" t="s">
        <v>210</v>
      </c>
      <c r="AM665" s="392" t="s">
        <v>622</v>
      </c>
      <c r="AN665" s="392" t="s">
        <v>210</v>
      </c>
      <c r="AO665" s="341" t="s">
        <v>210</v>
      </c>
      <c r="AP665" s="418"/>
      <c r="AQ665" s="433" t="s">
        <v>4547</v>
      </c>
      <c r="AR665" s="452">
        <v>1207</v>
      </c>
      <c r="AS665" s="324">
        <v>100</v>
      </c>
      <c r="AT665" s="432">
        <v>0.8</v>
      </c>
      <c r="AU665" s="432"/>
      <c r="AV665" s="432">
        <v>1.2</v>
      </c>
      <c r="AW665" s="490"/>
      <c r="AX665" s="453" t="s">
        <v>210</v>
      </c>
      <c r="AY665" s="455" t="s">
        <v>210</v>
      </c>
      <c r="AZ665" s="827" t="s">
        <v>3759</v>
      </c>
      <c r="BA665" s="324"/>
      <c r="BB665" s="324"/>
      <c r="BC665" s="324"/>
      <c r="BD665" s="324"/>
      <c r="BE665" s="324"/>
      <c r="BF665" s="324"/>
      <c r="BG665" s="324"/>
      <c r="BH665" s="426"/>
      <c r="BI665" s="410"/>
      <c r="BJ665" s="427"/>
      <c r="BK665" s="412"/>
      <c r="BL665" s="413"/>
      <c r="BM665" s="414"/>
      <c r="BN665" s="417" t="s">
        <v>210</v>
      </c>
      <c r="BO665" s="372"/>
      <c r="BP665" s="340" t="s">
        <v>210</v>
      </c>
      <c r="BQ665" s="360"/>
      <c r="BR665" s="361"/>
      <c r="BS665" s="361"/>
      <c r="BT665" s="361"/>
      <c r="BU665" s="342" t="s">
        <v>210</v>
      </c>
      <c r="BV665" s="418" t="s">
        <v>210</v>
      </c>
      <c r="BW665" s="341" t="s">
        <v>210</v>
      </c>
      <c r="BX665" s="361"/>
      <c r="BY665" s="457"/>
      <c r="BZ665" s="363"/>
      <c r="CA665" s="363"/>
      <c r="CB665" s="363"/>
      <c r="CC665" s="363"/>
    </row>
    <row r="666" spans="2:81" ht="22.5" customHeight="1">
      <c r="B666" s="442">
        <v>160256</v>
      </c>
      <c r="C666" s="747" t="s">
        <v>3666</v>
      </c>
      <c r="D666" s="439"/>
      <c r="E666" s="404"/>
      <c r="F666" s="405" t="s">
        <v>3756</v>
      </c>
      <c r="G666" s="324" t="s">
        <v>3757</v>
      </c>
      <c r="H666" s="324" t="s">
        <v>3758</v>
      </c>
      <c r="I666" s="326" t="s">
        <v>383</v>
      </c>
      <c r="J666" s="326" t="s">
        <v>399</v>
      </c>
      <c r="K666" s="324" t="s">
        <v>3400</v>
      </c>
      <c r="L666" s="432" t="s">
        <v>210</v>
      </c>
      <c r="M666" s="408"/>
      <c r="N666" s="325" t="s">
        <v>438</v>
      </c>
      <c r="O666" s="324">
        <v>21</v>
      </c>
      <c r="P666" s="327" t="s">
        <v>210</v>
      </c>
      <c r="Q666" s="369" t="s">
        <v>210</v>
      </c>
      <c r="R666" s="329" t="s">
        <v>431</v>
      </c>
      <c r="S666" s="394" t="s">
        <v>12407</v>
      </c>
      <c r="T666" s="394" t="s">
        <v>12408</v>
      </c>
      <c r="U666" s="394" t="s">
        <v>16411</v>
      </c>
      <c r="V666" s="394" t="s">
        <v>12409</v>
      </c>
      <c r="W666" s="332" t="s">
        <v>432</v>
      </c>
      <c r="X666" s="331" t="s">
        <v>11079</v>
      </c>
      <c r="Y666" s="331" t="s">
        <v>11080</v>
      </c>
      <c r="Z666" s="331" t="s">
        <v>11080</v>
      </c>
      <c r="AA666" s="331" t="s">
        <v>210</v>
      </c>
      <c r="AB666" s="333"/>
      <c r="AC666" s="416"/>
      <c r="AD666" s="447" t="s">
        <v>392</v>
      </c>
      <c r="AE666" s="499" t="s">
        <v>245</v>
      </c>
      <c r="AF666" s="475">
        <v>42485</v>
      </c>
      <c r="AG666" s="748">
        <v>42586</v>
      </c>
      <c r="AH666" s="417" t="s">
        <v>210</v>
      </c>
      <c r="AI666" s="392" t="s">
        <v>210</v>
      </c>
      <c r="AJ666" s="392" t="s">
        <v>210</v>
      </c>
      <c r="AK666" s="340" t="s">
        <v>210</v>
      </c>
      <c r="AL666" s="417" t="s">
        <v>210</v>
      </c>
      <c r="AM666" s="392" t="s">
        <v>210</v>
      </c>
      <c r="AN666" s="392" t="s">
        <v>210</v>
      </c>
      <c r="AO666" s="341" t="s">
        <v>210</v>
      </c>
      <c r="AP666" s="342"/>
      <c r="AQ666" s="433" t="s">
        <v>4547</v>
      </c>
      <c r="AR666" s="452">
        <v>1308</v>
      </c>
      <c r="AS666" s="324">
        <v>100</v>
      </c>
      <c r="AT666" s="432">
        <v>1</v>
      </c>
      <c r="AU666" s="432"/>
      <c r="AV666" s="432">
        <v>1.5</v>
      </c>
      <c r="AW666" s="490"/>
      <c r="AX666" s="453" t="s">
        <v>210</v>
      </c>
      <c r="AY666" s="455" t="s">
        <v>210</v>
      </c>
      <c r="AZ666" s="405" t="s">
        <v>622</v>
      </c>
      <c r="BA666" s="324" t="s">
        <v>3750</v>
      </c>
      <c r="BB666" s="324" t="s">
        <v>3382</v>
      </c>
      <c r="BC666" s="324" t="s">
        <v>3753</v>
      </c>
      <c r="BD666" s="324" t="s">
        <v>3382</v>
      </c>
      <c r="BE666" s="324" t="s">
        <v>3750</v>
      </c>
      <c r="BF666" s="324" t="s">
        <v>3754</v>
      </c>
      <c r="BG666" s="324" t="s">
        <v>3752</v>
      </c>
      <c r="BH666" s="426" t="s">
        <v>3755</v>
      </c>
      <c r="BI666" s="410"/>
      <c r="BJ666" s="427" t="s">
        <v>210</v>
      </c>
      <c r="BK666" s="412"/>
      <c r="BL666" s="413"/>
      <c r="BM666" s="414"/>
      <c r="BN666" s="321" t="s">
        <v>14</v>
      </c>
      <c r="BO666" s="372"/>
      <c r="BP666" s="373" t="s">
        <v>14</v>
      </c>
      <c r="BQ666" s="360"/>
      <c r="BR666" s="361"/>
      <c r="BS666" s="361"/>
      <c r="BT666" s="361"/>
      <c r="BU666" s="342" t="s">
        <v>210</v>
      </c>
      <c r="BV666" s="342" t="s">
        <v>210</v>
      </c>
      <c r="BW666" s="341" t="s">
        <v>210</v>
      </c>
      <c r="BX666" s="361"/>
      <c r="BY666" s="457"/>
      <c r="BZ666" s="363"/>
      <c r="CA666" s="363"/>
      <c r="CB666" s="363"/>
      <c r="CC666" s="363"/>
    </row>
    <row r="667" spans="2:81" ht="22.5" customHeight="1">
      <c r="B667" s="442">
        <v>160261</v>
      </c>
      <c r="C667" s="747" t="s">
        <v>3342</v>
      </c>
      <c r="D667" s="439"/>
      <c r="E667" s="404"/>
      <c r="F667" s="405" t="s">
        <v>3395</v>
      </c>
      <c r="G667" s="324" t="s">
        <v>3396</v>
      </c>
      <c r="H667" s="324" t="s">
        <v>3397</v>
      </c>
      <c r="I667" s="326" t="s">
        <v>383</v>
      </c>
      <c r="J667" s="326" t="s">
        <v>399</v>
      </c>
      <c r="K667" s="324" t="s">
        <v>3400</v>
      </c>
      <c r="L667" s="432" t="s">
        <v>210</v>
      </c>
      <c r="M667" s="324" t="s">
        <v>6509</v>
      </c>
      <c r="N667" s="325" t="s">
        <v>438</v>
      </c>
      <c r="O667" s="324">
        <v>40</v>
      </c>
      <c r="P667" s="327" t="s">
        <v>210</v>
      </c>
      <c r="Q667" s="369" t="s">
        <v>210</v>
      </c>
      <c r="R667" s="329" t="s">
        <v>431</v>
      </c>
      <c r="S667" s="394" t="s">
        <v>12407</v>
      </c>
      <c r="T667" s="394" t="s">
        <v>12408</v>
      </c>
      <c r="U667" s="394" t="s">
        <v>16411</v>
      </c>
      <c r="V667" s="394" t="s">
        <v>12409</v>
      </c>
      <c r="W667" s="332" t="s">
        <v>432</v>
      </c>
      <c r="X667" s="331" t="s">
        <v>11079</v>
      </c>
      <c r="Y667" s="331" t="s">
        <v>11080</v>
      </c>
      <c r="Z667" s="331" t="s">
        <v>11080</v>
      </c>
      <c r="AA667" s="331" t="s">
        <v>210</v>
      </c>
      <c r="AB667" s="333"/>
      <c r="AC667" s="416"/>
      <c r="AD667" s="447" t="s">
        <v>3611</v>
      </c>
      <c r="AE667" s="499" t="s">
        <v>245</v>
      </c>
      <c r="AF667" s="475">
        <v>42457</v>
      </c>
      <c r="AG667" s="748">
        <v>42531</v>
      </c>
      <c r="AH667" s="417">
        <v>24.8</v>
      </c>
      <c r="AI667" s="392">
        <v>40.1</v>
      </c>
      <c r="AJ667" s="392">
        <v>21.4</v>
      </c>
      <c r="AK667" s="455">
        <f>SUBTOTAL(9,AH667:AJ667)</f>
        <v>86.300000000000011</v>
      </c>
      <c r="AL667" s="417" t="s">
        <v>210</v>
      </c>
      <c r="AM667" s="392" t="s">
        <v>210</v>
      </c>
      <c r="AN667" s="392" t="s">
        <v>210</v>
      </c>
      <c r="AO667" s="341" t="s">
        <v>210</v>
      </c>
      <c r="AP667" s="342"/>
      <c r="AQ667" s="433" t="s">
        <v>4547</v>
      </c>
      <c r="AR667" s="452">
        <v>1755</v>
      </c>
      <c r="AS667" s="326">
        <v>150</v>
      </c>
      <c r="AT667" s="432">
        <v>0.8</v>
      </c>
      <c r="AU667" s="432"/>
      <c r="AV667" s="432">
        <v>0.6</v>
      </c>
      <c r="AW667" s="490"/>
      <c r="AX667" s="453" t="s">
        <v>210</v>
      </c>
      <c r="AY667" s="455" t="s">
        <v>210</v>
      </c>
      <c r="AZ667" s="405" t="s">
        <v>3367</v>
      </c>
      <c r="BA667" s="324" t="s">
        <v>210</v>
      </c>
      <c r="BB667" s="324" t="s">
        <v>210</v>
      </c>
      <c r="BC667" s="324" t="s">
        <v>210</v>
      </c>
      <c r="BD667" s="324" t="s">
        <v>210</v>
      </c>
      <c r="BE667" s="324" t="s">
        <v>210</v>
      </c>
      <c r="BF667" s="324" t="s">
        <v>210</v>
      </c>
      <c r="BG667" s="324" t="s">
        <v>3398</v>
      </c>
      <c r="BH667" s="426" t="s">
        <v>3399</v>
      </c>
      <c r="BI667" s="410"/>
      <c r="BJ667" s="427" t="s">
        <v>210</v>
      </c>
      <c r="BK667" s="412"/>
      <c r="BL667" s="413"/>
      <c r="BM667" s="414"/>
      <c r="BN667" s="321" t="s">
        <v>14</v>
      </c>
      <c r="BO667" s="372"/>
      <c r="BP667" s="340" t="s">
        <v>210</v>
      </c>
      <c r="BQ667" s="360"/>
      <c r="BR667" s="361"/>
      <c r="BS667" s="361"/>
      <c r="BT667" s="361"/>
      <c r="BU667" s="342" t="s">
        <v>210</v>
      </c>
      <c r="BV667" s="342" t="s">
        <v>210</v>
      </c>
      <c r="BW667" s="341" t="s">
        <v>210</v>
      </c>
      <c r="BX667" s="361"/>
      <c r="BY667" s="457"/>
      <c r="BZ667" s="363"/>
      <c r="CA667" s="363"/>
      <c r="CB667" s="363"/>
      <c r="CC667" s="363"/>
    </row>
    <row r="668" spans="2:81" ht="22.5" customHeight="1">
      <c r="B668" s="442">
        <v>160263</v>
      </c>
      <c r="C668" s="747" t="s">
        <v>4669</v>
      </c>
      <c r="D668" s="439"/>
      <c r="E668" s="404"/>
      <c r="F668" s="405" t="s">
        <v>225</v>
      </c>
      <c r="G668" s="324" t="s">
        <v>3431</v>
      </c>
      <c r="H668" s="324" t="s">
        <v>3432</v>
      </c>
      <c r="I668" s="326" t="s">
        <v>383</v>
      </c>
      <c r="J668" s="326" t="s">
        <v>399</v>
      </c>
      <c r="K668" s="326" t="s">
        <v>917</v>
      </c>
      <c r="L668" s="432" t="s">
        <v>210</v>
      </c>
      <c r="M668" s="408"/>
      <c r="N668" s="325" t="s">
        <v>438</v>
      </c>
      <c r="O668" s="326">
        <v>30</v>
      </c>
      <c r="P668" s="327" t="s">
        <v>210</v>
      </c>
      <c r="Q668" s="369" t="s">
        <v>210</v>
      </c>
      <c r="R668" s="420" t="s">
        <v>2299</v>
      </c>
      <c r="S668" s="394" t="s">
        <v>11827</v>
      </c>
      <c r="T668" s="394" t="s">
        <v>11829</v>
      </c>
      <c r="U668" s="394" t="s">
        <v>11828</v>
      </c>
      <c r="V668" s="394" t="s">
        <v>11830</v>
      </c>
      <c r="W668" s="460" t="s">
        <v>2345</v>
      </c>
      <c r="X668" s="400"/>
      <c r="Y668" s="394" t="s">
        <v>13170</v>
      </c>
      <c r="Z668" s="394" t="s">
        <v>16507</v>
      </c>
      <c r="AA668" s="394" t="s">
        <v>13169</v>
      </c>
      <c r="AB668" s="416"/>
      <c r="AC668" s="416"/>
      <c r="AD668" s="334" t="s">
        <v>2325</v>
      </c>
      <c r="AE668" s="335" t="s">
        <v>231</v>
      </c>
      <c r="AF668" s="475">
        <v>42445</v>
      </c>
      <c r="AG668" s="748">
        <v>42524</v>
      </c>
      <c r="AH668" s="417" t="s">
        <v>210</v>
      </c>
      <c r="AI668" s="392" t="s">
        <v>210</v>
      </c>
      <c r="AJ668" s="392" t="s">
        <v>210</v>
      </c>
      <c r="AK668" s="340" t="s">
        <v>210</v>
      </c>
      <c r="AL668" s="417" t="s">
        <v>210</v>
      </c>
      <c r="AM668" s="392" t="s">
        <v>210</v>
      </c>
      <c r="AN668" s="392" t="s">
        <v>210</v>
      </c>
      <c r="AO668" s="341" t="s">
        <v>210</v>
      </c>
      <c r="AP668" s="342"/>
      <c r="AQ668" s="433" t="s">
        <v>4547</v>
      </c>
      <c r="AR668" s="452">
        <v>3410</v>
      </c>
      <c r="AS668" s="324">
        <v>100</v>
      </c>
      <c r="AT668" s="432">
        <v>0.8</v>
      </c>
      <c r="AU668" s="432"/>
      <c r="AV668" s="432">
        <v>1.2</v>
      </c>
      <c r="AW668" s="490"/>
      <c r="AX668" s="453" t="s">
        <v>210</v>
      </c>
      <c r="AY668" s="429" t="s">
        <v>622</v>
      </c>
      <c r="AZ668" s="405" t="s">
        <v>3367</v>
      </c>
      <c r="BA668" s="324" t="s">
        <v>210</v>
      </c>
      <c r="BB668" s="324" t="s">
        <v>210</v>
      </c>
      <c r="BC668" s="324" t="s">
        <v>3750</v>
      </c>
      <c r="BD668" s="324" t="s">
        <v>3434</v>
      </c>
      <c r="BE668" s="324" t="s">
        <v>3751</v>
      </c>
      <c r="BF668" s="324" t="s">
        <v>3434</v>
      </c>
      <c r="BG668" s="324" t="s">
        <v>3433</v>
      </c>
      <c r="BH668" s="426" t="s">
        <v>3434</v>
      </c>
      <c r="BI668" s="410"/>
      <c r="BJ668" s="427" t="s">
        <v>3484</v>
      </c>
      <c r="BK668" s="412"/>
      <c r="BL668" s="413"/>
      <c r="BM668" s="414"/>
      <c r="BN668" s="417" t="s">
        <v>210</v>
      </c>
      <c r="BO668" s="372"/>
      <c r="BP668" s="373" t="s">
        <v>14</v>
      </c>
      <c r="BQ668" s="360"/>
      <c r="BR668" s="361"/>
      <c r="BS668" s="361"/>
      <c r="BT668" s="361"/>
      <c r="BU668" s="342" t="s">
        <v>210</v>
      </c>
      <c r="BV668" s="342" t="s">
        <v>210</v>
      </c>
      <c r="BW668" s="341" t="s">
        <v>210</v>
      </c>
      <c r="BX668" s="361"/>
      <c r="BY668" s="457"/>
      <c r="BZ668" s="363"/>
      <c r="CA668" s="363"/>
      <c r="CB668" s="363"/>
      <c r="CC668" s="363"/>
    </row>
    <row r="669" spans="2:81" ht="22.5" customHeight="1">
      <c r="B669" s="442">
        <v>160264</v>
      </c>
      <c r="C669" s="747" t="s">
        <v>4034</v>
      </c>
      <c r="D669" s="439"/>
      <c r="E669" s="404"/>
      <c r="F669" s="405" t="s">
        <v>3715</v>
      </c>
      <c r="G669" s="324" t="s">
        <v>4035</v>
      </c>
      <c r="H669" s="324" t="s">
        <v>4036</v>
      </c>
      <c r="I669" s="326" t="s">
        <v>383</v>
      </c>
      <c r="J669" s="324" t="s">
        <v>4273</v>
      </c>
      <c r="K669" s="326" t="s">
        <v>917</v>
      </c>
      <c r="L669" s="432" t="s">
        <v>210</v>
      </c>
      <c r="M669" s="408"/>
      <c r="N669" s="325" t="s">
        <v>438</v>
      </c>
      <c r="O669" s="324">
        <v>126</v>
      </c>
      <c r="P669" s="327" t="s">
        <v>210</v>
      </c>
      <c r="Q669" s="369" t="s">
        <v>210</v>
      </c>
      <c r="R669" s="329" t="s">
        <v>432</v>
      </c>
      <c r="S669" s="331" t="s">
        <v>11079</v>
      </c>
      <c r="T669" s="331" t="s">
        <v>11079</v>
      </c>
      <c r="U669" s="331" t="s">
        <v>11079</v>
      </c>
      <c r="V669" s="331" t="s">
        <v>210</v>
      </c>
      <c r="W669" s="332" t="s">
        <v>432</v>
      </c>
      <c r="X669" s="331" t="s">
        <v>11079</v>
      </c>
      <c r="Y669" s="331" t="s">
        <v>11080</v>
      </c>
      <c r="Z669" s="331" t="s">
        <v>11080</v>
      </c>
      <c r="AA669" s="331" t="s">
        <v>210</v>
      </c>
      <c r="AB669" s="416"/>
      <c r="AC669" s="416"/>
      <c r="AD669" s="334" t="s">
        <v>2333</v>
      </c>
      <c r="AE669" s="499" t="s">
        <v>949</v>
      </c>
      <c r="AF669" s="475">
        <v>42597</v>
      </c>
      <c r="AG669" s="748">
        <v>42712</v>
      </c>
      <c r="AH669" s="453">
        <v>13.6</v>
      </c>
      <c r="AI669" s="432">
        <v>32.1</v>
      </c>
      <c r="AJ669" s="432">
        <v>24.1</v>
      </c>
      <c r="AK669" s="340">
        <f>SUM(AH669:AJ669)</f>
        <v>69.800000000000011</v>
      </c>
      <c r="AL669" s="417" t="s">
        <v>210</v>
      </c>
      <c r="AM669" s="392" t="s">
        <v>210</v>
      </c>
      <c r="AN669" s="392" t="s">
        <v>210</v>
      </c>
      <c r="AO669" s="341" t="s">
        <v>210</v>
      </c>
      <c r="AP669" s="342"/>
      <c r="AQ669" s="433" t="s">
        <v>4547</v>
      </c>
      <c r="AR669" s="452">
        <f>2105+3482</f>
        <v>5587</v>
      </c>
      <c r="AS669" s="324">
        <v>80</v>
      </c>
      <c r="AT669" s="432">
        <v>1</v>
      </c>
      <c r="AU669" s="432"/>
      <c r="AV669" s="432">
        <v>1.6</v>
      </c>
      <c r="AW669" s="490"/>
      <c r="AX669" s="453" t="s">
        <v>210</v>
      </c>
      <c r="AY669" s="429" t="s">
        <v>622</v>
      </c>
      <c r="AZ669" s="405" t="s">
        <v>3367</v>
      </c>
      <c r="BA669" s="324" t="s">
        <v>210</v>
      </c>
      <c r="BB669" s="324" t="s">
        <v>210</v>
      </c>
      <c r="BC669" s="324" t="s">
        <v>4271</v>
      </c>
      <c r="BD669" s="324" t="s">
        <v>3382</v>
      </c>
      <c r="BE669" s="324" t="s">
        <v>4272</v>
      </c>
      <c r="BF669" s="324" t="s">
        <v>3360</v>
      </c>
      <c r="BG669" s="324" t="s">
        <v>210</v>
      </c>
      <c r="BH669" s="426" t="s">
        <v>210</v>
      </c>
      <c r="BI669" s="410"/>
      <c r="BJ669" s="427" t="s">
        <v>210</v>
      </c>
      <c r="BK669" s="412"/>
      <c r="BL669" s="413"/>
      <c r="BM669" s="414"/>
      <c r="BN669" s="417" t="s">
        <v>210</v>
      </c>
      <c r="BO669" s="372"/>
      <c r="BP669" s="373" t="s">
        <v>14</v>
      </c>
      <c r="BQ669" s="360"/>
      <c r="BR669" s="361"/>
      <c r="BS669" s="361"/>
      <c r="BT669" s="361"/>
      <c r="BU669" s="342" t="s">
        <v>210</v>
      </c>
      <c r="BV669" s="342" t="s">
        <v>210</v>
      </c>
      <c r="BW669" s="341" t="s">
        <v>210</v>
      </c>
      <c r="BX669" s="361"/>
      <c r="BY669" s="457"/>
      <c r="BZ669" s="363"/>
      <c r="CA669" s="363"/>
      <c r="CB669" s="363"/>
      <c r="CC669" s="363"/>
    </row>
    <row r="670" spans="2:81" ht="22.5" customHeight="1">
      <c r="B670" s="442">
        <v>160265</v>
      </c>
      <c r="C670" s="747" t="s">
        <v>3343</v>
      </c>
      <c r="D670" s="439"/>
      <c r="E670" s="404"/>
      <c r="F670" s="405" t="s">
        <v>350</v>
      </c>
      <c r="G670" s="324" t="s">
        <v>3290</v>
      </c>
      <c r="H670" s="324" t="s">
        <v>3291</v>
      </c>
      <c r="I670" s="326" t="s">
        <v>383</v>
      </c>
      <c r="J670" s="326" t="s">
        <v>399</v>
      </c>
      <c r="K670" s="326" t="s">
        <v>917</v>
      </c>
      <c r="L670" s="432" t="s">
        <v>210</v>
      </c>
      <c r="M670" s="324" t="s">
        <v>10767</v>
      </c>
      <c r="N670" s="325" t="s">
        <v>437</v>
      </c>
      <c r="O670" s="324">
        <v>200</v>
      </c>
      <c r="P670" s="458">
        <v>669</v>
      </c>
      <c r="Q670" s="459">
        <v>689</v>
      </c>
      <c r="R670" s="329" t="s">
        <v>486</v>
      </c>
      <c r="S670" s="331" t="s">
        <v>11299</v>
      </c>
      <c r="T670" s="331" t="s">
        <v>11301</v>
      </c>
      <c r="U670" s="331" t="s">
        <v>11300</v>
      </c>
      <c r="V670" s="331" t="s">
        <v>11302</v>
      </c>
      <c r="W670" s="332" t="s">
        <v>432</v>
      </c>
      <c r="X670" s="331" t="s">
        <v>11079</v>
      </c>
      <c r="Y670" s="331" t="s">
        <v>11080</v>
      </c>
      <c r="Z670" s="331" t="s">
        <v>11080</v>
      </c>
      <c r="AA670" s="331" t="s">
        <v>210</v>
      </c>
      <c r="AB670" s="416"/>
      <c r="AC670" s="416"/>
      <c r="AD670" s="334" t="s">
        <v>2322</v>
      </c>
      <c r="AE670" s="499" t="s">
        <v>3742</v>
      </c>
      <c r="AF670" s="475">
        <v>42464</v>
      </c>
      <c r="AG670" s="748">
        <v>42557</v>
      </c>
      <c r="AH670" s="417">
        <v>17.399999999999999</v>
      </c>
      <c r="AI670" s="392">
        <v>35.6</v>
      </c>
      <c r="AJ670" s="392">
        <v>22.6</v>
      </c>
      <c r="AK670" s="455">
        <f>SUBTOTAL(9,AH670:AJ670)</f>
        <v>75.599999999999994</v>
      </c>
      <c r="AL670" s="417" t="s">
        <v>210</v>
      </c>
      <c r="AM670" s="392" t="s">
        <v>210</v>
      </c>
      <c r="AN670" s="392" t="s">
        <v>210</v>
      </c>
      <c r="AO670" s="341" t="s">
        <v>210</v>
      </c>
      <c r="AP670" s="342"/>
      <c r="AQ670" s="433" t="s">
        <v>4547</v>
      </c>
      <c r="AR670" s="452">
        <v>874</v>
      </c>
      <c r="AS670" s="324">
        <v>120</v>
      </c>
      <c r="AT670" s="432">
        <v>0.8</v>
      </c>
      <c r="AU670" s="432"/>
      <c r="AV670" s="432">
        <v>1.6</v>
      </c>
      <c r="AW670" s="490"/>
      <c r="AX670" s="453" t="s">
        <v>210</v>
      </c>
      <c r="AY670" s="429" t="s">
        <v>622</v>
      </c>
      <c r="AZ670" s="405" t="s">
        <v>3367</v>
      </c>
      <c r="BA670" s="324" t="s">
        <v>210</v>
      </c>
      <c r="BB670" s="324" t="s">
        <v>210</v>
      </c>
      <c r="BC670" s="324" t="s">
        <v>3750</v>
      </c>
      <c r="BD670" s="324" t="s">
        <v>3749</v>
      </c>
      <c r="BE670" s="324" t="s">
        <v>3752</v>
      </c>
      <c r="BF670" s="324" t="s">
        <v>3739</v>
      </c>
      <c r="BG670" s="324" t="s">
        <v>3751</v>
      </c>
      <c r="BH670" s="426" t="s">
        <v>3739</v>
      </c>
      <c r="BI670" s="376"/>
      <c r="BJ670" s="431" t="s">
        <v>210</v>
      </c>
      <c r="BK670" s="412"/>
      <c r="BL670" s="413"/>
      <c r="BM670" s="414"/>
      <c r="BN670" s="321" t="s">
        <v>14</v>
      </c>
      <c r="BO670" s="372"/>
      <c r="BP670" s="373" t="s">
        <v>14</v>
      </c>
      <c r="BQ670" s="360"/>
      <c r="BR670" s="361"/>
      <c r="BS670" s="361"/>
      <c r="BT670" s="361"/>
      <c r="BU670" s="342" t="s">
        <v>210</v>
      </c>
      <c r="BV670" s="342" t="s">
        <v>210</v>
      </c>
      <c r="BW670" s="341" t="s">
        <v>210</v>
      </c>
      <c r="BX670" s="361"/>
      <c r="BY670" s="457"/>
      <c r="BZ670" s="363"/>
      <c r="CA670" s="363"/>
      <c r="CB670" s="363"/>
      <c r="CC670" s="363"/>
    </row>
    <row r="671" spans="2:81" ht="22.5" customHeight="1">
      <c r="B671" s="442">
        <v>160266</v>
      </c>
      <c r="C671" s="747" t="s">
        <v>7796</v>
      </c>
      <c r="D671" s="439"/>
      <c r="E671" s="404"/>
      <c r="F671" s="321" t="s">
        <v>308</v>
      </c>
      <c r="G671" s="326" t="s">
        <v>1850</v>
      </c>
      <c r="H671" s="326" t="s">
        <v>1851</v>
      </c>
      <c r="I671" s="326" t="s">
        <v>383</v>
      </c>
      <c r="J671" s="326" t="s">
        <v>399</v>
      </c>
      <c r="K671" s="326" t="s">
        <v>917</v>
      </c>
      <c r="L671" s="432" t="s">
        <v>210</v>
      </c>
      <c r="M671" s="324" t="s">
        <v>10767</v>
      </c>
      <c r="N671" s="325" t="s">
        <v>437</v>
      </c>
      <c r="O671" s="326">
        <v>150</v>
      </c>
      <c r="P671" s="327" t="s">
        <v>210</v>
      </c>
      <c r="Q671" s="369" t="s">
        <v>210</v>
      </c>
      <c r="R671" s="329" t="s">
        <v>1098</v>
      </c>
      <c r="S671" s="331" t="s">
        <v>13162</v>
      </c>
      <c r="T671" s="394" t="s">
        <v>12439</v>
      </c>
      <c r="U671" s="394" t="s">
        <v>16310</v>
      </c>
      <c r="V671" s="331" t="s">
        <v>13163</v>
      </c>
      <c r="W671" s="332" t="s">
        <v>432</v>
      </c>
      <c r="X671" s="331" t="s">
        <v>11079</v>
      </c>
      <c r="Y671" s="331" t="s">
        <v>11080</v>
      </c>
      <c r="Z671" s="331" t="s">
        <v>11080</v>
      </c>
      <c r="AA671" s="331" t="s">
        <v>210</v>
      </c>
      <c r="AB671" s="416"/>
      <c r="AC671" s="416"/>
      <c r="AD671" s="334" t="s">
        <v>2326</v>
      </c>
      <c r="AE671" s="499" t="s">
        <v>3742</v>
      </c>
      <c r="AF671" s="475">
        <v>42433</v>
      </c>
      <c r="AG671" s="748">
        <v>42640</v>
      </c>
      <c r="AH671" s="417">
        <v>11.5</v>
      </c>
      <c r="AI671" s="392">
        <v>24</v>
      </c>
      <c r="AJ671" s="392">
        <v>22.9</v>
      </c>
      <c r="AK671" s="455">
        <f>SUBTOTAL(9,AH671:AJ671)</f>
        <v>58.4</v>
      </c>
      <c r="AL671" s="417" t="s">
        <v>210</v>
      </c>
      <c r="AM671" s="392" t="s">
        <v>210</v>
      </c>
      <c r="AN671" s="392" t="s">
        <v>210</v>
      </c>
      <c r="AO671" s="341" t="s">
        <v>210</v>
      </c>
      <c r="AP671" s="342"/>
      <c r="AQ671" s="433" t="s">
        <v>4547</v>
      </c>
      <c r="AR671" s="452">
        <v>899</v>
      </c>
      <c r="AS671" s="324">
        <v>80</v>
      </c>
      <c r="AT671" s="432">
        <v>0.8</v>
      </c>
      <c r="AU671" s="432"/>
      <c r="AV671" s="432">
        <v>1.4</v>
      </c>
      <c r="AW671" s="490"/>
      <c r="AX671" s="453" t="s">
        <v>210</v>
      </c>
      <c r="AY671" s="455" t="s">
        <v>210</v>
      </c>
      <c r="AZ671" s="405" t="s">
        <v>3367</v>
      </c>
      <c r="BA671" s="324" t="s">
        <v>210</v>
      </c>
      <c r="BB671" s="324" t="s">
        <v>210</v>
      </c>
      <c r="BC671" s="324" t="s">
        <v>210</v>
      </c>
      <c r="BD671" s="324" t="s">
        <v>210</v>
      </c>
      <c r="BE671" s="326" t="s">
        <v>3740</v>
      </c>
      <c r="BF671" s="326" t="s">
        <v>3495</v>
      </c>
      <c r="BG671" s="324" t="s">
        <v>210</v>
      </c>
      <c r="BH671" s="426" t="s">
        <v>210</v>
      </c>
      <c r="BI671" s="376"/>
      <c r="BJ671" s="431" t="s">
        <v>3742</v>
      </c>
      <c r="BK671" s="412"/>
      <c r="BL671" s="413"/>
      <c r="BM671" s="414"/>
      <c r="BN671" s="321" t="s">
        <v>210</v>
      </c>
      <c r="BO671" s="372"/>
      <c r="BP671" s="373" t="s">
        <v>210</v>
      </c>
      <c r="BQ671" s="360"/>
      <c r="BR671" s="361"/>
      <c r="BS671" s="361"/>
      <c r="BT671" s="361"/>
      <c r="BU671" s="342" t="s">
        <v>210</v>
      </c>
      <c r="BV671" s="342" t="s">
        <v>210</v>
      </c>
      <c r="BW671" s="341" t="s">
        <v>210</v>
      </c>
      <c r="BX671" s="361"/>
      <c r="BY671" s="457"/>
      <c r="BZ671" s="363"/>
      <c r="CA671" s="363"/>
      <c r="CB671" s="363"/>
      <c r="CC671" s="363"/>
    </row>
    <row r="672" spans="2:81" ht="22.5" customHeight="1">
      <c r="B672" s="442">
        <v>160278</v>
      </c>
      <c r="C672" s="747" t="s">
        <v>3452</v>
      </c>
      <c r="D672" s="439"/>
      <c r="E672" s="404"/>
      <c r="F672" s="405" t="s">
        <v>237</v>
      </c>
      <c r="G672" s="324" t="s">
        <v>3447</v>
      </c>
      <c r="H672" s="324" t="s">
        <v>3453</v>
      </c>
      <c r="I672" s="326" t="s">
        <v>383</v>
      </c>
      <c r="J672" s="326" t="s">
        <v>399</v>
      </c>
      <c r="K672" s="326" t="s">
        <v>247</v>
      </c>
      <c r="L672" s="323"/>
      <c r="M672" s="408"/>
      <c r="N672" s="325" t="s">
        <v>437</v>
      </c>
      <c r="O672" s="324">
        <v>95</v>
      </c>
      <c r="P672" s="327" t="s">
        <v>210</v>
      </c>
      <c r="Q672" s="369" t="s">
        <v>210</v>
      </c>
      <c r="R672" s="329" t="s">
        <v>620</v>
      </c>
      <c r="S672" s="400"/>
      <c r="T672" s="400"/>
      <c r="U672" s="400"/>
      <c r="V672" s="400"/>
      <c r="W672" s="460" t="s">
        <v>3465</v>
      </c>
      <c r="X672" s="394" t="s">
        <v>13095</v>
      </c>
      <c r="Y672" s="394" t="s">
        <v>13096</v>
      </c>
      <c r="Z672" s="400"/>
      <c r="AA672" s="745" t="s">
        <v>13097</v>
      </c>
      <c r="AB672" s="416"/>
      <c r="AC672" s="416"/>
      <c r="AD672" s="334" t="s">
        <v>2910</v>
      </c>
      <c r="AE672" s="335" t="s">
        <v>210</v>
      </c>
      <c r="AF672" s="475">
        <v>42486</v>
      </c>
      <c r="AG672" s="748">
        <v>42613</v>
      </c>
      <c r="AH672" s="417" t="s">
        <v>210</v>
      </c>
      <c r="AI672" s="392" t="s">
        <v>210</v>
      </c>
      <c r="AJ672" s="392" t="s">
        <v>210</v>
      </c>
      <c r="AK672" s="340" t="s">
        <v>210</v>
      </c>
      <c r="AL672" s="417" t="s">
        <v>210</v>
      </c>
      <c r="AM672" s="392" t="s">
        <v>210</v>
      </c>
      <c r="AN672" s="392" t="s">
        <v>210</v>
      </c>
      <c r="AO672" s="341" t="s">
        <v>210</v>
      </c>
      <c r="AP672" s="342"/>
      <c r="AQ672" s="433" t="s">
        <v>4547</v>
      </c>
      <c r="AR672" s="452">
        <v>3249</v>
      </c>
      <c r="AS672" s="324">
        <v>80</v>
      </c>
      <c r="AT672" s="432">
        <v>1</v>
      </c>
      <c r="AU672" s="432"/>
      <c r="AV672" s="432">
        <v>2</v>
      </c>
      <c r="AW672" s="490"/>
      <c r="AX672" s="453" t="s">
        <v>210</v>
      </c>
      <c r="AY672" s="455" t="s">
        <v>210</v>
      </c>
      <c r="AZ672" s="405" t="s">
        <v>3367</v>
      </c>
      <c r="BA672" s="324" t="s">
        <v>210</v>
      </c>
      <c r="BB672" s="324" t="s">
        <v>210</v>
      </c>
      <c r="BC672" s="324" t="s">
        <v>4268</v>
      </c>
      <c r="BD672" s="324" t="s">
        <v>4269</v>
      </c>
      <c r="BE672" s="324" t="s">
        <v>4268</v>
      </c>
      <c r="BF672" s="324" t="s">
        <v>4269</v>
      </c>
      <c r="BG672" s="324" t="s">
        <v>4270</v>
      </c>
      <c r="BH672" s="426" t="s">
        <v>3559</v>
      </c>
      <c r="BI672" s="376"/>
      <c r="BJ672" s="431" t="s">
        <v>210</v>
      </c>
      <c r="BK672" s="412"/>
      <c r="BL672" s="413"/>
      <c r="BM672" s="414"/>
      <c r="BN672" s="417" t="s">
        <v>622</v>
      </c>
      <c r="BO672" s="372"/>
      <c r="BP672" s="340" t="s">
        <v>622</v>
      </c>
      <c r="BQ672" s="360"/>
      <c r="BR672" s="361"/>
      <c r="BS672" s="361"/>
      <c r="BT672" s="361"/>
      <c r="BU672" s="342" t="s">
        <v>210</v>
      </c>
      <c r="BV672" s="342" t="s">
        <v>210</v>
      </c>
      <c r="BW672" s="341" t="s">
        <v>210</v>
      </c>
      <c r="BX672" s="361"/>
      <c r="BY672" s="457"/>
      <c r="BZ672" s="363"/>
      <c r="CA672" s="363"/>
      <c r="CB672" s="363"/>
      <c r="CC672" s="363"/>
    </row>
    <row r="673" spans="1:82" ht="22.5" customHeight="1">
      <c r="B673" s="442">
        <v>160279</v>
      </c>
      <c r="C673" s="747" t="s">
        <v>3542</v>
      </c>
      <c r="D673" s="439"/>
      <c r="E673" s="404"/>
      <c r="F673" s="405" t="s">
        <v>237</v>
      </c>
      <c r="G673" s="324" t="s">
        <v>3543</v>
      </c>
      <c r="H673" s="324" t="s">
        <v>2536</v>
      </c>
      <c r="I673" s="326" t="s">
        <v>383</v>
      </c>
      <c r="J673" s="326" t="s">
        <v>399</v>
      </c>
      <c r="K673" s="324" t="s">
        <v>247</v>
      </c>
      <c r="L673" s="323"/>
      <c r="M673" s="408"/>
      <c r="N673" s="325" t="s">
        <v>437</v>
      </c>
      <c r="O673" s="324">
        <v>100</v>
      </c>
      <c r="P673" s="327" t="s">
        <v>210</v>
      </c>
      <c r="Q673" s="369" t="s">
        <v>210</v>
      </c>
      <c r="R673" s="329" t="s">
        <v>620</v>
      </c>
      <c r="S673" s="400"/>
      <c r="T673" s="400"/>
      <c r="U673" s="400"/>
      <c r="V673" s="400"/>
      <c r="W673" s="460" t="s">
        <v>3464</v>
      </c>
      <c r="X673" s="394" t="s">
        <v>13095</v>
      </c>
      <c r="Y673" s="394" t="s">
        <v>13096</v>
      </c>
      <c r="Z673" s="400"/>
      <c r="AA673" s="745" t="s">
        <v>13097</v>
      </c>
      <c r="AB673" s="416"/>
      <c r="AC673" s="416"/>
      <c r="AD673" s="334" t="s">
        <v>2910</v>
      </c>
      <c r="AE673" s="335" t="s">
        <v>210</v>
      </c>
      <c r="AF673" s="475">
        <v>42501</v>
      </c>
      <c r="AG673" s="748">
        <v>42613</v>
      </c>
      <c r="AH673" s="417" t="s">
        <v>210</v>
      </c>
      <c r="AI673" s="392" t="s">
        <v>210</v>
      </c>
      <c r="AJ673" s="392" t="s">
        <v>210</v>
      </c>
      <c r="AK673" s="340" t="s">
        <v>210</v>
      </c>
      <c r="AL673" s="417" t="s">
        <v>210</v>
      </c>
      <c r="AM673" s="392" t="s">
        <v>210</v>
      </c>
      <c r="AN673" s="392" t="s">
        <v>210</v>
      </c>
      <c r="AO673" s="341" t="s">
        <v>210</v>
      </c>
      <c r="AP673" s="342"/>
      <c r="AQ673" s="433" t="s">
        <v>4547</v>
      </c>
      <c r="AR673" s="452">
        <v>2950</v>
      </c>
      <c r="AS673" s="324">
        <v>80</v>
      </c>
      <c r="AT673" s="392">
        <v>1</v>
      </c>
      <c r="AU673" s="392"/>
      <c r="AV673" s="392">
        <v>1.5</v>
      </c>
      <c r="AW673" s="341"/>
      <c r="AX673" s="453" t="s">
        <v>210</v>
      </c>
      <c r="AY673" s="455" t="s">
        <v>210</v>
      </c>
      <c r="AZ673" s="405" t="s">
        <v>3367</v>
      </c>
      <c r="BA673" s="324" t="s">
        <v>210</v>
      </c>
      <c r="BB673" s="324" t="s">
        <v>210</v>
      </c>
      <c r="BC673" s="324" t="s">
        <v>3761</v>
      </c>
      <c r="BD673" s="324" t="s">
        <v>3512</v>
      </c>
      <c r="BE673" s="324" t="s">
        <v>3761</v>
      </c>
      <c r="BF673" s="324" t="s">
        <v>3772</v>
      </c>
      <c r="BG673" s="324" t="s">
        <v>210</v>
      </c>
      <c r="BH673" s="426" t="s">
        <v>210</v>
      </c>
      <c r="BI673" s="410"/>
      <c r="BJ673" s="427" t="s">
        <v>9793</v>
      </c>
      <c r="BK673" s="412"/>
      <c r="BL673" s="413"/>
      <c r="BM673" s="414"/>
      <c r="BN673" s="321" t="s">
        <v>210</v>
      </c>
      <c r="BO673" s="372"/>
      <c r="BP673" s="373" t="s">
        <v>14</v>
      </c>
      <c r="BQ673" s="360"/>
      <c r="BR673" s="361"/>
      <c r="BS673" s="361"/>
      <c r="BT673" s="361"/>
      <c r="BU673" s="342" t="s">
        <v>210</v>
      </c>
      <c r="BV673" s="342" t="s">
        <v>210</v>
      </c>
      <c r="BW673" s="341" t="s">
        <v>210</v>
      </c>
      <c r="BX673" s="361"/>
      <c r="BY673" s="457"/>
      <c r="BZ673" s="363"/>
      <c r="CA673" s="363"/>
      <c r="CB673" s="363"/>
      <c r="CC673" s="363"/>
    </row>
    <row r="674" spans="1:82" ht="22.5" customHeight="1">
      <c r="B674" s="442">
        <v>160280</v>
      </c>
      <c r="C674" s="747" t="s">
        <v>3449</v>
      </c>
      <c r="D674" s="439"/>
      <c r="E674" s="404"/>
      <c r="F674" s="405" t="s">
        <v>237</v>
      </c>
      <c r="G674" s="324" t="s">
        <v>3450</v>
      </c>
      <c r="H674" s="324" t="s">
        <v>3451</v>
      </c>
      <c r="I674" s="326" t="s">
        <v>383</v>
      </c>
      <c r="J674" s="326" t="s">
        <v>399</v>
      </c>
      <c r="K674" s="326" t="s">
        <v>247</v>
      </c>
      <c r="L674" s="323"/>
      <c r="M674" s="408"/>
      <c r="N674" s="325" t="s">
        <v>437</v>
      </c>
      <c r="O674" s="324">
        <v>85</v>
      </c>
      <c r="P674" s="327" t="s">
        <v>210</v>
      </c>
      <c r="Q674" s="369" t="s">
        <v>210</v>
      </c>
      <c r="R674" s="329" t="s">
        <v>620</v>
      </c>
      <c r="S674" s="400"/>
      <c r="T674" s="400"/>
      <c r="U674" s="400"/>
      <c r="V674" s="400"/>
      <c r="W674" s="460" t="s">
        <v>3464</v>
      </c>
      <c r="X674" s="394" t="s">
        <v>13095</v>
      </c>
      <c r="Y674" s="394" t="s">
        <v>13096</v>
      </c>
      <c r="Z674" s="400"/>
      <c r="AA674" s="745" t="s">
        <v>13097</v>
      </c>
      <c r="AB674" s="416"/>
      <c r="AC674" s="416"/>
      <c r="AD674" s="334" t="s">
        <v>2910</v>
      </c>
      <c r="AE674" s="335" t="s">
        <v>210</v>
      </c>
      <c r="AF674" s="475">
        <v>42486</v>
      </c>
      <c r="AG674" s="748">
        <v>42613</v>
      </c>
      <c r="AH674" s="417" t="s">
        <v>210</v>
      </c>
      <c r="AI674" s="392" t="s">
        <v>210</v>
      </c>
      <c r="AJ674" s="392" t="s">
        <v>210</v>
      </c>
      <c r="AK674" s="340" t="s">
        <v>210</v>
      </c>
      <c r="AL674" s="417" t="s">
        <v>210</v>
      </c>
      <c r="AM674" s="392" t="s">
        <v>210</v>
      </c>
      <c r="AN674" s="392" t="s">
        <v>622</v>
      </c>
      <c r="AO674" s="341" t="s">
        <v>210</v>
      </c>
      <c r="AP674" s="342"/>
      <c r="AQ674" s="433" t="s">
        <v>4547</v>
      </c>
      <c r="AR674" s="452">
        <v>3017</v>
      </c>
      <c r="AS674" s="324">
        <v>80</v>
      </c>
      <c r="AT674" s="432">
        <v>1</v>
      </c>
      <c r="AU674" s="432"/>
      <c r="AV674" s="432">
        <v>2</v>
      </c>
      <c r="AW674" s="490"/>
      <c r="AX674" s="453" t="s">
        <v>210</v>
      </c>
      <c r="AY674" s="455" t="s">
        <v>210</v>
      </c>
      <c r="AZ674" s="405" t="s">
        <v>3367</v>
      </c>
      <c r="BA674" s="324" t="s">
        <v>210</v>
      </c>
      <c r="BB674" s="324" t="s">
        <v>210</v>
      </c>
      <c r="BC674" s="324" t="s">
        <v>3778</v>
      </c>
      <c r="BD674" s="324" t="s">
        <v>3492</v>
      </c>
      <c r="BE674" s="324" t="s">
        <v>3769</v>
      </c>
      <c r="BF674" s="324" t="s">
        <v>3574</v>
      </c>
      <c r="BG674" s="324" t="s">
        <v>210</v>
      </c>
      <c r="BH674" s="426" t="s">
        <v>210</v>
      </c>
      <c r="BI674" s="376"/>
      <c r="BJ674" s="431" t="s">
        <v>210</v>
      </c>
      <c r="BK674" s="412"/>
      <c r="BL674" s="413"/>
      <c r="BM674" s="414"/>
      <c r="BN674" s="321" t="s">
        <v>210</v>
      </c>
      <c r="BO674" s="372"/>
      <c r="BP674" s="373" t="s">
        <v>14</v>
      </c>
      <c r="BQ674" s="360"/>
      <c r="BR674" s="361"/>
      <c r="BS674" s="361"/>
      <c r="BT674" s="361"/>
      <c r="BU674" s="342" t="s">
        <v>210</v>
      </c>
      <c r="BV674" s="342" t="s">
        <v>210</v>
      </c>
      <c r="BW674" s="341" t="s">
        <v>210</v>
      </c>
      <c r="BX674" s="361"/>
      <c r="BY674" s="457"/>
      <c r="BZ674" s="363"/>
      <c r="CA674" s="363"/>
      <c r="CB674" s="363"/>
      <c r="CC674" s="363"/>
    </row>
    <row r="675" spans="1:82" ht="22.5" customHeight="1">
      <c r="B675" s="442">
        <v>160281</v>
      </c>
      <c r="C675" s="747" t="s">
        <v>3448</v>
      </c>
      <c r="D675" s="439"/>
      <c r="E675" s="404"/>
      <c r="F675" s="405" t="s">
        <v>237</v>
      </c>
      <c r="G675" s="324" t="s">
        <v>3447</v>
      </c>
      <c r="H675" s="324" t="s">
        <v>2732</v>
      </c>
      <c r="I675" s="326" t="s">
        <v>383</v>
      </c>
      <c r="J675" s="326" t="s">
        <v>399</v>
      </c>
      <c r="K675" s="326" t="s">
        <v>247</v>
      </c>
      <c r="L675" s="323"/>
      <c r="M675" s="408"/>
      <c r="N675" s="325" t="s">
        <v>438</v>
      </c>
      <c r="O675" s="324">
        <v>95</v>
      </c>
      <c r="P675" s="458">
        <v>4752</v>
      </c>
      <c r="Q675" s="459">
        <v>4885</v>
      </c>
      <c r="R675" s="329" t="s">
        <v>600</v>
      </c>
      <c r="S675" s="400"/>
      <c r="T675" s="400"/>
      <c r="U675" s="400"/>
      <c r="V675" s="400"/>
      <c r="W675" s="460" t="s">
        <v>3461</v>
      </c>
      <c r="X675" s="394" t="s">
        <v>13092</v>
      </c>
      <c r="Y675" s="394" t="s">
        <v>13093</v>
      </c>
      <c r="Z675" s="394" t="s">
        <v>16515</v>
      </c>
      <c r="AA675" s="394" t="s">
        <v>13094</v>
      </c>
      <c r="AB675" s="416"/>
      <c r="AC675" s="416"/>
      <c r="AD675" s="334" t="s">
        <v>2910</v>
      </c>
      <c r="AE675" s="335" t="s">
        <v>210</v>
      </c>
      <c r="AF675" s="475">
        <v>42486</v>
      </c>
      <c r="AG675" s="748">
        <v>42613</v>
      </c>
      <c r="AH675" s="417" t="s">
        <v>210</v>
      </c>
      <c r="AI675" s="392" t="s">
        <v>210</v>
      </c>
      <c r="AJ675" s="392" t="s">
        <v>210</v>
      </c>
      <c r="AK675" s="340" t="s">
        <v>210</v>
      </c>
      <c r="AL675" s="417" t="s">
        <v>210</v>
      </c>
      <c r="AM675" s="392" t="s">
        <v>210</v>
      </c>
      <c r="AN675" s="392" t="s">
        <v>622</v>
      </c>
      <c r="AO675" s="341" t="s">
        <v>210</v>
      </c>
      <c r="AP675" s="342"/>
      <c r="AQ675" s="433" t="s">
        <v>4547</v>
      </c>
      <c r="AR675" s="452">
        <v>5437</v>
      </c>
      <c r="AS675" s="324">
        <v>80</v>
      </c>
      <c r="AT675" s="432">
        <v>1</v>
      </c>
      <c r="AU675" s="432"/>
      <c r="AV675" s="432">
        <v>2</v>
      </c>
      <c r="AW675" s="490"/>
      <c r="AX675" s="453" t="s">
        <v>210</v>
      </c>
      <c r="AY675" s="455" t="s">
        <v>210</v>
      </c>
      <c r="AZ675" s="405" t="s">
        <v>622</v>
      </c>
      <c r="BA675" s="324" t="s">
        <v>3777</v>
      </c>
      <c r="BB675" s="324" t="s">
        <v>3492</v>
      </c>
      <c r="BC675" s="324" t="s">
        <v>3760</v>
      </c>
      <c r="BD675" s="324" t="s">
        <v>3492</v>
      </c>
      <c r="BE675" s="324" t="s">
        <v>3777</v>
      </c>
      <c r="BF675" s="324" t="s">
        <v>3492</v>
      </c>
      <c r="BG675" s="324" t="s">
        <v>210</v>
      </c>
      <c r="BH675" s="426" t="s">
        <v>210</v>
      </c>
      <c r="BI675" s="410"/>
      <c r="BJ675" s="427" t="s">
        <v>9793</v>
      </c>
      <c r="BK675" s="412"/>
      <c r="BL675" s="413"/>
      <c r="BM675" s="414"/>
      <c r="BN675" s="321" t="s">
        <v>210</v>
      </c>
      <c r="BO675" s="372"/>
      <c r="BP675" s="373" t="s">
        <v>14</v>
      </c>
      <c r="BQ675" s="360"/>
      <c r="BR675" s="361"/>
      <c r="BS675" s="361"/>
      <c r="BT675" s="361"/>
      <c r="BU675" s="342" t="s">
        <v>210</v>
      </c>
      <c r="BV675" s="342" t="s">
        <v>210</v>
      </c>
      <c r="BW675" s="341" t="s">
        <v>210</v>
      </c>
      <c r="BX675" s="361"/>
      <c r="BY675" s="457"/>
      <c r="BZ675" s="363"/>
      <c r="CA675" s="363"/>
      <c r="CB675" s="363"/>
      <c r="CC675" s="363"/>
    </row>
    <row r="676" spans="1:82" ht="22.5" customHeight="1">
      <c r="B676" s="442">
        <v>160282</v>
      </c>
      <c r="C676" s="747" t="s">
        <v>3446</v>
      </c>
      <c r="D676" s="439"/>
      <c r="E676" s="404"/>
      <c r="F676" s="405" t="s">
        <v>237</v>
      </c>
      <c r="G676" s="324" t="s">
        <v>3447</v>
      </c>
      <c r="H676" s="324" t="s">
        <v>2732</v>
      </c>
      <c r="I676" s="326" t="s">
        <v>383</v>
      </c>
      <c r="J676" s="326" t="s">
        <v>399</v>
      </c>
      <c r="K676" s="326" t="s">
        <v>247</v>
      </c>
      <c r="L676" s="323"/>
      <c r="M676" s="408"/>
      <c r="N676" s="325" t="s">
        <v>438</v>
      </c>
      <c r="O676" s="324">
        <v>95</v>
      </c>
      <c r="P676" s="327" t="s">
        <v>210</v>
      </c>
      <c r="Q676" s="369" t="s">
        <v>210</v>
      </c>
      <c r="R676" s="329" t="s">
        <v>600</v>
      </c>
      <c r="S676" s="400"/>
      <c r="T676" s="400"/>
      <c r="U676" s="400"/>
      <c r="V676" s="400"/>
      <c r="W676" s="460" t="s">
        <v>3461</v>
      </c>
      <c r="X676" s="394" t="s">
        <v>13092</v>
      </c>
      <c r="Y676" s="394" t="s">
        <v>13093</v>
      </c>
      <c r="Z676" s="394" t="s">
        <v>16515</v>
      </c>
      <c r="AA676" s="394" t="s">
        <v>13094</v>
      </c>
      <c r="AB676" s="416"/>
      <c r="AC676" s="416"/>
      <c r="AD676" s="334" t="s">
        <v>2910</v>
      </c>
      <c r="AE676" s="499" t="s">
        <v>4170</v>
      </c>
      <c r="AF676" s="475">
        <v>42486</v>
      </c>
      <c r="AG676" s="748">
        <v>42613</v>
      </c>
      <c r="AH676" s="417" t="s">
        <v>210</v>
      </c>
      <c r="AI676" s="392" t="s">
        <v>210</v>
      </c>
      <c r="AJ676" s="392" t="s">
        <v>210</v>
      </c>
      <c r="AK676" s="340" t="s">
        <v>210</v>
      </c>
      <c r="AL676" s="417" t="s">
        <v>210</v>
      </c>
      <c r="AM676" s="392" t="s">
        <v>210</v>
      </c>
      <c r="AN676" s="392" t="s">
        <v>622</v>
      </c>
      <c r="AO676" s="341" t="s">
        <v>210</v>
      </c>
      <c r="AP676" s="342"/>
      <c r="AQ676" s="433" t="s">
        <v>4547</v>
      </c>
      <c r="AR676" s="452">
        <v>3980</v>
      </c>
      <c r="AS676" s="324">
        <v>80</v>
      </c>
      <c r="AT676" s="432">
        <v>1</v>
      </c>
      <c r="AU676" s="432"/>
      <c r="AV676" s="432">
        <v>2</v>
      </c>
      <c r="AW676" s="490"/>
      <c r="AX676" s="453" t="s">
        <v>210</v>
      </c>
      <c r="AY676" s="455" t="s">
        <v>210</v>
      </c>
      <c r="AZ676" s="405" t="s">
        <v>622</v>
      </c>
      <c r="BA676" s="324" t="s">
        <v>3459</v>
      </c>
      <c r="BB676" s="324" t="s">
        <v>3492</v>
      </c>
      <c r="BC676" s="324" t="s">
        <v>3770</v>
      </c>
      <c r="BD676" s="324" t="s">
        <v>3492</v>
      </c>
      <c r="BE676" s="324" t="s">
        <v>210</v>
      </c>
      <c r="BF676" s="324" t="s">
        <v>210</v>
      </c>
      <c r="BG676" s="324" t="s">
        <v>210</v>
      </c>
      <c r="BH676" s="426" t="s">
        <v>210</v>
      </c>
      <c r="BI676" s="410"/>
      <c r="BJ676" s="427" t="s">
        <v>9793</v>
      </c>
      <c r="BK676" s="412"/>
      <c r="BL676" s="413"/>
      <c r="BM676" s="414"/>
      <c r="BN676" s="321" t="s">
        <v>210</v>
      </c>
      <c r="BO676" s="372"/>
      <c r="BP676" s="373" t="s">
        <v>14</v>
      </c>
      <c r="BQ676" s="360"/>
      <c r="BR676" s="361"/>
      <c r="BS676" s="361"/>
      <c r="BT676" s="361"/>
      <c r="BU676" s="342" t="s">
        <v>210</v>
      </c>
      <c r="BV676" s="342" t="s">
        <v>210</v>
      </c>
      <c r="BW676" s="341" t="s">
        <v>210</v>
      </c>
      <c r="BX676" s="361"/>
      <c r="BY676" s="457"/>
      <c r="BZ676" s="363"/>
      <c r="CA676" s="363"/>
      <c r="CB676" s="363"/>
      <c r="CC676" s="363"/>
    </row>
    <row r="677" spans="1:82" ht="22.5" customHeight="1">
      <c r="B677" s="442">
        <v>160286</v>
      </c>
      <c r="C677" s="747" t="s">
        <v>3654</v>
      </c>
      <c r="D677" s="439"/>
      <c r="E677" s="404"/>
      <c r="F677" s="405" t="s">
        <v>1043</v>
      </c>
      <c r="G677" s="324" t="s">
        <v>3655</v>
      </c>
      <c r="H677" s="324" t="s">
        <v>3656</v>
      </c>
      <c r="I677" s="326" t="s">
        <v>383</v>
      </c>
      <c r="J677" s="326" t="s">
        <v>399</v>
      </c>
      <c r="K677" s="324" t="s">
        <v>977</v>
      </c>
      <c r="L677" s="787">
        <v>15</v>
      </c>
      <c r="M677" s="408"/>
      <c r="N677" s="325" t="s">
        <v>438</v>
      </c>
      <c r="O677" s="324">
        <v>140</v>
      </c>
      <c r="P677" s="458">
        <v>1000</v>
      </c>
      <c r="Q677" s="459">
        <v>1022</v>
      </c>
      <c r="R677" s="329" t="s">
        <v>1057</v>
      </c>
      <c r="S677" s="394" t="s">
        <v>11283</v>
      </c>
      <c r="T677" s="394" t="s">
        <v>11284</v>
      </c>
      <c r="U677" s="394" t="s">
        <v>16292</v>
      </c>
      <c r="V677" s="394" t="s">
        <v>11285</v>
      </c>
      <c r="W677" s="332" t="s">
        <v>432</v>
      </c>
      <c r="X677" s="331" t="s">
        <v>11079</v>
      </c>
      <c r="Y677" s="331" t="s">
        <v>11080</v>
      </c>
      <c r="Z677" s="331" t="s">
        <v>11080</v>
      </c>
      <c r="AA677" s="331" t="s">
        <v>210</v>
      </c>
      <c r="AB677" s="333" t="s">
        <v>1070</v>
      </c>
      <c r="AC677" s="333"/>
      <c r="AD677" s="334" t="s">
        <v>2337</v>
      </c>
      <c r="AE677" s="499" t="s">
        <v>4171</v>
      </c>
      <c r="AF677" s="475">
        <v>42542</v>
      </c>
      <c r="AG677" s="748">
        <v>42608</v>
      </c>
      <c r="AH677" s="417" t="s">
        <v>210</v>
      </c>
      <c r="AI677" s="392" t="s">
        <v>210</v>
      </c>
      <c r="AJ677" s="392" t="s">
        <v>210</v>
      </c>
      <c r="AK677" s="340" t="s">
        <v>210</v>
      </c>
      <c r="AL677" s="417" t="s">
        <v>210</v>
      </c>
      <c r="AM677" s="392" t="s">
        <v>210</v>
      </c>
      <c r="AN677" s="392" t="s">
        <v>210</v>
      </c>
      <c r="AO677" s="341" t="s">
        <v>210</v>
      </c>
      <c r="AP677" s="342"/>
      <c r="AQ677" s="433" t="s">
        <v>4547</v>
      </c>
      <c r="AR677" s="452">
        <v>1339</v>
      </c>
      <c r="AS677" s="326">
        <v>150</v>
      </c>
      <c r="AT677" s="432">
        <v>1</v>
      </c>
      <c r="AU677" s="432"/>
      <c r="AV677" s="432">
        <v>1</v>
      </c>
      <c r="AW677" s="490"/>
      <c r="AX677" s="453" t="s">
        <v>210</v>
      </c>
      <c r="AY677" s="429" t="s">
        <v>622</v>
      </c>
      <c r="AZ677" s="405" t="s">
        <v>3367</v>
      </c>
      <c r="BA677" s="324" t="s">
        <v>210</v>
      </c>
      <c r="BB677" s="324" t="s">
        <v>210</v>
      </c>
      <c r="BC677" s="324" t="s">
        <v>210</v>
      </c>
      <c r="BD677" s="324" t="s">
        <v>210</v>
      </c>
      <c r="BE677" s="324" t="s">
        <v>210</v>
      </c>
      <c r="BF677" s="324" t="s">
        <v>210</v>
      </c>
      <c r="BG677" s="324" t="s">
        <v>3806</v>
      </c>
      <c r="BH677" s="426" t="s">
        <v>3434</v>
      </c>
      <c r="BI677" s="410"/>
      <c r="BJ677" s="427" t="s">
        <v>210</v>
      </c>
      <c r="BK677" s="412"/>
      <c r="BL677" s="413"/>
      <c r="BM677" s="414"/>
      <c r="BN677" s="321" t="s">
        <v>14</v>
      </c>
      <c r="BO677" s="372">
        <v>2.14</v>
      </c>
      <c r="BP677" s="340" t="s">
        <v>210</v>
      </c>
      <c r="BQ677" s="360"/>
      <c r="BR677" s="361"/>
      <c r="BS677" s="361"/>
      <c r="BT677" s="361"/>
      <c r="BU677" s="342" t="s">
        <v>210</v>
      </c>
      <c r="BV677" s="342" t="s">
        <v>210</v>
      </c>
      <c r="BW677" s="341" t="s">
        <v>210</v>
      </c>
      <c r="BX677" s="361"/>
      <c r="BY677" s="457"/>
      <c r="BZ677" s="363"/>
      <c r="CA677" s="363"/>
      <c r="CB677" s="363"/>
      <c r="CC677" s="363"/>
    </row>
    <row r="678" spans="1:82" ht="22.5" customHeight="1">
      <c r="B678" s="442">
        <v>160287</v>
      </c>
      <c r="C678" s="747" t="s">
        <v>3748</v>
      </c>
      <c r="D678" s="439"/>
      <c r="E678" s="404"/>
      <c r="F678" s="405" t="s">
        <v>3621</v>
      </c>
      <c r="G678" s="324" t="s">
        <v>3622</v>
      </c>
      <c r="H678" s="324" t="s">
        <v>3623</v>
      </c>
      <c r="I678" s="326" t="s">
        <v>383</v>
      </c>
      <c r="J678" s="326" t="s">
        <v>399</v>
      </c>
      <c r="K678" s="324" t="s">
        <v>247</v>
      </c>
      <c r="L678" s="826" t="s">
        <v>4589</v>
      </c>
      <c r="M678" s="408"/>
      <c r="N678" s="325" t="s">
        <v>437</v>
      </c>
      <c r="O678" s="324">
        <v>30</v>
      </c>
      <c r="P678" s="327" t="s">
        <v>210</v>
      </c>
      <c r="Q678" s="369" t="s">
        <v>210</v>
      </c>
      <c r="R678" s="329" t="s">
        <v>3743</v>
      </c>
      <c r="S678" s="394" t="s">
        <v>13089</v>
      </c>
      <c r="T678" s="394" t="s">
        <v>13090</v>
      </c>
      <c r="U678" s="394" t="s">
        <v>16257</v>
      </c>
      <c r="V678" s="394" t="s">
        <v>13091</v>
      </c>
      <c r="W678" s="460" t="s">
        <v>4311</v>
      </c>
      <c r="X678" s="400"/>
      <c r="Y678" s="400"/>
      <c r="Z678" s="400"/>
      <c r="AA678" s="400"/>
      <c r="AB678" s="416"/>
      <c r="AC678" s="416"/>
      <c r="AD678" s="447" t="s">
        <v>3741</v>
      </c>
      <c r="AE678" s="499" t="s">
        <v>3742</v>
      </c>
      <c r="AF678" s="475">
        <v>42521</v>
      </c>
      <c r="AG678" s="748">
        <v>42555</v>
      </c>
      <c r="AH678" s="417" t="s">
        <v>210</v>
      </c>
      <c r="AI678" s="392" t="s">
        <v>210</v>
      </c>
      <c r="AJ678" s="392" t="s">
        <v>210</v>
      </c>
      <c r="AK678" s="340" t="s">
        <v>210</v>
      </c>
      <c r="AL678" s="417" t="s">
        <v>210</v>
      </c>
      <c r="AM678" s="392" t="s">
        <v>210</v>
      </c>
      <c r="AN678" s="392" t="s">
        <v>210</v>
      </c>
      <c r="AO678" s="341" t="s">
        <v>210</v>
      </c>
      <c r="AP678" s="342"/>
      <c r="AQ678" s="433" t="s">
        <v>4547</v>
      </c>
      <c r="AR678" s="452">
        <v>6417</v>
      </c>
      <c r="AS678" s="326">
        <v>100</v>
      </c>
      <c r="AT678" s="432">
        <v>1</v>
      </c>
      <c r="AU678" s="432"/>
      <c r="AV678" s="432">
        <v>1</v>
      </c>
      <c r="AW678" s="490"/>
      <c r="AX678" s="453" t="s">
        <v>210</v>
      </c>
      <c r="AY678" s="455" t="s">
        <v>210</v>
      </c>
      <c r="AZ678" s="405" t="s">
        <v>3367</v>
      </c>
      <c r="BA678" s="324" t="s">
        <v>210</v>
      </c>
      <c r="BB678" s="324" t="s">
        <v>210</v>
      </c>
      <c r="BC678" s="324" t="s">
        <v>3975</v>
      </c>
      <c r="BD678" s="324" t="s">
        <v>3985</v>
      </c>
      <c r="BE678" s="324" t="s">
        <v>210</v>
      </c>
      <c r="BF678" s="324" t="s">
        <v>210</v>
      </c>
      <c r="BG678" s="324" t="s">
        <v>3977</v>
      </c>
      <c r="BH678" s="426" t="s">
        <v>3985</v>
      </c>
      <c r="BI678" s="410"/>
      <c r="BJ678" s="427" t="s">
        <v>210</v>
      </c>
      <c r="BK678" s="412"/>
      <c r="BL678" s="413"/>
      <c r="BM678" s="414"/>
      <c r="BN678" s="321" t="s">
        <v>14</v>
      </c>
      <c r="BO678" s="372">
        <v>1.42</v>
      </c>
      <c r="BP678" s="373" t="s">
        <v>3714</v>
      </c>
      <c r="BQ678" s="360"/>
      <c r="BR678" s="361"/>
      <c r="BS678" s="361"/>
      <c r="BT678" s="361"/>
      <c r="BU678" s="342" t="s">
        <v>210</v>
      </c>
      <c r="BV678" s="342" t="s">
        <v>210</v>
      </c>
      <c r="BW678" s="341" t="s">
        <v>210</v>
      </c>
      <c r="BX678" s="361"/>
      <c r="BY678" s="457"/>
      <c r="BZ678" s="363"/>
      <c r="CA678" s="363"/>
      <c r="CB678" s="363"/>
      <c r="CC678" s="363"/>
    </row>
    <row r="679" spans="1:82" ht="22.5" customHeight="1">
      <c r="B679" s="442">
        <v>160289</v>
      </c>
      <c r="C679" s="747" t="s">
        <v>3544</v>
      </c>
      <c r="D679" s="439"/>
      <c r="E679" s="404"/>
      <c r="F679" s="405" t="s">
        <v>1043</v>
      </c>
      <c r="G679" s="324" t="s">
        <v>3545</v>
      </c>
      <c r="H679" s="324" t="s">
        <v>3546</v>
      </c>
      <c r="I679" s="326" t="s">
        <v>1066</v>
      </c>
      <c r="J679" s="326" t="s">
        <v>216</v>
      </c>
      <c r="K679" s="326" t="s">
        <v>203</v>
      </c>
      <c r="L679" s="432" t="s">
        <v>210</v>
      </c>
      <c r="M679" s="408"/>
      <c r="N679" s="325" t="s">
        <v>521</v>
      </c>
      <c r="O679" s="324">
        <v>70</v>
      </c>
      <c r="P679" s="327" t="s">
        <v>210</v>
      </c>
      <c r="Q679" s="369" t="s">
        <v>210</v>
      </c>
      <c r="R679" s="329" t="s">
        <v>3550</v>
      </c>
      <c r="S679" s="394" t="s">
        <v>12390</v>
      </c>
      <c r="T679" s="394" t="s">
        <v>12392</v>
      </c>
      <c r="U679" s="394" t="s">
        <v>16262</v>
      </c>
      <c r="V679" s="394" t="s">
        <v>12391</v>
      </c>
      <c r="W679" s="460" t="s">
        <v>3547</v>
      </c>
      <c r="X679" s="394" t="s">
        <v>13088</v>
      </c>
      <c r="Y679" s="394" t="s">
        <v>13087</v>
      </c>
      <c r="Z679" s="394" t="s">
        <v>16265</v>
      </c>
      <c r="AA679" s="394" t="s">
        <v>13086</v>
      </c>
      <c r="AB679" s="416"/>
      <c r="AC679" s="416"/>
      <c r="AD679" s="447" t="s">
        <v>3674</v>
      </c>
      <c r="AE679" s="335" t="s">
        <v>210</v>
      </c>
      <c r="AF679" s="475">
        <v>42501</v>
      </c>
      <c r="AG679" s="748">
        <v>42585</v>
      </c>
      <c r="AH679" s="417" t="s">
        <v>210</v>
      </c>
      <c r="AI679" s="392" t="s">
        <v>210</v>
      </c>
      <c r="AJ679" s="392" t="s">
        <v>210</v>
      </c>
      <c r="AK679" s="340" t="s">
        <v>210</v>
      </c>
      <c r="AL679" s="417" t="s">
        <v>210</v>
      </c>
      <c r="AM679" s="392" t="s">
        <v>210</v>
      </c>
      <c r="AN679" s="392" t="s">
        <v>210</v>
      </c>
      <c r="AO679" s="341" t="s">
        <v>210</v>
      </c>
      <c r="AP679" s="342"/>
      <c r="AQ679" s="433" t="s">
        <v>4548</v>
      </c>
      <c r="AR679" s="452">
        <v>271</v>
      </c>
      <c r="AS679" s="324">
        <v>110</v>
      </c>
      <c r="AT679" s="432">
        <v>1</v>
      </c>
      <c r="AU679" s="432"/>
      <c r="AV679" s="432">
        <v>1</v>
      </c>
      <c r="AW679" s="490"/>
      <c r="AX679" s="453" t="s">
        <v>210</v>
      </c>
      <c r="AY679" s="429" t="s">
        <v>622</v>
      </c>
      <c r="AZ679" s="405" t="s">
        <v>3367</v>
      </c>
      <c r="BA679" s="324" t="s">
        <v>210</v>
      </c>
      <c r="BB679" s="324" t="s">
        <v>210</v>
      </c>
      <c r="BC679" s="324" t="s">
        <v>210</v>
      </c>
      <c r="BD679" s="324" t="s">
        <v>210</v>
      </c>
      <c r="BE679" s="324" t="s">
        <v>3671</v>
      </c>
      <c r="BF679" s="324" t="s">
        <v>3494</v>
      </c>
      <c r="BG679" s="324" t="s">
        <v>3672</v>
      </c>
      <c r="BH679" s="426" t="s">
        <v>3574</v>
      </c>
      <c r="BI679" s="410"/>
      <c r="BJ679" s="427" t="s">
        <v>210</v>
      </c>
      <c r="BK679" s="412"/>
      <c r="BL679" s="413"/>
      <c r="BM679" s="414"/>
      <c r="BN679" s="321" t="s">
        <v>14</v>
      </c>
      <c r="BO679" s="372">
        <v>1.21</v>
      </c>
      <c r="BP679" s="373" t="s">
        <v>210</v>
      </c>
      <c r="BQ679" s="360"/>
      <c r="BR679" s="361"/>
      <c r="BS679" s="361"/>
      <c r="BT679" s="361"/>
      <c r="BU679" s="342" t="s">
        <v>210</v>
      </c>
      <c r="BV679" s="342" t="s">
        <v>210</v>
      </c>
      <c r="BW679" s="341" t="s">
        <v>210</v>
      </c>
      <c r="BX679" s="361"/>
      <c r="BY679" s="457"/>
      <c r="BZ679" s="363"/>
      <c r="CA679" s="363"/>
      <c r="CB679" s="363"/>
      <c r="CC679" s="363"/>
    </row>
    <row r="680" spans="1:82" ht="22.5" customHeight="1">
      <c r="B680" s="442">
        <v>160290</v>
      </c>
      <c r="C680" s="747" t="s">
        <v>7789</v>
      </c>
      <c r="D680" s="439"/>
      <c r="E680" s="404"/>
      <c r="F680" s="405" t="s">
        <v>238</v>
      </c>
      <c r="G680" s="324" t="s">
        <v>3736</v>
      </c>
      <c r="H680" s="324" t="s">
        <v>3737</v>
      </c>
      <c r="I680" s="326" t="s">
        <v>383</v>
      </c>
      <c r="J680" s="326" t="s">
        <v>399</v>
      </c>
      <c r="K680" s="326" t="s">
        <v>917</v>
      </c>
      <c r="L680" s="432" t="s">
        <v>210</v>
      </c>
      <c r="M680" s="324" t="s">
        <v>10767</v>
      </c>
      <c r="N680" s="325" t="s">
        <v>438</v>
      </c>
      <c r="O680" s="324">
        <v>30</v>
      </c>
      <c r="P680" s="327" t="s">
        <v>210</v>
      </c>
      <c r="Q680" s="369" t="s">
        <v>210</v>
      </c>
      <c r="R680" s="329" t="s">
        <v>3649</v>
      </c>
      <c r="S680" s="394" t="s">
        <v>12962</v>
      </c>
      <c r="T680" s="331" t="s">
        <v>11322</v>
      </c>
      <c r="U680" s="331" t="s">
        <v>11327</v>
      </c>
      <c r="V680" s="394" t="s">
        <v>12963</v>
      </c>
      <c r="W680" s="460" t="s">
        <v>8025</v>
      </c>
      <c r="X680" s="394" t="s">
        <v>11499</v>
      </c>
      <c r="Y680" s="394" t="s">
        <v>11329</v>
      </c>
      <c r="Z680" s="394" t="s">
        <v>11502</v>
      </c>
      <c r="AA680" s="394" t="s">
        <v>11504</v>
      </c>
      <c r="AB680" s="416"/>
      <c r="AC680" s="416"/>
      <c r="AD680" s="334" t="s">
        <v>2327</v>
      </c>
      <c r="AE680" s="828" t="s">
        <v>946</v>
      </c>
      <c r="AF680" s="475">
        <v>42503</v>
      </c>
      <c r="AG680" s="748">
        <v>42558</v>
      </c>
      <c r="AH680" s="417" t="s">
        <v>210</v>
      </c>
      <c r="AI680" s="392" t="s">
        <v>210</v>
      </c>
      <c r="AJ680" s="392" t="s">
        <v>210</v>
      </c>
      <c r="AK680" s="340" t="s">
        <v>210</v>
      </c>
      <c r="AL680" s="417" t="s">
        <v>210</v>
      </c>
      <c r="AM680" s="392" t="s">
        <v>210</v>
      </c>
      <c r="AN680" s="392" t="s">
        <v>210</v>
      </c>
      <c r="AO680" s="341" t="s">
        <v>210</v>
      </c>
      <c r="AP680" s="342"/>
      <c r="AQ680" s="433" t="s">
        <v>4547</v>
      </c>
      <c r="AR680" s="452">
        <v>4966</v>
      </c>
      <c r="AS680" s="324">
        <v>100</v>
      </c>
      <c r="AT680" s="432">
        <v>1</v>
      </c>
      <c r="AU680" s="432"/>
      <c r="AV680" s="432">
        <v>1.5</v>
      </c>
      <c r="AW680" s="490"/>
      <c r="AX680" s="453" t="s">
        <v>210</v>
      </c>
      <c r="AY680" s="455" t="s">
        <v>210</v>
      </c>
      <c r="AZ680" s="405" t="s">
        <v>3367</v>
      </c>
      <c r="BA680" s="324" t="s">
        <v>210</v>
      </c>
      <c r="BB680" s="324" t="s">
        <v>210</v>
      </c>
      <c r="BC680" s="324" t="s">
        <v>3740</v>
      </c>
      <c r="BD680" s="324" t="s">
        <v>3739</v>
      </c>
      <c r="BE680" s="324" t="s">
        <v>3738</v>
      </c>
      <c r="BF680" s="324" t="s">
        <v>3739</v>
      </c>
      <c r="BG680" s="324" t="s">
        <v>3738</v>
      </c>
      <c r="BH680" s="426" t="s">
        <v>3739</v>
      </c>
      <c r="BI680" s="410"/>
      <c r="BJ680" s="427" t="s">
        <v>210</v>
      </c>
      <c r="BK680" s="412"/>
      <c r="BL680" s="413"/>
      <c r="BM680" s="414"/>
      <c r="BN680" s="321" t="s">
        <v>14</v>
      </c>
      <c r="BO680" s="372"/>
      <c r="BP680" s="373" t="s">
        <v>210</v>
      </c>
      <c r="BQ680" s="360"/>
      <c r="BR680" s="361"/>
      <c r="BS680" s="361"/>
      <c r="BT680" s="361"/>
      <c r="BU680" s="342" t="s">
        <v>210</v>
      </c>
      <c r="BV680" s="342" t="s">
        <v>210</v>
      </c>
      <c r="BW680" s="341" t="s">
        <v>210</v>
      </c>
      <c r="BX680" s="361"/>
      <c r="BY680" s="457"/>
      <c r="BZ680" s="363"/>
      <c r="CA680" s="363"/>
      <c r="CB680" s="363"/>
      <c r="CC680" s="363"/>
    </row>
    <row r="681" spans="1:82" ht="22.5" customHeight="1">
      <c r="B681" s="442">
        <v>160291</v>
      </c>
      <c r="C681" s="747" t="s">
        <v>3576</v>
      </c>
      <c r="D681" s="439"/>
      <c r="E681" s="404"/>
      <c r="F681" s="405" t="s">
        <v>3577</v>
      </c>
      <c r="G681" s="324" t="s">
        <v>3578</v>
      </c>
      <c r="H681" s="324" t="s">
        <v>3579</v>
      </c>
      <c r="I681" s="326" t="s">
        <v>383</v>
      </c>
      <c r="J681" s="326" t="s">
        <v>399</v>
      </c>
      <c r="K681" s="326" t="s">
        <v>917</v>
      </c>
      <c r="L681" s="432" t="s">
        <v>210</v>
      </c>
      <c r="M681" s="324" t="s">
        <v>10767</v>
      </c>
      <c r="N681" s="325" t="s">
        <v>438</v>
      </c>
      <c r="O681" s="324">
        <v>30</v>
      </c>
      <c r="P681" s="327" t="s">
        <v>210</v>
      </c>
      <c r="Q681" s="369" t="s">
        <v>210</v>
      </c>
      <c r="R681" s="329" t="s">
        <v>469</v>
      </c>
      <c r="S681" s="331" t="s">
        <v>12965</v>
      </c>
      <c r="T681" s="394" t="s">
        <v>11205</v>
      </c>
      <c r="U681" s="394" t="s">
        <v>11207</v>
      </c>
      <c r="V681" s="331" t="s">
        <v>12966</v>
      </c>
      <c r="W681" s="332" t="s">
        <v>432</v>
      </c>
      <c r="X681" s="331" t="s">
        <v>11079</v>
      </c>
      <c r="Y681" s="331" t="s">
        <v>11080</v>
      </c>
      <c r="Z681" s="331" t="s">
        <v>11080</v>
      </c>
      <c r="AA681" s="331" t="s">
        <v>210</v>
      </c>
      <c r="AB681" s="333" t="s">
        <v>3575</v>
      </c>
      <c r="AC681" s="333"/>
      <c r="AD681" s="334" t="s">
        <v>2325</v>
      </c>
      <c r="AE681" s="499" t="s">
        <v>4211</v>
      </c>
      <c r="AF681" s="475">
        <v>42496</v>
      </c>
      <c r="AG681" s="748">
        <v>42676</v>
      </c>
      <c r="AH681" s="417">
        <v>6.1</v>
      </c>
      <c r="AI681" s="392">
        <v>15.4</v>
      </c>
      <c r="AJ681" s="392">
        <v>14</v>
      </c>
      <c r="AK681" s="455">
        <f>SUBTOTAL(9,AH681:AJ681)</f>
        <v>35.5</v>
      </c>
      <c r="AL681" s="417" t="s">
        <v>210</v>
      </c>
      <c r="AM681" s="392" t="s">
        <v>210</v>
      </c>
      <c r="AN681" s="392" t="s">
        <v>210</v>
      </c>
      <c r="AO681" s="341" t="s">
        <v>210</v>
      </c>
      <c r="AP681" s="342"/>
      <c r="AQ681" s="433" t="s">
        <v>4547</v>
      </c>
      <c r="AR681" s="452">
        <v>3474</v>
      </c>
      <c r="AS681" s="324">
        <v>80</v>
      </c>
      <c r="AT681" s="432">
        <v>0.8</v>
      </c>
      <c r="AU681" s="432"/>
      <c r="AV681" s="432">
        <v>1.4</v>
      </c>
      <c r="AW681" s="490"/>
      <c r="AX681" s="453" t="s">
        <v>210</v>
      </c>
      <c r="AY681" s="429" t="s">
        <v>622</v>
      </c>
      <c r="AZ681" s="405" t="s">
        <v>3367</v>
      </c>
      <c r="BA681" s="324" t="s">
        <v>210</v>
      </c>
      <c r="BB681" s="324" t="s">
        <v>210</v>
      </c>
      <c r="BC681" s="324" t="s">
        <v>3573</v>
      </c>
      <c r="BD681" s="324" t="s">
        <v>3556</v>
      </c>
      <c r="BE681" s="324" t="s">
        <v>3580</v>
      </c>
      <c r="BF681" s="324" t="s">
        <v>3434</v>
      </c>
      <c r="BG681" s="324" t="s">
        <v>3581</v>
      </c>
      <c r="BH681" s="426" t="s">
        <v>3582</v>
      </c>
      <c r="BI681" s="410"/>
      <c r="BJ681" s="427" t="s">
        <v>210</v>
      </c>
      <c r="BK681" s="412"/>
      <c r="BL681" s="413"/>
      <c r="BM681" s="414"/>
      <c r="BN681" s="321" t="s">
        <v>14</v>
      </c>
      <c r="BO681" s="372"/>
      <c r="BP681" s="373" t="s">
        <v>210</v>
      </c>
      <c r="BQ681" s="360"/>
      <c r="BR681" s="361"/>
      <c r="BS681" s="361"/>
      <c r="BT681" s="361"/>
      <c r="BU681" s="342" t="s">
        <v>210</v>
      </c>
      <c r="BV681" s="342" t="s">
        <v>210</v>
      </c>
      <c r="BW681" s="341" t="s">
        <v>210</v>
      </c>
      <c r="BX681" s="361"/>
      <c r="BY681" s="457"/>
      <c r="BZ681" s="363"/>
      <c r="CA681" s="363"/>
      <c r="CB681" s="363"/>
      <c r="CC681" s="363"/>
    </row>
    <row r="682" spans="1:82" ht="22.5" customHeight="1">
      <c r="B682" s="442">
        <v>160292</v>
      </c>
      <c r="C682" s="747" t="s">
        <v>3571</v>
      </c>
      <c r="D682" s="439"/>
      <c r="E682" s="404"/>
      <c r="F682" s="405" t="s">
        <v>240</v>
      </c>
      <c r="G682" s="324" t="s">
        <v>2271</v>
      </c>
      <c r="H682" s="324" t="s">
        <v>3572</v>
      </c>
      <c r="I682" s="326" t="s">
        <v>383</v>
      </c>
      <c r="J682" s="326" t="s">
        <v>399</v>
      </c>
      <c r="K682" s="326" t="s">
        <v>917</v>
      </c>
      <c r="L682" s="432" t="s">
        <v>210</v>
      </c>
      <c r="M682" s="324" t="s">
        <v>10767</v>
      </c>
      <c r="N682" s="325" t="s">
        <v>437</v>
      </c>
      <c r="O682" s="324">
        <v>30</v>
      </c>
      <c r="P682" s="327" t="s">
        <v>210</v>
      </c>
      <c r="Q682" s="369" t="s">
        <v>210</v>
      </c>
      <c r="R682" s="329" t="s">
        <v>469</v>
      </c>
      <c r="S682" s="394" t="s">
        <v>11204</v>
      </c>
      <c r="T682" s="394" t="s">
        <v>11205</v>
      </c>
      <c r="U682" s="394" t="s">
        <v>11207</v>
      </c>
      <c r="V682" s="394" t="s">
        <v>11206</v>
      </c>
      <c r="W682" s="332" t="s">
        <v>432</v>
      </c>
      <c r="X682" s="331" t="s">
        <v>11079</v>
      </c>
      <c r="Y682" s="331" t="s">
        <v>11080</v>
      </c>
      <c r="Z682" s="331" t="s">
        <v>11080</v>
      </c>
      <c r="AA682" s="331" t="s">
        <v>210</v>
      </c>
      <c r="AB682" s="333" t="s">
        <v>4318</v>
      </c>
      <c r="AC682" s="333"/>
      <c r="AD682" s="334" t="s">
        <v>2325</v>
      </c>
      <c r="AE682" s="335" t="s">
        <v>210</v>
      </c>
      <c r="AF682" s="475">
        <v>42501</v>
      </c>
      <c r="AG682" s="748">
        <v>42557</v>
      </c>
      <c r="AH682" s="417">
        <v>7.8</v>
      </c>
      <c r="AI682" s="392">
        <v>13</v>
      </c>
      <c r="AJ682" s="392">
        <v>10.6</v>
      </c>
      <c r="AK682" s="455">
        <f>SUBTOTAL(9,AH682:AJ682)</f>
        <v>31.4</v>
      </c>
      <c r="AL682" s="417" t="s">
        <v>210</v>
      </c>
      <c r="AM682" s="392" t="s">
        <v>210</v>
      </c>
      <c r="AN682" s="392" t="s">
        <v>210</v>
      </c>
      <c r="AO682" s="341" t="s">
        <v>210</v>
      </c>
      <c r="AP682" s="342"/>
      <c r="AQ682" s="433" t="s">
        <v>4547</v>
      </c>
      <c r="AR682" s="452">
        <v>1525</v>
      </c>
      <c r="AS682" s="324">
        <v>80</v>
      </c>
      <c r="AT682" s="432">
        <v>0.8</v>
      </c>
      <c r="AU682" s="432"/>
      <c r="AV682" s="432">
        <v>1.2</v>
      </c>
      <c r="AW682" s="490"/>
      <c r="AX682" s="453" t="s">
        <v>210</v>
      </c>
      <c r="AY682" s="455" t="s">
        <v>210</v>
      </c>
      <c r="AZ682" s="405" t="s">
        <v>3367</v>
      </c>
      <c r="BA682" s="324" t="s">
        <v>210</v>
      </c>
      <c r="BB682" s="324" t="s">
        <v>210</v>
      </c>
      <c r="BC682" s="324" t="s">
        <v>3573</v>
      </c>
      <c r="BD682" s="324" t="s">
        <v>3512</v>
      </c>
      <c r="BE682" s="324" t="s">
        <v>3573</v>
      </c>
      <c r="BF682" s="324" t="s">
        <v>3574</v>
      </c>
      <c r="BG682" s="324" t="s">
        <v>210</v>
      </c>
      <c r="BH682" s="426" t="s">
        <v>210</v>
      </c>
      <c r="BI682" s="410"/>
      <c r="BJ682" s="427" t="s">
        <v>210</v>
      </c>
      <c r="BK682" s="412"/>
      <c r="BL682" s="413"/>
      <c r="BM682" s="414"/>
      <c r="BN682" s="410"/>
      <c r="BO682" s="502"/>
      <c r="BP682" s="492"/>
      <c r="BQ682" s="360"/>
      <c r="BR682" s="361"/>
      <c r="BS682" s="361"/>
      <c r="BT682" s="361"/>
      <c r="BU682" s="342" t="s">
        <v>210</v>
      </c>
      <c r="BV682" s="342" t="s">
        <v>210</v>
      </c>
      <c r="BW682" s="341" t="s">
        <v>210</v>
      </c>
      <c r="BX682" s="361"/>
      <c r="BY682" s="457"/>
      <c r="BZ682" s="363"/>
      <c r="CA682" s="363"/>
      <c r="CB682" s="363"/>
      <c r="CC682" s="363"/>
    </row>
    <row r="683" spans="1:82" ht="22.5" customHeight="1">
      <c r="B683" s="442">
        <v>160293</v>
      </c>
      <c r="C683" s="747" t="s">
        <v>3538</v>
      </c>
      <c r="D683" s="439"/>
      <c r="E683" s="404"/>
      <c r="F683" s="405" t="s">
        <v>3539</v>
      </c>
      <c r="G683" s="324" t="s">
        <v>3540</v>
      </c>
      <c r="H683" s="324" t="s">
        <v>3541</v>
      </c>
      <c r="I683" s="326" t="s">
        <v>383</v>
      </c>
      <c r="J683" s="326" t="s">
        <v>399</v>
      </c>
      <c r="K683" s="326" t="s">
        <v>917</v>
      </c>
      <c r="L683" s="432" t="s">
        <v>210</v>
      </c>
      <c r="M683" s="324" t="s">
        <v>10767</v>
      </c>
      <c r="N683" s="325" t="s">
        <v>437</v>
      </c>
      <c r="O683" s="324">
        <v>30</v>
      </c>
      <c r="P683" s="458">
        <v>1250</v>
      </c>
      <c r="Q683" s="459">
        <v>1257</v>
      </c>
      <c r="R683" s="329" t="s">
        <v>469</v>
      </c>
      <c r="S683" s="394" t="s">
        <v>11204</v>
      </c>
      <c r="T683" s="394" t="s">
        <v>11205</v>
      </c>
      <c r="U683" s="394" t="s">
        <v>11207</v>
      </c>
      <c r="V683" s="394" t="s">
        <v>11206</v>
      </c>
      <c r="W683" s="332" t="s">
        <v>432</v>
      </c>
      <c r="X683" s="331" t="s">
        <v>11079</v>
      </c>
      <c r="Y683" s="331" t="s">
        <v>11080</v>
      </c>
      <c r="Z683" s="331" t="s">
        <v>11080</v>
      </c>
      <c r="AA683" s="331" t="s">
        <v>210</v>
      </c>
      <c r="AB683" s="416"/>
      <c r="AC683" s="416"/>
      <c r="AD683" s="334" t="s">
        <v>2333</v>
      </c>
      <c r="AE683" s="335" t="s">
        <v>210</v>
      </c>
      <c r="AF683" s="475">
        <v>42501</v>
      </c>
      <c r="AG683" s="748">
        <v>42545</v>
      </c>
      <c r="AH683" s="417">
        <v>7.2</v>
      </c>
      <c r="AI683" s="392">
        <v>13</v>
      </c>
      <c r="AJ683" s="392">
        <v>11.9</v>
      </c>
      <c r="AK683" s="455">
        <f>SUBTOTAL(9,AH683:AJ683)</f>
        <v>32.1</v>
      </c>
      <c r="AL683" s="417" t="s">
        <v>210</v>
      </c>
      <c r="AM683" s="392" t="s">
        <v>210</v>
      </c>
      <c r="AN683" s="392" t="s">
        <v>210</v>
      </c>
      <c r="AO683" s="341" t="s">
        <v>210</v>
      </c>
      <c r="AP683" s="342"/>
      <c r="AQ683" s="433" t="s">
        <v>4547</v>
      </c>
      <c r="AR683" s="452">
        <v>1464</v>
      </c>
      <c r="AS683" s="324">
        <v>80</v>
      </c>
      <c r="AT683" s="432">
        <v>0.8</v>
      </c>
      <c r="AU683" s="432"/>
      <c r="AV683" s="432">
        <v>1.2</v>
      </c>
      <c r="AW683" s="490"/>
      <c r="AX683" s="453" t="s">
        <v>210</v>
      </c>
      <c r="AY683" s="455" t="s">
        <v>210</v>
      </c>
      <c r="AZ683" s="405" t="s">
        <v>3367</v>
      </c>
      <c r="BA683" s="324" t="s">
        <v>210</v>
      </c>
      <c r="BB683" s="324" t="s">
        <v>210</v>
      </c>
      <c r="BC683" s="324" t="s">
        <v>210</v>
      </c>
      <c r="BD683" s="324" t="s">
        <v>210</v>
      </c>
      <c r="BE683" s="324" t="s">
        <v>3459</v>
      </c>
      <c r="BF683" s="324" t="s">
        <v>3494</v>
      </c>
      <c r="BG683" s="324" t="s">
        <v>3475</v>
      </c>
      <c r="BH683" s="426" t="s">
        <v>3434</v>
      </c>
      <c r="BI683" s="410"/>
      <c r="BJ683" s="427" t="s">
        <v>210</v>
      </c>
      <c r="BK683" s="412"/>
      <c r="BL683" s="413"/>
      <c r="BM683" s="414"/>
      <c r="BN683" s="321" t="s">
        <v>14</v>
      </c>
      <c r="BO683" s="372"/>
      <c r="BP683" s="373" t="s">
        <v>210</v>
      </c>
      <c r="BQ683" s="360"/>
      <c r="BR683" s="361"/>
      <c r="BS683" s="361"/>
      <c r="BT683" s="361"/>
      <c r="BU683" s="342" t="s">
        <v>210</v>
      </c>
      <c r="BV683" s="342" t="s">
        <v>210</v>
      </c>
      <c r="BW683" s="341" t="s">
        <v>210</v>
      </c>
      <c r="BX683" s="361"/>
      <c r="BY683" s="457"/>
      <c r="BZ683" s="363"/>
      <c r="CA683" s="363"/>
      <c r="CB683" s="363"/>
      <c r="CC683" s="363"/>
    </row>
    <row r="684" spans="1:82" s="465" customFormat="1" ht="22.5" customHeight="1">
      <c r="A684" s="287"/>
      <c r="B684" s="749">
        <v>160295</v>
      </c>
      <c r="C684" s="750" t="s">
        <v>3587</v>
      </c>
      <c r="D684" s="751"/>
      <c r="E684" s="752"/>
      <c r="F684" s="753" t="s">
        <v>267</v>
      </c>
      <c r="G684" s="754" t="s">
        <v>3588</v>
      </c>
      <c r="H684" s="754" t="s">
        <v>3589</v>
      </c>
      <c r="I684" s="662" t="s">
        <v>383</v>
      </c>
      <c r="J684" s="662" t="s">
        <v>399</v>
      </c>
      <c r="K684" s="754" t="s">
        <v>977</v>
      </c>
      <c r="L684" s="688"/>
      <c r="M684" s="754"/>
      <c r="N684" s="664" t="s">
        <v>3590</v>
      </c>
      <c r="O684" s="754">
        <v>10</v>
      </c>
      <c r="P684" s="665" t="s">
        <v>210</v>
      </c>
      <c r="Q684" s="666" t="s">
        <v>210</v>
      </c>
      <c r="R684" s="667" t="s">
        <v>712</v>
      </c>
      <c r="S684" s="668" t="s">
        <v>13083</v>
      </c>
      <c r="T684" s="668" t="s">
        <v>13084</v>
      </c>
      <c r="U684" s="668" t="s">
        <v>13085</v>
      </c>
      <c r="V684" s="668" t="s">
        <v>16540</v>
      </c>
      <c r="W684" s="669" t="s">
        <v>712</v>
      </c>
      <c r="X684" s="668" t="s">
        <v>13083</v>
      </c>
      <c r="Y684" s="668" t="s">
        <v>13084</v>
      </c>
      <c r="Z684" s="668" t="s">
        <v>13085</v>
      </c>
      <c r="AA684" s="668" t="s">
        <v>16541</v>
      </c>
      <c r="AB684" s="758"/>
      <c r="AC684" s="758"/>
      <c r="AD684" s="759"/>
      <c r="AE684" s="760"/>
      <c r="AF684" s="761">
        <v>42510</v>
      </c>
      <c r="AG684" s="674" t="s">
        <v>10514</v>
      </c>
      <c r="AH684" s="675" t="s">
        <v>210</v>
      </c>
      <c r="AI684" s="676" t="s">
        <v>210</v>
      </c>
      <c r="AJ684" s="676" t="s">
        <v>210</v>
      </c>
      <c r="AK684" s="677" t="s">
        <v>210</v>
      </c>
      <c r="AL684" s="675" t="s">
        <v>210</v>
      </c>
      <c r="AM684" s="676" t="s">
        <v>210</v>
      </c>
      <c r="AN684" s="676" t="s">
        <v>210</v>
      </c>
      <c r="AO684" s="678" t="s">
        <v>210</v>
      </c>
      <c r="AP684" s="663"/>
      <c r="AQ684" s="762"/>
      <c r="AR684" s="763"/>
      <c r="AS684" s="754"/>
      <c r="AT684" s="785"/>
      <c r="AU684" s="785"/>
      <c r="AV684" s="785"/>
      <c r="AW684" s="764"/>
      <c r="AX684" s="765"/>
      <c r="AY684" s="766"/>
      <c r="AZ684" s="753" t="s">
        <v>3367</v>
      </c>
      <c r="BA684" s="754" t="s">
        <v>210</v>
      </c>
      <c r="BB684" s="754" t="s">
        <v>210</v>
      </c>
      <c r="BC684" s="754" t="s">
        <v>210</v>
      </c>
      <c r="BD684" s="754" t="s">
        <v>210</v>
      </c>
      <c r="BE684" s="754" t="s">
        <v>3555</v>
      </c>
      <c r="BF684" s="754" t="s">
        <v>3983</v>
      </c>
      <c r="BG684" s="754" t="s">
        <v>3984</v>
      </c>
      <c r="BH684" s="767" t="s">
        <v>3983</v>
      </c>
      <c r="BI684" s="765"/>
      <c r="BJ684" s="768" t="s">
        <v>210</v>
      </c>
      <c r="BK684" s="769"/>
      <c r="BL684" s="766"/>
      <c r="BM684" s="770"/>
      <c r="BN684" s="765"/>
      <c r="BO684" s="771"/>
      <c r="BP684" s="772"/>
      <c r="BQ684" s="773"/>
      <c r="BR684" s="688"/>
      <c r="BS684" s="688"/>
      <c r="BT684" s="688"/>
      <c r="BU684" s="663" t="s">
        <v>5510</v>
      </c>
      <c r="BV684" s="663" t="s">
        <v>5510</v>
      </c>
      <c r="BW684" s="678" t="s">
        <v>210</v>
      </c>
      <c r="BX684" s="688"/>
      <c r="BY684" s="774"/>
      <c r="BZ684" s="483"/>
      <c r="CA684" s="483"/>
      <c r="CB684" s="483"/>
      <c r="CC684" s="483"/>
      <c r="CD684" s="484"/>
    </row>
    <row r="685" spans="1:82" ht="22.5" customHeight="1">
      <c r="B685" s="442">
        <v>160296</v>
      </c>
      <c r="C685" s="747" t="s">
        <v>3561</v>
      </c>
      <c r="D685" s="439"/>
      <c r="E685" s="404"/>
      <c r="F685" s="405" t="s">
        <v>264</v>
      </c>
      <c r="G685" s="324" t="s">
        <v>3562</v>
      </c>
      <c r="H685" s="324" t="s">
        <v>3563</v>
      </c>
      <c r="I685" s="326" t="s">
        <v>383</v>
      </c>
      <c r="J685" s="326" t="s">
        <v>387</v>
      </c>
      <c r="K685" s="326" t="s">
        <v>203</v>
      </c>
      <c r="L685" s="432" t="s">
        <v>210</v>
      </c>
      <c r="M685" s="408"/>
      <c r="N685" s="325" t="s">
        <v>437</v>
      </c>
      <c r="O685" s="324">
        <v>30</v>
      </c>
      <c r="P685" s="327">
        <v>120</v>
      </c>
      <c r="Q685" s="369">
        <v>60</v>
      </c>
      <c r="R685" s="329" t="s">
        <v>3564</v>
      </c>
      <c r="S685" s="330"/>
      <c r="T685" s="330"/>
      <c r="U685" s="330"/>
      <c r="V685" s="330"/>
      <c r="W685" s="332" t="s">
        <v>1095</v>
      </c>
      <c r="X685" s="394" t="s">
        <v>12791</v>
      </c>
      <c r="Y685" s="394" t="s">
        <v>11852</v>
      </c>
      <c r="Z685" s="394" t="s">
        <v>16280</v>
      </c>
      <c r="AA685" s="394" t="s">
        <v>12792</v>
      </c>
      <c r="AB685" s="416"/>
      <c r="AC685" s="416"/>
      <c r="AD685" s="375"/>
      <c r="AE685" s="335" t="s">
        <v>210</v>
      </c>
      <c r="AF685" s="475">
        <v>42502</v>
      </c>
      <c r="AG685" s="748">
        <v>42583</v>
      </c>
      <c r="AH685" s="417" t="s">
        <v>210</v>
      </c>
      <c r="AI685" s="392" t="s">
        <v>210</v>
      </c>
      <c r="AJ685" s="392" t="s">
        <v>210</v>
      </c>
      <c r="AK685" s="340" t="s">
        <v>210</v>
      </c>
      <c r="AL685" s="417" t="s">
        <v>210</v>
      </c>
      <c r="AM685" s="392" t="s">
        <v>210</v>
      </c>
      <c r="AN685" s="392" t="s">
        <v>210</v>
      </c>
      <c r="AO685" s="341" t="s">
        <v>210</v>
      </c>
      <c r="AP685" s="342"/>
      <c r="AQ685" s="433" t="s">
        <v>4551</v>
      </c>
      <c r="AR685" s="452">
        <v>71</v>
      </c>
      <c r="AS685" s="324">
        <v>65</v>
      </c>
      <c r="AT685" s="432">
        <v>1</v>
      </c>
      <c r="AU685" s="432"/>
      <c r="AV685" s="432">
        <v>1</v>
      </c>
      <c r="AW685" s="490"/>
      <c r="AX685" s="453" t="s">
        <v>210</v>
      </c>
      <c r="AY685" s="455" t="s">
        <v>210</v>
      </c>
      <c r="AZ685" s="405" t="s">
        <v>3367</v>
      </c>
      <c r="BA685" s="324" t="s">
        <v>210</v>
      </c>
      <c r="BB685" s="324" t="s">
        <v>210</v>
      </c>
      <c r="BC685" s="324" t="s">
        <v>3565</v>
      </c>
      <c r="BD685" s="324" t="s">
        <v>3566</v>
      </c>
      <c r="BE685" s="324" t="s">
        <v>3565</v>
      </c>
      <c r="BF685" s="324" t="s">
        <v>3567</v>
      </c>
      <c r="BG685" s="324" t="s">
        <v>3568</v>
      </c>
      <c r="BH685" s="426" t="s">
        <v>3559</v>
      </c>
      <c r="BI685" s="410"/>
      <c r="BJ685" s="427" t="s">
        <v>210</v>
      </c>
      <c r="BK685" s="412"/>
      <c r="BL685" s="413"/>
      <c r="BM685" s="414"/>
      <c r="BN685" s="321" t="s">
        <v>14</v>
      </c>
      <c r="BO685" s="372"/>
      <c r="BP685" s="373" t="s">
        <v>14</v>
      </c>
      <c r="BQ685" s="360"/>
      <c r="BR685" s="361"/>
      <c r="BS685" s="361"/>
      <c r="BT685" s="361"/>
      <c r="BU685" s="342" t="s">
        <v>210</v>
      </c>
      <c r="BV685" s="342" t="s">
        <v>210</v>
      </c>
      <c r="BW685" s="341" t="s">
        <v>210</v>
      </c>
      <c r="BX685" s="361"/>
      <c r="BY685" s="457"/>
      <c r="BZ685" s="363"/>
      <c r="CA685" s="363"/>
      <c r="CB685" s="363"/>
      <c r="CC685" s="363"/>
    </row>
    <row r="686" spans="1:82" ht="22.5" customHeight="1">
      <c r="B686" s="442">
        <v>160297</v>
      </c>
      <c r="C686" s="747" t="s">
        <v>7781</v>
      </c>
      <c r="D686" s="439"/>
      <c r="E686" s="404"/>
      <c r="F686" s="405" t="s">
        <v>3585</v>
      </c>
      <c r="G686" s="324" t="s">
        <v>1780</v>
      </c>
      <c r="H686" s="324" t="s">
        <v>3586</v>
      </c>
      <c r="I686" s="326" t="s">
        <v>383</v>
      </c>
      <c r="J686" s="326" t="s">
        <v>399</v>
      </c>
      <c r="K686" s="324" t="s">
        <v>3591</v>
      </c>
      <c r="L686" s="432" t="s">
        <v>210</v>
      </c>
      <c r="M686" s="324" t="s">
        <v>10767</v>
      </c>
      <c r="N686" s="325" t="s">
        <v>437</v>
      </c>
      <c r="O686" s="324">
        <v>50</v>
      </c>
      <c r="P686" s="327" t="s">
        <v>210</v>
      </c>
      <c r="Q686" s="369" t="s">
        <v>210</v>
      </c>
      <c r="R686" s="329" t="s">
        <v>3584</v>
      </c>
      <c r="S686" s="331" t="s">
        <v>12949</v>
      </c>
      <c r="T686" s="331" t="s">
        <v>11123</v>
      </c>
      <c r="U686" s="331" t="s">
        <v>16209</v>
      </c>
      <c r="V686" s="331" t="s">
        <v>11124</v>
      </c>
      <c r="W686" s="332" t="s">
        <v>432</v>
      </c>
      <c r="X686" s="331" t="s">
        <v>11079</v>
      </c>
      <c r="Y686" s="331" t="s">
        <v>11080</v>
      </c>
      <c r="Z686" s="331" t="s">
        <v>11080</v>
      </c>
      <c r="AA686" s="331"/>
      <c r="AB686" s="416" t="s">
        <v>16099</v>
      </c>
      <c r="AC686" s="416"/>
      <c r="AD686" s="334" t="s">
        <v>2329</v>
      </c>
      <c r="AE686" s="335" t="s">
        <v>210</v>
      </c>
      <c r="AF686" s="475">
        <v>42510</v>
      </c>
      <c r="AG686" s="748">
        <v>42572</v>
      </c>
      <c r="AH686" s="417">
        <v>10.3</v>
      </c>
      <c r="AI686" s="392">
        <v>13.6</v>
      </c>
      <c r="AJ686" s="392">
        <v>11.4</v>
      </c>
      <c r="AK686" s="455">
        <f>SUBTOTAL(9,AH686:AJ686)</f>
        <v>35.299999999999997</v>
      </c>
      <c r="AL686" s="417" t="s">
        <v>210</v>
      </c>
      <c r="AM686" s="392" t="s">
        <v>210</v>
      </c>
      <c r="AN686" s="392" t="s">
        <v>210</v>
      </c>
      <c r="AO686" s="341" t="s">
        <v>210</v>
      </c>
      <c r="AP686" s="342"/>
      <c r="AQ686" s="433" t="s">
        <v>4547</v>
      </c>
      <c r="AR686" s="452">
        <v>280</v>
      </c>
      <c r="AS686" s="324">
        <v>80</v>
      </c>
      <c r="AT686" s="432">
        <v>0.6</v>
      </c>
      <c r="AU686" s="432"/>
      <c r="AV686" s="432">
        <v>0.6</v>
      </c>
      <c r="AW686" s="490"/>
      <c r="AX686" s="453" t="s">
        <v>210</v>
      </c>
      <c r="AY686" s="455" t="s">
        <v>210</v>
      </c>
      <c r="AZ686" s="405" t="s">
        <v>3367</v>
      </c>
      <c r="BA686" s="324" t="s">
        <v>210</v>
      </c>
      <c r="BB686" s="324" t="s">
        <v>210</v>
      </c>
      <c r="BC686" s="324" t="s">
        <v>210</v>
      </c>
      <c r="BD686" s="324" t="s">
        <v>210</v>
      </c>
      <c r="BE686" s="324" t="s">
        <v>210</v>
      </c>
      <c r="BF686" s="324" t="s">
        <v>210</v>
      </c>
      <c r="BG686" s="324" t="s">
        <v>3728</v>
      </c>
      <c r="BH686" s="426" t="s">
        <v>3729</v>
      </c>
      <c r="BI686" s="410"/>
      <c r="BJ686" s="427" t="s">
        <v>210</v>
      </c>
      <c r="BK686" s="412"/>
      <c r="BL686" s="413"/>
      <c r="BM686" s="414"/>
      <c r="BN686" s="321" t="s">
        <v>210</v>
      </c>
      <c r="BO686" s="372"/>
      <c r="BP686" s="373" t="s">
        <v>210</v>
      </c>
      <c r="BQ686" s="360"/>
      <c r="BR686" s="361"/>
      <c r="BS686" s="361"/>
      <c r="BT686" s="361"/>
      <c r="BU686" s="342" t="s">
        <v>210</v>
      </c>
      <c r="BV686" s="342" t="s">
        <v>210</v>
      </c>
      <c r="BW686" s="341" t="s">
        <v>210</v>
      </c>
      <c r="BX686" s="361"/>
      <c r="BY686" s="457"/>
      <c r="BZ686" s="363"/>
      <c r="CA686" s="363"/>
      <c r="CB686" s="363"/>
      <c r="CC686" s="363"/>
    </row>
    <row r="687" spans="1:82" ht="22.5" customHeight="1">
      <c r="B687" s="442">
        <v>160298</v>
      </c>
      <c r="C687" s="747" t="s">
        <v>3663</v>
      </c>
      <c r="D687" s="439"/>
      <c r="E687" s="404"/>
      <c r="F687" s="405" t="s">
        <v>3979</v>
      </c>
      <c r="G687" s="324" t="s">
        <v>3980</v>
      </c>
      <c r="H687" s="324" t="s">
        <v>3981</v>
      </c>
      <c r="I687" s="326" t="s">
        <v>383</v>
      </c>
      <c r="J687" s="326" t="s">
        <v>387</v>
      </c>
      <c r="K687" s="326" t="s">
        <v>917</v>
      </c>
      <c r="L687" s="432" t="s">
        <v>210</v>
      </c>
      <c r="M687" s="324" t="s">
        <v>10767</v>
      </c>
      <c r="N687" s="325" t="s">
        <v>438</v>
      </c>
      <c r="O687" s="324">
        <v>30</v>
      </c>
      <c r="P687" s="327" t="s">
        <v>210</v>
      </c>
      <c r="Q687" s="369" t="s">
        <v>210</v>
      </c>
      <c r="R687" s="329" t="s">
        <v>12964</v>
      </c>
      <c r="S687" s="331" t="s">
        <v>12965</v>
      </c>
      <c r="T687" s="394" t="s">
        <v>11205</v>
      </c>
      <c r="U687" s="394" t="s">
        <v>11207</v>
      </c>
      <c r="V687" s="331" t="s">
        <v>12966</v>
      </c>
      <c r="W687" s="332" t="s">
        <v>432</v>
      </c>
      <c r="X687" s="331" t="s">
        <v>11079</v>
      </c>
      <c r="Y687" s="331" t="s">
        <v>11080</v>
      </c>
      <c r="Z687" s="331" t="s">
        <v>11080</v>
      </c>
      <c r="AA687" s="331"/>
      <c r="AB687" s="416"/>
      <c r="AC687" s="416"/>
      <c r="AD687" s="334" t="s">
        <v>2325</v>
      </c>
      <c r="AE687" s="499" t="s">
        <v>4172</v>
      </c>
      <c r="AF687" s="475">
        <v>42486</v>
      </c>
      <c r="AG687" s="748">
        <v>42639</v>
      </c>
      <c r="AH687" s="417" t="s">
        <v>210</v>
      </c>
      <c r="AI687" s="392" t="s">
        <v>210</v>
      </c>
      <c r="AJ687" s="392" t="s">
        <v>210</v>
      </c>
      <c r="AK687" s="340" t="s">
        <v>210</v>
      </c>
      <c r="AL687" s="417" t="s">
        <v>210</v>
      </c>
      <c r="AM687" s="392" t="s">
        <v>210</v>
      </c>
      <c r="AN687" s="392" t="s">
        <v>210</v>
      </c>
      <c r="AO687" s="341" t="s">
        <v>210</v>
      </c>
      <c r="AP687" s="342"/>
      <c r="AQ687" s="433" t="s">
        <v>4547</v>
      </c>
      <c r="AR687" s="452">
        <v>7315</v>
      </c>
      <c r="AS687" s="324">
        <v>150</v>
      </c>
      <c r="AT687" s="432">
        <v>0.8</v>
      </c>
      <c r="AU687" s="432"/>
      <c r="AV687" s="432">
        <v>1.2</v>
      </c>
      <c r="AW687" s="490"/>
      <c r="AX687" s="453" t="s">
        <v>210</v>
      </c>
      <c r="AY687" s="429" t="s">
        <v>622</v>
      </c>
      <c r="AZ687" s="405" t="s">
        <v>3367</v>
      </c>
      <c r="BA687" s="324" t="s">
        <v>210</v>
      </c>
      <c r="BB687" s="324" t="s">
        <v>210</v>
      </c>
      <c r="BC687" s="324" t="s">
        <v>3975</v>
      </c>
      <c r="BD687" s="324" t="s">
        <v>3922</v>
      </c>
      <c r="BE687" s="324" t="s">
        <v>3977</v>
      </c>
      <c r="BF687" s="324" t="s">
        <v>3978</v>
      </c>
      <c r="BG687" s="324" t="s">
        <v>210</v>
      </c>
      <c r="BH687" s="426" t="s">
        <v>210</v>
      </c>
      <c r="BI687" s="410"/>
      <c r="BJ687" s="427" t="s">
        <v>210</v>
      </c>
      <c r="BK687" s="412"/>
      <c r="BL687" s="413"/>
      <c r="BM687" s="414"/>
      <c r="BN687" s="321" t="s">
        <v>622</v>
      </c>
      <c r="BO687" s="372"/>
      <c r="BP687" s="373" t="s">
        <v>622</v>
      </c>
      <c r="BQ687" s="360"/>
      <c r="BR687" s="361"/>
      <c r="BS687" s="361"/>
      <c r="BT687" s="361"/>
      <c r="BU687" s="342" t="s">
        <v>210</v>
      </c>
      <c r="BV687" s="342" t="s">
        <v>210</v>
      </c>
      <c r="BW687" s="341" t="s">
        <v>210</v>
      </c>
      <c r="BX687" s="361"/>
      <c r="BY687" s="457"/>
      <c r="BZ687" s="363"/>
      <c r="CA687" s="363"/>
      <c r="CB687" s="363"/>
      <c r="CC687" s="363"/>
    </row>
    <row r="688" spans="1:82" ht="22.5" customHeight="1">
      <c r="B688" s="442">
        <v>160300</v>
      </c>
      <c r="C688" s="747" t="s">
        <v>3630</v>
      </c>
      <c r="D688" s="439"/>
      <c r="E688" s="404"/>
      <c r="F688" s="405" t="s">
        <v>3631</v>
      </c>
      <c r="G688" s="324" t="s">
        <v>3632</v>
      </c>
      <c r="H688" s="324" t="s">
        <v>3633</v>
      </c>
      <c r="I688" s="326" t="s">
        <v>383</v>
      </c>
      <c r="J688" s="326" t="s">
        <v>399</v>
      </c>
      <c r="K688" s="326" t="s">
        <v>917</v>
      </c>
      <c r="L688" s="432" t="s">
        <v>210</v>
      </c>
      <c r="M688" s="324" t="s">
        <v>10767</v>
      </c>
      <c r="N688" s="325" t="s">
        <v>437</v>
      </c>
      <c r="O688" s="324">
        <v>200</v>
      </c>
      <c r="P688" s="327">
        <v>1083.8699999999999</v>
      </c>
      <c r="Q688" s="369">
        <v>1147.48</v>
      </c>
      <c r="R688" s="329" t="s">
        <v>1435</v>
      </c>
      <c r="S688" s="394" t="s">
        <v>11970</v>
      </c>
      <c r="T688" s="394" t="s">
        <v>11973</v>
      </c>
      <c r="U688" s="394" t="s">
        <v>11971</v>
      </c>
      <c r="V688" s="394" t="s">
        <v>11972</v>
      </c>
      <c r="W688" s="332" t="s">
        <v>1432</v>
      </c>
      <c r="X688" s="394" t="s">
        <v>12318</v>
      </c>
      <c r="Y688" s="394" t="s">
        <v>12319</v>
      </c>
      <c r="Z688" s="394" t="s">
        <v>12317</v>
      </c>
      <c r="AA688" s="394" t="s">
        <v>12320</v>
      </c>
      <c r="AB688" s="416"/>
      <c r="AC688" s="416"/>
      <c r="AD688" s="447" t="s">
        <v>3094</v>
      </c>
      <c r="AE688" s="335" t="s">
        <v>210</v>
      </c>
      <c r="AF688" s="475">
        <v>42514</v>
      </c>
      <c r="AG688" s="748">
        <v>42551</v>
      </c>
      <c r="AH688" s="417" t="s">
        <v>210</v>
      </c>
      <c r="AI688" s="392" t="s">
        <v>210</v>
      </c>
      <c r="AJ688" s="392" t="s">
        <v>210</v>
      </c>
      <c r="AK688" s="340" t="s">
        <v>210</v>
      </c>
      <c r="AL688" s="417" t="s">
        <v>210</v>
      </c>
      <c r="AM688" s="392" t="s">
        <v>210</v>
      </c>
      <c r="AN688" s="392" t="s">
        <v>210</v>
      </c>
      <c r="AO688" s="341" t="s">
        <v>210</v>
      </c>
      <c r="AP688" s="342"/>
      <c r="AQ688" s="433" t="s">
        <v>4547</v>
      </c>
      <c r="AR688" s="452">
        <v>1577</v>
      </c>
      <c r="AS688" s="326">
        <v>100</v>
      </c>
      <c r="AT688" s="392">
        <v>1</v>
      </c>
      <c r="AU688" s="392"/>
      <c r="AV688" s="392">
        <v>1.5</v>
      </c>
      <c r="AW688" s="341"/>
      <c r="AX688" s="453" t="s">
        <v>210</v>
      </c>
      <c r="AY688" s="455" t="s">
        <v>210</v>
      </c>
      <c r="AZ688" s="405" t="s">
        <v>622</v>
      </c>
      <c r="BA688" s="324" t="s">
        <v>3726</v>
      </c>
      <c r="BB688" s="324" t="s">
        <v>3412</v>
      </c>
      <c r="BC688" s="324" t="s">
        <v>3721</v>
      </c>
      <c r="BD688" s="324" t="s">
        <v>3727</v>
      </c>
      <c r="BE688" s="324" t="s">
        <v>3719</v>
      </c>
      <c r="BF688" s="324" t="s">
        <v>3727</v>
      </c>
      <c r="BG688" s="324" t="s">
        <v>3475</v>
      </c>
      <c r="BH688" s="426" t="s">
        <v>3372</v>
      </c>
      <c r="BI688" s="410"/>
      <c r="BJ688" s="427" t="s">
        <v>210</v>
      </c>
      <c r="BK688" s="412"/>
      <c r="BL688" s="413"/>
      <c r="BM688" s="414"/>
      <c r="BN688" s="321" t="s">
        <v>210</v>
      </c>
      <c r="BO688" s="372"/>
      <c r="BP688" s="373" t="s">
        <v>3820</v>
      </c>
      <c r="BQ688" s="360"/>
      <c r="BR688" s="361"/>
      <c r="BS688" s="361"/>
      <c r="BT688" s="361"/>
      <c r="BU688" s="342" t="s">
        <v>210</v>
      </c>
      <c r="BV688" s="342" t="s">
        <v>210</v>
      </c>
      <c r="BW688" s="341" t="s">
        <v>210</v>
      </c>
      <c r="BX688" s="361"/>
      <c r="BY688" s="457"/>
      <c r="BZ688" s="363"/>
      <c r="CA688" s="363"/>
      <c r="CB688" s="363"/>
      <c r="CC688" s="363"/>
    </row>
    <row r="689" spans="1:82" ht="22.5" customHeight="1">
      <c r="B689" s="442">
        <v>160301</v>
      </c>
      <c r="C689" s="747" t="s">
        <v>3668</v>
      </c>
      <c r="D689" s="439"/>
      <c r="E689" s="404"/>
      <c r="F689" s="405" t="s">
        <v>3669</v>
      </c>
      <c r="G689" s="324" t="s">
        <v>3670</v>
      </c>
      <c r="H689" s="324" t="s">
        <v>3686</v>
      </c>
      <c r="I689" s="326" t="s">
        <v>383</v>
      </c>
      <c r="J689" s="326" t="s">
        <v>1011</v>
      </c>
      <c r="K689" s="326" t="s">
        <v>806</v>
      </c>
      <c r="L689" s="432" t="s">
        <v>210</v>
      </c>
      <c r="M689" s="408"/>
      <c r="N689" s="325" t="s">
        <v>438</v>
      </c>
      <c r="O689" s="326">
        <v>30</v>
      </c>
      <c r="P689" s="327" t="s">
        <v>210</v>
      </c>
      <c r="Q689" s="369" t="s">
        <v>210</v>
      </c>
      <c r="R689" s="329" t="s">
        <v>3687</v>
      </c>
      <c r="S689" s="394" t="s">
        <v>13037</v>
      </c>
      <c r="T689" s="394" t="s">
        <v>13040</v>
      </c>
      <c r="U689" s="394" t="s">
        <v>13039</v>
      </c>
      <c r="V689" s="394" t="s">
        <v>13038</v>
      </c>
      <c r="W689" s="460" t="s">
        <v>3776</v>
      </c>
      <c r="X689" s="394" t="s">
        <v>13041</v>
      </c>
      <c r="Y689" s="400"/>
      <c r="Z689" s="400"/>
      <c r="AA689" s="394" t="s">
        <v>13024</v>
      </c>
      <c r="AB689" s="416" t="s">
        <v>3775</v>
      </c>
      <c r="AC689" s="416"/>
      <c r="AD689" s="375"/>
      <c r="AE689" s="335" t="s">
        <v>210</v>
      </c>
      <c r="AF689" s="475">
        <v>42558</v>
      </c>
      <c r="AG689" s="748">
        <v>42582</v>
      </c>
      <c r="AH689" s="417" t="s">
        <v>210</v>
      </c>
      <c r="AI689" s="392" t="s">
        <v>210</v>
      </c>
      <c r="AJ689" s="392" t="s">
        <v>210</v>
      </c>
      <c r="AK689" s="340" t="s">
        <v>210</v>
      </c>
      <c r="AL689" s="417" t="s">
        <v>210</v>
      </c>
      <c r="AM689" s="392" t="s">
        <v>210</v>
      </c>
      <c r="AN689" s="392" t="s">
        <v>210</v>
      </c>
      <c r="AO689" s="341" t="s">
        <v>210</v>
      </c>
      <c r="AP689" s="342"/>
      <c r="AQ689" s="433" t="s">
        <v>4549</v>
      </c>
      <c r="AR689" s="452">
        <v>512</v>
      </c>
      <c r="AS689" s="326">
        <v>100</v>
      </c>
      <c r="AT689" s="392">
        <v>1.2</v>
      </c>
      <c r="AU689" s="392"/>
      <c r="AV689" s="392">
        <v>1.2</v>
      </c>
      <c r="AW689" s="341"/>
      <c r="AX689" s="453" t="s">
        <v>210</v>
      </c>
      <c r="AY689" s="455" t="s">
        <v>210</v>
      </c>
      <c r="AZ689" s="405" t="s">
        <v>3367</v>
      </c>
      <c r="BA689" s="324" t="s">
        <v>210</v>
      </c>
      <c r="BB689" s="324" t="s">
        <v>210</v>
      </c>
      <c r="BC689" s="324" t="s">
        <v>3475</v>
      </c>
      <c r="BD689" s="324" t="s">
        <v>3908</v>
      </c>
      <c r="BE689" s="324" t="s">
        <v>3909</v>
      </c>
      <c r="BF689" s="324" t="s">
        <v>3908</v>
      </c>
      <c r="BG689" s="324" t="s">
        <v>210</v>
      </c>
      <c r="BH689" s="426" t="s">
        <v>210</v>
      </c>
      <c r="BI689" s="410"/>
      <c r="BJ689" s="427" t="s">
        <v>210</v>
      </c>
      <c r="BK689" s="412"/>
      <c r="BL689" s="413"/>
      <c r="BM689" s="414"/>
      <c r="BN689" s="321" t="s">
        <v>210</v>
      </c>
      <c r="BO689" s="372"/>
      <c r="BP689" s="373" t="s">
        <v>622</v>
      </c>
      <c r="BQ689" s="360"/>
      <c r="BR689" s="361"/>
      <c r="BS689" s="361"/>
      <c r="BT689" s="361"/>
      <c r="BU689" s="342" t="s">
        <v>210</v>
      </c>
      <c r="BV689" s="342" t="s">
        <v>210</v>
      </c>
      <c r="BW689" s="341" t="s">
        <v>210</v>
      </c>
      <c r="BX689" s="361"/>
      <c r="BY689" s="457"/>
      <c r="BZ689" s="363"/>
      <c r="CA689" s="363"/>
      <c r="CB689" s="363"/>
      <c r="CC689" s="363"/>
    </row>
    <row r="690" spans="1:82" ht="22.5" customHeight="1">
      <c r="B690" s="442">
        <v>160302</v>
      </c>
      <c r="C690" s="747" t="s">
        <v>3660</v>
      </c>
      <c r="D690" s="439"/>
      <c r="E690" s="404"/>
      <c r="F690" s="405" t="s">
        <v>709</v>
      </c>
      <c r="G690" s="324" t="s">
        <v>3661</v>
      </c>
      <c r="H690" s="324" t="s">
        <v>3662</v>
      </c>
      <c r="I690" s="326" t="s">
        <v>383</v>
      </c>
      <c r="J690" s="326" t="s">
        <v>399</v>
      </c>
      <c r="K690" s="324" t="s">
        <v>247</v>
      </c>
      <c r="L690" s="826" t="s">
        <v>4589</v>
      </c>
      <c r="M690" s="408"/>
      <c r="N690" s="325" t="s">
        <v>437</v>
      </c>
      <c r="O690" s="326">
        <v>20</v>
      </c>
      <c r="P690" s="327" t="s">
        <v>210</v>
      </c>
      <c r="Q690" s="369" t="s">
        <v>210</v>
      </c>
      <c r="R690" s="329" t="s">
        <v>1437</v>
      </c>
      <c r="S690" s="331" t="s">
        <v>13034</v>
      </c>
      <c r="T690" s="331"/>
      <c r="U690" s="331" t="s">
        <v>13036</v>
      </c>
      <c r="V690" s="331" t="s">
        <v>13035</v>
      </c>
      <c r="W690" s="332" t="s">
        <v>1437</v>
      </c>
      <c r="X690" s="394" t="s">
        <v>11309</v>
      </c>
      <c r="Y690" s="394" t="s">
        <v>11310</v>
      </c>
      <c r="Z690" s="400"/>
      <c r="AA690" s="394" t="s">
        <v>11311</v>
      </c>
      <c r="AB690" s="416"/>
      <c r="AC690" s="416"/>
      <c r="AD690" s="447" t="s">
        <v>1748</v>
      </c>
      <c r="AE690" s="335" t="s">
        <v>210</v>
      </c>
      <c r="AF690" s="475">
        <v>42530</v>
      </c>
      <c r="AG690" s="748">
        <v>42600</v>
      </c>
      <c r="AH690" s="417" t="s">
        <v>210</v>
      </c>
      <c r="AI690" s="392" t="s">
        <v>210</v>
      </c>
      <c r="AJ690" s="392" t="s">
        <v>210</v>
      </c>
      <c r="AK690" s="340" t="s">
        <v>210</v>
      </c>
      <c r="AL690" s="417" t="s">
        <v>210</v>
      </c>
      <c r="AM690" s="392" t="s">
        <v>210</v>
      </c>
      <c r="AN690" s="392" t="s">
        <v>210</v>
      </c>
      <c r="AO690" s="341" t="s">
        <v>210</v>
      </c>
      <c r="AP690" s="342"/>
      <c r="AQ690" s="433" t="s">
        <v>4547</v>
      </c>
      <c r="AR690" s="452">
        <v>866</v>
      </c>
      <c r="AS690" s="326">
        <v>100</v>
      </c>
      <c r="AT690" s="392">
        <v>1</v>
      </c>
      <c r="AU690" s="392"/>
      <c r="AV690" s="392">
        <v>1.2</v>
      </c>
      <c r="AW690" s="341"/>
      <c r="AX690" s="453" t="s">
        <v>210</v>
      </c>
      <c r="AY690" s="455" t="s">
        <v>210</v>
      </c>
      <c r="AZ690" s="405" t="s">
        <v>3367</v>
      </c>
      <c r="BA690" s="324" t="s">
        <v>210</v>
      </c>
      <c r="BB690" s="324" t="s">
        <v>210</v>
      </c>
      <c r="BC690" s="324" t="s">
        <v>210</v>
      </c>
      <c r="BD690" s="324" t="s">
        <v>210</v>
      </c>
      <c r="BE690" s="324" t="s">
        <v>3664</v>
      </c>
      <c r="BF690" s="324" t="s">
        <v>3574</v>
      </c>
      <c r="BG690" s="324" t="s">
        <v>3665</v>
      </c>
      <c r="BH690" s="426" t="s">
        <v>3574</v>
      </c>
      <c r="BI690" s="410"/>
      <c r="BJ690" s="427" t="s">
        <v>3714</v>
      </c>
      <c r="BK690" s="412"/>
      <c r="BL690" s="413"/>
      <c r="BM690" s="414"/>
      <c r="BN690" s="321" t="s">
        <v>14</v>
      </c>
      <c r="BO690" s="372"/>
      <c r="BP690" s="373" t="s">
        <v>3714</v>
      </c>
      <c r="BQ690" s="360"/>
      <c r="BR690" s="361"/>
      <c r="BS690" s="361"/>
      <c r="BT690" s="361"/>
      <c r="BU690" s="342" t="s">
        <v>210</v>
      </c>
      <c r="BV690" s="342" t="s">
        <v>210</v>
      </c>
      <c r="BW690" s="341" t="s">
        <v>210</v>
      </c>
      <c r="BX690" s="361"/>
      <c r="BY690" s="457"/>
      <c r="BZ690" s="363"/>
      <c r="CA690" s="363"/>
      <c r="CB690" s="363"/>
      <c r="CC690" s="363"/>
    </row>
    <row r="691" spans="1:82" ht="22.5" customHeight="1">
      <c r="B691" s="442">
        <v>160303</v>
      </c>
      <c r="C691" s="747" t="s">
        <v>3650</v>
      </c>
      <c r="D691" s="439"/>
      <c r="E691" s="404"/>
      <c r="F691" s="405" t="s">
        <v>227</v>
      </c>
      <c r="G691" s="324" t="s">
        <v>3651</v>
      </c>
      <c r="H691" s="324" t="s">
        <v>3652</v>
      </c>
      <c r="I691" s="326" t="s">
        <v>383</v>
      </c>
      <c r="J691" s="326" t="s">
        <v>387</v>
      </c>
      <c r="K691" s="326" t="s">
        <v>993</v>
      </c>
      <c r="L691" s="432" t="s">
        <v>210</v>
      </c>
      <c r="M691" s="408"/>
      <c r="N691" s="325" t="s">
        <v>4298</v>
      </c>
      <c r="O691" s="326">
        <v>30</v>
      </c>
      <c r="P691" s="327" t="s">
        <v>210</v>
      </c>
      <c r="Q691" s="369" t="s">
        <v>210</v>
      </c>
      <c r="R691" s="329" t="s">
        <v>1049</v>
      </c>
      <c r="S691" s="331" t="s">
        <v>13031</v>
      </c>
      <c r="T691" s="331" t="s">
        <v>13032</v>
      </c>
      <c r="U691" s="331" t="s">
        <v>16432</v>
      </c>
      <c r="V691" s="331" t="s">
        <v>13033</v>
      </c>
      <c r="W691" s="332" t="s">
        <v>1050</v>
      </c>
      <c r="X691" s="330"/>
      <c r="Y691" s="330"/>
      <c r="Z691" s="330"/>
      <c r="AA691" s="330"/>
      <c r="AB691" s="416"/>
      <c r="AC691" s="416"/>
      <c r="AD691" s="447" t="s">
        <v>3807</v>
      </c>
      <c r="AE691" s="499" t="s">
        <v>947</v>
      </c>
      <c r="AF691" s="475">
        <v>42542</v>
      </c>
      <c r="AG691" s="748">
        <v>42579</v>
      </c>
      <c r="AH691" s="417" t="s">
        <v>210</v>
      </c>
      <c r="AI691" s="392" t="s">
        <v>210</v>
      </c>
      <c r="AJ691" s="392" t="s">
        <v>210</v>
      </c>
      <c r="AK691" s="340" t="s">
        <v>210</v>
      </c>
      <c r="AL691" s="417" t="s">
        <v>210</v>
      </c>
      <c r="AM691" s="392" t="s">
        <v>210</v>
      </c>
      <c r="AN691" s="392" t="s">
        <v>210</v>
      </c>
      <c r="AO691" s="341" t="s">
        <v>210</v>
      </c>
      <c r="AP691" s="342"/>
      <c r="AQ691" s="433" t="s">
        <v>4547</v>
      </c>
      <c r="AR691" s="452">
        <v>675</v>
      </c>
      <c r="AS691" s="324">
        <v>150</v>
      </c>
      <c r="AT691" s="392">
        <v>1</v>
      </c>
      <c r="AU691" s="392"/>
      <c r="AV691" s="392">
        <v>1.5</v>
      </c>
      <c r="AW691" s="341"/>
      <c r="AX691" s="453" t="s">
        <v>210</v>
      </c>
      <c r="AY691" s="455" t="s">
        <v>210</v>
      </c>
      <c r="AZ691" s="405" t="s">
        <v>3367</v>
      </c>
      <c r="BA691" s="324" t="s">
        <v>210</v>
      </c>
      <c r="BB691" s="324" t="s">
        <v>210</v>
      </c>
      <c r="BC691" s="324" t="s">
        <v>210</v>
      </c>
      <c r="BD691" s="324" t="s">
        <v>210</v>
      </c>
      <c r="BE691" s="324" t="s">
        <v>3653</v>
      </c>
      <c r="BF691" s="324" t="s">
        <v>3627</v>
      </c>
      <c r="BG691" s="324" t="s">
        <v>210</v>
      </c>
      <c r="BH691" s="426" t="s">
        <v>210</v>
      </c>
      <c r="BI691" s="410"/>
      <c r="BJ691" s="427" t="s">
        <v>210</v>
      </c>
      <c r="BK691" s="412"/>
      <c r="BL691" s="413"/>
      <c r="BM691" s="414"/>
      <c r="BN691" s="321" t="s">
        <v>14</v>
      </c>
      <c r="BO691" s="372"/>
      <c r="BP691" s="373" t="s">
        <v>3714</v>
      </c>
      <c r="BQ691" s="360"/>
      <c r="BR691" s="361"/>
      <c r="BS691" s="361"/>
      <c r="BT691" s="361"/>
      <c r="BU691" s="342" t="s">
        <v>210</v>
      </c>
      <c r="BV691" s="342" t="s">
        <v>210</v>
      </c>
      <c r="BW691" s="341" t="s">
        <v>210</v>
      </c>
      <c r="BX691" s="361"/>
      <c r="BY691" s="457"/>
      <c r="BZ691" s="363"/>
      <c r="CA691" s="363"/>
      <c r="CB691" s="363"/>
      <c r="CC691" s="363"/>
    </row>
    <row r="692" spans="1:82" ht="22.5" customHeight="1">
      <c r="B692" s="442">
        <v>160308</v>
      </c>
      <c r="C692" s="747" t="s">
        <v>3675</v>
      </c>
      <c r="D692" s="439"/>
      <c r="E692" s="404"/>
      <c r="F692" s="405" t="s">
        <v>3676</v>
      </c>
      <c r="G692" s="324" t="s">
        <v>3677</v>
      </c>
      <c r="H692" s="324" t="s">
        <v>3678</v>
      </c>
      <c r="I692" s="326" t="s">
        <v>383</v>
      </c>
      <c r="J692" s="326" t="s">
        <v>399</v>
      </c>
      <c r="K692" s="326" t="s">
        <v>3821</v>
      </c>
      <c r="L692" s="432" t="s">
        <v>210</v>
      </c>
      <c r="M692" s="408"/>
      <c r="N692" s="325" t="s">
        <v>437</v>
      </c>
      <c r="O692" s="326">
        <v>30</v>
      </c>
      <c r="P692" s="327" t="s">
        <v>210</v>
      </c>
      <c r="Q692" s="369" t="s">
        <v>210</v>
      </c>
      <c r="R692" s="329" t="s">
        <v>1136</v>
      </c>
      <c r="S692" s="331" t="s">
        <v>13159</v>
      </c>
      <c r="T692" s="394" t="s">
        <v>11940</v>
      </c>
      <c r="U692" s="394" t="s">
        <v>16215</v>
      </c>
      <c r="V692" s="331" t="s">
        <v>13160</v>
      </c>
      <c r="W692" s="332" t="s">
        <v>1111</v>
      </c>
      <c r="X692" s="331" t="s">
        <v>11936</v>
      </c>
      <c r="Y692" s="331" t="s">
        <v>11938</v>
      </c>
      <c r="Z692" s="331" t="s">
        <v>11937</v>
      </c>
      <c r="AA692" s="331" t="s">
        <v>11939</v>
      </c>
      <c r="AB692" s="416"/>
      <c r="AC692" s="416"/>
      <c r="AD692" s="447" t="s">
        <v>3850</v>
      </c>
      <c r="AE692" s="335" t="s">
        <v>210</v>
      </c>
      <c r="AF692" s="475">
        <v>42557</v>
      </c>
      <c r="AG692" s="748">
        <v>42574</v>
      </c>
      <c r="AH692" s="417" t="s">
        <v>210</v>
      </c>
      <c r="AI692" s="392" t="s">
        <v>210</v>
      </c>
      <c r="AJ692" s="392" t="s">
        <v>210</v>
      </c>
      <c r="AK692" s="340" t="s">
        <v>210</v>
      </c>
      <c r="AL692" s="417" t="s">
        <v>210</v>
      </c>
      <c r="AM692" s="392" t="s">
        <v>210</v>
      </c>
      <c r="AN692" s="392" t="s">
        <v>210</v>
      </c>
      <c r="AO692" s="341" t="s">
        <v>210</v>
      </c>
      <c r="AP692" s="342"/>
      <c r="AQ692" s="433" t="s">
        <v>4547</v>
      </c>
      <c r="AR692" s="452">
        <v>238</v>
      </c>
      <c r="AS692" s="324">
        <v>100</v>
      </c>
      <c r="AT692" s="432">
        <v>1</v>
      </c>
      <c r="AU692" s="432"/>
      <c r="AV692" s="432">
        <v>1</v>
      </c>
      <c r="AW692" s="490"/>
      <c r="AX692" s="453" t="s">
        <v>210</v>
      </c>
      <c r="AY692" s="455" t="s">
        <v>210</v>
      </c>
      <c r="AZ692" s="405" t="s">
        <v>3367</v>
      </c>
      <c r="BA692" s="324" t="s">
        <v>210</v>
      </c>
      <c r="BB692" s="324" t="s">
        <v>210</v>
      </c>
      <c r="BC692" s="324" t="s">
        <v>210</v>
      </c>
      <c r="BD692" s="324" t="s">
        <v>210</v>
      </c>
      <c r="BE692" s="324" t="s">
        <v>3679</v>
      </c>
      <c r="BF692" s="324" t="s">
        <v>3680</v>
      </c>
      <c r="BG692" s="324" t="s">
        <v>3681</v>
      </c>
      <c r="BH692" s="426" t="s">
        <v>3682</v>
      </c>
      <c r="BI692" s="410"/>
      <c r="BJ692" s="427" t="s">
        <v>210</v>
      </c>
      <c r="BK692" s="412"/>
      <c r="BL692" s="413"/>
      <c r="BM692" s="414"/>
      <c r="BN692" s="321" t="s">
        <v>210</v>
      </c>
      <c r="BO692" s="372"/>
      <c r="BP692" s="373" t="s">
        <v>3820</v>
      </c>
      <c r="BQ692" s="360"/>
      <c r="BR692" s="361"/>
      <c r="BS692" s="361"/>
      <c r="BT692" s="361"/>
      <c r="BU692" s="342" t="s">
        <v>210</v>
      </c>
      <c r="BV692" s="342" t="s">
        <v>210</v>
      </c>
      <c r="BW692" s="341" t="s">
        <v>210</v>
      </c>
      <c r="BX692" s="361"/>
      <c r="BY692" s="457"/>
      <c r="BZ692" s="363"/>
      <c r="CA692" s="363"/>
      <c r="CB692" s="363"/>
      <c r="CC692" s="363"/>
    </row>
    <row r="693" spans="1:82" ht="22.5" customHeight="1">
      <c r="B693" s="442">
        <v>160309</v>
      </c>
      <c r="C693" s="747" t="s">
        <v>3783</v>
      </c>
      <c r="D693" s="439"/>
      <c r="E693" s="404"/>
      <c r="F693" s="405" t="s">
        <v>240</v>
      </c>
      <c r="G693" s="324" t="s">
        <v>3784</v>
      </c>
      <c r="H693" s="324" t="s">
        <v>3785</v>
      </c>
      <c r="I693" s="326" t="s">
        <v>383</v>
      </c>
      <c r="J693" s="326" t="s">
        <v>399</v>
      </c>
      <c r="K693" s="326" t="s">
        <v>247</v>
      </c>
      <c r="L693" s="826" t="s">
        <v>4589</v>
      </c>
      <c r="M693" s="408"/>
      <c r="N693" s="325" t="s">
        <v>438</v>
      </c>
      <c r="O693" s="324">
        <v>30</v>
      </c>
      <c r="P693" s="327" t="s">
        <v>210</v>
      </c>
      <c r="Q693" s="369" t="s">
        <v>210</v>
      </c>
      <c r="R693" s="329" t="s">
        <v>712</v>
      </c>
      <c r="S693" s="331" t="s">
        <v>13042</v>
      </c>
      <c r="T693" s="331" t="s">
        <v>13043</v>
      </c>
      <c r="U693" s="331" t="s">
        <v>13044</v>
      </c>
      <c r="V693" s="331" t="s">
        <v>13045</v>
      </c>
      <c r="W693" s="332" t="s">
        <v>644</v>
      </c>
      <c r="X693" s="330"/>
      <c r="Y693" s="394" t="s">
        <v>11201</v>
      </c>
      <c r="Z693" s="394" t="s">
        <v>11200</v>
      </c>
      <c r="AA693" s="330"/>
      <c r="AB693" s="416"/>
      <c r="AC693" s="416"/>
      <c r="AD693" s="447" t="s">
        <v>3942</v>
      </c>
      <c r="AE693" s="499" t="s">
        <v>3943</v>
      </c>
      <c r="AF693" s="475">
        <v>42562</v>
      </c>
      <c r="AG693" s="748">
        <v>42607</v>
      </c>
      <c r="AH693" s="417" t="s">
        <v>210</v>
      </c>
      <c r="AI693" s="392" t="s">
        <v>210</v>
      </c>
      <c r="AJ693" s="392" t="s">
        <v>210</v>
      </c>
      <c r="AK693" s="340" t="s">
        <v>210</v>
      </c>
      <c r="AL693" s="417" t="s">
        <v>210</v>
      </c>
      <c r="AM693" s="392" t="s">
        <v>210</v>
      </c>
      <c r="AN693" s="392" t="s">
        <v>210</v>
      </c>
      <c r="AO693" s="341" t="s">
        <v>210</v>
      </c>
      <c r="AP693" s="342"/>
      <c r="AQ693" s="433" t="s">
        <v>4547</v>
      </c>
      <c r="AR693" s="452">
        <v>7422</v>
      </c>
      <c r="AS693" s="324">
        <v>100</v>
      </c>
      <c r="AT693" s="432">
        <v>1</v>
      </c>
      <c r="AU693" s="432"/>
      <c r="AV693" s="432">
        <v>1</v>
      </c>
      <c r="AW693" s="490"/>
      <c r="AX693" s="453" t="s">
        <v>210</v>
      </c>
      <c r="AY693" s="455" t="s">
        <v>210</v>
      </c>
      <c r="AZ693" s="405" t="s">
        <v>622</v>
      </c>
      <c r="BA693" s="324" t="s">
        <v>3907</v>
      </c>
      <c r="BB693" s="324" t="s">
        <v>3906</v>
      </c>
      <c r="BC693" s="324" t="s">
        <v>210</v>
      </c>
      <c r="BD693" s="324" t="s">
        <v>3910</v>
      </c>
      <c r="BE693" s="324" t="s">
        <v>3555</v>
      </c>
      <c r="BF693" s="324" t="s">
        <v>3906</v>
      </c>
      <c r="BG693" s="324" t="s">
        <v>210</v>
      </c>
      <c r="BH693" s="426" t="s">
        <v>210</v>
      </c>
      <c r="BI693" s="410"/>
      <c r="BJ693" s="427" t="s">
        <v>210</v>
      </c>
      <c r="BK693" s="412"/>
      <c r="BL693" s="413"/>
      <c r="BM693" s="414"/>
      <c r="BN693" s="321" t="s">
        <v>14</v>
      </c>
      <c r="BO693" s="372"/>
      <c r="BP693" s="373" t="s">
        <v>210</v>
      </c>
      <c r="BQ693" s="360"/>
      <c r="BR693" s="361"/>
      <c r="BS693" s="361"/>
      <c r="BT693" s="361"/>
      <c r="BU693" s="342" t="s">
        <v>210</v>
      </c>
      <c r="BV693" s="342" t="s">
        <v>210</v>
      </c>
      <c r="BW693" s="341" t="s">
        <v>210</v>
      </c>
      <c r="BX693" s="361"/>
      <c r="BY693" s="457"/>
      <c r="BZ693" s="363"/>
      <c r="CA693" s="363"/>
      <c r="CB693" s="363"/>
      <c r="CC693" s="363"/>
    </row>
    <row r="694" spans="1:82" ht="22.5" customHeight="1">
      <c r="B694" s="442">
        <v>160311</v>
      </c>
      <c r="C694" s="747" t="s">
        <v>4079</v>
      </c>
      <c r="D694" s="439"/>
      <c r="E694" s="404"/>
      <c r="F694" s="405" t="s">
        <v>4177</v>
      </c>
      <c r="G694" s="324" t="s">
        <v>4178</v>
      </c>
      <c r="H694" s="324" t="s">
        <v>4179</v>
      </c>
      <c r="I694" s="326" t="s">
        <v>383</v>
      </c>
      <c r="J694" s="326" t="s">
        <v>399</v>
      </c>
      <c r="K694" s="324" t="s">
        <v>4180</v>
      </c>
      <c r="L694" s="323"/>
      <c r="M694" s="408"/>
      <c r="N694" s="325" t="s">
        <v>438</v>
      </c>
      <c r="O694" s="324">
        <v>30</v>
      </c>
      <c r="P694" s="458">
        <v>241</v>
      </c>
      <c r="Q694" s="459">
        <v>268</v>
      </c>
      <c r="R694" s="329" t="s">
        <v>432</v>
      </c>
      <c r="S694" s="331" t="s">
        <v>11079</v>
      </c>
      <c r="T694" s="331" t="s">
        <v>11079</v>
      </c>
      <c r="U694" s="331" t="s">
        <v>11079</v>
      </c>
      <c r="V694" s="331" t="s">
        <v>11079</v>
      </c>
      <c r="W694" s="332" t="s">
        <v>432</v>
      </c>
      <c r="X694" s="331" t="s">
        <v>11079</v>
      </c>
      <c r="Y694" s="331" t="s">
        <v>11080</v>
      </c>
      <c r="Z694" s="331" t="s">
        <v>11080</v>
      </c>
      <c r="AA694" s="331"/>
      <c r="AB694" s="416" t="s">
        <v>16100</v>
      </c>
      <c r="AC694" s="416"/>
      <c r="AD694" s="334" t="s">
        <v>2325</v>
      </c>
      <c r="AE694" s="499" t="s">
        <v>4168</v>
      </c>
      <c r="AF694" s="388"/>
      <c r="AG694" s="748">
        <v>42651</v>
      </c>
      <c r="AH694" s="417" t="s">
        <v>210</v>
      </c>
      <c r="AI694" s="392" t="s">
        <v>210</v>
      </c>
      <c r="AJ694" s="392" t="s">
        <v>210</v>
      </c>
      <c r="AK694" s="340" t="s">
        <v>210</v>
      </c>
      <c r="AL694" s="417" t="s">
        <v>210</v>
      </c>
      <c r="AM694" s="392" t="s">
        <v>210</v>
      </c>
      <c r="AN694" s="392" t="s">
        <v>210</v>
      </c>
      <c r="AO694" s="341" t="s">
        <v>210</v>
      </c>
      <c r="AP694" s="342"/>
      <c r="AQ694" s="343"/>
      <c r="AR694" s="452">
        <v>383</v>
      </c>
      <c r="AS694" s="324">
        <v>130</v>
      </c>
      <c r="AT694" s="432">
        <v>0.6</v>
      </c>
      <c r="AU694" s="432"/>
      <c r="AV694" s="432">
        <v>0.6</v>
      </c>
      <c r="AW694" s="490"/>
      <c r="AX694" s="376"/>
      <c r="AY694" s="348"/>
      <c r="AZ694" s="405" t="s">
        <v>3367</v>
      </c>
      <c r="BA694" s="324" t="s">
        <v>210</v>
      </c>
      <c r="BB694" s="324" t="s">
        <v>210</v>
      </c>
      <c r="BC694" s="324" t="s">
        <v>210</v>
      </c>
      <c r="BD694" s="324" t="s">
        <v>210</v>
      </c>
      <c r="BE694" s="324" t="s">
        <v>210</v>
      </c>
      <c r="BF694" s="324" t="s">
        <v>210</v>
      </c>
      <c r="BG694" s="324" t="s">
        <v>210</v>
      </c>
      <c r="BH694" s="426" t="s">
        <v>210</v>
      </c>
      <c r="BI694" s="410"/>
      <c r="BJ694" s="427" t="s">
        <v>210</v>
      </c>
      <c r="BK694" s="412"/>
      <c r="BL694" s="413"/>
      <c r="BM694" s="414"/>
      <c r="BN694" s="321" t="s">
        <v>210</v>
      </c>
      <c r="BO694" s="372"/>
      <c r="BP694" s="373" t="s">
        <v>210</v>
      </c>
      <c r="BQ694" s="360"/>
      <c r="BR694" s="361"/>
      <c r="BS694" s="361"/>
      <c r="BT694" s="361"/>
      <c r="BU694" s="342" t="s">
        <v>210</v>
      </c>
      <c r="BV694" s="342" t="s">
        <v>210</v>
      </c>
      <c r="BW694" s="341" t="s">
        <v>210</v>
      </c>
      <c r="BX694" s="361"/>
      <c r="BY694" s="457"/>
      <c r="BZ694" s="363"/>
      <c r="CA694" s="363"/>
      <c r="CB694" s="363"/>
      <c r="CC694" s="363"/>
    </row>
    <row r="695" spans="1:82" ht="22.5" customHeight="1">
      <c r="B695" s="442">
        <v>160312</v>
      </c>
      <c r="C695" s="747" t="s">
        <v>3667</v>
      </c>
      <c r="D695" s="439"/>
      <c r="E695" s="404"/>
      <c r="F695" s="405" t="s">
        <v>301</v>
      </c>
      <c r="G695" s="324" t="s">
        <v>3670</v>
      </c>
      <c r="H695" s="324" t="s">
        <v>3686</v>
      </c>
      <c r="I695" s="326" t="s">
        <v>383</v>
      </c>
      <c r="J695" s="326" t="s">
        <v>387</v>
      </c>
      <c r="K695" s="324" t="s">
        <v>3941</v>
      </c>
      <c r="L695" s="432" t="s">
        <v>210</v>
      </c>
      <c r="M695" s="408"/>
      <c r="N695" s="325" t="s">
        <v>4298</v>
      </c>
      <c r="O695" s="324">
        <v>30</v>
      </c>
      <c r="P695" s="327" t="s">
        <v>210</v>
      </c>
      <c r="Q695" s="369" t="s">
        <v>210</v>
      </c>
      <c r="R695" s="329" t="s">
        <v>4310</v>
      </c>
      <c r="S695" s="400"/>
      <c r="T695" s="400"/>
      <c r="U695" s="400"/>
      <c r="V695" s="400"/>
      <c r="W695" s="460" t="s">
        <v>4309</v>
      </c>
      <c r="X695" s="394" t="s">
        <v>13022</v>
      </c>
      <c r="Y695" s="394" t="s">
        <v>13023</v>
      </c>
      <c r="Z695" s="394" t="s">
        <v>16500</v>
      </c>
      <c r="AA695" s="394" t="s">
        <v>13024</v>
      </c>
      <c r="AB695" s="416" t="s">
        <v>3775</v>
      </c>
      <c r="AC695" s="416"/>
      <c r="AD695" s="447" t="s">
        <v>4173</v>
      </c>
      <c r="AE695" s="499" t="s">
        <v>3890</v>
      </c>
      <c r="AF695" s="475">
        <v>42558</v>
      </c>
      <c r="AG695" s="748">
        <v>42581</v>
      </c>
      <c r="AH695" s="417" t="s">
        <v>210</v>
      </c>
      <c r="AI695" s="392" t="s">
        <v>210</v>
      </c>
      <c r="AJ695" s="392" t="s">
        <v>210</v>
      </c>
      <c r="AK695" s="340" t="s">
        <v>210</v>
      </c>
      <c r="AL695" s="417" t="s">
        <v>210</v>
      </c>
      <c r="AM695" s="392" t="s">
        <v>210</v>
      </c>
      <c r="AN695" s="392" t="s">
        <v>210</v>
      </c>
      <c r="AO695" s="341" t="s">
        <v>210</v>
      </c>
      <c r="AP695" s="342"/>
      <c r="AQ695" s="433" t="s">
        <v>4547</v>
      </c>
      <c r="AR695" s="452">
        <v>618</v>
      </c>
      <c r="AS695" s="324">
        <v>100</v>
      </c>
      <c r="AT695" s="432">
        <v>1</v>
      </c>
      <c r="AU695" s="432"/>
      <c r="AV695" s="432">
        <v>1</v>
      </c>
      <c r="AW695" s="490"/>
      <c r="AX695" s="453" t="s">
        <v>210</v>
      </c>
      <c r="AY695" s="455" t="s">
        <v>210</v>
      </c>
      <c r="AZ695" s="405" t="s">
        <v>3367</v>
      </c>
      <c r="BA695" s="324" t="s">
        <v>210</v>
      </c>
      <c r="BB695" s="324" t="s">
        <v>210</v>
      </c>
      <c r="BC695" s="324" t="s">
        <v>3701</v>
      </c>
      <c r="BD695" s="324" t="s">
        <v>3702</v>
      </c>
      <c r="BE695" s="324" t="s">
        <v>3701</v>
      </c>
      <c r="BF695" s="324" t="s">
        <v>3702</v>
      </c>
      <c r="BG695" s="324" t="s">
        <v>3703</v>
      </c>
      <c r="BH695" s="426" t="s">
        <v>3702</v>
      </c>
      <c r="BI695" s="410"/>
      <c r="BJ695" s="427" t="s">
        <v>210</v>
      </c>
      <c r="BK695" s="412"/>
      <c r="BL695" s="413"/>
      <c r="BM695" s="414"/>
      <c r="BN695" s="321" t="s">
        <v>210</v>
      </c>
      <c r="BO695" s="372"/>
      <c r="BP695" s="373" t="s">
        <v>3820</v>
      </c>
      <c r="BQ695" s="360"/>
      <c r="BR695" s="361"/>
      <c r="BS695" s="361"/>
      <c r="BT695" s="361"/>
      <c r="BU695" s="342" t="s">
        <v>210</v>
      </c>
      <c r="BV695" s="342" t="s">
        <v>210</v>
      </c>
      <c r="BW695" s="341" t="s">
        <v>210</v>
      </c>
      <c r="BX695" s="361"/>
      <c r="BY695" s="457"/>
      <c r="BZ695" s="363"/>
      <c r="CA695" s="363"/>
      <c r="CB695" s="363"/>
      <c r="CC695" s="363"/>
    </row>
    <row r="696" spans="1:82" ht="22.5" customHeight="1">
      <c r="B696" s="442">
        <v>160313</v>
      </c>
      <c r="C696" s="747" t="s">
        <v>3690</v>
      </c>
      <c r="D696" s="439"/>
      <c r="E696" s="404"/>
      <c r="F696" s="405" t="s">
        <v>3691</v>
      </c>
      <c r="G696" s="324" t="s">
        <v>3692</v>
      </c>
      <c r="H696" s="324" t="s">
        <v>3693</v>
      </c>
      <c r="I696" s="326" t="s">
        <v>383</v>
      </c>
      <c r="J696" s="326" t="s">
        <v>387</v>
      </c>
      <c r="K696" s="324" t="s">
        <v>247</v>
      </c>
      <c r="L696" s="778"/>
      <c r="M696" s="408"/>
      <c r="N696" s="325" t="s">
        <v>438</v>
      </c>
      <c r="O696" s="326">
        <v>30</v>
      </c>
      <c r="P696" s="327" t="s">
        <v>210</v>
      </c>
      <c r="Q696" s="369" t="s">
        <v>210</v>
      </c>
      <c r="R696" s="329" t="s">
        <v>4308</v>
      </c>
      <c r="S696" s="331" t="s">
        <v>13020</v>
      </c>
      <c r="T696" s="330"/>
      <c r="U696" s="330"/>
      <c r="V696" s="331" t="s">
        <v>13021</v>
      </c>
      <c r="W696" s="332" t="s">
        <v>644</v>
      </c>
      <c r="X696" s="331" t="s">
        <v>13018</v>
      </c>
      <c r="Y696" s="394" t="s">
        <v>11201</v>
      </c>
      <c r="Z696" s="394" t="s">
        <v>12155</v>
      </c>
      <c r="AA696" s="331" t="s">
        <v>13019</v>
      </c>
      <c r="AB696" s="416"/>
      <c r="AC696" s="416"/>
      <c r="AD696" s="375"/>
      <c r="AE696" s="815"/>
      <c r="AF696" s="475">
        <v>42558</v>
      </c>
      <c r="AG696" s="748">
        <v>42704</v>
      </c>
      <c r="AH696" s="417" t="s">
        <v>210</v>
      </c>
      <c r="AI696" s="392" t="s">
        <v>210</v>
      </c>
      <c r="AJ696" s="392" t="s">
        <v>210</v>
      </c>
      <c r="AK696" s="340" t="s">
        <v>210</v>
      </c>
      <c r="AL696" s="417" t="s">
        <v>210</v>
      </c>
      <c r="AM696" s="392" t="s">
        <v>210</v>
      </c>
      <c r="AN696" s="392" t="s">
        <v>210</v>
      </c>
      <c r="AO696" s="341" t="s">
        <v>210</v>
      </c>
      <c r="AP696" s="342"/>
      <c r="AQ696" s="433" t="s">
        <v>4547</v>
      </c>
      <c r="AR696" s="452">
        <v>2043</v>
      </c>
      <c r="AS696" s="324">
        <v>100</v>
      </c>
      <c r="AT696" s="432">
        <v>1</v>
      </c>
      <c r="AU696" s="432"/>
      <c r="AV696" s="432">
        <v>1</v>
      </c>
      <c r="AW696" s="490"/>
      <c r="AX696" s="453" t="s">
        <v>210</v>
      </c>
      <c r="AY696" s="455" t="s">
        <v>210</v>
      </c>
      <c r="AZ696" s="405" t="s">
        <v>3367</v>
      </c>
      <c r="BA696" s="324" t="s">
        <v>210</v>
      </c>
      <c r="BB696" s="324" t="s">
        <v>210</v>
      </c>
      <c r="BC696" s="324" t="s">
        <v>210</v>
      </c>
      <c r="BD696" s="324" t="s">
        <v>210</v>
      </c>
      <c r="BE696" s="324" t="s">
        <v>3696</v>
      </c>
      <c r="BF696" s="324" t="s">
        <v>3491</v>
      </c>
      <c r="BG696" s="324" t="s">
        <v>3697</v>
      </c>
      <c r="BH696" s="426" t="s">
        <v>3698</v>
      </c>
      <c r="BI696" s="410"/>
      <c r="BJ696" s="427" t="s">
        <v>210</v>
      </c>
      <c r="BK696" s="412"/>
      <c r="BL696" s="413"/>
      <c r="BM696" s="414"/>
      <c r="BN696" s="321" t="s">
        <v>14</v>
      </c>
      <c r="BO696" s="372"/>
      <c r="BP696" s="373" t="s">
        <v>210</v>
      </c>
      <c r="BQ696" s="360"/>
      <c r="BR696" s="361"/>
      <c r="BS696" s="361"/>
      <c r="BT696" s="361"/>
      <c r="BU696" s="342" t="s">
        <v>210</v>
      </c>
      <c r="BV696" s="342" t="s">
        <v>210</v>
      </c>
      <c r="BW696" s="341" t="s">
        <v>210</v>
      </c>
      <c r="BX696" s="361"/>
      <c r="BY696" s="457"/>
      <c r="BZ696" s="363"/>
      <c r="CA696" s="363"/>
      <c r="CB696" s="363"/>
      <c r="CC696" s="363"/>
    </row>
    <row r="697" spans="1:82" ht="22.5" customHeight="1">
      <c r="B697" s="442">
        <v>160314</v>
      </c>
      <c r="C697" s="747" t="s">
        <v>3683</v>
      </c>
      <c r="D697" s="439"/>
      <c r="E697" s="404"/>
      <c r="F697" s="405" t="s">
        <v>1058</v>
      </c>
      <c r="G697" s="324" t="s">
        <v>3684</v>
      </c>
      <c r="H697" s="324" t="s">
        <v>3685</v>
      </c>
      <c r="I697" s="326" t="s">
        <v>383</v>
      </c>
      <c r="J697" s="326" t="s">
        <v>1011</v>
      </c>
      <c r="K697" s="326" t="s">
        <v>203</v>
      </c>
      <c r="L697" s="432" t="s">
        <v>210</v>
      </c>
      <c r="M697" s="408"/>
      <c r="N697" s="325" t="s">
        <v>438</v>
      </c>
      <c r="O697" s="326">
        <v>30</v>
      </c>
      <c r="P697" s="327" t="s">
        <v>210</v>
      </c>
      <c r="Q697" s="369" t="s">
        <v>210</v>
      </c>
      <c r="R697" s="329" t="s">
        <v>4307</v>
      </c>
      <c r="S697" s="331" t="s">
        <v>13012</v>
      </c>
      <c r="T697" s="331" t="s">
        <v>13013</v>
      </c>
      <c r="U697" s="331" t="s">
        <v>13014</v>
      </c>
      <c r="V697" s="331" t="s">
        <v>13015</v>
      </c>
      <c r="W697" s="332" t="s">
        <v>2306</v>
      </c>
      <c r="X697" s="331" t="s">
        <v>13016</v>
      </c>
      <c r="Y697" s="330"/>
      <c r="Z697" s="330"/>
      <c r="AA697" s="331" t="s">
        <v>13017</v>
      </c>
      <c r="AB697" s="416"/>
      <c r="AC697" s="416"/>
      <c r="AD697" s="447" t="s">
        <v>4174</v>
      </c>
      <c r="AE697" s="815"/>
      <c r="AF697" s="475">
        <v>42558</v>
      </c>
      <c r="AG697" s="748">
        <v>42592</v>
      </c>
      <c r="AH697" s="417" t="s">
        <v>210</v>
      </c>
      <c r="AI697" s="392" t="s">
        <v>210</v>
      </c>
      <c r="AJ697" s="392" t="s">
        <v>210</v>
      </c>
      <c r="AK697" s="340" t="s">
        <v>210</v>
      </c>
      <c r="AL697" s="417" t="s">
        <v>210</v>
      </c>
      <c r="AM697" s="392" t="s">
        <v>210</v>
      </c>
      <c r="AN697" s="392" t="s">
        <v>210</v>
      </c>
      <c r="AO697" s="341" t="s">
        <v>210</v>
      </c>
      <c r="AP697" s="342"/>
      <c r="AQ697" s="433" t="s">
        <v>4547</v>
      </c>
      <c r="AR697" s="452">
        <v>2485</v>
      </c>
      <c r="AS697" s="324">
        <v>150</v>
      </c>
      <c r="AT697" s="432">
        <v>0.8</v>
      </c>
      <c r="AU697" s="432"/>
      <c r="AV697" s="432">
        <v>1.2</v>
      </c>
      <c r="AW697" s="490"/>
      <c r="AX697" s="453" t="s">
        <v>210</v>
      </c>
      <c r="AY697" s="455" t="s">
        <v>210</v>
      </c>
      <c r="AZ697" s="405" t="s">
        <v>3367</v>
      </c>
      <c r="BA697" s="324" t="s">
        <v>210</v>
      </c>
      <c r="BB697" s="324" t="s">
        <v>210</v>
      </c>
      <c r="BC697" s="324" t="s">
        <v>3704</v>
      </c>
      <c r="BD697" s="324" t="s">
        <v>3705</v>
      </c>
      <c r="BE697" s="324" t="s">
        <v>3706</v>
      </c>
      <c r="BF697" s="324" t="s">
        <v>3556</v>
      </c>
      <c r="BG697" s="324" t="s">
        <v>210</v>
      </c>
      <c r="BH697" s="426" t="s">
        <v>210</v>
      </c>
      <c r="BI697" s="410"/>
      <c r="BJ697" s="427" t="s">
        <v>210</v>
      </c>
      <c r="BK697" s="412"/>
      <c r="BL697" s="413"/>
      <c r="BM697" s="414"/>
      <c r="BN697" s="321" t="s">
        <v>14</v>
      </c>
      <c r="BO697" s="372"/>
      <c r="BP697" s="373" t="s">
        <v>14</v>
      </c>
      <c r="BQ697" s="360"/>
      <c r="BR697" s="361"/>
      <c r="BS697" s="361"/>
      <c r="BT697" s="361"/>
      <c r="BU697" s="342" t="s">
        <v>210</v>
      </c>
      <c r="BV697" s="342" t="s">
        <v>210</v>
      </c>
      <c r="BW697" s="341" t="s">
        <v>622</v>
      </c>
      <c r="BX697" s="361"/>
      <c r="BY697" s="457"/>
      <c r="BZ697" s="363"/>
      <c r="CA697" s="363"/>
      <c r="CB697" s="363"/>
      <c r="CC697" s="363"/>
    </row>
    <row r="698" spans="1:82" ht="22.5" customHeight="1">
      <c r="B698" s="442">
        <v>160315</v>
      </c>
      <c r="C698" s="747" t="s">
        <v>3858</v>
      </c>
      <c r="D698" s="439"/>
      <c r="E698" s="404"/>
      <c r="F698" s="405" t="s">
        <v>1043</v>
      </c>
      <c r="G698" s="324" t="s">
        <v>1770</v>
      </c>
      <c r="H698" s="324" t="s">
        <v>3859</v>
      </c>
      <c r="I698" s="326" t="s">
        <v>383</v>
      </c>
      <c r="J698" s="326" t="s">
        <v>387</v>
      </c>
      <c r="K698" s="324" t="s">
        <v>3982</v>
      </c>
      <c r="L698" s="826" t="s">
        <v>4589</v>
      </c>
      <c r="M698" s="408"/>
      <c r="N698" s="325" t="s">
        <v>4298</v>
      </c>
      <c r="O698" s="324">
        <v>70</v>
      </c>
      <c r="P698" s="327" t="s">
        <v>210</v>
      </c>
      <c r="Q698" s="369" t="s">
        <v>210</v>
      </c>
      <c r="R698" s="420" t="s">
        <v>4305</v>
      </c>
      <c r="S698" s="394" t="s">
        <v>13008</v>
      </c>
      <c r="T698" s="394" t="s">
        <v>13011</v>
      </c>
      <c r="U698" s="394" t="s">
        <v>16420</v>
      </c>
      <c r="V698" s="394" t="s">
        <v>13009</v>
      </c>
      <c r="W698" s="460" t="s">
        <v>4306</v>
      </c>
      <c r="X698" s="394" t="s">
        <v>13006</v>
      </c>
      <c r="Y698" s="400"/>
      <c r="Z698" s="400"/>
      <c r="AA698" s="394" t="s">
        <v>13007</v>
      </c>
      <c r="AB698" s="416"/>
      <c r="AC698" s="416"/>
      <c r="AD698" s="375"/>
      <c r="AE698" s="499" t="s">
        <v>4106</v>
      </c>
      <c r="AF698" s="475">
        <v>42576</v>
      </c>
      <c r="AG698" s="748">
        <v>42636</v>
      </c>
      <c r="AH698" s="417" t="s">
        <v>210</v>
      </c>
      <c r="AI698" s="392" t="s">
        <v>210</v>
      </c>
      <c r="AJ698" s="392" t="s">
        <v>210</v>
      </c>
      <c r="AK698" s="340" t="s">
        <v>210</v>
      </c>
      <c r="AL698" s="417" t="s">
        <v>210</v>
      </c>
      <c r="AM698" s="392" t="s">
        <v>210</v>
      </c>
      <c r="AN698" s="392" t="s">
        <v>210</v>
      </c>
      <c r="AO698" s="341" t="s">
        <v>210</v>
      </c>
      <c r="AP698" s="342"/>
      <c r="AQ698" s="433" t="s">
        <v>4551</v>
      </c>
      <c r="AR698" s="452">
        <v>334</v>
      </c>
      <c r="AS698" s="324">
        <v>80</v>
      </c>
      <c r="AT698" s="432">
        <v>1</v>
      </c>
      <c r="AU698" s="432"/>
      <c r="AV698" s="432">
        <v>1.2</v>
      </c>
      <c r="AW698" s="490"/>
      <c r="AX698" s="453" t="s">
        <v>210</v>
      </c>
      <c r="AY698" s="455" t="s">
        <v>210</v>
      </c>
      <c r="AZ698" s="405" t="s">
        <v>3367</v>
      </c>
      <c r="BA698" s="324" t="s">
        <v>210</v>
      </c>
      <c r="BB698" s="324" t="s">
        <v>210</v>
      </c>
      <c r="BC698" s="324" t="s">
        <v>3977</v>
      </c>
      <c r="BD698" s="324" t="s">
        <v>3556</v>
      </c>
      <c r="BE698" s="324" t="s">
        <v>3977</v>
      </c>
      <c r="BF698" s="324" t="s">
        <v>3512</v>
      </c>
      <c r="BG698" s="324" t="s">
        <v>3475</v>
      </c>
      <c r="BH698" s="426" t="s">
        <v>3424</v>
      </c>
      <c r="BI698" s="410"/>
      <c r="BJ698" s="427" t="s">
        <v>210</v>
      </c>
      <c r="BK698" s="412"/>
      <c r="BL698" s="413"/>
      <c r="BM698" s="414"/>
      <c r="BN698" s="321" t="s">
        <v>14</v>
      </c>
      <c r="BO698" s="372"/>
      <c r="BP698" s="373" t="s">
        <v>210</v>
      </c>
      <c r="BQ698" s="360"/>
      <c r="BR698" s="361"/>
      <c r="BS698" s="361"/>
      <c r="BT698" s="361"/>
      <c r="BU698" s="342" t="s">
        <v>210</v>
      </c>
      <c r="BV698" s="342" t="s">
        <v>210</v>
      </c>
      <c r="BW698" s="341" t="s">
        <v>210</v>
      </c>
      <c r="BX698" s="361"/>
      <c r="BY698" s="457"/>
      <c r="BZ698" s="363"/>
      <c r="CA698" s="363"/>
      <c r="CB698" s="363"/>
      <c r="CC698" s="363"/>
    </row>
    <row r="699" spans="1:82" ht="22.5" customHeight="1">
      <c r="B699" s="442">
        <v>160316</v>
      </c>
      <c r="C699" s="747" t="s">
        <v>13005</v>
      </c>
      <c r="D699" s="439"/>
      <c r="E699" s="404"/>
      <c r="F699" s="405" t="s">
        <v>3797</v>
      </c>
      <c r="G699" s="324" t="s">
        <v>3632</v>
      </c>
      <c r="H699" s="324" t="s">
        <v>3798</v>
      </c>
      <c r="I699" s="326" t="s">
        <v>383</v>
      </c>
      <c r="J699" s="326" t="s">
        <v>399</v>
      </c>
      <c r="K699" s="326" t="s">
        <v>917</v>
      </c>
      <c r="L699" s="432" t="s">
        <v>210</v>
      </c>
      <c r="M699" s="408"/>
      <c r="N699" s="325" t="s">
        <v>3799</v>
      </c>
      <c r="O699" s="324">
        <v>200</v>
      </c>
      <c r="P699" s="327" t="s">
        <v>210</v>
      </c>
      <c r="Q699" s="369" t="s">
        <v>210</v>
      </c>
      <c r="R699" s="420" t="s">
        <v>3802</v>
      </c>
      <c r="S699" s="400"/>
      <c r="T699" s="400"/>
      <c r="U699" s="400"/>
      <c r="V699" s="400"/>
      <c r="W699" s="460" t="s">
        <v>3800</v>
      </c>
      <c r="X699" s="394" t="s">
        <v>11416</v>
      </c>
      <c r="Y699" s="394" t="s">
        <v>11417</v>
      </c>
      <c r="Z699" s="394" t="s">
        <v>11418</v>
      </c>
      <c r="AA699" s="394" t="s">
        <v>11419</v>
      </c>
      <c r="AB699" s="416"/>
      <c r="AC699" s="416"/>
      <c r="AD699" s="334" t="s">
        <v>2326</v>
      </c>
      <c r="AE699" s="335" t="s">
        <v>210</v>
      </c>
      <c r="AF699" s="475">
        <v>42564</v>
      </c>
      <c r="AG699" s="748">
        <v>42639</v>
      </c>
      <c r="AH699" s="417" t="s">
        <v>210</v>
      </c>
      <c r="AI699" s="392" t="s">
        <v>210</v>
      </c>
      <c r="AJ699" s="392" t="s">
        <v>210</v>
      </c>
      <c r="AK699" s="340" t="s">
        <v>210</v>
      </c>
      <c r="AL699" s="417" t="s">
        <v>210</v>
      </c>
      <c r="AM699" s="392" t="s">
        <v>210</v>
      </c>
      <c r="AN699" s="392" t="s">
        <v>210</v>
      </c>
      <c r="AO699" s="341" t="s">
        <v>210</v>
      </c>
      <c r="AP699" s="342"/>
      <c r="AQ699" s="433" t="s">
        <v>4547</v>
      </c>
      <c r="AR699" s="452">
        <v>4334</v>
      </c>
      <c r="AS699" s="324">
        <v>100</v>
      </c>
      <c r="AT699" s="432">
        <v>0.8</v>
      </c>
      <c r="AU699" s="432"/>
      <c r="AV699" s="432">
        <v>1.6</v>
      </c>
      <c r="AW699" s="490"/>
      <c r="AX699" s="453" t="s">
        <v>210</v>
      </c>
      <c r="AY699" s="429" t="s">
        <v>622</v>
      </c>
      <c r="AZ699" s="405" t="s">
        <v>3367</v>
      </c>
      <c r="BA699" s="324" t="s">
        <v>210</v>
      </c>
      <c r="BB699" s="324" t="s">
        <v>210</v>
      </c>
      <c r="BC699" s="324" t="s">
        <v>3904</v>
      </c>
      <c r="BD699" s="324" t="s">
        <v>3492</v>
      </c>
      <c r="BE699" s="324" t="s">
        <v>3905</v>
      </c>
      <c r="BF699" s="324" t="s">
        <v>3906</v>
      </c>
      <c r="BG699" s="324" t="s">
        <v>3555</v>
      </c>
      <c r="BH699" s="426" t="s">
        <v>3906</v>
      </c>
      <c r="BI699" s="410"/>
      <c r="BJ699" s="427" t="s">
        <v>210</v>
      </c>
      <c r="BK699" s="412"/>
      <c r="BL699" s="413"/>
      <c r="BM699" s="414"/>
      <c r="BN699" s="321" t="s">
        <v>210</v>
      </c>
      <c r="BO699" s="372"/>
      <c r="BP699" s="373" t="s">
        <v>14</v>
      </c>
      <c r="BQ699" s="360"/>
      <c r="BR699" s="361"/>
      <c r="BS699" s="361"/>
      <c r="BT699" s="361"/>
      <c r="BU699" s="342" t="s">
        <v>210</v>
      </c>
      <c r="BV699" s="342" t="s">
        <v>210</v>
      </c>
      <c r="BW699" s="341" t="s">
        <v>210</v>
      </c>
      <c r="BX699" s="361"/>
      <c r="BY699" s="457"/>
      <c r="BZ699" s="363"/>
      <c r="CA699" s="363"/>
      <c r="CB699" s="363"/>
      <c r="CC699" s="363"/>
    </row>
    <row r="700" spans="1:82" ht="22.5" customHeight="1">
      <c r="B700" s="442">
        <v>160317</v>
      </c>
      <c r="C700" s="747" t="s">
        <v>13001</v>
      </c>
      <c r="D700" s="439"/>
      <c r="E700" s="404"/>
      <c r="F700" s="405" t="s">
        <v>222</v>
      </c>
      <c r="G700" s="324" t="s">
        <v>3808</v>
      </c>
      <c r="H700" s="324" t="s">
        <v>1771</v>
      </c>
      <c r="I700" s="326" t="s">
        <v>383</v>
      </c>
      <c r="J700" s="326" t="s">
        <v>387</v>
      </c>
      <c r="K700" s="326" t="s">
        <v>247</v>
      </c>
      <c r="L700" s="787">
        <v>2.5</v>
      </c>
      <c r="M700" s="408"/>
      <c r="N700" s="325" t="s">
        <v>438</v>
      </c>
      <c r="O700" s="324">
        <v>180</v>
      </c>
      <c r="P700" s="327" t="s">
        <v>210</v>
      </c>
      <c r="Q700" s="369" t="s">
        <v>210</v>
      </c>
      <c r="R700" s="420" t="s">
        <v>4304</v>
      </c>
      <c r="S700" s="394" t="s">
        <v>13002</v>
      </c>
      <c r="T700" s="394" t="s">
        <v>13003</v>
      </c>
      <c r="U700" s="394" t="s">
        <v>16433</v>
      </c>
      <c r="V700" s="394" t="s">
        <v>13004</v>
      </c>
      <c r="W700" s="332" t="s">
        <v>592</v>
      </c>
      <c r="X700" s="332" t="s">
        <v>11656</v>
      </c>
      <c r="Y700" s="332" t="s">
        <v>11377</v>
      </c>
      <c r="Z700" s="332" t="s">
        <v>16509</v>
      </c>
      <c r="AA700" s="332" t="s">
        <v>11658</v>
      </c>
      <c r="AB700" s="416" t="s">
        <v>3812</v>
      </c>
      <c r="AC700" s="416"/>
      <c r="AD700" s="334" t="s">
        <v>2321</v>
      </c>
      <c r="AE700" s="335" t="s">
        <v>1038</v>
      </c>
      <c r="AF700" s="475">
        <v>42565</v>
      </c>
      <c r="AG700" s="748">
        <v>42818</v>
      </c>
      <c r="AH700" s="417" t="s">
        <v>210</v>
      </c>
      <c r="AI700" s="392" t="s">
        <v>210</v>
      </c>
      <c r="AJ700" s="392" t="s">
        <v>210</v>
      </c>
      <c r="AK700" s="340" t="s">
        <v>210</v>
      </c>
      <c r="AL700" s="417" t="s">
        <v>210</v>
      </c>
      <c r="AM700" s="392" t="s">
        <v>210</v>
      </c>
      <c r="AN700" s="392" t="s">
        <v>210</v>
      </c>
      <c r="AO700" s="341" t="s">
        <v>210</v>
      </c>
      <c r="AP700" s="342"/>
      <c r="AQ700" s="433" t="s">
        <v>4547</v>
      </c>
      <c r="AR700" s="452">
        <v>216</v>
      </c>
      <c r="AS700" s="324">
        <v>150</v>
      </c>
      <c r="AT700" s="432">
        <v>1</v>
      </c>
      <c r="AU700" s="432"/>
      <c r="AV700" s="432">
        <v>1.5</v>
      </c>
      <c r="AW700" s="490"/>
      <c r="AX700" s="456" t="s">
        <v>622</v>
      </c>
      <c r="AY700" s="429" t="s">
        <v>622</v>
      </c>
      <c r="AZ700" s="405" t="s">
        <v>3367</v>
      </c>
      <c r="BA700" s="324" t="s">
        <v>210</v>
      </c>
      <c r="BB700" s="324" t="s">
        <v>210</v>
      </c>
      <c r="BC700" s="324" t="s">
        <v>3565</v>
      </c>
      <c r="BD700" s="324" t="s">
        <v>3372</v>
      </c>
      <c r="BE700" s="324" t="s">
        <v>3557</v>
      </c>
      <c r="BF700" s="324" t="s">
        <v>3898</v>
      </c>
      <c r="BG700" s="324" t="s">
        <v>3940</v>
      </c>
      <c r="BH700" s="426" t="s">
        <v>3443</v>
      </c>
      <c r="BI700" s="410"/>
      <c r="BJ700" s="427" t="s">
        <v>210</v>
      </c>
      <c r="BK700" s="412"/>
      <c r="BL700" s="413"/>
      <c r="BM700" s="414"/>
      <c r="BN700" s="321" t="s">
        <v>14</v>
      </c>
      <c r="BO700" s="372"/>
      <c r="BP700" s="373" t="s">
        <v>210</v>
      </c>
      <c r="BQ700" s="360"/>
      <c r="BR700" s="361"/>
      <c r="BS700" s="361"/>
      <c r="BT700" s="361"/>
      <c r="BU700" s="342" t="s">
        <v>210</v>
      </c>
      <c r="BV700" s="342" t="s">
        <v>210</v>
      </c>
      <c r="BW700" s="341" t="s">
        <v>210</v>
      </c>
      <c r="BX700" s="361"/>
      <c r="BY700" s="457"/>
      <c r="BZ700" s="363"/>
      <c r="CA700" s="363"/>
      <c r="CB700" s="363"/>
      <c r="CC700" s="363"/>
    </row>
    <row r="701" spans="1:82" ht="22.5" customHeight="1">
      <c r="B701" s="442">
        <v>160318</v>
      </c>
      <c r="C701" s="747" t="s">
        <v>7790</v>
      </c>
      <c r="D701" s="439"/>
      <c r="E701" s="404"/>
      <c r="F701" s="405" t="s">
        <v>264</v>
      </c>
      <c r="G701" s="324" t="s">
        <v>3860</v>
      </c>
      <c r="H701" s="324" t="s">
        <v>3861</v>
      </c>
      <c r="I701" s="326" t="s">
        <v>383</v>
      </c>
      <c r="J701" s="326" t="s">
        <v>399</v>
      </c>
      <c r="K701" s="326" t="s">
        <v>917</v>
      </c>
      <c r="L701" s="432" t="s">
        <v>210</v>
      </c>
      <c r="M701" s="324" t="s">
        <v>10767</v>
      </c>
      <c r="N701" s="325" t="s">
        <v>521</v>
      </c>
      <c r="O701" s="326">
        <v>30</v>
      </c>
      <c r="P701" s="327" t="s">
        <v>210</v>
      </c>
      <c r="Q701" s="369" t="s">
        <v>210</v>
      </c>
      <c r="R701" s="329" t="s">
        <v>3649</v>
      </c>
      <c r="S701" s="394" t="s">
        <v>11497</v>
      </c>
      <c r="T701" s="331" t="s">
        <v>11322</v>
      </c>
      <c r="U701" s="331" t="s">
        <v>11321</v>
      </c>
      <c r="V701" s="394" t="s">
        <v>12859</v>
      </c>
      <c r="W701" s="460" t="s">
        <v>4303</v>
      </c>
      <c r="X701" s="394" t="s">
        <v>11499</v>
      </c>
      <c r="Y701" s="394" t="s">
        <v>11329</v>
      </c>
      <c r="Z701" s="394" t="s">
        <v>11502</v>
      </c>
      <c r="AA701" s="394" t="s">
        <v>11504</v>
      </c>
      <c r="AB701" s="416"/>
      <c r="AC701" s="416"/>
      <c r="AD701" s="334" t="s">
        <v>2327</v>
      </c>
      <c r="AE701" s="828" t="s">
        <v>946</v>
      </c>
      <c r="AF701" s="475">
        <v>42577</v>
      </c>
      <c r="AG701" s="748">
        <v>42613</v>
      </c>
      <c r="AH701" s="417" t="s">
        <v>210</v>
      </c>
      <c r="AI701" s="392" t="s">
        <v>210</v>
      </c>
      <c r="AJ701" s="392" t="s">
        <v>210</v>
      </c>
      <c r="AK701" s="340" t="s">
        <v>210</v>
      </c>
      <c r="AL701" s="417" t="s">
        <v>210</v>
      </c>
      <c r="AM701" s="392" t="s">
        <v>210</v>
      </c>
      <c r="AN701" s="392" t="s">
        <v>210</v>
      </c>
      <c r="AO701" s="341" t="s">
        <v>210</v>
      </c>
      <c r="AP701" s="342"/>
      <c r="AQ701" s="433" t="s">
        <v>4547</v>
      </c>
      <c r="AR701" s="452">
        <v>3778</v>
      </c>
      <c r="AS701" s="324">
        <v>100</v>
      </c>
      <c r="AT701" s="432">
        <v>1</v>
      </c>
      <c r="AU701" s="432"/>
      <c r="AV701" s="432">
        <v>1.5</v>
      </c>
      <c r="AW701" s="490"/>
      <c r="AX701" s="453" t="s">
        <v>210</v>
      </c>
      <c r="AY701" s="455" t="s">
        <v>210</v>
      </c>
      <c r="AZ701" s="405" t="s">
        <v>622</v>
      </c>
      <c r="BA701" s="324" t="s">
        <v>3865</v>
      </c>
      <c r="BB701" s="324" t="s">
        <v>3487</v>
      </c>
      <c r="BC701" s="324" t="s">
        <v>3866</v>
      </c>
      <c r="BD701" s="324" t="s">
        <v>3487</v>
      </c>
      <c r="BE701" s="324" t="s">
        <v>3867</v>
      </c>
      <c r="BF701" s="324" t="s">
        <v>3487</v>
      </c>
      <c r="BG701" s="324" t="s">
        <v>3867</v>
      </c>
      <c r="BH701" s="426" t="s">
        <v>3424</v>
      </c>
      <c r="BI701" s="410"/>
      <c r="BJ701" s="427" t="s">
        <v>9793</v>
      </c>
      <c r="BK701" s="412"/>
      <c r="BL701" s="413"/>
      <c r="BM701" s="414"/>
      <c r="BN701" s="321" t="s">
        <v>14</v>
      </c>
      <c r="BO701" s="372"/>
      <c r="BP701" s="373" t="s">
        <v>210</v>
      </c>
      <c r="BQ701" s="360"/>
      <c r="BR701" s="361"/>
      <c r="BS701" s="361"/>
      <c r="BT701" s="361"/>
      <c r="BU701" s="342" t="s">
        <v>210</v>
      </c>
      <c r="BV701" s="342" t="s">
        <v>210</v>
      </c>
      <c r="BW701" s="341" t="s">
        <v>210</v>
      </c>
      <c r="BX701" s="361"/>
      <c r="BY701" s="457"/>
      <c r="BZ701" s="363"/>
      <c r="CA701" s="363"/>
      <c r="CB701" s="363"/>
      <c r="CC701" s="363"/>
    </row>
    <row r="702" spans="1:82" ht="22.5" customHeight="1">
      <c r="B702" s="442">
        <v>160319</v>
      </c>
      <c r="C702" s="747" t="s">
        <v>3851</v>
      </c>
      <c r="D702" s="439"/>
      <c r="E702" s="404"/>
      <c r="F702" s="405" t="s">
        <v>3852</v>
      </c>
      <c r="G702" s="324" t="s">
        <v>3853</v>
      </c>
      <c r="H702" s="324" t="s">
        <v>3854</v>
      </c>
      <c r="I702" s="326" t="s">
        <v>383</v>
      </c>
      <c r="J702" s="324" t="s">
        <v>3939</v>
      </c>
      <c r="K702" s="324" t="s">
        <v>3533</v>
      </c>
      <c r="L702" s="342">
        <v>5.5</v>
      </c>
      <c r="M702" s="408"/>
      <c r="N702" s="325" t="s">
        <v>438</v>
      </c>
      <c r="O702" s="326">
        <v>20</v>
      </c>
      <c r="P702" s="327" t="s">
        <v>210</v>
      </c>
      <c r="Q702" s="369" t="s">
        <v>210</v>
      </c>
      <c r="R702" s="420" t="s">
        <v>3953</v>
      </c>
      <c r="S702" s="394" t="s">
        <v>12998</v>
      </c>
      <c r="T702" s="394" t="s">
        <v>12999</v>
      </c>
      <c r="U702" s="394" t="s">
        <v>16373</v>
      </c>
      <c r="V702" s="394" t="s">
        <v>13000</v>
      </c>
      <c r="W702" s="460" t="s">
        <v>3952</v>
      </c>
      <c r="X702" s="394" t="s">
        <v>12996</v>
      </c>
      <c r="Y702" s="400"/>
      <c r="Z702" s="400"/>
      <c r="AA702" s="394" t="s">
        <v>12997</v>
      </c>
      <c r="AB702" s="416" t="s">
        <v>3951</v>
      </c>
      <c r="AC702" s="416"/>
      <c r="AD702" s="447" t="s">
        <v>1748</v>
      </c>
      <c r="AE702" s="499" t="s">
        <v>5525</v>
      </c>
      <c r="AF702" s="475">
        <v>42573</v>
      </c>
      <c r="AG702" s="748">
        <v>42639</v>
      </c>
      <c r="AH702" s="417" t="s">
        <v>210</v>
      </c>
      <c r="AI702" s="392" t="s">
        <v>210</v>
      </c>
      <c r="AJ702" s="392" t="s">
        <v>210</v>
      </c>
      <c r="AK702" s="340" t="s">
        <v>210</v>
      </c>
      <c r="AL702" s="417" t="s">
        <v>210</v>
      </c>
      <c r="AM702" s="392" t="s">
        <v>210</v>
      </c>
      <c r="AN702" s="392" t="s">
        <v>210</v>
      </c>
      <c r="AO702" s="341" t="s">
        <v>210</v>
      </c>
      <c r="AP702" s="342"/>
      <c r="AQ702" s="433" t="s">
        <v>4547</v>
      </c>
      <c r="AR702" s="452">
        <v>3592</v>
      </c>
      <c r="AS702" s="324">
        <v>150</v>
      </c>
      <c r="AT702" s="432">
        <v>1</v>
      </c>
      <c r="AU702" s="432"/>
      <c r="AV702" s="432">
        <v>1.2</v>
      </c>
      <c r="AW702" s="490"/>
      <c r="AX702" s="453" t="s">
        <v>210</v>
      </c>
      <c r="AY702" s="455" t="s">
        <v>210</v>
      </c>
      <c r="AZ702" s="405" t="s">
        <v>3367</v>
      </c>
      <c r="BA702" s="324" t="s">
        <v>210</v>
      </c>
      <c r="BB702" s="324" t="s">
        <v>210</v>
      </c>
      <c r="BC702" s="324" t="s">
        <v>3475</v>
      </c>
      <c r="BD702" s="324" t="s">
        <v>3556</v>
      </c>
      <c r="BE702" s="324" t="s">
        <v>3915</v>
      </c>
      <c r="BF702" s="324" t="s">
        <v>3916</v>
      </c>
      <c r="BG702" s="324" t="s">
        <v>3917</v>
      </c>
      <c r="BH702" s="426" t="s">
        <v>3574</v>
      </c>
      <c r="BI702" s="410"/>
      <c r="BJ702" s="427" t="s">
        <v>210</v>
      </c>
      <c r="BK702" s="412"/>
      <c r="BL702" s="413"/>
      <c r="BM702" s="414"/>
      <c r="BN702" s="321" t="s">
        <v>14</v>
      </c>
      <c r="BO702" s="372"/>
      <c r="BP702" s="373" t="s">
        <v>210</v>
      </c>
      <c r="BQ702" s="360"/>
      <c r="BR702" s="361"/>
      <c r="BS702" s="361"/>
      <c r="BT702" s="361"/>
      <c r="BU702" s="342" t="s">
        <v>210</v>
      </c>
      <c r="BV702" s="342" t="s">
        <v>210</v>
      </c>
      <c r="BW702" s="341" t="s">
        <v>210</v>
      </c>
      <c r="BX702" s="361"/>
      <c r="BY702" s="457"/>
      <c r="BZ702" s="363"/>
      <c r="CA702" s="363"/>
      <c r="CB702" s="363"/>
      <c r="CC702" s="363"/>
    </row>
    <row r="703" spans="1:82" s="465" customFormat="1" ht="22.5" customHeight="1">
      <c r="A703" s="287"/>
      <c r="B703" s="749">
        <v>160321</v>
      </c>
      <c r="C703" s="750" t="s">
        <v>3816</v>
      </c>
      <c r="D703" s="751"/>
      <c r="E703" s="752"/>
      <c r="F703" s="753" t="s">
        <v>1043</v>
      </c>
      <c r="G703" s="754" t="s">
        <v>3817</v>
      </c>
      <c r="H703" s="754" t="s">
        <v>3818</v>
      </c>
      <c r="I703" s="662" t="s">
        <v>383</v>
      </c>
      <c r="J703" s="662" t="s">
        <v>399</v>
      </c>
      <c r="K703" s="662" t="s">
        <v>917</v>
      </c>
      <c r="L703" s="688"/>
      <c r="M703" s="662"/>
      <c r="N703" s="664" t="s">
        <v>521</v>
      </c>
      <c r="O703" s="754">
        <v>130</v>
      </c>
      <c r="P703" s="665" t="s">
        <v>210</v>
      </c>
      <c r="Q703" s="666" t="s">
        <v>210</v>
      </c>
      <c r="R703" s="756" t="s">
        <v>3350</v>
      </c>
      <c r="S703" s="708" t="s">
        <v>12994</v>
      </c>
      <c r="T703" s="708" t="s">
        <v>12995</v>
      </c>
      <c r="U703" s="708" t="s">
        <v>16295</v>
      </c>
      <c r="V703" s="708" t="s">
        <v>12993</v>
      </c>
      <c r="W703" s="757" t="s">
        <v>3819</v>
      </c>
      <c r="X703" s="669" t="s">
        <v>11615</v>
      </c>
      <c r="Y703" s="669"/>
      <c r="Z703" s="669"/>
      <c r="AA703" s="669" t="s">
        <v>11616</v>
      </c>
      <c r="AB703" s="758"/>
      <c r="AC703" s="758"/>
      <c r="AD703" s="759"/>
      <c r="AE703" s="760"/>
      <c r="AF703" s="761">
        <v>42572</v>
      </c>
      <c r="AG703" s="674" t="s">
        <v>10514</v>
      </c>
      <c r="AH703" s="675" t="s">
        <v>210</v>
      </c>
      <c r="AI703" s="676" t="s">
        <v>210</v>
      </c>
      <c r="AJ703" s="676" t="s">
        <v>210</v>
      </c>
      <c r="AK703" s="677" t="s">
        <v>210</v>
      </c>
      <c r="AL703" s="675" t="s">
        <v>210</v>
      </c>
      <c r="AM703" s="676" t="s">
        <v>210</v>
      </c>
      <c r="AN703" s="676" t="s">
        <v>210</v>
      </c>
      <c r="AO703" s="678" t="s">
        <v>210</v>
      </c>
      <c r="AP703" s="663"/>
      <c r="AQ703" s="762"/>
      <c r="AR703" s="763">
        <v>1498</v>
      </c>
      <c r="AS703" s="754">
        <v>100</v>
      </c>
      <c r="AT703" s="676">
        <v>1</v>
      </c>
      <c r="AU703" s="676"/>
      <c r="AV703" s="676">
        <v>2</v>
      </c>
      <c r="AW703" s="678"/>
      <c r="AX703" s="765"/>
      <c r="AY703" s="766"/>
      <c r="AZ703" s="753" t="s">
        <v>622</v>
      </c>
      <c r="BA703" s="754" t="s">
        <v>3555</v>
      </c>
      <c r="BB703" s="754" t="s">
        <v>3372</v>
      </c>
      <c r="BC703" s="754" t="s">
        <v>3475</v>
      </c>
      <c r="BD703" s="754" t="s">
        <v>3372</v>
      </c>
      <c r="BE703" s="754" t="s">
        <v>3557</v>
      </c>
      <c r="BF703" s="754" t="s">
        <v>3372</v>
      </c>
      <c r="BG703" s="754" t="s">
        <v>3555</v>
      </c>
      <c r="BH703" s="767" t="s">
        <v>3557</v>
      </c>
      <c r="BI703" s="765"/>
      <c r="BJ703" s="768" t="s">
        <v>210</v>
      </c>
      <c r="BK703" s="769"/>
      <c r="BL703" s="766"/>
      <c r="BM703" s="770"/>
      <c r="BN703" s="661" t="s">
        <v>210</v>
      </c>
      <c r="BO703" s="686"/>
      <c r="BP703" s="682" t="s">
        <v>210</v>
      </c>
      <c r="BQ703" s="773"/>
      <c r="BR703" s="688"/>
      <c r="BS703" s="688"/>
      <c r="BT703" s="688"/>
      <c r="BU703" s="663" t="s">
        <v>5510</v>
      </c>
      <c r="BV703" s="663" t="s">
        <v>5510</v>
      </c>
      <c r="BW703" s="678" t="s">
        <v>210</v>
      </c>
      <c r="BX703" s="688"/>
      <c r="BY703" s="774"/>
      <c r="BZ703" s="483"/>
      <c r="CA703" s="483"/>
      <c r="CB703" s="483"/>
      <c r="CC703" s="483"/>
      <c r="CD703" s="484"/>
    </row>
    <row r="704" spans="1:82" ht="22.5" customHeight="1">
      <c r="B704" s="442">
        <v>160322</v>
      </c>
      <c r="C704" s="747" t="s">
        <v>3855</v>
      </c>
      <c r="D704" s="439"/>
      <c r="E704" s="404"/>
      <c r="F704" s="405" t="s">
        <v>222</v>
      </c>
      <c r="G704" s="324" t="s">
        <v>3892</v>
      </c>
      <c r="H704" s="324" t="s">
        <v>2048</v>
      </c>
      <c r="I704" s="326" t="s">
        <v>383</v>
      </c>
      <c r="J704" s="326" t="s">
        <v>387</v>
      </c>
      <c r="K704" s="324" t="s">
        <v>3938</v>
      </c>
      <c r="L704" s="432" t="s">
        <v>4543</v>
      </c>
      <c r="M704" s="408"/>
      <c r="N704" s="325" t="s">
        <v>437</v>
      </c>
      <c r="O704" s="324">
        <v>180</v>
      </c>
      <c r="P704" s="327">
        <v>2248</v>
      </c>
      <c r="Q704" s="369">
        <v>1245</v>
      </c>
      <c r="R704" s="329" t="s">
        <v>479</v>
      </c>
      <c r="S704" s="331" t="s">
        <v>12990</v>
      </c>
      <c r="T704" s="331" t="s">
        <v>12992</v>
      </c>
      <c r="U704" s="330"/>
      <c r="V704" s="331" t="s">
        <v>12991</v>
      </c>
      <c r="W704" s="332" t="s">
        <v>479</v>
      </c>
      <c r="X704" s="331" t="s">
        <v>12990</v>
      </c>
      <c r="Y704" s="331" t="s">
        <v>12992</v>
      </c>
      <c r="Z704" s="330"/>
      <c r="AA704" s="331" t="s">
        <v>12991</v>
      </c>
      <c r="AB704" s="416"/>
      <c r="AC704" s="416"/>
      <c r="AD704" s="334" t="s">
        <v>2321</v>
      </c>
      <c r="AE704" s="335" t="s">
        <v>210</v>
      </c>
      <c r="AF704" s="475">
        <v>42574</v>
      </c>
      <c r="AG704" s="748">
        <v>42620</v>
      </c>
      <c r="AH704" s="417" t="s">
        <v>210</v>
      </c>
      <c r="AI704" s="392" t="s">
        <v>210</v>
      </c>
      <c r="AJ704" s="392" t="s">
        <v>210</v>
      </c>
      <c r="AK704" s="340" t="s">
        <v>210</v>
      </c>
      <c r="AL704" s="417" t="s">
        <v>210</v>
      </c>
      <c r="AM704" s="392" t="s">
        <v>210</v>
      </c>
      <c r="AN704" s="392" t="s">
        <v>210</v>
      </c>
      <c r="AO704" s="341" t="s">
        <v>210</v>
      </c>
      <c r="AP704" s="342"/>
      <c r="AQ704" s="433" t="s">
        <v>4548</v>
      </c>
      <c r="AR704" s="452">
        <v>1531</v>
      </c>
      <c r="AS704" s="324">
        <v>80</v>
      </c>
      <c r="AT704" s="432">
        <v>1</v>
      </c>
      <c r="AU704" s="432"/>
      <c r="AV704" s="432">
        <v>1.3</v>
      </c>
      <c r="AW704" s="490"/>
      <c r="AX704" s="453" t="s">
        <v>210</v>
      </c>
      <c r="AY704" s="455" t="s">
        <v>210</v>
      </c>
      <c r="AZ704" s="405" t="s">
        <v>622</v>
      </c>
      <c r="BA704" s="324" t="s">
        <v>3893</v>
      </c>
      <c r="BB704" s="324" t="s">
        <v>3372</v>
      </c>
      <c r="BC704" s="324" t="s">
        <v>3475</v>
      </c>
      <c r="BD704" s="324" t="s">
        <v>3894</v>
      </c>
      <c r="BE704" s="324" t="s">
        <v>3475</v>
      </c>
      <c r="BF704" s="324" t="s">
        <v>3372</v>
      </c>
      <c r="BG704" s="324" t="s">
        <v>3895</v>
      </c>
      <c r="BH704" s="426" t="s">
        <v>3372</v>
      </c>
      <c r="BI704" s="410"/>
      <c r="BJ704" s="427" t="s">
        <v>210</v>
      </c>
      <c r="BK704" s="412"/>
      <c r="BL704" s="413"/>
      <c r="BM704" s="414"/>
      <c r="BN704" s="321" t="s">
        <v>14</v>
      </c>
      <c r="BO704" s="372"/>
      <c r="BP704" s="373" t="s">
        <v>210</v>
      </c>
      <c r="BQ704" s="360"/>
      <c r="BR704" s="361"/>
      <c r="BS704" s="361"/>
      <c r="BT704" s="361"/>
      <c r="BU704" s="342" t="s">
        <v>210</v>
      </c>
      <c r="BV704" s="342" t="s">
        <v>210</v>
      </c>
      <c r="BW704" s="341" t="s">
        <v>210</v>
      </c>
      <c r="BX704" s="361"/>
      <c r="BY704" s="457"/>
      <c r="BZ704" s="363"/>
      <c r="CA704" s="363"/>
      <c r="CB704" s="363"/>
      <c r="CC704" s="363"/>
    </row>
    <row r="705" spans="1:82" ht="22.5" customHeight="1">
      <c r="B705" s="442">
        <v>160323</v>
      </c>
      <c r="C705" s="747" t="s">
        <v>3789</v>
      </c>
      <c r="D705" s="439"/>
      <c r="E705" s="404"/>
      <c r="F705" s="405" t="s">
        <v>1043</v>
      </c>
      <c r="G705" s="324" t="s">
        <v>3790</v>
      </c>
      <c r="H705" s="324" t="s">
        <v>3791</v>
      </c>
      <c r="I705" s="326" t="s">
        <v>383</v>
      </c>
      <c r="J705" s="326" t="s">
        <v>387</v>
      </c>
      <c r="K705" s="326" t="s">
        <v>247</v>
      </c>
      <c r="L705" s="787">
        <v>8</v>
      </c>
      <c r="M705" s="408"/>
      <c r="N705" s="325" t="s">
        <v>437</v>
      </c>
      <c r="O705" s="324">
        <v>80</v>
      </c>
      <c r="P705" s="458">
        <v>1589</v>
      </c>
      <c r="Q705" s="459">
        <v>911</v>
      </c>
      <c r="R705" s="420" t="s">
        <v>4301</v>
      </c>
      <c r="S705" s="394" t="s">
        <v>12987</v>
      </c>
      <c r="T705" s="394" t="s">
        <v>12988</v>
      </c>
      <c r="U705" s="394" t="s">
        <v>16263</v>
      </c>
      <c r="V705" s="394" t="s">
        <v>12989</v>
      </c>
      <c r="W705" s="460" t="s">
        <v>3793</v>
      </c>
      <c r="X705" s="394" t="s">
        <v>12985</v>
      </c>
      <c r="Y705" s="400"/>
      <c r="Z705" s="400"/>
      <c r="AA705" s="394" t="s">
        <v>12986</v>
      </c>
      <c r="AB705" s="416"/>
      <c r="AC705" s="416"/>
      <c r="AD705" s="334" t="s">
        <v>2337</v>
      </c>
      <c r="AE705" s="335" t="s">
        <v>210</v>
      </c>
      <c r="AF705" s="475">
        <v>42563</v>
      </c>
      <c r="AG705" s="748">
        <v>42573</v>
      </c>
      <c r="AH705" s="417" t="s">
        <v>210</v>
      </c>
      <c r="AI705" s="392" t="s">
        <v>210</v>
      </c>
      <c r="AJ705" s="392" t="s">
        <v>210</v>
      </c>
      <c r="AK705" s="340" t="s">
        <v>210</v>
      </c>
      <c r="AL705" s="417" t="s">
        <v>210</v>
      </c>
      <c r="AM705" s="392" t="s">
        <v>210</v>
      </c>
      <c r="AN705" s="392" t="s">
        <v>210</v>
      </c>
      <c r="AO705" s="341" t="s">
        <v>210</v>
      </c>
      <c r="AP705" s="342"/>
      <c r="AQ705" s="433" t="s">
        <v>4547</v>
      </c>
      <c r="AR705" s="452">
        <v>1009</v>
      </c>
      <c r="AS705" s="324">
        <v>100</v>
      </c>
      <c r="AT705" s="392">
        <v>1</v>
      </c>
      <c r="AU705" s="392"/>
      <c r="AV705" s="392">
        <v>1.4</v>
      </c>
      <c r="AW705" s="341"/>
      <c r="AX705" s="453" t="s">
        <v>210</v>
      </c>
      <c r="AY705" s="455" t="s">
        <v>210</v>
      </c>
      <c r="AZ705" s="405" t="s">
        <v>3367</v>
      </c>
      <c r="BA705" s="324" t="s">
        <v>210</v>
      </c>
      <c r="BB705" s="324" t="s">
        <v>210</v>
      </c>
      <c r="BC705" s="324" t="s">
        <v>210</v>
      </c>
      <c r="BD705" s="324" t="s">
        <v>210</v>
      </c>
      <c r="BE705" s="324" t="s">
        <v>3475</v>
      </c>
      <c r="BF705" s="324" t="s">
        <v>3492</v>
      </c>
      <c r="BG705" s="324" t="s">
        <v>3900</v>
      </c>
      <c r="BH705" s="426" t="s">
        <v>3512</v>
      </c>
      <c r="BI705" s="410"/>
      <c r="BJ705" s="427" t="s">
        <v>210</v>
      </c>
      <c r="BK705" s="412"/>
      <c r="BL705" s="413"/>
      <c r="BM705" s="414"/>
      <c r="BN705" s="321" t="s">
        <v>14</v>
      </c>
      <c r="BO705" s="372"/>
      <c r="BP705" s="373" t="s">
        <v>210</v>
      </c>
      <c r="BQ705" s="360"/>
      <c r="BR705" s="361"/>
      <c r="BS705" s="361"/>
      <c r="BT705" s="361"/>
      <c r="BU705" s="342" t="s">
        <v>210</v>
      </c>
      <c r="BV705" s="342" t="s">
        <v>210</v>
      </c>
      <c r="BW705" s="341" t="s">
        <v>210</v>
      </c>
      <c r="BX705" s="361"/>
      <c r="BY705" s="457"/>
      <c r="BZ705" s="363"/>
      <c r="CA705" s="363"/>
      <c r="CB705" s="363"/>
      <c r="CC705" s="363"/>
    </row>
    <row r="706" spans="1:82" ht="22.5" customHeight="1">
      <c r="B706" s="442">
        <v>160324</v>
      </c>
      <c r="C706" s="747" t="s">
        <v>3937</v>
      </c>
      <c r="D706" s="439"/>
      <c r="E706" s="404"/>
      <c r="F706" s="405" t="s">
        <v>222</v>
      </c>
      <c r="G706" s="324" t="s">
        <v>1860</v>
      </c>
      <c r="H706" s="324" t="s">
        <v>1771</v>
      </c>
      <c r="I706" s="326" t="s">
        <v>383</v>
      </c>
      <c r="J706" s="326" t="s">
        <v>399</v>
      </c>
      <c r="K706" s="324" t="s">
        <v>3938</v>
      </c>
      <c r="L706" s="432" t="s">
        <v>4543</v>
      </c>
      <c r="M706" s="408"/>
      <c r="N706" s="325" t="s">
        <v>437</v>
      </c>
      <c r="O706" s="324">
        <v>180</v>
      </c>
      <c r="P706" s="327" t="s">
        <v>210</v>
      </c>
      <c r="Q706" s="369" t="s">
        <v>210</v>
      </c>
      <c r="R706" s="329" t="s">
        <v>479</v>
      </c>
      <c r="S706" s="331" t="s">
        <v>12982</v>
      </c>
      <c r="T706" s="331" t="s">
        <v>12983</v>
      </c>
      <c r="U706" s="330"/>
      <c r="V706" s="331" t="s">
        <v>12984</v>
      </c>
      <c r="W706" s="332" t="s">
        <v>479</v>
      </c>
      <c r="X706" s="331" t="s">
        <v>12982</v>
      </c>
      <c r="Y706" s="331" t="s">
        <v>12983</v>
      </c>
      <c r="Z706" s="330"/>
      <c r="AA706" s="331" t="s">
        <v>12984</v>
      </c>
      <c r="AB706" s="416"/>
      <c r="AC706" s="416"/>
      <c r="AD706" s="334" t="s">
        <v>2321</v>
      </c>
      <c r="AE706" s="335" t="s">
        <v>210</v>
      </c>
      <c r="AF706" s="475">
        <v>42575</v>
      </c>
      <c r="AG706" s="748">
        <v>42626</v>
      </c>
      <c r="AH706" s="417" t="s">
        <v>210</v>
      </c>
      <c r="AI706" s="392" t="s">
        <v>210</v>
      </c>
      <c r="AJ706" s="392" t="s">
        <v>210</v>
      </c>
      <c r="AK706" s="340" t="s">
        <v>210</v>
      </c>
      <c r="AL706" s="417" t="s">
        <v>210</v>
      </c>
      <c r="AM706" s="392" t="s">
        <v>210</v>
      </c>
      <c r="AN706" s="392" t="s">
        <v>210</v>
      </c>
      <c r="AO706" s="341" t="s">
        <v>210</v>
      </c>
      <c r="AP706" s="342"/>
      <c r="AQ706" s="433" t="s">
        <v>4548</v>
      </c>
      <c r="AR706" s="452">
        <v>1301</v>
      </c>
      <c r="AS706" s="326">
        <v>80</v>
      </c>
      <c r="AT706" s="392">
        <v>1</v>
      </c>
      <c r="AU706" s="392"/>
      <c r="AV706" s="392">
        <v>1</v>
      </c>
      <c r="AW706" s="341"/>
      <c r="AX706" s="453" t="s">
        <v>210</v>
      </c>
      <c r="AY706" s="455" t="s">
        <v>210</v>
      </c>
      <c r="AZ706" s="405" t="s">
        <v>3367</v>
      </c>
      <c r="BA706" s="324" t="s">
        <v>210</v>
      </c>
      <c r="BB706" s="324" t="s">
        <v>210</v>
      </c>
      <c r="BC706" s="324" t="s">
        <v>3555</v>
      </c>
      <c r="BD706" s="324" t="s">
        <v>3556</v>
      </c>
      <c r="BE706" s="324" t="s">
        <v>3565</v>
      </c>
      <c r="BF706" s="324" t="s">
        <v>3556</v>
      </c>
      <c r="BG706" s="324" t="s">
        <v>3933</v>
      </c>
      <c r="BH706" s="426" t="s">
        <v>3898</v>
      </c>
      <c r="BI706" s="410"/>
      <c r="BJ706" s="427" t="s">
        <v>210</v>
      </c>
      <c r="BK706" s="412"/>
      <c r="BL706" s="413"/>
      <c r="BM706" s="414"/>
      <c r="BN706" s="321" t="s">
        <v>14</v>
      </c>
      <c r="BO706" s="372"/>
      <c r="BP706" s="373" t="s">
        <v>210</v>
      </c>
      <c r="BQ706" s="360"/>
      <c r="BR706" s="361"/>
      <c r="BS706" s="361"/>
      <c r="BT706" s="361"/>
      <c r="BU706" s="342" t="s">
        <v>210</v>
      </c>
      <c r="BV706" s="342" t="s">
        <v>210</v>
      </c>
      <c r="BW706" s="341" t="s">
        <v>210</v>
      </c>
      <c r="BX706" s="361"/>
      <c r="BY706" s="457"/>
      <c r="BZ706" s="363"/>
      <c r="CA706" s="363"/>
      <c r="CB706" s="363"/>
      <c r="CC706" s="363"/>
    </row>
    <row r="707" spans="1:82" ht="22.5" customHeight="1">
      <c r="B707" s="442">
        <v>160325</v>
      </c>
      <c r="C707" s="747" t="s">
        <v>3868</v>
      </c>
      <c r="D707" s="439"/>
      <c r="E707" s="404"/>
      <c r="F707" s="405" t="s">
        <v>3869</v>
      </c>
      <c r="G707" s="324" t="s">
        <v>3870</v>
      </c>
      <c r="H707" s="324" t="s">
        <v>3871</v>
      </c>
      <c r="I707" s="326" t="s">
        <v>383</v>
      </c>
      <c r="J707" s="326" t="s">
        <v>399</v>
      </c>
      <c r="K707" s="326" t="s">
        <v>917</v>
      </c>
      <c r="L707" s="432" t="s">
        <v>4543</v>
      </c>
      <c r="M707" s="408"/>
      <c r="N707" s="325" t="s">
        <v>438</v>
      </c>
      <c r="O707" s="324">
        <v>48</v>
      </c>
      <c r="P707" s="327" t="s">
        <v>210</v>
      </c>
      <c r="Q707" s="369" t="s">
        <v>210</v>
      </c>
      <c r="R707" s="420" t="s">
        <v>3944</v>
      </c>
      <c r="S707" s="400"/>
      <c r="T707" s="400"/>
      <c r="U707" s="400"/>
      <c r="V707" s="400"/>
      <c r="W707" s="460" t="s">
        <v>3874</v>
      </c>
      <c r="X707" s="394" t="s">
        <v>12981</v>
      </c>
      <c r="Y707" s="394" t="s">
        <v>12979</v>
      </c>
      <c r="Z707" s="394" t="s">
        <v>16361</v>
      </c>
      <c r="AA707" s="394" t="s">
        <v>12980</v>
      </c>
      <c r="AB707" s="416"/>
      <c r="AC707" s="416"/>
      <c r="AD707" s="447" t="s">
        <v>730</v>
      </c>
      <c r="AE707" s="335" t="s">
        <v>210</v>
      </c>
      <c r="AF707" s="475">
        <v>42580</v>
      </c>
      <c r="AG707" s="748">
        <v>42601</v>
      </c>
      <c r="AH707" s="417" t="s">
        <v>210</v>
      </c>
      <c r="AI707" s="392" t="s">
        <v>210</v>
      </c>
      <c r="AJ707" s="392" t="s">
        <v>210</v>
      </c>
      <c r="AK707" s="340" t="s">
        <v>210</v>
      </c>
      <c r="AL707" s="417" t="s">
        <v>210</v>
      </c>
      <c r="AM707" s="392" t="s">
        <v>210</v>
      </c>
      <c r="AN707" s="392" t="s">
        <v>210</v>
      </c>
      <c r="AO707" s="341" t="s">
        <v>210</v>
      </c>
      <c r="AP707" s="342"/>
      <c r="AQ707" s="433" t="s">
        <v>4547</v>
      </c>
      <c r="AR707" s="452">
        <v>2066</v>
      </c>
      <c r="AS707" s="324">
        <v>100</v>
      </c>
      <c r="AT707" s="432">
        <v>0.8</v>
      </c>
      <c r="AU707" s="432"/>
      <c r="AV707" s="432">
        <v>1.5</v>
      </c>
      <c r="AW707" s="490"/>
      <c r="AX707" s="453" t="s">
        <v>210</v>
      </c>
      <c r="AY707" s="455" t="s">
        <v>210</v>
      </c>
      <c r="AZ707" s="405" t="s">
        <v>3367</v>
      </c>
      <c r="BA707" s="324" t="s">
        <v>210</v>
      </c>
      <c r="BB707" s="324" t="s">
        <v>210</v>
      </c>
      <c r="BC707" s="324" t="s">
        <v>3872</v>
      </c>
      <c r="BD707" s="324" t="s">
        <v>3873</v>
      </c>
      <c r="BE707" s="324" t="s">
        <v>3872</v>
      </c>
      <c r="BF707" s="324" t="s">
        <v>3873</v>
      </c>
      <c r="BG707" s="324" t="s">
        <v>3872</v>
      </c>
      <c r="BH707" s="426" t="s">
        <v>3873</v>
      </c>
      <c r="BI707" s="410"/>
      <c r="BJ707" s="427" t="s">
        <v>210</v>
      </c>
      <c r="BK707" s="412"/>
      <c r="BL707" s="413"/>
      <c r="BM707" s="414"/>
      <c r="BN707" s="321" t="s">
        <v>14</v>
      </c>
      <c r="BO707" s="372"/>
      <c r="BP707" s="373" t="s">
        <v>210</v>
      </c>
      <c r="BQ707" s="360"/>
      <c r="BR707" s="361"/>
      <c r="BS707" s="361"/>
      <c r="BT707" s="361"/>
      <c r="BU707" s="342" t="s">
        <v>210</v>
      </c>
      <c r="BV707" s="342" t="s">
        <v>210</v>
      </c>
      <c r="BW707" s="341" t="s">
        <v>210</v>
      </c>
      <c r="BX707" s="361"/>
      <c r="BY707" s="457"/>
      <c r="BZ707" s="363"/>
      <c r="CA707" s="363"/>
      <c r="CB707" s="363"/>
      <c r="CC707" s="363"/>
    </row>
    <row r="708" spans="1:82" ht="22.5" customHeight="1">
      <c r="B708" s="442">
        <v>160327</v>
      </c>
      <c r="C708" s="747" t="s">
        <v>12975</v>
      </c>
      <c r="D708" s="439"/>
      <c r="E708" s="404"/>
      <c r="F708" s="405" t="s">
        <v>226</v>
      </c>
      <c r="G708" s="324" t="s">
        <v>3912</v>
      </c>
      <c r="H708" s="324" t="s">
        <v>3913</v>
      </c>
      <c r="I708" s="326" t="s">
        <v>383</v>
      </c>
      <c r="J708" s="326" t="s">
        <v>399</v>
      </c>
      <c r="K708" s="326" t="s">
        <v>917</v>
      </c>
      <c r="L708" s="432" t="s">
        <v>4543</v>
      </c>
      <c r="M708" s="324" t="s">
        <v>10767</v>
      </c>
      <c r="N708" s="325" t="s">
        <v>438</v>
      </c>
      <c r="O708" s="326">
        <v>30</v>
      </c>
      <c r="P708" s="327" t="s">
        <v>210</v>
      </c>
      <c r="Q708" s="369" t="s">
        <v>210</v>
      </c>
      <c r="R708" s="420" t="s">
        <v>4302</v>
      </c>
      <c r="S708" s="394" t="s">
        <v>12976</v>
      </c>
      <c r="T708" s="394" t="s">
        <v>12977</v>
      </c>
      <c r="U708" s="400"/>
      <c r="V708" s="394" t="s">
        <v>12978</v>
      </c>
      <c r="W708" s="332" t="s">
        <v>432</v>
      </c>
      <c r="X708" s="331" t="s">
        <v>11079</v>
      </c>
      <c r="Y708" s="331" t="s">
        <v>11080</v>
      </c>
      <c r="Z708" s="331" t="s">
        <v>11080</v>
      </c>
      <c r="AA708" s="394"/>
      <c r="AB708" s="416"/>
      <c r="AC708" s="416"/>
      <c r="AD708" s="334" t="s">
        <v>4294</v>
      </c>
      <c r="AE708" s="499" t="s">
        <v>4295</v>
      </c>
      <c r="AF708" s="475">
        <v>42591</v>
      </c>
      <c r="AG708" s="748">
        <v>42695</v>
      </c>
      <c r="AH708" s="417">
        <v>5.5</v>
      </c>
      <c r="AI708" s="392">
        <v>24.4</v>
      </c>
      <c r="AJ708" s="392">
        <v>17.100000000000001</v>
      </c>
      <c r="AK708" s="455">
        <f>SUBTOTAL(9,AH708:AJ708)</f>
        <v>47</v>
      </c>
      <c r="AL708" s="417" t="s">
        <v>210</v>
      </c>
      <c r="AM708" s="392" t="s">
        <v>210</v>
      </c>
      <c r="AN708" s="392" t="s">
        <v>210</v>
      </c>
      <c r="AO708" s="341" t="s">
        <v>210</v>
      </c>
      <c r="AP708" s="342"/>
      <c r="AQ708" s="433" t="s">
        <v>4547</v>
      </c>
      <c r="AR708" s="452">
        <v>4498</v>
      </c>
      <c r="AS708" s="324">
        <v>100</v>
      </c>
      <c r="AT708" s="432">
        <v>0.6</v>
      </c>
      <c r="AU708" s="432"/>
      <c r="AV708" s="432">
        <v>0.8</v>
      </c>
      <c r="AW708" s="490"/>
      <c r="AX708" s="453" t="s">
        <v>210</v>
      </c>
      <c r="AY708" s="455" t="s">
        <v>210</v>
      </c>
      <c r="AZ708" s="405" t="s">
        <v>3367</v>
      </c>
      <c r="BA708" s="324" t="s">
        <v>210</v>
      </c>
      <c r="BB708" s="324" t="s">
        <v>210</v>
      </c>
      <c r="BC708" s="324" t="s">
        <v>210</v>
      </c>
      <c r="BD708" s="324" t="s">
        <v>210</v>
      </c>
      <c r="BE708" s="324" t="s">
        <v>210</v>
      </c>
      <c r="BF708" s="324" t="s">
        <v>210</v>
      </c>
      <c r="BG708" s="324" t="s">
        <v>3911</v>
      </c>
      <c r="BH708" s="426" t="s">
        <v>3422</v>
      </c>
      <c r="BI708" s="410"/>
      <c r="BJ708" s="427" t="s">
        <v>210</v>
      </c>
      <c r="BK708" s="412"/>
      <c r="BL708" s="413"/>
      <c r="BM708" s="414"/>
      <c r="BN708" s="321" t="s">
        <v>210</v>
      </c>
      <c r="BO708" s="372"/>
      <c r="BP708" s="373" t="s">
        <v>210</v>
      </c>
      <c r="BQ708" s="360"/>
      <c r="BR708" s="361"/>
      <c r="BS708" s="361"/>
      <c r="BT708" s="361"/>
      <c r="BU708" s="342" t="s">
        <v>210</v>
      </c>
      <c r="BV708" s="342" t="s">
        <v>210</v>
      </c>
      <c r="BW708" s="341" t="s">
        <v>210</v>
      </c>
      <c r="BX708" s="361"/>
      <c r="BY708" s="457"/>
      <c r="BZ708" s="363"/>
      <c r="CA708" s="363"/>
      <c r="CB708" s="363"/>
      <c r="CC708" s="363"/>
    </row>
    <row r="709" spans="1:82" ht="22.5" customHeight="1">
      <c r="B709" s="442">
        <v>160328</v>
      </c>
      <c r="C709" s="747" t="s">
        <v>3879</v>
      </c>
      <c r="D709" s="439"/>
      <c r="E709" s="404"/>
      <c r="F709" s="405" t="s">
        <v>3880</v>
      </c>
      <c r="G709" s="324" t="s">
        <v>3881</v>
      </c>
      <c r="H709" s="324" t="s">
        <v>3135</v>
      </c>
      <c r="I709" s="326" t="s">
        <v>383</v>
      </c>
      <c r="J709" s="326" t="s">
        <v>399</v>
      </c>
      <c r="K709" s="326" t="s">
        <v>917</v>
      </c>
      <c r="L709" s="432" t="s">
        <v>4543</v>
      </c>
      <c r="M709" s="408"/>
      <c r="N709" s="444" t="s">
        <v>3884</v>
      </c>
      <c r="O709" s="326">
        <v>30</v>
      </c>
      <c r="P709" s="327" t="s">
        <v>210</v>
      </c>
      <c r="Q709" s="369" t="s">
        <v>210</v>
      </c>
      <c r="R709" s="460" t="s">
        <v>3886</v>
      </c>
      <c r="S709" s="394" t="s">
        <v>12971</v>
      </c>
      <c r="T709" s="394" t="s">
        <v>12973</v>
      </c>
      <c r="U709" s="394" t="s">
        <v>12972</v>
      </c>
      <c r="V709" s="394" t="s">
        <v>12974</v>
      </c>
      <c r="W709" s="460" t="s">
        <v>3886</v>
      </c>
      <c r="X709" s="394" t="s">
        <v>12971</v>
      </c>
      <c r="Y709" s="394" t="s">
        <v>12973</v>
      </c>
      <c r="Z709" s="394" t="s">
        <v>12972</v>
      </c>
      <c r="AA709" s="394" t="s">
        <v>12974</v>
      </c>
      <c r="AB709" s="416"/>
      <c r="AC709" s="416"/>
      <c r="AD709" s="334" t="s">
        <v>210</v>
      </c>
      <c r="AE709" s="335" t="s">
        <v>210</v>
      </c>
      <c r="AF709" s="475">
        <v>42580</v>
      </c>
      <c r="AG709" s="748">
        <v>42607</v>
      </c>
      <c r="AH709" s="417" t="s">
        <v>210</v>
      </c>
      <c r="AI709" s="392" t="s">
        <v>210</v>
      </c>
      <c r="AJ709" s="392" t="s">
        <v>210</v>
      </c>
      <c r="AK709" s="340" t="s">
        <v>210</v>
      </c>
      <c r="AL709" s="417" t="s">
        <v>210</v>
      </c>
      <c r="AM709" s="392" t="s">
        <v>210</v>
      </c>
      <c r="AN709" s="392" t="s">
        <v>210</v>
      </c>
      <c r="AO709" s="341" t="s">
        <v>210</v>
      </c>
      <c r="AP709" s="342"/>
      <c r="AQ709" s="433" t="s">
        <v>4549</v>
      </c>
      <c r="AR709" s="452">
        <v>584</v>
      </c>
      <c r="AS709" s="324">
        <v>30</v>
      </c>
      <c r="AT709" s="432">
        <v>0.8</v>
      </c>
      <c r="AU709" s="432"/>
      <c r="AV709" s="432">
        <v>1</v>
      </c>
      <c r="AW709" s="490"/>
      <c r="AX709" s="453" t="s">
        <v>210</v>
      </c>
      <c r="AY709" s="455" t="s">
        <v>210</v>
      </c>
      <c r="AZ709" s="405" t="s">
        <v>3367</v>
      </c>
      <c r="BA709" s="324" t="s">
        <v>210</v>
      </c>
      <c r="BB709" s="324" t="s">
        <v>210</v>
      </c>
      <c r="BC709" s="324" t="s">
        <v>210</v>
      </c>
      <c r="BD709" s="324" t="s">
        <v>210</v>
      </c>
      <c r="BE709" s="324" t="s">
        <v>3882</v>
      </c>
      <c r="BF709" s="324" t="s">
        <v>3491</v>
      </c>
      <c r="BG709" s="324" t="s">
        <v>3883</v>
      </c>
      <c r="BH709" s="426" t="s">
        <v>3512</v>
      </c>
      <c r="BI709" s="410"/>
      <c r="BJ709" s="427" t="s">
        <v>210</v>
      </c>
      <c r="BK709" s="412"/>
      <c r="BL709" s="413"/>
      <c r="BM709" s="414"/>
      <c r="BN709" s="321" t="s">
        <v>14</v>
      </c>
      <c r="BO709" s="372">
        <v>1.34</v>
      </c>
      <c r="BP709" s="373" t="s">
        <v>210</v>
      </c>
      <c r="BQ709" s="360"/>
      <c r="BR709" s="361"/>
      <c r="BS709" s="361"/>
      <c r="BT709" s="361"/>
      <c r="BU709" s="342" t="s">
        <v>210</v>
      </c>
      <c r="BV709" s="342" t="s">
        <v>210</v>
      </c>
      <c r="BW709" s="341" t="s">
        <v>210</v>
      </c>
      <c r="BX709" s="361"/>
      <c r="BY709" s="457"/>
      <c r="BZ709" s="363"/>
      <c r="CA709" s="363"/>
      <c r="CB709" s="363"/>
      <c r="CC709" s="363"/>
    </row>
    <row r="710" spans="1:82" ht="22.5" customHeight="1">
      <c r="B710" s="442">
        <v>160329</v>
      </c>
      <c r="C710" s="747" t="s">
        <v>4212</v>
      </c>
      <c r="D710" s="439" t="s">
        <v>4849</v>
      </c>
      <c r="E710" s="404" t="s">
        <v>5361</v>
      </c>
      <c r="F710" s="405" t="s">
        <v>4213</v>
      </c>
      <c r="G710" s="324" t="s">
        <v>4214</v>
      </c>
      <c r="H710" s="324" t="s">
        <v>4215</v>
      </c>
      <c r="I710" s="326" t="s">
        <v>383</v>
      </c>
      <c r="J710" s="326" t="s">
        <v>387</v>
      </c>
      <c r="K710" s="324" t="s">
        <v>3223</v>
      </c>
      <c r="L710" s="342">
        <v>4</v>
      </c>
      <c r="M710" s="408"/>
      <c r="N710" s="325" t="s">
        <v>438</v>
      </c>
      <c r="O710" s="324">
        <v>30</v>
      </c>
      <c r="P710" s="458">
        <v>851</v>
      </c>
      <c r="Q710" s="459">
        <v>851</v>
      </c>
      <c r="R710" s="420" t="s">
        <v>4234</v>
      </c>
      <c r="S710" s="394" t="s">
        <v>12950</v>
      </c>
      <c r="T710" s="400"/>
      <c r="U710" s="400"/>
      <c r="V710" s="394" t="s">
        <v>12951</v>
      </c>
      <c r="W710" s="332" t="s">
        <v>592</v>
      </c>
      <c r="X710" s="394" t="s">
        <v>12237</v>
      </c>
      <c r="Y710" s="394" t="s">
        <v>11508</v>
      </c>
      <c r="Z710" s="394" t="s">
        <v>11507</v>
      </c>
      <c r="AA710" s="394" t="s">
        <v>12239</v>
      </c>
      <c r="AB710" s="416" t="s">
        <v>4316</v>
      </c>
      <c r="AC710" s="416"/>
      <c r="AD710" s="447" t="s">
        <v>5499</v>
      </c>
      <c r="AE710" s="499" t="s">
        <v>5500</v>
      </c>
      <c r="AF710" s="475">
        <v>42655</v>
      </c>
      <c r="AG710" s="748">
        <v>42946</v>
      </c>
      <c r="AH710" s="417" t="s">
        <v>210</v>
      </c>
      <c r="AI710" s="392" t="s">
        <v>210</v>
      </c>
      <c r="AJ710" s="392" t="s">
        <v>210</v>
      </c>
      <c r="AK710" s="340" t="s">
        <v>210</v>
      </c>
      <c r="AL710" s="417" t="s">
        <v>210</v>
      </c>
      <c r="AM710" s="392" t="s">
        <v>210</v>
      </c>
      <c r="AN710" s="392" t="s">
        <v>210</v>
      </c>
      <c r="AO710" s="341" t="s">
        <v>210</v>
      </c>
      <c r="AP710" s="342" t="s">
        <v>210</v>
      </c>
      <c r="AQ710" s="433" t="s">
        <v>5382</v>
      </c>
      <c r="AR710" s="452">
        <v>1098</v>
      </c>
      <c r="AS710" s="324">
        <v>70</v>
      </c>
      <c r="AT710" s="432">
        <v>1</v>
      </c>
      <c r="AU710" s="432" t="s">
        <v>5387</v>
      </c>
      <c r="AV710" s="432">
        <v>1.5</v>
      </c>
      <c r="AW710" s="490" t="s">
        <v>5387</v>
      </c>
      <c r="AX710" s="453" t="s">
        <v>210</v>
      </c>
      <c r="AY710" s="455" t="s">
        <v>210</v>
      </c>
      <c r="AZ710" s="405" t="s">
        <v>4083</v>
      </c>
      <c r="BA710" s="324" t="s">
        <v>210</v>
      </c>
      <c r="BB710" s="324" t="s">
        <v>210</v>
      </c>
      <c r="BC710" s="324" t="s">
        <v>4216</v>
      </c>
      <c r="BD710" s="324" t="s">
        <v>4217</v>
      </c>
      <c r="BE710" s="324" t="s">
        <v>4218</v>
      </c>
      <c r="BF710" s="324" t="s">
        <v>4217</v>
      </c>
      <c r="BG710" s="324" t="s">
        <v>4219</v>
      </c>
      <c r="BH710" s="426" t="s">
        <v>4217</v>
      </c>
      <c r="BI710" s="453">
        <v>1.5</v>
      </c>
      <c r="BJ710" s="427" t="s">
        <v>210</v>
      </c>
      <c r="BK710" s="412"/>
      <c r="BL710" s="413"/>
      <c r="BM710" s="414"/>
      <c r="BN710" s="321" t="s">
        <v>210</v>
      </c>
      <c r="BO710" s="372"/>
      <c r="BP710" s="373" t="s">
        <v>14</v>
      </c>
      <c r="BQ710" s="456" t="s">
        <v>917</v>
      </c>
      <c r="BR710" s="342" t="s">
        <v>210</v>
      </c>
      <c r="BS710" s="342" t="s">
        <v>622</v>
      </c>
      <c r="BT710" s="342" t="s">
        <v>210</v>
      </c>
      <c r="BU710" s="342" t="s">
        <v>210</v>
      </c>
      <c r="BV710" s="342" t="s">
        <v>210</v>
      </c>
      <c r="BW710" s="341" t="s">
        <v>210</v>
      </c>
      <c r="BX710" s="361"/>
      <c r="BY710" s="457"/>
      <c r="BZ710" s="363"/>
      <c r="CA710" s="363"/>
      <c r="CB710" s="363"/>
      <c r="CC710" s="363"/>
    </row>
    <row r="711" spans="1:82" ht="22.5" customHeight="1">
      <c r="B711" s="442">
        <v>160333</v>
      </c>
      <c r="C711" s="747" t="s">
        <v>3926</v>
      </c>
      <c r="D711" s="439"/>
      <c r="E711" s="404"/>
      <c r="F711" s="405" t="s">
        <v>3927</v>
      </c>
      <c r="G711" s="324" t="s">
        <v>3928</v>
      </c>
      <c r="H711" s="324" t="s">
        <v>3929</v>
      </c>
      <c r="I711" s="326" t="s">
        <v>383</v>
      </c>
      <c r="J711" s="326" t="s">
        <v>387</v>
      </c>
      <c r="K711" s="324" t="s">
        <v>3930</v>
      </c>
      <c r="L711" s="432" t="s">
        <v>4543</v>
      </c>
      <c r="M711" s="408"/>
      <c r="N711" s="325" t="s">
        <v>437</v>
      </c>
      <c r="O711" s="324">
        <v>20</v>
      </c>
      <c r="P711" s="458">
        <v>318.69</v>
      </c>
      <c r="Q711" s="459">
        <v>324.95999999999998</v>
      </c>
      <c r="R711" s="329" t="s">
        <v>1094</v>
      </c>
      <c r="S711" s="331" t="s">
        <v>12949</v>
      </c>
      <c r="T711" s="331" t="s">
        <v>11123</v>
      </c>
      <c r="U711" s="331" t="s">
        <v>16209</v>
      </c>
      <c r="V711" s="331" t="s">
        <v>11124</v>
      </c>
      <c r="W711" s="332" t="s">
        <v>432</v>
      </c>
      <c r="X711" s="331" t="s">
        <v>11079</v>
      </c>
      <c r="Y711" s="331" t="s">
        <v>11080</v>
      </c>
      <c r="Z711" s="331" t="s">
        <v>11080</v>
      </c>
      <c r="AA711" s="331"/>
      <c r="AB711" s="416" t="s">
        <v>16099</v>
      </c>
      <c r="AC711" s="416"/>
      <c r="AD711" s="334" t="s">
        <v>2329</v>
      </c>
      <c r="AE711" s="335" t="s">
        <v>210</v>
      </c>
      <c r="AF711" s="475">
        <v>42594</v>
      </c>
      <c r="AG711" s="748">
        <v>42634</v>
      </c>
      <c r="AH711" s="410"/>
      <c r="AI711" s="500"/>
      <c r="AJ711" s="500"/>
      <c r="AK711" s="492"/>
      <c r="AL711" s="417" t="s">
        <v>210</v>
      </c>
      <c r="AM711" s="392" t="s">
        <v>210</v>
      </c>
      <c r="AN711" s="392" t="s">
        <v>210</v>
      </c>
      <c r="AO711" s="341" t="s">
        <v>210</v>
      </c>
      <c r="AP711" s="342"/>
      <c r="AQ711" s="433" t="s">
        <v>4547</v>
      </c>
      <c r="AR711" s="452">
        <v>510</v>
      </c>
      <c r="AS711" s="324">
        <v>100</v>
      </c>
      <c r="AT711" s="432">
        <v>0.6</v>
      </c>
      <c r="AU711" s="432"/>
      <c r="AV711" s="432">
        <v>0.5</v>
      </c>
      <c r="AW711" s="490"/>
      <c r="AX711" s="453" t="s">
        <v>210</v>
      </c>
      <c r="AY711" s="455" t="s">
        <v>210</v>
      </c>
      <c r="AZ711" s="405" t="s">
        <v>3367</v>
      </c>
      <c r="BA711" s="324" t="s">
        <v>210</v>
      </c>
      <c r="BB711" s="324" t="s">
        <v>210</v>
      </c>
      <c r="BC711" s="324" t="s">
        <v>210</v>
      </c>
      <c r="BD711" s="324" t="s">
        <v>210</v>
      </c>
      <c r="BE711" s="324" t="s">
        <v>210</v>
      </c>
      <c r="BF711" s="324" t="s">
        <v>210</v>
      </c>
      <c r="BG711" s="324" t="s">
        <v>3975</v>
      </c>
      <c r="BH711" s="426" t="s">
        <v>3976</v>
      </c>
      <c r="BI711" s="410"/>
      <c r="BJ711" s="427" t="s">
        <v>210</v>
      </c>
      <c r="BK711" s="412"/>
      <c r="BL711" s="413"/>
      <c r="BM711" s="414"/>
      <c r="BN711" s="321" t="s">
        <v>210</v>
      </c>
      <c r="BO711" s="372"/>
      <c r="BP711" s="373" t="s">
        <v>210</v>
      </c>
      <c r="BQ711" s="360"/>
      <c r="BR711" s="361"/>
      <c r="BS711" s="361"/>
      <c r="BT711" s="361"/>
      <c r="BU711" s="342" t="s">
        <v>210</v>
      </c>
      <c r="BV711" s="342" t="s">
        <v>210</v>
      </c>
      <c r="BW711" s="341" t="s">
        <v>210</v>
      </c>
      <c r="BX711" s="361"/>
      <c r="BY711" s="457"/>
      <c r="BZ711" s="363"/>
      <c r="CA711" s="363"/>
      <c r="CB711" s="363"/>
      <c r="CC711" s="363"/>
    </row>
    <row r="712" spans="1:82" ht="22.5" customHeight="1">
      <c r="B712" s="442">
        <v>160334</v>
      </c>
      <c r="C712" s="747" t="s">
        <v>4007</v>
      </c>
      <c r="D712" s="439"/>
      <c r="E712" s="404"/>
      <c r="F712" s="405" t="s">
        <v>4189</v>
      </c>
      <c r="G712" s="324" t="s">
        <v>4190</v>
      </c>
      <c r="H712" s="324" t="s">
        <v>4191</v>
      </c>
      <c r="I712" s="326" t="s">
        <v>383</v>
      </c>
      <c r="J712" s="326" t="s">
        <v>4184</v>
      </c>
      <c r="K712" s="324" t="s">
        <v>3352</v>
      </c>
      <c r="L712" s="432" t="s">
        <v>4543</v>
      </c>
      <c r="M712" s="324" t="s">
        <v>10767</v>
      </c>
      <c r="N712" s="444" t="s">
        <v>4183</v>
      </c>
      <c r="O712" s="324">
        <v>60</v>
      </c>
      <c r="P712" s="327" t="s">
        <v>210</v>
      </c>
      <c r="Q712" s="369" t="s">
        <v>210</v>
      </c>
      <c r="R712" s="329" t="s">
        <v>458</v>
      </c>
      <c r="S712" s="331" t="s">
        <v>12952</v>
      </c>
      <c r="T712" s="331" t="s">
        <v>11187</v>
      </c>
      <c r="U712" s="331" t="s">
        <v>11186</v>
      </c>
      <c r="V712" s="331" t="s">
        <v>11184</v>
      </c>
      <c r="W712" s="332" t="s">
        <v>432</v>
      </c>
      <c r="X712" s="331" t="s">
        <v>11079</v>
      </c>
      <c r="Y712" s="331" t="s">
        <v>11080</v>
      </c>
      <c r="Z712" s="331" t="s">
        <v>11080</v>
      </c>
      <c r="AA712" s="331"/>
      <c r="AB712" s="416"/>
      <c r="AC712" s="416"/>
      <c r="AD712" s="375"/>
      <c r="AE712" s="828" t="s">
        <v>966</v>
      </c>
      <c r="AF712" s="475">
        <v>42602</v>
      </c>
      <c r="AG712" s="748">
        <v>42671</v>
      </c>
      <c r="AH712" s="486" t="s">
        <v>16115</v>
      </c>
      <c r="AI712" s="487" t="s">
        <v>16116</v>
      </c>
      <c r="AJ712" s="487" t="s">
        <v>16117</v>
      </c>
      <c r="AK712" s="895" t="s">
        <v>16118</v>
      </c>
      <c r="AL712" s="417" t="s">
        <v>210</v>
      </c>
      <c r="AM712" s="392" t="s">
        <v>210</v>
      </c>
      <c r="AN712" s="392" t="s">
        <v>210</v>
      </c>
      <c r="AO712" s="341" t="s">
        <v>210</v>
      </c>
      <c r="AP712" s="342"/>
      <c r="AQ712" s="433" t="s">
        <v>4547</v>
      </c>
      <c r="AR712" s="452">
        <v>686</v>
      </c>
      <c r="AS712" s="324">
        <v>150</v>
      </c>
      <c r="AT712" s="392">
        <v>1</v>
      </c>
      <c r="AU712" s="432"/>
      <c r="AV712" s="432">
        <v>1.5</v>
      </c>
      <c r="AW712" s="490"/>
      <c r="AX712" s="453" t="s">
        <v>210</v>
      </c>
      <c r="AY712" s="455" t="s">
        <v>210</v>
      </c>
      <c r="AZ712" s="405" t="s">
        <v>3367</v>
      </c>
      <c r="BA712" s="324" t="s">
        <v>210</v>
      </c>
      <c r="BB712" s="324" t="s">
        <v>210</v>
      </c>
      <c r="BC712" s="324" t="s">
        <v>3555</v>
      </c>
      <c r="BD712" s="324" t="s">
        <v>3559</v>
      </c>
      <c r="BE712" s="324" t="s">
        <v>4182</v>
      </c>
      <c r="BF712" s="324" t="s">
        <v>3559</v>
      </c>
      <c r="BG712" s="324" t="s">
        <v>3459</v>
      </c>
      <c r="BH712" s="426" t="s">
        <v>3574</v>
      </c>
      <c r="BI712" s="410"/>
      <c r="BJ712" s="427" t="s">
        <v>210</v>
      </c>
      <c r="BK712" s="412"/>
      <c r="BL712" s="413"/>
      <c r="BM712" s="414"/>
      <c r="BN712" s="321" t="s">
        <v>14</v>
      </c>
      <c r="BO712" s="372"/>
      <c r="BP712" s="373" t="s">
        <v>14</v>
      </c>
      <c r="BQ712" s="360"/>
      <c r="BR712" s="361"/>
      <c r="BS712" s="361"/>
      <c r="BT712" s="361"/>
      <c r="BU712" s="342" t="s">
        <v>210</v>
      </c>
      <c r="BV712" s="342" t="s">
        <v>210</v>
      </c>
      <c r="BW712" s="341" t="s">
        <v>210</v>
      </c>
      <c r="BX712" s="361"/>
      <c r="BY712" s="457"/>
      <c r="BZ712" s="363"/>
      <c r="CA712" s="363"/>
      <c r="CB712" s="363"/>
      <c r="CC712" s="363"/>
    </row>
    <row r="713" spans="1:82" ht="22.5" customHeight="1">
      <c r="B713" s="442">
        <v>160335</v>
      </c>
      <c r="C713" s="747" t="s">
        <v>3945</v>
      </c>
      <c r="D713" s="439"/>
      <c r="E713" s="404"/>
      <c r="F713" s="405" t="s">
        <v>3946</v>
      </c>
      <c r="G713" s="324" t="s">
        <v>3947</v>
      </c>
      <c r="H713" s="324" t="s">
        <v>3948</v>
      </c>
      <c r="I713" s="326" t="s">
        <v>383</v>
      </c>
      <c r="J713" s="326" t="s">
        <v>387</v>
      </c>
      <c r="K713" s="324" t="s">
        <v>3352</v>
      </c>
      <c r="L713" s="342">
        <v>3.9</v>
      </c>
      <c r="M713" s="408"/>
      <c r="N713" s="327" t="s">
        <v>210</v>
      </c>
      <c r="O713" s="326">
        <v>30</v>
      </c>
      <c r="P713" s="327" t="s">
        <v>210</v>
      </c>
      <c r="Q713" s="369" t="s">
        <v>210</v>
      </c>
      <c r="R713" s="329" t="s">
        <v>1437</v>
      </c>
      <c r="S713" s="331" t="s">
        <v>12945</v>
      </c>
      <c r="T713" s="331" t="s">
        <v>12947</v>
      </c>
      <c r="U713" s="331" t="s">
        <v>12946</v>
      </c>
      <c r="V713" s="331" t="s">
        <v>12948</v>
      </c>
      <c r="W713" s="332" t="s">
        <v>1437</v>
      </c>
      <c r="X713" s="331" t="s">
        <v>12945</v>
      </c>
      <c r="Y713" s="331" t="s">
        <v>12947</v>
      </c>
      <c r="Z713" s="331" t="s">
        <v>12946</v>
      </c>
      <c r="AA713" s="331" t="s">
        <v>12948</v>
      </c>
      <c r="AB713" s="416"/>
      <c r="AC713" s="416"/>
      <c r="AD713" s="375"/>
      <c r="AE713" s="815"/>
      <c r="AF713" s="475">
        <v>42594</v>
      </c>
      <c r="AG713" s="748">
        <v>42600</v>
      </c>
      <c r="AH713" s="417" t="s">
        <v>210</v>
      </c>
      <c r="AI713" s="392" t="s">
        <v>210</v>
      </c>
      <c r="AJ713" s="392" t="s">
        <v>210</v>
      </c>
      <c r="AK713" s="340" t="s">
        <v>210</v>
      </c>
      <c r="AL713" s="417" t="s">
        <v>210</v>
      </c>
      <c r="AM713" s="392" t="s">
        <v>210</v>
      </c>
      <c r="AN713" s="392" t="s">
        <v>210</v>
      </c>
      <c r="AO713" s="341" t="s">
        <v>210</v>
      </c>
      <c r="AP713" s="342"/>
      <c r="AQ713" s="433" t="s">
        <v>4547</v>
      </c>
      <c r="AR713" s="452">
        <v>191</v>
      </c>
      <c r="AS713" s="324">
        <v>100</v>
      </c>
      <c r="AT713" s="392">
        <v>1</v>
      </c>
      <c r="AU713" s="432"/>
      <c r="AV713" s="432">
        <v>1.5</v>
      </c>
      <c r="AW713" s="490"/>
      <c r="AX713" s="453" t="s">
        <v>210</v>
      </c>
      <c r="AY713" s="455" t="s">
        <v>210</v>
      </c>
      <c r="AZ713" s="405" t="s">
        <v>622</v>
      </c>
      <c r="BA713" s="324" t="s">
        <v>3459</v>
      </c>
      <c r="BB713" s="324" t="s">
        <v>3487</v>
      </c>
      <c r="BC713" s="324" t="s">
        <v>3949</v>
      </c>
      <c r="BD713" s="324" t="s">
        <v>3487</v>
      </c>
      <c r="BE713" s="324" t="s">
        <v>3949</v>
      </c>
      <c r="BF713" s="324" t="s">
        <v>3487</v>
      </c>
      <c r="BG713" s="324" t="s">
        <v>3555</v>
      </c>
      <c r="BH713" s="426" t="s">
        <v>3512</v>
      </c>
      <c r="BI713" s="410"/>
      <c r="BJ713" s="427" t="s">
        <v>9704</v>
      </c>
      <c r="BK713" s="412"/>
      <c r="BL713" s="413"/>
      <c r="BM713" s="414"/>
      <c r="BN713" s="321" t="s">
        <v>14</v>
      </c>
      <c r="BO713" s="464"/>
      <c r="BP713" s="492"/>
      <c r="BQ713" s="360"/>
      <c r="BR713" s="361"/>
      <c r="BS713" s="361"/>
      <c r="BT713" s="361"/>
      <c r="BU713" s="342" t="s">
        <v>210</v>
      </c>
      <c r="BV713" s="342" t="s">
        <v>210</v>
      </c>
      <c r="BW713" s="341" t="s">
        <v>210</v>
      </c>
      <c r="BX713" s="361"/>
      <c r="BY713" s="457"/>
      <c r="BZ713" s="363"/>
      <c r="CA713" s="363"/>
      <c r="CB713" s="363"/>
      <c r="CC713" s="363"/>
    </row>
    <row r="714" spans="1:82" ht="22.5" customHeight="1">
      <c r="B714" s="442">
        <v>160336</v>
      </c>
      <c r="C714" s="747" t="s">
        <v>3877</v>
      </c>
      <c r="D714" s="439"/>
      <c r="E714" s="404"/>
      <c r="F714" s="405" t="s">
        <v>1048</v>
      </c>
      <c r="G714" s="324" t="s">
        <v>3779</v>
      </c>
      <c r="H714" s="324" t="s">
        <v>3878</v>
      </c>
      <c r="I714" s="326" t="s">
        <v>383</v>
      </c>
      <c r="J714" s="326" t="s">
        <v>387</v>
      </c>
      <c r="K714" s="326" t="s">
        <v>247</v>
      </c>
      <c r="L714" s="432" t="s">
        <v>4543</v>
      </c>
      <c r="M714" s="408"/>
      <c r="N714" s="325" t="s">
        <v>438</v>
      </c>
      <c r="O714" s="326">
        <v>30</v>
      </c>
      <c r="P714" s="327" t="s">
        <v>210</v>
      </c>
      <c r="Q714" s="369" t="s">
        <v>210</v>
      </c>
      <c r="R714" s="420" t="s">
        <v>3972</v>
      </c>
      <c r="S714" s="394" t="s">
        <v>11178</v>
      </c>
      <c r="T714" s="394" t="s">
        <v>11179</v>
      </c>
      <c r="U714" s="394" t="s">
        <v>14973</v>
      </c>
      <c r="V714" s="394" t="s">
        <v>11180</v>
      </c>
      <c r="W714" s="460" t="s">
        <v>3972</v>
      </c>
      <c r="X714" s="394" t="s">
        <v>11178</v>
      </c>
      <c r="Y714" s="394" t="s">
        <v>11179</v>
      </c>
      <c r="Z714" s="400"/>
      <c r="AA714" s="394" t="s">
        <v>11180</v>
      </c>
      <c r="AB714" s="416"/>
      <c r="AC714" s="416"/>
      <c r="AD714" s="375"/>
      <c r="AE714" s="828" t="s">
        <v>966</v>
      </c>
      <c r="AF714" s="475">
        <v>42580</v>
      </c>
      <c r="AG714" s="748">
        <v>42713</v>
      </c>
      <c r="AH714" s="417" t="s">
        <v>210</v>
      </c>
      <c r="AI714" s="392" t="s">
        <v>210</v>
      </c>
      <c r="AJ714" s="392" t="s">
        <v>210</v>
      </c>
      <c r="AK714" s="340" t="s">
        <v>210</v>
      </c>
      <c r="AL714" s="417" t="s">
        <v>210</v>
      </c>
      <c r="AM714" s="392" t="s">
        <v>210</v>
      </c>
      <c r="AN714" s="392" t="s">
        <v>210</v>
      </c>
      <c r="AO714" s="341" t="s">
        <v>210</v>
      </c>
      <c r="AP714" s="342"/>
      <c r="AQ714" s="433" t="s">
        <v>4547</v>
      </c>
      <c r="AR714" s="452">
        <v>1464</v>
      </c>
      <c r="AS714" s="324">
        <v>100</v>
      </c>
      <c r="AT714" s="432">
        <v>1</v>
      </c>
      <c r="AU714" s="432"/>
      <c r="AV714" s="432">
        <v>2.8</v>
      </c>
      <c r="AW714" s="490"/>
      <c r="AX714" s="453" t="s">
        <v>210</v>
      </c>
      <c r="AY714" s="455" t="s">
        <v>210</v>
      </c>
      <c r="AZ714" s="405" t="s">
        <v>3367</v>
      </c>
      <c r="BA714" s="324" t="s">
        <v>210</v>
      </c>
      <c r="BB714" s="324" t="s">
        <v>210</v>
      </c>
      <c r="BC714" s="324" t="s">
        <v>3459</v>
      </c>
      <c r="BD714" s="324" t="s">
        <v>3495</v>
      </c>
      <c r="BE714" s="324" t="s">
        <v>3459</v>
      </c>
      <c r="BF714" s="324" t="s">
        <v>3495</v>
      </c>
      <c r="BG714" s="324" t="s">
        <v>3557</v>
      </c>
      <c r="BH714" s="426" t="s">
        <v>3914</v>
      </c>
      <c r="BI714" s="410"/>
      <c r="BJ714" s="427" t="s">
        <v>9793</v>
      </c>
      <c r="BK714" s="412"/>
      <c r="BL714" s="413"/>
      <c r="BM714" s="414"/>
      <c r="BN714" s="321" t="s">
        <v>14</v>
      </c>
      <c r="BO714" s="372"/>
      <c r="BP714" s="373" t="s">
        <v>210</v>
      </c>
      <c r="BQ714" s="360"/>
      <c r="BR714" s="361"/>
      <c r="BS714" s="361"/>
      <c r="BT714" s="361"/>
      <c r="BU714" s="342" t="s">
        <v>210</v>
      </c>
      <c r="BV714" s="342" t="s">
        <v>210</v>
      </c>
      <c r="BW714" s="341" t="s">
        <v>210</v>
      </c>
      <c r="BX714" s="361"/>
      <c r="BY714" s="457"/>
      <c r="BZ714" s="363"/>
      <c r="CA714" s="363"/>
      <c r="CB714" s="363"/>
      <c r="CC714" s="363"/>
    </row>
    <row r="715" spans="1:82" ht="22.5" customHeight="1">
      <c r="B715" s="442">
        <v>160337</v>
      </c>
      <c r="C715" s="747" t="s">
        <v>3918</v>
      </c>
      <c r="D715" s="439"/>
      <c r="E715" s="404"/>
      <c r="F715" s="405" t="s">
        <v>264</v>
      </c>
      <c r="G715" s="324" t="s">
        <v>1874</v>
      </c>
      <c r="H715" s="324" t="s">
        <v>3919</v>
      </c>
      <c r="I715" s="326" t="s">
        <v>383</v>
      </c>
      <c r="J715" s="326" t="s">
        <v>387</v>
      </c>
      <c r="K715" s="324" t="s">
        <v>3352</v>
      </c>
      <c r="L715" s="432" t="s">
        <v>4543</v>
      </c>
      <c r="M715" s="408"/>
      <c r="N715" s="325" t="s">
        <v>438</v>
      </c>
      <c r="O715" s="326">
        <v>25</v>
      </c>
      <c r="P715" s="327" t="s">
        <v>210</v>
      </c>
      <c r="Q715" s="369" t="s">
        <v>210</v>
      </c>
      <c r="R715" s="420" t="s">
        <v>1091</v>
      </c>
      <c r="S715" s="400"/>
      <c r="T715" s="400"/>
      <c r="U715" s="400"/>
      <c r="V715" s="400"/>
      <c r="W715" s="460" t="s">
        <v>3924</v>
      </c>
      <c r="X715" s="394" t="s">
        <v>12942</v>
      </c>
      <c r="Y715" s="394" t="s">
        <v>12944</v>
      </c>
      <c r="Z715" s="394" t="s">
        <v>16283</v>
      </c>
      <c r="AA715" s="394" t="s">
        <v>12943</v>
      </c>
      <c r="AB715" s="416"/>
      <c r="AC715" s="416"/>
      <c r="AD715" s="447" t="s">
        <v>5522</v>
      </c>
      <c r="AE715" s="335" t="s">
        <v>210</v>
      </c>
      <c r="AF715" s="475">
        <v>42594</v>
      </c>
      <c r="AG715" s="748">
        <v>42634</v>
      </c>
      <c r="AH715" s="417" t="s">
        <v>210</v>
      </c>
      <c r="AI715" s="392" t="s">
        <v>210</v>
      </c>
      <c r="AJ715" s="392" t="s">
        <v>210</v>
      </c>
      <c r="AK715" s="340" t="s">
        <v>210</v>
      </c>
      <c r="AL715" s="417" t="s">
        <v>210</v>
      </c>
      <c r="AM715" s="392" t="s">
        <v>210</v>
      </c>
      <c r="AN715" s="392" t="s">
        <v>210</v>
      </c>
      <c r="AO715" s="341" t="s">
        <v>210</v>
      </c>
      <c r="AP715" s="342"/>
      <c r="AQ715" s="433" t="s">
        <v>4547</v>
      </c>
      <c r="AR715" s="452">
        <v>448</v>
      </c>
      <c r="AS715" s="324">
        <v>150</v>
      </c>
      <c r="AT715" s="432">
        <v>1</v>
      </c>
      <c r="AU715" s="432"/>
      <c r="AV715" s="432">
        <v>1.2</v>
      </c>
      <c r="AW715" s="490"/>
      <c r="AX715" s="453" t="s">
        <v>210</v>
      </c>
      <c r="AY715" s="455" t="s">
        <v>210</v>
      </c>
      <c r="AZ715" s="405" t="s">
        <v>3367</v>
      </c>
      <c r="BA715" s="324" t="s">
        <v>210</v>
      </c>
      <c r="BB715" s="324" t="s">
        <v>210</v>
      </c>
      <c r="BC715" s="324" t="s">
        <v>3555</v>
      </c>
      <c r="BD715" s="324" t="s">
        <v>3920</v>
      </c>
      <c r="BE715" s="324" t="s">
        <v>3921</v>
      </c>
      <c r="BF715" s="324" t="s">
        <v>3922</v>
      </c>
      <c r="BG715" s="324" t="s">
        <v>3923</v>
      </c>
      <c r="BH715" s="426" t="s">
        <v>3574</v>
      </c>
      <c r="BI715" s="410"/>
      <c r="BJ715" s="427" t="s">
        <v>210</v>
      </c>
      <c r="BK715" s="412"/>
      <c r="BL715" s="413"/>
      <c r="BM715" s="414"/>
      <c r="BN715" s="321" t="s">
        <v>14</v>
      </c>
      <c r="BO715" s="372"/>
      <c r="BP715" s="373" t="s">
        <v>210</v>
      </c>
      <c r="BQ715" s="360"/>
      <c r="BR715" s="361"/>
      <c r="BS715" s="361"/>
      <c r="BT715" s="361"/>
      <c r="BU715" s="342" t="s">
        <v>210</v>
      </c>
      <c r="BV715" s="342" t="s">
        <v>210</v>
      </c>
      <c r="BW715" s="341" t="s">
        <v>210</v>
      </c>
      <c r="BX715" s="361"/>
      <c r="BY715" s="457"/>
      <c r="BZ715" s="363"/>
      <c r="CA715" s="363"/>
      <c r="CB715" s="363"/>
      <c r="CC715" s="363"/>
    </row>
    <row r="716" spans="1:82" ht="22.5" customHeight="1">
      <c r="B716" s="442">
        <v>160338</v>
      </c>
      <c r="C716" s="747" t="s">
        <v>3962</v>
      </c>
      <c r="D716" s="439"/>
      <c r="E716" s="404"/>
      <c r="F716" s="405" t="s">
        <v>3959</v>
      </c>
      <c r="G716" s="324" t="s">
        <v>3960</v>
      </c>
      <c r="H716" s="324" t="s">
        <v>3961</v>
      </c>
      <c r="I716" s="326" t="s">
        <v>383</v>
      </c>
      <c r="J716" s="326" t="s">
        <v>399</v>
      </c>
      <c r="K716" s="326" t="s">
        <v>917</v>
      </c>
      <c r="L716" s="432" t="s">
        <v>4543</v>
      </c>
      <c r="M716" s="324" t="s">
        <v>10767</v>
      </c>
      <c r="N716" s="325" t="s">
        <v>437</v>
      </c>
      <c r="O716" s="324">
        <v>40</v>
      </c>
      <c r="P716" s="458">
        <v>1093</v>
      </c>
      <c r="Q716" s="459">
        <v>1185</v>
      </c>
      <c r="R716" s="329" t="s">
        <v>999</v>
      </c>
      <c r="S716" s="330"/>
      <c r="T716" s="394" t="s">
        <v>11262</v>
      </c>
      <c r="U716" s="394" t="s">
        <v>16414</v>
      </c>
      <c r="V716" s="394" t="s">
        <v>11263</v>
      </c>
      <c r="W716" s="332" t="s">
        <v>4300</v>
      </c>
      <c r="X716" s="331" t="s">
        <v>12845</v>
      </c>
      <c r="Y716" s="331" t="s">
        <v>11249</v>
      </c>
      <c r="Z716" s="331" t="s">
        <v>12847</v>
      </c>
      <c r="AA716" s="331" t="s">
        <v>12846</v>
      </c>
      <c r="AB716" s="416"/>
      <c r="AC716" s="416"/>
      <c r="AD716" s="334" t="s">
        <v>2321</v>
      </c>
      <c r="AE716" s="335" t="s">
        <v>210</v>
      </c>
      <c r="AF716" s="475">
        <v>42606</v>
      </c>
      <c r="AG716" s="748">
        <v>42637</v>
      </c>
      <c r="AH716" s="417" t="s">
        <v>210</v>
      </c>
      <c r="AI716" s="392" t="s">
        <v>210</v>
      </c>
      <c r="AJ716" s="392" t="s">
        <v>210</v>
      </c>
      <c r="AK716" s="340" t="s">
        <v>210</v>
      </c>
      <c r="AL716" s="417" t="s">
        <v>210</v>
      </c>
      <c r="AM716" s="392" t="s">
        <v>210</v>
      </c>
      <c r="AN716" s="392" t="s">
        <v>210</v>
      </c>
      <c r="AO716" s="341" t="s">
        <v>210</v>
      </c>
      <c r="AP716" s="342"/>
      <c r="AQ716" s="433" t="s">
        <v>4547</v>
      </c>
      <c r="AR716" s="452">
        <v>1531</v>
      </c>
      <c r="AS716" s="324">
        <v>150</v>
      </c>
      <c r="AT716" s="432">
        <v>0.8</v>
      </c>
      <c r="AU716" s="432"/>
      <c r="AV716" s="432">
        <v>1.5</v>
      </c>
      <c r="AW716" s="490"/>
      <c r="AX716" s="453" t="s">
        <v>210</v>
      </c>
      <c r="AY716" s="455" t="s">
        <v>210</v>
      </c>
      <c r="AZ716" s="405" t="s">
        <v>3367</v>
      </c>
      <c r="BA716" s="324" t="s">
        <v>210</v>
      </c>
      <c r="BB716" s="324" t="s">
        <v>210</v>
      </c>
      <c r="BC716" s="324" t="s">
        <v>210</v>
      </c>
      <c r="BD716" s="324" t="s">
        <v>210</v>
      </c>
      <c r="BE716" s="324" t="s">
        <v>3963</v>
      </c>
      <c r="BF716" s="324" t="s">
        <v>3434</v>
      </c>
      <c r="BG716" s="324" t="s">
        <v>3964</v>
      </c>
      <c r="BH716" s="426" t="s">
        <v>3559</v>
      </c>
      <c r="BI716" s="410"/>
      <c r="BJ716" s="427" t="s">
        <v>210</v>
      </c>
      <c r="BK716" s="412"/>
      <c r="BL716" s="413"/>
      <c r="BM716" s="414"/>
      <c r="BN716" s="321" t="s">
        <v>14</v>
      </c>
      <c r="BO716" s="372">
        <v>2.0499999999999998</v>
      </c>
      <c r="BP716" s="373" t="s">
        <v>210</v>
      </c>
      <c r="BQ716" s="360"/>
      <c r="BR716" s="361"/>
      <c r="BS716" s="361"/>
      <c r="BT716" s="361"/>
      <c r="BU716" s="342" t="s">
        <v>210</v>
      </c>
      <c r="BV716" s="342" t="s">
        <v>210</v>
      </c>
      <c r="BW716" s="341" t="s">
        <v>210</v>
      </c>
      <c r="BX716" s="361"/>
      <c r="BY716" s="457"/>
      <c r="BZ716" s="363"/>
      <c r="CA716" s="363"/>
      <c r="CB716" s="363"/>
      <c r="CC716" s="363"/>
    </row>
    <row r="717" spans="1:82" ht="22.5" customHeight="1">
      <c r="B717" s="442">
        <v>160339</v>
      </c>
      <c r="C717" s="747" t="s">
        <v>4198</v>
      </c>
      <c r="D717" s="439"/>
      <c r="E717" s="404"/>
      <c r="F717" s="405" t="s">
        <v>4199</v>
      </c>
      <c r="G717" s="324" t="s">
        <v>1780</v>
      </c>
      <c r="H717" s="324" t="s">
        <v>4200</v>
      </c>
      <c r="I717" s="326" t="s">
        <v>383</v>
      </c>
      <c r="J717" s="326" t="s">
        <v>387</v>
      </c>
      <c r="K717" s="326" t="s">
        <v>917</v>
      </c>
      <c r="L717" s="432" t="s">
        <v>4543</v>
      </c>
      <c r="M717" s="408"/>
      <c r="N717" s="444" t="s">
        <v>4201</v>
      </c>
      <c r="O717" s="324">
        <v>30</v>
      </c>
      <c r="P717" s="816">
        <v>480</v>
      </c>
      <c r="Q717" s="817">
        <v>380</v>
      </c>
      <c r="R717" s="420" t="s">
        <v>4231</v>
      </c>
      <c r="S717" s="400"/>
      <c r="T717" s="400"/>
      <c r="U717" s="400"/>
      <c r="V717" s="400"/>
      <c r="W717" s="460" t="s">
        <v>4228</v>
      </c>
      <c r="X717" s="394" t="s">
        <v>12939</v>
      </c>
      <c r="Y717" s="394" t="s">
        <v>12940</v>
      </c>
      <c r="Z717" s="394" t="s">
        <v>16516</v>
      </c>
      <c r="AA717" s="394" t="s">
        <v>12941</v>
      </c>
      <c r="AB717" s="416"/>
      <c r="AC717" s="416"/>
      <c r="AD717" s="375"/>
      <c r="AE717" s="499" t="s">
        <v>4299</v>
      </c>
      <c r="AF717" s="475">
        <v>42651</v>
      </c>
      <c r="AG717" s="748">
        <v>42683</v>
      </c>
      <c r="AH717" s="417" t="s">
        <v>210</v>
      </c>
      <c r="AI717" s="392" t="s">
        <v>210</v>
      </c>
      <c r="AJ717" s="392" t="s">
        <v>210</v>
      </c>
      <c r="AK717" s="340" t="s">
        <v>210</v>
      </c>
      <c r="AL717" s="417" t="s">
        <v>210</v>
      </c>
      <c r="AM717" s="392" t="s">
        <v>210</v>
      </c>
      <c r="AN717" s="392" t="s">
        <v>210</v>
      </c>
      <c r="AO717" s="341" t="s">
        <v>210</v>
      </c>
      <c r="AP717" s="342"/>
      <c r="AQ717" s="433" t="s">
        <v>4547</v>
      </c>
      <c r="AR717" s="452">
        <v>399</v>
      </c>
      <c r="AS717" s="324">
        <v>100</v>
      </c>
      <c r="AT717" s="432">
        <v>1</v>
      </c>
      <c r="AU717" s="432"/>
      <c r="AV717" s="432">
        <v>1.2</v>
      </c>
      <c r="AW717" s="490"/>
      <c r="AX717" s="453" t="s">
        <v>210</v>
      </c>
      <c r="AY717" s="455" t="s">
        <v>210</v>
      </c>
      <c r="AZ717" s="405" t="s">
        <v>4083</v>
      </c>
      <c r="BA717" s="324" t="s">
        <v>210</v>
      </c>
      <c r="BB717" s="324" t="s">
        <v>210</v>
      </c>
      <c r="BC717" s="324" t="s">
        <v>210</v>
      </c>
      <c r="BD717" s="324" t="s">
        <v>210</v>
      </c>
      <c r="BE717" s="324" t="s">
        <v>210</v>
      </c>
      <c r="BF717" s="324" t="s">
        <v>210</v>
      </c>
      <c r="BG717" s="324" t="s">
        <v>210</v>
      </c>
      <c r="BH717" s="426" t="s">
        <v>210</v>
      </c>
      <c r="BI717" s="410"/>
      <c r="BJ717" s="427" t="s">
        <v>210</v>
      </c>
      <c r="BK717" s="412"/>
      <c r="BL717" s="413"/>
      <c r="BM717" s="414"/>
      <c r="BN717" s="321" t="s">
        <v>14</v>
      </c>
      <c r="BO717" s="372"/>
      <c r="BP717" s="373" t="s">
        <v>210</v>
      </c>
      <c r="BQ717" s="360"/>
      <c r="BR717" s="361"/>
      <c r="BS717" s="361"/>
      <c r="BT717" s="361"/>
      <c r="BU717" s="342" t="s">
        <v>210</v>
      </c>
      <c r="BV717" s="342" t="s">
        <v>210</v>
      </c>
      <c r="BW717" s="341" t="s">
        <v>210</v>
      </c>
      <c r="BX717" s="361"/>
      <c r="BY717" s="457"/>
      <c r="BZ717" s="363"/>
      <c r="CA717" s="363"/>
      <c r="CB717" s="363"/>
      <c r="CC717" s="363"/>
    </row>
    <row r="718" spans="1:82" ht="22.5" customHeight="1">
      <c r="B718" s="442">
        <v>160341</v>
      </c>
      <c r="C718" s="747" t="s">
        <v>3998</v>
      </c>
      <c r="D718" s="439"/>
      <c r="E718" s="404"/>
      <c r="F718" s="405" t="s">
        <v>3999</v>
      </c>
      <c r="G718" s="324" t="s">
        <v>3529</v>
      </c>
      <c r="H718" s="324" t="s">
        <v>4000</v>
      </c>
      <c r="I718" s="326" t="s">
        <v>383</v>
      </c>
      <c r="J718" s="326" t="s">
        <v>399</v>
      </c>
      <c r="K718" s="326" t="s">
        <v>247</v>
      </c>
      <c r="L718" s="342">
        <v>10</v>
      </c>
      <c r="M718" s="408"/>
      <c r="N718" s="325" t="s">
        <v>438</v>
      </c>
      <c r="O718" s="326">
        <v>30</v>
      </c>
      <c r="P718" s="327">
        <v>1174</v>
      </c>
      <c r="Q718" s="369">
        <v>877</v>
      </c>
      <c r="R718" s="420" t="s">
        <v>4008</v>
      </c>
      <c r="S718" s="394" t="s">
        <v>12957</v>
      </c>
      <c r="T718" s="394" t="s">
        <v>12958</v>
      </c>
      <c r="U718" s="400"/>
      <c r="V718" s="394" t="s">
        <v>12959</v>
      </c>
      <c r="W718" s="460" t="s">
        <v>4010</v>
      </c>
      <c r="X718" s="394" t="s">
        <v>12956</v>
      </c>
      <c r="Y718" s="394" t="s">
        <v>12953</v>
      </c>
      <c r="Z718" s="394" t="s">
        <v>12955</v>
      </c>
      <c r="AA718" s="394" t="s">
        <v>12954</v>
      </c>
      <c r="AB718" s="416"/>
      <c r="AC718" s="416"/>
      <c r="AD718" s="447" t="s">
        <v>4176</v>
      </c>
      <c r="AE718" s="499" t="s">
        <v>4210</v>
      </c>
      <c r="AF718" s="475">
        <v>42607</v>
      </c>
      <c r="AG718" s="748">
        <v>42657</v>
      </c>
      <c r="AH718" s="417" t="s">
        <v>210</v>
      </c>
      <c r="AI718" s="392" t="s">
        <v>210</v>
      </c>
      <c r="AJ718" s="392" t="s">
        <v>210</v>
      </c>
      <c r="AK718" s="340" t="s">
        <v>210</v>
      </c>
      <c r="AL718" s="417" t="s">
        <v>210</v>
      </c>
      <c r="AM718" s="392" t="s">
        <v>210</v>
      </c>
      <c r="AN718" s="392" t="s">
        <v>210</v>
      </c>
      <c r="AO718" s="341" t="s">
        <v>210</v>
      </c>
      <c r="AP718" s="342"/>
      <c r="AQ718" s="433" t="s">
        <v>4547</v>
      </c>
      <c r="AR718" s="452">
        <v>1187</v>
      </c>
      <c r="AS718" s="324">
        <v>100</v>
      </c>
      <c r="AT718" s="432">
        <v>0.8</v>
      </c>
      <c r="AU718" s="432"/>
      <c r="AV718" s="432">
        <v>1.5</v>
      </c>
      <c r="AW718" s="490"/>
      <c r="AX718" s="456" t="s">
        <v>622</v>
      </c>
      <c r="AY718" s="429" t="s">
        <v>622</v>
      </c>
      <c r="AZ718" s="405" t="s">
        <v>3367</v>
      </c>
      <c r="BA718" s="324" t="s">
        <v>210</v>
      </c>
      <c r="BB718" s="324" t="s">
        <v>210</v>
      </c>
      <c r="BC718" s="324" t="s">
        <v>210</v>
      </c>
      <c r="BD718" s="324" t="s">
        <v>210</v>
      </c>
      <c r="BE718" s="324" t="s">
        <v>3555</v>
      </c>
      <c r="BF718" s="324" t="s">
        <v>4185</v>
      </c>
      <c r="BG718" s="324" t="s">
        <v>4186</v>
      </c>
      <c r="BH718" s="426" t="s">
        <v>4187</v>
      </c>
      <c r="BI718" s="410"/>
      <c r="BJ718" s="427" t="s">
        <v>4197</v>
      </c>
      <c r="BK718" s="412"/>
      <c r="BL718" s="413"/>
      <c r="BM718" s="414"/>
      <c r="BN718" s="321" t="s">
        <v>210</v>
      </c>
      <c r="BO718" s="372"/>
      <c r="BP718" s="373" t="s">
        <v>14</v>
      </c>
      <c r="BQ718" s="360"/>
      <c r="BR718" s="361"/>
      <c r="BS718" s="361"/>
      <c r="BT718" s="361"/>
      <c r="BU718" s="342" t="s">
        <v>210</v>
      </c>
      <c r="BV718" s="342" t="s">
        <v>210</v>
      </c>
      <c r="BW718" s="341" t="s">
        <v>210</v>
      </c>
      <c r="BX718" s="361"/>
      <c r="BY718" s="457"/>
      <c r="BZ718" s="363"/>
      <c r="CA718" s="363"/>
      <c r="CB718" s="363"/>
      <c r="CC718" s="363"/>
    </row>
    <row r="719" spans="1:82" ht="22.5" customHeight="1">
      <c r="B719" s="442">
        <v>160342</v>
      </c>
      <c r="C719" s="747" t="s">
        <v>3986</v>
      </c>
      <c r="D719" s="439"/>
      <c r="E719" s="404"/>
      <c r="F719" s="405" t="s">
        <v>266</v>
      </c>
      <c r="G719" s="324" t="s">
        <v>3987</v>
      </c>
      <c r="H719" s="324" t="s">
        <v>3988</v>
      </c>
      <c r="I719" s="326" t="s">
        <v>383</v>
      </c>
      <c r="J719" s="326" t="s">
        <v>1011</v>
      </c>
      <c r="K719" s="326" t="s">
        <v>8477</v>
      </c>
      <c r="L719" s="432" t="s">
        <v>4543</v>
      </c>
      <c r="M719" s="408"/>
      <c r="N719" s="325" t="s">
        <v>438</v>
      </c>
      <c r="O719" s="326">
        <v>30</v>
      </c>
      <c r="P719" s="327" t="s">
        <v>210</v>
      </c>
      <c r="Q719" s="369" t="s">
        <v>210</v>
      </c>
      <c r="R719" s="420" t="s">
        <v>645</v>
      </c>
      <c r="S719" s="394" t="s">
        <v>12936</v>
      </c>
      <c r="T719" s="394" t="s">
        <v>12937</v>
      </c>
      <c r="U719" s="400"/>
      <c r="V719" s="394" t="s">
        <v>12938</v>
      </c>
      <c r="W719" s="460" t="s">
        <v>647</v>
      </c>
      <c r="X719" s="394" t="s">
        <v>12935</v>
      </c>
      <c r="Y719" s="394" t="s">
        <v>11486</v>
      </c>
      <c r="Z719" s="394" t="s">
        <v>11487</v>
      </c>
      <c r="AA719" s="394" t="s">
        <v>11488</v>
      </c>
      <c r="AB719" s="416"/>
      <c r="AC719" s="416"/>
      <c r="AD719" s="447" t="s">
        <v>4130</v>
      </c>
      <c r="AE719" s="499" t="s">
        <v>4131</v>
      </c>
      <c r="AF719" s="475">
        <v>42608</v>
      </c>
      <c r="AG719" s="748">
        <v>42668</v>
      </c>
      <c r="AH719" s="417" t="s">
        <v>210</v>
      </c>
      <c r="AI719" s="392" t="s">
        <v>210</v>
      </c>
      <c r="AJ719" s="392" t="s">
        <v>210</v>
      </c>
      <c r="AK719" s="340" t="s">
        <v>210</v>
      </c>
      <c r="AL719" s="417" t="s">
        <v>210</v>
      </c>
      <c r="AM719" s="392" t="s">
        <v>210</v>
      </c>
      <c r="AN719" s="392" t="s">
        <v>210</v>
      </c>
      <c r="AO719" s="341" t="s">
        <v>210</v>
      </c>
      <c r="AP719" s="342"/>
      <c r="AQ719" s="433" t="s">
        <v>4547</v>
      </c>
      <c r="AR719" s="452">
        <v>2672</v>
      </c>
      <c r="AS719" s="324">
        <v>150</v>
      </c>
      <c r="AT719" s="392">
        <v>1</v>
      </c>
      <c r="AU719" s="432"/>
      <c r="AV719" s="432">
        <v>1.5</v>
      </c>
      <c r="AW719" s="490"/>
      <c r="AX719" s="453" t="s">
        <v>210</v>
      </c>
      <c r="AY719" s="429" t="s">
        <v>622</v>
      </c>
      <c r="AZ719" s="405" t="s">
        <v>622</v>
      </c>
      <c r="BA719" s="324" t="s">
        <v>4192</v>
      </c>
      <c r="BB719" s="324" t="s">
        <v>4193</v>
      </c>
      <c r="BC719" s="324" t="s">
        <v>4194</v>
      </c>
      <c r="BD719" s="324" t="s">
        <v>3627</v>
      </c>
      <c r="BE719" s="324" t="s">
        <v>4195</v>
      </c>
      <c r="BF719" s="324" t="s">
        <v>4193</v>
      </c>
      <c r="BG719" s="324" t="s">
        <v>4196</v>
      </c>
      <c r="BH719" s="426" t="s">
        <v>3422</v>
      </c>
      <c r="BI719" s="410"/>
      <c r="BJ719" s="427" t="s">
        <v>4197</v>
      </c>
      <c r="BK719" s="412"/>
      <c r="BL719" s="413"/>
      <c r="BM719" s="414"/>
      <c r="BN719" s="321" t="s">
        <v>14</v>
      </c>
      <c r="BO719" s="372"/>
      <c r="BP719" s="373" t="s">
        <v>210</v>
      </c>
      <c r="BQ719" s="360"/>
      <c r="BR719" s="361"/>
      <c r="BS719" s="361"/>
      <c r="BT719" s="361"/>
      <c r="BU719" s="342" t="s">
        <v>210</v>
      </c>
      <c r="BV719" s="342" t="s">
        <v>210</v>
      </c>
      <c r="BW719" s="341" t="s">
        <v>210</v>
      </c>
      <c r="BX719" s="361"/>
      <c r="BY719" s="457"/>
      <c r="BZ719" s="363"/>
      <c r="CA719" s="363"/>
      <c r="CB719" s="363"/>
      <c r="CC719" s="363"/>
    </row>
    <row r="720" spans="1:82" s="465" customFormat="1" ht="22.5" customHeight="1">
      <c r="A720" s="287"/>
      <c r="B720" s="749">
        <v>160343</v>
      </c>
      <c r="C720" s="750" t="s">
        <v>4001</v>
      </c>
      <c r="D720" s="751"/>
      <c r="E720" s="752"/>
      <c r="F720" s="753" t="s">
        <v>229</v>
      </c>
      <c r="G720" s="754" t="s">
        <v>4002</v>
      </c>
      <c r="H720" s="754" t="s">
        <v>2391</v>
      </c>
      <c r="I720" s="662" t="s">
        <v>383</v>
      </c>
      <c r="J720" s="662" t="s">
        <v>399</v>
      </c>
      <c r="K720" s="754" t="s">
        <v>977</v>
      </c>
      <c r="L720" s="688"/>
      <c r="M720" s="754"/>
      <c r="N720" s="664" t="s">
        <v>438</v>
      </c>
      <c r="O720" s="662">
        <v>20</v>
      </c>
      <c r="P720" s="665" t="s">
        <v>210</v>
      </c>
      <c r="Q720" s="666" t="s">
        <v>210</v>
      </c>
      <c r="R720" s="667" t="s">
        <v>1686</v>
      </c>
      <c r="S720" s="668" t="s">
        <v>12932</v>
      </c>
      <c r="T720" s="668" t="s">
        <v>12933</v>
      </c>
      <c r="U720" s="668" t="s">
        <v>16269</v>
      </c>
      <c r="V720" s="668" t="s">
        <v>12934</v>
      </c>
      <c r="W720" s="669" t="s">
        <v>4297</v>
      </c>
      <c r="X720" s="668"/>
      <c r="Y720" s="708" t="s">
        <v>11201</v>
      </c>
      <c r="Z720" s="708" t="s">
        <v>12155</v>
      </c>
      <c r="AA720" s="668"/>
      <c r="AB720" s="758"/>
      <c r="AC720" s="758"/>
      <c r="AD720" s="759"/>
      <c r="AE720" s="760"/>
      <c r="AF720" s="761">
        <v>42607</v>
      </c>
      <c r="AG720" s="674" t="s">
        <v>10514</v>
      </c>
      <c r="AH720" s="675" t="s">
        <v>210</v>
      </c>
      <c r="AI720" s="676" t="s">
        <v>210</v>
      </c>
      <c r="AJ720" s="676" t="s">
        <v>210</v>
      </c>
      <c r="AK720" s="677" t="s">
        <v>210</v>
      </c>
      <c r="AL720" s="675" t="s">
        <v>210</v>
      </c>
      <c r="AM720" s="676" t="s">
        <v>210</v>
      </c>
      <c r="AN720" s="676" t="s">
        <v>210</v>
      </c>
      <c r="AO720" s="678" t="s">
        <v>210</v>
      </c>
      <c r="AP720" s="663"/>
      <c r="AQ720" s="762" t="s">
        <v>4547</v>
      </c>
      <c r="AR720" s="763">
        <v>1593</v>
      </c>
      <c r="AS720" s="662">
        <v>80</v>
      </c>
      <c r="AT720" s="785">
        <v>1</v>
      </c>
      <c r="AU720" s="785"/>
      <c r="AV720" s="785">
        <v>1.5</v>
      </c>
      <c r="AW720" s="764"/>
      <c r="AX720" s="765" t="s">
        <v>210</v>
      </c>
      <c r="AY720" s="772" t="s">
        <v>210</v>
      </c>
      <c r="AZ720" s="753" t="s">
        <v>622</v>
      </c>
      <c r="BA720" s="754" t="s">
        <v>3459</v>
      </c>
      <c r="BB720" s="754" t="s">
        <v>4037</v>
      </c>
      <c r="BC720" s="754" t="s">
        <v>4038</v>
      </c>
      <c r="BD720" s="754" t="s">
        <v>4039</v>
      </c>
      <c r="BE720" s="754" t="s">
        <v>4040</v>
      </c>
      <c r="BF720" s="754" t="s">
        <v>4041</v>
      </c>
      <c r="BG720" s="754" t="s">
        <v>4042</v>
      </c>
      <c r="BH720" s="767" t="s">
        <v>4041</v>
      </c>
      <c r="BI720" s="765"/>
      <c r="BJ720" s="768" t="s">
        <v>210</v>
      </c>
      <c r="BK720" s="769"/>
      <c r="BL720" s="766"/>
      <c r="BM720" s="770"/>
      <c r="BN720" s="661" t="s">
        <v>14</v>
      </c>
      <c r="BO720" s="686"/>
      <c r="BP720" s="682" t="s">
        <v>14</v>
      </c>
      <c r="BQ720" s="773"/>
      <c r="BR720" s="688"/>
      <c r="BS720" s="688"/>
      <c r="BT720" s="688"/>
      <c r="BU720" s="663" t="s">
        <v>5510</v>
      </c>
      <c r="BV720" s="663" t="s">
        <v>5510</v>
      </c>
      <c r="BW720" s="678" t="s">
        <v>210</v>
      </c>
      <c r="BX720" s="688"/>
      <c r="BY720" s="774"/>
      <c r="BZ720" s="483"/>
      <c r="CA720" s="483"/>
      <c r="CB720" s="483"/>
      <c r="CC720" s="483"/>
      <c r="CD720" s="484"/>
    </row>
    <row r="721" spans="1:82" ht="22.5" customHeight="1">
      <c r="B721" s="442">
        <v>160347</v>
      </c>
      <c r="C721" s="747" t="s">
        <v>4003</v>
      </c>
      <c r="D721" s="439"/>
      <c r="E721" s="404"/>
      <c r="F721" s="405" t="s">
        <v>4004</v>
      </c>
      <c r="G721" s="324" t="s">
        <v>4005</v>
      </c>
      <c r="H721" s="324" t="s">
        <v>4006</v>
      </c>
      <c r="I721" s="326" t="s">
        <v>383</v>
      </c>
      <c r="J721" s="326" t="s">
        <v>387</v>
      </c>
      <c r="K721" s="326" t="s">
        <v>247</v>
      </c>
      <c r="L721" s="342">
        <v>7</v>
      </c>
      <c r="M721" s="408"/>
      <c r="N721" s="325" t="s">
        <v>4298</v>
      </c>
      <c r="O721" s="324">
        <v>40</v>
      </c>
      <c r="P721" s="327" t="s">
        <v>210</v>
      </c>
      <c r="Q721" s="369" t="s">
        <v>210</v>
      </c>
      <c r="R721" s="329" t="s">
        <v>1040</v>
      </c>
      <c r="S721" s="394" t="s">
        <v>11528</v>
      </c>
      <c r="T721" s="394" t="s">
        <v>11529</v>
      </c>
      <c r="U721" s="394" t="s">
        <v>16415</v>
      </c>
      <c r="V721" s="394" t="s">
        <v>11531</v>
      </c>
      <c r="W721" s="332" t="s">
        <v>1040</v>
      </c>
      <c r="X721" s="394" t="s">
        <v>11528</v>
      </c>
      <c r="Y721" s="394" t="s">
        <v>11529</v>
      </c>
      <c r="Z721" s="394" t="s">
        <v>11530</v>
      </c>
      <c r="AA721" s="394" t="s">
        <v>11531</v>
      </c>
      <c r="AB721" s="416"/>
      <c r="AC721" s="416"/>
      <c r="AD721" s="447" t="s">
        <v>4078</v>
      </c>
      <c r="AE721" s="828" t="s">
        <v>1038</v>
      </c>
      <c r="AF721" s="475">
        <v>42607</v>
      </c>
      <c r="AG721" s="748">
        <v>42655</v>
      </c>
      <c r="AH721" s="417" t="s">
        <v>210</v>
      </c>
      <c r="AI721" s="392" t="s">
        <v>210</v>
      </c>
      <c r="AJ721" s="392" t="s">
        <v>210</v>
      </c>
      <c r="AK721" s="340" t="s">
        <v>210</v>
      </c>
      <c r="AL721" s="417" t="s">
        <v>210</v>
      </c>
      <c r="AM721" s="392" t="s">
        <v>210</v>
      </c>
      <c r="AN721" s="392" t="s">
        <v>210</v>
      </c>
      <c r="AO721" s="341" t="s">
        <v>210</v>
      </c>
      <c r="AP721" s="342"/>
      <c r="AQ721" s="433" t="s">
        <v>4547</v>
      </c>
      <c r="AR721" s="452">
        <v>1015</v>
      </c>
      <c r="AS721" s="324">
        <v>150</v>
      </c>
      <c r="AT721" s="432">
        <v>0.8</v>
      </c>
      <c r="AU721" s="432"/>
      <c r="AV721" s="432">
        <v>1</v>
      </c>
      <c r="AW721" s="490"/>
      <c r="AX721" s="453" t="s">
        <v>210</v>
      </c>
      <c r="AY721" s="429" t="s">
        <v>622</v>
      </c>
      <c r="AZ721" s="405" t="s">
        <v>3367</v>
      </c>
      <c r="BA721" s="324" t="s">
        <v>210</v>
      </c>
      <c r="BB721" s="324" t="s">
        <v>210</v>
      </c>
      <c r="BC721" s="324" t="s">
        <v>210</v>
      </c>
      <c r="BD721" s="324" t="s">
        <v>210</v>
      </c>
      <c r="BE721" s="324" t="s">
        <v>3459</v>
      </c>
      <c r="BF721" s="324" t="s">
        <v>3574</v>
      </c>
      <c r="BG721" s="324" t="s">
        <v>4202</v>
      </c>
      <c r="BH721" s="426" t="s">
        <v>3574</v>
      </c>
      <c r="BI721" s="410"/>
      <c r="BJ721" s="427" t="s">
        <v>210</v>
      </c>
      <c r="BK721" s="412"/>
      <c r="BL721" s="413"/>
      <c r="BM721" s="414"/>
      <c r="BN721" s="321" t="s">
        <v>14</v>
      </c>
      <c r="BO721" s="372">
        <v>1.1100000000000001</v>
      </c>
      <c r="BP721" s="373" t="s">
        <v>210</v>
      </c>
      <c r="BQ721" s="360"/>
      <c r="BR721" s="361"/>
      <c r="BS721" s="361"/>
      <c r="BT721" s="361"/>
      <c r="BU721" s="342" t="s">
        <v>210</v>
      </c>
      <c r="BV721" s="342" t="s">
        <v>210</v>
      </c>
      <c r="BW721" s="341" t="s">
        <v>210</v>
      </c>
      <c r="BX721" s="361"/>
      <c r="BY721" s="457"/>
      <c r="BZ721" s="363"/>
      <c r="CA721" s="363"/>
      <c r="CB721" s="363"/>
      <c r="CC721" s="363"/>
    </row>
    <row r="722" spans="1:82" ht="22.5" customHeight="1">
      <c r="B722" s="442">
        <v>160348</v>
      </c>
      <c r="C722" s="747" t="s">
        <v>3966</v>
      </c>
      <c r="D722" s="439"/>
      <c r="E722" s="404"/>
      <c r="F722" s="405" t="s">
        <v>3967</v>
      </c>
      <c r="G722" s="324" t="s">
        <v>3968</v>
      </c>
      <c r="H722" s="324" t="s">
        <v>2915</v>
      </c>
      <c r="I722" s="326" t="s">
        <v>383</v>
      </c>
      <c r="J722" s="326" t="s">
        <v>387</v>
      </c>
      <c r="K722" s="324" t="s">
        <v>977</v>
      </c>
      <c r="L722" s="342">
        <v>15</v>
      </c>
      <c r="M722" s="408"/>
      <c r="N722" s="325" t="s">
        <v>438</v>
      </c>
      <c r="O722" s="324">
        <v>100</v>
      </c>
      <c r="P722" s="458">
        <v>1872</v>
      </c>
      <c r="Q722" s="459">
        <v>2236</v>
      </c>
      <c r="R722" s="329" t="s">
        <v>1697</v>
      </c>
      <c r="S722" s="331" t="s">
        <v>12931</v>
      </c>
      <c r="T722" s="332" t="s">
        <v>11096</v>
      </c>
      <c r="U722" s="332" t="s">
        <v>11098</v>
      </c>
      <c r="V722" s="332" t="s">
        <v>11097</v>
      </c>
      <c r="W722" s="332" t="s">
        <v>9174</v>
      </c>
      <c r="X722" s="332" t="s">
        <v>11099</v>
      </c>
      <c r="Y722" s="332" t="s">
        <v>11100</v>
      </c>
      <c r="Z722" s="332" t="s">
        <v>16473</v>
      </c>
      <c r="AA722" s="332" t="s">
        <v>11101</v>
      </c>
      <c r="AB722" s="333" t="s">
        <v>4332</v>
      </c>
      <c r="AC722" s="416"/>
      <c r="AD722" s="447" t="s">
        <v>4238</v>
      </c>
      <c r="AE722" s="499" t="s">
        <v>4142</v>
      </c>
      <c r="AF722" s="475">
        <v>42602</v>
      </c>
      <c r="AG722" s="748">
        <v>42657</v>
      </c>
      <c r="AH722" s="417" t="s">
        <v>210</v>
      </c>
      <c r="AI722" s="392" t="s">
        <v>210</v>
      </c>
      <c r="AJ722" s="392" t="s">
        <v>210</v>
      </c>
      <c r="AK722" s="340" t="s">
        <v>210</v>
      </c>
      <c r="AL722" s="417" t="s">
        <v>210</v>
      </c>
      <c r="AM722" s="392" t="s">
        <v>210</v>
      </c>
      <c r="AN722" s="392" t="s">
        <v>210</v>
      </c>
      <c r="AO722" s="341" t="s">
        <v>210</v>
      </c>
      <c r="AP722" s="342"/>
      <c r="AQ722" s="433" t="s">
        <v>4547</v>
      </c>
      <c r="AR722" s="452">
        <v>2422</v>
      </c>
      <c r="AS722" s="324">
        <v>80</v>
      </c>
      <c r="AT722" s="432">
        <v>1</v>
      </c>
      <c r="AU722" s="432"/>
      <c r="AV722" s="432">
        <v>1.5</v>
      </c>
      <c r="AW722" s="490"/>
      <c r="AX722" s="453" t="s">
        <v>210</v>
      </c>
      <c r="AY722" s="429" t="s">
        <v>210</v>
      </c>
      <c r="AZ722" s="405" t="s">
        <v>3367</v>
      </c>
      <c r="BA722" s="324" t="s">
        <v>210</v>
      </c>
      <c r="BB722" s="324" t="s">
        <v>210</v>
      </c>
      <c r="BC722" s="324" t="s">
        <v>3558</v>
      </c>
      <c r="BD722" s="324" t="s">
        <v>3412</v>
      </c>
      <c r="BE722" s="324" t="s">
        <v>3459</v>
      </c>
      <c r="BF722" s="324" t="s">
        <v>3372</v>
      </c>
      <c r="BG722" s="324" t="s">
        <v>3555</v>
      </c>
      <c r="BH722" s="426" t="s">
        <v>3372</v>
      </c>
      <c r="BI722" s="410"/>
      <c r="BJ722" s="427" t="s">
        <v>9793</v>
      </c>
      <c r="BK722" s="412"/>
      <c r="BL722" s="413"/>
      <c r="BM722" s="414"/>
      <c r="BN722" s="321" t="s">
        <v>210</v>
      </c>
      <c r="BO722" s="372"/>
      <c r="BP722" s="373" t="s">
        <v>14</v>
      </c>
      <c r="BQ722" s="360"/>
      <c r="BR722" s="361"/>
      <c r="BS722" s="361"/>
      <c r="BT722" s="361"/>
      <c r="BU722" s="342" t="s">
        <v>210</v>
      </c>
      <c r="BV722" s="342" t="s">
        <v>210</v>
      </c>
      <c r="BW722" s="341" t="s">
        <v>210</v>
      </c>
      <c r="BX722" s="361"/>
      <c r="BY722" s="457"/>
      <c r="BZ722" s="363"/>
      <c r="CA722" s="363"/>
      <c r="CB722" s="363"/>
      <c r="CC722" s="363"/>
    </row>
    <row r="723" spans="1:82" s="465" customFormat="1" ht="22.5" customHeight="1">
      <c r="A723" s="287"/>
      <c r="B723" s="749">
        <v>160355</v>
      </c>
      <c r="C723" s="750" t="s">
        <v>4156</v>
      </c>
      <c r="D723" s="751"/>
      <c r="E723" s="752"/>
      <c r="F723" s="753" t="s">
        <v>237</v>
      </c>
      <c r="G723" s="754" t="s">
        <v>4203</v>
      </c>
      <c r="H723" s="754" t="s">
        <v>4204</v>
      </c>
      <c r="I723" s="662" t="s">
        <v>383</v>
      </c>
      <c r="J723" s="662" t="s">
        <v>399</v>
      </c>
      <c r="K723" s="662" t="s">
        <v>247</v>
      </c>
      <c r="L723" s="663"/>
      <c r="M723" s="662"/>
      <c r="N723" s="664" t="s">
        <v>438</v>
      </c>
      <c r="O723" s="754">
        <v>99</v>
      </c>
      <c r="P723" s="782">
        <v>1559</v>
      </c>
      <c r="Q723" s="783">
        <v>1701</v>
      </c>
      <c r="R723" s="756"/>
      <c r="S723" s="708"/>
      <c r="T723" s="708"/>
      <c r="U723" s="708"/>
      <c r="V723" s="708"/>
      <c r="W723" s="757" t="s">
        <v>3461</v>
      </c>
      <c r="X723" s="708" t="s">
        <v>12928</v>
      </c>
      <c r="Y723" s="708" t="s">
        <v>12929</v>
      </c>
      <c r="Z723" s="708" t="s">
        <v>16515</v>
      </c>
      <c r="AA723" s="708" t="s">
        <v>12930</v>
      </c>
      <c r="AB723" s="758"/>
      <c r="AC723" s="758"/>
      <c r="AD723" s="671" t="s">
        <v>2910</v>
      </c>
      <c r="AE723" s="760"/>
      <c r="AF723" s="761">
        <v>42591</v>
      </c>
      <c r="AG723" s="674" t="s">
        <v>10514</v>
      </c>
      <c r="AH723" s="675" t="s">
        <v>210</v>
      </c>
      <c r="AI723" s="676" t="s">
        <v>210</v>
      </c>
      <c r="AJ723" s="676" t="s">
        <v>210</v>
      </c>
      <c r="AK723" s="677" t="s">
        <v>210</v>
      </c>
      <c r="AL723" s="675" t="s">
        <v>210</v>
      </c>
      <c r="AM723" s="676" t="s">
        <v>210</v>
      </c>
      <c r="AN723" s="676" t="s">
        <v>210</v>
      </c>
      <c r="AO723" s="678" t="s">
        <v>210</v>
      </c>
      <c r="AP723" s="663"/>
      <c r="AQ723" s="679"/>
      <c r="AR723" s="763"/>
      <c r="AS723" s="754">
        <v>80</v>
      </c>
      <c r="AT723" s="785">
        <v>1</v>
      </c>
      <c r="AU723" s="785"/>
      <c r="AV723" s="785">
        <v>2</v>
      </c>
      <c r="AW723" s="764"/>
      <c r="AX723" s="675"/>
      <c r="AY723" s="681"/>
      <c r="AZ723" s="753" t="s">
        <v>622</v>
      </c>
      <c r="BA723" s="754" t="s">
        <v>4206</v>
      </c>
      <c r="BB723" s="754" t="s">
        <v>3845</v>
      </c>
      <c r="BC723" s="754" t="s">
        <v>4205</v>
      </c>
      <c r="BD723" s="754" t="s">
        <v>3845</v>
      </c>
      <c r="BE723" s="754" t="s">
        <v>4207</v>
      </c>
      <c r="BF723" s="754" t="s">
        <v>4208</v>
      </c>
      <c r="BG723" s="754" t="s">
        <v>4209</v>
      </c>
      <c r="BH723" s="767" t="s">
        <v>3492</v>
      </c>
      <c r="BI723" s="765"/>
      <c r="BJ723" s="768" t="s">
        <v>210</v>
      </c>
      <c r="BK723" s="769"/>
      <c r="BL723" s="766"/>
      <c r="BM723" s="770"/>
      <c r="BN723" s="661" t="s">
        <v>210</v>
      </c>
      <c r="BO723" s="686"/>
      <c r="BP723" s="682" t="s">
        <v>14</v>
      </c>
      <c r="BQ723" s="687"/>
      <c r="BR723" s="663"/>
      <c r="BS723" s="663"/>
      <c r="BT723" s="663"/>
      <c r="BU723" s="663" t="s">
        <v>5510</v>
      </c>
      <c r="BV723" s="663" t="s">
        <v>5510</v>
      </c>
      <c r="BW723" s="678" t="s">
        <v>210</v>
      </c>
      <c r="BX723" s="688"/>
      <c r="BY723" s="774"/>
      <c r="BZ723" s="483"/>
      <c r="CA723" s="483"/>
      <c r="CB723" s="483"/>
      <c r="CC723" s="483"/>
      <c r="CD723" s="484"/>
    </row>
    <row r="724" spans="1:82" ht="22.5" customHeight="1">
      <c r="B724" s="442">
        <v>160356</v>
      </c>
      <c r="C724" s="747" t="s">
        <v>4055</v>
      </c>
      <c r="D724" s="439"/>
      <c r="E724" s="404"/>
      <c r="F724" s="405" t="s">
        <v>4056</v>
      </c>
      <c r="G724" s="324" t="s">
        <v>4057</v>
      </c>
      <c r="H724" s="324" t="s">
        <v>4058</v>
      </c>
      <c r="I724" s="324" t="s">
        <v>210</v>
      </c>
      <c r="J724" s="324" t="s">
        <v>210</v>
      </c>
      <c r="K724" s="324" t="s">
        <v>4051</v>
      </c>
      <c r="L724" s="432" t="s">
        <v>4543</v>
      </c>
      <c r="M724" s="408"/>
      <c r="N724" s="444" t="s">
        <v>210</v>
      </c>
      <c r="O724" s="327" t="s">
        <v>210</v>
      </c>
      <c r="P724" s="327" t="s">
        <v>210</v>
      </c>
      <c r="Q724" s="369" t="s">
        <v>210</v>
      </c>
      <c r="R724" s="329" t="s">
        <v>513</v>
      </c>
      <c r="S724" s="394" t="s">
        <v>12926</v>
      </c>
      <c r="T724" s="400"/>
      <c r="U724" s="400"/>
      <c r="V724" s="394" t="s">
        <v>12927</v>
      </c>
      <c r="W724" s="825"/>
      <c r="X724" s="400"/>
      <c r="Y724" s="400"/>
      <c r="Z724" s="400"/>
      <c r="AA724" s="400"/>
      <c r="AB724" s="416"/>
      <c r="AC724" s="416"/>
      <c r="AD724" s="334" t="s">
        <v>210</v>
      </c>
      <c r="AE724" s="335" t="s">
        <v>210</v>
      </c>
      <c r="AF724" s="475">
        <v>42626</v>
      </c>
      <c r="AG724" s="748">
        <v>42675</v>
      </c>
      <c r="AH724" s="417" t="s">
        <v>210</v>
      </c>
      <c r="AI724" s="392" t="s">
        <v>210</v>
      </c>
      <c r="AJ724" s="392" t="s">
        <v>210</v>
      </c>
      <c r="AK724" s="340" t="s">
        <v>210</v>
      </c>
      <c r="AL724" s="417" t="s">
        <v>210</v>
      </c>
      <c r="AM724" s="392" t="s">
        <v>210</v>
      </c>
      <c r="AN724" s="392" t="s">
        <v>210</v>
      </c>
      <c r="AO724" s="341" t="s">
        <v>210</v>
      </c>
      <c r="AP724" s="342"/>
      <c r="AQ724" s="433" t="s">
        <v>4552</v>
      </c>
      <c r="AR724" s="452" t="s">
        <v>4414</v>
      </c>
      <c r="AS724" s="326">
        <v>80</v>
      </c>
      <c r="AT724" s="326">
        <v>0.6</v>
      </c>
      <c r="AU724" s="326"/>
      <c r="AV724" s="326" t="s">
        <v>210</v>
      </c>
      <c r="AW724" s="655"/>
      <c r="AX724" s="453" t="s">
        <v>210</v>
      </c>
      <c r="AY724" s="455" t="s">
        <v>210</v>
      </c>
      <c r="AZ724" s="405" t="s">
        <v>3367</v>
      </c>
      <c r="BA724" s="324" t="s">
        <v>210</v>
      </c>
      <c r="BB724" s="324" t="s">
        <v>210</v>
      </c>
      <c r="BC724" s="324" t="s">
        <v>3459</v>
      </c>
      <c r="BD724" s="324" t="s">
        <v>3382</v>
      </c>
      <c r="BE724" s="324" t="s">
        <v>210</v>
      </c>
      <c r="BF724" s="324" t="s">
        <v>210</v>
      </c>
      <c r="BG724" s="324" t="s">
        <v>210</v>
      </c>
      <c r="BH724" s="426" t="s">
        <v>210</v>
      </c>
      <c r="BI724" s="410"/>
      <c r="BJ724" s="427" t="s">
        <v>210</v>
      </c>
      <c r="BK724" s="412"/>
      <c r="BL724" s="413"/>
      <c r="BM724" s="414"/>
      <c r="BN724" s="321" t="s">
        <v>210</v>
      </c>
      <c r="BO724" s="372"/>
      <c r="BP724" s="373" t="s">
        <v>210</v>
      </c>
      <c r="BQ724" s="360"/>
      <c r="BR724" s="361"/>
      <c r="BS724" s="361"/>
      <c r="BT724" s="361"/>
      <c r="BU724" s="342" t="s">
        <v>210</v>
      </c>
      <c r="BV724" s="342" t="s">
        <v>210</v>
      </c>
      <c r="BW724" s="341" t="s">
        <v>210</v>
      </c>
      <c r="BX724" s="361"/>
      <c r="BY724" s="457"/>
      <c r="BZ724" s="363"/>
      <c r="CA724" s="363"/>
      <c r="CB724" s="363"/>
      <c r="CC724" s="363"/>
    </row>
    <row r="725" spans="1:82" ht="22.5" customHeight="1">
      <c r="B725" s="442">
        <v>160357</v>
      </c>
      <c r="C725" s="747" t="s">
        <v>4151</v>
      </c>
      <c r="D725" s="439"/>
      <c r="E725" s="404"/>
      <c r="F725" s="405" t="s">
        <v>4152</v>
      </c>
      <c r="G725" s="324" t="s">
        <v>1780</v>
      </c>
      <c r="H725" s="324" t="s">
        <v>4153</v>
      </c>
      <c r="I725" s="326" t="s">
        <v>383</v>
      </c>
      <c r="J725" s="326" t="s">
        <v>387</v>
      </c>
      <c r="K725" s="326" t="s">
        <v>917</v>
      </c>
      <c r="L725" s="432" t="s">
        <v>4543</v>
      </c>
      <c r="M725" s="408"/>
      <c r="N725" s="325" t="s">
        <v>438</v>
      </c>
      <c r="O725" s="324">
        <v>30</v>
      </c>
      <c r="P725" s="816">
        <v>960</v>
      </c>
      <c r="Q725" s="817">
        <v>900</v>
      </c>
      <c r="R725" s="329" t="s">
        <v>821</v>
      </c>
      <c r="S725" s="331" t="s">
        <v>12960</v>
      </c>
      <c r="T725" s="330"/>
      <c r="U725" s="330"/>
      <c r="V725" s="331" t="s">
        <v>12961</v>
      </c>
      <c r="W725" s="332" t="s">
        <v>432</v>
      </c>
      <c r="X725" s="331" t="s">
        <v>11079</v>
      </c>
      <c r="Y725" s="331" t="s">
        <v>11080</v>
      </c>
      <c r="Z725" s="331" t="s">
        <v>11080</v>
      </c>
      <c r="AA725" s="331" t="s">
        <v>210</v>
      </c>
      <c r="AB725" s="416"/>
      <c r="AC725" s="416"/>
      <c r="AD725" s="334" t="s">
        <v>2334</v>
      </c>
      <c r="AE725" s="499" t="s">
        <v>4458</v>
      </c>
      <c r="AF725" s="475">
        <v>42648</v>
      </c>
      <c r="AG725" s="748">
        <v>42713</v>
      </c>
      <c r="AH725" s="417" t="s">
        <v>210</v>
      </c>
      <c r="AI725" s="392" t="s">
        <v>210</v>
      </c>
      <c r="AJ725" s="392" t="s">
        <v>210</v>
      </c>
      <c r="AK725" s="340" t="s">
        <v>210</v>
      </c>
      <c r="AL725" s="417" t="s">
        <v>210</v>
      </c>
      <c r="AM725" s="392" t="s">
        <v>210</v>
      </c>
      <c r="AN725" s="392" t="s">
        <v>210</v>
      </c>
      <c r="AO725" s="341" t="s">
        <v>210</v>
      </c>
      <c r="AP725" s="342"/>
      <c r="AQ725" s="433" t="s">
        <v>4547</v>
      </c>
      <c r="AR725" s="452">
        <v>1208</v>
      </c>
      <c r="AS725" s="324">
        <v>100</v>
      </c>
      <c r="AT725" s="432">
        <v>1</v>
      </c>
      <c r="AU725" s="432"/>
      <c r="AV725" s="432">
        <v>1.5</v>
      </c>
      <c r="AW725" s="490"/>
      <c r="AX725" s="453" t="s">
        <v>210</v>
      </c>
      <c r="AY725" s="455" t="s">
        <v>210</v>
      </c>
      <c r="AZ725" s="405" t="s">
        <v>4083</v>
      </c>
      <c r="BA725" s="324" t="s">
        <v>210</v>
      </c>
      <c r="BB725" s="324" t="s">
        <v>210</v>
      </c>
      <c r="BC725" s="324" t="s">
        <v>3459</v>
      </c>
      <c r="BD725" s="324" t="s">
        <v>3443</v>
      </c>
      <c r="BE725" s="324" t="s">
        <v>4154</v>
      </c>
      <c r="BF725" s="324" t="s">
        <v>3443</v>
      </c>
      <c r="BG725" s="324" t="s">
        <v>4155</v>
      </c>
      <c r="BH725" s="426" t="s">
        <v>3443</v>
      </c>
      <c r="BI725" s="410"/>
      <c r="BJ725" s="427" t="s">
        <v>210</v>
      </c>
      <c r="BK725" s="412"/>
      <c r="BL725" s="413"/>
      <c r="BM725" s="414"/>
      <c r="BN725" s="321" t="s">
        <v>14</v>
      </c>
      <c r="BO725" s="372"/>
      <c r="BP725" s="373" t="s">
        <v>14</v>
      </c>
      <c r="BQ725" s="360"/>
      <c r="BR725" s="361"/>
      <c r="BS725" s="361"/>
      <c r="BT725" s="361"/>
      <c r="BU725" s="342" t="s">
        <v>210</v>
      </c>
      <c r="BV725" s="342" t="s">
        <v>210</v>
      </c>
      <c r="BW725" s="341" t="s">
        <v>210</v>
      </c>
      <c r="BX725" s="361"/>
      <c r="BY725" s="457"/>
      <c r="BZ725" s="363"/>
      <c r="CA725" s="363"/>
      <c r="CB725" s="363"/>
      <c r="CC725" s="363"/>
    </row>
    <row r="726" spans="1:82" ht="22.5" customHeight="1">
      <c r="B726" s="442">
        <v>160358</v>
      </c>
      <c r="C726" s="747" t="s">
        <v>4043</v>
      </c>
      <c r="D726" s="439" t="s">
        <v>4849</v>
      </c>
      <c r="E726" s="404" t="s">
        <v>5361</v>
      </c>
      <c r="F726" s="405" t="s">
        <v>4044</v>
      </c>
      <c r="G726" s="324" t="s">
        <v>4045</v>
      </c>
      <c r="H726" s="324" t="s">
        <v>4046</v>
      </c>
      <c r="I726" s="326" t="s">
        <v>383</v>
      </c>
      <c r="J726" s="326" t="s">
        <v>399</v>
      </c>
      <c r="K726" s="324" t="s">
        <v>4051</v>
      </c>
      <c r="L726" s="432" t="s">
        <v>4543</v>
      </c>
      <c r="M726" s="408"/>
      <c r="N726" s="444" t="s">
        <v>4052</v>
      </c>
      <c r="O726" s="324">
        <v>250</v>
      </c>
      <c r="P726" s="327" t="s">
        <v>210</v>
      </c>
      <c r="Q726" s="369" t="s">
        <v>210</v>
      </c>
      <c r="R726" s="420" t="s">
        <v>12925</v>
      </c>
      <c r="S726" s="400"/>
      <c r="T726" s="400"/>
      <c r="U726" s="400"/>
      <c r="V726" s="400"/>
      <c r="W726" s="825"/>
      <c r="X726" s="400"/>
      <c r="Y726" s="400"/>
      <c r="Z726" s="400"/>
      <c r="AA726" s="400"/>
      <c r="AB726" s="416"/>
      <c r="AC726" s="416"/>
      <c r="AD726" s="334" t="s">
        <v>210</v>
      </c>
      <c r="AE726" s="335" t="s">
        <v>210</v>
      </c>
      <c r="AF726" s="475">
        <v>42623</v>
      </c>
      <c r="AG726" s="748">
        <v>42931</v>
      </c>
      <c r="AH726" s="417" t="s">
        <v>210</v>
      </c>
      <c r="AI726" s="392" t="s">
        <v>210</v>
      </c>
      <c r="AJ726" s="392" t="s">
        <v>210</v>
      </c>
      <c r="AK726" s="340" t="s">
        <v>210</v>
      </c>
      <c r="AL726" s="417" t="s">
        <v>210</v>
      </c>
      <c r="AM726" s="392" t="s">
        <v>210</v>
      </c>
      <c r="AN726" s="392" t="s">
        <v>210</v>
      </c>
      <c r="AO726" s="341" t="s">
        <v>4053</v>
      </c>
      <c r="AP726" s="342"/>
      <c r="AQ726" s="433" t="s">
        <v>15</v>
      </c>
      <c r="AR726" s="452">
        <v>159</v>
      </c>
      <c r="AS726" s="324">
        <v>80</v>
      </c>
      <c r="AT726" s="432">
        <v>2</v>
      </c>
      <c r="AU726" s="432" t="s">
        <v>3382</v>
      </c>
      <c r="AV726" s="432">
        <v>4</v>
      </c>
      <c r="AW726" s="490" t="s">
        <v>3382</v>
      </c>
      <c r="AX726" s="453" t="s">
        <v>210</v>
      </c>
      <c r="AY726" s="455" t="s">
        <v>210</v>
      </c>
      <c r="AZ726" s="405" t="s">
        <v>622</v>
      </c>
      <c r="BA726" s="324" t="s">
        <v>4047</v>
      </c>
      <c r="BB726" s="324" t="s">
        <v>3382</v>
      </c>
      <c r="BC726" s="324" t="s">
        <v>4048</v>
      </c>
      <c r="BD726" s="324" t="s">
        <v>3382</v>
      </c>
      <c r="BE726" s="324" t="s">
        <v>4047</v>
      </c>
      <c r="BF726" s="324" t="s">
        <v>3382</v>
      </c>
      <c r="BG726" s="324" t="s">
        <v>4049</v>
      </c>
      <c r="BH726" s="426" t="s">
        <v>4050</v>
      </c>
      <c r="BI726" s="453">
        <v>2.2000000000000002</v>
      </c>
      <c r="BJ726" s="427" t="s">
        <v>210</v>
      </c>
      <c r="BK726" s="412"/>
      <c r="BL726" s="413"/>
      <c r="BM726" s="414"/>
      <c r="BN726" s="410"/>
      <c r="BO726" s="502"/>
      <c r="BP726" s="492"/>
      <c r="BQ726" s="456" t="s">
        <v>5529</v>
      </c>
      <c r="BR726" s="342" t="s">
        <v>210</v>
      </c>
      <c r="BS726" s="342" t="s">
        <v>210</v>
      </c>
      <c r="BT726" s="342" t="s">
        <v>210</v>
      </c>
      <c r="BU726" s="342" t="s">
        <v>210</v>
      </c>
      <c r="BV726" s="342" t="s">
        <v>210</v>
      </c>
      <c r="BW726" s="341" t="s">
        <v>210</v>
      </c>
      <c r="BX726" s="361"/>
      <c r="BY726" s="457" t="s">
        <v>5557</v>
      </c>
      <c r="BZ726" s="363"/>
      <c r="CA726" s="363"/>
      <c r="CB726" s="363"/>
      <c r="CC726" s="363"/>
    </row>
    <row r="727" spans="1:82" ht="22.5" customHeight="1">
      <c r="B727" s="442">
        <v>160360</v>
      </c>
      <c r="C727" s="747" t="s">
        <v>4089</v>
      </c>
      <c r="D727" s="439"/>
      <c r="E727" s="404"/>
      <c r="F727" s="405" t="s">
        <v>4072</v>
      </c>
      <c r="G727" s="324" t="s">
        <v>4073</v>
      </c>
      <c r="H727" s="324" t="s">
        <v>4074</v>
      </c>
      <c r="I727" s="326" t="s">
        <v>383</v>
      </c>
      <c r="J727" s="326" t="s">
        <v>387</v>
      </c>
      <c r="K727" s="324" t="s">
        <v>3352</v>
      </c>
      <c r="L727" s="778"/>
      <c r="M727" s="408"/>
      <c r="N727" s="325" t="s">
        <v>437</v>
      </c>
      <c r="O727" s="326">
        <v>30</v>
      </c>
      <c r="P727" s="327" t="s">
        <v>210</v>
      </c>
      <c r="Q727" s="369" t="s">
        <v>210</v>
      </c>
      <c r="R727" s="420" t="s">
        <v>4090</v>
      </c>
      <c r="S727" s="394" t="s">
        <v>12923</v>
      </c>
      <c r="T727" s="400"/>
      <c r="U727" s="400"/>
      <c r="V727" s="394" t="s">
        <v>12924</v>
      </c>
      <c r="W727" s="825"/>
      <c r="X727" s="400"/>
      <c r="Y727" s="400"/>
      <c r="Z727" s="400"/>
      <c r="AA727" s="400"/>
      <c r="AB727" s="416"/>
      <c r="AC727" s="416"/>
      <c r="AD727" s="375"/>
      <c r="AE727" s="335" t="s">
        <v>210</v>
      </c>
      <c r="AF727" s="475">
        <v>42626</v>
      </c>
      <c r="AG727" s="748">
        <v>42704</v>
      </c>
      <c r="AH727" s="417" t="s">
        <v>210</v>
      </c>
      <c r="AI727" s="392" t="s">
        <v>210</v>
      </c>
      <c r="AJ727" s="392" t="s">
        <v>210</v>
      </c>
      <c r="AK727" s="340" t="s">
        <v>210</v>
      </c>
      <c r="AL727" s="417" t="s">
        <v>210</v>
      </c>
      <c r="AM727" s="392" t="s">
        <v>210</v>
      </c>
      <c r="AN727" s="392" t="s">
        <v>210</v>
      </c>
      <c r="AO727" s="341" t="s">
        <v>210</v>
      </c>
      <c r="AP727" s="342"/>
      <c r="AQ727" s="433" t="s">
        <v>4547</v>
      </c>
      <c r="AR727" s="452">
        <v>505</v>
      </c>
      <c r="AS727" s="324">
        <v>150</v>
      </c>
      <c r="AT727" s="432">
        <v>1</v>
      </c>
      <c r="AU727" s="432"/>
      <c r="AV727" s="432">
        <v>1.5</v>
      </c>
      <c r="AW727" s="490"/>
      <c r="AX727" s="453" t="s">
        <v>210</v>
      </c>
      <c r="AY727" s="429" t="s">
        <v>210</v>
      </c>
      <c r="AZ727" s="405" t="s">
        <v>3367</v>
      </c>
      <c r="BA727" s="324" t="s">
        <v>210</v>
      </c>
      <c r="BB727" s="324" t="s">
        <v>210</v>
      </c>
      <c r="BC727" s="324" t="s">
        <v>4075</v>
      </c>
      <c r="BD727" s="324" t="s">
        <v>3360</v>
      </c>
      <c r="BE727" s="324" t="s">
        <v>4076</v>
      </c>
      <c r="BF727" s="324" t="s">
        <v>3360</v>
      </c>
      <c r="BG727" s="324" t="s">
        <v>4077</v>
      </c>
      <c r="BH727" s="426" t="s">
        <v>3512</v>
      </c>
      <c r="BI727" s="410"/>
      <c r="BJ727" s="427" t="s">
        <v>210</v>
      </c>
      <c r="BK727" s="412"/>
      <c r="BL727" s="413"/>
      <c r="BM727" s="414"/>
      <c r="BN727" s="321" t="s">
        <v>14</v>
      </c>
      <c r="BO727" s="372"/>
      <c r="BP727" s="373" t="s">
        <v>210</v>
      </c>
      <c r="BQ727" s="360"/>
      <c r="BR727" s="361"/>
      <c r="BS727" s="361"/>
      <c r="BT727" s="361"/>
      <c r="BU727" s="342" t="s">
        <v>210</v>
      </c>
      <c r="BV727" s="342" t="s">
        <v>210</v>
      </c>
      <c r="BW727" s="341" t="s">
        <v>210</v>
      </c>
      <c r="BX727" s="361"/>
      <c r="BY727" s="457"/>
      <c r="BZ727" s="363"/>
      <c r="CA727" s="363"/>
      <c r="CB727" s="363"/>
      <c r="CC727" s="363"/>
    </row>
    <row r="728" spans="1:82" ht="22.5" customHeight="1">
      <c r="B728" s="442">
        <v>160363</v>
      </c>
      <c r="C728" s="747" t="s">
        <v>4132</v>
      </c>
      <c r="D728" s="439"/>
      <c r="E728" s="404"/>
      <c r="F728" s="405" t="s">
        <v>4133</v>
      </c>
      <c r="G728" s="324" t="s">
        <v>2446</v>
      </c>
      <c r="H728" s="324" t="s">
        <v>4134</v>
      </c>
      <c r="I728" s="326" t="s">
        <v>383</v>
      </c>
      <c r="J728" s="326" t="s">
        <v>399</v>
      </c>
      <c r="K728" s="324" t="s">
        <v>4138</v>
      </c>
      <c r="L728" s="787">
        <v>3</v>
      </c>
      <c r="M728" s="408"/>
      <c r="N728" s="325" t="s">
        <v>438</v>
      </c>
      <c r="O728" s="324">
        <v>40</v>
      </c>
      <c r="P728" s="816">
        <v>1350</v>
      </c>
      <c r="Q728" s="817">
        <v>1350</v>
      </c>
      <c r="R728" s="420" t="s">
        <v>4225</v>
      </c>
      <c r="S728" s="400"/>
      <c r="T728" s="400"/>
      <c r="U728" s="400"/>
      <c r="V728" s="400"/>
      <c r="W728" s="460" t="s">
        <v>4139</v>
      </c>
      <c r="X728" s="400"/>
      <c r="Y728" s="400"/>
      <c r="Z728" s="400"/>
      <c r="AA728" s="400"/>
      <c r="AB728" s="416"/>
      <c r="AC728" s="416"/>
      <c r="AD728" s="334" t="s">
        <v>2326</v>
      </c>
      <c r="AE728" s="828" t="s">
        <v>1038</v>
      </c>
      <c r="AF728" s="475">
        <v>42643</v>
      </c>
      <c r="AG728" s="748">
        <v>42688</v>
      </c>
      <c r="AH728" s="417" t="s">
        <v>210</v>
      </c>
      <c r="AI728" s="392" t="s">
        <v>210</v>
      </c>
      <c r="AJ728" s="392" t="s">
        <v>210</v>
      </c>
      <c r="AK728" s="340" t="s">
        <v>210</v>
      </c>
      <c r="AL728" s="417" t="s">
        <v>210</v>
      </c>
      <c r="AM728" s="392" t="s">
        <v>210</v>
      </c>
      <c r="AN728" s="392" t="s">
        <v>210</v>
      </c>
      <c r="AO728" s="341" t="s">
        <v>210</v>
      </c>
      <c r="AP728" s="342"/>
      <c r="AQ728" s="433" t="s">
        <v>4547</v>
      </c>
      <c r="AR728" s="452">
        <v>2245</v>
      </c>
      <c r="AS728" s="326">
        <v>80</v>
      </c>
      <c r="AT728" s="432">
        <v>1</v>
      </c>
      <c r="AU728" s="432"/>
      <c r="AV728" s="432">
        <v>2</v>
      </c>
      <c r="AW728" s="490"/>
      <c r="AX728" s="453" t="s">
        <v>210</v>
      </c>
      <c r="AY728" s="489" t="s">
        <v>210</v>
      </c>
      <c r="AZ728" s="405" t="s">
        <v>622</v>
      </c>
      <c r="BA728" s="324" t="s">
        <v>3459</v>
      </c>
      <c r="BB728" s="324" t="s">
        <v>3495</v>
      </c>
      <c r="BC728" s="324" t="s">
        <v>4135</v>
      </c>
      <c r="BD728" s="324" t="s">
        <v>3443</v>
      </c>
      <c r="BE728" s="324" t="s">
        <v>4136</v>
      </c>
      <c r="BF728" s="324" t="s">
        <v>4137</v>
      </c>
      <c r="BG728" s="324" t="s">
        <v>3459</v>
      </c>
      <c r="BH728" s="426" t="s">
        <v>3574</v>
      </c>
      <c r="BI728" s="410"/>
      <c r="BJ728" s="427" t="s">
        <v>210</v>
      </c>
      <c r="BK728" s="412"/>
      <c r="BL728" s="413"/>
      <c r="BM728" s="414"/>
      <c r="BN728" s="321" t="s">
        <v>210</v>
      </c>
      <c r="BO728" s="372"/>
      <c r="BP728" s="373" t="s">
        <v>210</v>
      </c>
      <c r="BQ728" s="360"/>
      <c r="BR728" s="361"/>
      <c r="BS728" s="361"/>
      <c r="BT728" s="361"/>
      <c r="BU728" s="342" t="s">
        <v>210</v>
      </c>
      <c r="BV728" s="342" t="s">
        <v>210</v>
      </c>
      <c r="BW728" s="341" t="s">
        <v>210</v>
      </c>
      <c r="BX728" s="361"/>
      <c r="BY728" s="457"/>
      <c r="BZ728" s="363"/>
      <c r="CA728" s="363"/>
      <c r="CB728" s="363"/>
      <c r="CC728" s="363"/>
    </row>
    <row r="729" spans="1:82" ht="22.5" customHeight="1">
      <c r="B729" s="442">
        <v>160364</v>
      </c>
      <c r="C729" s="747" t="s">
        <v>1632</v>
      </c>
      <c r="D729" s="439"/>
      <c r="E729" s="404"/>
      <c r="F729" s="405" t="s">
        <v>1048</v>
      </c>
      <c r="G729" s="324" t="s">
        <v>2651</v>
      </c>
      <c r="H729" s="324" t="s">
        <v>4107</v>
      </c>
      <c r="I729" s="326" t="s">
        <v>383</v>
      </c>
      <c r="J729" s="326" t="s">
        <v>387</v>
      </c>
      <c r="K729" s="324" t="s">
        <v>977</v>
      </c>
      <c r="L729" s="342">
        <v>4</v>
      </c>
      <c r="M729" s="324" t="s">
        <v>10767</v>
      </c>
      <c r="N729" s="325" t="s">
        <v>437</v>
      </c>
      <c r="O729" s="324">
        <v>61</v>
      </c>
      <c r="P729" s="327" t="s">
        <v>210</v>
      </c>
      <c r="Q729" s="369" t="s">
        <v>210</v>
      </c>
      <c r="R729" s="329" t="s">
        <v>458</v>
      </c>
      <c r="S729" s="331" t="s">
        <v>12868</v>
      </c>
      <c r="T729" s="331" t="s">
        <v>11187</v>
      </c>
      <c r="U729" s="331" t="s">
        <v>11186</v>
      </c>
      <c r="V729" s="331" t="s">
        <v>11184</v>
      </c>
      <c r="W729" s="332" t="s">
        <v>432</v>
      </c>
      <c r="X729" s="331" t="s">
        <v>11079</v>
      </c>
      <c r="Y729" s="331" t="s">
        <v>11080</v>
      </c>
      <c r="Z729" s="331" t="s">
        <v>11080</v>
      </c>
      <c r="AA729" s="331"/>
      <c r="AB729" s="416"/>
      <c r="AC729" s="416"/>
      <c r="AD729" s="447" t="s">
        <v>4516</v>
      </c>
      <c r="AE729" s="828" t="s">
        <v>966</v>
      </c>
      <c r="AF729" s="475">
        <v>42637</v>
      </c>
      <c r="AG729" s="748">
        <v>42718</v>
      </c>
      <c r="AH729" s="486" t="s">
        <v>16111</v>
      </c>
      <c r="AI729" s="487" t="s">
        <v>16112</v>
      </c>
      <c r="AJ729" s="487" t="s">
        <v>16113</v>
      </c>
      <c r="AK729" s="895" t="s">
        <v>16114</v>
      </c>
      <c r="AL729" s="417" t="s">
        <v>210</v>
      </c>
      <c r="AM729" s="392" t="s">
        <v>210</v>
      </c>
      <c r="AN729" s="392" t="s">
        <v>210</v>
      </c>
      <c r="AO729" s="341" t="s">
        <v>210</v>
      </c>
      <c r="AP729" s="342"/>
      <c r="AQ729" s="433" t="s">
        <v>4547</v>
      </c>
      <c r="AR729" s="452">
        <v>192</v>
      </c>
      <c r="AS729" s="324">
        <v>120</v>
      </c>
      <c r="AT729" s="432">
        <v>1</v>
      </c>
      <c r="AU729" s="432"/>
      <c r="AV729" s="432">
        <v>1.2</v>
      </c>
      <c r="AW729" s="490"/>
      <c r="AX729" s="453" t="s">
        <v>210</v>
      </c>
      <c r="AY729" s="429" t="s">
        <v>210</v>
      </c>
      <c r="AZ729" s="405" t="s">
        <v>4083</v>
      </c>
      <c r="BA729" s="324" t="s">
        <v>210</v>
      </c>
      <c r="BB729" s="324" t="s">
        <v>210</v>
      </c>
      <c r="BC729" s="324" t="s">
        <v>3555</v>
      </c>
      <c r="BD729" s="324" t="s">
        <v>3360</v>
      </c>
      <c r="BE729" s="324" t="s">
        <v>3459</v>
      </c>
      <c r="BF729" s="324" t="s">
        <v>3495</v>
      </c>
      <c r="BG729" s="324" t="s">
        <v>3459</v>
      </c>
      <c r="BH729" s="426" t="s">
        <v>4185</v>
      </c>
      <c r="BI729" s="410"/>
      <c r="BJ729" s="427" t="s">
        <v>210</v>
      </c>
      <c r="BK729" s="412"/>
      <c r="BL729" s="413"/>
      <c r="BM729" s="414"/>
      <c r="BN729" s="321" t="s">
        <v>14</v>
      </c>
      <c r="BO729" s="372"/>
      <c r="BP729" s="373" t="s">
        <v>210</v>
      </c>
      <c r="BQ729" s="360"/>
      <c r="BR729" s="361"/>
      <c r="BS729" s="361"/>
      <c r="BT729" s="361"/>
      <c r="BU729" s="342" t="s">
        <v>210</v>
      </c>
      <c r="BV729" s="342" t="s">
        <v>210</v>
      </c>
      <c r="BW729" s="341" t="s">
        <v>210</v>
      </c>
      <c r="BX729" s="361"/>
      <c r="BY729" s="457"/>
      <c r="BZ729" s="363"/>
      <c r="CA729" s="363"/>
      <c r="CB729" s="363"/>
      <c r="CC729" s="363"/>
    </row>
    <row r="730" spans="1:82" ht="22.5" customHeight="1">
      <c r="B730" s="442">
        <v>160365</v>
      </c>
      <c r="C730" s="747" t="s">
        <v>4093</v>
      </c>
      <c r="D730" s="439"/>
      <c r="E730" s="404"/>
      <c r="F730" s="405" t="s">
        <v>4072</v>
      </c>
      <c r="G730" s="324" t="s">
        <v>4094</v>
      </c>
      <c r="H730" s="324" t="s">
        <v>4105</v>
      </c>
      <c r="I730" s="326" t="s">
        <v>383</v>
      </c>
      <c r="J730" s="326" t="s">
        <v>387</v>
      </c>
      <c r="K730" s="326" t="s">
        <v>917</v>
      </c>
      <c r="L730" s="432" t="s">
        <v>4543</v>
      </c>
      <c r="M730" s="408"/>
      <c r="N730" s="325" t="s">
        <v>4298</v>
      </c>
      <c r="O730" s="324">
        <v>15</v>
      </c>
      <c r="P730" s="327" t="s">
        <v>210</v>
      </c>
      <c r="Q730" s="369" t="s">
        <v>210</v>
      </c>
      <c r="R730" s="420" t="s">
        <v>4095</v>
      </c>
      <c r="S730" s="394" t="s">
        <v>11074</v>
      </c>
      <c r="T730" s="394" t="s">
        <v>11546</v>
      </c>
      <c r="U730" s="394" t="s">
        <v>14971</v>
      </c>
      <c r="V730" s="394" t="s">
        <v>11131</v>
      </c>
      <c r="W730" s="460" t="s">
        <v>4349</v>
      </c>
      <c r="X730" s="394" t="s">
        <v>11548</v>
      </c>
      <c r="Y730" s="394" t="s">
        <v>11549</v>
      </c>
      <c r="Z730" s="394" t="s">
        <v>16495</v>
      </c>
      <c r="AA730" s="394" t="s">
        <v>11550</v>
      </c>
      <c r="AB730" s="416" t="s">
        <v>4098</v>
      </c>
      <c r="AC730" s="416"/>
      <c r="AD730" s="447" t="s">
        <v>4412</v>
      </c>
      <c r="AE730" s="499" t="s">
        <v>3553</v>
      </c>
      <c r="AF730" s="475">
        <v>42626</v>
      </c>
      <c r="AG730" s="748">
        <v>42678</v>
      </c>
      <c r="AH730" s="417" t="s">
        <v>210</v>
      </c>
      <c r="AI730" s="392" t="s">
        <v>210</v>
      </c>
      <c r="AJ730" s="392" t="s">
        <v>210</v>
      </c>
      <c r="AK730" s="340" t="s">
        <v>210</v>
      </c>
      <c r="AL730" s="417" t="s">
        <v>210</v>
      </c>
      <c r="AM730" s="392" t="s">
        <v>210</v>
      </c>
      <c r="AN730" s="392" t="s">
        <v>210</v>
      </c>
      <c r="AO730" s="341" t="s">
        <v>210</v>
      </c>
      <c r="AP730" s="342"/>
      <c r="AQ730" s="433" t="s">
        <v>4547</v>
      </c>
      <c r="AR730" s="452">
        <v>1346</v>
      </c>
      <c r="AS730" s="324">
        <v>150</v>
      </c>
      <c r="AT730" s="432">
        <v>1</v>
      </c>
      <c r="AU730" s="432"/>
      <c r="AV730" s="432">
        <v>1.5</v>
      </c>
      <c r="AW730" s="490"/>
      <c r="AX730" s="453" t="s">
        <v>210</v>
      </c>
      <c r="AY730" s="455" t="s">
        <v>210</v>
      </c>
      <c r="AZ730" s="405" t="s">
        <v>622</v>
      </c>
      <c r="BA730" s="324" t="s">
        <v>4101</v>
      </c>
      <c r="BB730" s="324" t="s">
        <v>3382</v>
      </c>
      <c r="BC730" s="324" t="s">
        <v>4102</v>
      </c>
      <c r="BD730" s="324" t="s">
        <v>3382</v>
      </c>
      <c r="BE730" s="324" t="s">
        <v>4103</v>
      </c>
      <c r="BF730" s="324" t="s">
        <v>3382</v>
      </c>
      <c r="BG730" s="324" t="s">
        <v>4104</v>
      </c>
      <c r="BH730" s="426" t="s">
        <v>3382</v>
      </c>
      <c r="BI730" s="410"/>
      <c r="BJ730" s="427" t="s">
        <v>210</v>
      </c>
      <c r="BK730" s="412"/>
      <c r="BL730" s="413"/>
      <c r="BM730" s="414"/>
      <c r="BN730" s="321" t="s">
        <v>210</v>
      </c>
      <c r="BO730" s="372"/>
      <c r="BP730" s="373" t="s">
        <v>14</v>
      </c>
      <c r="BQ730" s="360"/>
      <c r="BR730" s="361"/>
      <c r="BS730" s="361"/>
      <c r="BT730" s="361"/>
      <c r="BU730" s="342" t="s">
        <v>210</v>
      </c>
      <c r="BV730" s="342" t="s">
        <v>210</v>
      </c>
      <c r="BW730" s="341" t="s">
        <v>210</v>
      </c>
      <c r="BX730" s="361"/>
      <c r="BY730" s="457"/>
      <c r="BZ730" s="363"/>
      <c r="CA730" s="363"/>
      <c r="CB730" s="363"/>
      <c r="CC730" s="363"/>
    </row>
    <row r="731" spans="1:82" ht="22.5" customHeight="1">
      <c r="B731" s="442">
        <v>160366</v>
      </c>
      <c r="C731" s="747" t="s">
        <v>4080</v>
      </c>
      <c r="D731" s="439"/>
      <c r="E731" s="404"/>
      <c r="F731" s="405" t="s">
        <v>228</v>
      </c>
      <c r="G731" s="324" t="s">
        <v>4081</v>
      </c>
      <c r="H731" s="324" t="s">
        <v>4082</v>
      </c>
      <c r="I731" s="326" t="s">
        <v>383</v>
      </c>
      <c r="J731" s="326" t="s">
        <v>387</v>
      </c>
      <c r="K731" s="326" t="s">
        <v>917</v>
      </c>
      <c r="L731" s="432" t="s">
        <v>4543</v>
      </c>
      <c r="M731" s="408"/>
      <c r="N731" s="325" t="s">
        <v>438</v>
      </c>
      <c r="O731" s="324">
        <v>100</v>
      </c>
      <c r="P731" s="327" t="s">
        <v>210</v>
      </c>
      <c r="Q731" s="369" t="s">
        <v>210</v>
      </c>
      <c r="R731" s="329" t="s">
        <v>552</v>
      </c>
      <c r="S731" s="330"/>
      <c r="T731" s="330"/>
      <c r="U731" s="330"/>
      <c r="V731" s="330"/>
      <c r="W731" s="332" t="s">
        <v>514</v>
      </c>
      <c r="X731" s="332" t="s">
        <v>12870</v>
      </c>
      <c r="Y731" s="331" t="s">
        <v>12872</v>
      </c>
      <c r="Z731" s="331" t="s">
        <v>12871</v>
      </c>
      <c r="AA731" s="332" t="s">
        <v>11371</v>
      </c>
      <c r="AB731" s="416"/>
      <c r="AC731" s="416"/>
      <c r="AD731" s="447" t="s">
        <v>4292</v>
      </c>
      <c r="AE731" s="815"/>
      <c r="AF731" s="475">
        <v>42629</v>
      </c>
      <c r="AG731" s="748">
        <v>42689</v>
      </c>
      <c r="AH731" s="417" t="s">
        <v>210</v>
      </c>
      <c r="AI731" s="392" t="s">
        <v>210</v>
      </c>
      <c r="AJ731" s="392" t="s">
        <v>210</v>
      </c>
      <c r="AK731" s="340" t="s">
        <v>210</v>
      </c>
      <c r="AL731" s="417" t="s">
        <v>210</v>
      </c>
      <c r="AM731" s="392" t="s">
        <v>210</v>
      </c>
      <c r="AN731" s="392" t="s">
        <v>210</v>
      </c>
      <c r="AO731" s="341" t="s">
        <v>210</v>
      </c>
      <c r="AP731" s="342"/>
      <c r="AQ731" s="433" t="s">
        <v>4547</v>
      </c>
      <c r="AR731" s="452">
        <v>4479</v>
      </c>
      <c r="AS731" s="324">
        <v>150</v>
      </c>
      <c r="AT731" s="432">
        <v>1</v>
      </c>
      <c r="AU731" s="432"/>
      <c r="AV731" s="432">
        <v>0.8</v>
      </c>
      <c r="AW731" s="490"/>
      <c r="AX731" s="453" t="s">
        <v>210</v>
      </c>
      <c r="AY731" s="455" t="s">
        <v>210</v>
      </c>
      <c r="AZ731" s="405" t="s">
        <v>4083</v>
      </c>
      <c r="BA731" s="324" t="s">
        <v>210</v>
      </c>
      <c r="BB731" s="324" t="s">
        <v>210</v>
      </c>
      <c r="BC731" s="324" t="s">
        <v>210</v>
      </c>
      <c r="BD731" s="324" t="s">
        <v>210</v>
      </c>
      <c r="BE731" s="324" t="s">
        <v>4084</v>
      </c>
      <c r="BF731" s="324" t="s">
        <v>4085</v>
      </c>
      <c r="BG731" s="324" t="s">
        <v>4084</v>
      </c>
      <c r="BH731" s="426" t="s">
        <v>4086</v>
      </c>
      <c r="BI731" s="410"/>
      <c r="BJ731" s="427" t="s">
        <v>210</v>
      </c>
      <c r="BK731" s="412"/>
      <c r="BL731" s="413"/>
      <c r="BM731" s="414"/>
      <c r="BN731" s="321" t="s">
        <v>210</v>
      </c>
      <c r="BO731" s="372"/>
      <c r="BP731" s="373" t="s">
        <v>210</v>
      </c>
      <c r="BQ731" s="360"/>
      <c r="BR731" s="361"/>
      <c r="BS731" s="361"/>
      <c r="BT731" s="361"/>
      <c r="BU731" s="342" t="s">
        <v>210</v>
      </c>
      <c r="BV731" s="342" t="s">
        <v>210</v>
      </c>
      <c r="BW731" s="341" t="s">
        <v>210</v>
      </c>
      <c r="BX731" s="361"/>
      <c r="BY731" s="457"/>
      <c r="BZ731" s="363"/>
      <c r="CA731" s="363"/>
      <c r="CB731" s="363"/>
      <c r="CC731" s="363"/>
    </row>
    <row r="732" spans="1:82" ht="22.5" customHeight="1">
      <c r="B732" s="442">
        <v>160367</v>
      </c>
      <c r="C732" s="747" t="s">
        <v>4114</v>
      </c>
      <c r="D732" s="439"/>
      <c r="E732" s="404"/>
      <c r="F732" s="405" t="s">
        <v>4115</v>
      </c>
      <c r="G732" s="324" t="s">
        <v>2101</v>
      </c>
      <c r="H732" s="324" t="s">
        <v>4116</v>
      </c>
      <c r="I732" s="326" t="s">
        <v>383</v>
      </c>
      <c r="J732" s="326" t="s">
        <v>387</v>
      </c>
      <c r="K732" s="326" t="s">
        <v>917</v>
      </c>
      <c r="L732" s="432" t="s">
        <v>4543</v>
      </c>
      <c r="M732" s="408"/>
      <c r="N732" s="325" t="s">
        <v>437</v>
      </c>
      <c r="O732" s="324">
        <v>10</v>
      </c>
      <c r="P732" s="458">
        <v>460.3</v>
      </c>
      <c r="Q732" s="459">
        <v>327.10000000000002</v>
      </c>
      <c r="R732" s="399"/>
      <c r="S732" s="400"/>
      <c r="T732" s="400"/>
      <c r="U732" s="400"/>
      <c r="V732" s="400"/>
      <c r="W732" s="460" t="s">
        <v>4121</v>
      </c>
      <c r="X732" s="695"/>
      <c r="Y732" s="695"/>
      <c r="Z732" s="695"/>
      <c r="AA732" s="697" t="s">
        <v>12922</v>
      </c>
      <c r="AB732" s="416"/>
      <c r="AC732" s="416"/>
      <c r="AD732" s="447" t="s">
        <v>4559</v>
      </c>
      <c r="AE732" s="335" t="s">
        <v>210</v>
      </c>
      <c r="AF732" s="475">
        <v>42641</v>
      </c>
      <c r="AG732" s="748">
        <v>42741</v>
      </c>
      <c r="AH732" s="417" t="s">
        <v>210</v>
      </c>
      <c r="AI732" s="392" t="s">
        <v>210</v>
      </c>
      <c r="AJ732" s="392" t="s">
        <v>210</v>
      </c>
      <c r="AK732" s="340" t="s">
        <v>210</v>
      </c>
      <c r="AL732" s="417" t="s">
        <v>210</v>
      </c>
      <c r="AM732" s="392" t="s">
        <v>210</v>
      </c>
      <c r="AN732" s="392" t="s">
        <v>210</v>
      </c>
      <c r="AO732" s="341" t="s">
        <v>210</v>
      </c>
      <c r="AP732" s="342"/>
      <c r="AQ732" s="433" t="s">
        <v>4547</v>
      </c>
      <c r="AR732" s="452">
        <v>557</v>
      </c>
      <c r="AS732" s="324">
        <v>100</v>
      </c>
      <c r="AT732" s="432">
        <v>1</v>
      </c>
      <c r="AU732" s="432"/>
      <c r="AV732" s="432">
        <v>1.5</v>
      </c>
      <c r="AW732" s="490"/>
      <c r="AX732" s="453" t="s">
        <v>210</v>
      </c>
      <c r="AY732" s="455" t="s">
        <v>210</v>
      </c>
      <c r="AZ732" s="405" t="s">
        <v>622</v>
      </c>
      <c r="BA732" s="324" t="s">
        <v>4118</v>
      </c>
      <c r="BB732" s="324" t="s">
        <v>4117</v>
      </c>
      <c r="BC732" s="324" t="s">
        <v>4119</v>
      </c>
      <c r="BD732" s="324" t="s">
        <v>4117</v>
      </c>
      <c r="BE732" s="324" t="s">
        <v>4120</v>
      </c>
      <c r="BF732" s="324" t="s">
        <v>4117</v>
      </c>
      <c r="BG732" s="324" t="s">
        <v>4120</v>
      </c>
      <c r="BH732" s="426" t="s">
        <v>4117</v>
      </c>
      <c r="BI732" s="410"/>
      <c r="BJ732" s="427" t="s">
        <v>210</v>
      </c>
      <c r="BK732" s="412"/>
      <c r="BL732" s="413"/>
      <c r="BM732" s="414"/>
      <c r="BN732" s="321" t="s">
        <v>4405</v>
      </c>
      <c r="BO732" s="372"/>
      <c r="BP732" s="373" t="s">
        <v>210</v>
      </c>
      <c r="BQ732" s="360"/>
      <c r="BR732" s="361"/>
      <c r="BS732" s="361"/>
      <c r="BT732" s="361"/>
      <c r="BU732" s="342" t="s">
        <v>210</v>
      </c>
      <c r="BV732" s="342" t="s">
        <v>210</v>
      </c>
      <c r="BW732" s="341" t="s">
        <v>210</v>
      </c>
      <c r="BX732" s="361"/>
      <c r="BY732" s="457"/>
      <c r="BZ732" s="363"/>
      <c r="CA732" s="363"/>
      <c r="CB732" s="363"/>
      <c r="CC732" s="363"/>
    </row>
    <row r="733" spans="1:82" ht="22.5" customHeight="1">
      <c r="B733" s="442">
        <v>160368</v>
      </c>
      <c r="C733" s="747" t="s">
        <v>4108</v>
      </c>
      <c r="D733" s="439"/>
      <c r="E733" s="404"/>
      <c r="F733" s="405" t="s">
        <v>227</v>
      </c>
      <c r="G733" s="324" t="s">
        <v>2350</v>
      </c>
      <c r="H733" s="324" t="s">
        <v>4109</v>
      </c>
      <c r="I733" s="326" t="s">
        <v>383</v>
      </c>
      <c r="J733" s="326" t="s">
        <v>387</v>
      </c>
      <c r="K733" s="326" t="s">
        <v>917</v>
      </c>
      <c r="L733" s="432" t="s">
        <v>4543</v>
      </c>
      <c r="M733" s="324" t="s">
        <v>6509</v>
      </c>
      <c r="N733" s="325" t="s">
        <v>438</v>
      </c>
      <c r="O733" s="324">
        <v>35</v>
      </c>
      <c r="P733" s="327" t="s">
        <v>210</v>
      </c>
      <c r="Q733" s="369" t="s">
        <v>210</v>
      </c>
      <c r="R733" s="329" t="s">
        <v>528</v>
      </c>
      <c r="S733" s="331" t="s">
        <v>12919</v>
      </c>
      <c r="T733" s="331" t="s">
        <v>12920</v>
      </c>
      <c r="U733" s="394" t="s">
        <v>11893</v>
      </c>
      <c r="V733" s="331" t="s">
        <v>12921</v>
      </c>
      <c r="W733" s="332" t="s">
        <v>528</v>
      </c>
      <c r="X733" s="331" t="s">
        <v>12919</v>
      </c>
      <c r="Y733" s="331" t="s">
        <v>12920</v>
      </c>
      <c r="Z733" s="330"/>
      <c r="AA733" s="331" t="s">
        <v>12921</v>
      </c>
      <c r="AB733" s="416"/>
      <c r="AC733" s="416"/>
      <c r="AD733" s="447" t="s">
        <v>1410</v>
      </c>
      <c r="AE733" s="499" t="s">
        <v>4422</v>
      </c>
      <c r="AF733" s="475">
        <v>42640</v>
      </c>
      <c r="AG733" s="748">
        <v>42704</v>
      </c>
      <c r="AH733" s="417" t="s">
        <v>210</v>
      </c>
      <c r="AI733" s="392" t="s">
        <v>210</v>
      </c>
      <c r="AJ733" s="392" t="s">
        <v>210</v>
      </c>
      <c r="AK733" s="340" t="s">
        <v>210</v>
      </c>
      <c r="AL733" s="417" t="s">
        <v>210</v>
      </c>
      <c r="AM733" s="392" t="s">
        <v>210</v>
      </c>
      <c r="AN733" s="392" t="s">
        <v>210</v>
      </c>
      <c r="AO733" s="341" t="s">
        <v>210</v>
      </c>
      <c r="AP733" s="342"/>
      <c r="AQ733" s="433" t="s">
        <v>4547</v>
      </c>
      <c r="AR733" s="452">
        <v>10149</v>
      </c>
      <c r="AS733" s="324">
        <v>150</v>
      </c>
      <c r="AT733" s="432">
        <v>1</v>
      </c>
      <c r="AU733" s="432"/>
      <c r="AV733" s="432">
        <v>1.5</v>
      </c>
      <c r="AW733" s="490"/>
      <c r="AX733" s="453" t="s">
        <v>210</v>
      </c>
      <c r="AY733" s="455" t="s">
        <v>210</v>
      </c>
      <c r="AZ733" s="405" t="s">
        <v>4083</v>
      </c>
      <c r="BA733" s="324" t="s">
        <v>4110</v>
      </c>
      <c r="BB733" s="324" t="s">
        <v>3627</v>
      </c>
      <c r="BC733" s="324" t="s">
        <v>4111</v>
      </c>
      <c r="BD733" s="324" t="s">
        <v>3627</v>
      </c>
      <c r="BE733" s="324" t="s">
        <v>4112</v>
      </c>
      <c r="BF733" s="324" t="s">
        <v>3627</v>
      </c>
      <c r="BG733" s="324" t="s">
        <v>4113</v>
      </c>
      <c r="BH733" s="426" t="s">
        <v>3627</v>
      </c>
      <c r="BI733" s="410"/>
      <c r="BJ733" s="427" t="s">
        <v>210</v>
      </c>
      <c r="BK733" s="412"/>
      <c r="BL733" s="413"/>
      <c r="BM733" s="414"/>
      <c r="BN733" s="321" t="s">
        <v>210</v>
      </c>
      <c r="BO733" s="372"/>
      <c r="BP733" s="373" t="s">
        <v>210</v>
      </c>
      <c r="BQ733" s="360"/>
      <c r="BR733" s="361"/>
      <c r="BS733" s="361"/>
      <c r="BT733" s="361"/>
      <c r="BU733" s="342" t="s">
        <v>210</v>
      </c>
      <c r="BV733" s="342" t="s">
        <v>210</v>
      </c>
      <c r="BW733" s="341" t="s">
        <v>210</v>
      </c>
      <c r="BX733" s="361"/>
      <c r="BY733" s="457"/>
      <c r="BZ733" s="363"/>
      <c r="CA733" s="363"/>
      <c r="CB733" s="363"/>
      <c r="CC733" s="363"/>
    </row>
    <row r="734" spans="1:82" ht="22.5" customHeight="1">
      <c r="B734" s="442">
        <v>160370</v>
      </c>
      <c r="C734" s="747" t="s">
        <v>8848</v>
      </c>
      <c r="D734" s="439"/>
      <c r="E734" s="404"/>
      <c r="F734" s="405" t="s">
        <v>240</v>
      </c>
      <c r="G734" s="324" t="s">
        <v>4263</v>
      </c>
      <c r="H734" s="324" t="s">
        <v>4264</v>
      </c>
      <c r="I734" s="326" t="s">
        <v>383</v>
      </c>
      <c r="J734" s="326" t="s">
        <v>399</v>
      </c>
      <c r="K734" s="326" t="s">
        <v>917</v>
      </c>
      <c r="L734" s="432" t="s">
        <v>4543</v>
      </c>
      <c r="M734" s="324" t="s">
        <v>10767</v>
      </c>
      <c r="N734" s="325" t="s">
        <v>437</v>
      </c>
      <c r="O734" s="324">
        <v>35</v>
      </c>
      <c r="P734" s="816">
        <v>1180</v>
      </c>
      <c r="Q734" s="817">
        <v>1180</v>
      </c>
      <c r="R734" s="329" t="s">
        <v>469</v>
      </c>
      <c r="S734" s="394" t="s">
        <v>11204</v>
      </c>
      <c r="T734" s="394" t="s">
        <v>11205</v>
      </c>
      <c r="U734" s="394" t="s">
        <v>11207</v>
      </c>
      <c r="V734" s="394" t="s">
        <v>11206</v>
      </c>
      <c r="W734" s="332" t="s">
        <v>432</v>
      </c>
      <c r="X734" s="331" t="s">
        <v>11079</v>
      </c>
      <c r="Y734" s="331" t="s">
        <v>11080</v>
      </c>
      <c r="Z734" s="331" t="s">
        <v>11080</v>
      </c>
      <c r="AA734" s="331" t="s">
        <v>210</v>
      </c>
      <c r="AB734" s="416"/>
      <c r="AC734" s="416"/>
      <c r="AD734" s="334" t="s">
        <v>2325</v>
      </c>
      <c r="AE734" s="335" t="s">
        <v>210</v>
      </c>
      <c r="AF734" s="706">
        <v>42658</v>
      </c>
      <c r="AG734" s="705">
        <v>42787</v>
      </c>
      <c r="AH734" s="453">
        <v>8.6</v>
      </c>
      <c r="AI734" s="432">
        <v>14.2</v>
      </c>
      <c r="AJ734" s="432">
        <v>10.5</v>
      </c>
      <c r="AK734" s="455">
        <f>SUBTOTAL(9,AH734:AJ734)</f>
        <v>33.299999999999997</v>
      </c>
      <c r="AL734" s="417" t="s">
        <v>210</v>
      </c>
      <c r="AM734" s="392" t="s">
        <v>210</v>
      </c>
      <c r="AN734" s="392" t="s">
        <v>210</v>
      </c>
      <c r="AO734" s="341" t="s">
        <v>210</v>
      </c>
      <c r="AP734" s="342"/>
      <c r="AQ734" s="433" t="s">
        <v>4547</v>
      </c>
      <c r="AR734" s="452">
        <v>1361</v>
      </c>
      <c r="AS734" s="326">
        <v>80</v>
      </c>
      <c r="AT734" s="432">
        <v>0.8</v>
      </c>
      <c r="AU734" s="432"/>
      <c r="AV734" s="432">
        <v>1.2</v>
      </c>
      <c r="AW734" s="490"/>
      <c r="AX734" s="453" t="s">
        <v>210</v>
      </c>
      <c r="AY734" s="455" t="s">
        <v>210</v>
      </c>
      <c r="AZ734" s="405" t="s">
        <v>622</v>
      </c>
      <c r="BA734" s="324" t="s">
        <v>4265</v>
      </c>
      <c r="BB734" s="324" t="s">
        <v>4266</v>
      </c>
      <c r="BC734" s="324" t="s">
        <v>4265</v>
      </c>
      <c r="BD734" s="324" t="s">
        <v>4266</v>
      </c>
      <c r="BE734" s="324" t="s">
        <v>4267</v>
      </c>
      <c r="BF734" s="324" t="s">
        <v>4266</v>
      </c>
      <c r="BG734" s="324" t="s">
        <v>210</v>
      </c>
      <c r="BH734" s="426" t="s">
        <v>210</v>
      </c>
      <c r="BI734" s="410"/>
      <c r="BJ734" s="427" t="s">
        <v>210</v>
      </c>
      <c r="BK734" s="412"/>
      <c r="BL734" s="413"/>
      <c r="BM734" s="414"/>
      <c r="BN734" s="321" t="s">
        <v>14</v>
      </c>
      <c r="BO734" s="372"/>
      <c r="BP734" s="373" t="s">
        <v>210</v>
      </c>
      <c r="BQ734" s="360"/>
      <c r="BR734" s="361"/>
      <c r="BS734" s="361"/>
      <c r="BT734" s="361"/>
      <c r="BU734" s="342" t="s">
        <v>210</v>
      </c>
      <c r="BV734" s="342" t="s">
        <v>210</v>
      </c>
      <c r="BW734" s="341" t="s">
        <v>210</v>
      </c>
      <c r="BX734" s="361"/>
      <c r="BY734" s="457"/>
      <c r="BZ734" s="363"/>
      <c r="CA734" s="363"/>
      <c r="CB734" s="363"/>
      <c r="CC734" s="363"/>
    </row>
    <row r="735" spans="1:82" ht="22.5" customHeight="1">
      <c r="B735" s="442">
        <v>160371</v>
      </c>
      <c r="C735" s="747" t="s">
        <v>4157</v>
      </c>
      <c r="D735" s="439"/>
      <c r="E735" s="404"/>
      <c r="F735" s="405" t="s">
        <v>4158</v>
      </c>
      <c r="G735" s="324" t="s">
        <v>4159</v>
      </c>
      <c r="H735" s="324" t="s">
        <v>4160</v>
      </c>
      <c r="I735" s="326" t="s">
        <v>383</v>
      </c>
      <c r="J735" s="326" t="s">
        <v>399</v>
      </c>
      <c r="K735" s="324" t="s">
        <v>293</v>
      </c>
      <c r="L735" s="778"/>
      <c r="M735" s="408"/>
      <c r="N735" s="325" t="s">
        <v>438</v>
      </c>
      <c r="O735" s="324">
        <v>40</v>
      </c>
      <c r="P735" s="816">
        <v>767</v>
      </c>
      <c r="Q735" s="817">
        <v>763</v>
      </c>
      <c r="R735" s="420" t="s">
        <v>4162</v>
      </c>
      <c r="S735" s="330"/>
      <c r="T735" s="330"/>
      <c r="U735" s="330"/>
      <c r="V735" s="330"/>
      <c r="W735" s="460" t="s">
        <v>4163</v>
      </c>
      <c r="X735" s="331" t="s">
        <v>12916</v>
      </c>
      <c r="Y735" s="331" t="s">
        <v>12917</v>
      </c>
      <c r="Z735" s="331" t="s">
        <v>16474</v>
      </c>
      <c r="AA735" s="331" t="s">
        <v>12918</v>
      </c>
      <c r="AB735" s="416"/>
      <c r="AC735" s="416"/>
      <c r="AD735" s="447" t="s">
        <v>4459</v>
      </c>
      <c r="AE735" s="335" t="s">
        <v>210</v>
      </c>
      <c r="AF735" s="475">
        <v>42648</v>
      </c>
      <c r="AG735" s="748">
        <v>42695</v>
      </c>
      <c r="AH735" s="417" t="s">
        <v>210</v>
      </c>
      <c r="AI735" s="392" t="s">
        <v>210</v>
      </c>
      <c r="AJ735" s="392" t="s">
        <v>210</v>
      </c>
      <c r="AK735" s="340" t="s">
        <v>210</v>
      </c>
      <c r="AL735" s="417" t="s">
        <v>210</v>
      </c>
      <c r="AM735" s="392" t="s">
        <v>210</v>
      </c>
      <c r="AN735" s="392" t="s">
        <v>210</v>
      </c>
      <c r="AO735" s="341" t="s">
        <v>210</v>
      </c>
      <c r="AP735" s="342"/>
      <c r="AQ735" s="433" t="s">
        <v>4547</v>
      </c>
      <c r="AR735" s="452">
        <v>1206</v>
      </c>
      <c r="AS735" s="326">
        <v>80</v>
      </c>
      <c r="AT735" s="432">
        <v>1.2</v>
      </c>
      <c r="AU735" s="432"/>
      <c r="AV735" s="432">
        <v>1.2</v>
      </c>
      <c r="AW735" s="490"/>
      <c r="AX735" s="417" t="s">
        <v>622</v>
      </c>
      <c r="AY735" s="340" t="s">
        <v>622</v>
      </c>
      <c r="AZ735" s="405" t="s">
        <v>4083</v>
      </c>
      <c r="BA735" s="324" t="s">
        <v>210</v>
      </c>
      <c r="BB735" s="324" t="s">
        <v>210</v>
      </c>
      <c r="BC735" s="324" t="s">
        <v>210</v>
      </c>
      <c r="BD735" s="324" t="s">
        <v>210</v>
      </c>
      <c r="BE735" s="324" t="s">
        <v>3555</v>
      </c>
      <c r="BF735" s="324" t="s">
        <v>3512</v>
      </c>
      <c r="BG735" s="324" t="s">
        <v>4161</v>
      </c>
      <c r="BH735" s="426" t="s">
        <v>3443</v>
      </c>
      <c r="BI735" s="410"/>
      <c r="BJ735" s="427" t="s">
        <v>210</v>
      </c>
      <c r="BK735" s="412"/>
      <c r="BL735" s="413"/>
      <c r="BM735" s="414"/>
      <c r="BN735" s="321" t="s">
        <v>14</v>
      </c>
      <c r="BO735" s="372"/>
      <c r="BP735" s="373" t="s">
        <v>14</v>
      </c>
      <c r="BQ735" s="360"/>
      <c r="BR735" s="361"/>
      <c r="BS735" s="361"/>
      <c r="BT735" s="361"/>
      <c r="BU735" s="342" t="s">
        <v>210</v>
      </c>
      <c r="BV735" s="342" t="s">
        <v>210</v>
      </c>
      <c r="BW735" s="341" t="s">
        <v>210</v>
      </c>
      <c r="BX735" s="361"/>
      <c r="BY735" s="457"/>
      <c r="BZ735" s="363"/>
      <c r="CA735" s="363"/>
      <c r="CB735" s="363"/>
      <c r="CC735" s="363"/>
    </row>
    <row r="736" spans="1:82" ht="22.5" customHeight="1">
      <c r="B736" s="442">
        <v>160372</v>
      </c>
      <c r="C736" s="747" t="s">
        <v>4148</v>
      </c>
      <c r="D736" s="439"/>
      <c r="E736" s="404"/>
      <c r="F736" s="405" t="s">
        <v>1043</v>
      </c>
      <c r="G736" s="324" t="s">
        <v>4149</v>
      </c>
      <c r="H736" s="324" t="s">
        <v>4150</v>
      </c>
      <c r="I736" s="326" t="s">
        <v>383</v>
      </c>
      <c r="J736" s="326" t="s">
        <v>399</v>
      </c>
      <c r="K736" s="326" t="s">
        <v>917</v>
      </c>
      <c r="L736" s="432" t="s">
        <v>4543</v>
      </c>
      <c r="M736" s="408"/>
      <c r="N736" s="325" t="s">
        <v>437</v>
      </c>
      <c r="O736" s="324">
        <v>140</v>
      </c>
      <c r="P736" s="816">
        <v>1109</v>
      </c>
      <c r="Q736" s="817">
        <v>1109</v>
      </c>
      <c r="R736" s="420" t="s">
        <v>8665</v>
      </c>
      <c r="S736" s="331" t="s">
        <v>12866</v>
      </c>
      <c r="T736" s="394" t="s">
        <v>11603</v>
      </c>
      <c r="U736" s="394" t="s">
        <v>16297</v>
      </c>
      <c r="V736" s="331" t="s">
        <v>12867</v>
      </c>
      <c r="W736" s="460" t="s">
        <v>4223</v>
      </c>
      <c r="X736" s="330"/>
      <c r="Y736" s="330"/>
      <c r="Z736" s="330"/>
      <c r="AA736" s="330"/>
      <c r="AB736" s="416"/>
      <c r="AC736" s="416"/>
      <c r="AD736" s="447" t="s">
        <v>4617</v>
      </c>
      <c r="AE736" s="335" t="s">
        <v>210</v>
      </c>
      <c r="AF736" s="475">
        <v>42647</v>
      </c>
      <c r="AG736" s="748">
        <v>42751</v>
      </c>
      <c r="AH736" s="417" t="s">
        <v>210</v>
      </c>
      <c r="AI736" s="392" t="s">
        <v>210</v>
      </c>
      <c r="AJ736" s="392" t="s">
        <v>210</v>
      </c>
      <c r="AK736" s="340" t="s">
        <v>210</v>
      </c>
      <c r="AL736" s="417" t="s">
        <v>210</v>
      </c>
      <c r="AM736" s="392" t="s">
        <v>210</v>
      </c>
      <c r="AN736" s="392" t="s">
        <v>210</v>
      </c>
      <c r="AO736" s="341" t="s">
        <v>4237</v>
      </c>
      <c r="AP736" s="342"/>
      <c r="AQ736" s="433" t="s">
        <v>4547</v>
      </c>
      <c r="AR736" s="452">
        <v>1583</v>
      </c>
      <c r="AS736" s="324">
        <v>100</v>
      </c>
      <c r="AT736" s="432">
        <v>1</v>
      </c>
      <c r="AU736" s="432"/>
      <c r="AV736" s="432">
        <v>2</v>
      </c>
      <c r="AW736" s="490"/>
      <c r="AX736" s="453" t="s">
        <v>210</v>
      </c>
      <c r="AY736" s="455" t="s">
        <v>210</v>
      </c>
      <c r="AZ736" s="405" t="s">
        <v>622</v>
      </c>
      <c r="BA736" s="324" t="s">
        <v>4748</v>
      </c>
      <c r="BB736" s="324" t="s">
        <v>3412</v>
      </c>
      <c r="BC736" s="324" t="s">
        <v>4749</v>
      </c>
      <c r="BD736" s="324" t="s">
        <v>4750</v>
      </c>
      <c r="BE736" s="324" t="s">
        <v>4748</v>
      </c>
      <c r="BF736" s="324" t="s">
        <v>4750</v>
      </c>
      <c r="BG736" s="324" t="s">
        <v>4744</v>
      </c>
      <c r="BH736" s="426" t="s">
        <v>3512</v>
      </c>
      <c r="BI736" s="410"/>
      <c r="BJ736" s="427" t="s">
        <v>9793</v>
      </c>
      <c r="BK736" s="412"/>
      <c r="BL736" s="413"/>
      <c r="BM736" s="414"/>
      <c r="BN736" s="321" t="s">
        <v>210</v>
      </c>
      <c r="BO736" s="372"/>
      <c r="BP736" s="373" t="s">
        <v>14</v>
      </c>
      <c r="BQ736" s="360"/>
      <c r="BR736" s="361"/>
      <c r="BS736" s="361"/>
      <c r="BT736" s="361"/>
      <c r="BU736" s="342" t="s">
        <v>210</v>
      </c>
      <c r="BV736" s="342" t="s">
        <v>210</v>
      </c>
      <c r="BW736" s="341" t="s">
        <v>210</v>
      </c>
      <c r="BX736" s="361"/>
      <c r="BY736" s="457"/>
      <c r="BZ736" s="363"/>
      <c r="CA736" s="363"/>
      <c r="CB736" s="363"/>
      <c r="CC736" s="363"/>
    </row>
    <row r="737" spans="1:82" ht="22.5" customHeight="1">
      <c r="B737" s="442">
        <v>160373</v>
      </c>
      <c r="C737" s="747" t="s">
        <v>4143</v>
      </c>
      <c r="D737" s="439"/>
      <c r="E737" s="404"/>
      <c r="F737" s="405" t="s">
        <v>1058</v>
      </c>
      <c r="G737" s="324" t="s">
        <v>1839</v>
      </c>
      <c r="H737" s="324" t="s">
        <v>3849</v>
      </c>
      <c r="I737" s="326" t="s">
        <v>383</v>
      </c>
      <c r="J737" s="326" t="s">
        <v>399</v>
      </c>
      <c r="K737" s="326" t="s">
        <v>917</v>
      </c>
      <c r="L737" s="432" t="s">
        <v>4543</v>
      </c>
      <c r="M737" s="408"/>
      <c r="N737" s="325" t="s">
        <v>438</v>
      </c>
      <c r="O737" s="324">
        <v>80</v>
      </c>
      <c r="P737" s="816">
        <v>3000</v>
      </c>
      <c r="Q737" s="817">
        <v>3000</v>
      </c>
      <c r="R737" s="420" t="s">
        <v>479</v>
      </c>
      <c r="S737" s="331" t="s">
        <v>12911</v>
      </c>
      <c r="T737" s="331" t="s">
        <v>13568</v>
      </c>
      <c r="U737" s="330"/>
      <c r="V737" s="331" t="s">
        <v>12910</v>
      </c>
      <c r="W737" s="460" t="s">
        <v>3016</v>
      </c>
      <c r="X737" s="331" t="s">
        <v>12915</v>
      </c>
      <c r="Y737" s="331" t="s">
        <v>12914</v>
      </c>
      <c r="Z737" s="331" t="s">
        <v>12913</v>
      </c>
      <c r="AA737" s="331" t="s">
        <v>12912</v>
      </c>
      <c r="AB737" s="416" t="s">
        <v>3827</v>
      </c>
      <c r="AC737" s="416"/>
      <c r="AD737" s="447" t="s">
        <v>5521</v>
      </c>
      <c r="AE737" s="499" t="s">
        <v>1720</v>
      </c>
      <c r="AF737" s="475">
        <v>42644</v>
      </c>
      <c r="AG737" s="748">
        <v>42702</v>
      </c>
      <c r="AH737" s="417" t="s">
        <v>210</v>
      </c>
      <c r="AI737" s="392" t="s">
        <v>210</v>
      </c>
      <c r="AJ737" s="392" t="s">
        <v>210</v>
      </c>
      <c r="AK737" s="340" t="s">
        <v>210</v>
      </c>
      <c r="AL737" s="417" t="s">
        <v>210</v>
      </c>
      <c r="AM737" s="392" t="s">
        <v>210</v>
      </c>
      <c r="AN737" s="392" t="s">
        <v>210</v>
      </c>
      <c r="AO737" s="341" t="s">
        <v>210</v>
      </c>
      <c r="AP737" s="342"/>
      <c r="AQ737" s="433" t="s">
        <v>4547</v>
      </c>
      <c r="AR737" s="452">
        <v>4035</v>
      </c>
      <c r="AS737" s="324">
        <v>100</v>
      </c>
      <c r="AT737" s="432">
        <v>1.4</v>
      </c>
      <c r="AU737" s="432"/>
      <c r="AV737" s="432">
        <v>1.1000000000000001</v>
      </c>
      <c r="AW737" s="490"/>
      <c r="AX737" s="453" t="s">
        <v>210</v>
      </c>
      <c r="AY737" s="340" t="s">
        <v>622</v>
      </c>
      <c r="AZ737" s="405" t="s">
        <v>622</v>
      </c>
      <c r="BA737" s="324" t="s">
        <v>4144</v>
      </c>
      <c r="BB737" s="324" t="s">
        <v>4065</v>
      </c>
      <c r="BC737" s="324" t="s">
        <v>4145</v>
      </c>
      <c r="BD737" s="324" t="s">
        <v>3922</v>
      </c>
      <c r="BE737" s="324" t="s">
        <v>4145</v>
      </c>
      <c r="BF737" s="324" t="s">
        <v>3922</v>
      </c>
      <c r="BG737" s="324" t="s">
        <v>4146</v>
      </c>
      <c r="BH737" s="426" t="s">
        <v>4147</v>
      </c>
      <c r="BI737" s="410"/>
      <c r="BJ737" s="427" t="s">
        <v>210</v>
      </c>
      <c r="BK737" s="412"/>
      <c r="BL737" s="413"/>
      <c r="BM737" s="414"/>
      <c r="BN737" s="321" t="s">
        <v>14</v>
      </c>
      <c r="BO737" s="372"/>
      <c r="BP737" s="373" t="s">
        <v>14</v>
      </c>
      <c r="BQ737" s="360"/>
      <c r="BR737" s="361"/>
      <c r="BS737" s="361"/>
      <c r="BT737" s="361"/>
      <c r="BU737" s="342" t="s">
        <v>210</v>
      </c>
      <c r="BV737" s="342" t="s">
        <v>210</v>
      </c>
      <c r="BW737" s="341" t="s">
        <v>210</v>
      </c>
      <c r="BX737" s="361"/>
      <c r="BY737" s="457"/>
      <c r="BZ737" s="363"/>
      <c r="CA737" s="363"/>
      <c r="CB737" s="363"/>
      <c r="CC737" s="363"/>
    </row>
    <row r="738" spans="1:82" ht="22.5" customHeight="1">
      <c r="B738" s="442">
        <v>160374</v>
      </c>
      <c r="C738" s="747" t="s">
        <v>4682</v>
      </c>
      <c r="D738" s="439"/>
      <c r="E738" s="404"/>
      <c r="F738" s="405" t="s">
        <v>1058</v>
      </c>
      <c r="G738" s="324" t="s">
        <v>4683</v>
      </c>
      <c r="H738" s="324" t="s">
        <v>3849</v>
      </c>
      <c r="I738" s="326" t="s">
        <v>383</v>
      </c>
      <c r="J738" s="326" t="s">
        <v>399</v>
      </c>
      <c r="K738" s="326" t="s">
        <v>917</v>
      </c>
      <c r="L738" s="432" t="s">
        <v>210</v>
      </c>
      <c r="M738" s="408"/>
      <c r="N738" s="325" t="s">
        <v>437</v>
      </c>
      <c r="O738" s="324">
        <v>80</v>
      </c>
      <c r="P738" s="816">
        <v>1857</v>
      </c>
      <c r="Q738" s="817">
        <v>1857</v>
      </c>
      <c r="R738" s="329" t="s">
        <v>479</v>
      </c>
      <c r="S738" s="330"/>
      <c r="T738" s="330"/>
      <c r="U738" s="330"/>
      <c r="V738" s="330"/>
      <c r="W738" s="332" t="s">
        <v>479</v>
      </c>
      <c r="X738" s="330"/>
      <c r="Y738" s="330"/>
      <c r="Z738" s="330"/>
      <c r="AA738" s="330"/>
      <c r="AB738" s="416"/>
      <c r="AC738" s="416"/>
      <c r="AD738" s="375"/>
      <c r="AE738" s="335" t="s">
        <v>210</v>
      </c>
      <c r="AF738" s="475">
        <v>42754</v>
      </c>
      <c r="AG738" s="748">
        <v>42826</v>
      </c>
      <c r="AH738" s="417" t="s">
        <v>210</v>
      </c>
      <c r="AI738" s="392" t="s">
        <v>210</v>
      </c>
      <c r="AJ738" s="392" t="s">
        <v>210</v>
      </c>
      <c r="AK738" s="340" t="s">
        <v>210</v>
      </c>
      <c r="AL738" s="417" t="s">
        <v>210</v>
      </c>
      <c r="AM738" s="392" t="s">
        <v>210</v>
      </c>
      <c r="AN738" s="392" t="s">
        <v>210</v>
      </c>
      <c r="AO738" s="341" t="s">
        <v>210</v>
      </c>
      <c r="AP738" s="342"/>
      <c r="AQ738" s="433" t="s">
        <v>4548</v>
      </c>
      <c r="AR738" s="452">
        <v>2307</v>
      </c>
      <c r="AS738" s="324">
        <v>50</v>
      </c>
      <c r="AT738" s="432">
        <v>1</v>
      </c>
      <c r="AU738" s="432"/>
      <c r="AV738" s="432">
        <v>1.5</v>
      </c>
      <c r="AW738" s="490"/>
      <c r="AX738" s="453" t="s">
        <v>210</v>
      </c>
      <c r="AY738" s="455" t="s">
        <v>210</v>
      </c>
      <c r="AZ738" s="405" t="s">
        <v>622</v>
      </c>
      <c r="BA738" s="324" t="s">
        <v>3738</v>
      </c>
      <c r="BB738" s="324" t="s">
        <v>3372</v>
      </c>
      <c r="BC738" s="324" t="s">
        <v>4693</v>
      </c>
      <c r="BD738" s="324" t="s">
        <v>3922</v>
      </c>
      <c r="BE738" s="324" t="s">
        <v>3459</v>
      </c>
      <c r="BF738" s="324" t="s">
        <v>3922</v>
      </c>
      <c r="BG738" s="324" t="s">
        <v>3475</v>
      </c>
      <c r="BH738" s="426" t="s">
        <v>4147</v>
      </c>
      <c r="BI738" s="410"/>
      <c r="BJ738" s="427" t="s">
        <v>210</v>
      </c>
      <c r="BK738" s="412"/>
      <c r="BL738" s="413"/>
      <c r="BM738" s="414"/>
      <c r="BN738" s="321" t="s">
        <v>14</v>
      </c>
      <c r="BO738" s="372"/>
      <c r="BP738" s="373" t="s">
        <v>14</v>
      </c>
      <c r="BQ738" s="360"/>
      <c r="BR738" s="361"/>
      <c r="BS738" s="361"/>
      <c r="BT738" s="361"/>
      <c r="BU738" s="342" t="s">
        <v>210</v>
      </c>
      <c r="BV738" s="342" t="s">
        <v>210</v>
      </c>
      <c r="BW738" s="341" t="s">
        <v>210</v>
      </c>
      <c r="BX738" s="361"/>
      <c r="BY738" s="457"/>
      <c r="BZ738" s="363"/>
      <c r="CA738" s="363"/>
      <c r="CB738" s="363"/>
      <c r="CC738" s="363"/>
    </row>
    <row r="739" spans="1:82" ht="22.5" customHeight="1">
      <c r="B739" s="442">
        <v>160375</v>
      </c>
      <c r="C739" s="747" t="s">
        <v>4220</v>
      </c>
      <c r="D739" s="439"/>
      <c r="E739" s="404"/>
      <c r="F739" s="405" t="s">
        <v>264</v>
      </c>
      <c r="G739" s="324" t="s">
        <v>1874</v>
      </c>
      <c r="H739" s="324" t="s">
        <v>4221</v>
      </c>
      <c r="I739" s="326" t="s">
        <v>383</v>
      </c>
      <c r="J739" s="326" t="s">
        <v>4222</v>
      </c>
      <c r="K739" s="324" t="s">
        <v>3352</v>
      </c>
      <c r="L739" s="432" t="s">
        <v>4543</v>
      </c>
      <c r="M739" s="408"/>
      <c r="N739" s="325" t="s">
        <v>438</v>
      </c>
      <c r="O739" s="324">
        <v>25</v>
      </c>
      <c r="P739" s="458">
        <v>537</v>
      </c>
      <c r="Q739" s="459">
        <v>190</v>
      </c>
      <c r="R739" s="375"/>
      <c r="S739" s="656"/>
      <c r="T739" s="656"/>
      <c r="U739" s="656"/>
      <c r="V739" s="656"/>
      <c r="W739" s="460" t="s">
        <v>4243</v>
      </c>
      <c r="X739" s="394" t="s">
        <v>12906</v>
      </c>
      <c r="Y739" s="394" t="s">
        <v>12908</v>
      </c>
      <c r="Z739" s="394" t="s">
        <v>12907</v>
      </c>
      <c r="AA739" s="394" t="s">
        <v>12909</v>
      </c>
      <c r="AB739" s="416"/>
      <c r="AC739" s="416"/>
      <c r="AD739" s="447" t="s">
        <v>1748</v>
      </c>
      <c r="AE739" s="499" t="s">
        <v>4293</v>
      </c>
      <c r="AF739" s="475">
        <v>42656</v>
      </c>
      <c r="AG739" s="748">
        <v>42689</v>
      </c>
      <c r="AH739" s="417" t="s">
        <v>210</v>
      </c>
      <c r="AI739" s="392" t="s">
        <v>210</v>
      </c>
      <c r="AJ739" s="392" t="s">
        <v>210</v>
      </c>
      <c r="AK739" s="340" t="s">
        <v>210</v>
      </c>
      <c r="AL739" s="417" t="s">
        <v>210</v>
      </c>
      <c r="AM739" s="392" t="s">
        <v>210</v>
      </c>
      <c r="AN739" s="392" t="s">
        <v>210</v>
      </c>
      <c r="AO739" s="341" t="s">
        <v>210</v>
      </c>
      <c r="AP739" s="342"/>
      <c r="AQ739" s="433" t="s">
        <v>4548</v>
      </c>
      <c r="AR739" s="452">
        <v>212</v>
      </c>
      <c r="AS739" s="324">
        <v>70</v>
      </c>
      <c r="AT739" s="432">
        <v>1.6</v>
      </c>
      <c r="AU739" s="432"/>
      <c r="AV739" s="432">
        <v>1</v>
      </c>
      <c r="AW739" s="490"/>
      <c r="AX739" s="453" t="s">
        <v>210</v>
      </c>
      <c r="AY739" s="455" t="s">
        <v>210</v>
      </c>
      <c r="AZ739" s="405" t="s">
        <v>4083</v>
      </c>
      <c r="BA739" s="324" t="s">
        <v>210</v>
      </c>
      <c r="BB739" s="324" t="s">
        <v>210</v>
      </c>
      <c r="BC739" s="324" t="s">
        <v>4239</v>
      </c>
      <c r="BD739" s="324" t="s">
        <v>4240</v>
      </c>
      <c r="BE739" s="324" t="s">
        <v>4241</v>
      </c>
      <c r="BF739" s="324" t="s">
        <v>3422</v>
      </c>
      <c r="BG739" s="324" t="s">
        <v>4242</v>
      </c>
      <c r="BH739" s="426" t="s">
        <v>3574</v>
      </c>
      <c r="BI739" s="410"/>
      <c r="BJ739" s="427" t="s">
        <v>210</v>
      </c>
      <c r="BK739" s="412"/>
      <c r="BL739" s="413"/>
      <c r="BM739" s="414"/>
      <c r="BN739" s="321" t="s">
        <v>14</v>
      </c>
      <c r="BO739" s="372"/>
      <c r="BP739" s="373" t="s">
        <v>14</v>
      </c>
      <c r="BQ739" s="360"/>
      <c r="BR739" s="361"/>
      <c r="BS739" s="361"/>
      <c r="BT739" s="361"/>
      <c r="BU739" s="342" t="s">
        <v>210</v>
      </c>
      <c r="BV739" s="342" t="s">
        <v>210</v>
      </c>
      <c r="BW739" s="341" t="s">
        <v>210</v>
      </c>
      <c r="BX739" s="361"/>
      <c r="BY739" s="457"/>
      <c r="BZ739" s="363"/>
      <c r="CA739" s="363"/>
      <c r="CB739" s="363"/>
      <c r="CC739" s="363"/>
    </row>
    <row r="740" spans="1:82" s="465" customFormat="1" ht="22.5" customHeight="1">
      <c r="A740" s="287"/>
      <c r="B740" s="749">
        <v>160376</v>
      </c>
      <c r="C740" s="750" t="s">
        <v>4246</v>
      </c>
      <c r="D740" s="751"/>
      <c r="E740" s="752"/>
      <c r="F740" s="753" t="s">
        <v>229</v>
      </c>
      <c r="G740" s="754" t="s">
        <v>4247</v>
      </c>
      <c r="H740" s="754" t="s">
        <v>4248</v>
      </c>
      <c r="I740" s="662" t="s">
        <v>383</v>
      </c>
      <c r="J740" s="662" t="s">
        <v>399</v>
      </c>
      <c r="K740" s="662" t="s">
        <v>917</v>
      </c>
      <c r="L740" s="785" t="s">
        <v>4543</v>
      </c>
      <c r="M740" s="662"/>
      <c r="N740" s="664" t="s">
        <v>438</v>
      </c>
      <c r="O740" s="754">
        <v>20</v>
      </c>
      <c r="P740" s="782">
        <v>9400</v>
      </c>
      <c r="Q740" s="783">
        <v>9400</v>
      </c>
      <c r="R740" s="667" t="s">
        <v>924</v>
      </c>
      <c r="S740" s="668" t="s">
        <v>12904</v>
      </c>
      <c r="T740" s="668" t="s">
        <v>12903</v>
      </c>
      <c r="U740" s="668" t="s">
        <v>16210</v>
      </c>
      <c r="V740" s="668" t="s">
        <v>12902</v>
      </c>
      <c r="W740" s="669" t="s">
        <v>1106</v>
      </c>
      <c r="X740" s="668" t="s">
        <v>12905</v>
      </c>
      <c r="Y740" s="708" t="s">
        <v>11486</v>
      </c>
      <c r="Z740" s="708" t="s">
        <v>11487</v>
      </c>
      <c r="AA740" s="708" t="s">
        <v>11488</v>
      </c>
      <c r="AB740" s="758"/>
      <c r="AC740" s="758"/>
      <c r="AD740" s="759"/>
      <c r="AE740" s="760"/>
      <c r="AF740" s="761">
        <v>42657</v>
      </c>
      <c r="AG740" s="674" t="s">
        <v>10514</v>
      </c>
      <c r="AH740" s="675" t="s">
        <v>210</v>
      </c>
      <c r="AI740" s="676" t="s">
        <v>210</v>
      </c>
      <c r="AJ740" s="676" t="s">
        <v>210</v>
      </c>
      <c r="AK740" s="677" t="s">
        <v>210</v>
      </c>
      <c r="AL740" s="675" t="s">
        <v>210</v>
      </c>
      <c r="AM740" s="676" t="s">
        <v>210</v>
      </c>
      <c r="AN740" s="676" t="s">
        <v>210</v>
      </c>
      <c r="AO740" s="678" t="s">
        <v>210</v>
      </c>
      <c r="AP740" s="663"/>
      <c r="AQ740" s="762" t="s">
        <v>4547</v>
      </c>
      <c r="AR740" s="763"/>
      <c r="AS740" s="754"/>
      <c r="AT740" s="785"/>
      <c r="AU740" s="785"/>
      <c r="AV740" s="785"/>
      <c r="AW740" s="764"/>
      <c r="AX740" s="765" t="s">
        <v>210</v>
      </c>
      <c r="AY740" s="772" t="s">
        <v>210</v>
      </c>
      <c r="AZ740" s="753" t="s">
        <v>622</v>
      </c>
      <c r="BA740" s="754" t="s">
        <v>4249</v>
      </c>
      <c r="BB740" s="754" t="s">
        <v>3556</v>
      </c>
      <c r="BC740" s="754" t="s">
        <v>4249</v>
      </c>
      <c r="BD740" s="754" t="s">
        <v>3556</v>
      </c>
      <c r="BE740" s="754" t="s">
        <v>4250</v>
      </c>
      <c r="BF740" s="754" t="s">
        <v>4251</v>
      </c>
      <c r="BG740" s="754" t="s">
        <v>210</v>
      </c>
      <c r="BH740" s="767" t="s">
        <v>210</v>
      </c>
      <c r="BI740" s="765"/>
      <c r="BJ740" s="768" t="s">
        <v>210</v>
      </c>
      <c r="BK740" s="769"/>
      <c r="BL740" s="766"/>
      <c r="BM740" s="770"/>
      <c r="BN740" s="765"/>
      <c r="BO740" s="771"/>
      <c r="BP740" s="772"/>
      <c r="BQ740" s="773"/>
      <c r="BR740" s="688"/>
      <c r="BS740" s="688"/>
      <c r="BT740" s="688"/>
      <c r="BU740" s="663" t="s">
        <v>5510</v>
      </c>
      <c r="BV740" s="663" t="s">
        <v>5510</v>
      </c>
      <c r="BW740" s="678" t="s">
        <v>210</v>
      </c>
      <c r="BX740" s="688"/>
      <c r="BY740" s="774"/>
      <c r="BZ740" s="483"/>
      <c r="CA740" s="483"/>
      <c r="CB740" s="483"/>
      <c r="CC740" s="483"/>
      <c r="CD740" s="484"/>
    </row>
    <row r="741" spans="1:82" ht="22.5" customHeight="1">
      <c r="B741" s="442">
        <v>160377</v>
      </c>
      <c r="C741" s="747" t="s">
        <v>4274</v>
      </c>
      <c r="D741" s="439"/>
      <c r="E741" s="404"/>
      <c r="F741" s="405" t="s">
        <v>4275</v>
      </c>
      <c r="G741" s="324" t="s">
        <v>4276</v>
      </c>
      <c r="H741" s="324" t="s">
        <v>4277</v>
      </c>
      <c r="I741" s="326" t="s">
        <v>383</v>
      </c>
      <c r="J741" s="326" t="s">
        <v>399</v>
      </c>
      <c r="K741" s="326" t="s">
        <v>917</v>
      </c>
      <c r="L741" s="432" t="s">
        <v>4543</v>
      </c>
      <c r="M741" s="324" t="s">
        <v>10767</v>
      </c>
      <c r="N741" s="325" t="s">
        <v>437</v>
      </c>
      <c r="O741" s="324">
        <v>50</v>
      </c>
      <c r="P741" s="458">
        <v>1302</v>
      </c>
      <c r="Q741" s="459">
        <v>1384</v>
      </c>
      <c r="R741" s="420" t="s">
        <v>4284</v>
      </c>
      <c r="S741" s="331" t="s">
        <v>12900</v>
      </c>
      <c r="T741" s="330"/>
      <c r="U741" s="330"/>
      <c r="V741" s="331" t="s">
        <v>12901</v>
      </c>
      <c r="W741" s="460" t="s">
        <v>4296</v>
      </c>
      <c r="X741" s="331" t="s">
        <v>12898</v>
      </c>
      <c r="Y741" s="330"/>
      <c r="Z741" s="330"/>
      <c r="AA741" s="331" t="s">
        <v>12899</v>
      </c>
      <c r="AB741" s="333" t="s">
        <v>3028</v>
      </c>
      <c r="AC741" s="416"/>
      <c r="AD741" s="447" t="s">
        <v>4460</v>
      </c>
      <c r="AE741" s="335" t="s">
        <v>210</v>
      </c>
      <c r="AF741" s="475">
        <v>42661</v>
      </c>
      <c r="AG741" s="748">
        <v>42709</v>
      </c>
      <c r="AH741" s="417" t="s">
        <v>210</v>
      </c>
      <c r="AI741" s="392" t="s">
        <v>210</v>
      </c>
      <c r="AJ741" s="392" t="s">
        <v>210</v>
      </c>
      <c r="AK741" s="340" t="s">
        <v>210</v>
      </c>
      <c r="AL741" s="417" t="s">
        <v>210</v>
      </c>
      <c r="AM741" s="392" t="s">
        <v>210</v>
      </c>
      <c r="AN741" s="392" t="s">
        <v>210</v>
      </c>
      <c r="AO741" s="341" t="s">
        <v>210</v>
      </c>
      <c r="AP741" s="342"/>
      <c r="AQ741" s="433" t="s">
        <v>4547</v>
      </c>
      <c r="AR741" s="452">
        <v>1942</v>
      </c>
      <c r="AS741" s="324">
        <v>80</v>
      </c>
      <c r="AT741" s="432">
        <v>0.8</v>
      </c>
      <c r="AU741" s="432"/>
      <c r="AV741" s="432">
        <v>1.5</v>
      </c>
      <c r="AW741" s="490"/>
      <c r="AX741" s="453" t="s">
        <v>210</v>
      </c>
      <c r="AY741" s="455" t="s">
        <v>210</v>
      </c>
      <c r="AZ741" s="405" t="s">
        <v>622</v>
      </c>
      <c r="BA741" s="324" t="s">
        <v>4278</v>
      </c>
      <c r="BB741" s="324" t="s">
        <v>3556</v>
      </c>
      <c r="BC741" s="324" t="s">
        <v>4279</v>
      </c>
      <c r="BD741" s="324" t="s">
        <v>3495</v>
      </c>
      <c r="BE741" s="324" t="s">
        <v>4280</v>
      </c>
      <c r="BF741" s="324" t="s">
        <v>4281</v>
      </c>
      <c r="BG741" s="324" t="s">
        <v>4282</v>
      </c>
      <c r="BH741" s="426" t="s">
        <v>3574</v>
      </c>
      <c r="BI741" s="410"/>
      <c r="BJ741" s="427" t="s">
        <v>210</v>
      </c>
      <c r="BK741" s="412"/>
      <c r="BL741" s="413"/>
      <c r="BM741" s="414"/>
      <c r="BN741" s="321" t="s">
        <v>14</v>
      </c>
      <c r="BO741" s="372"/>
      <c r="BP741" s="373" t="s">
        <v>14</v>
      </c>
      <c r="BQ741" s="360"/>
      <c r="BR741" s="361"/>
      <c r="BS741" s="361"/>
      <c r="BT741" s="361"/>
      <c r="BU741" s="342" t="s">
        <v>210</v>
      </c>
      <c r="BV741" s="342" t="s">
        <v>210</v>
      </c>
      <c r="BW741" s="341" t="s">
        <v>210</v>
      </c>
      <c r="BX741" s="361"/>
      <c r="BY741" s="457"/>
      <c r="BZ741" s="363"/>
      <c r="CA741" s="363"/>
      <c r="CB741" s="363"/>
      <c r="CC741" s="363"/>
    </row>
    <row r="742" spans="1:82" ht="22.5" customHeight="1">
      <c r="B742" s="442">
        <v>160379</v>
      </c>
      <c r="C742" s="747" t="s">
        <v>4341</v>
      </c>
      <c r="D742" s="439"/>
      <c r="E742" s="404"/>
      <c r="F742" s="405" t="s">
        <v>264</v>
      </c>
      <c r="G742" s="324" t="s">
        <v>4342</v>
      </c>
      <c r="H742" s="324" t="s">
        <v>4343</v>
      </c>
      <c r="I742" s="326" t="s">
        <v>383</v>
      </c>
      <c r="J742" s="326" t="s">
        <v>399</v>
      </c>
      <c r="K742" s="324" t="s">
        <v>977</v>
      </c>
      <c r="L742" s="342">
        <v>10</v>
      </c>
      <c r="M742" s="408"/>
      <c r="N742" s="444" t="s">
        <v>4348</v>
      </c>
      <c r="O742" s="324">
        <v>20</v>
      </c>
      <c r="P742" s="458">
        <v>1971</v>
      </c>
      <c r="Q742" s="459">
        <v>1959</v>
      </c>
      <c r="R742" s="420" t="s">
        <v>4416</v>
      </c>
      <c r="S742" s="394" t="s">
        <v>12440</v>
      </c>
      <c r="T742" s="400"/>
      <c r="U742" s="394" t="s">
        <v>16272</v>
      </c>
      <c r="V742" s="394" t="s">
        <v>12441</v>
      </c>
      <c r="W742" s="460" t="s">
        <v>4415</v>
      </c>
      <c r="X742" s="330"/>
      <c r="Y742" s="330"/>
      <c r="Z742" s="330"/>
      <c r="AA742" s="330"/>
      <c r="AB742" s="416"/>
      <c r="AC742" s="416"/>
      <c r="AD742" s="447" t="s">
        <v>5522</v>
      </c>
      <c r="AE742" s="499" t="s">
        <v>922</v>
      </c>
      <c r="AF742" s="475">
        <v>42682</v>
      </c>
      <c r="AG742" s="748">
        <v>42751</v>
      </c>
      <c r="AH742" s="417" t="s">
        <v>210</v>
      </c>
      <c r="AI742" s="392" t="s">
        <v>210</v>
      </c>
      <c r="AJ742" s="392" t="s">
        <v>210</v>
      </c>
      <c r="AK742" s="340" t="s">
        <v>210</v>
      </c>
      <c r="AL742" s="417" t="s">
        <v>210</v>
      </c>
      <c r="AM742" s="392" t="s">
        <v>210</v>
      </c>
      <c r="AN742" s="392" t="s">
        <v>210</v>
      </c>
      <c r="AO742" s="341" t="s">
        <v>210</v>
      </c>
      <c r="AP742" s="342"/>
      <c r="AQ742" s="433" t="s">
        <v>4547</v>
      </c>
      <c r="AR742" s="452">
        <v>1981</v>
      </c>
      <c r="AS742" s="324">
        <v>80</v>
      </c>
      <c r="AT742" s="432">
        <v>1</v>
      </c>
      <c r="AU742" s="432"/>
      <c r="AV742" s="432">
        <v>1.5</v>
      </c>
      <c r="AW742" s="490"/>
      <c r="AX742" s="453" t="s">
        <v>210</v>
      </c>
      <c r="AY742" s="455" t="s">
        <v>210</v>
      </c>
      <c r="AZ742" s="405" t="s">
        <v>4083</v>
      </c>
      <c r="BA742" s="324" t="s">
        <v>210</v>
      </c>
      <c r="BB742" s="324" t="s">
        <v>210</v>
      </c>
      <c r="BC742" s="324" t="s">
        <v>4344</v>
      </c>
      <c r="BD742" s="324" t="s">
        <v>4345</v>
      </c>
      <c r="BE742" s="324" t="s">
        <v>4346</v>
      </c>
      <c r="BF742" s="324" t="s">
        <v>3898</v>
      </c>
      <c r="BG742" s="324" t="s">
        <v>4347</v>
      </c>
      <c r="BH742" s="426" t="s">
        <v>3574</v>
      </c>
      <c r="BI742" s="410"/>
      <c r="BJ742" s="427" t="s">
        <v>210</v>
      </c>
      <c r="BK742" s="412"/>
      <c r="BL742" s="413"/>
      <c r="BM742" s="414"/>
      <c r="BN742" s="321" t="s">
        <v>14</v>
      </c>
      <c r="BO742" s="372"/>
      <c r="BP742" s="373" t="s">
        <v>14</v>
      </c>
      <c r="BQ742" s="360"/>
      <c r="BR742" s="361"/>
      <c r="BS742" s="361"/>
      <c r="BT742" s="361"/>
      <c r="BU742" s="342" t="s">
        <v>210</v>
      </c>
      <c r="BV742" s="342" t="s">
        <v>210</v>
      </c>
      <c r="BW742" s="341" t="s">
        <v>210</v>
      </c>
      <c r="BX742" s="361"/>
      <c r="BY742" s="457"/>
      <c r="BZ742" s="363"/>
      <c r="CA742" s="363"/>
      <c r="CB742" s="363"/>
      <c r="CC742" s="363"/>
    </row>
    <row r="743" spans="1:82" s="465" customFormat="1" ht="22.5" customHeight="1">
      <c r="A743" s="287"/>
      <c r="B743" s="749" t="s">
        <v>4512</v>
      </c>
      <c r="C743" s="750" t="s">
        <v>4337</v>
      </c>
      <c r="D743" s="751" t="s">
        <v>4854</v>
      </c>
      <c r="E743" s="752" t="s">
        <v>7988</v>
      </c>
      <c r="F743" s="753" t="s">
        <v>483</v>
      </c>
      <c r="G743" s="754" t="s">
        <v>4419</v>
      </c>
      <c r="H743" s="754" t="s">
        <v>4420</v>
      </c>
      <c r="I743" s="662" t="s">
        <v>383</v>
      </c>
      <c r="J743" s="662" t="s">
        <v>399</v>
      </c>
      <c r="K743" s="754" t="s">
        <v>6553</v>
      </c>
      <c r="L743" s="688">
        <v>3</v>
      </c>
      <c r="M743" s="754" t="s">
        <v>10767</v>
      </c>
      <c r="N743" s="664" t="s">
        <v>438</v>
      </c>
      <c r="O743" s="754">
        <v>150</v>
      </c>
      <c r="P743" s="782">
        <v>650</v>
      </c>
      <c r="Q743" s="783">
        <v>650</v>
      </c>
      <c r="R743" s="667" t="s">
        <v>1093</v>
      </c>
      <c r="S743" s="669" t="s">
        <v>12863</v>
      </c>
      <c r="T743" s="669" t="s">
        <v>12864</v>
      </c>
      <c r="U743" s="669" t="s">
        <v>16419</v>
      </c>
      <c r="V743" s="669" t="s">
        <v>12865</v>
      </c>
      <c r="W743" s="669" t="s">
        <v>432</v>
      </c>
      <c r="X743" s="668" t="s">
        <v>11082</v>
      </c>
      <c r="Y743" s="668" t="s">
        <v>11082</v>
      </c>
      <c r="Z743" s="668" t="s">
        <v>11082</v>
      </c>
      <c r="AA743" s="668" t="s">
        <v>210</v>
      </c>
      <c r="AB743" s="758"/>
      <c r="AC743" s="758"/>
      <c r="AD743" s="759"/>
      <c r="AE743" s="760"/>
      <c r="AF743" s="761">
        <v>42678</v>
      </c>
      <c r="AG743" s="674" t="s">
        <v>10514</v>
      </c>
      <c r="AH743" s="765">
        <v>22.3</v>
      </c>
      <c r="AI743" s="785">
        <v>38.9</v>
      </c>
      <c r="AJ743" s="785">
        <v>21.5</v>
      </c>
      <c r="AK743" s="772">
        <v>82.7</v>
      </c>
      <c r="AL743" s="675" t="s">
        <v>210</v>
      </c>
      <c r="AM743" s="676" t="s">
        <v>210</v>
      </c>
      <c r="AN743" s="676" t="s">
        <v>210</v>
      </c>
      <c r="AO743" s="678" t="s">
        <v>210</v>
      </c>
      <c r="AP743" s="688"/>
      <c r="AQ743" s="762" t="s">
        <v>4547</v>
      </c>
      <c r="AR743" s="763">
        <v>800.28</v>
      </c>
      <c r="AS743" s="754">
        <v>100</v>
      </c>
      <c r="AT743" s="785">
        <v>1</v>
      </c>
      <c r="AU743" s="785"/>
      <c r="AV743" s="785">
        <v>1.2</v>
      </c>
      <c r="AW743" s="764"/>
      <c r="AX743" s="765" t="s">
        <v>210</v>
      </c>
      <c r="AY743" s="772" t="s">
        <v>210</v>
      </c>
      <c r="AZ743" s="753" t="s">
        <v>4083</v>
      </c>
      <c r="BA743" s="754" t="s">
        <v>210</v>
      </c>
      <c r="BB743" s="754" t="s">
        <v>210</v>
      </c>
      <c r="BC743" s="754" t="s">
        <v>210</v>
      </c>
      <c r="BD743" s="754" t="s">
        <v>210</v>
      </c>
      <c r="BE743" s="754" t="s">
        <v>3555</v>
      </c>
      <c r="BF743" s="754" t="s">
        <v>5119</v>
      </c>
      <c r="BG743" s="754" t="s">
        <v>3558</v>
      </c>
      <c r="BH743" s="767" t="s">
        <v>3922</v>
      </c>
      <c r="BI743" s="765">
        <v>3.3</v>
      </c>
      <c r="BJ743" s="768" t="s">
        <v>210</v>
      </c>
      <c r="BK743" s="769"/>
      <c r="BL743" s="766"/>
      <c r="BM743" s="770"/>
      <c r="BN743" s="661" t="s">
        <v>14</v>
      </c>
      <c r="BO743" s="686"/>
      <c r="BP743" s="682" t="s">
        <v>210</v>
      </c>
      <c r="BQ743" s="773" t="s">
        <v>5475</v>
      </c>
      <c r="BR743" s="688" t="s">
        <v>210</v>
      </c>
      <c r="BS743" s="688" t="s">
        <v>210</v>
      </c>
      <c r="BT743" s="688" t="s">
        <v>622</v>
      </c>
      <c r="BU743" s="688" t="s">
        <v>210</v>
      </c>
      <c r="BV743" s="688" t="s">
        <v>210</v>
      </c>
      <c r="BW743" s="678" t="s">
        <v>210</v>
      </c>
      <c r="BX743" s="688"/>
      <c r="BY743" s="774"/>
      <c r="BZ743" s="483"/>
      <c r="CA743" s="483"/>
      <c r="CB743" s="483"/>
      <c r="CC743" s="483"/>
      <c r="CD743" s="484"/>
    </row>
    <row r="744" spans="1:82" s="465" customFormat="1" ht="22.5" customHeight="1">
      <c r="A744" s="287"/>
      <c r="B744" s="749" t="s">
        <v>4513</v>
      </c>
      <c r="C744" s="750" t="s">
        <v>4338</v>
      </c>
      <c r="D744" s="829" t="s">
        <v>4853</v>
      </c>
      <c r="E744" s="752" t="s">
        <v>7988</v>
      </c>
      <c r="F744" s="753" t="s">
        <v>483</v>
      </c>
      <c r="G744" s="754" t="s">
        <v>4419</v>
      </c>
      <c r="H744" s="754" t="s">
        <v>4420</v>
      </c>
      <c r="I744" s="662" t="s">
        <v>383</v>
      </c>
      <c r="J744" s="662" t="s">
        <v>399</v>
      </c>
      <c r="K744" s="754" t="s">
        <v>6553</v>
      </c>
      <c r="L744" s="688">
        <v>3</v>
      </c>
      <c r="M744" s="754" t="s">
        <v>10767</v>
      </c>
      <c r="N744" s="664" t="s">
        <v>437</v>
      </c>
      <c r="O744" s="754">
        <v>150</v>
      </c>
      <c r="P744" s="782">
        <v>460</v>
      </c>
      <c r="Q744" s="783">
        <v>460</v>
      </c>
      <c r="R744" s="667" t="s">
        <v>1093</v>
      </c>
      <c r="S744" s="669" t="s">
        <v>12863</v>
      </c>
      <c r="T744" s="669" t="s">
        <v>12864</v>
      </c>
      <c r="U744" s="669" t="s">
        <v>16419</v>
      </c>
      <c r="V744" s="669" t="s">
        <v>12865</v>
      </c>
      <c r="W744" s="669" t="s">
        <v>432</v>
      </c>
      <c r="X744" s="668" t="s">
        <v>11082</v>
      </c>
      <c r="Y744" s="668" t="s">
        <v>11082</v>
      </c>
      <c r="Z744" s="668" t="s">
        <v>11082</v>
      </c>
      <c r="AA744" s="668" t="s">
        <v>210</v>
      </c>
      <c r="AB744" s="758"/>
      <c r="AC744" s="758"/>
      <c r="AD744" s="759"/>
      <c r="AE744" s="672" t="s">
        <v>210</v>
      </c>
      <c r="AF744" s="761">
        <v>42678</v>
      </c>
      <c r="AG744" s="674" t="s">
        <v>10514</v>
      </c>
      <c r="AH744" s="765">
        <v>17.399999999999999</v>
      </c>
      <c r="AI744" s="785">
        <v>24</v>
      </c>
      <c r="AJ744" s="785">
        <v>16.2</v>
      </c>
      <c r="AK744" s="772">
        <f>SUM(AH744:AJ744)</f>
        <v>57.599999999999994</v>
      </c>
      <c r="AL744" s="675" t="s">
        <v>210</v>
      </c>
      <c r="AM744" s="676" t="s">
        <v>210</v>
      </c>
      <c r="AN744" s="676" t="s">
        <v>210</v>
      </c>
      <c r="AO744" s="678" t="s">
        <v>210</v>
      </c>
      <c r="AP744" s="688"/>
      <c r="AQ744" s="762" t="s">
        <v>4547</v>
      </c>
      <c r="AR744" s="763">
        <v>727</v>
      </c>
      <c r="AS744" s="754">
        <v>100</v>
      </c>
      <c r="AT744" s="785">
        <v>1</v>
      </c>
      <c r="AU744" s="785"/>
      <c r="AV744" s="785">
        <v>1.2</v>
      </c>
      <c r="AW744" s="764"/>
      <c r="AX744" s="765" t="s">
        <v>210</v>
      </c>
      <c r="AY744" s="772" t="s">
        <v>210</v>
      </c>
      <c r="AZ744" s="753" t="s">
        <v>4083</v>
      </c>
      <c r="BA744" s="754" t="s">
        <v>210</v>
      </c>
      <c r="BB744" s="754" t="s">
        <v>210</v>
      </c>
      <c r="BC744" s="754" t="s">
        <v>210</v>
      </c>
      <c r="BD744" s="754" t="s">
        <v>210</v>
      </c>
      <c r="BE744" s="754" t="s">
        <v>3555</v>
      </c>
      <c r="BF744" s="754" t="s">
        <v>5119</v>
      </c>
      <c r="BG744" s="754" t="s">
        <v>3558</v>
      </c>
      <c r="BH744" s="767" t="s">
        <v>3922</v>
      </c>
      <c r="BI744" s="765">
        <v>3.3</v>
      </c>
      <c r="BJ744" s="768" t="s">
        <v>210</v>
      </c>
      <c r="BK744" s="769"/>
      <c r="BL744" s="766"/>
      <c r="BM744" s="770"/>
      <c r="BN744" s="661" t="s">
        <v>14</v>
      </c>
      <c r="BO744" s="686"/>
      <c r="BP744" s="682" t="s">
        <v>210</v>
      </c>
      <c r="BQ744" s="773" t="s">
        <v>5475</v>
      </c>
      <c r="BR744" s="688" t="s">
        <v>210</v>
      </c>
      <c r="BS744" s="688" t="s">
        <v>210</v>
      </c>
      <c r="BT744" s="688" t="s">
        <v>622</v>
      </c>
      <c r="BU744" s="688" t="s">
        <v>210</v>
      </c>
      <c r="BV744" s="688" t="s">
        <v>210</v>
      </c>
      <c r="BW744" s="678" t="s">
        <v>210</v>
      </c>
      <c r="BX744" s="688"/>
      <c r="BY744" s="774"/>
      <c r="BZ744" s="483"/>
      <c r="CA744" s="483"/>
      <c r="CB744" s="483"/>
      <c r="CC744" s="483"/>
      <c r="CD744" s="484"/>
    </row>
    <row r="745" spans="1:82" s="465" customFormat="1" ht="22.5" customHeight="1">
      <c r="A745" s="287"/>
      <c r="B745" s="749" t="s">
        <v>4514</v>
      </c>
      <c r="C745" s="750" t="s">
        <v>4339</v>
      </c>
      <c r="D745" s="829" t="s">
        <v>4853</v>
      </c>
      <c r="E745" s="752" t="s">
        <v>7988</v>
      </c>
      <c r="F745" s="753" t="s">
        <v>483</v>
      </c>
      <c r="G745" s="754" t="s">
        <v>4419</v>
      </c>
      <c r="H745" s="754" t="s">
        <v>4420</v>
      </c>
      <c r="I745" s="662" t="s">
        <v>383</v>
      </c>
      <c r="J745" s="662" t="s">
        <v>399</v>
      </c>
      <c r="K745" s="754" t="s">
        <v>6553</v>
      </c>
      <c r="L745" s="688">
        <v>3</v>
      </c>
      <c r="M745" s="754" t="s">
        <v>10767</v>
      </c>
      <c r="N745" s="664" t="s">
        <v>437</v>
      </c>
      <c r="O745" s="754">
        <v>150</v>
      </c>
      <c r="P745" s="782">
        <v>460</v>
      </c>
      <c r="Q745" s="783">
        <v>460</v>
      </c>
      <c r="R745" s="667" t="s">
        <v>1093</v>
      </c>
      <c r="S745" s="669" t="s">
        <v>12863</v>
      </c>
      <c r="T745" s="669" t="s">
        <v>12864</v>
      </c>
      <c r="U745" s="669" t="s">
        <v>16419</v>
      </c>
      <c r="V745" s="669" t="s">
        <v>12865</v>
      </c>
      <c r="W745" s="669" t="s">
        <v>432</v>
      </c>
      <c r="X745" s="668" t="s">
        <v>11082</v>
      </c>
      <c r="Y745" s="668" t="s">
        <v>11082</v>
      </c>
      <c r="Z745" s="668" t="s">
        <v>11082</v>
      </c>
      <c r="AA745" s="668" t="s">
        <v>210</v>
      </c>
      <c r="AB745" s="758"/>
      <c r="AC745" s="758"/>
      <c r="AD745" s="759"/>
      <c r="AE745" s="672" t="s">
        <v>210</v>
      </c>
      <c r="AF745" s="761">
        <v>42678</v>
      </c>
      <c r="AG745" s="674" t="s">
        <v>10514</v>
      </c>
      <c r="AH745" s="765">
        <v>19.399999999999999</v>
      </c>
      <c r="AI745" s="785">
        <v>24.1</v>
      </c>
      <c r="AJ745" s="785">
        <v>15.8</v>
      </c>
      <c r="AK745" s="772">
        <v>59.3</v>
      </c>
      <c r="AL745" s="675" t="s">
        <v>210</v>
      </c>
      <c r="AM745" s="676" t="s">
        <v>210</v>
      </c>
      <c r="AN745" s="676" t="s">
        <v>210</v>
      </c>
      <c r="AO745" s="678" t="s">
        <v>210</v>
      </c>
      <c r="AP745" s="688"/>
      <c r="AQ745" s="762" t="s">
        <v>4547</v>
      </c>
      <c r="AR745" s="763">
        <v>646.70000000000005</v>
      </c>
      <c r="AS745" s="754">
        <v>100</v>
      </c>
      <c r="AT745" s="785">
        <v>1</v>
      </c>
      <c r="AU745" s="785"/>
      <c r="AV745" s="785">
        <v>1.2</v>
      </c>
      <c r="AW745" s="764"/>
      <c r="AX745" s="675" t="s">
        <v>210</v>
      </c>
      <c r="AY745" s="772" t="s">
        <v>210</v>
      </c>
      <c r="AZ745" s="753" t="s">
        <v>4083</v>
      </c>
      <c r="BA745" s="754" t="s">
        <v>210</v>
      </c>
      <c r="BB745" s="754" t="s">
        <v>210</v>
      </c>
      <c r="BC745" s="754" t="s">
        <v>210</v>
      </c>
      <c r="BD745" s="754" t="s">
        <v>210</v>
      </c>
      <c r="BE745" s="754" t="s">
        <v>3555</v>
      </c>
      <c r="BF745" s="754" t="s">
        <v>5119</v>
      </c>
      <c r="BG745" s="754" t="s">
        <v>3558</v>
      </c>
      <c r="BH745" s="767" t="s">
        <v>3922</v>
      </c>
      <c r="BI745" s="765">
        <v>3.3</v>
      </c>
      <c r="BJ745" s="768" t="s">
        <v>210</v>
      </c>
      <c r="BK745" s="769"/>
      <c r="BL745" s="766"/>
      <c r="BM745" s="770"/>
      <c r="BN745" s="661" t="s">
        <v>14</v>
      </c>
      <c r="BO745" s="686"/>
      <c r="BP745" s="682" t="s">
        <v>210</v>
      </c>
      <c r="BQ745" s="773" t="s">
        <v>5475</v>
      </c>
      <c r="BR745" s="688" t="s">
        <v>210</v>
      </c>
      <c r="BS745" s="688" t="s">
        <v>210</v>
      </c>
      <c r="BT745" s="688" t="s">
        <v>622</v>
      </c>
      <c r="BU745" s="688" t="s">
        <v>210</v>
      </c>
      <c r="BV745" s="688" t="s">
        <v>210</v>
      </c>
      <c r="BW745" s="678" t="s">
        <v>210</v>
      </c>
      <c r="BX745" s="688"/>
      <c r="BY745" s="774"/>
      <c r="BZ745" s="483"/>
      <c r="CA745" s="483"/>
      <c r="CB745" s="483"/>
      <c r="CC745" s="483"/>
      <c r="CD745" s="484"/>
    </row>
    <row r="746" spans="1:82" s="465" customFormat="1" ht="22.5" customHeight="1">
      <c r="A746" s="287"/>
      <c r="B746" s="749" t="s">
        <v>4515</v>
      </c>
      <c r="C746" s="750" t="s">
        <v>4340</v>
      </c>
      <c r="D746" s="829" t="s">
        <v>4853</v>
      </c>
      <c r="E746" s="752" t="s">
        <v>7988</v>
      </c>
      <c r="F746" s="753" t="s">
        <v>483</v>
      </c>
      <c r="G746" s="754" t="s">
        <v>4419</v>
      </c>
      <c r="H746" s="754" t="s">
        <v>4420</v>
      </c>
      <c r="I746" s="662" t="s">
        <v>383</v>
      </c>
      <c r="J746" s="662" t="s">
        <v>399</v>
      </c>
      <c r="K746" s="754" t="s">
        <v>4421</v>
      </c>
      <c r="L746" s="688" t="s">
        <v>5474</v>
      </c>
      <c r="M746" s="754" t="s">
        <v>10767</v>
      </c>
      <c r="N746" s="755" t="s">
        <v>210</v>
      </c>
      <c r="O746" s="754">
        <v>150</v>
      </c>
      <c r="P746" s="782">
        <v>14</v>
      </c>
      <c r="Q746" s="783">
        <v>14</v>
      </c>
      <c r="R746" s="667" t="s">
        <v>1093</v>
      </c>
      <c r="S746" s="669" t="s">
        <v>12863</v>
      </c>
      <c r="T746" s="669" t="s">
        <v>12864</v>
      </c>
      <c r="U746" s="669" t="s">
        <v>16419</v>
      </c>
      <c r="V746" s="669" t="s">
        <v>12865</v>
      </c>
      <c r="W746" s="669" t="s">
        <v>432</v>
      </c>
      <c r="X746" s="668" t="s">
        <v>11082</v>
      </c>
      <c r="Y746" s="668" t="s">
        <v>11082</v>
      </c>
      <c r="Z746" s="668" t="s">
        <v>11082</v>
      </c>
      <c r="AA746" s="668" t="s">
        <v>210</v>
      </c>
      <c r="AB746" s="758"/>
      <c r="AC746" s="758"/>
      <c r="AD746" s="671" t="s">
        <v>210</v>
      </c>
      <c r="AE746" s="672" t="s">
        <v>210</v>
      </c>
      <c r="AF746" s="761">
        <v>42678</v>
      </c>
      <c r="AG746" s="674" t="s">
        <v>10514</v>
      </c>
      <c r="AH746" s="765">
        <v>24.3</v>
      </c>
      <c r="AI746" s="785">
        <v>21.4</v>
      </c>
      <c r="AJ746" s="785">
        <v>11.7</v>
      </c>
      <c r="AK746" s="772">
        <v>57.4</v>
      </c>
      <c r="AL746" s="675" t="s">
        <v>210</v>
      </c>
      <c r="AM746" s="676" t="s">
        <v>210</v>
      </c>
      <c r="AN746" s="676" t="s">
        <v>210</v>
      </c>
      <c r="AO746" s="678" t="s">
        <v>210</v>
      </c>
      <c r="AP746" s="688"/>
      <c r="AQ746" s="762" t="s">
        <v>4547</v>
      </c>
      <c r="AR746" s="763">
        <v>124.785</v>
      </c>
      <c r="AS746" s="754">
        <v>100</v>
      </c>
      <c r="AT746" s="785">
        <v>1</v>
      </c>
      <c r="AU746" s="785"/>
      <c r="AV746" s="785">
        <v>1.2</v>
      </c>
      <c r="AW746" s="764"/>
      <c r="AX746" s="765" t="s">
        <v>210</v>
      </c>
      <c r="AY746" s="772" t="s">
        <v>210</v>
      </c>
      <c r="AZ746" s="753" t="s">
        <v>4083</v>
      </c>
      <c r="BA746" s="754" t="s">
        <v>210</v>
      </c>
      <c r="BB746" s="754" t="s">
        <v>210</v>
      </c>
      <c r="BC746" s="754" t="s">
        <v>210</v>
      </c>
      <c r="BD746" s="754" t="s">
        <v>210</v>
      </c>
      <c r="BE746" s="754" t="s">
        <v>3555</v>
      </c>
      <c r="BF746" s="754" t="s">
        <v>5119</v>
      </c>
      <c r="BG746" s="754" t="s">
        <v>3558</v>
      </c>
      <c r="BH746" s="767" t="s">
        <v>3922</v>
      </c>
      <c r="BI746" s="765">
        <v>3.3</v>
      </c>
      <c r="BJ746" s="768" t="s">
        <v>210</v>
      </c>
      <c r="BK746" s="769"/>
      <c r="BL746" s="766"/>
      <c r="BM746" s="770"/>
      <c r="BN746" s="661" t="s">
        <v>14</v>
      </c>
      <c r="BO746" s="686"/>
      <c r="BP746" s="682" t="s">
        <v>210</v>
      </c>
      <c r="BQ746" s="773" t="s">
        <v>5475</v>
      </c>
      <c r="BR746" s="688" t="s">
        <v>210</v>
      </c>
      <c r="BS746" s="688" t="s">
        <v>210</v>
      </c>
      <c r="BT746" s="688" t="s">
        <v>622</v>
      </c>
      <c r="BU746" s="688" t="s">
        <v>210</v>
      </c>
      <c r="BV746" s="688" t="s">
        <v>210</v>
      </c>
      <c r="BW746" s="678" t="s">
        <v>210</v>
      </c>
      <c r="BX746" s="688"/>
      <c r="BY746" s="774"/>
      <c r="BZ746" s="483"/>
      <c r="CA746" s="483"/>
      <c r="CB746" s="483"/>
      <c r="CC746" s="483"/>
      <c r="CD746" s="484"/>
    </row>
    <row r="747" spans="1:82" ht="22.5" customHeight="1">
      <c r="B747" s="442">
        <v>160380</v>
      </c>
      <c r="C747" s="747" t="s">
        <v>8849</v>
      </c>
      <c r="D747" s="439"/>
      <c r="E747" s="404"/>
      <c r="F747" s="405" t="s">
        <v>240</v>
      </c>
      <c r="G747" s="324" t="s">
        <v>1880</v>
      </c>
      <c r="H747" s="324" t="s">
        <v>4424</v>
      </c>
      <c r="I747" s="326" t="s">
        <v>383</v>
      </c>
      <c r="J747" s="326" t="s">
        <v>399</v>
      </c>
      <c r="K747" s="326" t="s">
        <v>917</v>
      </c>
      <c r="L747" s="432" t="s">
        <v>4543</v>
      </c>
      <c r="M747" s="324" t="s">
        <v>10767</v>
      </c>
      <c r="N747" s="325" t="s">
        <v>4709</v>
      </c>
      <c r="O747" s="324">
        <v>30</v>
      </c>
      <c r="P747" s="458">
        <v>1504</v>
      </c>
      <c r="Q747" s="459">
        <v>1498</v>
      </c>
      <c r="R747" s="329" t="s">
        <v>447</v>
      </c>
      <c r="S747" s="402" t="s">
        <v>11077</v>
      </c>
      <c r="T747" s="402" t="s">
        <v>11078</v>
      </c>
      <c r="U747" s="402" t="s">
        <v>16355</v>
      </c>
      <c r="V747" s="402" t="s">
        <v>11133</v>
      </c>
      <c r="W747" s="332" t="s">
        <v>432</v>
      </c>
      <c r="X747" s="331" t="s">
        <v>11079</v>
      </c>
      <c r="Y747" s="331" t="s">
        <v>11080</v>
      </c>
      <c r="Z747" s="331" t="s">
        <v>11080</v>
      </c>
      <c r="AA747" s="331" t="s">
        <v>210</v>
      </c>
      <c r="AB747" s="416"/>
      <c r="AC747" s="416"/>
      <c r="AD747" s="447" t="s">
        <v>730</v>
      </c>
      <c r="AE747" s="335" t="s">
        <v>4708</v>
      </c>
      <c r="AF747" s="475">
        <v>42685</v>
      </c>
      <c r="AG747" s="748">
        <v>42769</v>
      </c>
      <c r="AH747" s="453">
        <v>5</v>
      </c>
      <c r="AI747" s="432">
        <v>15.6</v>
      </c>
      <c r="AJ747" s="432">
        <v>12.5</v>
      </c>
      <c r="AK747" s="455">
        <f>SUM(AH747:AJ747)</f>
        <v>33.1</v>
      </c>
      <c r="AL747" s="417" t="s">
        <v>210</v>
      </c>
      <c r="AM747" s="392" t="s">
        <v>210</v>
      </c>
      <c r="AN747" s="392" t="s">
        <v>210</v>
      </c>
      <c r="AO747" s="341" t="s">
        <v>210</v>
      </c>
      <c r="AP747" s="342"/>
      <c r="AQ747" s="433" t="s">
        <v>4547</v>
      </c>
      <c r="AR747" s="452">
        <v>1653</v>
      </c>
      <c r="AS747" s="324">
        <v>100</v>
      </c>
      <c r="AT747" s="432">
        <v>0.8</v>
      </c>
      <c r="AU747" s="432"/>
      <c r="AV747" s="432">
        <v>1.2</v>
      </c>
      <c r="AW747" s="490"/>
      <c r="AX747" s="453" t="s">
        <v>210</v>
      </c>
      <c r="AY747" s="455" t="s">
        <v>210</v>
      </c>
      <c r="AZ747" s="405" t="s">
        <v>4083</v>
      </c>
      <c r="BA747" s="324" t="s">
        <v>210</v>
      </c>
      <c r="BB747" s="324" t="s">
        <v>210</v>
      </c>
      <c r="BC747" s="324" t="s">
        <v>210</v>
      </c>
      <c r="BD747" s="324" t="s">
        <v>210</v>
      </c>
      <c r="BE747" s="324" t="s">
        <v>4425</v>
      </c>
      <c r="BF747" s="324" t="s">
        <v>3372</v>
      </c>
      <c r="BG747" s="324" t="s">
        <v>4426</v>
      </c>
      <c r="BH747" s="426" t="s">
        <v>3372</v>
      </c>
      <c r="BI747" s="410"/>
      <c r="BJ747" s="427" t="s">
        <v>210</v>
      </c>
      <c r="BK747" s="412"/>
      <c r="BL747" s="413"/>
      <c r="BM747" s="414"/>
      <c r="BN747" s="321" t="s">
        <v>14</v>
      </c>
      <c r="BO747" s="372"/>
      <c r="BP747" s="373" t="s">
        <v>14</v>
      </c>
      <c r="BQ747" s="360"/>
      <c r="BR747" s="361"/>
      <c r="BS747" s="361"/>
      <c r="BT747" s="361"/>
      <c r="BU747" s="342" t="s">
        <v>210</v>
      </c>
      <c r="BV747" s="342" t="s">
        <v>210</v>
      </c>
      <c r="BW747" s="341" t="s">
        <v>210</v>
      </c>
      <c r="BX747" s="361"/>
      <c r="BY747" s="457"/>
      <c r="BZ747" s="363"/>
      <c r="CA747" s="363"/>
      <c r="CB747" s="363"/>
      <c r="CC747" s="363"/>
    </row>
    <row r="748" spans="1:82" ht="22.5" customHeight="1">
      <c r="B748" s="442">
        <v>160381</v>
      </c>
      <c r="C748" s="747" t="s">
        <v>4427</v>
      </c>
      <c r="D748" s="439"/>
      <c r="E748" s="404"/>
      <c r="F748" s="405" t="s">
        <v>237</v>
      </c>
      <c r="G748" s="324" t="s">
        <v>4428</v>
      </c>
      <c r="H748" s="324" t="s">
        <v>4429</v>
      </c>
      <c r="I748" s="326" t="s">
        <v>383</v>
      </c>
      <c r="J748" s="326" t="s">
        <v>399</v>
      </c>
      <c r="K748" s="324" t="s">
        <v>293</v>
      </c>
      <c r="L748" s="342">
        <v>2</v>
      </c>
      <c r="M748" s="408"/>
      <c r="N748" s="444" t="s">
        <v>438</v>
      </c>
      <c r="O748" s="324">
        <v>70</v>
      </c>
      <c r="P748" s="816">
        <v>1150</v>
      </c>
      <c r="Q748" s="817">
        <v>840</v>
      </c>
      <c r="R748" s="420" t="s">
        <v>4452</v>
      </c>
      <c r="S748" s="331" t="s">
        <v>12894</v>
      </c>
      <c r="T748" s="331" t="s">
        <v>12896</v>
      </c>
      <c r="U748" s="331" t="s">
        <v>12895</v>
      </c>
      <c r="V748" s="331" t="s">
        <v>12897</v>
      </c>
      <c r="W748" s="460" t="s">
        <v>4452</v>
      </c>
      <c r="X748" s="331" t="s">
        <v>12894</v>
      </c>
      <c r="Y748" s="331" t="s">
        <v>12896</v>
      </c>
      <c r="Z748" s="331" t="s">
        <v>12895</v>
      </c>
      <c r="AA748" s="331" t="s">
        <v>12897</v>
      </c>
      <c r="AB748" s="416" t="s">
        <v>4455</v>
      </c>
      <c r="AC748" s="416"/>
      <c r="AD748" s="334" t="s">
        <v>2910</v>
      </c>
      <c r="AE748" s="499" t="s">
        <v>3127</v>
      </c>
      <c r="AF748" s="475">
        <v>42686</v>
      </c>
      <c r="AG748" s="748">
        <v>42746</v>
      </c>
      <c r="AH748" s="417" t="s">
        <v>210</v>
      </c>
      <c r="AI748" s="392" t="s">
        <v>210</v>
      </c>
      <c r="AJ748" s="392" t="s">
        <v>210</v>
      </c>
      <c r="AK748" s="340" t="s">
        <v>210</v>
      </c>
      <c r="AL748" s="417" t="s">
        <v>210</v>
      </c>
      <c r="AM748" s="392" t="s">
        <v>210</v>
      </c>
      <c r="AN748" s="392" t="s">
        <v>4466</v>
      </c>
      <c r="AO748" s="341" t="s">
        <v>210</v>
      </c>
      <c r="AP748" s="342"/>
      <c r="AQ748" s="433" t="s">
        <v>4547</v>
      </c>
      <c r="AR748" s="452">
        <v>1750</v>
      </c>
      <c r="AS748" s="324">
        <v>80</v>
      </c>
      <c r="AT748" s="432">
        <v>1</v>
      </c>
      <c r="AU748" s="432"/>
      <c r="AV748" s="432">
        <v>1.8</v>
      </c>
      <c r="AW748" s="490"/>
      <c r="AX748" s="417" t="s">
        <v>622</v>
      </c>
      <c r="AY748" s="340" t="s">
        <v>622</v>
      </c>
      <c r="AZ748" s="405" t="s">
        <v>622</v>
      </c>
      <c r="BA748" s="324" t="s">
        <v>4430</v>
      </c>
      <c r="BB748" s="324" t="s">
        <v>3845</v>
      </c>
      <c r="BC748" s="324" t="s">
        <v>4431</v>
      </c>
      <c r="BD748" s="324" t="s">
        <v>3845</v>
      </c>
      <c r="BE748" s="324" t="s">
        <v>4432</v>
      </c>
      <c r="BF748" s="324" t="s">
        <v>3845</v>
      </c>
      <c r="BG748" s="324" t="s">
        <v>4432</v>
      </c>
      <c r="BH748" s="426" t="s">
        <v>4433</v>
      </c>
      <c r="BI748" s="410"/>
      <c r="BJ748" s="427" t="s">
        <v>210</v>
      </c>
      <c r="BK748" s="412"/>
      <c r="BL748" s="413"/>
      <c r="BM748" s="414"/>
      <c r="BN748" s="321" t="s">
        <v>210</v>
      </c>
      <c r="BO748" s="372"/>
      <c r="BP748" s="373" t="s">
        <v>14</v>
      </c>
      <c r="BQ748" s="360"/>
      <c r="BR748" s="361"/>
      <c r="BS748" s="361"/>
      <c r="BT748" s="361"/>
      <c r="BU748" s="342" t="s">
        <v>210</v>
      </c>
      <c r="BV748" s="342" t="s">
        <v>210</v>
      </c>
      <c r="BW748" s="341" t="s">
        <v>210</v>
      </c>
      <c r="BX748" s="361"/>
      <c r="BY748" s="457"/>
      <c r="BZ748" s="363"/>
      <c r="CA748" s="363"/>
      <c r="CB748" s="363"/>
      <c r="CC748" s="363"/>
    </row>
    <row r="749" spans="1:82" ht="22.5" customHeight="1">
      <c r="B749" s="442">
        <v>160382</v>
      </c>
      <c r="C749" s="747" t="s">
        <v>4447</v>
      </c>
      <c r="D749" s="439"/>
      <c r="E749" s="404"/>
      <c r="F749" s="405" t="s">
        <v>4448</v>
      </c>
      <c r="G749" s="324" t="s">
        <v>4449</v>
      </c>
      <c r="H749" s="324" t="s">
        <v>4450</v>
      </c>
      <c r="I749" s="326" t="s">
        <v>383</v>
      </c>
      <c r="J749" s="326" t="s">
        <v>399</v>
      </c>
      <c r="K749" s="324" t="s">
        <v>977</v>
      </c>
      <c r="L749" s="342">
        <v>2</v>
      </c>
      <c r="M749" s="408"/>
      <c r="N749" s="325" t="s">
        <v>437</v>
      </c>
      <c r="O749" s="324">
        <v>20</v>
      </c>
      <c r="P749" s="816">
        <v>195</v>
      </c>
      <c r="Q749" s="817">
        <v>195</v>
      </c>
      <c r="R749" s="420" t="s">
        <v>4517</v>
      </c>
      <c r="S749" s="394" t="s">
        <v>12049</v>
      </c>
      <c r="T749" s="394" t="s">
        <v>12510</v>
      </c>
      <c r="U749" s="400"/>
      <c r="V749" s="394" t="s">
        <v>12511</v>
      </c>
      <c r="W749" s="330"/>
      <c r="X749" s="330"/>
      <c r="Y749" s="330"/>
      <c r="Z749" s="330"/>
      <c r="AA749" s="330"/>
      <c r="AB749" s="416"/>
      <c r="AC749" s="416"/>
      <c r="AD749" s="447" t="s">
        <v>4613</v>
      </c>
      <c r="AE749" s="335" t="s">
        <v>210</v>
      </c>
      <c r="AF749" s="475">
        <v>42691</v>
      </c>
      <c r="AG749" s="748">
        <v>42746</v>
      </c>
      <c r="AH749" s="417" t="s">
        <v>210</v>
      </c>
      <c r="AI749" s="392" t="s">
        <v>210</v>
      </c>
      <c r="AJ749" s="392" t="s">
        <v>210</v>
      </c>
      <c r="AK749" s="340" t="s">
        <v>210</v>
      </c>
      <c r="AL749" s="417" t="s">
        <v>210</v>
      </c>
      <c r="AM749" s="392" t="s">
        <v>210</v>
      </c>
      <c r="AN749" s="392" t="s">
        <v>210</v>
      </c>
      <c r="AO749" s="341" t="s">
        <v>210</v>
      </c>
      <c r="AP749" s="342"/>
      <c r="AQ749" s="433" t="s">
        <v>4547</v>
      </c>
      <c r="AR749" s="452">
        <v>477</v>
      </c>
      <c r="AS749" s="324">
        <v>80</v>
      </c>
      <c r="AT749" s="432">
        <v>1</v>
      </c>
      <c r="AU749" s="432"/>
      <c r="AV749" s="432">
        <v>1.5</v>
      </c>
      <c r="AW749" s="490"/>
      <c r="AX749" s="453" t="s">
        <v>210</v>
      </c>
      <c r="AY749" s="455" t="s">
        <v>210</v>
      </c>
      <c r="AZ749" s="405" t="s">
        <v>622</v>
      </c>
      <c r="BA749" s="324" t="s">
        <v>4451</v>
      </c>
      <c r="BB749" s="324" t="s">
        <v>3372</v>
      </c>
      <c r="BC749" s="324" t="s">
        <v>210</v>
      </c>
      <c r="BD749" s="324" t="s">
        <v>210</v>
      </c>
      <c r="BE749" s="324" t="s">
        <v>3459</v>
      </c>
      <c r="BF749" s="324" t="s">
        <v>3382</v>
      </c>
      <c r="BG749" s="324" t="s">
        <v>210</v>
      </c>
      <c r="BH749" s="426" t="s">
        <v>210</v>
      </c>
      <c r="BI749" s="410"/>
      <c r="BJ749" s="427" t="s">
        <v>9793</v>
      </c>
      <c r="BK749" s="412"/>
      <c r="BL749" s="413"/>
      <c r="BM749" s="414"/>
      <c r="BN749" s="321" t="s">
        <v>210</v>
      </c>
      <c r="BO749" s="372"/>
      <c r="BP749" s="373" t="s">
        <v>14</v>
      </c>
      <c r="BQ749" s="360"/>
      <c r="BR749" s="361"/>
      <c r="BS749" s="361"/>
      <c r="BT749" s="361"/>
      <c r="BU749" s="342" t="s">
        <v>210</v>
      </c>
      <c r="BV749" s="342" t="s">
        <v>210</v>
      </c>
      <c r="BW749" s="341" t="s">
        <v>210</v>
      </c>
      <c r="BX749" s="361"/>
      <c r="BY749" s="457"/>
      <c r="BZ749" s="363"/>
      <c r="CA749" s="363"/>
      <c r="CB749" s="363"/>
      <c r="CC749" s="363"/>
    </row>
    <row r="750" spans="1:82" ht="22.5" customHeight="1">
      <c r="B750" s="442">
        <v>160384</v>
      </c>
      <c r="C750" s="747" t="s">
        <v>4440</v>
      </c>
      <c r="D750" s="439"/>
      <c r="E750" s="404"/>
      <c r="F750" s="405" t="s">
        <v>226</v>
      </c>
      <c r="G750" s="324" t="s">
        <v>4441</v>
      </c>
      <c r="H750" s="324" t="s">
        <v>4442</v>
      </c>
      <c r="I750" s="326" t="s">
        <v>383</v>
      </c>
      <c r="J750" s="326" t="s">
        <v>387</v>
      </c>
      <c r="K750" s="324" t="s">
        <v>307</v>
      </c>
      <c r="L750" s="342" t="s">
        <v>4543</v>
      </c>
      <c r="M750" s="408"/>
      <c r="N750" s="325" t="s">
        <v>437</v>
      </c>
      <c r="O750" s="324">
        <v>30</v>
      </c>
      <c r="P750" s="458">
        <v>470</v>
      </c>
      <c r="Q750" s="459">
        <v>243</v>
      </c>
      <c r="R750" s="329" t="s">
        <v>479</v>
      </c>
      <c r="S750" s="330"/>
      <c r="T750" s="330"/>
      <c r="U750" s="330"/>
      <c r="V750" s="330"/>
      <c r="W750" s="332" t="s">
        <v>479</v>
      </c>
      <c r="X750" s="330"/>
      <c r="Y750" s="330"/>
      <c r="Z750" s="330"/>
      <c r="AA750" s="330"/>
      <c r="AB750" s="416"/>
      <c r="AC750" s="416"/>
      <c r="AD750" s="375"/>
      <c r="AE750" s="335" t="s">
        <v>210</v>
      </c>
      <c r="AF750" s="475">
        <v>42688</v>
      </c>
      <c r="AG750" s="748">
        <v>42732</v>
      </c>
      <c r="AH750" s="417" t="s">
        <v>210</v>
      </c>
      <c r="AI750" s="392" t="s">
        <v>210</v>
      </c>
      <c r="AJ750" s="392" t="s">
        <v>210</v>
      </c>
      <c r="AK750" s="340" t="s">
        <v>210</v>
      </c>
      <c r="AL750" s="417" t="s">
        <v>210</v>
      </c>
      <c r="AM750" s="392" t="s">
        <v>210</v>
      </c>
      <c r="AN750" s="392" t="s">
        <v>210</v>
      </c>
      <c r="AO750" s="341" t="s">
        <v>210</v>
      </c>
      <c r="AP750" s="342"/>
      <c r="AQ750" s="433" t="s">
        <v>4548</v>
      </c>
      <c r="AR750" s="452">
        <v>309</v>
      </c>
      <c r="AS750" s="324">
        <v>50</v>
      </c>
      <c r="AT750" s="432">
        <v>0.8</v>
      </c>
      <c r="AU750" s="432"/>
      <c r="AV750" s="432">
        <v>1.5</v>
      </c>
      <c r="AW750" s="490"/>
      <c r="AX750" s="417" t="s">
        <v>210</v>
      </c>
      <c r="AY750" s="455" t="s">
        <v>210</v>
      </c>
      <c r="AZ750" s="405" t="s">
        <v>622</v>
      </c>
      <c r="BA750" s="324" t="s">
        <v>4443</v>
      </c>
      <c r="BB750" s="324" t="s">
        <v>4444</v>
      </c>
      <c r="BC750" s="324" t="s">
        <v>4445</v>
      </c>
      <c r="BD750" s="324" t="s">
        <v>4444</v>
      </c>
      <c r="BE750" s="324" t="s">
        <v>4446</v>
      </c>
      <c r="BF750" s="324" t="s">
        <v>3627</v>
      </c>
      <c r="BG750" s="324" t="s">
        <v>4443</v>
      </c>
      <c r="BH750" s="426" t="s">
        <v>3627</v>
      </c>
      <c r="BI750" s="410"/>
      <c r="BJ750" s="427" t="s">
        <v>210</v>
      </c>
      <c r="BK750" s="412"/>
      <c r="BL750" s="413"/>
      <c r="BM750" s="414"/>
      <c r="BN750" s="321" t="s">
        <v>14</v>
      </c>
      <c r="BO750" s="372"/>
      <c r="BP750" s="373" t="s">
        <v>14</v>
      </c>
      <c r="BQ750" s="360"/>
      <c r="BR750" s="361"/>
      <c r="BS750" s="361"/>
      <c r="BT750" s="361"/>
      <c r="BU750" s="342" t="s">
        <v>210</v>
      </c>
      <c r="BV750" s="342" t="s">
        <v>210</v>
      </c>
      <c r="BW750" s="341" t="s">
        <v>210</v>
      </c>
      <c r="BX750" s="361"/>
      <c r="BY750" s="457"/>
      <c r="BZ750" s="363"/>
      <c r="CA750" s="363"/>
      <c r="CB750" s="363"/>
      <c r="CC750" s="363"/>
    </row>
    <row r="751" spans="1:82" ht="22.5" customHeight="1">
      <c r="B751" s="442">
        <v>160385</v>
      </c>
      <c r="C751" s="747" t="s">
        <v>4434</v>
      </c>
      <c r="D751" s="439"/>
      <c r="E751" s="404"/>
      <c r="F751" s="405" t="s">
        <v>4435</v>
      </c>
      <c r="G751" s="324" t="s">
        <v>3239</v>
      </c>
      <c r="H751" s="324" t="s">
        <v>2830</v>
      </c>
      <c r="I751" s="326" t="s">
        <v>383</v>
      </c>
      <c r="J751" s="326" t="s">
        <v>399</v>
      </c>
      <c r="K751" s="324" t="s">
        <v>977</v>
      </c>
      <c r="L751" s="342">
        <v>20</v>
      </c>
      <c r="M751" s="408"/>
      <c r="N751" s="444" t="s">
        <v>4439</v>
      </c>
      <c r="O751" s="324">
        <v>30</v>
      </c>
      <c r="P751" s="458">
        <v>1026</v>
      </c>
      <c r="Q751" s="459">
        <v>1177</v>
      </c>
      <c r="R751" s="329" t="s">
        <v>479</v>
      </c>
      <c r="S751" s="331" t="s">
        <v>12860</v>
      </c>
      <c r="T751" s="331" t="s">
        <v>12862</v>
      </c>
      <c r="U751" s="330"/>
      <c r="V751" s="331" t="s">
        <v>12861</v>
      </c>
      <c r="W751" s="332" t="s">
        <v>479</v>
      </c>
      <c r="X751" s="331" t="s">
        <v>12860</v>
      </c>
      <c r="Y751" s="331" t="s">
        <v>12862</v>
      </c>
      <c r="Z751" s="330"/>
      <c r="AA751" s="331" t="s">
        <v>12861</v>
      </c>
      <c r="AB751" s="416"/>
      <c r="AC751" s="416"/>
      <c r="AD751" s="447" t="s">
        <v>4609</v>
      </c>
      <c r="AE751" s="335" t="s">
        <v>210</v>
      </c>
      <c r="AF751" s="475">
        <v>42687</v>
      </c>
      <c r="AG751" s="748">
        <v>42704</v>
      </c>
      <c r="AH751" s="417" t="s">
        <v>210</v>
      </c>
      <c r="AI751" s="392" t="s">
        <v>210</v>
      </c>
      <c r="AJ751" s="392" t="s">
        <v>210</v>
      </c>
      <c r="AK751" s="340" t="s">
        <v>210</v>
      </c>
      <c r="AL751" s="417" t="s">
        <v>210</v>
      </c>
      <c r="AM751" s="392" t="s">
        <v>210</v>
      </c>
      <c r="AN751" s="392" t="s">
        <v>210</v>
      </c>
      <c r="AO751" s="341" t="s">
        <v>210</v>
      </c>
      <c r="AP751" s="342"/>
      <c r="AQ751" s="433" t="s">
        <v>4548</v>
      </c>
      <c r="AR751" s="452">
        <v>1756</v>
      </c>
      <c r="AS751" s="324">
        <v>50</v>
      </c>
      <c r="AT751" s="432">
        <v>1</v>
      </c>
      <c r="AU751" s="432"/>
      <c r="AV751" s="432">
        <v>1.5</v>
      </c>
      <c r="AW751" s="490"/>
      <c r="AX751" s="453" t="s">
        <v>210</v>
      </c>
      <c r="AY751" s="455" t="s">
        <v>210</v>
      </c>
      <c r="AZ751" s="405" t="s">
        <v>622</v>
      </c>
      <c r="BA751" s="324" t="s">
        <v>4436</v>
      </c>
      <c r="BB751" s="324" t="s">
        <v>3495</v>
      </c>
      <c r="BC751" s="324" t="s">
        <v>4432</v>
      </c>
      <c r="BD751" s="324" t="s">
        <v>3495</v>
      </c>
      <c r="BE751" s="324" t="s">
        <v>4437</v>
      </c>
      <c r="BF751" s="324" t="s">
        <v>3382</v>
      </c>
      <c r="BG751" s="324" t="s">
        <v>4438</v>
      </c>
      <c r="BH751" s="426" t="s">
        <v>3382</v>
      </c>
      <c r="BI751" s="410"/>
      <c r="BJ751" s="427" t="s">
        <v>9793</v>
      </c>
      <c r="BK751" s="412"/>
      <c r="BL751" s="413"/>
      <c r="BM751" s="414"/>
      <c r="BN751" s="321" t="s">
        <v>210</v>
      </c>
      <c r="BO751" s="372"/>
      <c r="BP751" s="373" t="s">
        <v>14</v>
      </c>
      <c r="BQ751" s="360"/>
      <c r="BR751" s="361"/>
      <c r="BS751" s="361"/>
      <c r="BT751" s="361"/>
      <c r="BU751" s="342" t="s">
        <v>210</v>
      </c>
      <c r="BV751" s="342" t="s">
        <v>210</v>
      </c>
      <c r="BW751" s="341" t="s">
        <v>210</v>
      </c>
      <c r="BX751" s="361"/>
      <c r="BY751" s="457"/>
      <c r="BZ751" s="363"/>
      <c r="CA751" s="363"/>
      <c r="CB751" s="363"/>
      <c r="CC751" s="363"/>
    </row>
    <row r="752" spans="1:82" s="465" customFormat="1" ht="22.5" customHeight="1">
      <c r="A752" s="287"/>
      <c r="B752" s="749">
        <v>160386</v>
      </c>
      <c r="C752" s="750" t="s">
        <v>4461</v>
      </c>
      <c r="D752" s="751"/>
      <c r="E752" s="752"/>
      <c r="F752" s="753" t="s">
        <v>709</v>
      </c>
      <c r="G752" s="754" t="s">
        <v>4462</v>
      </c>
      <c r="H752" s="754" t="s">
        <v>4463</v>
      </c>
      <c r="I752" s="662" t="s">
        <v>383</v>
      </c>
      <c r="J752" s="662" t="s">
        <v>387</v>
      </c>
      <c r="K752" s="754" t="s">
        <v>3533</v>
      </c>
      <c r="L752" s="663">
        <v>1.5</v>
      </c>
      <c r="M752" s="754"/>
      <c r="N752" s="755" t="s">
        <v>438</v>
      </c>
      <c r="O752" s="754">
        <v>20</v>
      </c>
      <c r="P752" s="782">
        <v>1050</v>
      </c>
      <c r="Q752" s="783">
        <v>3150</v>
      </c>
      <c r="R752" s="756" t="s">
        <v>4467</v>
      </c>
      <c r="S752" s="708"/>
      <c r="T752" s="708"/>
      <c r="U752" s="708"/>
      <c r="V752" s="708"/>
      <c r="W752" s="757" t="s">
        <v>4470</v>
      </c>
      <c r="X752" s="708" t="s">
        <v>12891</v>
      </c>
      <c r="Y752" s="708" t="s">
        <v>12892</v>
      </c>
      <c r="Z752" s="708" t="s">
        <v>16517</v>
      </c>
      <c r="AA752" s="708" t="s">
        <v>12893</v>
      </c>
      <c r="AB752" s="758" t="s">
        <v>3951</v>
      </c>
      <c r="AC752" s="758"/>
      <c r="AD752" s="671" t="s">
        <v>2333</v>
      </c>
      <c r="AE752" s="760" t="s">
        <v>4490</v>
      </c>
      <c r="AF752" s="761">
        <v>42696</v>
      </c>
      <c r="AG752" s="674" t="s">
        <v>10514</v>
      </c>
      <c r="AH752" s="675" t="s">
        <v>210</v>
      </c>
      <c r="AI752" s="676" t="s">
        <v>210</v>
      </c>
      <c r="AJ752" s="676" t="s">
        <v>210</v>
      </c>
      <c r="AK752" s="677" t="s">
        <v>210</v>
      </c>
      <c r="AL752" s="675" t="s">
        <v>210</v>
      </c>
      <c r="AM752" s="676" t="s">
        <v>210</v>
      </c>
      <c r="AN752" s="676" t="s">
        <v>210</v>
      </c>
      <c r="AO752" s="678" t="s">
        <v>210</v>
      </c>
      <c r="AP752" s="663"/>
      <c r="AQ752" s="762" t="s">
        <v>4547</v>
      </c>
      <c r="AR752" s="763">
        <v>1448</v>
      </c>
      <c r="AS752" s="754">
        <v>150</v>
      </c>
      <c r="AT752" s="785">
        <v>1.5</v>
      </c>
      <c r="AU752" s="785"/>
      <c r="AV752" s="785">
        <v>1</v>
      </c>
      <c r="AW752" s="764"/>
      <c r="AX752" s="675" t="s">
        <v>210</v>
      </c>
      <c r="AY752" s="772" t="s">
        <v>210</v>
      </c>
      <c r="AZ752" s="753" t="s">
        <v>4083</v>
      </c>
      <c r="BA752" s="754" t="s">
        <v>210</v>
      </c>
      <c r="BB752" s="754" t="s">
        <v>210</v>
      </c>
      <c r="BC752" s="754" t="s">
        <v>4464</v>
      </c>
      <c r="BD752" s="754" t="s">
        <v>3487</v>
      </c>
      <c r="BE752" s="754" t="s">
        <v>4465</v>
      </c>
      <c r="BF752" s="754" t="s">
        <v>3482</v>
      </c>
      <c r="BG752" s="754" t="s">
        <v>4465</v>
      </c>
      <c r="BH752" s="767" t="s">
        <v>3482</v>
      </c>
      <c r="BI752" s="765"/>
      <c r="BJ752" s="768" t="s">
        <v>210</v>
      </c>
      <c r="BK752" s="769"/>
      <c r="BL752" s="766"/>
      <c r="BM752" s="770"/>
      <c r="BN752" s="661" t="s">
        <v>14</v>
      </c>
      <c r="BO752" s="686"/>
      <c r="BP752" s="682" t="s">
        <v>210</v>
      </c>
      <c r="BQ752" s="773"/>
      <c r="BR752" s="688"/>
      <c r="BS752" s="688"/>
      <c r="BT752" s="688"/>
      <c r="BU752" s="663" t="s">
        <v>5510</v>
      </c>
      <c r="BV752" s="663" t="s">
        <v>5510</v>
      </c>
      <c r="BW752" s="678" t="s">
        <v>210</v>
      </c>
      <c r="BX752" s="688"/>
      <c r="BY752" s="774"/>
      <c r="BZ752" s="483"/>
      <c r="CA752" s="483"/>
      <c r="CB752" s="483"/>
      <c r="CC752" s="483"/>
      <c r="CD752" s="484"/>
    </row>
    <row r="753" spans="1:82" ht="22.5" customHeight="1">
      <c r="B753" s="442">
        <v>160387</v>
      </c>
      <c r="C753" s="747" t="s">
        <v>4473</v>
      </c>
      <c r="D753" s="439" t="s">
        <v>5419</v>
      </c>
      <c r="E753" s="404" t="s">
        <v>5361</v>
      </c>
      <c r="F753" s="405" t="s">
        <v>240</v>
      </c>
      <c r="G753" s="324" t="s">
        <v>4474</v>
      </c>
      <c r="H753" s="324" t="s">
        <v>4475</v>
      </c>
      <c r="I753" s="326" t="s">
        <v>383</v>
      </c>
      <c r="J753" s="326" t="s">
        <v>387</v>
      </c>
      <c r="K753" s="324" t="s">
        <v>307</v>
      </c>
      <c r="L753" s="432" t="s">
        <v>4543</v>
      </c>
      <c r="M753" s="408"/>
      <c r="N753" s="325" t="s">
        <v>437</v>
      </c>
      <c r="O753" s="324">
        <v>30</v>
      </c>
      <c r="P753" s="816">
        <v>223</v>
      </c>
      <c r="Q753" s="817">
        <v>436</v>
      </c>
      <c r="R753" s="329" t="s">
        <v>479</v>
      </c>
      <c r="S753" s="394" t="s">
        <v>12814</v>
      </c>
      <c r="T753" s="394" t="s">
        <v>12815</v>
      </c>
      <c r="U753" s="400"/>
      <c r="V753" s="394" t="s">
        <v>12816</v>
      </c>
      <c r="W753" s="332" t="s">
        <v>479</v>
      </c>
      <c r="X753" s="394" t="s">
        <v>12814</v>
      </c>
      <c r="Y753" s="394" t="s">
        <v>12815</v>
      </c>
      <c r="Z753" s="400"/>
      <c r="AA753" s="394" t="s">
        <v>12816</v>
      </c>
      <c r="AB753" s="416"/>
      <c r="AC753" s="416"/>
      <c r="AD753" s="375"/>
      <c r="AE753" s="815"/>
      <c r="AF753" s="475">
        <v>42702</v>
      </c>
      <c r="AG753" s="748">
        <v>42741</v>
      </c>
      <c r="AH753" s="417" t="s">
        <v>210</v>
      </c>
      <c r="AI753" s="392" t="s">
        <v>210</v>
      </c>
      <c r="AJ753" s="392" t="s">
        <v>210</v>
      </c>
      <c r="AK753" s="340" t="s">
        <v>210</v>
      </c>
      <c r="AL753" s="417" t="s">
        <v>210</v>
      </c>
      <c r="AM753" s="392" t="s">
        <v>210</v>
      </c>
      <c r="AN753" s="392" t="s">
        <v>210</v>
      </c>
      <c r="AO753" s="341" t="s">
        <v>210</v>
      </c>
      <c r="AP753" s="342"/>
      <c r="AQ753" s="433" t="s">
        <v>4548</v>
      </c>
      <c r="AR753" s="452">
        <v>364</v>
      </c>
      <c r="AS753" s="324">
        <v>50</v>
      </c>
      <c r="AT753" s="432">
        <v>0.8</v>
      </c>
      <c r="AU753" s="432"/>
      <c r="AV753" s="432">
        <v>1.5</v>
      </c>
      <c r="AW753" s="490"/>
      <c r="AX753" s="453" t="s">
        <v>210</v>
      </c>
      <c r="AY753" s="455" t="s">
        <v>210</v>
      </c>
      <c r="AZ753" s="405" t="s">
        <v>4083</v>
      </c>
      <c r="BA753" s="324" t="s">
        <v>210</v>
      </c>
      <c r="BB753" s="324" t="s">
        <v>210</v>
      </c>
      <c r="BC753" s="324" t="s">
        <v>4476</v>
      </c>
      <c r="BD753" s="324" t="s">
        <v>4477</v>
      </c>
      <c r="BE753" s="324" t="s">
        <v>4478</v>
      </c>
      <c r="BF753" s="324" t="s">
        <v>4477</v>
      </c>
      <c r="BG753" s="324" t="s">
        <v>4479</v>
      </c>
      <c r="BH753" s="426" t="s">
        <v>3559</v>
      </c>
      <c r="BI753" s="410"/>
      <c r="BJ753" s="427" t="s">
        <v>210</v>
      </c>
      <c r="BK753" s="412"/>
      <c r="BL753" s="413"/>
      <c r="BM753" s="414"/>
      <c r="BN753" s="321" t="s">
        <v>210</v>
      </c>
      <c r="BO753" s="372"/>
      <c r="BP753" s="373" t="s">
        <v>14</v>
      </c>
      <c r="BQ753" s="360"/>
      <c r="BR753" s="361"/>
      <c r="BS753" s="361"/>
      <c r="BT753" s="361"/>
      <c r="BU753" s="342" t="s">
        <v>210</v>
      </c>
      <c r="BV753" s="342" t="s">
        <v>210</v>
      </c>
      <c r="BW753" s="341" t="s">
        <v>210</v>
      </c>
      <c r="BX753" s="361"/>
      <c r="BY753" s="457"/>
      <c r="BZ753" s="363"/>
      <c r="CA753" s="363"/>
      <c r="CB753" s="363"/>
      <c r="CC753" s="363"/>
    </row>
    <row r="754" spans="1:82" ht="22.5" customHeight="1">
      <c r="B754" s="442">
        <v>160388</v>
      </c>
      <c r="C754" s="747" t="s">
        <v>4630</v>
      </c>
      <c r="D754" s="439" t="s">
        <v>4854</v>
      </c>
      <c r="E754" s="404" t="s">
        <v>5363</v>
      </c>
      <c r="F754" s="405" t="s">
        <v>240</v>
      </c>
      <c r="G754" s="324" t="s">
        <v>4697</v>
      </c>
      <c r="H754" s="324" t="s">
        <v>4698</v>
      </c>
      <c r="I754" s="326" t="s">
        <v>383</v>
      </c>
      <c r="J754" s="326" t="s">
        <v>399</v>
      </c>
      <c r="K754" s="326" t="s">
        <v>917</v>
      </c>
      <c r="L754" s="432" t="s">
        <v>210</v>
      </c>
      <c r="M754" s="324" t="s">
        <v>10767</v>
      </c>
      <c r="N754" s="444" t="s">
        <v>438</v>
      </c>
      <c r="O754" s="324">
        <v>30</v>
      </c>
      <c r="P754" s="458">
        <v>2300</v>
      </c>
      <c r="Q754" s="459">
        <v>2300</v>
      </c>
      <c r="R754" s="329" t="s">
        <v>447</v>
      </c>
      <c r="S754" s="394" t="s">
        <v>11188</v>
      </c>
      <c r="T754" s="331" t="s">
        <v>11087</v>
      </c>
      <c r="U754" s="331" t="s">
        <v>16355</v>
      </c>
      <c r="V754" s="394" t="s">
        <v>11189</v>
      </c>
      <c r="W754" s="332" t="s">
        <v>432</v>
      </c>
      <c r="X754" s="331" t="s">
        <v>11079</v>
      </c>
      <c r="Y754" s="331" t="s">
        <v>11080</v>
      </c>
      <c r="Z754" s="331" t="s">
        <v>11080</v>
      </c>
      <c r="AA754" s="402" t="s">
        <v>210</v>
      </c>
      <c r="AB754" s="416"/>
      <c r="AC754" s="416"/>
      <c r="AD754" s="447" t="s">
        <v>730</v>
      </c>
      <c r="AE754" s="499" t="s">
        <v>4686</v>
      </c>
      <c r="AF754" s="475">
        <v>42704</v>
      </c>
      <c r="AG754" s="748">
        <v>42760</v>
      </c>
      <c r="AH754" s="453">
        <v>6.7</v>
      </c>
      <c r="AI754" s="432">
        <v>14.8</v>
      </c>
      <c r="AJ754" s="432">
        <v>11.7</v>
      </c>
      <c r="AK754" s="455">
        <v>33.200000000000003</v>
      </c>
      <c r="AL754" s="417" t="s">
        <v>210</v>
      </c>
      <c r="AM754" s="392" t="s">
        <v>210</v>
      </c>
      <c r="AN754" s="392" t="s">
        <v>210</v>
      </c>
      <c r="AO754" s="341" t="s">
        <v>210</v>
      </c>
      <c r="AP754" s="342"/>
      <c r="AQ754" s="433" t="s">
        <v>4547</v>
      </c>
      <c r="AR754" s="452">
        <v>3979</v>
      </c>
      <c r="AS754" s="324">
        <v>100</v>
      </c>
      <c r="AT754" s="432">
        <v>0.8</v>
      </c>
      <c r="AU754" s="432"/>
      <c r="AV754" s="432">
        <v>1</v>
      </c>
      <c r="AW754" s="490"/>
      <c r="AX754" s="453" t="s">
        <v>210</v>
      </c>
      <c r="AY754" s="340" t="s">
        <v>622</v>
      </c>
      <c r="AZ754" s="405" t="s">
        <v>4083</v>
      </c>
      <c r="BA754" s="324" t="s">
        <v>210</v>
      </c>
      <c r="BB754" s="324" t="s">
        <v>210</v>
      </c>
      <c r="BC754" s="324" t="s">
        <v>210</v>
      </c>
      <c r="BD754" s="324" t="s">
        <v>210</v>
      </c>
      <c r="BE754" s="324" t="s">
        <v>210</v>
      </c>
      <c r="BF754" s="324" t="s">
        <v>210</v>
      </c>
      <c r="BG754" s="324" t="s">
        <v>4699</v>
      </c>
      <c r="BH754" s="426" t="s">
        <v>4700</v>
      </c>
      <c r="BI754" s="410"/>
      <c r="BJ754" s="427" t="s">
        <v>210</v>
      </c>
      <c r="BK754" s="412"/>
      <c r="BL754" s="413"/>
      <c r="BM754" s="414"/>
      <c r="BN754" s="321" t="s">
        <v>210</v>
      </c>
      <c r="BO754" s="372"/>
      <c r="BP754" s="373" t="s">
        <v>210</v>
      </c>
      <c r="BQ754" s="360"/>
      <c r="BR754" s="361"/>
      <c r="BS754" s="361"/>
      <c r="BT754" s="361"/>
      <c r="BU754" s="342" t="s">
        <v>210</v>
      </c>
      <c r="BV754" s="342" t="s">
        <v>210</v>
      </c>
      <c r="BW754" s="341" t="s">
        <v>210</v>
      </c>
      <c r="BX754" s="361"/>
      <c r="BY754" s="457"/>
      <c r="BZ754" s="363"/>
      <c r="CA754" s="363"/>
      <c r="CB754" s="363"/>
      <c r="CC754" s="363"/>
    </row>
    <row r="755" spans="1:82" ht="22.5" customHeight="1">
      <c r="B755" s="442">
        <v>160389</v>
      </c>
      <c r="C755" s="747" t="s">
        <v>4480</v>
      </c>
      <c r="D755" s="439" t="s">
        <v>5417</v>
      </c>
      <c r="E755" s="404" t="s">
        <v>5361</v>
      </c>
      <c r="F755" s="405" t="s">
        <v>266</v>
      </c>
      <c r="G755" s="324" t="s">
        <v>4481</v>
      </c>
      <c r="H755" s="324" t="s">
        <v>4482</v>
      </c>
      <c r="I755" s="326" t="s">
        <v>383</v>
      </c>
      <c r="J755" s="326" t="s">
        <v>387</v>
      </c>
      <c r="K755" s="324" t="s">
        <v>293</v>
      </c>
      <c r="L755" s="342">
        <v>15</v>
      </c>
      <c r="M755" s="408"/>
      <c r="N755" s="444" t="s">
        <v>438</v>
      </c>
      <c r="O755" s="324">
        <v>30</v>
      </c>
      <c r="P755" s="816">
        <v>168</v>
      </c>
      <c r="Q755" s="817">
        <v>225</v>
      </c>
      <c r="R755" s="420" t="s">
        <v>4488</v>
      </c>
      <c r="S755" s="400"/>
      <c r="T755" s="400"/>
      <c r="U755" s="400"/>
      <c r="V755" s="400"/>
      <c r="W755" s="332" t="s">
        <v>1095</v>
      </c>
      <c r="X755" s="394" t="s">
        <v>12791</v>
      </c>
      <c r="Y755" s="394" t="s">
        <v>12793</v>
      </c>
      <c r="Z755" s="394" t="s">
        <v>16280</v>
      </c>
      <c r="AA755" s="394" t="s">
        <v>12792</v>
      </c>
      <c r="AB755" s="333" t="s">
        <v>644</v>
      </c>
      <c r="AC755" s="416"/>
      <c r="AD755" s="447" t="s">
        <v>4684</v>
      </c>
      <c r="AE755" s="499" t="s">
        <v>4685</v>
      </c>
      <c r="AF755" s="475">
        <v>42703</v>
      </c>
      <c r="AG755" s="748">
        <v>42768</v>
      </c>
      <c r="AH755" s="417" t="s">
        <v>210</v>
      </c>
      <c r="AI755" s="392" t="s">
        <v>210</v>
      </c>
      <c r="AJ755" s="392" t="s">
        <v>210</v>
      </c>
      <c r="AK755" s="340" t="s">
        <v>210</v>
      </c>
      <c r="AL755" s="417" t="s">
        <v>210</v>
      </c>
      <c r="AM755" s="392" t="s">
        <v>210</v>
      </c>
      <c r="AN755" s="392" t="s">
        <v>210</v>
      </c>
      <c r="AO755" s="341" t="s">
        <v>210</v>
      </c>
      <c r="AP755" s="342"/>
      <c r="AQ755" s="433" t="s">
        <v>4547</v>
      </c>
      <c r="AR755" s="452">
        <v>208</v>
      </c>
      <c r="AS755" s="324">
        <v>100</v>
      </c>
      <c r="AT755" s="432">
        <v>1</v>
      </c>
      <c r="AU755" s="432"/>
      <c r="AV755" s="432">
        <v>1.5</v>
      </c>
      <c r="AW755" s="490"/>
      <c r="AX755" s="453" t="s">
        <v>210</v>
      </c>
      <c r="AY755" s="455" t="s">
        <v>210</v>
      </c>
      <c r="AZ755" s="405" t="s">
        <v>622</v>
      </c>
      <c r="BA755" s="324" t="s">
        <v>4483</v>
      </c>
      <c r="BB755" s="324" t="s">
        <v>4484</v>
      </c>
      <c r="BC755" s="324" t="s">
        <v>4485</v>
      </c>
      <c r="BD755" s="324" t="s">
        <v>4484</v>
      </c>
      <c r="BE755" s="324" t="s">
        <v>4486</v>
      </c>
      <c r="BF755" s="324" t="s">
        <v>4484</v>
      </c>
      <c r="BG755" s="324" t="s">
        <v>4485</v>
      </c>
      <c r="BH755" s="426" t="s">
        <v>4484</v>
      </c>
      <c r="BI755" s="410"/>
      <c r="BJ755" s="427" t="s">
        <v>4487</v>
      </c>
      <c r="BK755" s="412"/>
      <c r="BL755" s="413"/>
      <c r="BM755" s="414"/>
      <c r="BN755" s="321" t="s">
        <v>14</v>
      </c>
      <c r="BO755" s="372"/>
      <c r="BP755" s="373" t="s">
        <v>14</v>
      </c>
      <c r="BQ755" s="360"/>
      <c r="BR755" s="361"/>
      <c r="BS755" s="361"/>
      <c r="BT755" s="361"/>
      <c r="BU755" s="342" t="s">
        <v>210</v>
      </c>
      <c r="BV755" s="342" t="s">
        <v>210</v>
      </c>
      <c r="BW755" s="341" t="s">
        <v>210</v>
      </c>
      <c r="BX755" s="361"/>
      <c r="BY755" s="457"/>
      <c r="BZ755" s="363"/>
      <c r="CA755" s="363"/>
      <c r="CB755" s="363"/>
      <c r="CC755" s="363"/>
    </row>
    <row r="756" spans="1:82" s="465" customFormat="1" ht="22.5" customHeight="1">
      <c r="A756" s="287"/>
      <c r="B756" s="749">
        <v>160390</v>
      </c>
      <c r="C756" s="750" t="s">
        <v>4568</v>
      </c>
      <c r="D756" s="751" t="s">
        <v>4854</v>
      </c>
      <c r="E756" s="752" t="s">
        <v>5361</v>
      </c>
      <c r="F756" s="753" t="s">
        <v>4072</v>
      </c>
      <c r="G756" s="754" t="s">
        <v>4569</v>
      </c>
      <c r="H756" s="754" t="s">
        <v>4570</v>
      </c>
      <c r="I756" s="662" t="s">
        <v>4563</v>
      </c>
      <c r="J756" s="662" t="s">
        <v>387</v>
      </c>
      <c r="K756" s="662" t="s">
        <v>917</v>
      </c>
      <c r="L756" s="785" t="s">
        <v>210</v>
      </c>
      <c r="M756" s="754" t="s">
        <v>10767</v>
      </c>
      <c r="N756" s="755" t="s">
        <v>438</v>
      </c>
      <c r="O756" s="754">
        <v>21</v>
      </c>
      <c r="P756" s="782">
        <v>2998</v>
      </c>
      <c r="Q756" s="783">
        <v>1530</v>
      </c>
      <c r="R756" s="756" t="s">
        <v>16828</v>
      </c>
      <c r="S756" s="708"/>
      <c r="T756" s="708"/>
      <c r="U756" s="708"/>
      <c r="V756" s="708"/>
      <c r="W756" s="669" t="s">
        <v>432</v>
      </c>
      <c r="X756" s="668" t="s">
        <v>11082</v>
      </c>
      <c r="Y756" s="668" t="s">
        <v>11082</v>
      </c>
      <c r="Z756" s="668" t="s">
        <v>11082</v>
      </c>
      <c r="AA756" s="669" t="s">
        <v>210</v>
      </c>
      <c r="AB756" s="758"/>
      <c r="AC756" s="758"/>
      <c r="AD756" s="759" t="s">
        <v>392</v>
      </c>
      <c r="AE756" s="760"/>
      <c r="AF756" s="761">
        <v>42717</v>
      </c>
      <c r="AG756" s="674" t="s">
        <v>10514</v>
      </c>
      <c r="AH756" s="765"/>
      <c r="AI756" s="785"/>
      <c r="AJ756" s="785"/>
      <c r="AK756" s="772"/>
      <c r="AL756" s="661" t="s">
        <v>4565</v>
      </c>
      <c r="AM756" s="662" t="s">
        <v>4565</v>
      </c>
      <c r="AN756" s="662" t="s">
        <v>4565</v>
      </c>
      <c r="AO756" s="657" t="s">
        <v>4565</v>
      </c>
      <c r="AP756" s="688" t="s">
        <v>210</v>
      </c>
      <c r="AQ756" s="762" t="s">
        <v>4547</v>
      </c>
      <c r="AR756" s="763">
        <v>1822.6020000000001</v>
      </c>
      <c r="AS756" s="754">
        <v>150</v>
      </c>
      <c r="AT756" s="785">
        <v>1</v>
      </c>
      <c r="AU756" s="785" t="s">
        <v>5380</v>
      </c>
      <c r="AV756" s="785">
        <v>1.5</v>
      </c>
      <c r="AW756" s="764" t="s">
        <v>5381</v>
      </c>
      <c r="AX756" s="765" t="s">
        <v>210</v>
      </c>
      <c r="AY756" s="677" t="s">
        <v>622</v>
      </c>
      <c r="AZ756" s="753" t="s">
        <v>4083</v>
      </c>
      <c r="BA756" s="754" t="s">
        <v>210</v>
      </c>
      <c r="BB756" s="754" t="s">
        <v>210</v>
      </c>
      <c r="BC756" s="754" t="s">
        <v>4571</v>
      </c>
      <c r="BD756" s="754" t="s">
        <v>4572</v>
      </c>
      <c r="BE756" s="754" t="s">
        <v>4573</v>
      </c>
      <c r="BF756" s="754" t="s">
        <v>3422</v>
      </c>
      <c r="BG756" s="754" t="s">
        <v>4574</v>
      </c>
      <c r="BH756" s="767" t="s">
        <v>3422</v>
      </c>
      <c r="BI756" s="765">
        <v>2.2999999999999998</v>
      </c>
      <c r="BJ756" s="768" t="s">
        <v>210</v>
      </c>
      <c r="BK756" s="769"/>
      <c r="BL756" s="766"/>
      <c r="BM756" s="770"/>
      <c r="BN756" s="661" t="s">
        <v>14</v>
      </c>
      <c r="BO756" s="686"/>
      <c r="BP756" s="682" t="s">
        <v>210</v>
      </c>
      <c r="BQ756" s="773" t="s">
        <v>5379</v>
      </c>
      <c r="BR756" s="688" t="s">
        <v>210</v>
      </c>
      <c r="BS756" s="676" t="s">
        <v>622</v>
      </c>
      <c r="BT756" s="688" t="s">
        <v>210</v>
      </c>
      <c r="BU756" s="688" t="s">
        <v>210</v>
      </c>
      <c r="BV756" s="688" t="s">
        <v>210</v>
      </c>
      <c r="BW756" s="657" t="s">
        <v>210</v>
      </c>
      <c r="BX756" s="688"/>
      <c r="BY756" s="774"/>
      <c r="BZ756" s="483"/>
      <c r="CA756" s="483"/>
      <c r="CB756" s="483"/>
      <c r="CC756" s="483"/>
      <c r="CD756" s="484"/>
    </row>
    <row r="757" spans="1:82" ht="22.5" customHeight="1">
      <c r="B757" s="442">
        <v>160391</v>
      </c>
      <c r="C757" s="747" t="s">
        <v>4500</v>
      </c>
      <c r="D757" s="439" t="s">
        <v>5417</v>
      </c>
      <c r="E757" s="404" t="s">
        <v>5363</v>
      </c>
      <c r="F757" s="405" t="s">
        <v>238</v>
      </c>
      <c r="G757" s="324" t="s">
        <v>3736</v>
      </c>
      <c r="H757" s="324" t="s">
        <v>4501</v>
      </c>
      <c r="I757" s="326" t="s">
        <v>383</v>
      </c>
      <c r="J757" s="326" t="s">
        <v>399</v>
      </c>
      <c r="K757" s="326" t="s">
        <v>917</v>
      </c>
      <c r="L757" s="432" t="s">
        <v>4543</v>
      </c>
      <c r="M757" s="324" t="s">
        <v>10767</v>
      </c>
      <c r="N757" s="444" t="s">
        <v>438</v>
      </c>
      <c r="O757" s="324">
        <v>55</v>
      </c>
      <c r="P757" s="458">
        <v>2910</v>
      </c>
      <c r="Q757" s="459">
        <v>3035</v>
      </c>
      <c r="R757" s="329" t="s">
        <v>3649</v>
      </c>
      <c r="S757" s="394" t="s">
        <v>12858</v>
      </c>
      <c r="T757" s="331" t="s">
        <v>11322</v>
      </c>
      <c r="U757" s="331" t="s">
        <v>11327</v>
      </c>
      <c r="V757" s="394" t="s">
        <v>12859</v>
      </c>
      <c r="W757" s="460" t="s">
        <v>3864</v>
      </c>
      <c r="X757" s="394" t="s">
        <v>11499</v>
      </c>
      <c r="Y757" s="394" t="s">
        <v>11329</v>
      </c>
      <c r="Z757" s="394" t="s">
        <v>11502</v>
      </c>
      <c r="AA757" s="402" t="s">
        <v>6574</v>
      </c>
      <c r="AB757" s="416"/>
      <c r="AC757" s="416"/>
      <c r="AD757" s="334" t="s">
        <v>2327</v>
      </c>
      <c r="AE757" s="828" t="s">
        <v>946</v>
      </c>
      <c r="AF757" s="475">
        <v>42707</v>
      </c>
      <c r="AG757" s="748">
        <v>42761</v>
      </c>
      <c r="AH757" s="417" t="s">
        <v>210</v>
      </c>
      <c r="AI757" s="392" t="s">
        <v>210</v>
      </c>
      <c r="AJ757" s="392" t="s">
        <v>210</v>
      </c>
      <c r="AK757" s="340" t="s">
        <v>210</v>
      </c>
      <c r="AL757" s="417" t="s">
        <v>210</v>
      </c>
      <c r="AM757" s="392" t="s">
        <v>210</v>
      </c>
      <c r="AN757" s="392" t="s">
        <v>210</v>
      </c>
      <c r="AO757" s="341" t="s">
        <v>210</v>
      </c>
      <c r="AP757" s="342"/>
      <c r="AQ757" s="433" t="s">
        <v>4547</v>
      </c>
      <c r="AR757" s="452">
        <v>3417</v>
      </c>
      <c r="AS757" s="324">
        <v>100</v>
      </c>
      <c r="AT757" s="432">
        <v>1</v>
      </c>
      <c r="AU757" s="432"/>
      <c r="AV757" s="432">
        <v>1.5</v>
      </c>
      <c r="AW757" s="490"/>
      <c r="AX757" s="453" t="s">
        <v>210</v>
      </c>
      <c r="AY757" s="455" t="s">
        <v>210</v>
      </c>
      <c r="AZ757" s="405" t="s">
        <v>4083</v>
      </c>
      <c r="BA757" s="324" t="s">
        <v>210</v>
      </c>
      <c r="BB757" s="324" t="s">
        <v>210</v>
      </c>
      <c r="BC757" s="324" t="s">
        <v>210</v>
      </c>
      <c r="BD757" s="324" t="s">
        <v>210</v>
      </c>
      <c r="BE757" s="324" t="s">
        <v>4556</v>
      </c>
      <c r="BF757" s="324" t="s">
        <v>3574</v>
      </c>
      <c r="BG757" s="324" t="s">
        <v>4557</v>
      </c>
      <c r="BH757" s="426" t="s">
        <v>3574</v>
      </c>
      <c r="BI757" s="410"/>
      <c r="BJ757" s="427" t="s">
        <v>210</v>
      </c>
      <c r="BK757" s="412"/>
      <c r="BL757" s="413"/>
      <c r="BM757" s="414"/>
      <c r="BN757" s="321" t="s">
        <v>14</v>
      </c>
      <c r="BO757" s="372"/>
      <c r="BP757" s="373" t="s">
        <v>210</v>
      </c>
      <c r="BQ757" s="360"/>
      <c r="BR757" s="361"/>
      <c r="BS757" s="361"/>
      <c r="BT757" s="361"/>
      <c r="BU757" s="342" t="s">
        <v>210</v>
      </c>
      <c r="BV757" s="342" t="s">
        <v>210</v>
      </c>
      <c r="BW757" s="341" t="s">
        <v>210</v>
      </c>
      <c r="BX757" s="361"/>
      <c r="BY757" s="457"/>
      <c r="BZ757" s="363"/>
      <c r="CA757" s="363"/>
      <c r="CB757" s="363"/>
      <c r="CC757" s="363"/>
    </row>
    <row r="758" spans="1:82" ht="22.5" customHeight="1">
      <c r="B758" s="442">
        <v>160392</v>
      </c>
      <c r="C758" s="747" t="s">
        <v>4493</v>
      </c>
      <c r="D758" s="439" t="s">
        <v>5419</v>
      </c>
      <c r="E758" s="404" t="s">
        <v>5363</v>
      </c>
      <c r="F758" s="405" t="s">
        <v>1048</v>
      </c>
      <c r="G758" s="324" t="s">
        <v>4491</v>
      </c>
      <c r="H758" s="324" t="s">
        <v>4492</v>
      </c>
      <c r="I758" s="326" t="s">
        <v>383</v>
      </c>
      <c r="J758" s="326" t="s">
        <v>399</v>
      </c>
      <c r="K758" s="326" t="s">
        <v>917</v>
      </c>
      <c r="L758" s="432" t="s">
        <v>4543</v>
      </c>
      <c r="M758" s="408"/>
      <c r="N758" s="325" t="s">
        <v>437</v>
      </c>
      <c r="O758" s="324">
        <v>55</v>
      </c>
      <c r="P758" s="816">
        <v>200</v>
      </c>
      <c r="Q758" s="817">
        <v>200</v>
      </c>
      <c r="R758" s="420" t="s">
        <v>4497</v>
      </c>
      <c r="S758" s="394" t="s">
        <v>12855</v>
      </c>
      <c r="T758" s="394" t="s">
        <v>12856</v>
      </c>
      <c r="U758" s="400"/>
      <c r="V758" s="394" t="s">
        <v>12857</v>
      </c>
      <c r="W758" s="460" t="s">
        <v>4497</v>
      </c>
      <c r="X758" s="394" t="s">
        <v>12855</v>
      </c>
      <c r="Y758" s="394" t="s">
        <v>12856</v>
      </c>
      <c r="Z758" s="400"/>
      <c r="AA758" s="394" t="s">
        <v>12857</v>
      </c>
      <c r="AB758" s="416"/>
      <c r="AC758" s="416"/>
      <c r="AD758" s="375"/>
      <c r="AE758" s="335" t="s">
        <v>210</v>
      </c>
      <c r="AF758" s="475">
        <v>42706</v>
      </c>
      <c r="AG758" s="748">
        <v>42719</v>
      </c>
      <c r="AH758" s="417" t="s">
        <v>210</v>
      </c>
      <c r="AI758" s="392" t="s">
        <v>210</v>
      </c>
      <c r="AJ758" s="392" t="s">
        <v>210</v>
      </c>
      <c r="AK758" s="340" t="s">
        <v>210</v>
      </c>
      <c r="AL758" s="417" t="s">
        <v>210</v>
      </c>
      <c r="AM758" s="392" t="s">
        <v>210</v>
      </c>
      <c r="AN758" s="392" t="s">
        <v>210</v>
      </c>
      <c r="AO758" s="341" t="s">
        <v>210</v>
      </c>
      <c r="AP758" s="342"/>
      <c r="AQ758" s="433" t="s">
        <v>4548</v>
      </c>
      <c r="AR758" s="452">
        <v>329</v>
      </c>
      <c r="AS758" s="324">
        <v>30</v>
      </c>
      <c r="AT758" s="432">
        <v>0.8</v>
      </c>
      <c r="AU758" s="432"/>
      <c r="AV758" s="432">
        <v>1</v>
      </c>
      <c r="AW758" s="490"/>
      <c r="AX758" s="453" t="s">
        <v>210</v>
      </c>
      <c r="AY758" s="455" t="s">
        <v>210</v>
      </c>
      <c r="AZ758" s="405" t="s">
        <v>4083</v>
      </c>
      <c r="BA758" s="324" t="s">
        <v>210</v>
      </c>
      <c r="BB758" s="324" t="s">
        <v>210</v>
      </c>
      <c r="BC758" s="324" t="s">
        <v>4494</v>
      </c>
      <c r="BD758" s="324" t="s">
        <v>3360</v>
      </c>
      <c r="BE758" s="324" t="s">
        <v>4495</v>
      </c>
      <c r="BF758" s="324" t="s">
        <v>4185</v>
      </c>
      <c r="BG758" s="324" t="s">
        <v>4496</v>
      </c>
      <c r="BH758" s="426" t="s">
        <v>3936</v>
      </c>
      <c r="BI758" s="410"/>
      <c r="BJ758" s="427" t="s">
        <v>210</v>
      </c>
      <c r="BK758" s="412"/>
      <c r="BL758" s="413"/>
      <c r="BM758" s="414"/>
      <c r="BN758" s="321" t="s">
        <v>14</v>
      </c>
      <c r="BO758" s="372"/>
      <c r="BP758" s="373" t="s">
        <v>210</v>
      </c>
      <c r="BQ758" s="360"/>
      <c r="BR758" s="361"/>
      <c r="BS758" s="361"/>
      <c r="BT758" s="361"/>
      <c r="BU758" s="342" t="s">
        <v>210</v>
      </c>
      <c r="BV758" s="342" t="s">
        <v>210</v>
      </c>
      <c r="BW758" s="341" t="s">
        <v>210</v>
      </c>
      <c r="BX758" s="361"/>
      <c r="BY758" s="457"/>
      <c r="BZ758" s="363"/>
      <c r="CA758" s="363"/>
      <c r="CB758" s="363"/>
      <c r="CC758" s="363"/>
    </row>
    <row r="759" spans="1:82" ht="22.5" customHeight="1">
      <c r="B759" s="442">
        <v>160393</v>
      </c>
      <c r="C759" s="747" t="s">
        <v>4530</v>
      </c>
      <c r="D759" s="439" t="s">
        <v>5417</v>
      </c>
      <c r="E759" s="404" t="s">
        <v>5362</v>
      </c>
      <c r="F759" s="405" t="s">
        <v>1043</v>
      </c>
      <c r="G759" s="324" t="s">
        <v>4531</v>
      </c>
      <c r="H759" s="324" t="s">
        <v>4532</v>
      </c>
      <c r="I759" s="326" t="s">
        <v>383</v>
      </c>
      <c r="J759" s="326" t="s">
        <v>387</v>
      </c>
      <c r="K759" s="326" t="s">
        <v>917</v>
      </c>
      <c r="L759" s="787">
        <v>1.5</v>
      </c>
      <c r="M759" s="408"/>
      <c r="N759" s="444" t="s">
        <v>438</v>
      </c>
      <c r="O759" s="324">
        <v>130</v>
      </c>
      <c r="P759" s="816">
        <v>1643</v>
      </c>
      <c r="Q759" s="817">
        <v>1230</v>
      </c>
      <c r="R759" s="420" t="s">
        <v>4533</v>
      </c>
      <c r="S759" s="394" t="s">
        <v>12234</v>
      </c>
      <c r="T759" s="394" t="s">
        <v>12235</v>
      </c>
      <c r="U759" s="400"/>
      <c r="V759" s="394" t="s">
        <v>12236</v>
      </c>
      <c r="W759" s="460" t="s">
        <v>4536</v>
      </c>
      <c r="X759" s="394" t="s">
        <v>12241</v>
      </c>
      <c r="Y759" s="394" t="s">
        <v>12112</v>
      </c>
      <c r="Z759" s="400"/>
      <c r="AA759" s="394" t="s">
        <v>12114</v>
      </c>
      <c r="AB759" s="416"/>
      <c r="AC759" s="416"/>
      <c r="AD759" s="447" t="s">
        <v>3707</v>
      </c>
      <c r="AE759" s="499" t="s">
        <v>5132</v>
      </c>
      <c r="AF759" s="475">
        <v>42714</v>
      </c>
      <c r="AG759" s="748">
        <v>42822</v>
      </c>
      <c r="AH759" s="417" t="s">
        <v>210</v>
      </c>
      <c r="AI759" s="392" t="s">
        <v>210</v>
      </c>
      <c r="AJ759" s="392" t="s">
        <v>210</v>
      </c>
      <c r="AK759" s="340" t="s">
        <v>210</v>
      </c>
      <c r="AL759" s="417" t="s">
        <v>210</v>
      </c>
      <c r="AM759" s="392" t="s">
        <v>210</v>
      </c>
      <c r="AN759" s="392" t="s">
        <v>210</v>
      </c>
      <c r="AO759" s="341" t="s">
        <v>210</v>
      </c>
      <c r="AP759" s="342"/>
      <c r="AQ759" s="433" t="s">
        <v>4547</v>
      </c>
      <c r="AR759" s="452">
        <v>1747</v>
      </c>
      <c r="AS759" s="324">
        <v>150</v>
      </c>
      <c r="AT759" s="432">
        <v>1</v>
      </c>
      <c r="AU759" s="432"/>
      <c r="AV759" s="432">
        <v>2.2000000000000002</v>
      </c>
      <c r="AW759" s="490"/>
      <c r="AX759" s="453" t="s">
        <v>210</v>
      </c>
      <c r="AY759" s="455" t="s">
        <v>210</v>
      </c>
      <c r="AZ759" s="405" t="s">
        <v>4083</v>
      </c>
      <c r="BA759" s="324" t="s">
        <v>210</v>
      </c>
      <c r="BB759" s="324" t="s">
        <v>210</v>
      </c>
      <c r="BC759" s="324" t="s">
        <v>210</v>
      </c>
      <c r="BD759" s="324" t="s">
        <v>210</v>
      </c>
      <c r="BE759" s="324" t="s">
        <v>210</v>
      </c>
      <c r="BF759" s="324" t="s">
        <v>210</v>
      </c>
      <c r="BG759" s="324" t="s">
        <v>4539</v>
      </c>
      <c r="BH759" s="426" t="s">
        <v>4540</v>
      </c>
      <c r="BI759" s="410"/>
      <c r="BJ759" s="427" t="s">
        <v>210</v>
      </c>
      <c r="BK759" s="412"/>
      <c r="BL759" s="413"/>
      <c r="BM759" s="414"/>
      <c r="BN759" s="321" t="s">
        <v>210</v>
      </c>
      <c r="BO759" s="372"/>
      <c r="BP759" s="373" t="s">
        <v>210</v>
      </c>
      <c r="BQ759" s="360"/>
      <c r="BR759" s="361"/>
      <c r="BS759" s="361"/>
      <c r="BT759" s="361"/>
      <c r="BU759" s="342" t="s">
        <v>210</v>
      </c>
      <c r="BV759" s="342" t="s">
        <v>210</v>
      </c>
      <c r="BW759" s="341" t="s">
        <v>210</v>
      </c>
      <c r="BX759" s="361"/>
      <c r="BY759" s="457"/>
      <c r="BZ759" s="363"/>
      <c r="CA759" s="363"/>
      <c r="CB759" s="363"/>
      <c r="CC759" s="363"/>
    </row>
    <row r="760" spans="1:82" ht="22.5" customHeight="1">
      <c r="B760" s="442">
        <v>160394</v>
      </c>
      <c r="C760" s="747" t="s">
        <v>4502</v>
      </c>
      <c r="D760" s="439" t="s">
        <v>5417</v>
      </c>
      <c r="E760" s="404" t="s">
        <v>5362</v>
      </c>
      <c r="F760" s="405" t="s">
        <v>266</v>
      </c>
      <c r="G760" s="324" t="s">
        <v>3257</v>
      </c>
      <c r="H760" s="324" t="s">
        <v>4503</v>
      </c>
      <c r="I760" s="326" t="s">
        <v>1066</v>
      </c>
      <c r="J760" s="326" t="s">
        <v>1011</v>
      </c>
      <c r="K760" s="324" t="s">
        <v>4509</v>
      </c>
      <c r="L760" s="432" t="s">
        <v>4543</v>
      </c>
      <c r="M760" s="408"/>
      <c r="N760" s="444" t="s">
        <v>438</v>
      </c>
      <c r="O760" s="324">
        <v>40</v>
      </c>
      <c r="P760" s="816">
        <v>580</v>
      </c>
      <c r="Q760" s="817">
        <v>220</v>
      </c>
      <c r="R760" s="329" t="s">
        <v>4504</v>
      </c>
      <c r="S760" s="400"/>
      <c r="T760" s="400"/>
      <c r="U760" s="400"/>
      <c r="V760" s="400"/>
      <c r="W760" s="460" t="s">
        <v>4506</v>
      </c>
      <c r="X760" s="394" t="s">
        <v>12851</v>
      </c>
      <c r="Y760" s="394" t="s">
        <v>12853</v>
      </c>
      <c r="Z760" s="394" t="s">
        <v>12852</v>
      </c>
      <c r="AA760" s="394" t="s">
        <v>12854</v>
      </c>
      <c r="AB760" s="416"/>
      <c r="AC760" s="416"/>
      <c r="AD760" s="375"/>
      <c r="AE760" s="815"/>
      <c r="AF760" s="475">
        <v>42712</v>
      </c>
      <c r="AG760" s="748">
        <v>42791</v>
      </c>
      <c r="AH760" s="417" t="s">
        <v>210</v>
      </c>
      <c r="AI760" s="392" t="s">
        <v>210</v>
      </c>
      <c r="AJ760" s="392" t="s">
        <v>210</v>
      </c>
      <c r="AK760" s="340" t="s">
        <v>210</v>
      </c>
      <c r="AL760" s="417" t="s">
        <v>210</v>
      </c>
      <c r="AM760" s="392" t="s">
        <v>210</v>
      </c>
      <c r="AN760" s="392" t="s">
        <v>210</v>
      </c>
      <c r="AO760" s="341" t="s">
        <v>210</v>
      </c>
      <c r="AP760" s="342"/>
      <c r="AQ760" s="433" t="s">
        <v>4551</v>
      </c>
      <c r="AR760" s="452">
        <v>338</v>
      </c>
      <c r="AS760" s="324">
        <v>100</v>
      </c>
      <c r="AT760" s="432">
        <v>1.2</v>
      </c>
      <c r="AU760" s="432"/>
      <c r="AV760" s="432">
        <v>1.2</v>
      </c>
      <c r="AW760" s="490"/>
      <c r="AX760" s="453" t="s">
        <v>210</v>
      </c>
      <c r="AY760" s="455" t="s">
        <v>210</v>
      </c>
      <c r="AZ760" s="405" t="s">
        <v>4083</v>
      </c>
      <c r="BA760" s="324" t="s">
        <v>210</v>
      </c>
      <c r="BB760" s="324" t="s">
        <v>210</v>
      </c>
      <c r="BC760" s="324" t="s">
        <v>3459</v>
      </c>
      <c r="BD760" s="324" t="s">
        <v>3898</v>
      </c>
      <c r="BE760" s="324" t="s">
        <v>4510</v>
      </c>
      <c r="BF760" s="324" t="s">
        <v>3482</v>
      </c>
      <c r="BG760" s="324" t="s">
        <v>4511</v>
      </c>
      <c r="BH760" s="426" t="s">
        <v>3898</v>
      </c>
      <c r="BI760" s="410"/>
      <c r="BJ760" s="427" t="s">
        <v>210</v>
      </c>
      <c r="BK760" s="412"/>
      <c r="BL760" s="413"/>
      <c r="BM760" s="414"/>
      <c r="BN760" s="321" t="s">
        <v>14</v>
      </c>
      <c r="BO760" s="372"/>
      <c r="BP760" s="373" t="s">
        <v>210</v>
      </c>
      <c r="BQ760" s="360"/>
      <c r="BR760" s="361"/>
      <c r="BS760" s="361"/>
      <c r="BT760" s="361"/>
      <c r="BU760" s="342" t="s">
        <v>210</v>
      </c>
      <c r="BV760" s="342" t="s">
        <v>210</v>
      </c>
      <c r="BW760" s="341" t="s">
        <v>210</v>
      </c>
      <c r="BX760" s="361"/>
      <c r="BY760" s="457"/>
      <c r="BZ760" s="363"/>
      <c r="CA760" s="363"/>
      <c r="CB760" s="363"/>
      <c r="CC760" s="363"/>
    </row>
    <row r="761" spans="1:82" ht="22.5" customHeight="1">
      <c r="B761" s="442">
        <v>160395</v>
      </c>
      <c r="C761" s="747" t="s">
        <v>4520</v>
      </c>
      <c r="D761" s="439" t="s">
        <v>5418</v>
      </c>
      <c r="E761" s="404" t="s">
        <v>5361</v>
      </c>
      <c r="F761" s="405" t="s">
        <v>4521</v>
      </c>
      <c r="G761" s="324" t="s">
        <v>4522</v>
      </c>
      <c r="H761" s="324" t="s">
        <v>4523</v>
      </c>
      <c r="I761" s="326" t="s">
        <v>383</v>
      </c>
      <c r="J761" s="326" t="s">
        <v>387</v>
      </c>
      <c r="K761" s="324" t="s">
        <v>307</v>
      </c>
      <c r="L761" s="432" t="s">
        <v>4543</v>
      </c>
      <c r="M761" s="408"/>
      <c r="N761" s="444" t="s">
        <v>438</v>
      </c>
      <c r="O761" s="324">
        <v>32</v>
      </c>
      <c r="P761" s="816">
        <v>454</v>
      </c>
      <c r="Q761" s="817">
        <v>242</v>
      </c>
      <c r="R761" s="329" t="s">
        <v>4528</v>
      </c>
      <c r="S761" s="330"/>
      <c r="T761" s="330"/>
      <c r="U761" s="330"/>
      <c r="V761" s="330"/>
      <c r="W761" s="332" t="s">
        <v>554</v>
      </c>
      <c r="X761" s="331" t="s">
        <v>12886</v>
      </c>
      <c r="Y761" s="331" t="s">
        <v>12887</v>
      </c>
      <c r="Z761" s="331" t="s">
        <v>16518</v>
      </c>
      <c r="AA761" s="331" t="s">
        <v>12885</v>
      </c>
      <c r="AB761" s="416" t="s">
        <v>3775</v>
      </c>
      <c r="AC761" s="416"/>
      <c r="AD761" s="447" t="s">
        <v>4756</v>
      </c>
      <c r="AE761" s="499" t="s">
        <v>4757</v>
      </c>
      <c r="AF761" s="475">
        <v>42713</v>
      </c>
      <c r="AG761" s="748">
        <v>42770</v>
      </c>
      <c r="AH761" s="417" t="s">
        <v>210</v>
      </c>
      <c r="AI761" s="392" t="s">
        <v>210</v>
      </c>
      <c r="AJ761" s="392" t="s">
        <v>210</v>
      </c>
      <c r="AK761" s="340" t="s">
        <v>210</v>
      </c>
      <c r="AL761" s="417" t="s">
        <v>210</v>
      </c>
      <c r="AM761" s="392" t="s">
        <v>210</v>
      </c>
      <c r="AN761" s="392" t="s">
        <v>210</v>
      </c>
      <c r="AO761" s="341" t="s">
        <v>210</v>
      </c>
      <c r="AP761" s="342"/>
      <c r="AQ761" s="433" t="s">
        <v>4547</v>
      </c>
      <c r="AR761" s="452">
        <v>323</v>
      </c>
      <c r="AS761" s="324">
        <v>100</v>
      </c>
      <c r="AT761" s="432">
        <v>0.8</v>
      </c>
      <c r="AU761" s="432"/>
      <c r="AV761" s="432">
        <v>1.5</v>
      </c>
      <c r="AW761" s="490"/>
      <c r="AX761" s="453" t="s">
        <v>210</v>
      </c>
      <c r="AY761" s="455" t="s">
        <v>210</v>
      </c>
      <c r="AZ761" s="405" t="s">
        <v>4083</v>
      </c>
      <c r="BA761" s="324" t="s">
        <v>210</v>
      </c>
      <c r="BB761" s="324" t="s">
        <v>210</v>
      </c>
      <c r="BC761" s="324" t="s">
        <v>4524</v>
      </c>
      <c r="BD761" s="324" t="s">
        <v>4525</v>
      </c>
      <c r="BE761" s="324" t="s">
        <v>4524</v>
      </c>
      <c r="BF761" s="324" t="s">
        <v>4526</v>
      </c>
      <c r="BG761" s="324" t="s">
        <v>4527</v>
      </c>
      <c r="BH761" s="426" t="s">
        <v>4525</v>
      </c>
      <c r="BI761" s="410"/>
      <c r="BJ761" s="427" t="s">
        <v>210</v>
      </c>
      <c r="BK761" s="412"/>
      <c r="BL761" s="413"/>
      <c r="BM761" s="414"/>
      <c r="BN761" s="321" t="s">
        <v>14</v>
      </c>
      <c r="BO761" s="372"/>
      <c r="BP761" s="373" t="s">
        <v>14</v>
      </c>
      <c r="BQ761" s="360"/>
      <c r="BR761" s="361"/>
      <c r="BS761" s="361"/>
      <c r="BT761" s="361"/>
      <c r="BU761" s="342" t="s">
        <v>210</v>
      </c>
      <c r="BV761" s="342" t="s">
        <v>210</v>
      </c>
      <c r="BW761" s="341" t="s">
        <v>210</v>
      </c>
      <c r="BX761" s="361"/>
      <c r="BY761" s="457"/>
      <c r="BZ761" s="363"/>
      <c r="CA761" s="363"/>
      <c r="CB761" s="363"/>
      <c r="CC761" s="363"/>
    </row>
    <row r="762" spans="1:82" ht="22.5" customHeight="1">
      <c r="B762" s="442">
        <v>160396</v>
      </c>
      <c r="C762" s="747" t="s">
        <v>7798</v>
      </c>
      <c r="D762" s="439" t="s">
        <v>4854</v>
      </c>
      <c r="E762" s="404" t="s">
        <v>5362</v>
      </c>
      <c r="F762" s="405" t="s">
        <v>4774</v>
      </c>
      <c r="G762" s="324" t="s">
        <v>3825</v>
      </c>
      <c r="H762" s="324" t="s">
        <v>4775</v>
      </c>
      <c r="I762" s="326" t="s">
        <v>383</v>
      </c>
      <c r="J762" s="326" t="s">
        <v>399</v>
      </c>
      <c r="K762" s="326" t="s">
        <v>917</v>
      </c>
      <c r="L762" s="392" t="s">
        <v>210</v>
      </c>
      <c r="M762" s="324" t="s">
        <v>10767</v>
      </c>
      <c r="N762" s="444" t="s">
        <v>438</v>
      </c>
      <c r="O762" s="324">
        <v>100</v>
      </c>
      <c r="P762" s="458">
        <v>6081</v>
      </c>
      <c r="Q762" s="459">
        <v>5779</v>
      </c>
      <c r="R762" s="420" t="s">
        <v>6398</v>
      </c>
      <c r="S762" s="394" t="s">
        <v>12882</v>
      </c>
      <c r="T762" s="394" t="s">
        <v>12883</v>
      </c>
      <c r="U762" s="394" t="s">
        <v>16412</v>
      </c>
      <c r="V762" s="394" t="s">
        <v>12884</v>
      </c>
      <c r="W762" s="460" t="s">
        <v>4603</v>
      </c>
      <c r="X762" s="394" t="s">
        <v>12850</v>
      </c>
      <c r="Y762" s="331" t="s">
        <v>11906</v>
      </c>
      <c r="Z762" s="331" t="s">
        <v>12414</v>
      </c>
      <c r="AA762" s="830" t="s">
        <v>12849</v>
      </c>
      <c r="AB762" s="416"/>
      <c r="AC762" s="416"/>
      <c r="AD762" s="334" t="s">
        <v>2326</v>
      </c>
      <c r="AE762" s="499" t="s">
        <v>4998</v>
      </c>
      <c r="AF762" s="475">
        <v>42777</v>
      </c>
      <c r="AG762" s="748">
        <v>42878</v>
      </c>
      <c r="AH762" s="417" t="s">
        <v>210</v>
      </c>
      <c r="AI762" s="392" t="s">
        <v>210</v>
      </c>
      <c r="AJ762" s="392" t="s">
        <v>210</v>
      </c>
      <c r="AK762" s="340" t="s">
        <v>210</v>
      </c>
      <c r="AL762" s="417" t="s">
        <v>210</v>
      </c>
      <c r="AM762" s="392" t="s">
        <v>210</v>
      </c>
      <c r="AN762" s="392" t="s">
        <v>210</v>
      </c>
      <c r="AO762" s="341" t="s">
        <v>210</v>
      </c>
      <c r="AP762" s="342"/>
      <c r="AQ762" s="433" t="s">
        <v>4547</v>
      </c>
      <c r="AR762" s="452">
        <v>7112</v>
      </c>
      <c r="AS762" s="324">
        <v>100</v>
      </c>
      <c r="AT762" s="432">
        <v>1</v>
      </c>
      <c r="AU762" s="432"/>
      <c r="AV762" s="432">
        <v>1.6</v>
      </c>
      <c r="AW762" s="490"/>
      <c r="AX762" s="453" t="s">
        <v>210</v>
      </c>
      <c r="AY762" s="455" t="s">
        <v>210</v>
      </c>
      <c r="AZ762" s="405" t="s">
        <v>622</v>
      </c>
      <c r="BA762" s="324" t="s">
        <v>4776</v>
      </c>
      <c r="BB762" s="324" t="s">
        <v>3492</v>
      </c>
      <c r="BC762" s="324" t="s">
        <v>4777</v>
      </c>
      <c r="BD762" s="324" t="s">
        <v>3492</v>
      </c>
      <c r="BE762" s="324" t="s">
        <v>4777</v>
      </c>
      <c r="BF762" s="324" t="s">
        <v>3574</v>
      </c>
      <c r="BG762" s="324" t="s">
        <v>4778</v>
      </c>
      <c r="BH762" s="426" t="s">
        <v>3574</v>
      </c>
      <c r="BI762" s="410"/>
      <c r="BJ762" s="427" t="s">
        <v>210</v>
      </c>
      <c r="BK762" s="412"/>
      <c r="BL762" s="413"/>
      <c r="BM762" s="414"/>
      <c r="BN762" s="321" t="s">
        <v>14</v>
      </c>
      <c r="BO762" s="372"/>
      <c r="BP762" s="373" t="s">
        <v>14</v>
      </c>
      <c r="BQ762" s="360"/>
      <c r="BR762" s="361"/>
      <c r="BS762" s="361"/>
      <c r="BT762" s="361"/>
      <c r="BU762" s="342" t="s">
        <v>210</v>
      </c>
      <c r="BV762" s="342" t="s">
        <v>210</v>
      </c>
      <c r="BW762" s="341" t="s">
        <v>210</v>
      </c>
      <c r="BX762" s="361"/>
      <c r="BY762" s="457"/>
      <c r="BZ762" s="363"/>
      <c r="CA762" s="363"/>
      <c r="CB762" s="363"/>
      <c r="CC762" s="363"/>
    </row>
    <row r="763" spans="1:82" ht="22.5" customHeight="1">
      <c r="B763" s="442">
        <v>160397</v>
      </c>
      <c r="C763" s="747" t="s">
        <v>4560</v>
      </c>
      <c r="D763" s="439" t="s">
        <v>5417</v>
      </c>
      <c r="E763" s="404" t="s">
        <v>5361</v>
      </c>
      <c r="F763" s="405" t="s">
        <v>264</v>
      </c>
      <c r="G763" s="324" t="s">
        <v>4561</v>
      </c>
      <c r="H763" s="324" t="s">
        <v>4562</v>
      </c>
      <c r="I763" s="326" t="s">
        <v>4563</v>
      </c>
      <c r="J763" s="326" t="s">
        <v>4564</v>
      </c>
      <c r="K763" s="324" t="s">
        <v>247</v>
      </c>
      <c r="L763" s="432" t="s">
        <v>210</v>
      </c>
      <c r="M763" s="408"/>
      <c r="N763" s="444" t="s">
        <v>4565</v>
      </c>
      <c r="O763" s="324" t="s">
        <v>4565</v>
      </c>
      <c r="P763" s="816">
        <v>337</v>
      </c>
      <c r="Q763" s="817">
        <v>337</v>
      </c>
      <c r="R763" s="420" t="s">
        <v>4566</v>
      </c>
      <c r="S763" s="394" t="s">
        <v>12879</v>
      </c>
      <c r="T763" s="394" t="s">
        <v>12880</v>
      </c>
      <c r="U763" s="394" t="s">
        <v>16273</v>
      </c>
      <c r="V763" s="394" t="s">
        <v>12881</v>
      </c>
      <c r="W763" s="460" t="s">
        <v>4567</v>
      </c>
      <c r="X763" s="400"/>
      <c r="Y763" s="400"/>
      <c r="Z763" s="400"/>
      <c r="AA763" s="400"/>
      <c r="AB763" s="416"/>
      <c r="AC763" s="416"/>
      <c r="AD763" s="334" t="s">
        <v>210</v>
      </c>
      <c r="AE763" s="335" t="s">
        <v>210</v>
      </c>
      <c r="AF763" s="475">
        <v>42718</v>
      </c>
      <c r="AG763" s="748">
        <v>42724</v>
      </c>
      <c r="AH763" s="321" t="s">
        <v>4565</v>
      </c>
      <c r="AI763" s="326" t="s">
        <v>4565</v>
      </c>
      <c r="AJ763" s="326" t="s">
        <v>4565</v>
      </c>
      <c r="AK763" s="373" t="s">
        <v>4565</v>
      </c>
      <c r="AL763" s="321" t="s">
        <v>4565</v>
      </c>
      <c r="AM763" s="326" t="s">
        <v>4565</v>
      </c>
      <c r="AN763" s="326" t="s">
        <v>4565</v>
      </c>
      <c r="AO763" s="655" t="s">
        <v>4565</v>
      </c>
      <c r="AP763" s="342"/>
      <c r="AQ763" s="433" t="s">
        <v>4547</v>
      </c>
      <c r="AR763" s="452">
        <v>731</v>
      </c>
      <c r="AS763" s="324">
        <v>120</v>
      </c>
      <c r="AT763" s="432">
        <v>1</v>
      </c>
      <c r="AU763" s="432"/>
      <c r="AV763" s="432">
        <v>1.05</v>
      </c>
      <c r="AW763" s="490"/>
      <c r="AX763" s="453" t="s">
        <v>210</v>
      </c>
      <c r="AY763" s="455" t="s">
        <v>210</v>
      </c>
      <c r="AZ763" s="405" t="s">
        <v>4083</v>
      </c>
      <c r="BA763" s="324" t="s">
        <v>210</v>
      </c>
      <c r="BB763" s="324" t="s">
        <v>210</v>
      </c>
      <c r="BC763" s="324" t="s">
        <v>210</v>
      </c>
      <c r="BD763" s="324" t="s">
        <v>210</v>
      </c>
      <c r="BE763" s="324" t="s">
        <v>210</v>
      </c>
      <c r="BF763" s="324" t="s">
        <v>210</v>
      </c>
      <c r="BG763" s="324" t="s">
        <v>210</v>
      </c>
      <c r="BH763" s="426" t="s">
        <v>210</v>
      </c>
      <c r="BI763" s="410"/>
      <c r="BJ763" s="427" t="s">
        <v>210</v>
      </c>
      <c r="BK763" s="412"/>
      <c r="BL763" s="413"/>
      <c r="BM763" s="414"/>
      <c r="BN763" s="321" t="s">
        <v>4565</v>
      </c>
      <c r="BO763" s="372"/>
      <c r="BP763" s="373" t="s">
        <v>4565</v>
      </c>
      <c r="BQ763" s="360"/>
      <c r="BR763" s="361"/>
      <c r="BS763" s="361"/>
      <c r="BT763" s="361"/>
      <c r="BU763" s="342" t="s">
        <v>210</v>
      </c>
      <c r="BV763" s="342" t="s">
        <v>210</v>
      </c>
      <c r="BW763" s="655" t="s">
        <v>210</v>
      </c>
      <c r="BX763" s="361"/>
      <c r="BY763" s="457"/>
      <c r="BZ763" s="363"/>
      <c r="CA763" s="363"/>
      <c r="CB763" s="363"/>
      <c r="CC763" s="363"/>
    </row>
    <row r="764" spans="1:82" ht="22.5" customHeight="1">
      <c r="B764" s="442">
        <v>160399</v>
      </c>
      <c r="C764" s="747" t="s">
        <v>4553</v>
      </c>
      <c r="D764" s="439" t="s">
        <v>5417</v>
      </c>
      <c r="E764" s="404" t="s">
        <v>5362</v>
      </c>
      <c r="F764" s="405" t="s">
        <v>1390</v>
      </c>
      <c r="G764" s="463" t="s">
        <v>4554</v>
      </c>
      <c r="H764" s="326" t="s">
        <v>10730</v>
      </c>
      <c r="I764" s="326" t="s">
        <v>383</v>
      </c>
      <c r="J764" s="326" t="s">
        <v>399</v>
      </c>
      <c r="K764" s="324" t="s">
        <v>293</v>
      </c>
      <c r="L764" s="342">
        <v>40</v>
      </c>
      <c r="M764" s="408"/>
      <c r="N764" s="444" t="s">
        <v>438</v>
      </c>
      <c r="O764" s="324">
        <v>130</v>
      </c>
      <c r="P764" s="816">
        <v>10000</v>
      </c>
      <c r="Q764" s="817">
        <v>10000</v>
      </c>
      <c r="R764" s="329" t="s">
        <v>6397</v>
      </c>
      <c r="S764" s="330"/>
      <c r="T764" s="330"/>
      <c r="U764" s="330"/>
      <c r="V764" s="330"/>
      <c r="W764" s="332" t="s">
        <v>1096</v>
      </c>
      <c r="X764" s="331" t="s">
        <v>12845</v>
      </c>
      <c r="Y764" s="331" t="s">
        <v>12848</v>
      </c>
      <c r="Z764" s="331" t="s">
        <v>12847</v>
      </c>
      <c r="AA764" s="331" t="s">
        <v>12846</v>
      </c>
      <c r="AB764" s="416"/>
      <c r="AC764" s="416"/>
      <c r="AD764" s="334" t="s">
        <v>3592</v>
      </c>
      <c r="AE764" s="499" t="s">
        <v>4610</v>
      </c>
      <c r="AF764" s="475">
        <v>42717</v>
      </c>
      <c r="AG764" s="748">
        <v>42779</v>
      </c>
      <c r="AH764" s="417" t="s">
        <v>210</v>
      </c>
      <c r="AI764" s="392" t="s">
        <v>210</v>
      </c>
      <c r="AJ764" s="392" t="s">
        <v>210</v>
      </c>
      <c r="AK764" s="340" t="s">
        <v>210</v>
      </c>
      <c r="AL764" s="417" t="s">
        <v>210</v>
      </c>
      <c r="AM764" s="392" t="s">
        <v>210</v>
      </c>
      <c r="AN764" s="392" t="s">
        <v>210</v>
      </c>
      <c r="AO764" s="341" t="s">
        <v>210</v>
      </c>
      <c r="AP764" s="342"/>
      <c r="AQ764" s="433" t="s">
        <v>4547</v>
      </c>
      <c r="AR764" s="452">
        <v>11218</v>
      </c>
      <c r="AS764" s="324">
        <v>130</v>
      </c>
      <c r="AT764" s="432">
        <v>1</v>
      </c>
      <c r="AU764" s="432"/>
      <c r="AV764" s="432">
        <v>1.5</v>
      </c>
      <c r="AW764" s="490"/>
      <c r="AX764" s="453" t="s">
        <v>210</v>
      </c>
      <c r="AY764" s="455" t="s">
        <v>210</v>
      </c>
      <c r="AZ764" s="405" t="s">
        <v>4083</v>
      </c>
      <c r="BA764" s="324" t="s">
        <v>210</v>
      </c>
      <c r="BB764" s="324" t="s">
        <v>210</v>
      </c>
      <c r="BC764" s="324" t="s">
        <v>210</v>
      </c>
      <c r="BD764" s="324" t="s">
        <v>210</v>
      </c>
      <c r="BE764" s="324" t="s">
        <v>3555</v>
      </c>
      <c r="BF764" s="324" t="s">
        <v>3978</v>
      </c>
      <c r="BG764" s="324" t="s">
        <v>4555</v>
      </c>
      <c r="BH764" s="426" t="s">
        <v>3978</v>
      </c>
      <c r="BI764" s="410"/>
      <c r="BJ764" s="427" t="s">
        <v>210</v>
      </c>
      <c r="BK764" s="412"/>
      <c r="BL764" s="413"/>
      <c r="BM764" s="414"/>
      <c r="BN764" s="321" t="s">
        <v>14</v>
      </c>
      <c r="BO764" s="372"/>
      <c r="BP764" s="373" t="s">
        <v>210</v>
      </c>
      <c r="BQ764" s="360"/>
      <c r="BR764" s="361"/>
      <c r="BS764" s="361"/>
      <c r="BT764" s="361"/>
      <c r="BU764" s="342" t="s">
        <v>210</v>
      </c>
      <c r="BV764" s="342" t="s">
        <v>210</v>
      </c>
      <c r="BW764" s="341" t="s">
        <v>210</v>
      </c>
      <c r="BX764" s="361"/>
      <c r="BY764" s="457"/>
      <c r="BZ764" s="363"/>
      <c r="CA764" s="363"/>
      <c r="CB764" s="363"/>
      <c r="CC764" s="363"/>
    </row>
    <row r="765" spans="1:82" ht="22.5" customHeight="1">
      <c r="B765" s="442">
        <v>160400</v>
      </c>
      <c r="C765" s="747" t="s">
        <v>4644</v>
      </c>
      <c r="D765" s="439" t="s">
        <v>5417</v>
      </c>
      <c r="E765" s="404" t="s">
        <v>5362</v>
      </c>
      <c r="F765" s="405" t="s">
        <v>4645</v>
      </c>
      <c r="G765" s="324" t="s">
        <v>4646</v>
      </c>
      <c r="H765" s="324" t="s">
        <v>4647</v>
      </c>
      <c r="I765" s="326" t="s">
        <v>383</v>
      </c>
      <c r="J765" s="326" t="s">
        <v>387</v>
      </c>
      <c r="K765" s="326" t="s">
        <v>806</v>
      </c>
      <c r="L765" s="432" t="s">
        <v>210</v>
      </c>
      <c r="M765" s="408"/>
      <c r="N765" s="444" t="s">
        <v>4648</v>
      </c>
      <c r="O765" s="324">
        <v>30</v>
      </c>
      <c r="P765" s="816">
        <v>1800</v>
      </c>
      <c r="Q765" s="817">
        <v>900</v>
      </c>
      <c r="R765" s="420" t="s">
        <v>4649</v>
      </c>
      <c r="S765" s="400"/>
      <c r="T765" s="400"/>
      <c r="U765" s="400"/>
      <c r="V765" s="400"/>
      <c r="W765" s="460" t="s">
        <v>4654</v>
      </c>
      <c r="X765" s="394" t="s">
        <v>12842</v>
      </c>
      <c r="Y765" s="394" t="s">
        <v>12843</v>
      </c>
      <c r="Z765" s="394" t="s">
        <v>16442</v>
      </c>
      <c r="AA765" s="394" t="s">
        <v>12844</v>
      </c>
      <c r="AB765" s="416" t="s">
        <v>3775</v>
      </c>
      <c r="AC765" s="416"/>
      <c r="AD765" s="447" t="s">
        <v>4841</v>
      </c>
      <c r="AE765" s="499" t="s">
        <v>4895</v>
      </c>
      <c r="AF765" s="475">
        <v>42741</v>
      </c>
      <c r="AG765" s="748">
        <v>42797</v>
      </c>
      <c r="AH765" s="417" t="s">
        <v>210</v>
      </c>
      <c r="AI765" s="392" t="s">
        <v>210</v>
      </c>
      <c r="AJ765" s="392" t="s">
        <v>210</v>
      </c>
      <c r="AK765" s="340" t="s">
        <v>210</v>
      </c>
      <c r="AL765" s="417" t="s">
        <v>210</v>
      </c>
      <c r="AM765" s="392" t="s">
        <v>210</v>
      </c>
      <c r="AN765" s="392" t="s">
        <v>210</v>
      </c>
      <c r="AO765" s="341" t="s">
        <v>210</v>
      </c>
      <c r="AP765" s="342"/>
      <c r="AQ765" s="433" t="s">
        <v>4547</v>
      </c>
      <c r="AR765" s="452">
        <v>1025</v>
      </c>
      <c r="AS765" s="324">
        <v>100</v>
      </c>
      <c r="AT765" s="432">
        <v>0.8</v>
      </c>
      <c r="AU765" s="432"/>
      <c r="AV765" s="432">
        <v>1.5</v>
      </c>
      <c r="AW765" s="490"/>
      <c r="AX765" s="453" t="s">
        <v>210</v>
      </c>
      <c r="AY765" s="340" t="s">
        <v>622</v>
      </c>
      <c r="AZ765" s="405" t="s">
        <v>4083</v>
      </c>
      <c r="BA765" s="324" t="s">
        <v>210</v>
      </c>
      <c r="BB765" s="324" t="s">
        <v>210</v>
      </c>
      <c r="BC765" s="324" t="s">
        <v>3459</v>
      </c>
      <c r="BD765" s="324" t="s">
        <v>3372</v>
      </c>
      <c r="BE765" s="324" t="s">
        <v>4655</v>
      </c>
      <c r="BF765" s="324" t="s">
        <v>3372</v>
      </c>
      <c r="BG765" s="324" t="s">
        <v>4656</v>
      </c>
      <c r="BH765" s="426" t="s">
        <v>3372</v>
      </c>
      <c r="BI765" s="410"/>
      <c r="BJ765" s="427" t="s">
        <v>210</v>
      </c>
      <c r="BK765" s="412"/>
      <c r="BL765" s="413"/>
      <c r="BM765" s="414"/>
      <c r="BN765" s="321" t="s">
        <v>14</v>
      </c>
      <c r="BO765" s="372"/>
      <c r="BP765" s="373" t="s">
        <v>14</v>
      </c>
      <c r="BQ765" s="360"/>
      <c r="BR765" s="361"/>
      <c r="BS765" s="361"/>
      <c r="BT765" s="361"/>
      <c r="BU765" s="342" t="s">
        <v>210</v>
      </c>
      <c r="BV765" s="342" t="s">
        <v>210</v>
      </c>
      <c r="BW765" s="341" t="s">
        <v>210</v>
      </c>
      <c r="BX765" s="361"/>
      <c r="BY765" s="457"/>
      <c r="BZ765" s="363"/>
      <c r="CA765" s="363"/>
      <c r="CB765" s="363"/>
      <c r="CC765" s="363"/>
    </row>
    <row r="766" spans="1:82" ht="22.5" customHeight="1">
      <c r="B766" s="442">
        <v>160401</v>
      </c>
      <c r="C766" s="747" t="s">
        <v>4678</v>
      </c>
      <c r="D766" s="439" t="s">
        <v>4856</v>
      </c>
      <c r="E766" s="404" t="s">
        <v>5362</v>
      </c>
      <c r="F766" s="405" t="s">
        <v>222</v>
      </c>
      <c r="G766" s="324" t="s">
        <v>4680</v>
      </c>
      <c r="H766" s="324" t="s">
        <v>4681</v>
      </c>
      <c r="I766" s="326" t="s">
        <v>383</v>
      </c>
      <c r="J766" s="326" t="s">
        <v>387</v>
      </c>
      <c r="K766" s="326" t="s">
        <v>917</v>
      </c>
      <c r="L766" s="432" t="s">
        <v>210</v>
      </c>
      <c r="M766" s="408"/>
      <c r="N766" s="444" t="s">
        <v>438</v>
      </c>
      <c r="O766" s="324">
        <v>180</v>
      </c>
      <c r="P766" s="458">
        <v>1810</v>
      </c>
      <c r="Q766" s="459">
        <v>2490</v>
      </c>
      <c r="R766" s="420" t="s">
        <v>4805</v>
      </c>
      <c r="S766" s="400"/>
      <c r="T766" s="400"/>
      <c r="U766" s="400"/>
      <c r="V766" s="400"/>
      <c r="W766" s="460" t="s">
        <v>2929</v>
      </c>
      <c r="X766" s="394" t="s">
        <v>12874</v>
      </c>
      <c r="Y766" s="394" t="s">
        <v>13454</v>
      </c>
      <c r="Z766" s="394" t="s">
        <v>13453</v>
      </c>
      <c r="AA766" s="394" t="s">
        <v>12875</v>
      </c>
      <c r="AB766" s="416"/>
      <c r="AC766" s="416"/>
      <c r="AD766" s="334" t="s">
        <v>2321</v>
      </c>
      <c r="AE766" s="335" t="s">
        <v>210</v>
      </c>
      <c r="AF766" s="475">
        <v>42753</v>
      </c>
      <c r="AG766" s="748">
        <v>42825</v>
      </c>
      <c r="AH766" s="417" t="s">
        <v>210</v>
      </c>
      <c r="AI766" s="392" t="s">
        <v>210</v>
      </c>
      <c r="AJ766" s="392" t="s">
        <v>210</v>
      </c>
      <c r="AK766" s="340" t="s">
        <v>210</v>
      </c>
      <c r="AL766" s="417" t="s">
        <v>210</v>
      </c>
      <c r="AM766" s="392" t="s">
        <v>210</v>
      </c>
      <c r="AN766" s="392" t="s">
        <v>210</v>
      </c>
      <c r="AO766" s="341" t="s">
        <v>210</v>
      </c>
      <c r="AP766" s="342"/>
      <c r="AQ766" s="433" t="s">
        <v>4547</v>
      </c>
      <c r="AR766" s="452">
        <v>2342</v>
      </c>
      <c r="AS766" s="324">
        <v>150</v>
      </c>
      <c r="AT766" s="432">
        <v>0.8</v>
      </c>
      <c r="AU766" s="432"/>
      <c r="AV766" s="432">
        <v>1.6</v>
      </c>
      <c r="AW766" s="490"/>
      <c r="AX766" s="453" t="s">
        <v>210</v>
      </c>
      <c r="AY766" s="340" t="s">
        <v>622</v>
      </c>
      <c r="AZ766" s="405" t="s">
        <v>622</v>
      </c>
      <c r="BA766" s="324" t="s">
        <v>3459</v>
      </c>
      <c r="BB766" s="324" t="s">
        <v>4751</v>
      </c>
      <c r="BC766" s="324" t="s">
        <v>4752</v>
      </c>
      <c r="BD766" s="324" t="s">
        <v>3556</v>
      </c>
      <c r="BE766" s="324" t="s">
        <v>4753</v>
      </c>
      <c r="BF766" s="324" t="s">
        <v>3422</v>
      </c>
      <c r="BG766" s="324" t="s">
        <v>4745</v>
      </c>
      <c r="BH766" s="426" t="s">
        <v>3898</v>
      </c>
      <c r="BI766" s="410"/>
      <c r="BJ766" s="427" t="s">
        <v>9793</v>
      </c>
      <c r="BK766" s="412"/>
      <c r="BL766" s="413"/>
      <c r="BM766" s="414"/>
      <c r="BN766" s="321" t="s">
        <v>14</v>
      </c>
      <c r="BO766" s="372"/>
      <c r="BP766" s="373" t="s">
        <v>14</v>
      </c>
      <c r="BQ766" s="360"/>
      <c r="BR766" s="361"/>
      <c r="BS766" s="361"/>
      <c r="BT766" s="361"/>
      <c r="BU766" s="342" t="s">
        <v>210</v>
      </c>
      <c r="BV766" s="342" t="s">
        <v>210</v>
      </c>
      <c r="BW766" s="341" t="s">
        <v>210</v>
      </c>
      <c r="BX766" s="361"/>
      <c r="BY766" s="457"/>
      <c r="BZ766" s="363"/>
      <c r="CA766" s="363"/>
      <c r="CB766" s="363"/>
      <c r="CC766" s="363"/>
    </row>
    <row r="767" spans="1:82" ht="22.5" customHeight="1">
      <c r="B767" s="442">
        <v>160401</v>
      </c>
      <c r="C767" s="747" t="s">
        <v>4679</v>
      </c>
      <c r="D767" s="439" t="s">
        <v>4856</v>
      </c>
      <c r="E767" s="404" t="s">
        <v>5362</v>
      </c>
      <c r="F767" s="405" t="s">
        <v>222</v>
      </c>
      <c r="G767" s="324" t="s">
        <v>1860</v>
      </c>
      <c r="H767" s="324" t="s">
        <v>4681</v>
      </c>
      <c r="I767" s="326" t="s">
        <v>383</v>
      </c>
      <c r="J767" s="326" t="s">
        <v>399</v>
      </c>
      <c r="K767" s="326" t="s">
        <v>917</v>
      </c>
      <c r="L767" s="432" t="s">
        <v>210</v>
      </c>
      <c r="M767" s="408"/>
      <c r="N767" s="325" t="s">
        <v>437</v>
      </c>
      <c r="O767" s="324">
        <v>180</v>
      </c>
      <c r="P767" s="458">
        <v>1450</v>
      </c>
      <c r="Q767" s="459">
        <v>1540</v>
      </c>
      <c r="R767" s="420" t="s">
        <v>6396</v>
      </c>
      <c r="S767" s="400"/>
      <c r="T767" s="400"/>
      <c r="U767" s="400"/>
      <c r="V767" s="400"/>
      <c r="W767" s="460" t="s">
        <v>2929</v>
      </c>
      <c r="X767" s="394" t="s">
        <v>12874</v>
      </c>
      <c r="Y767" s="394" t="s">
        <v>13454</v>
      </c>
      <c r="Z767" s="394" t="s">
        <v>13453</v>
      </c>
      <c r="AA767" s="394" t="s">
        <v>12875</v>
      </c>
      <c r="AB767" s="416"/>
      <c r="AC767" s="416"/>
      <c r="AD767" s="334" t="s">
        <v>2321</v>
      </c>
      <c r="AE767" s="335" t="s">
        <v>210</v>
      </c>
      <c r="AF767" s="475">
        <v>42753</v>
      </c>
      <c r="AG767" s="748">
        <v>42825</v>
      </c>
      <c r="AH767" s="417" t="s">
        <v>210</v>
      </c>
      <c r="AI767" s="392" t="s">
        <v>210</v>
      </c>
      <c r="AJ767" s="392" t="s">
        <v>210</v>
      </c>
      <c r="AK767" s="340" t="s">
        <v>210</v>
      </c>
      <c r="AL767" s="417" t="s">
        <v>210</v>
      </c>
      <c r="AM767" s="392" t="s">
        <v>210</v>
      </c>
      <c r="AN767" s="392" t="s">
        <v>210</v>
      </c>
      <c r="AO767" s="341" t="s">
        <v>210</v>
      </c>
      <c r="AP767" s="342"/>
      <c r="AQ767" s="433" t="s">
        <v>4547</v>
      </c>
      <c r="AR767" s="452">
        <v>2272</v>
      </c>
      <c r="AS767" s="324">
        <v>150</v>
      </c>
      <c r="AT767" s="432">
        <v>1</v>
      </c>
      <c r="AU767" s="432"/>
      <c r="AV767" s="432">
        <v>1.5</v>
      </c>
      <c r="AW767" s="490"/>
      <c r="AX767" s="453" t="s">
        <v>210</v>
      </c>
      <c r="AY767" s="455" t="s">
        <v>210</v>
      </c>
      <c r="AZ767" s="405" t="s">
        <v>622</v>
      </c>
      <c r="BA767" s="324" t="s">
        <v>3459</v>
      </c>
      <c r="BB767" s="324" t="s">
        <v>4751</v>
      </c>
      <c r="BC767" s="324" t="s">
        <v>4752</v>
      </c>
      <c r="BD767" s="324" t="s">
        <v>3556</v>
      </c>
      <c r="BE767" s="324" t="s">
        <v>4753</v>
      </c>
      <c r="BF767" s="324" t="s">
        <v>3422</v>
      </c>
      <c r="BG767" s="324" t="s">
        <v>4745</v>
      </c>
      <c r="BH767" s="426" t="s">
        <v>3898</v>
      </c>
      <c r="BI767" s="410"/>
      <c r="BJ767" s="427" t="s">
        <v>9793</v>
      </c>
      <c r="BK767" s="412"/>
      <c r="BL767" s="413"/>
      <c r="BM767" s="414"/>
      <c r="BN767" s="321" t="s">
        <v>14</v>
      </c>
      <c r="BO767" s="372"/>
      <c r="BP767" s="373" t="s">
        <v>14</v>
      </c>
      <c r="BQ767" s="360"/>
      <c r="BR767" s="361"/>
      <c r="BS767" s="361"/>
      <c r="BT767" s="361"/>
      <c r="BU767" s="342" t="s">
        <v>210</v>
      </c>
      <c r="BV767" s="342" t="s">
        <v>210</v>
      </c>
      <c r="BW767" s="341" t="s">
        <v>210</v>
      </c>
      <c r="BX767" s="361"/>
      <c r="BY767" s="457"/>
      <c r="BZ767" s="363"/>
      <c r="CA767" s="363"/>
      <c r="CB767" s="363"/>
      <c r="CC767" s="363"/>
    </row>
    <row r="768" spans="1:82" ht="22.5" customHeight="1">
      <c r="B768" s="442">
        <v>170001</v>
      </c>
      <c r="C768" s="747" t="s">
        <v>4590</v>
      </c>
      <c r="D768" s="439" t="s">
        <v>5417</v>
      </c>
      <c r="E768" s="404" t="s">
        <v>5361</v>
      </c>
      <c r="F768" s="405" t="s">
        <v>4591</v>
      </c>
      <c r="G768" s="324" t="s">
        <v>2940</v>
      </c>
      <c r="H768" s="324" t="s">
        <v>4592</v>
      </c>
      <c r="I768" s="326" t="s">
        <v>383</v>
      </c>
      <c r="J768" s="326" t="s">
        <v>399</v>
      </c>
      <c r="K768" s="324" t="s">
        <v>4596</v>
      </c>
      <c r="L768" s="342">
        <v>35</v>
      </c>
      <c r="M768" s="408"/>
      <c r="N768" s="444" t="s">
        <v>4597</v>
      </c>
      <c r="O768" s="324">
        <v>30</v>
      </c>
      <c r="P768" s="816">
        <v>200</v>
      </c>
      <c r="Q768" s="821">
        <v>200</v>
      </c>
      <c r="R768" s="420" t="s">
        <v>4598</v>
      </c>
      <c r="S768" s="394" t="s">
        <v>12876</v>
      </c>
      <c r="T768" s="394" t="s">
        <v>12878</v>
      </c>
      <c r="U768" s="394" t="s">
        <v>16234</v>
      </c>
      <c r="V768" s="394" t="s">
        <v>12877</v>
      </c>
      <c r="W768" s="420" t="s">
        <v>4598</v>
      </c>
      <c r="X768" s="394" t="s">
        <v>12876</v>
      </c>
      <c r="Y768" s="394" t="s">
        <v>12878</v>
      </c>
      <c r="Z768" s="394" t="s">
        <v>16525</v>
      </c>
      <c r="AA768" s="394" t="s">
        <v>12877</v>
      </c>
      <c r="AB768" s="416"/>
      <c r="AC768" s="416"/>
      <c r="AD768" s="334" t="s">
        <v>210</v>
      </c>
      <c r="AE768" s="335" t="s">
        <v>210</v>
      </c>
      <c r="AF768" s="831">
        <v>42730</v>
      </c>
      <c r="AG768" s="748">
        <v>42792</v>
      </c>
      <c r="AH768" s="417" t="s">
        <v>210</v>
      </c>
      <c r="AI768" s="392" t="s">
        <v>210</v>
      </c>
      <c r="AJ768" s="392" t="s">
        <v>210</v>
      </c>
      <c r="AK768" s="340" t="s">
        <v>210</v>
      </c>
      <c r="AL768" s="417" t="s">
        <v>210</v>
      </c>
      <c r="AM768" s="392" t="s">
        <v>210</v>
      </c>
      <c r="AN768" s="392" t="s">
        <v>210</v>
      </c>
      <c r="AO768" s="341" t="s">
        <v>210</v>
      </c>
      <c r="AP768" s="342"/>
      <c r="AQ768" s="433" t="s">
        <v>4549</v>
      </c>
      <c r="AR768" s="452">
        <v>293</v>
      </c>
      <c r="AS768" s="324">
        <v>50</v>
      </c>
      <c r="AT768" s="432">
        <v>1.2</v>
      </c>
      <c r="AU768" s="432"/>
      <c r="AV768" s="432">
        <v>1</v>
      </c>
      <c r="AW768" s="490"/>
      <c r="AX768" s="417" t="s">
        <v>210</v>
      </c>
      <c r="AY768" s="340" t="s">
        <v>210</v>
      </c>
      <c r="AZ768" s="832" t="s">
        <v>622</v>
      </c>
      <c r="BA768" s="324" t="s">
        <v>4593</v>
      </c>
      <c r="BB768" s="324" t="s">
        <v>4594</v>
      </c>
      <c r="BC768" s="324" t="s">
        <v>4595</v>
      </c>
      <c r="BD768" s="324" t="s">
        <v>3574</v>
      </c>
      <c r="BE768" s="324" t="s">
        <v>210</v>
      </c>
      <c r="BF768" s="324" t="s">
        <v>210</v>
      </c>
      <c r="BG768" s="324" t="s">
        <v>4595</v>
      </c>
      <c r="BH768" s="426" t="s">
        <v>3922</v>
      </c>
      <c r="BI768" s="410"/>
      <c r="BJ768" s="427" t="s">
        <v>210</v>
      </c>
      <c r="BK768" s="412"/>
      <c r="BL768" s="413"/>
      <c r="BM768" s="414"/>
      <c r="BN768" s="321" t="s">
        <v>210</v>
      </c>
      <c r="BO768" s="372"/>
      <c r="BP768" s="373" t="s">
        <v>210</v>
      </c>
      <c r="BQ768" s="360"/>
      <c r="BR768" s="361"/>
      <c r="BS768" s="361"/>
      <c r="BT768" s="361"/>
      <c r="BU768" s="342" t="s">
        <v>210</v>
      </c>
      <c r="BV768" s="342" t="s">
        <v>210</v>
      </c>
      <c r="BW768" s="341" t="s">
        <v>210</v>
      </c>
      <c r="BX768" s="361"/>
      <c r="BY768" s="457"/>
      <c r="BZ768" s="363"/>
      <c r="CA768" s="363"/>
      <c r="CB768" s="363"/>
      <c r="CC768" s="363"/>
    </row>
    <row r="769" spans="1:82" ht="22.5" customHeight="1">
      <c r="B769" s="493">
        <v>170002</v>
      </c>
      <c r="C769" s="833" t="s">
        <v>4618</v>
      </c>
      <c r="D769" s="439" t="s">
        <v>4856</v>
      </c>
      <c r="E769" s="404" t="s">
        <v>5362</v>
      </c>
      <c r="F769" s="832" t="s">
        <v>222</v>
      </c>
      <c r="G769" s="324" t="s">
        <v>4619</v>
      </c>
      <c r="H769" s="324" t="s">
        <v>4620</v>
      </c>
      <c r="I769" s="326" t="s">
        <v>383</v>
      </c>
      <c r="J769" s="326" t="s">
        <v>399</v>
      </c>
      <c r="K769" s="326" t="s">
        <v>917</v>
      </c>
      <c r="L769" s="432" t="s">
        <v>210</v>
      </c>
      <c r="M769" s="324" t="s">
        <v>10767</v>
      </c>
      <c r="N769" s="325" t="s">
        <v>437</v>
      </c>
      <c r="O769" s="324">
        <v>160</v>
      </c>
      <c r="P769" s="816">
        <v>1160</v>
      </c>
      <c r="Q769" s="821">
        <v>1160</v>
      </c>
      <c r="R769" s="420" t="s">
        <v>4628</v>
      </c>
      <c r="S769" s="394" t="s">
        <v>12835</v>
      </c>
      <c r="T769" s="394" t="s">
        <v>12836</v>
      </c>
      <c r="U769" s="394" t="s">
        <v>16413</v>
      </c>
      <c r="V769" s="394" t="s">
        <v>12837</v>
      </c>
      <c r="W769" s="460" t="s">
        <v>4626</v>
      </c>
      <c r="X769" s="394" t="s">
        <v>12838</v>
      </c>
      <c r="Y769" s="394" t="s">
        <v>12839</v>
      </c>
      <c r="Z769" s="394" t="s">
        <v>12840</v>
      </c>
      <c r="AA769" s="394" t="s">
        <v>12841</v>
      </c>
      <c r="AB769" s="416"/>
      <c r="AC769" s="416"/>
      <c r="AD769" s="334" t="s">
        <v>4883</v>
      </c>
      <c r="AE769" s="335" t="s">
        <v>210</v>
      </c>
      <c r="AF769" s="831">
        <v>42730</v>
      </c>
      <c r="AG769" s="748">
        <v>42801</v>
      </c>
      <c r="AH769" s="417" t="s">
        <v>210</v>
      </c>
      <c r="AI769" s="392" t="s">
        <v>210</v>
      </c>
      <c r="AJ769" s="392" t="s">
        <v>210</v>
      </c>
      <c r="AK769" s="341" t="s">
        <v>210</v>
      </c>
      <c r="AL769" s="417" t="s">
        <v>210</v>
      </c>
      <c r="AM769" s="392" t="s">
        <v>210</v>
      </c>
      <c r="AN769" s="392" t="s">
        <v>210</v>
      </c>
      <c r="AO769" s="392" t="s">
        <v>210</v>
      </c>
      <c r="AP769" s="787"/>
      <c r="AQ769" s="489" t="s">
        <v>4547</v>
      </c>
      <c r="AR769" s="834">
        <v>1680</v>
      </c>
      <c r="AS769" s="324">
        <v>100</v>
      </c>
      <c r="AT769" s="432">
        <v>1</v>
      </c>
      <c r="AU769" s="432"/>
      <c r="AV769" s="432">
        <v>1.5</v>
      </c>
      <c r="AW769" s="490"/>
      <c r="AX769" s="417" t="s">
        <v>210</v>
      </c>
      <c r="AY769" s="340" t="s">
        <v>210</v>
      </c>
      <c r="AZ769" s="832" t="s">
        <v>622</v>
      </c>
      <c r="BA769" s="324" t="s">
        <v>4623</v>
      </c>
      <c r="BB769" s="324" t="s">
        <v>3574</v>
      </c>
      <c r="BC769" s="324" t="s">
        <v>4624</v>
      </c>
      <c r="BD769" s="324" t="s">
        <v>4621</v>
      </c>
      <c r="BE769" s="324" t="s">
        <v>4622</v>
      </c>
      <c r="BF769" s="324" t="s">
        <v>3556</v>
      </c>
      <c r="BG769" s="324" t="s">
        <v>4622</v>
      </c>
      <c r="BH769" s="463" t="s">
        <v>3556</v>
      </c>
      <c r="BI769" s="376"/>
      <c r="BJ769" s="561" t="s">
        <v>210</v>
      </c>
      <c r="BK769" s="380"/>
      <c r="BL769" s="348"/>
      <c r="BM769" s="414"/>
      <c r="BN769" s="321" t="s">
        <v>14</v>
      </c>
      <c r="BO769" s="561"/>
      <c r="BP769" s="373" t="s">
        <v>14</v>
      </c>
      <c r="BQ769" s="343"/>
      <c r="BR769" s="361"/>
      <c r="BS769" s="361"/>
      <c r="BT769" s="361"/>
      <c r="BU769" s="342" t="s">
        <v>210</v>
      </c>
      <c r="BV769" s="342" t="s">
        <v>210</v>
      </c>
      <c r="BW769" s="341" t="s">
        <v>210</v>
      </c>
      <c r="BX769" s="413"/>
      <c r="BY769" s="835"/>
      <c r="BZ769" s="363"/>
      <c r="CA769" s="363"/>
      <c r="CB769" s="363"/>
      <c r="CC769" s="363"/>
    </row>
    <row r="770" spans="1:82" ht="22.5" customHeight="1">
      <c r="B770" s="493">
        <v>170003</v>
      </c>
      <c r="C770" s="833" t="s">
        <v>4599</v>
      </c>
      <c r="D770" s="439" t="s">
        <v>4856</v>
      </c>
      <c r="E770" s="404" t="s">
        <v>5363</v>
      </c>
      <c r="F770" s="832" t="s">
        <v>4600</v>
      </c>
      <c r="G770" s="324" t="s">
        <v>2943</v>
      </c>
      <c r="H770" s="324" t="s">
        <v>4601</v>
      </c>
      <c r="I770" s="326" t="s">
        <v>383</v>
      </c>
      <c r="J770" s="326" t="s">
        <v>399</v>
      </c>
      <c r="K770" s="326" t="s">
        <v>917</v>
      </c>
      <c r="L770" s="432" t="s">
        <v>210</v>
      </c>
      <c r="M770" s="408"/>
      <c r="N770" s="325" t="s">
        <v>437</v>
      </c>
      <c r="O770" s="324">
        <v>40</v>
      </c>
      <c r="P770" s="816">
        <v>1800</v>
      </c>
      <c r="Q770" s="821">
        <v>1800</v>
      </c>
      <c r="R770" s="329" t="s">
        <v>999</v>
      </c>
      <c r="S770" s="394" t="s">
        <v>12834</v>
      </c>
      <c r="T770" s="394" t="s">
        <v>11262</v>
      </c>
      <c r="U770" s="394" t="s">
        <v>16414</v>
      </c>
      <c r="V770" s="394" t="s">
        <v>11263</v>
      </c>
      <c r="W770" s="460" t="s">
        <v>4602</v>
      </c>
      <c r="X770" s="331" t="s">
        <v>12214</v>
      </c>
      <c r="Y770" s="331" t="s">
        <v>11906</v>
      </c>
      <c r="Z770" s="331" t="s">
        <v>12414</v>
      </c>
      <c r="AA770" s="331" t="s">
        <v>12216</v>
      </c>
      <c r="AB770" s="333" t="s">
        <v>3028</v>
      </c>
      <c r="AC770" s="333"/>
      <c r="AD770" s="334" t="s">
        <v>2326</v>
      </c>
      <c r="AE770" s="335" t="s">
        <v>210</v>
      </c>
      <c r="AF770" s="831">
        <v>42731</v>
      </c>
      <c r="AG770" s="748">
        <v>42776</v>
      </c>
      <c r="AH770" s="417" t="s">
        <v>210</v>
      </c>
      <c r="AI770" s="392" t="s">
        <v>210</v>
      </c>
      <c r="AJ770" s="392" t="s">
        <v>210</v>
      </c>
      <c r="AK770" s="341" t="s">
        <v>210</v>
      </c>
      <c r="AL770" s="417" t="s">
        <v>210</v>
      </c>
      <c r="AM770" s="392" t="s">
        <v>210</v>
      </c>
      <c r="AN770" s="392" t="s">
        <v>210</v>
      </c>
      <c r="AO770" s="392" t="s">
        <v>210</v>
      </c>
      <c r="AP770" s="787"/>
      <c r="AQ770" s="489" t="s">
        <v>4547</v>
      </c>
      <c r="AR770" s="834">
        <v>2366</v>
      </c>
      <c r="AS770" s="324">
        <v>100</v>
      </c>
      <c r="AT770" s="432">
        <v>0.8</v>
      </c>
      <c r="AU770" s="432"/>
      <c r="AV770" s="432">
        <v>1.4</v>
      </c>
      <c r="AW770" s="490"/>
      <c r="AX770" s="417" t="s">
        <v>210</v>
      </c>
      <c r="AY770" s="340" t="s">
        <v>210</v>
      </c>
      <c r="AZ770" s="832" t="s">
        <v>4083</v>
      </c>
      <c r="BA770" s="324" t="s">
        <v>210</v>
      </c>
      <c r="BB770" s="324" t="s">
        <v>210</v>
      </c>
      <c r="BC770" s="324" t="s">
        <v>3555</v>
      </c>
      <c r="BD770" s="324" t="s">
        <v>4185</v>
      </c>
      <c r="BE770" s="324" t="s">
        <v>4605</v>
      </c>
      <c r="BF770" s="324" t="s">
        <v>4606</v>
      </c>
      <c r="BG770" s="324" t="s">
        <v>4607</v>
      </c>
      <c r="BH770" s="463" t="s">
        <v>3936</v>
      </c>
      <c r="BI770" s="376"/>
      <c r="BJ770" s="561" t="s">
        <v>210</v>
      </c>
      <c r="BK770" s="380"/>
      <c r="BL770" s="348"/>
      <c r="BM770" s="414"/>
      <c r="BN770" s="321" t="s">
        <v>14</v>
      </c>
      <c r="BO770" s="561"/>
      <c r="BP770" s="373" t="s">
        <v>14</v>
      </c>
      <c r="BQ770" s="343"/>
      <c r="BR770" s="361"/>
      <c r="BS770" s="361"/>
      <c r="BT770" s="361"/>
      <c r="BU770" s="342" t="s">
        <v>210</v>
      </c>
      <c r="BV770" s="342" t="s">
        <v>210</v>
      </c>
      <c r="BW770" s="341" t="s">
        <v>210</v>
      </c>
      <c r="BX770" s="413"/>
      <c r="BY770" s="835"/>
      <c r="BZ770" s="363"/>
      <c r="CA770" s="363"/>
      <c r="CB770" s="363"/>
      <c r="CC770" s="363"/>
    </row>
    <row r="771" spans="1:82" ht="22.5" customHeight="1" thickBot="1">
      <c r="B771" s="643">
        <v>170006</v>
      </c>
      <c r="C771" s="836" t="s">
        <v>12869</v>
      </c>
      <c r="D771" s="367" t="s">
        <v>5417</v>
      </c>
      <c r="E771" s="368" t="s">
        <v>5361</v>
      </c>
      <c r="F771" s="505" t="s">
        <v>839</v>
      </c>
      <c r="G771" s="326" t="s">
        <v>4769</v>
      </c>
      <c r="H771" s="326" t="s">
        <v>4770</v>
      </c>
      <c r="I771" s="326" t="s">
        <v>383</v>
      </c>
      <c r="J771" s="326" t="s">
        <v>399</v>
      </c>
      <c r="K771" s="326" t="s">
        <v>917</v>
      </c>
      <c r="L771" s="392" t="s">
        <v>210</v>
      </c>
      <c r="M771" s="374"/>
      <c r="N771" s="325" t="s">
        <v>4896</v>
      </c>
      <c r="O771" s="326">
        <v>30</v>
      </c>
      <c r="P771" s="837">
        <v>2075</v>
      </c>
      <c r="Q771" s="838">
        <v>2084</v>
      </c>
      <c r="R771" s="329" t="s">
        <v>552</v>
      </c>
      <c r="S771" s="645"/>
      <c r="T771" s="645"/>
      <c r="U771" s="645"/>
      <c r="V771" s="645"/>
      <c r="W771" s="332" t="s">
        <v>514</v>
      </c>
      <c r="X771" s="332" t="s">
        <v>12870</v>
      </c>
      <c r="Y771" s="332" t="s">
        <v>12872</v>
      </c>
      <c r="Z771" s="332" t="s">
        <v>12871</v>
      </c>
      <c r="AA771" s="332" t="s">
        <v>12873</v>
      </c>
      <c r="AB771" s="332"/>
      <c r="AC771" s="333"/>
      <c r="AD771" s="334" t="s">
        <v>4903</v>
      </c>
      <c r="AE771" s="335" t="s">
        <v>4897</v>
      </c>
      <c r="AF771" s="839">
        <v>42776</v>
      </c>
      <c r="AG771" s="706">
        <v>42810</v>
      </c>
      <c r="AH771" s="392" t="s">
        <v>210</v>
      </c>
      <c r="AI771" s="392" t="s">
        <v>210</v>
      </c>
      <c r="AJ771" s="392" t="s">
        <v>210</v>
      </c>
      <c r="AK771" s="341" t="s">
        <v>210</v>
      </c>
      <c r="AL771" s="417" t="s">
        <v>210</v>
      </c>
      <c r="AM771" s="392" t="s">
        <v>210</v>
      </c>
      <c r="AN771" s="392" t="s">
        <v>622</v>
      </c>
      <c r="AO771" s="392" t="s">
        <v>210</v>
      </c>
      <c r="AP771" s="787"/>
      <c r="AQ771" s="489" t="s">
        <v>4547</v>
      </c>
      <c r="AR771" s="840">
        <v>2771</v>
      </c>
      <c r="AS771" s="326">
        <v>80</v>
      </c>
      <c r="AT771" s="392">
        <v>1.2</v>
      </c>
      <c r="AU771" s="392"/>
      <c r="AV771" s="392">
        <v>1.3</v>
      </c>
      <c r="AW771" s="341"/>
      <c r="AX771" s="417" t="s">
        <v>210</v>
      </c>
      <c r="AY771" s="340" t="s">
        <v>210</v>
      </c>
      <c r="AZ771" s="505" t="s">
        <v>622</v>
      </c>
      <c r="BA771" s="326" t="s">
        <v>4771</v>
      </c>
      <c r="BB771" s="326" t="s">
        <v>4772</v>
      </c>
      <c r="BC771" s="326" t="s">
        <v>4773</v>
      </c>
      <c r="BD771" s="326" t="s">
        <v>4772</v>
      </c>
      <c r="BE771" s="326" t="s">
        <v>210</v>
      </c>
      <c r="BF771" s="326" t="s">
        <v>210</v>
      </c>
      <c r="BG771" s="326" t="s">
        <v>210</v>
      </c>
      <c r="BH771" s="655" t="s">
        <v>210</v>
      </c>
      <c r="BI771" s="376"/>
      <c r="BJ771" s="561" t="s">
        <v>210</v>
      </c>
      <c r="BK771" s="380"/>
      <c r="BL771" s="348"/>
      <c r="BM771" s="381"/>
      <c r="BN771" s="321" t="s">
        <v>210</v>
      </c>
      <c r="BO771" s="561"/>
      <c r="BP771" s="373" t="s">
        <v>14</v>
      </c>
      <c r="BQ771" s="559"/>
      <c r="BR771" s="323"/>
      <c r="BS771" s="323"/>
      <c r="BT771" s="323"/>
      <c r="BU771" s="787" t="s">
        <v>210</v>
      </c>
      <c r="BV771" s="787" t="s">
        <v>210</v>
      </c>
      <c r="BW771" s="392" t="s">
        <v>210</v>
      </c>
      <c r="BX771" s="348"/>
      <c r="BY771" s="331"/>
      <c r="BZ771" s="363"/>
      <c r="CA771" s="363"/>
      <c r="CB771" s="363"/>
      <c r="CC771" s="363"/>
    </row>
    <row r="772" spans="1:82" s="842" customFormat="1" ht="22.5" customHeight="1" thickTop="1">
      <c r="A772" s="287"/>
      <c r="B772" s="643">
        <v>170008</v>
      </c>
      <c r="C772" s="836" t="s">
        <v>8850</v>
      </c>
      <c r="D772" s="367" t="s">
        <v>4854</v>
      </c>
      <c r="E772" s="368" t="s">
        <v>5363</v>
      </c>
      <c r="F772" s="505" t="s">
        <v>240</v>
      </c>
      <c r="G772" s="326" t="s">
        <v>4687</v>
      </c>
      <c r="H772" s="326" t="s">
        <v>4688</v>
      </c>
      <c r="I772" s="326" t="s">
        <v>383</v>
      </c>
      <c r="J772" s="326" t="s">
        <v>399</v>
      </c>
      <c r="K772" s="326" t="s">
        <v>917</v>
      </c>
      <c r="L772" s="392" t="s">
        <v>210</v>
      </c>
      <c r="M772" s="326" t="s">
        <v>10767</v>
      </c>
      <c r="N772" s="325" t="s">
        <v>437</v>
      </c>
      <c r="O772" s="326">
        <v>30</v>
      </c>
      <c r="P772" s="837">
        <v>952</v>
      </c>
      <c r="Q772" s="838">
        <v>956</v>
      </c>
      <c r="R772" s="329" t="s">
        <v>447</v>
      </c>
      <c r="S772" s="332" t="s">
        <v>11077</v>
      </c>
      <c r="T772" s="332" t="s">
        <v>11078</v>
      </c>
      <c r="U772" s="332" t="s">
        <v>16355</v>
      </c>
      <c r="V772" s="332" t="s">
        <v>11133</v>
      </c>
      <c r="W772" s="332" t="s">
        <v>432</v>
      </c>
      <c r="X772" s="332" t="s">
        <v>11079</v>
      </c>
      <c r="Y772" s="332" t="s">
        <v>11080</v>
      </c>
      <c r="Z772" s="332" t="s">
        <v>11080</v>
      </c>
      <c r="AA772" s="332" t="s">
        <v>6574</v>
      </c>
      <c r="AB772" s="332"/>
      <c r="AC772" s="333"/>
      <c r="AD772" s="334" t="s">
        <v>730</v>
      </c>
      <c r="AE772" s="335" t="s">
        <v>210</v>
      </c>
      <c r="AF772" s="839">
        <v>42755</v>
      </c>
      <c r="AG772" s="706">
        <v>42818</v>
      </c>
      <c r="AH772" s="392">
        <v>7.2</v>
      </c>
      <c r="AI772" s="392">
        <v>14.4</v>
      </c>
      <c r="AJ772" s="392">
        <v>9.9</v>
      </c>
      <c r="AK772" s="341">
        <f>SUM(AH772:AJ772)</f>
        <v>31.5</v>
      </c>
      <c r="AL772" s="417" t="s">
        <v>210</v>
      </c>
      <c r="AM772" s="392" t="s">
        <v>210</v>
      </c>
      <c r="AN772" s="392" t="s">
        <v>210</v>
      </c>
      <c r="AO772" s="392" t="s">
        <v>210</v>
      </c>
      <c r="AP772" s="787"/>
      <c r="AQ772" s="489" t="s">
        <v>4547</v>
      </c>
      <c r="AR772" s="840">
        <v>1095.104</v>
      </c>
      <c r="AS772" s="326">
        <v>100</v>
      </c>
      <c r="AT772" s="392">
        <v>1</v>
      </c>
      <c r="AU772" s="392"/>
      <c r="AV772" s="392">
        <v>1.2</v>
      </c>
      <c r="AW772" s="341"/>
      <c r="AX772" s="417" t="s">
        <v>210</v>
      </c>
      <c r="AY772" s="340" t="s">
        <v>210</v>
      </c>
      <c r="AZ772" s="505" t="s">
        <v>4083</v>
      </c>
      <c r="BA772" s="326" t="s">
        <v>210</v>
      </c>
      <c r="BB772" s="326" t="s">
        <v>210</v>
      </c>
      <c r="BC772" s="326" t="s">
        <v>210</v>
      </c>
      <c r="BD772" s="326" t="s">
        <v>210</v>
      </c>
      <c r="BE772" s="326" t="s">
        <v>4689</v>
      </c>
      <c r="BF772" s="326" t="s">
        <v>3556</v>
      </c>
      <c r="BG772" s="326" t="s">
        <v>4690</v>
      </c>
      <c r="BH772" s="655" t="s">
        <v>3556</v>
      </c>
      <c r="BI772" s="376"/>
      <c r="BJ772" s="561" t="s">
        <v>210</v>
      </c>
      <c r="BK772" s="380"/>
      <c r="BL772" s="348"/>
      <c r="BM772" s="381"/>
      <c r="BN772" s="321" t="s">
        <v>210</v>
      </c>
      <c r="BO772" s="561"/>
      <c r="BP772" s="373" t="s">
        <v>210</v>
      </c>
      <c r="BQ772" s="559"/>
      <c r="BR772" s="323"/>
      <c r="BS772" s="323"/>
      <c r="BT772" s="323"/>
      <c r="BU772" s="787" t="s">
        <v>210</v>
      </c>
      <c r="BV772" s="787" t="s">
        <v>210</v>
      </c>
      <c r="BW772" s="392" t="s">
        <v>210</v>
      </c>
      <c r="BX772" s="348"/>
      <c r="BY772" s="331"/>
      <c r="BZ772" s="363"/>
      <c r="CA772" s="363"/>
      <c r="CB772" s="363"/>
      <c r="CC772" s="363"/>
      <c r="CD772" s="841"/>
    </row>
    <row r="773" spans="1:82" ht="22.5" customHeight="1">
      <c r="B773" s="643">
        <v>170009</v>
      </c>
      <c r="C773" s="833" t="s">
        <v>8851</v>
      </c>
      <c r="D773" s="439" t="s">
        <v>4849</v>
      </c>
      <c r="E773" s="404" t="s">
        <v>5363</v>
      </c>
      <c r="F773" s="832" t="s">
        <v>4738</v>
      </c>
      <c r="G773" s="324" t="s">
        <v>3870</v>
      </c>
      <c r="H773" s="324" t="s">
        <v>4739</v>
      </c>
      <c r="I773" s="326" t="s">
        <v>383</v>
      </c>
      <c r="J773" s="326" t="s">
        <v>399</v>
      </c>
      <c r="K773" s="326" t="s">
        <v>917</v>
      </c>
      <c r="L773" s="432" t="s">
        <v>210</v>
      </c>
      <c r="M773" s="324" t="s">
        <v>10767</v>
      </c>
      <c r="N773" s="325" t="s">
        <v>437</v>
      </c>
      <c r="O773" s="324">
        <v>40</v>
      </c>
      <c r="P773" s="816">
        <v>2150</v>
      </c>
      <c r="Q773" s="821">
        <v>2150</v>
      </c>
      <c r="R773" s="329" t="s">
        <v>469</v>
      </c>
      <c r="S773" s="394" t="s">
        <v>11204</v>
      </c>
      <c r="T773" s="394" t="s">
        <v>11205</v>
      </c>
      <c r="U773" s="394" t="s">
        <v>11207</v>
      </c>
      <c r="V773" s="394" t="s">
        <v>11206</v>
      </c>
      <c r="W773" s="332" t="s">
        <v>432</v>
      </c>
      <c r="X773" s="331" t="s">
        <v>11079</v>
      </c>
      <c r="Y773" s="331" t="s">
        <v>11080</v>
      </c>
      <c r="Z773" s="331" t="s">
        <v>11080</v>
      </c>
      <c r="AA773" s="331" t="s">
        <v>6574</v>
      </c>
      <c r="AB773" s="416"/>
      <c r="AC773" s="416"/>
      <c r="AD773" s="334" t="s">
        <v>2325</v>
      </c>
      <c r="AE773" s="335" t="s">
        <v>210</v>
      </c>
      <c r="AF773" s="831">
        <v>42740</v>
      </c>
      <c r="AG773" s="748">
        <v>42796</v>
      </c>
      <c r="AH773" s="453">
        <v>8.6999999999999993</v>
      </c>
      <c r="AI773" s="432">
        <v>12.7</v>
      </c>
      <c r="AJ773" s="432">
        <v>10.8</v>
      </c>
      <c r="AK773" s="490">
        <f>SUM(AH773:AJ773)</f>
        <v>32.200000000000003</v>
      </c>
      <c r="AL773" s="417" t="s">
        <v>210</v>
      </c>
      <c r="AM773" s="392" t="s">
        <v>210</v>
      </c>
      <c r="AN773" s="392" t="s">
        <v>210</v>
      </c>
      <c r="AO773" s="392" t="s">
        <v>210</v>
      </c>
      <c r="AP773" s="787" t="s">
        <v>210</v>
      </c>
      <c r="AQ773" s="489" t="s">
        <v>4547</v>
      </c>
      <c r="AR773" s="834">
        <v>2217</v>
      </c>
      <c r="AS773" s="324">
        <v>100</v>
      </c>
      <c r="AT773" s="432">
        <v>0.8</v>
      </c>
      <c r="AU773" s="432"/>
      <c r="AV773" s="432">
        <v>1.5</v>
      </c>
      <c r="AW773" s="490"/>
      <c r="AX773" s="417" t="s">
        <v>210</v>
      </c>
      <c r="AY773" s="340" t="s">
        <v>210</v>
      </c>
      <c r="AZ773" s="832" t="s">
        <v>622</v>
      </c>
      <c r="BA773" s="324" t="s">
        <v>3459</v>
      </c>
      <c r="BB773" s="324" t="s">
        <v>3372</v>
      </c>
      <c r="BC773" s="324" t="s">
        <v>3475</v>
      </c>
      <c r="BD773" s="324" t="s">
        <v>3372</v>
      </c>
      <c r="BE773" s="324" t="s">
        <v>3475</v>
      </c>
      <c r="BF773" s="324" t="s">
        <v>3372</v>
      </c>
      <c r="BG773" s="324" t="s">
        <v>210</v>
      </c>
      <c r="BH773" s="463" t="s">
        <v>210</v>
      </c>
      <c r="BI773" s="376"/>
      <c r="BJ773" s="561" t="s">
        <v>210</v>
      </c>
      <c r="BK773" s="380"/>
      <c r="BL773" s="348"/>
      <c r="BM773" s="414"/>
      <c r="BN773" s="321" t="s">
        <v>14</v>
      </c>
      <c r="BO773" s="561"/>
      <c r="BP773" s="373" t="s">
        <v>14</v>
      </c>
      <c r="BQ773" s="343"/>
      <c r="BR773" s="361"/>
      <c r="BS773" s="361"/>
      <c r="BT773" s="361"/>
      <c r="BU773" s="342" t="s">
        <v>210</v>
      </c>
      <c r="BV773" s="342" t="s">
        <v>210</v>
      </c>
      <c r="BW773" s="341" t="s">
        <v>210</v>
      </c>
      <c r="BX773" s="413"/>
      <c r="BY773" s="835"/>
      <c r="BZ773" s="363"/>
      <c r="CA773" s="363"/>
      <c r="CB773" s="363"/>
      <c r="CC773" s="363"/>
    </row>
    <row r="774" spans="1:82" ht="22.5" customHeight="1">
      <c r="B774" s="643">
        <v>170010</v>
      </c>
      <c r="C774" s="833" t="s">
        <v>4639</v>
      </c>
      <c r="D774" s="439" t="s">
        <v>4849</v>
      </c>
      <c r="E774" s="404" t="s">
        <v>5362</v>
      </c>
      <c r="F774" s="832" t="s">
        <v>4640</v>
      </c>
      <c r="G774" s="324" t="s">
        <v>3632</v>
      </c>
      <c r="H774" s="324" t="s">
        <v>3798</v>
      </c>
      <c r="I774" s="326" t="s">
        <v>383</v>
      </c>
      <c r="J774" s="326" t="s">
        <v>399</v>
      </c>
      <c r="K774" s="326" t="s">
        <v>917</v>
      </c>
      <c r="L774" s="432" t="s">
        <v>210</v>
      </c>
      <c r="M774" s="408"/>
      <c r="N774" s="325" t="s">
        <v>437</v>
      </c>
      <c r="O774" s="324">
        <v>200</v>
      </c>
      <c r="P774" s="458">
        <v>659</v>
      </c>
      <c r="Q774" s="822">
        <v>668</v>
      </c>
      <c r="R774" s="329" t="s">
        <v>1098</v>
      </c>
      <c r="S774" s="394" t="s">
        <v>11102</v>
      </c>
      <c r="T774" s="394" t="s">
        <v>12439</v>
      </c>
      <c r="U774" s="394" t="s">
        <v>16310</v>
      </c>
      <c r="V774" s="394" t="s">
        <v>11421</v>
      </c>
      <c r="W774" s="460" t="s">
        <v>3800</v>
      </c>
      <c r="X774" s="394" t="s">
        <v>11416</v>
      </c>
      <c r="Y774" s="394" t="s">
        <v>11417</v>
      </c>
      <c r="Z774" s="394" t="s">
        <v>11418</v>
      </c>
      <c r="AA774" s="394" t="s">
        <v>11419</v>
      </c>
      <c r="AB774" s="416"/>
      <c r="AC774" s="416"/>
      <c r="AD774" s="334" t="s">
        <v>2326</v>
      </c>
      <c r="AE774" s="335" t="s">
        <v>210</v>
      </c>
      <c r="AF774" s="831">
        <v>42741</v>
      </c>
      <c r="AG774" s="748">
        <v>42823</v>
      </c>
      <c r="AH774" s="417" t="s">
        <v>210</v>
      </c>
      <c r="AI774" s="392" t="s">
        <v>210</v>
      </c>
      <c r="AJ774" s="392" t="s">
        <v>210</v>
      </c>
      <c r="AK774" s="341" t="s">
        <v>210</v>
      </c>
      <c r="AL774" s="417" t="s">
        <v>210</v>
      </c>
      <c r="AM774" s="392" t="s">
        <v>210</v>
      </c>
      <c r="AN774" s="392" t="s">
        <v>210</v>
      </c>
      <c r="AO774" s="392" t="s">
        <v>210</v>
      </c>
      <c r="AP774" s="787" t="s">
        <v>210</v>
      </c>
      <c r="AQ774" s="489" t="s">
        <v>4547</v>
      </c>
      <c r="AR774" s="834">
        <v>1020</v>
      </c>
      <c r="AS774" s="324">
        <v>100</v>
      </c>
      <c r="AT774" s="432">
        <v>1</v>
      </c>
      <c r="AU774" s="432"/>
      <c r="AV774" s="432">
        <v>1.5</v>
      </c>
      <c r="AW774" s="490"/>
      <c r="AX774" s="417" t="s">
        <v>210</v>
      </c>
      <c r="AY774" s="340" t="s">
        <v>210</v>
      </c>
      <c r="AZ774" s="832" t="s">
        <v>622</v>
      </c>
      <c r="BA774" s="324" t="s">
        <v>3459</v>
      </c>
      <c r="BB774" s="324" t="s">
        <v>3482</v>
      </c>
      <c r="BC774" s="324" t="s">
        <v>4641</v>
      </c>
      <c r="BD774" s="324" t="s">
        <v>3492</v>
      </c>
      <c r="BE774" s="324" t="s">
        <v>4642</v>
      </c>
      <c r="BF774" s="324" t="s">
        <v>4643</v>
      </c>
      <c r="BG774" s="324" t="s">
        <v>210</v>
      </c>
      <c r="BH774" s="463" t="s">
        <v>210</v>
      </c>
      <c r="BI774" s="376"/>
      <c r="BJ774" s="561" t="s">
        <v>210</v>
      </c>
      <c r="BK774" s="380"/>
      <c r="BL774" s="348"/>
      <c r="BM774" s="414"/>
      <c r="BN774" s="321" t="s">
        <v>210</v>
      </c>
      <c r="BO774" s="561"/>
      <c r="BP774" s="373" t="s">
        <v>14</v>
      </c>
      <c r="BQ774" s="343"/>
      <c r="BR774" s="361"/>
      <c r="BS774" s="361"/>
      <c r="BT774" s="361"/>
      <c r="BU774" s="342" t="s">
        <v>210</v>
      </c>
      <c r="BV774" s="342" t="s">
        <v>210</v>
      </c>
      <c r="BW774" s="341" t="s">
        <v>210</v>
      </c>
      <c r="BX774" s="413"/>
      <c r="BY774" s="835"/>
      <c r="BZ774" s="363"/>
      <c r="CA774" s="363"/>
      <c r="CB774" s="363"/>
      <c r="CC774" s="363"/>
    </row>
    <row r="775" spans="1:82" ht="22.5" customHeight="1">
      <c r="B775" s="442">
        <v>170012</v>
      </c>
      <c r="C775" s="843" t="s">
        <v>4670</v>
      </c>
      <c r="D775" s="419" t="s">
        <v>5416</v>
      </c>
      <c r="E775" s="368" t="s">
        <v>5361</v>
      </c>
      <c r="F775" s="832" t="s">
        <v>266</v>
      </c>
      <c r="G775" s="324" t="s">
        <v>4671</v>
      </c>
      <c r="H775" s="324" t="s">
        <v>4672</v>
      </c>
      <c r="I775" s="326" t="s">
        <v>383</v>
      </c>
      <c r="J775" s="326" t="s">
        <v>387</v>
      </c>
      <c r="K775" s="326" t="s">
        <v>917</v>
      </c>
      <c r="L775" s="432" t="s">
        <v>210</v>
      </c>
      <c r="M775" s="408"/>
      <c r="N775" s="325" t="s">
        <v>437</v>
      </c>
      <c r="O775" s="324">
        <v>30</v>
      </c>
      <c r="P775" s="816">
        <v>1160</v>
      </c>
      <c r="Q775" s="821">
        <v>580</v>
      </c>
      <c r="R775" s="420" t="s">
        <v>6395</v>
      </c>
      <c r="S775" s="400"/>
      <c r="T775" s="400"/>
      <c r="U775" s="400"/>
      <c r="V775" s="400"/>
      <c r="W775" s="332" t="s">
        <v>647</v>
      </c>
      <c r="X775" s="394" t="s">
        <v>12721</v>
      </c>
      <c r="Y775" s="394" t="s">
        <v>11486</v>
      </c>
      <c r="Z775" s="394" t="s">
        <v>11487</v>
      </c>
      <c r="AA775" s="394" t="s">
        <v>11488</v>
      </c>
      <c r="AB775" s="416"/>
      <c r="AC775" s="416"/>
      <c r="AD775" s="334" t="s">
        <v>4858</v>
      </c>
      <c r="AE775" s="335" t="s">
        <v>4866</v>
      </c>
      <c r="AF775" s="831">
        <v>42753</v>
      </c>
      <c r="AG775" s="748">
        <v>42790</v>
      </c>
      <c r="AH775" s="417" t="s">
        <v>210</v>
      </c>
      <c r="AI775" s="392" t="s">
        <v>210</v>
      </c>
      <c r="AJ775" s="392" t="s">
        <v>210</v>
      </c>
      <c r="AK775" s="341" t="s">
        <v>210</v>
      </c>
      <c r="AL775" s="417" t="s">
        <v>210</v>
      </c>
      <c r="AM775" s="392" t="s">
        <v>210</v>
      </c>
      <c r="AN775" s="392" t="s">
        <v>210</v>
      </c>
      <c r="AO775" s="392" t="s">
        <v>210</v>
      </c>
      <c r="AP775" s="787" t="s">
        <v>210</v>
      </c>
      <c r="AQ775" s="489" t="s">
        <v>4547</v>
      </c>
      <c r="AR775" s="834">
        <v>872</v>
      </c>
      <c r="AS775" s="324">
        <v>100</v>
      </c>
      <c r="AT775" s="432">
        <v>1</v>
      </c>
      <c r="AU775" s="432"/>
      <c r="AV775" s="432">
        <v>1.5</v>
      </c>
      <c r="AW775" s="490"/>
      <c r="AX775" s="417" t="s">
        <v>210</v>
      </c>
      <c r="AY775" s="340" t="s">
        <v>210</v>
      </c>
      <c r="AZ775" s="832" t="s">
        <v>622</v>
      </c>
      <c r="BA775" s="324" t="s">
        <v>4673</v>
      </c>
      <c r="BB775" s="324" t="s">
        <v>4674</v>
      </c>
      <c r="BC775" s="324" t="s">
        <v>4675</v>
      </c>
      <c r="BD775" s="324" t="s">
        <v>4674</v>
      </c>
      <c r="BE775" s="324" t="s">
        <v>4676</v>
      </c>
      <c r="BF775" s="324" t="s">
        <v>4674</v>
      </c>
      <c r="BG775" s="324" t="s">
        <v>4677</v>
      </c>
      <c r="BH775" s="463" t="s">
        <v>4677</v>
      </c>
      <c r="BI775" s="376"/>
      <c r="BJ775" s="561" t="s">
        <v>210</v>
      </c>
      <c r="BK775" s="380"/>
      <c r="BL775" s="348"/>
      <c r="BM775" s="414"/>
      <c r="BN775" s="321" t="s">
        <v>14</v>
      </c>
      <c r="BO775" s="561"/>
      <c r="BP775" s="373" t="s">
        <v>14</v>
      </c>
      <c r="BQ775" s="343"/>
      <c r="BR775" s="361"/>
      <c r="BS775" s="361"/>
      <c r="BT775" s="361"/>
      <c r="BU775" s="342" t="s">
        <v>210</v>
      </c>
      <c r="BV775" s="342" t="s">
        <v>210</v>
      </c>
      <c r="BW775" s="341" t="s">
        <v>210</v>
      </c>
      <c r="BX775" s="413"/>
      <c r="BY775" s="835"/>
      <c r="BZ775" s="363"/>
      <c r="CA775" s="363"/>
      <c r="CB775" s="363"/>
      <c r="CC775" s="363"/>
    </row>
    <row r="776" spans="1:82" ht="22.5" customHeight="1">
      <c r="B776" s="442">
        <v>170013</v>
      </c>
      <c r="C776" s="747" t="s">
        <v>4701</v>
      </c>
      <c r="D776" s="439" t="s">
        <v>4854</v>
      </c>
      <c r="E776" s="404" t="s">
        <v>5361</v>
      </c>
      <c r="F776" s="405" t="s">
        <v>4702</v>
      </c>
      <c r="G776" s="324" t="s">
        <v>4703</v>
      </c>
      <c r="H776" s="324" t="s">
        <v>4704</v>
      </c>
      <c r="I776" s="326" t="s">
        <v>383</v>
      </c>
      <c r="J776" s="326" t="s">
        <v>399</v>
      </c>
      <c r="K776" s="326" t="s">
        <v>917</v>
      </c>
      <c r="L776" s="432" t="s">
        <v>210</v>
      </c>
      <c r="M776" s="324" t="s">
        <v>10768</v>
      </c>
      <c r="N776" s="444" t="s">
        <v>438</v>
      </c>
      <c r="O776" s="324">
        <v>50</v>
      </c>
      <c r="P776" s="458">
        <v>12990</v>
      </c>
      <c r="Q776" s="822">
        <v>13849</v>
      </c>
      <c r="R776" s="420" t="s">
        <v>5667</v>
      </c>
      <c r="S776" s="394" t="s">
        <v>11953</v>
      </c>
      <c r="T776" s="400"/>
      <c r="U776" s="400"/>
      <c r="V776" s="394" t="s">
        <v>11954</v>
      </c>
      <c r="W776" s="332" t="s">
        <v>432</v>
      </c>
      <c r="X776" s="331" t="s">
        <v>11079</v>
      </c>
      <c r="Y776" s="331" t="s">
        <v>11080</v>
      </c>
      <c r="Z776" s="331" t="s">
        <v>11080</v>
      </c>
      <c r="AA776" s="331" t="s">
        <v>6574</v>
      </c>
      <c r="AB776" s="416"/>
      <c r="AC776" s="416"/>
      <c r="AD776" s="447" t="s">
        <v>730</v>
      </c>
      <c r="AE776" s="499" t="s">
        <v>245</v>
      </c>
      <c r="AF776" s="462">
        <v>42768</v>
      </c>
      <c r="AG776" s="748">
        <v>42881</v>
      </c>
      <c r="AH776" s="453">
        <v>8.8000000000000007</v>
      </c>
      <c r="AI776" s="432">
        <v>17.100000000000001</v>
      </c>
      <c r="AJ776" s="432">
        <v>14.2</v>
      </c>
      <c r="AK776" s="455">
        <f>SUM(AH776:AJ776)</f>
        <v>40.1</v>
      </c>
      <c r="AL776" s="417" t="s">
        <v>210</v>
      </c>
      <c r="AM776" s="392" t="s">
        <v>210</v>
      </c>
      <c r="AN776" s="392" t="s">
        <v>210</v>
      </c>
      <c r="AO776" s="341" t="s">
        <v>210</v>
      </c>
      <c r="AP776" s="342" t="s">
        <v>210</v>
      </c>
      <c r="AQ776" s="433" t="s">
        <v>4547</v>
      </c>
      <c r="AR776" s="452">
        <v>14229</v>
      </c>
      <c r="AS776" s="324">
        <v>100</v>
      </c>
      <c r="AT776" s="432">
        <v>1</v>
      </c>
      <c r="AU776" s="432"/>
      <c r="AV776" s="432">
        <v>1.5</v>
      </c>
      <c r="AW776" s="490"/>
      <c r="AX776" s="417" t="s">
        <v>210</v>
      </c>
      <c r="AY776" s="340" t="s">
        <v>210</v>
      </c>
      <c r="AZ776" s="832" t="s">
        <v>3367</v>
      </c>
      <c r="BA776" s="324" t="s">
        <v>210</v>
      </c>
      <c r="BB776" s="324" t="s">
        <v>210</v>
      </c>
      <c r="BC776" s="324" t="s">
        <v>4706</v>
      </c>
      <c r="BD776" s="324" t="s">
        <v>4705</v>
      </c>
      <c r="BE776" s="324" t="s">
        <v>4707</v>
      </c>
      <c r="BF776" s="324" t="s">
        <v>4705</v>
      </c>
      <c r="BG776" s="324" t="s">
        <v>4707</v>
      </c>
      <c r="BH776" s="463" t="s">
        <v>4705</v>
      </c>
      <c r="BI776" s="376"/>
      <c r="BJ776" s="561" t="s">
        <v>210</v>
      </c>
      <c r="BK776" s="380"/>
      <c r="BL776" s="348"/>
      <c r="BM776" s="414"/>
      <c r="BN776" s="321" t="s">
        <v>14</v>
      </c>
      <c r="BO776" s="372"/>
      <c r="BP776" s="373" t="s">
        <v>14</v>
      </c>
      <c r="BQ776" s="360"/>
      <c r="BR776" s="361"/>
      <c r="BS776" s="361"/>
      <c r="BT776" s="361"/>
      <c r="BU776" s="342" t="s">
        <v>210</v>
      </c>
      <c r="BV776" s="342" t="s">
        <v>210</v>
      </c>
      <c r="BW776" s="341" t="s">
        <v>210</v>
      </c>
      <c r="BX776" s="413"/>
      <c r="BY776" s="835"/>
      <c r="BZ776" s="363"/>
      <c r="CA776" s="363"/>
      <c r="CB776" s="363"/>
      <c r="CC776" s="363"/>
    </row>
    <row r="777" spans="1:82" ht="22.5" customHeight="1">
      <c r="B777" s="442">
        <v>170014</v>
      </c>
      <c r="C777" s="747" t="s">
        <v>4710</v>
      </c>
      <c r="D777" s="439" t="s">
        <v>4849</v>
      </c>
      <c r="E777" s="404" t="s">
        <v>5362</v>
      </c>
      <c r="F777" s="405" t="s">
        <v>4717</v>
      </c>
      <c r="G777" s="324" t="s">
        <v>4718</v>
      </c>
      <c r="H777" s="324" t="s">
        <v>4719</v>
      </c>
      <c r="I777" s="326" t="s">
        <v>383</v>
      </c>
      <c r="J777" s="326" t="s">
        <v>387</v>
      </c>
      <c r="K777" s="324" t="s">
        <v>4720</v>
      </c>
      <c r="L777" s="432" t="s">
        <v>210</v>
      </c>
      <c r="M777" s="408"/>
      <c r="N777" s="325" t="s">
        <v>437</v>
      </c>
      <c r="O777" s="324">
        <v>40</v>
      </c>
      <c r="P777" s="816">
        <v>560</v>
      </c>
      <c r="Q777" s="821">
        <v>280</v>
      </c>
      <c r="R777" s="329" t="s">
        <v>6394</v>
      </c>
      <c r="S777" s="394" t="s">
        <v>12715</v>
      </c>
      <c r="T777" s="394" t="s">
        <v>12717</v>
      </c>
      <c r="U777" s="394" t="s">
        <v>16462</v>
      </c>
      <c r="V777" s="394" t="s">
        <v>12716</v>
      </c>
      <c r="W777" s="460" t="s">
        <v>13372</v>
      </c>
      <c r="X777" s="394" t="s">
        <v>12718</v>
      </c>
      <c r="Y777" s="394" t="s">
        <v>12720</v>
      </c>
      <c r="Z777" s="394" t="s">
        <v>16475</v>
      </c>
      <c r="AA777" s="394" t="s">
        <v>12719</v>
      </c>
      <c r="AB777" s="416"/>
      <c r="AC777" s="416"/>
      <c r="AD777" s="334" t="s">
        <v>2326</v>
      </c>
      <c r="AE777" s="499" t="s">
        <v>4827</v>
      </c>
      <c r="AF777" s="462">
        <v>42753</v>
      </c>
      <c r="AG777" s="748">
        <v>42783</v>
      </c>
      <c r="AH777" s="417" t="s">
        <v>210</v>
      </c>
      <c r="AI777" s="392" t="s">
        <v>210</v>
      </c>
      <c r="AJ777" s="392" t="s">
        <v>210</v>
      </c>
      <c r="AK777" s="340" t="s">
        <v>210</v>
      </c>
      <c r="AL777" s="417" t="s">
        <v>210</v>
      </c>
      <c r="AM777" s="392" t="s">
        <v>210</v>
      </c>
      <c r="AN777" s="392" t="s">
        <v>210</v>
      </c>
      <c r="AO777" s="341" t="s">
        <v>210</v>
      </c>
      <c r="AP777" s="342" t="s">
        <v>210</v>
      </c>
      <c r="AQ777" s="433" t="s">
        <v>4547</v>
      </c>
      <c r="AR777" s="452">
        <v>384</v>
      </c>
      <c r="AS777" s="324">
        <v>120</v>
      </c>
      <c r="AT777" s="432">
        <v>1</v>
      </c>
      <c r="AU777" s="432"/>
      <c r="AV777" s="432">
        <v>1.5</v>
      </c>
      <c r="AW777" s="490"/>
      <c r="AX777" s="453" t="s">
        <v>210</v>
      </c>
      <c r="AY777" s="455" t="s">
        <v>210</v>
      </c>
      <c r="AZ777" s="405" t="s">
        <v>3367</v>
      </c>
      <c r="BA777" s="324" t="s">
        <v>210</v>
      </c>
      <c r="BB777" s="324" t="s">
        <v>210</v>
      </c>
      <c r="BC777" s="324" t="s">
        <v>4745</v>
      </c>
      <c r="BD777" s="324" t="s">
        <v>3372</v>
      </c>
      <c r="BE777" s="324" t="s">
        <v>4754</v>
      </c>
      <c r="BF777" s="324" t="s">
        <v>4755</v>
      </c>
      <c r="BG777" s="324" t="s">
        <v>4752</v>
      </c>
      <c r="BH777" s="463" t="s">
        <v>3556</v>
      </c>
      <c r="BI777" s="376"/>
      <c r="BJ777" s="561" t="s">
        <v>210</v>
      </c>
      <c r="BK777" s="380"/>
      <c r="BL777" s="348"/>
      <c r="BM777" s="414"/>
      <c r="BN777" s="321" t="s">
        <v>4721</v>
      </c>
      <c r="BO777" s="372"/>
      <c r="BP777" s="373" t="s">
        <v>4722</v>
      </c>
      <c r="BQ777" s="360"/>
      <c r="BR777" s="361"/>
      <c r="BS777" s="361"/>
      <c r="BT777" s="361"/>
      <c r="BU777" s="342" t="s">
        <v>210</v>
      </c>
      <c r="BV777" s="342" t="s">
        <v>210</v>
      </c>
      <c r="BW777" s="341" t="s">
        <v>210</v>
      </c>
      <c r="BX777" s="413"/>
      <c r="BY777" s="835"/>
      <c r="BZ777" s="363"/>
      <c r="CA777" s="363"/>
      <c r="CB777" s="363"/>
      <c r="CC777" s="363"/>
    </row>
    <row r="778" spans="1:82" ht="22.5" customHeight="1">
      <c r="B778" s="442">
        <v>170015</v>
      </c>
      <c r="C778" s="747" t="s">
        <v>4657</v>
      </c>
      <c r="D778" s="439" t="s">
        <v>5416</v>
      </c>
      <c r="E778" s="404" t="s">
        <v>5362</v>
      </c>
      <c r="F778" s="405" t="s">
        <v>4658</v>
      </c>
      <c r="G778" s="324" t="s">
        <v>4659</v>
      </c>
      <c r="H778" s="324" t="s">
        <v>4660</v>
      </c>
      <c r="I778" s="326" t="s">
        <v>383</v>
      </c>
      <c r="J778" s="326" t="s">
        <v>387</v>
      </c>
      <c r="K778" s="324" t="s">
        <v>293</v>
      </c>
      <c r="L778" s="342">
        <v>3.9</v>
      </c>
      <c r="M778" s="408"/>
      <c r="N778" s="444" t="s">
        <v>438</v>
      </c>
      <c r="O778" s="324">
        <v>30</v>
      </c>
      <c r="P778" s="458">
        <v>965</v>
      </c>
      <c r="Q778" s="459">
        <v>613</v>
      </c>
      <c r="R778" s="420" t="s">
        <v>9108</v>
      </c>
      <c r="S778" s="394" t="s">
        <v>12725</v>
      </c>
      <c r="T778" s="400"/>
      <c r="U778" s="400"/>
      <c r="V778" s="394" t="s">
        <v>12726</v>
      </c>
      <c r="W778" s="460" t="s">
        <v>4663</v>
      </c>
      <c r="X778" s="394" t="s">
        <v>12722</v>
      </c>
      <c r="Y778" s="394" t="s">
        <v>12724</v>
      </c>
      <c r="Z778" s="394" t="s">
        <v>12723</v>
      </c>
      <c r="AA778" s="394" t="s">
        <v>12727</v>
      </c>
      <c r="AB778" s="416" t="s">
        <v>4661</v>
      </c>
      <c r="AC778" s="416"/>
      <c r="AD778" s="447" t="s">
        <v>4696</v>
      </c>
      <c r="AE778" s="499" t="s">
        <v>4759</v>
      </c>
      <c r="AF778" s="462">
        <v>42751</v>
      </c>
      <c r="AG778" s="748">
        <v>42790</v>
      </c>
      <c r="AH778" s="417" t="s">
        <v>210</v>
      </c>
      <c r="AI778" s="392" t="s">
        <v>210</v>
      </c>
      <c r="AJ778" s="392" t="s">
        <v>210</v>
      </c>
      <c r="AK778" s="340" t="s">
        <v>210</v>
      </c>
      <c r="AL778" s="417" t="s">
        <v>210</v>
      </c>
      <c r="AM778" s="392" t="s">
        <v>210</v>
      </c>
      <c r="AN778" s="392" t="s">
        <v>210</v>
      </c>
      <c r="AO778" s="341" t="s">
        <v>210</v>
      </c>
      <c r="AP778" s="342" t="s">
        <v>210</v>
      </c>
      <c r="AQ778" s="433" t="s">
        <v>4547</v>
      </c>
      <c r="AR778" s="452">
        <v>1193</v>
      </c>
      <c r="AS778" s="324">
        <v>120</v>
      </c>
      <c r="AT778" s="432">
        <v>0.8</v>
      </c>
      <c r="AU778" s="432"/>
      <c r="AV778" s="432">
        <v>1</v>
      </c>
      <c r="AW778" s="490"/>
      <c r="AX778" s="417" t="s">
        <v>622</v>
      </c>
      <c r="AY778" s="340" t="s">
        <v>622</v>
      </c>
      <c r="AZ778" s="405" t="s">
        <v>4083</v>
      </c>
      <c r="BA778" s="324" t="s">
        <v>210</v>
      </c>
      <c r="BB778" s="324" t="s">
        <v>210</v>
      </c>
      <c r="BC778" s="324" t="s">
        <v>210</v>
      </c>
      <c r="BD778" s="324" t="s">
        <v>210</v>
      </c>
      <c r="BE778" s="324" t="s">
        <v>4662</v>
      </c>
      <c r="BF778" s="324" t="s">
        <v>3627</v>
      </c>
      <c r="BG778" s="324" t="s">
        <v>210</v>
      </c>
      <c r="BH778" s="463" t="s">
        <v>210</v>
      </c>
      <c r="BI778" s="376"/>
      <c r="BJ778" s="561" t="s">
        <v>210</v>
      </c>
      <c r="BK778" s="380"/>
      <c r="BL778" s="348"/>
      <c r="BM778" s="414"/>
      <c r="BN778" s="321" t="s">
        <v>14</v>
      </c>
      <c r="BO778" s="372"/>
      <c r="BP778" s="373" t="s">
        <v>210</v>
      </c>
      <c r="BQ778" s="360"/>
      <c r="BR778" s="361"/>
      <c r="BS778" s="361"/>
      <c r="BT778" s="361"/>
      <c r="BU778" s="342" t="s">
        <v>210</v>
      </c>
      <c r="BV778" s="342" t="s">
        <v>210</v>
      </c>
      <c r="BW778" s="341" t="s">
        <v>210</v>
      </c>
      <c r="BX778" s="348"/>
      <c r="BY778" s="835"/>
      <c r="BZ778" s="363"/>
      <c r="CA778" s="363"/>
      <c r="CB778" s="363"/>
      <c r="CC778" s="363"/>
    </row>
    <row r="779" spans="1:82" ht="22.5" customHeight="1">
      <c r="B779" s="442">
        <v>170017</v>
      </c>
      <c r="C779" s="747" t="s">
        <v>4668</v>
      </c>
      <c r="D779" s="439" t="s">
        <v>4856</v>
      </c>
      <c r="E779" s="404" t="s">
        <v>5363</v>
      </c>
      <c r="F779" s="405" t="s">
        <v>225</v>
      </c>
      <c r="G779" s="324" t="s">
        <v>1990</v>
      </c>
      <c r="H779" s="324" t="s">
        <v>3432</v>
      </c>
      <c r="I779" s="326" t="s">
        <v>383</v>
      </c>
      <c r="J779" s="326" t="s">
        <v>399</v>
      </c>
      <c r="K779" s="326" t="s">
        <v>917</v>
      </c>
      <c r="L779" s="432" t="s">
        <v>210</v>
      </c>
      <c r="M779" s="324" t="s">
        <v>10767</v>
      </c>
      <c r="N779" s="325" t="s">
        <v>437</v>
      </c>
      <c r="O779" s="324">
        <v>30</v>
      </c>
      <c r="P779" s="458">
        <v>995</v>
      </c>
      <c r="Q779" s="459">
        <v>1037</v>
      </c>
      <c r="R779" s="420" t="s">
        <v>6393</v>
      </c>
      <c r="S779" s="394" t="s">
        <v>12713</v>
      </c>
      <c r="T779" s="394" t="s">
        <v>11829</v>
      </c>
      <c r="U779" s="394" t="s">
        <v>11828</v>
      </c>
      <c r="V779" s="394" t="s">
        <v>12714</v>
      </c>
      <c r="W779" s="332" t="s">
        <v>432</v>
      </c>
      <c r="X779" s="331" t="s">
        <v>11079</v>
      </c>
      <c r="Y779" s="331" t="s">
        <v>11080</v>
      </c>
      <c r="Z779" s="331" t="s">
        <v>11080</v>
      </c>
      <c r="AA779" s="331" t="s">
        <v>6574</v>
      </c>
      <c r="AB779" s="416"/>
      <c r="AC779" s="416"/>
      <c r="AD779" s="334" t="s">
        <v>4294</v>
      </c>
      <c r="AE779" s="335" t="s">
        <v>210</v>
      </c>
      <c r="AF779" s="462">
        <v>42752</v>
      </c>
      <c r="AG779" s="748">
        <v>42823</v>
      </c>
      <c r="AH779" s="453">
        <v>8</v>
      </c>
      <c r="AI779" s="432">
        <v>13.3</v>
      </c>
      <c r="AJ779" s="432">
        <v>10.4</v>
      </c>
      <c r="AK779" s="455">
        <f>SUM(AH779:AJ779)</f>
        <v>31.700000000000003</v>
      </c>
      <c r="AL779" s="417" t="s">
        <v>210</v>
      </c>
      <c r="AM779" s="392" t="s">
        <v>210</v>
      </c>
      <c r="AN779" s="392" t="s">
        <v>210</v>
      </c>
      <c r="AO779" s="341" t="s">
        <v>210</v>
      </c>
      <c r="AP779" s="342" t="s">
        <v>210</v>
      </c>
      <c r="AQ779" s="433" t="s">
        <v>4547</v>
      </c>
      <c r="AR779" s="452">
        <v>1365</v>
      </c>
      <c r="AS779" s="324">
        <v>100</v>
      </c>
      <c r="AT779" s="432">
        <v>0.8</v>
      </c>
      <c r="AU779" s="432"/>
      <c r="AV779" s="432">
        <v>1.4</v>
      </c>
      <c r="AW779" s="490"/>
      <c r="AX779" s="453" t="s">
        <v>210</v>
      </c>
      <c r="AY779" s="455" t="s">
        <v>210</v>
      </c>
      <c r="AZ779" s="405" t="s">
        <v>4083</v>
      </c>
      <c r="BA779" s="324" t="s">
        <v>210</v>
      </c>
      <c r="BB779" s="324" t="s">
        <v>210</v>
      </c>
      <c r="BC779" s="324" t="s">
        <v>3459</v>
      </c>
      <c r="BD779" s="324" t="s">
        <v>3556</v>
      </c>
      <c r="BE779" s="324" t="s">
        <v>4748</v>
      </c>
      <c r="BF779" s="324" t="s">
        <v>3372</v>
      </c>
      <c r="BG779" s="324" t="s">
        <v>3459</v>
      </c>
      <c r="BH779" s="463" t="s">
        <v>3574</v>
      </c>
      <c r="BI779" s="376"/>
      <c r="BJ779" s="561" t="s">
        <v>9793</v>
      </c>
      <c r="BK779" s="380"/>
      <c r="BL779" s="348"/>
      <c r="BM779" s="414"/>
      <c r="BN779" s="321" t="s">
        <v>210</v>
      </c>
      <c r="BO779" s="372"/>
      <c r="BP779" s="373" t="s">
        <v>210</v>
      </c>
      <c r="BQ779" s="360"/>
      <c r="BR779" s="361"/>
      <c r="BS779" s="361"/>
      <c r="BT779" s="361"/>
      <c r="BU779" s="342" t="s">
        <v>210</v>
      </c>
      <c r="BV779" s="342" t="s">
        <v>210</v>
      </c>
      <c r="BW779" s="341" t="s">
        <v>210</v>
      </c>
      <c r="BX779" s="361"/>
      <c r="BY779" s="457"/>
      <c r="BZ779" s="363"/>
      <c r="CA779" s="363"/>
      <c r="CB779" s="363"/>
      <c r="CC779" s="363"/>
    </row>
    <row r="780" spans="1:82" ht="22.5" customHeight="1">
      <c r="B780" s="442">
        <v>170018</v>
      </c>
      <c r="C780" s="747" t="s">
        <v>4631</v>
      </c>
      <c r="D780" s="439" t="s">
        <v>4854</v>
      </c>
      <c r="E780" s="404" t="s">
        <v>5363</v>
      </c>
      <c r="F780" s="405" t="s">
        <v>1048</v>
      </c>
      <c r="G780" s="324" t="s">
        <v>2651</v>
      </c>
      <c r="H780" s="324" t="s">
        <v>4632</v>
      </c>
      <c r="I780" s="326" t="s">
        <v>383</v>
      </c>
      <c r="J780" s="326" t="s">
        <v>399</v>
      </c>
      <c r="K780" s="324" t="s">
        <v>977</v>
      </c>
      <c r="L780" s="342">
        <v>10.5</v>
      </c>
      <c r="M780" s="324" t="s">
        <v>10767</v>
      </c>
      <c r="N780" s="325" t="s">
        <v>437</v>
      </c>
      <c r="O780" s="324">
        <v>59</v>
      </c>
      <c r="P780" s="458">
        <v>406</v>
      </c>
      <c r="Q780" s="459">
        <v>344</v>
      </c>
      <c r="R780" s="329" t="s">
        <v>6392</v>
      </c>
      <c r="S780" s="394" t="s">
        <v>12712</v>
      </c>
      <c r="T780" s="331" t="s">
        <v>11187</v>
      </c>
      <c r="U780" s="331" t="s">
        <v>11186</v>
      </c>
      <c r="V780" s="331" t="s">
        <v>11184</v>
      </c>
      <c r="W780" s="332" t="s">
        <v>432</v>
      </c>
      <c r="X780" s="331" t="s">
        <v>6574</v>
      </c>
      <c r="Y780" s="331" t="s">
        <v>6574</v>
      </c>
      <c r="Z780" s="331" t="s">
        <v>6574</v>
      </c>
      <c r="AA780" s="331" t="s">
        <v>6574</v>
      </c>
      <c r="AB780" s="416"/>
      <c r="AC780" s="416"/>
      <c r="AD780" s="447" t="s">
        <v>4997</v>
      </c>
      <c r="AE780" s="335" t="s">
        <v>210</v>
      </c>
      <c r="AF780" s="462">
        <v>42731</v>
      </c>
      <c r="AG780" s="748">
        <v>42839</v>
      </c>
      <c r="AH780" s="453">
        <v>12.8</v>
      </c>
      <c r="AI780" s="432">
        <v>18.399999999999999</v>
      </c>
      <c r="AJ780" s="432">
        <v>10</v>
      </c>
      <c r="AK780" s="455">
        <f>SUM(AH780:AJ780)</f>
        <v>41.2</v>
      </c>
      <c r="AL780" s="417" t="s">
        <v>210</v>
      </c>
      <c r="AM780" s="392" t="s">
        <v>210</v>
      </c>
      <c r="AN780" s="392" t="s">
        <v>210</v>
      </c>
      <c r="AO780" s="341" t="s">
        <v>210</v>
      </c>
      <c r="AP780" s="342" t="s">
        <v>210</v>
      </c>
      <c r="AQ780" s="433" t="s">
        <v>4547</v>
      </c>
      <c r="AR780" s="452">
        <v>461</v>
      </c>
      <c r="AS780" s="324">
        <v>80</v>
      </c>
      <c r="AT780" s="432">
        <v>1</v>
      </c>
      <c r="AU780" s="432"/>
      <c r="AV780" s="432">
        <v>1.5</v>
      </c>
      <c r="AW780" s="490"/>
      <c r="AX780" s="453" t="s">
        <v>210</v>
      </c>
      <c r="AY780" s="455" t="s">
        <v>210</v>
      </c>
      <c r="AZ780" s="405" t="s">
        <v>4083</v>
      </c>
      <c r="BA780" s="324" t="s">
        <v>210</v>
      </c>
      <c r="BB780" s="324" t="s">
        <v>210</v>
      </c>
      <c r="BC780" s="324" t="s">
        <v>4633</v>
      </c>
      <c r="BD780" s="324" t="s">
        <v>3422</v>
      </c>
      <c r="BE780" s="324" t="s">
        <v>4634</v>
      </c>
      <c r="BF780" s="324" t="s">
        <v>3559</v>
      </c>
      <c r="BG780" s="324" t="s">
        <v>4634</v>
      </c>
      <c r="BH780" s="426" t="s">
        <v>3574</v>
      </c>
      <c r="BI780" s="410"/>
      <c r="BJ780" s="427" t="s">
        <v>210</v>
      </c>
      <c r="BK780" s="412"/>
      <c r="BL780" s="413"/>
      <c r="BM780" s="414"/>
      <c r="BN780" s="321" t="s">
        <v>14</v>
      </c>
      <c r="BO780" s="372"/>
      <c r="BP780" s="373" t="s">
        <v>14</v>
      </c>
      <c r="BQ780" s="360"/>
      <c r="BR780" s="361"/>
      <c r="BS780" s="361"/>
      <c r="BT780" s="361"/>
      <c r="BU780" s="342" t="s">
        <v>210</v>
      </c>
      <c r="BV780" s="342" t="s">
        <v>210</v>
      </c>
      <c r="BW780" s="341" t="s">
        <v>210</v>
      </c>
      <c r="BX780" s="361"/>
      <c r="BY780" s="457"/>
      <c r="BZ780" s="363"/>
      <c r="CA780" s="363"/>
      <c r="CB780" s="363"/>
      <c r="CC780" s="363"/>
    </row>
    <row r="781" spans="1:82" ht="22.5" customHeight="1">
      <c r="B781" s="442">
        <v>170019</v>
      </c>
      <c r="C781" s="747" t="s">
        <v>4819</v>
      </c>
      <c r="D781" s="439" t="s">
        <v>4849</v>
      </c>
      <c r="E781" s="404" t="s">
        <v>5362</v>
      </c>
      <c r="F781" s="405" t="s">
        <v>1058</v>
      </c>
      <c r="G781" s="324" t="s">
        <v>4820</v>
      </c>
      <c r="H781" s="324" t="s">
        <v>4821</v>
      </c>
      <c r="I781" s="326" t="s">
        <v>383</v>
      </c>
      <c r="J781" s="326" t="s">
        <v>399</v>
      </c>
      <c r="K781" s="324" t="s">
        <v>977</v>
      </c>
      <c r="L781" s="342">
        <v>10.5</v>
      </c>
      <c r="M781" s="408"/>
      <c r="N781" s="444" t="s">
        <v>438</v>
      </c>
      <c r="O781" s="324">
        <v>30</v>
      </c>
      <c r="P781" s="458">
        <v>3106</v>
      </c>
      <c r="Q781" s="459">
        <v>3106</v>
      </c>
      <c r="R781" s="420" t="s">
        <v>4824</v>
      </c>
      <c r="S781" s="394" t="s">
        <v>12728</v>
      </c>
      <c r="T781" s="394" t="s">
        <v>12729</v>
      </c>
      <c r="U781" s="400"/>
      <c r="V781" s="394" t="s">
        <v>12730</v>
      </c>
      <c r="W781" s="332" t="s">
        <v>644</v>
      </c>
      <c r="X781" s="394" t="s">
        <v>12709</v>
      </c>
      <c r="Y781" s="394" t="s">
        <v>12685</v>
      </c>
      <c r="Z781" s="394" t="s">
        <v>12710</v>
      </c>
      <c r="AA781" s="394" t="s">
        <v>12711</v>
      </c>
      <c r="AB781" s="416"/>
      <c r="AC781" s="416"/>
      <c r="AD781" s="447" t="s">
        <v>4918</v>
      </c>
      <c r="AE781" s="499" t="s">
        <v>1038</v>
      </c>
      <c r="AF781" s="462">
        <v>42780</v>
      </c>
      <c r="AG781" s="748">
        <v>42818</v>
      </c>
      <c r="AH781" s="417" t="s">
        <v>210</v>
      </c>
      <c r="AI781" s="392" t="s">
        <v>210</v>
      </c>
      <c r="AJ781" s="392" t="s">
        <v>210</v>
      </c>
      <c r="AK781" s="340" t="s">
        <v>210</v>
      </c>
      <c r="AL781" s="417" t="s">
        <v>210</v>
      </c>
      <c r="AM781" s="392" t="s">
        <v>210</v>
      </c>
      <c r="AN781" s="392" t="s">
        <v>210</v>
      </c>
      <c r="AO781" s="341" t="s">
        <v>210</v>
      </c>
      <c r="AP781" s="342" t="s">
        <v>210</v>
      </c>
      <c r="AQ781" s="433" t="s">
        <v>4547</v>
      </c>
      <c r="AR781" s="452">
        <v>4389</v>
      </c>
      <c r="AS781" s="324">
        <v>80</v>
      </c>
      <c r="AT781" s="432">
        <v>1</v>
      </c>
      <c r="AU781" s="432"/>
      <c r="AV781" s="432">
        <v>1.5</v>
      </c>
      <c r="AW781" s="490"/>
      <c r="AX781" s="417" t="s">
        <v>210</v>
      </c>
      <c r="AY781" s="455" t="s">
        <v>210</v>
      </c>
      <c r="AZ781" s="405" t="s">
        <v>4083</v>
      </c>
      <c r="BA781" s="324" t="s">
        <v>210</v>
      </c>
      <c r="BB781" s="324" t="s">
        <v>210</v>
      </c>
      <c r="BC781" s="324" t="s">
        <v>210</v>
      </c>
      <c r="BD781" s="324" t="s">
        <v>210</v>
      </c>
      <c r="BE781" s="324" t="s">
        <v>4822</v>
      </c>
      <c r="BF781" s="324" t="s">
        <v>3443</v>
      </c>
      <c r="BG781" s="324" t="s">
        <v>4823</v>
      </c>
      <c r="BH781" s="426" t="s">
        <v>3443</v>
      </c>
      <c r="BI781" s="410"/>
      <c r="BJ781" s="427" t="s">
        <v>210</v>
      </c>
      <c r="BK781" s="412"/>
      <c r="BL781" s="413"/>
      <c r="BM781" s="414"/>
      <c r="BN781" s="321" t="s">
        <v>210</v>
      </c>
      <c r="BO781" s="372"/>
      <c r="BP781" s="373" t="s">
        <v>210</v>
      </c>
      <c r="BQ781" s="360"/>
      <c r="BR781" s="361"/>
      <c r="BS781" s="361"/>
      <c r="BT781" s="361"/>
      <c r="BU781" s="342" t="s">
        <v>210</v>
      </c>
      <c r="BV781" s="342" t="s">
        <v>210</v>
      </c>
      <c r="BW781" s="341" t="s">
        <v>210</v>
      </c>
      <c r="BX781" s="361"/>
      <c r="BY781" s="457"/>
      <c r="BZ781" s="363"/>
      <c r="CA781" s="363"/>
      <c r="CB781" s="363"/>
      <c r="CC781" s="363"/>
    </row>
    <row r="782" spans="1:82" ht="22.5" customHeight="1">
      <c r="B782" s="442">
        <v>170021</v>
      </c>
      <c r="C782" s="747" t="s">
        <v>4723</v>
      </c>
      <c r="D782" s="439" t="s">
        <v>5416</v>
      </c>
      <c r="E782" s="404" t="s">
        <v>5361</v>
      </c>
      <c r="F782" s="405" t="s">
        <v>4724</v>
      </c>
      <c r="G782" s="324" t="s">
        <v>4725</v>
      </c>
      <c r="H782" s="324" t="s">
        <v>4726</v>
      </c>
      <c r="I782" s="326" t="s">
        <v>383</v>
      </c>
      <c r="J782" s="326" t="s">
        <v>387</v>
      </c>
      <c r="K782" s="324" t="s">
        <v>4731</v>
      </c>
      <c r="L782" s="392" t="s">
        <v>210</v>
      </c>
      <c r="M782" s="408"/>
      <c r="N782" s="325" t="s">
        <v>4737</v>
      </c>
      <c r="O782" s="324">
        <v>30</v>
      </c>
      <c r="P782" s="816">
        <v>1530</v>
      </c>
      <c r="Q782" s="817">
        <v>765</v>
      </c>
      <c r="R782" s="420" t="s">
        <v>4734</v>
      </c>
      <c r="S782" s="394" t="s">
        <v>12731</v>
      </c>
      <c r="T782" s="394" t="s">
        <v>12733</v>
      </c>
      <c r="U782" s="394" t="s">
        <v>12732</v>
      </c>
      <c r="V782" s="394" t="s">
        <v>12734</v>
      </c>
      <c r="W782" s="460" t="s">
        <v>4734</v>
      </c>
      <c r="X782" s="394" t="s">
        <v>12731</v>
      </c>
      <c r="Y782" s="394" t="s">
        <v>12733</v>
      </c>
      <c r="Z782" s="394" t="s">
        <v>12732</v>
      </c>
      <c r="AA782" s="394" t="s">
        <v>12734</v>
      </c>
      <c r="AB782" s="416"/>
      <c r="AC782" s="416"/>
      <c r="AD782" s="375"/>
      <c r="AE782" s="335" t="s">
        <v>210</v>
      </c>
      <c r="AF782" s="462">
        <v>42761</v>
      </c>
      <c r="AG782" s="748">
        <v>42794</v>
      </c>
      <c r="AH782" s="417" t="s">
        <v>210</v>
      </c>
      <c r="AI782" s="392" t="s">
        <v>210</v>
      </c>
      <c r="AJ782" s="392" t="s">
        <v>210</v>
      </c>
      <c r="AK782" s="340" t="s">
        <v>210</v>
      </c>
      <c r="AL782" s="417" t="s">
        <v>210</v>
      </c>
      <c r="AM782" s="392" t="s">
        <v>210</v>
      </c>
      <c r="AN782" s="392" t="s">
        <v>210</v>
      </c>
      <c r="AO782" s="341" t="s">
        <v>210</v>
      </c>
      <c r="AP782" s="342" t="s">
        <v>210</v>
      </c>
      <c r="AQ782" s="433" t="s">
        <v>4549</v>
      </c>
      <c r="AR782" s="452">
        <v>868</v>
      </c>
      <c r="AS782" s="324">
        <v>50</v>
      </c>
      <c r="AT782" s="432">
        <v>1</v>
      </c>
      <c r="AU782" s="432"/>
      <c r="AV782" s="432">
        <v>1</v>
      </c>
      <c r="AW782" s="490"/>
      <c r="AX782" s="417" t="s">
        <v>210</v>
      </c>
      <c r="AY782" s="340" t="s">
        <v>210</v>
      </c>
      <c r="AZ782" s="405" t="s">
        <v>4083</v>
      </c>
      <c r="BA782" s="324" t="s">
        <v>210</v>
      </c>
      <c r="BB782" s="324" t="s">
        <v>210</v>
      </c>
      <c r="BC782" s="324" t="s">
        <v>4727</v>
      </c>
      <c r="BD782" s="324" t="s">
        <v>3556</v>
      </c>
      <c r="BE782" s="324" t="s">
        <v>4728</v>
      </c>
      <c r="BF782" s="324" t="s">
        <v>4729</v>
      </c>
      <c r="BG782" s="324" t="s">
        <v>4730</v>
      </c>
      <c r="BH782" s="426" t="s">
        <v>3512</v>
      </c>
      <c r="BI782" s="410"/>
      <c r="BJ782" s="427" t="s">
        <v>210</v>
      </c>
      <c r="BK782" s="412"/>
      <c r="BL782" s="413"/>
      <c r="BM782" s="414"/>
      <c r="BN782" s="321" t="s">
        <v>622</v>
      </c>
      <c r="BO782" s="372">
        <v>1.68</v>
      </c>
      <c r="BP782" s="373" t="s">
        <v>622</v>
      </c>
      <c r="BQ782" s="360"/>
      <c r="BR782" s="361"/>
      <c r="BS782" s="361"/>
      <c r="BT782" s="361"/>
      <c r="BU782" s="342" t="s">
        <v>210</v>
      </c>
      <c r="BV782" s="342" t="s">
        <v>210</v>
      </c>
      <c r="BW782" s="341" t="s">
        <v>210</v>
      </c>
      <c r="BX782" s="361"/>
      <c r="BY782" s="457"/>
      <c r="BZ782" s="363"/>
      <c r="CA782" s="363"/>
      <c r="CB782" s="363"/>
      <c r="CC782" s="363"/>
    </row>
    <row r="783" spans="1:82" ht="22.5" customHeight="1">
      <c r="B783" s="442">
        <v>170022</v>
      </c>
      <c r="C783" s="747" t="s">
        <v>4691</v>
      </c>
      <c r="D783" s="439" t="s">
        <v>4849</v>
      </c>
      <c r="E783" s="404" t="s">
        <v>5361</v>
      </c>
      <c r="F783" s="405" t="s">
        <v>4072</v>
      </c>
      <c r="G783" s="324" t="s">
        <v>3112</v>
      </c>
      <c r="H783" s="324" t="s">
        <v>4692</v>
      </c>
      <c r="I783" s="326" t="s">
        <v>383</v>
      </c>
      <c r="J783" s="326" t="s">
        <v>399</v>
      </c>
      <c r="K783" s="324" t="s">
        <v>293</v>
      </c>
      <c r="L783" s="342">
        <v>15</v>
      </c>
      <c r="M783" s="408"/>
      <c r="N783" s="444" t="s">
        <v>438</v>
      </c>
      <c r="O783" s="324">
        <v>30</v>
      </c>
      <c r="P783" s="816">
        <v>745</v>
      </c>
      <c r="Q783" s="817">
        <v>620</v>
      </c>
      <c r="R783" s="329" t="s">
        <v>691</v>
      </c>
      <c r="S783" s="394" t="s">
        <v>12708</v>
      </c>
      <c r="T783" s="394" t="s">
        <v>12244</v>
      </c>
      <c r="U783" s="394" t="s">
        <v>16219</v>
      </c>
      <c r="V783" s="394" t="s">
        <v>12245</v>
      </c>
      <c r="W783" s="332" t="s">
        <v>644</v>
      </c>
      <c r="X783" s="330"/>
      <c r="Y783" s="394" t="s">
        <v>11201</v>
      </c>
      <c r="Z783" s="394" t="s">
        <v>12155</v>
      </c>
      <c r="AA783" s="330"/>
      <c r="AB783" s="416"/>
      <c r="AC783" s="416"/>
      <c r="AD783" s="447" t="s">
        <v>944</v>
      </c>
      <c r="AE783" s="499" t="s">
        <v>4842</v>
      </c>
      <c r="AF783" s="462">
        <v>42761</v>
      </c>
      <c r="AG783" s="748">
        <v>42786</v>
      </c>
      <c r="AH783" s="417" t="s">
        <v>210</v>
      </c>
      <c r="AI783" s="392" t="s">
        <v>210</v>
      </c>
      <c r="AJ783" s="392" t="s">
        <v>210</v>
      </c>
      <c r="AK783" s="340" t="s">
        <v>210</v>
      </c>
      <c r="AL783" s="417" t="s">
        <v>210</v>
      </c>
      <c r="AM783" s="392" t="s">
        <v>210</v>
      </c>
      <c r="AN783" s="392" t="s">
        <v>210</v>
      </c>
      <c r="AO783" s="341" t="s">
        <v>210</v>
      </c>
      <c r="AP783" s="342" t="s">
        <v>210</v>
      </c>
      <c r="AQ783" s="433" t="s">
        <v>4547</v>
      </c>
      <c r="AR783" s="452">
        <v>998</v>
      </c>
      <c r="AS783" s="324">
        <v>120</v>
      </c>
      <c r="AT783" s="432">
        <v>1</v>
      </c>
      <c r="AU783" s="432"/>
      <c r="AV783" s="432">
        <v>1.5</v>
      </c>
      <c r="AW783" s="490"/>
      <c r="AX783" s="453" t="s">
        <v>210</v>
      </c>
      <c r="AY783" s="455" t="s">
        <v>210</v>
      </c>
      <c r="AZ783" s="405" t="s">
        <v>4083</v>
      </c>
      <c r="BA783" s="324" t="s">
        <v>210</v>
      </c>
      <c r="BB783" s="324" t="s">
        <v>210</v>
      </c>
      <c r="BC783" s="324" t="s">
        <v>4694</v>
      </c>
      <c r="BD783" s="324" t="s">
        <v>3495</v>
      </c>
      <c r="BE783" s="324" t="s">
        <v>4695</v>
      </c>
      <c r="BF783" s="324" t="s">
        <v>4185</v>
      </c>
      <c r="BG783" s="324" t="s">
        <v>4693</v>
      </c>
      <c r="BH783" s="426" t="s">
        <v>3512</v>
      </c>
      <c r="BI783" s="410"/>
      <c r="BJ783" s="427" t="s">
        <v>210</v>
      </c>
      <c r="BK783" s="412"/>
      <c r="BL783" s="413"/>
      <c r="BM783" s="414"/>
      <c r="BN783" s="321" t="s">
        <v>622</v>
      </c>
      <c r="BO783" s="372">
        <v>1.48</v>
      </c>
      <c r="BP783" s="373" t="s">
        <v>210</v>
      </c>
      <c r="BQ783" s="360"/>
      <c r="BR783" s="361"/>
      <c r="BS783" s="361"/>
      <c r="BT783" s="361"/>
      <c r="BU783" s="342" t="s">
        <v>210</v>
      </c>
      <c r="BV783" s="342" t="s">
        <v>210</v>
      </c>
      <c r="BW783" s="341" t="s">
        <v>210</v>
      </c>
      <c r="BX783" s="361"/>
      <c r="BY783" s="457"/>
      <c r="BZ783" s="363"/>
      <c r="CA783" s="363"/>
      <c r="CB783" s="363"/>
      <c r="CC783" s="363"/>
    </row>
    <row r="784" spans="1:82" ht="22.5" customHeight="1">
      <c r="B784" s="442">
        <v>170023</v>
      </c>
      <c r="C784" s="747" t="s">
        <v>4760</v>
      </c>
      <c r="D784" s="439" t="s">
        <v>5416</v>
      </c>
      <c r="E784" s="404" t="s">
        <v>5362</v>
      </c>
      <c r="F784" s="405" t="s">
        <v>4761</v>
      </c>
      <c r="G784" s="324" t="s">
        <v>4762</v>
      </c>
      <c r="H784" s="324" t="s">
        <v>4763</v>
      </c>
      <c r="I784" s="326" t="s">
        <v>383</v>
      </c>
      <c r="J784" s="326" t="s">
        <v>399</v>
      </c>
      <c r="K784" s="324" t="s">
        <v>4768</v>
      </c>
      <c r="L784" s="392" t="s">
        <v>210</v>
      </c>
      <c r="M784" s="408"/>
      <c r="N784" s="325" t="s">
        <v>437</v>
      </c>
      <c r="O784" s="324">
        <v>100</v>
      </c>
      <c r="P784" s="816">
        <v>400</v>
      </c>
      <c r="Q784" s="817">
        <v>400</v>
      </c>
      <c r="R784" s="329" t="s">
        <v>1697</v>
      </c>
      <c r="S784" s="332" t="s">
        <v>11095</v>
      </c>
      <c r="T784" s="332" t="s">
        <v>11096</v>
      </c>
      <c r="U784" s="332" t="s">
        <v>11098</v>
      </c>
      <c r="V784" s="332" t="s">
        <v>11097</v>
      </c>
      <c r="W784" s="332" t="s">
        <v>1697</v>
      </c>
      <c r="X784" s="332" t="s">
        <v>11095</v>
      </c>
      <c r="Y784" s="332" t="s">
        <v>11096</v>
      </c>
      <c r="Z784" s="332" t="s">
        <v>11098</v>
      </c>
      <c r="AA784" s="332" t="s">
        <v>11097</v>
      </c>
      <c r="AB784" s="416"/>
      <c r="AC784" s="416"/>
      <c r="AD784" s="375"/>
      <c r="AE784" s="335" t="s">
        <v>210</v>
      </c>
      <c r="AF784" s="462">
        <v>42766</v>
      </c>
      <c r="AG784" s="748">
        <v>42817</v>
      </c>
      <c r="AH784" s="417" t="s">
        <v>210</v>
      </c>
      <c r="AI784" s="392" t="s">
        <v>210</v>
      </c>
      <c r="AJ784" s="392" t="s">
        <v>210</v>
      </c>
      <c r="AK784" s="340" t="s">
        <v>210</v>
      </c>
      <c r="AL784" s="417" t="s">
        <v>210</v>
      </c>
      <c r="AM784" s="392" t="s">
        <v>210</v>
      </c>
      <c r="AN784" s="392" t="s">
        <v>210</v>
      </c>
      <c r="AO784" s="341" t="s">
        <v>210</v>
      </c>
      <c r="AP784" s="342" t="s">
        <v>210</v>
      </c>
      <c r="AQ784" s="433" t="s">
        <v>4547</v>
      </c>
      <c r="AR784" s="452">
        <v>576.56700000000001</v>
      </c>
      <c r="AS784" s="324">
        <v>80</v>
      </c>
      <c r="AT784" s="432">
        <v>1</v>
      </c>
      <c r="AU784" s="432"/>
      <c r="AV784" s="432">
        <v>1.5</v>
      </c>
      <c r="AW784" s="490"/>
      <c r="AX784" s="453" t="s">
        <v>210</v>
      </c>
      <c r="AY784" s="455" t="s">
        <v>210</v>
      </c>
      <c r="AZ784" s="405" t="s">
        <v>622</v>
      </c>
      <c r="BA784" s="324" t="s">
        <v>4764</v>
      </c>
      <c r="BB784" s="324" t="s">
        <v>3412</v>
      </c>
      <c r="BC784" s="324" t="s">
        <v>4765</v>
      </c>
      <c r="BD784" s="324" t="s">
        <v>3845</v>
      </c>
      <c r="BE784" s="324" t="s">
        <v>4766</v>
      </c>
      <c r="BF784" s="324" t="s">
        <v>3898</v>
      </c>
      <c r="BG784" s="324" t="s">
        <v>4766</v>
      </c>
      <c r="BH784" s="426" t="s">
        <v>4767</v>
      </c>
      <c r="BI784" s="410"/>
      <c r="BJ784" s="427" t="s">
        <v>210</v>
      </c>
      <c r="BK784" s="412"/>
      <c r="BL784" s="413"/>
      <c r="BM784" s="414"/>
      <c r="BN784" s="321" t="s">
        <v>622</v>
      </c>
      <c r="BO784" s="372"/>
      <c r="BP784" s="373" t="s">
        <v>622</v>
      </c>
      <c r="BQ784" s="360"/>
      <c r="BR784" s="361"/>
      <c r="BS784" s="361"/>
      <c r="BT784" s="361"/>
      <c r="BU784" s="342" t="s">
        <v>210</v>
      </c>
      <c r="BV784" s="342" t="s">
        <v>210</v>
      </c>
      <c r="BW784" s="341" t="s">
        <v>210</v>
      </c>
      <c r="BX784" s="361"/>
      <c r="BY784" s="457"/>
      <c r="BZ784" s="363"/>
      <c r="CA784" s="363"/>
      <c r="CB784" s="363"/>
      <c r="CC784" s="363"/>
    </row>
    <row r="785" spans="2:81" ht="22.5" customHeight="1">
      <c r="B785" s="442">
        <v>170024</v>
      </c>
      <c r="C785" s="747" t="s">
        <v>4711</v>
      </c>
      <c r="D785" s="439" t="s">
        <v>4849</v>
      </c>
      <c r="E785" s="404" t="s">
        <v>5362</v>
      </c>
      <c r="F785" s="405" t="s">
        <v>839</v>
      </c>
      <c r="G785" s="324" t="s">
        <v>4712</v>
      </c>
      <c r="H785" s="324" t="s">
        <v>4713</v>
      </c>
      <c r="I785" s="326" t="s">
        <v>383</v>
      </c>
      <c r="J785" s="326" t="s">
        <v>399</v>
      </c>
      <c r="K785" s="324" t="s">
        <v>293</v>
      </c>
      <c r="L785" s="342">
        <v>10</v>
      </c>
      <c r="M785" s="408"/>
      <c r="N785" s="325" t="s">
        <v>437</v>
      </c>
      <c r="O785" s="324">
        <v>30</v>
      </c>
      <c r="P785" s="458">
        <v>227</v>
      </c>
      <c r="Q785" s="459">
        <v>227</v>
      </c>
      <c r="R785" s="420" t="s">
        <v>4716</v>
      </c>
      <c r="S785" s="394" t="s">
        <v>12735</v>
      </c>
      <c r="T785" s="400"/>
      <c r="U785" s="400"/>
      <c r="V785" s="394" t="s">
        <v>12736</v>
      </c>
      <c r="W785" s="460" t="s">
        <v>4716</v>
      </c>
      <c r="X785" s="394" t="s">
        <v>12735</v>
      </c>
      <c r="Y785" s="400"/>
      <c r="Z785" s="400"/>
      <c r="AA785" s="394" t="s">
        <v>12736</v>
      </c>
      <c r="AB785" s="416"/>
      <c r="AC785" s="416"/>
      <c r="AD785" s="447" t="s">
        <v>4890</v>
      </c>
      <c r="AE785" s="335" t="s">
        <v>210</v>
      </c>
      <c r="AF785" s="462">
        <v>42768</v>
      </c>
      <c r="AG785" s="748">
        <v>42801</v>
      </c>
      <c r="AH785" s="417" t="s">
        <v>210</v>
      </c>
      <c r="AI785" s="392" t="s">
        <v>210</v>
      </c>
      <c r="AJ785" s="392" t="s">
        <v>210</v>
      </c>
      <c r="AK785" s="340" t="s">
        <v>210</v>
      </c>
      <c r="AL785" s="417" t="s">
        <v>210</v>
      </c>
      <c r="AM785" s="392" t="s">
        <v>210</v>
      </c>
      <c r="AN785" s="392" t="s">
        <v>210</v>
      </c>
      <c r="AO785" s="341" t="s">
        <v>210</v>
      </c>
      <c r="AP785" s="342" t="s">
        <v>210</v>
      </c>
      <c r="AQ785" s="433" t="s">
        <v>4547</v>
      </c>
      <c r="AR785" s="452">
        <v>316</v>
      </c>
      <c r="AS785" s="324">
        <v>80</v>
      </c>
      <c r="AT785" s="432">
        <v>1</v>
      </c>
      <c r="AU785" s="432"/>
      <c r="AV785" s="432">
        <v>1.5</v>
      </c>
      <c r="AW785" s="490"/>
      <c r="AX785" s="453" t="s">
        <v>210</v>
      </c>
      <c r="AY785" s="455" t="s">
        <v>210</v>
      </c>
      <c r="AZ785" s="405" t="s">
        <v>622</v>
      </c>
      <c r="BA785" s="324" t="s">
        <v>4714</v>
      </c>
      <c r="BB785" s="324" t="s">
        <v>3372</v>
      </c>
      <c r="BC785" s="324" t="s">
        <v>4714</v>
      </c>
      <c r="BD785" s="324" t="s">
        <v>3372</v>
      </c>
      <c r="BE785" s="324" t="s">
        <v>4715</v>
      </c>
      <c r="BF785" s="324" t="s">
        <v>3372</v>
      </c>
      <c r="BG785" s="324" t="s">
        <v>210</v>
      </c>
      <c r="BH785" s="426" t="s">
        <v>210</v>
      </c>
      <c r="BI785" s="410"/>
      <c r="BJ785" s="427" t="s">
        <v>210</v>
      </c>
      <c r="BK785" s="412"/>
      <c r="BL785" s="413"/>
      <c r="BM785" s="414"/>
      <c r="BN785" s="321" t="s">
        <v>622</v>
      </c>
      <c r="BO785" s="372"/>
      <c r="BP785" s="373" t="s">
        <v>622</v>
      </c>
      <c r="BQ785" s="360"/>
      <c r="BR785" s="361"/>
      <c r="BS785" s="361"/>
      <c r="BT785" s="361"/>
      <c r="BU785" s="342" t="s">
        <v>210</v>
      </c>
      <c r="BV785" s="342" t="s">
        <v>210</v>
      </c>
      <c r="BW785" s="341" t="s">
        <v>210</v>
      </c>
      <c r="BX785" s="361"/>
      <c r="BY785" s="457"/>
      <c r="BZ785" s="363"/>
      <c r="CA785" s="363"/>
      <c r="CB785" s="363"/>
      <c r="CC785" s="363"/>
    </row>
    <row r="786" spans="2:81" ht="22.5" customHeight="1">
      <c r="B786" s="442">
        <v>170025</v>
      </c>
      <c r="C786" s="747" t="s">
        <v>4787</v>
      </c>
      <c r="D786" s="439" t="s">
        <v>5406</v>
      </c>
      <c r="E786" s="404" t="s">
        <v>5362</v>
      </c>
      <c r="F786" s="405" t="s">
        <v>266</v>
      </c>
      <c r="G786" s="324" t="s">
        <v>4788</v>
      </c>
      <c r="H786" s="324" t="s">
        <v>4789</v>
      </c>
      <c r="I786" s="326" t="s">
        <v>383</v>
      </c>
      <c r="J786" s="324" t="s">
        <v>216</v>
      </c>
      <c r="K786" s="324" t="s">
        <v>4795</v>
      </c>
      <c r="L786" s="342">
        <v>5.4</v>
      </c>
      <c r="M786" s="408"/>
      <c r="N786" s="444" t="s">
        <v>438</v>
      </c>
      <c r="O786" s="324">
        <v>40</v>
      </c>
      <c r="P786" s="458">
        <v>1177</v>
      </c>
      <c r="Q786" s="459">
        <v>597</v>
      </c>
      <c r="R786" s="420" t="s">
        <v>4796</v>
      </c>
      <c r="S786" s="400"/>
      <c r="T786" s="400"/>
      <c r="U786" s="400"/>
      <c r="V786" s="400"/>
      <c r="W786" s="460" t="s">
        <v>4797</v>
      </c>
      <c r="X786" s="394" t="s">
        <v>12704</v>
      </c>
      <c r="Y786" s="394" t="s">
        <v>12707</v>
      </c>
      <c r="Z786" s="394" t="s">
        <v>12705</v>
      </c>
      <c r="AA786" s="394" t="s">
        <v>12706</v>
      </c>
      <c r="AB786" s="416"/>
      <c r="AC786" s="416"/>
      <c r="AD786" s="447" t="s">
        <v>5522</v>
      </c>
      <c r="AE786" s="499" t="s">
        <v>5004</v>
      </c>
      <c r="AF786" s="462">
        <v>42779</v>
      </c>
      <c r="AG786" s="748">
        <v>42847</v>
      </c>
      <c r="AH786" s="417" t="s">
        <v>210</v>
      </c>
      <c r="AI786" s="392" t="s">
        <v>210</v>
      </c>
      <c r="AJ786" s="392" t="s">
        <v>210</v>
      </c>
      <c r="AK786" s="340" t="s">
        <v>210</v>
      </c>
      <c r="AL786" s="417" t="s">
        <v>210</v>
      </c>
      <c r="AM786" s="392" t="s">
        <v>210</v>
      </c>
      <c r="AN786" s="392" t="s">
        <v>210</v>
      </c>
      <c r="AO786" s="341" t="s">
        <v>210</v>
      </c>
      <c r="AP786" s="342" t="s">
        <v>210</v>
      </c>
      <c r="AQ786" s="433" t="s">
        <v>4547</v>
      </c>
      <c r="AR786" s="452">
        <v>781</v>
      </c>
      <c r="AS786" s="324">
        <v>120</v>
      </c>
      <c r="AT786" s="432">
        <v>1</v>
      </c>
      <c r="AU786" s="432"/>
      <c r="AV786" s="432">
        <v>1.5</v>
      </c>
      <c r="AW786" s="490"/>
      <c r="AX786" s="453" t="s">
        <v>210</v>
      </c>
      <c r="AY786" s="455" t="s">
        <v>210</v>
      </c>
      <c r="AZ786" s="405" t="s">
        <v>622</v>
      </c>
      <c r="BA786" s="324" t="s">
        <v>4790</v>
      </c>
      <c r="BB786" s="324" t="s">
        <v>3372</v>
      </c>
      <c r="BC786" s="324" t="s">
        <v>4791</v>
      </c>
      <c r="BD786" s="324" t="s">
        <v>3434</v>
      </c>
      <c r="BE786" s="324" t="s">
        <v>4792</v>
      </c>
      <c r="BF786" s="324" t="s">
        <v>3434</v>
      </c>
      <c r="BG786" s="324" t="s">
        <v>4793</v>
      </c>
      <c r="BH786" s="426" t="s">
        <v>4767</v>
      </c>
      <c r="BI786" s="410"/>
      <c r="BJ786" s="427" t="s">
        <v>210</v>
      </c>
      <c r="BK786" s="412"/>
      <c r="BL786" s="413"/>
      <c r="BM786" s="414"/>
      <c r="BN786" s="321" t="s">
        <v>622</v>
      </c>
      <c r="BO786" s="372"/>
      <c r="BP786" s="373" t="s">
        <v>622</v>
      </c>
      <c r="BQ786" s="360"/>
      <c r="BR786" s="361"/>
      <c r="BS786" s="361"/>
      <c r="BT786" s="361"/>
      <c r="BU786" s="342" t="s">
        <v>210</v>
      </c>
      <c r="BV786" s="342" t="s">
        <v>210</v>
      </c>
      <c r="BW786" s="341" t="s">
        <v>210</v>
      </c>
      <c r="BX786" s="361"/>
      <c r="BY786" s="457" t="s">
        <v>4857</v>
      </c>
      <c r="BZ786" s="363"/>
      <c r="CA786" s="363"/>
      <c r="CB786" s="363"/>
      <c r="CC786" s="363"/>
    </row>
    <row r="787" spans="2:81" ht="22.5" customHeight="1">
      <c r="B787" s="442">
        <v>170027</v>
      </c>
      <c r="C787" s="747" t="s">
        <v>4740</v>
      </c>
      <c r="D787" s="439" t="s">
        <v>4849</v>
      </c>
      <c r="E787" s="404" t="s">
        <v>5362</v>
      </c>
      <c r="F787" s="405" t="s">
        <v>4741</v>
      </c>
      <c r="G787" s="324" t="s">
        <v>4742</v>
      </c>
      <c r="H787" s="324" t="s">
        <v>4743</v>
      </c>
      <c r="I787" s="326" t="s">
        <v>383</v>
      </c>
      <c r="J787" s="326" t="s">
        <v>399</v>
      </c>
      <c r="K787" s="324" t="s">
        <v>977</v>
      </c>
      <c r="L787" s="342">
        <v>38</v>
      </c>
      <c r="M787" s="408"/>
      <c r="N787" s="444" t="s">
        <v>4746</v>
      </c>
      <c r="O787" s="324">
        <v>100</v>
      </c>
      <c r="P787" s="458">
        <v>1460</v>
      </c>
      <c r="Q787" s="459">
        <v>1460</v>
      </c>
      <c r="R787" s="420" t="s">
        <v>7828</v>
      </c>
      <c r="S787" s="400"/>
      <c r="T787" s="400"/>
      <c r="U787" s="400"/>
      <c r="V787" s="400"/>
      <c r="W787" s="460" t="s">
        <v>7827</v>
      </c>
      <c r="X787" s="394" t="s">
        <v>12700</v>
      </c>
      <c r="Y787" s="394" t="s">
        <v>12701</v>
      </c>
      <c r="Z787" s="394" t="s">
        <v>12702</v>
      </c>
      <c r="AA787" s="394" t="s">
        <v>12703</v>
      </c>
      <c r="AB787" s="416"/>
      <c r="AC787" s="416"/>
      <c r="AD787" s="334" t="s">
        <v>2326</v>
      </c>
      <c r="AE787" s="499" t="s">
        <v>4884</v>
      </c>
      <c r="AF787" s="462">
        <v>42768</v>
      </c>
      <c r="AG787" s="748">
        <v>42818</v>
      </c>
      <c r="AH787" s="417" t="s">
        <v>210</v>
      </c>
      <c r="AI787" s="392" t="s">
        <v>210</v>
      </c>
      <c r="AJ787" s="392" t="s">
        <v>210</v>
      </c>
      <c r="AK787" s="340" t="s">
        <v>210</v>
      </c>
      <c r="AL787" s="417" t="s">
        <v>210</v>
      </c>
      <c r="AM787" s="392" t="s">
        <v>210</v>
      </c>
      <c r="AN787" s="392" t="s">
        <v>210</v>
      </c>
      <c r="AO787" s="341" t="s">
        <v>210</v>
      </c>
      <c r="AP787" s="342" t="s">
        <v>210</v>
      </c>
      <c r="AQ787" s="433" t="s">
        <v>4547</v>
      </c>
      <c r="AR787" s="452">
        <f>1495+779</f>
        <v>2274</v>
      </c>
      <c r="AS787" s="324">
        <v>80</v>
      </c>
      <c r="AT787" s="432">
        <v>1</v>
      </c>
      <c r="AU787" s="432"/>
      <c r="AV787" s="432">
        <v>1.5</v>
      </c>
      <c r="AW787" s="490"/>
      <c r="AX787" s="453" t="s">
        <v>210</v>
      </c>
      <c r="AY787" s="455" t="s">
        <v>210</v>
      </c>
      <c r="AZ787" s="405" t="s">
        <v>622</v>
      </c>
      <c r="BA787" s="324" t="s">
        <v>4744</v>
      </c>
      <c r="BB787" s="324" t="s">
        <v>3372</v>
      </c>
      <c r="BC787" s="324" t="s">
        <v>4745</v>
      </c>
      <c r="BD787" s="324" t="s">
        <v>3372</v>
      </c>
      <c r="BE787" s="324" t="s">
        <v>210</v>
      </c>
      <c r="BF787" s="324" t="s">
        <v>210</v>
      </c>
      <c r="BG787" s="324" t="s">
        <v>3555</v>
      </c>
      <c r="BH787" s="426" t="s">
        <v>3372</v>
      </c>
      <c r="BI787" s="410"/>
      <c r="BJ787" s="427" t="s">
        <v>210</v>
      </c>
      <c r="BK787" s="412"/>
      <c r="BL787" s="413"/>
      <c r="BM787" s="414"/>
      <c r="BN787" s="321" t="s">
        <v>622</v>
      </c>
      <c r="BO787" s="372"/>
      <c r="BP787" s="373" t="s">
        <v>622</v>
      </c>
      <c r="BQ787" s="360"/>
      <c r="BR787" s="361"/>
      <c r="BS787" s="361"/>
      <c r="BT787" s="361"/>
      <c r="BU787" s="342" t="s">
        <v>210</v>
      </c>
      <c r="BV787" s="342" t="s">
        <v>210</v>
      </c>
      <c r="BW787" s="341" t="s">
        <v>210</v>
      </c>
      <c r="BX787" s="361"/>
      <c r="BY787" s="457"/>
      <c r="BZ787" s="363"/>
      <c r="CA787" s="363"/>
      <c r="CB787" s="363"/>
      <c r="CC787" s="363"/>
    </row>
    <row r="788" spans="2:81" ht="22.5" customHeight="1">
      <c r="B788" s="442">
        <v>170028</v>
      </c>
      <c r="C788" s="747" t="s">
        <v>4779</v>
      </c>
      <c r="D788" s="439" t="s">
        <v>4856</v>
      </c>
      <c r="E788" s="404" t="s">
        <v>5362</v>
      </c>
      <c r="F788" s="405" t="s">
        <v>4780</v>
      </c>
      <c r="G788" s="324" t="s">
        <v>1806</v>
      </c>
      <c r="H788" s="324" t="s">
        <v>4781</v>
      </c>
      <c r="I788" s="326" t="s">
        <v>383</v>
      </c>
      <c r="J788" s="326" t="s">
        <v>4794</v>
      </c>
      <c r="K788" s="326" t="s">
        <v>917</v>
      </c>
      <c r="L788" s="392" t="s">
        <v>210</v>
      </c>
      <c r="M788" s="324" t="s">
        <v>10767</v>
      </c>
      <c r="N788" s="325" t="s">
        <v>437</v>
      </c>
      <c r="O788" s="324">
        <v>40</v>
      </c>
      <c r="P788" s="816">
        <v>1100</v>
      </c>
      <c r="Q788" s="817">
        <v>1100</v>
      </c>
      <c r="R788" s="420" t="s">
        <v>4784</v>
      </c>
      <c r="S788" s="400"/>
      <c r="T788" s="394" t="s">
        <v>11560</v>
      </c>
      <c r="U788" s="394" t="s">
        <v>11559</v>
      </c>
      <c r="V788" s="394" t="s">
        <v>11561</v>
      </c>
      <c r="W788" s="332" t="s">
        <v>664</v>
      </c>
      <c r="X788" s="332" t="s">
        <v>11557</v>
      </c>
      <c r="Y788" s="332" t="s">
        <v>11625</v>
      </c>
      <c r="Z788" s="332" t="s">
        <v>16479</v>
      </c>
      <c r="AA788" s="332" t="s">
        <v>11627</v>
      </c>
      <c r="AB788" s="416"/>
      <c r="AC788" s="416"/>
      <c r="AD788" s="447" t="s">
        <v>4885</v>
      </c>
      <c r="AE788" s="335" t="s">
        <v>210</v>
      </c>
      <c r="AF788" s="462">
        <v>42778</v>
      </c>
      <c r="AG788" s="748">
        <v>42815</v>
      </c>
      <c r="AH788" s="417" t="s">
        <v>210</v>
      </c>
      <c r="AI788" s="392" t="s">
        <v>210</v>
      </c>
      <c r="AJ788" s="392" t="s">
        <v>210</v>
      </c>
      <c r="AK788" s="340" t="s">
        <v>210</v>
      </c>
      <c r="AL788" s="417" t="s">
        <v>210</v>
      </c>
      <c r="AM788" s="392" t="s">
        <v>210</v>
      </c>
      <c r="AN788" s="392" t="s">
        <v>210</v>
      </c>
      <c r="AO788" s="341" t="s">
        <v>210</v>
      </c>
      <c r="AP788" s="342" t="s">
        <v>210</v>
      </c>
      <c r="AQ788" s="433" t="s">
        <v>4547</v>
      </c>
      <c r="AR788" s="452">
        <v>1403</v>
      </c>
      <c r="AS788" s="324">
        <v>120</v>
      </c>
      <c r="AT788" s="432">
        <v>1</v>
      </c>
      <c r="AU788" s="432"/>
      <c r="AV788" s="432">
        <v>1.5</v>
      </c>
      <c r="AW788" s="490"/>
      <c r="AX788" s="453" t="s">
        <v>210</v>
      </c>
      <c r="AY788" s="455" t="s">
        <v>210</v>
      </c>
      <c r="AZ788" s="405" t="s">
        <v>4083</v>
      </c>
      <c r="BA788" s="324" t="s">
        <v>210</v>
      </c>
      <c r="BB788" s="324" t="s">
        <v>210</v>
      </c>
      <c r="BC788" s="324" t="s">
        <v>210</v>
      </c>
      <c r="BD788" s="324" t="s">
        <v>210</v>
      </c>
      <c r="BE788" s="324" t="s">
        <v>4782</v>
      </c>
      <c r="BF788" s="324" t="s">
        <v>3434</v>
      </c>
      <c r="BG788" s="324" t="s">
        <v>4783</v>
      </c>
      <c r="BH788" s="426" t="s">
        <v>3434</v>
      </c>
      <c r="BI788" s="410"/>
      <c r="BJ788" s="427" t="s">
        <v>210</v>
      </c>
      <c r="BK788" s="412"/>
      <c r="BL788" s="413"/>
      <c r="BM788" s="414"/>
      <c r="BN788" s="321" t="s">
        <v>622</v>
      </c>
      <c r="BO788" s="372"/>
      <c r="BP788" s="373" t="s">
        <v>622</v>
      </c>
      <c r="BQ788" s="360"/>
      <c r="BR788" s="361"/>
      <c r="BS788" s="361"/>
      <c r="BT788" s="361"/>
      <c r="BU788" s="342" t="s">
        <v>210</v>
      </c>
      <c r="BV788" s="342" t="s">
        <v>210</v>
      </c>
      <c r="BW788" s="341" t="s">
        <v>210</v>
      </c>
      <c r="BX788" s="361"/>
      <c r="BY788" s="457"/>
      <c r="BZ788" s="363"/>
      <c r="CA788" s="363"/>
      <c r="CB788" s="363"/>
      <c r="CC788" s="363"/>
    </row>
    <row r="789" spans="2:81" ht="22.5" customHeight="1">
      <c r="B789" s="442">
        <v>170029</v>
      </c>
      <c r="C789" s="747" t="s">
        <v>4923</v>
      </c>
      <c r="D789" s="439" t="s">
        <v>5406</v>
      </c>
      <c r="E789" s="404" t="s">
        <v>5362</v>
      </c>
      <c r="F789" s="405" t="s">
        <v>227</v>
      </c>
      <c r="G789" s="324" t="s">
        <v>4927</v>
      </c>
      <c r="H789" s="324" t="s">
        <v>4928</v>
      </c>
      <c r="I789" s="326" t="s">
        <v>383</v>
      </c>
      <c r="J789" s="326" t="s">
        <v>399</v>
      </c>
      <c r="K789" s="324" t="s">
        <v>4930</v>
      </c>
      <c r="L789" s="392" t="s">
        <v>210</v>
      </c>
      <c r="M789" s="408"/>
      <c r="N789" s="325" t="s">
        <v>437</v>
      </c>
      <c r="O789" s="324">
        <v>30</v>
      </c>
      <c r="P789" s="816">
        <v>1100</v>
      </c>
      <c r="Q789" s="817">
        <v>1100</v>
      </c>
      <c r="R789" s="420" t="s">
        <v>4924</v>
      </c>
      <c r="S789" s="394" t="s">
        <v>12737</v>
      </c>
      <c r="T789" s="394" t="s">
        <v>12739</v>
      </c>
      <c r="U789" s="394" t="s">
        <v>12738</v>
      </c>
      <c r="V789" s="394" t="s">
        <v>12740</v>
      </c>
      <c r="W789" s="460" t="s">
        <v>4924</v>
      </c>
      <c r="X789" s="394" t="s">
        <v>12737</v>
      </c>
      <c r="Y789" s="394" t="s">
        <v>12739</v>
      </c>
      <c r="Z789" s="394" t="s">
        <v>12738</v>
      </c>
      <c r="AA789" s="394" t="s">
        <v>12740</v>
      </c>
      <c r="AB789" s="416"/>
      <c r="AC789" s="416"/>
      <c r="AD789" s="447" t="s">
        <v>2324</v>
      </c>
      <c r="AE789" s="499" t="s">
        <v>4931</v>
      </c>
      <c r="AF789" s="462">
        <v>42809</v>
      </c>
      <c r="AG789" s="748">
        <v>42818</v>
      </c>
      <c r="AH789" s="417" t="s">
        <v>210</v>
      </c>
      <c r="AI789" s="392" t="s">
        <v>210</v>
      </c>
      <c r="AJ789" s="392" t="s">
        <v>210</v>
      </c>
      <c r="AK789" s="340" t="s">
        <v>210</v>
      </c>
      <c r="AL789" s="417" t="s">
        <v>210</v>
      </c>
      <c r="AM789" s="392" t="s">
        <v>210</v>
      </c>
      <c r="AN789" s="392" t="s">
        <v>210</v>
      </c>
      <c r="AO789" s="341" t="s">
        <v>210</v>
      </c>
      <c r="AP789" s="342" t="s">
        <v>210</v>
      </c>
      <c r="AQ789" s="433" t="s">
        <v>4548</v>
      </c>
      <c r="AR789" s="452">
        <v>1570</v>
      </c>
      <c r="AS789" s="324">
        <v>100</v>
      </c>
      <c r="AT789" s="432">
        <v>1</v>
      </c>
      <c r="AU789" s="432"/>
      <c r="AV789" s="432">
        <v>1.5</v>
      </c>
      <c r="AW789" s="490"/>
      <c r="AX789" s="453" t="s">
        <v>210</v>
      </c>
      <c r="AY789" s="455" t="s">
        <v>210</v>
      </c>
      <c r="AZ789" s="405" t="s">
        <v>4083</v>
      </c>
      <c r="BA789" s="324" t="s">
        <v>210</v>
      </c>
      <c r="BB789" s="324" t="s">
        <v>210</v>
      </c>
      <c r="BC789" s="324" t="s">
        <v>3558</v>
      </c>
      <c r="BD789" s="324" t="s">
        <v>3372</v>
      </c>
      <c r="BE789" s="324" t="s">
        <v>3558</v>
      </c>
      <c r="BF789" s="324" t="s">
        <v>3372</v>
      </c>
      <c r="BG789" s="324" t="s">
        <v>4929</v>
      </c>
      <c r="BH789" s="426" t="s">
        <v>3482</v>
      </c>
      <c r="BI789" s="410"/>
      <c r="BJ789" s="427" t="s">
        <v>210</v>
      </c>
      <c r="BK789" s="412"/>
      <c r="BL789" s="413"/>
      <c r="BM789" s="414"/>
      <c r="BN789" s="321" t="s">
        <v>622</v>
      </c>
      <c r="BO789" s="372"/>
      <c r="BP789" s="373" t="s">
        <v>14</v>
      </c>
      <c r="BQ789" s="360"/>
      <c r="BR789" s="361"/>
      <c r="BS789" s="361"/>
      <c r="BT789" s="361"/>
      <c r="BU789" s="342" t="s">
        <v>210</v>
      </c>
      <c r="BV789" s="342" t="s">
        <v>210</v>
      </c>
      <c r="BW789" s="341" t="s">
        <v>210</v>
      </c>
      <c r="BX789" s="361"/>
      <c r="BY789" s="457"/>
      <c r="BZ789" s="363"/>
      <c r="CA789" s="363"/>
      <c r="CB789" s="363"/>
      <c r="CC789" s="363"/>
    </row>
    <row r="790" spans="2:81" ht="22.5" customHeight="1">
      <c r="B790" s="442">
        <v>170030</v>
      </c>
      <c r="C790" s="747" t="s">
        <v>4808</v>
      </c>
      <c r="D790" s="439" t="s">
        <v>4856</v>
      </c>
      <c r="E790" s="404" t="s">
        <v>5361</v>
      </c>
      <c r="F790" s="405" t="s">
        <v>3715</v>
      </c>
      <c r="G790" s="324" t="s">
        <v>4809</v>
      </c>
      <c r="H790" s="324" t="s">
        <v>4810</v>
      </c>
      <c r="I790" s="326" t="s">
        <v>383</v>
      </c>
      <c r="J790" s="326" t="s">
        <v>399</v>
      </c>
      <c r="K790" s="324" t="s">
        <v>293</v>
      </c>
      <c r="L790" s="342">
        <v>23</v>
      </c>
      <c r="M790" s="408"/>
      <c r="N790" s="444" t="s">
        <v>438</v>
      </c>
      <c r="O790" s="324">
        <v>63</v>
      </c>
      <c r="P790" s="816">
        <v>1400</v>
      </c>
      <c r="Q790" s="817">
        <v>1400</v>
      </c>
      <c r="R790" s="420" t="s">
        <v>4817</v>
      </c>
      <c r="S790" s="394" t="s">
        <v>12748</v>
      </c>
      <c r="T790" s="394" t="s">
        <v>12750</v>
      </c>
      <c r="U790" s="394" t="s">
        <v>12749</v>
      </c>
      <c r="V790" s="394" t="s">
        <v>12741</v>
      </c>
      <c r="W790" s="460" t="s">
        <v>4817</v>
      </c>
      <c r="X790" s="394" t="s">
        <v>12748</v>
      </c>
      <c r="Y790" s="394" t="s">
        <v>12750</v>
      </c>
      <c r="Z790" s="394" t="s">
        <v>12749</v>
      </c>
      <c r="AA790" s="394" t="s">
        <v>12741</v>
      </c>
      <c r="AB790" s="416"/>
      <c r="AC790" s="416"/>
      <c r="AD790" s="447" t="s">
        <v>2333</v>
      </c>
      <c r="AE790" s="499" t="s">
        <v>966</v>
      </c>
      <c r="AF790" s="462">
        <v>42779</v>
      </c>
      <c r="AG790" s="748">
        <v>42895</v>
      </c>
      <c r="AH790" s="417" t="s">
        <v>210</v>
      </c>
      <c r="AI790" s="392" t="s">
        <v>210</v>
      </c>
      <c r="AJ790" s="392" t="s">
        <v>210</v>
      </c>
      <c r="AK790" s="340" t="s">
        <v>210</v>
      </c>
      <c r="AL790" s="417" t="s">
        <v>210</v>
      </c>
      <c r="AM790" s="392" t="s">
        <v>210</v>
      </c>
      <c r="AN790" s="392" t="s">
        <v>210</v>
      </c>
      <c r="AO790" s="341" t="s">
        <v>210</v>
      </c>
      <c r="AP790" s="342" t="s">
        <v>210</v>
      </c>
      <c r="AQ790" s="433" t="s">
        <v>4547</v>
      </c>
      <c r="AR790" s="452">
        <v>1893</v>
      </c>
      <c r="AS790" s="324">
        <v>100</v>
      </c>
      <c r="AT790" s="432">
        <v>1</v>
      </c>
      <c r="AU790" s="432" t="s">
        <v>5384</v>
      </c>
      <c r="AV790" s="432">
        <v>1.5</v>
      </c>
      <c r="AW790" s="490" t="s">
        <v>5385</v>
      </c>
      <c r="AX790" s="417" t="s">
        <v>210</v>
      </c>
      <c r="AY790" s="455" t="s">
        <v>210</v>
      </c>
      <c r="AZ790" s="405" t="s">
        <v>622</v>
      </c>
      <c r="BA790" s="324" t="s">
        <v>4812</v>
      </c>
      <c r="BB790" s="324" t="s">
        <v>4813</v>
      </c>
      <c r="BC790" s="324" t="s">
        <v>4814</v>
      </c>
      <c r="BD790" s="324" t="s">
        <v>3556</v>
      </c>
      <c r="BE790" s="324" t="s">
        <v>4815</v>
      </c>
      <c r="BF790" s="324" t="s">
        <v>3495</v>
      </c>
      <c r="BG790" s="324" t="s">
        <v>4816</v>
      </c>
      <c r="BH790" s="426" t="s">
        <v>3424</v>
      </c>
      <c r="BI790" s="410"/>
      <c r="BJ790" s="427" t="s">
        <v>210</v>
      </c>
      <c r="BK790" s="412"/>
      <c r="BL790" s="413"/>
      <c r="BM790" s="414"/>
      <c r="BN790" s="321" t="s">
        <v>622</v>
      </c>
      <c r="BO790" s="372"/>
      <c r="BP790" s="373" t="s">
        <v>622</v>
      </c>
      <c r="BQ790" s="456" t="s">
        <v>247</v>
      </c>
      <c r="BR790" s="342" t="s">
        <v>210</v>
      </c>
      <c r="BS790" s="342" t="s">
        <v>622</v>
      </c>
      <c r="BT790" s="342" t="s">
        <v>210</v>
      </c>
      <c r="BU790" s="342" t="s">
        <v>210</v>
      </c>
      <c r="BV790" s="342" t="s">
        <v>210</v>
      </c>
      <c r="BW790" s="844" t="s">
        <v>210</v>
      </c>
      <c r="BX790" s="361"/>
      <c r="BY790" s="457"/>
      <c r="BZ790" s="363"/>
      <c r="CA790" s="363"/>
      <c r="CB790" s="363"/>
      <c r="CC790" s="363"/>
    </row>
    <row r="791" spans="2:81" ht="22.5" customHeight="1">
      <c r="B791" s="442">
        <v>170031</v>
      </c>
      <c r="C791" s="747" t="s">
        <v>12699</v>
      </c>
      <c r="D791" s="439" t="s">
        <v>4856</v>
      </c>
      <c r="E791" s="404" t="s">
        <v>5363</v>
      </c>
      <c r="F791" s="405" t="s">
        <v>4936</v>
      </c>
      <c r="G791" s="324" t="s">
        <v>4937</v>
      </c>
      <c r="H791" s="324" t="s">
        <v>4986</v>
      </c>
      <c r="I791" s="326" t="s">
        <v>383</v>
      </c>
      <c r="J791" s="326" t="s">
        <v>399</v>
      </c>
      <c r="K791" s="326" t="s">
        <v>917</v>
      </c>
      <c r="L791" s="392" t="s">
        <v>210</v>
      </c>
      <c r="M791" s="324" t="s">
        <v>10767</v>
      </c>
      <c r="N791" s="444" t="s">
        <v>438</v>
      </c>
      <c r="O791" s="324">
        <v>30</v>
      </c>
      <c r="P791" s="458">
        <v>1143</v>
      </c>
      <c r="Q791" s="459">
        <v>1161</v>
      </c>
      <c r="R791" s="329" t="s">
        <v>447</v>
      </c>
      <c r="S791" s="394" t="s">
        <v>11077</v>
      </c>
      <c r="T791" s="331" t="s">
        <v>11078</v>
      </c>
      <c r="U791" s="331" t="s">
        <v>16355</v>
      </c>
      <c r="V791" s="394" t="s">
        <v>11133</v>
      </c>
      <c r="W791" s="332" t="s">
        <v>432</v>
      </c>
      <c r="X791" s="331" t="s">
        <v>11079</v>
      </c>
      <c r="Y791" s="331" t="s">
        <v>11080</v>
      </c>
      <c r="Z791" s="331" t="s">
        <v>6574</v>
      </c>
      <c r="AA791" s="331" t="s">
        <v>6574</v>
      </c>
      <c r="AB791" s="416"/>
      <c r="AC791" s="416"/>
      <c r="AD791" s="447" t="s">
        <v>730</v>
      </c>
      <c r="AE791" s="499" t="s">
        <v>5133</v>
      </c>
      <c r="AF791" s="462">
        <v>42795</v>
      </c>
      <c r="AG791" s="748">
        <v>42857</v>
      </c>
      <c r="AH791" s="453">
        <v>7.9</v>
      </c>
      <c r="AI791" s="432">
        <v>14.5</v>
      </c>
      <c r="AJ791" s="432">
        <v>10</v>
      </c>
      <c r="AK791" s="455">
        <f>SUM(AH791:AJ791)</f>
        <v>32.4</v>
      </c>
      <c r="AL791" s="417" t="s">
        <v>210</v>
      </c>
      <c r="AM791" s="392" t="s">
        <v>210</v>
      </c>
      <c r="AN791" s="392" t="s">
        <v>210</v>
      </c>
      <c r="AO791" s="341" t="s">
        <v>210</v>
      </c>
      <c r="AP791" s="342" t="s">
        <v>210</v>
      </c>
      <c r="AQ791" s="433" t="s">
        <v>4547</v>
      </c>
      <c r="AR791" s="452">
        <v>1431</v>
      </c>
      <c r="AS791" s="324">
        <v>100</v>
      </c>
      <c r="AT791" s="432">
        <v>0.8</v>
      </c>
      <c r="AU791" s="432"/>
      <c r="AV791" s="432">
        <v>1.4</v>
      </c>
      <c r="AW791" s="490"/>
      <c r="AX791" s="453" t="s">
        <v>210</v>
      </c>
      <c r="AY791" s="455" t="s">
        <v>210</v>
      </c>
      <c r="AZ791" s="405" t="s">
        <v>4083</v>
      </c>
      <c r="BA791" s="324" t="s">
        <v>210</v>
      </c>
      <c r="BB791" s="324" t="s">
        <v>210</v>
      </c>
      <c r="BC791" s="324" t="s">
        <v>4987</v>
      </c>
      <c r="BD791" s="324" t="s">
        <v>4988</v>
      </c>
      <c r="BE791" s="324" t="s">
        <v>4987</v>
      </c>
      <c r="BF791" s="324" t="s">
        <v>4988</v>
      </c>
      <c r="BG791" s="324" t="s">
        <v>210</v>
      </c>
      <c r="BH791" s="426" t="s">
        <v>210</v>
      </c>
      <c r="BI791" s="410"/>
      <c r="BJ791" s="427" t="s">
        <v>210</v>
      </c>
      <c r="BK791" s="412"/>
      <c r="BL791" s="413"/>
      <c r="BM791" s="414"/>
      <c r="BN791" s="321" t="s">
        <v>622</v>
      </c>
      <c r="BO791" s="372"/>
      <c r="BP791" s="373" t="s">
        <v>14</v>
      </c>
      <c r="BQ791" s="360"/>
      <c r="BR791" s="361"/>
      <c r="BS791" s="361"/>
      <c r="BT791" s="361"/>
      <c r="BU791" s="342" t="s">
        <v>210</v>
      </c>
      <c r="BV791" s="342" t="s">
        <v>210</v>
      </c>
      <c r="BW791" s="844" t="s">
        <v>210</v>
      </c>
      <c r="BX791" s="361"/>
      <c r="BY791" s="457" t="s">
        <v>16110</v>
      </c>
      <c r="BZ791" s="363"/>
      <c r="CA791" s="363"/>
      <c r="CB791" s="363"/>
      <c r="CC791" s="363"/>
    </row>
    <row r="792" spans="2:81" ht="22.5" customHeight="1">
      <c r="B792" s="442">
        <v>170033</v>
      </c>
      <c r="C792" s="747" t="s">
        <v>7797</v>
      </c>
      <c r="D792" s="439" t="s">
        <v>4856</v>
      </c>
      <c r="E792" s="404" t="s">
        <v>5362</v>
      </c>
      <c r="F792" s="405" t="s">
        <v>4830</v>
      </c>
      <c r="G792" s="324" t="s">
        <v>4831</v>
      </c>
      <c r="H792" s="324" t="s">
        <v>4832</v>
      </c>
      <c r="I792" s="326" t="s">
        <v>383</v>
      </c>
      <c r="J792" s="326" t="s">
        <v>399</v>
      </c>
      <c r="K792" s="326" t="s">
        <v>917</v>
      </c>
      <c r="L792" s="392" t="s">
        <v>210</v>
      </c>
      <c r="M792" s="408"/>
      <c r="N792" s="444" t="s">
        <v>438</v>
      </c>
      <c r="O792" s="324">
        <v>53</v>
      </c>
      <c r="P792" s="816">
        <v>3340</v>
      </c>
      <c r="Q792" s="817">
        <v>3340</v>
      </c>
      <c r="R792" s="420" t="s">
        <v>3827</v>
      </c>
      <c r="S792" s="394" t="s">
        <v>12745</v>
      </c>
      <c r="T792" s="394" t="s">
        <v>12746</v>
      </c>
      <c r="U792" s="394" t="s">
        <v>16456</v>
      </c>
      <c r="V792" s="394" t="s">
        <v>12747</v>
      </c>
      <c r="W792" s="460" t="s">
        <v>4838</v>
      </c>
      <c r="X792" s="394" t="s">
        <v>12742</v>
      </c>
      <c r="Y792" s="394" t="s">
        <v>12743</v>
      </c>
      <c r="Z792" s="394" t="s">
        <v>16476</v>
      </c>
      <c r="AA792" s="394" t="s">
        <v>12744</v>
      </c>
      <c r="AB792" s="416"/>
      <c r="AC792" s="416"/>
      <c r="AD792" s="447" t="s">
        <v>726</v>
      </c>
      <c r="AE792" s="499" t="s">
        <v>1038</v>
      </c>
      <c r="AF792" s="462">
        <v>42781</v>
      </c>
      <c r="AG792" s="748">
        <v>42835</v>
      </c>
      <c r="AH792" s="417" t="s">
        <v>210</v>
      </c>
      <c r="AI792" s="392" t="s">
        <v>210</v>
      </c>
      <c r="AJ792" s="392" t="s">
        <v>210</v>
      </c>
      <c r="AK792" s="340" t="s">
        <v>210</v>
      </c>
      <c r="AL792" s="417" t="s">
        <v>210</v>
      </c>
      <c r="AM792" s="392" t="s">
        <v>210</v>
      </c>
      <c r="AN792" s="392" t="s">
        <v>210</v>
      </c>
      <c r="AO792" s="341" t="s">
        <v>210</v>
      </c>
      <c r="AP792" s="392" t="s">
        <v>210</v>
      </c>
      <c r="AQ792" s="433" t="s">
        <v>4547</v>
      </c>
      <c r="AR792" s="452">
        <v>4854</v>
      </c>
      <c r="AS792" s="324">
        <v>100</v>
      </c>
      <c r="AT792" s="432">
        <v>1.4</v>
      </c>
      <c r="AU792" s="432"/>
      <c r="AV792" s="432">
        <v>1.1000000000000001</v>
      </c>
      <c r="AW792" s="490"/>
      <c r="AX792" s="453" t="s">
        <v>210</v>
      </c>
      <c r="AY792" s="455" t="s">
        <v>210</v>
      </c>
      <c r="AZ792" s="405" t="s">
        <v>622</v>
      </c>
      <c r="BA792" s="324" t="s">
        <v>4833</v>
      </c>
      <c r="BB792" s="324" t="s">
        <v>4834</v>
      </c>
      <c r="BC792" s="324" t="s">
        <v>4835</v>
      </c>
      <c r="BD792" s="324" t="s">
        <v>4836</v>
      </c>
      <c r="BE792" s="324" t="s">
        <v>4837</v>
      </c>
      <c r="BF792" s="324" t="s">
        <v>3487</v>
      </c>
      <c r="BG792" s="324" t="s">
        <v>4837</v>
      </c>
      <c r="BH792" s="426" t="s">
        <v>3487</v>
      </c>
      <c r="BI792" s="410"/>
      <c r="BJ792" s="427" t="s">
        <v>210</v>
      </c>
      <c r="BK792" s="412"/>
      <c r="BL792" s="413"/>
      <c r="BM792" s="414"/>
      <c r="BN792" s="321" t="s">
        <v>622</v>
      </c>
      <c r="BO792" s="372"/>
      <c r="BP792" s="373" t="s">
        <v>210</v>
      </c>
      <c r="BQ792" s="360"/>
      <c r="BR792" s="361"/>
      <c r="BS792" s="361"/>
      <c r="BT792" s="361"/>
      <c r="BU792" s="342" t="s">
        <v>210</v>
      </c>
      <c r="BV792" s="342" t="s">
        <v>210</v>
      </c>
      <c r="BW792" s="844" t="s">
        <v>210</v>
      </c>
      <c r="BX792" s="361"/>
      <c r="BY792" s="457"/>
      <c r="BZ792" s="363"/>
      <c r="CA792" s="363"/>
      <c r="CB792" s="363"/>
      <c r="CC792" s="363"/>
    </row>
    <row r="793" spans="2:81" ht="22.5" customHeight="1">
      <c r="B793" s="442">
        <v>170034</v>
      </c>
      <c r="C793" s="747" t="s">
        <v>7791</v>
      </c>
      <c r="D793" s="439" t="s">
        <v>4854</v>
      </c>
      <c r="E793" s="404" t="s">
        <v>5363</v>
      </c>
      <c r="F793" s="405" t="s">
        <v>709</v>
      </c>
      <c r="G793" s="324" t="s">
        <v>4802</v>
      </c>
      <c r="H793" s="324" t="s">
        <v>4803</v>
      </c>
      <c r="I793" s="326" t="s">
        <v>383</v>
      </c>
      <c r="J793" s="326" t="s">
        <v>399</v>
      </c>
      <c r="K793" s="326" t="s">
        <v>917</v>
      </c>
      <c r="L793" s="392" t="s">
        <v>210</v>
      </c>
      <c r="M793" s="324" t="s">
        <v>10767</v>
      </c>
      <c r="N793" s="444" t="s">
        <v>438</v>
      </c>
      <c r="O793" s="324">
        <v>20</v>
      </c>
      <c r="P793" s="458">
        <v>2900</v>
      </c>
      <c r="Q793" s="459">
        <v>3102</v>
      </c>
      <c r="R793" s="329" t="s">
        <v>3649</v>
      </c>
      <c r="S793" s="394" t="s">
        <v>11497</v>
      </c>
      <c r="T793" s="394" t="s">
        <v>11323</v>
      </c>
      <c r="U793" s="394" t="s">
        <v>11321</v>
      </c>
      <c r="V793" s="394" t="s">
        <v>11505</v>
      </c>
      <c r="W793" s="460" t="s">
        <v>3864</v>
      </c>
      <c r="X793" s="394" t="s">
        <v>11499</v>
      </c>
      <c r="Y793" s="394" t="s">
        <v>11329</v>
      </c>
      <c r="Z793" s="394" t="s">
        <v>11502</v>
      </c>
      <c r="AA793" s="394" t="s">
        <v>11504</v>
      </c>
      <c r="AB793" s="416"/>
      <c r="AC793" s="416"/>
      <c r="AD793" s="334" t="s">
        <v>2327</v>
      </c>
      <c r="AE793" s="499" t="s">
        <v>2839</v>
      </c>
      <c r="AF793" s="462">
        <v>42778</v>
      </c>
      <c r="AG793" s="748">
        <v>42837</v>
      </c>
      <c r="AH793" s="417" t="s">
        <v>210</v>
      </c>
      <c r="AI793" s="392" t="s">
        <v>210</v>
      </c>
      <c r="AJ793" s="392" t="s">
        <v>210</v>
      </c>
      <c r="AK793" s="340" t="s">
        <v>210</v>
      </c>
      <c r="AL793" s="417" t="s">
        <v>210</v>
      </c>
      <c r="AM793" s="392" t="s">
        <v>210</v>
      </c>
      <c r="AN793" s="392" t="s">
        <v>210</v>
      </c>
      <c r="AO793" s="341" t="s">
        <v>210</v>
      </c>
      <c r="AP793" s="392" t="s">
        <v>210</v>
      </c>
      <c r="AQ793" s="433" t="s">
        <v>4547</v>
      </c>
      <c r="AR793" s="452">
        <v>806</v>
      </c>
      <c r="AS793" s="324">
        <v>100</v>
      </c>
      <c r="AT793" s="432">
        <v>1</v>
      </c>
      <c r="AU793" s="432"/>
      <c r="AV793" s="432">
        <v>1.5</v>
      </c>
      <c r="AW793" s="490"/>
      <c r="AX793" s="453" t="s">
        <v>210</v>
      </c>
      <c r="AY793" s="455" t="s">
        <v>210</v>
      </c>
      <c r="AZ793" s="405" t="s">
        <v>4083</v>
      </c>
      <c r="BA793" s="324" t="s">
        <v>210</v>
      </c>
      <c r="BB793" s="324" t="s">
        <v>210</v>
      </c>
      <c r="BC793" s="324" t="s">
        <v>5098</v>
      </c>
      <c r="BD793" s="324" t="s">
        <v>3574</v>
      </c>
      <c r="BE793" s="324" t="s">
        <v>5098</v>
      </c>
      <c r="BF793" s="324" t="s">
        <v>3574</v>
      </c>
      <c r="BG793" s="324" t="s">
        <v>5099</v>
      </c>
      <c r="BH793" s="426" t="s">
        <v>5077</v>
      </c>
      <c r="BI793" s="410"/>
      <c r="BJ793" s="427" t="s">
        <v>210</v>
      </c>
      <c r="BK793" s="412"/>
      <c r="BL793" s="413"/>
      <c r="BM793" s="414"/>
      <c r="BN793" s="321" t="s">
        <v>622</v>
      </c>
      <c r="BO793" s="372"/>
      <c r="BP793" s="373" t="s">
        <v>210</v>
      </c>
      <c r="BQ793" s="360"/>
      <c r="BR793" s="361"/>
      <c r="BS793" s="361"/>
      <c r="BT793" s="361"/>
      <c r="BU793" s="342" t="s">
        <v>210</v>
      </c>
      <c r="BV793" s="342" t="s">
        <v>210</v>
      </c>
      <c r="BW793" s="844" t="s">
        <v>210</v>
      </c>
      <c r="BX793" s="361"/>
      <c r="BY793" s="457"/>
      <c r="BZ793" s="363"/>
      <c r="CA793" s="363"/>
      <c r="CB793" s="363"/>
      <c r="CC793" s="363"/>
    </row>
    <row r="794" spans="2:81" ht="22.5" customHeight="1">
      <c r="B794" s="442">
        <v>170034</v>
      </c>
      <c r="C794" s="747" t="s">
        <v>7792</v>
      </c>
      <c r="D794" s="439" t="s">
        <v>4854</v>
      </c>
      <c r="E794" s="404" t="s">
        <v>5363</v>
      </c>
      <c r="F794" s="405" t="s">
        <v>709</v>
      </c>
      <c r="G794" s="324" t="s">
        <v>4802</v>
      </c>
      <c r="H794" s="324" t="s">
        <v>4803</v>
      </c>
      <c r="I794" s="326" t="s">
        <v>383</v>
      </c>
      <c r="J794" s="326" t="s">
        <v>399</v>
      </c>
      <c r="K794" s="326" t="s">
        <v>917</v>
      </c>
      <c r="L794" s="392" t="s">
        <v>210</v>
      </c>
      <c r="M794" s="324" t="s">
        <v>10767</v>
      </c>
      <c r="N794" s="325" t="s">
        <v>437</v>
      </c>
      <c r="O794" s="324">
        <v>20</v>
      </c>
      <c r="P794" s="458">
        <v>645</v>
      </c>
      <c r="Q794" s="459">
        <v>687</v>
      </c>
      <c r="R794" s="329" t="s">
        <v>3649</v>
      </c>
      <c r="S794" s="394" t="s">
        <v>11497</v>
      </c>
      <c r="T794" s="394" t="s">
        <v>11323</v>
      </c>
      <c r="U794" s="394" t="s">
        <v>11321</v>
      </c>
      <c r="V794" s="394" t="s">
        <v>11505</v>
      </c>
      <c r="W794" s="460" t="s">
        <v>3864</v>
      </c>
      <c r="X794" s="394" t="s">
        <v>11499</v>
      </c>
      <c r="Y794" s="394" t="s">
        <v>11329</v>
      </c>
      <c r="Z794" s="394" t="s">
        <v>11502</v>
      </c>
      <c r="AA794" s="394" t="s">
        <v>11504</v>
      </c>
      <c r="AB794" s="416"/>
      <c r="AC794" s="416"/>
      <c r="AD794" s="334" t="s">
        <v>2327</v>
      </c>
      <c r="AE794" s="335" t="s">
        <v>210</v>
      </c>
      <c r="AF794" s="462">
        <v>42778</v>
      </c>
      <c r="AG794" s="748">
        <v>42892</v>
      </c>
      <c r="AH794" s="417" t="s">
        <v>210</v>
      </c>
      <c r="AI794" s="392" t="s">
        <v>210</v>
      </c>
      <c r="AJ794" s="392" t="s">
        <v>210</v>
      </c>
      <c r="AK794" s="340" t="s">
        <v>210</v>
      </c>
      <c r="AL794" s="417" t="s">
        <v>210</v>
      </c>
      <c r="AM794" s="392" t="s">
        <v>210</v>
      </c>
      <c r="AN794" s="392" t="s">
        <v>210</v>
      </c>
      <c r="AO794" s="341" t="s">
        <v>210</v>
      </c>
      <c r="AP794" s="392" t="s">
        <v>210</v>
      </c>
      <c r="AQ794" s="433" t="s">
        <v>4547</v>
      </c>
      <c r="AR794" s="452">
        <v>1350</v>
      </c>
      <c r="AS794" s="324">
        <v>100</v>
      </c>
      <c r="AT794" s="432">
        <v>1</v>
      </c>
      <c r="AU794" s="432"/>
      <c r="AV794" s="432">
        <v>1.5</v>
      </c>
      <c r="AW794" s="490"/>
      <c r="AX794" s="453" t="s">
        <v>210</v>
      </c>
      <c r="AY794" s="455" t="s">
        <v>210</v>
      </c>
      <c r="AZ794" s="405" t="s">
        <v>4083</v>
      </c>
      <c r="BA794" s="324" t="s">
        <v>210</v>
      </c>
      <c r="BB794" s="324" t="s">
        <v>210</v>
      </c>
      <c r="BC794" s="324" t="s">
        <v>5098</v>
      </c>
      <c r="BD794" s="324" t="s">
        <v>3574</v>
      </c>
      <c r="BE794" s="324" t="s">
        <v>5098</v>
      </c>
      <c r="BF794" s="324" t="s">
        <v>3574</v>
      </c>
      <c r="BG794" s="324" t="s">
        <v>5099</v>
      </c>
      <c r="BH794" s="426" t="s">
        <v>5077</v>
      </c>
      <c r="BI794" s="410"/>
      <c r="BJ794" s="427" t="s">
        <v>210</v>
      </c>
      <c r="BK794" s="412"/>
      <c r="BL794" s="413"/>
      <c r="BM794" s="414"/>
      <c r="BN794" s="321" t="s">
        <v>622</v>
      </c>
      <c r="BO794" s="372"/>
      <c r="BP794" s="373" t="s">
        <v>210</v>
      </c>
      <c r="BQ794" s="360"/>
      <c r="BR794" s="361"/>
      <c r="BS794" s="361"/>
      <c r="BT794" s="361"/>
      <c r="BU794" s="342" t="s">
        <v>210</v>
      </c>
      <c r="BV794" s="342" t="s">
        <v>210</v>
      </c>
      <c r="BW794" s="844" t="s">
        <v>210</v>
      </c>
      <c r="BX794" s="361"/>
      <c r="BY794" s="457"/>
      <c r="BZ794" s="363"/>
      <c r="CA794" s="363"/>
      <c r="CB794" s="363"/>
      <c r="CC794" s="363"/>
    </row>
    <row r="795" spans="2:81" ht="22.5" customHeight="1">
      <c r="B795" s="442">
        <v>170036</v>
      </c>
      <c r="C795" s="747" t="s">
        <v>4877</v>
      </c>
      <c r="D795" s="439" t="s">
        <v>4854</v>
      </c>
      <c r="E795" s="404" t="s">
        <v>5361</v>
      </c>
      <c r="F795" s="405" t="s">
        <v>264</v>
      </c>
      <c r="G795" s="324" t="s">
        <v>3661</v>
      </c>
      <c r="H795" s="324" t="s">
        <v>4878</v>
      </c>
      <c r="I795" s="326" t="s">
        <v>383</v>
      </c>
      <c r="J795" s="326" t="s">
        <v>399</v>
      </c>
      <c r="K795" s="324" t="s">
        <v>293</v>
      </c>
      <c r="L795" s="392" t="s">
        <v>210</v>
      </c>
      <c r="M795" s="324" t="s">
        <v>10767</v>
      </c>
      <c r="N795" s="444" t="s">
        <v>438</v>
      </c>
      <c r="O795" s="324">
        <v>20</v>
      </c>
      <c r="P795" s="458">
        <v>223</v>
      </c>
      <c r="Q795" s="459">
        <v>238</v>
      </c>
      <c r="R795" s="420" t="s">
        <v>4881</v>
      </c>
      <c r="S795" s="394" t="s">
        <v>12696</v>
      </c>
      <c r="T795" s="394" t="s">
        <v>12697</v>
      </c>
      <c r="U795" s="394" t="s">
        <v>16274</v>
      </c>
      <c r="V795" s="394" t="s">
        <v>12698</v>
      </c>
      <c r="W795" s="332" t="s">
        <v>432</v>
      </c>
      <c r="X795" s="331" t="s">
        <v>11079</v>
      </c>
      <c r="Y795" s="331" t="s">
        <v>11080</v>
      </c>
      <c r="Z795" s="331" t="s">
        <v>6574</v>
      </c>
      <c r="AA795" s="331" t="s">
        <v>6574</v>
      </c>
      <c r="AB795" s="416"/>
      <c r="AC795" s="416"/>
      <c r="AD795" s="334" t="s">
        <v>5526</v>
      </c>
      <c r="AE795" s="499" t="s">
        <v>5211</v>
      </c>
      <c r="AF795" s="462">
        <v>42782</v>
      </c>
      <c r="AG795" s="748">
        <v>42873</v>
      </c>
      <c r="AH795" s="417" t="s">
        <v>210</v>
      </c>
      <c r="AI795" s="392" t="s">
        <v>210</v>
      </c>
      <c r="AJ795" s="392" t="s">
        <v>210</v>
      </c>
      <c r="AK795" s="340" t="s">
        <v>210</v>
      </c>
      <c r="AL795" s="417" t="s">
        <v>210</v>
      </c>
      <c r="AM795" s="392" t="s">
        <v>210</v>
      </c>
      <c r="AN795" s="392" t="s">
        <v>210</v>
      </c>
      <c r="AO795" s="341" t="s">
        <v>210</v>
      </c>
      <c r="AP795" s="392" t="s">
        <v>210</v>
      </c>
      <c r="AQ795" s="433" t="s">
        <v>4547</v>
      </c>
      <c r="AR795" s="452">
        <v>426</v>
      </c>
      <c r="AS795" s="324">
        <v>80</v>
      </c>
      <c r="AT795" s="432">
        <v>1</v>
      </c>
      <c r="AU795" s="432"/>
      <c r="AV795" s="432">
        <v>1.5</v>
      </c>
      <c r="AW795" s="490"/>
      <c r="AX795" s="453" t="s">
        <v>210</v>
      </c>
      <c r="AY795" s="455" t="s">
        <v>210</v>
      </c>
      <c r="AZ795" s="405" t="s">
        <v>4083</v>
      </c>
      <c r="BA795" s="324" t="s">
        <v>210</v>
      </c>
      <c r="BB795" s="324" t="s">
        <v>210</v>
      </c>
      <c r="BC795" s="324" t="s">
        <v>4879</v>
      </c>
      <c r="BD795" s="324" t="s">
        <v>3512</v>
      </c>
      <c r="BE795" s="324" t="s">
        <v>4879</v>
      </c>
      <c r="BF795" s="324" t="s">
        <v>3574</v>
      </c>
      <c r="BG795" s="324" t="s">
        <v>4880</v>
      </c>
      <c r="BH795" s="426" t="s">
        <v>3574</v>
      </c>
      <c r="BI795" s="410"/>
      <c r="BJ795" s="427" t="s">
        <v>210</v>
      </c>
      <c r="BK795" s="412"/>
      <c r="BL795" s="413"/>
      <c r="BM795" s="414"/>
      <c r="BN795" s="321" t="s">
        <v>622</v>
      </c>
      <c r="BO795" s="372"/>
      <c r="BP795" s="373" t="s">
        <v>210</v>
      </c>
      <c r="BQ795" s="360"/>
      <c r="BR795" s="361"/>
      <c r="BS795" s="361"/>
      <c r="BT795" s="361"/>
      <c r="BU795" s="342" t="s">
        <v>210</v>
      </c>
      <c r="BV795" s="342" t="s">
        <v>210</v>
      </c>
      <c r="BW795" s="844" t="s">
        <v>210</v>
      </c>
      <c r="BX795" s="361"/>
      <c r="BY795" s="457" t="s">
        <v>5128</v>
      </c>
      <c r="BZ795" s="363"/>
      <c r="CA795" s="363"/>
      <c r="CB795" s="363"/>
      <c r="CC795" s="363"/>
    </row>
    <row r="796" spans="2:81" ht="22.5" customHeight="1">
      <c r="B796" s="442">
        <v>170037</v>
      </c>
      <c r="C796" s="747" t="s">
        <v>4859</v>
      </c>
      <c r="D796" s="439" t="s">
        <v>5406</v>
      </c>
      <c r="E796" s="404" t="s">
        <v>5361</v>
      </c>
      <c r="F796" s="405" t="s">
        <v>4072</v>
      </c>
      <c r="G796" s="324" t="s">
        <v>4860</v>
      </c>
      <c r="H796" s="324" t="s">
        <v>4861</v>
      </c>
      <c r="I796" s="326" t="s">
        <v>383</v>
      </c>
      <c r="J796" s="326" t="s">
        <v>399</v>
      </c>
      <c r="K796" s="326" t="s">
        <v>917</v>
      </c>
      <c r="L796" s="392" t="s">
        <v>210</v>
      </c>
      <c r="M796" s="408"/>
      <c r="N796" s="444" t="s">
        <v>438</v>
      </c>
      <c r="O796" s="324">
        <v>21</v>
      </c>
      <c r="P796" s="816">
        <v>530</v>
      </c>
      <c r="Q796" s="817">
        <v>530</v>
      </c>
      <c r="R796" s="329" t="s">
        <v>3535</v>
      </c>
      <c r="S796" s="400"/>
      <c r="T796" s="400"/>
      <c r="U796" s="400"/>
      <c r="V796" s="400"/>
      <c r="W796" s="460" t="s">
        <v>3178</v>
      </c>
      <c r="X796" s="394" t="s">
        <v>12751</v>
      </c>
      <c r="Y796" s="394" t="s">
        <v>12752</v>
      </c>
      <c r="Z796" s="394" t="s">
        <v>16514</v>
      </c>
      <c r="AA796" s="394" t="s">
        <v>12753</v>
      </c>
      <c r="AB796" s="416"/>
      <c r="AC796" s="416"/>
      <c r="AD796" s="447" t="s">
        <v>4887</v>
      </c>
      <c r="AE796" s="499" t="s">
        <v>245</v>
      </c>
      <c r="AF796" s="462">
        <v>42781</v>
      </c>
      <c r="AG796" s="748">
        <v>42808</v>
      </c>
      <c r="AH796" s="417" t="s">
        <v>210</v>
      </c>
      <c r="AI796" s="392" t="s">
        <v>210</v>
      </c>
      <c r="AJ796" s="392" t="s">
        <v>210</v>
      </c>
      <c r="AK796" s="340" t="s">
        <v>210</v>
      </c>
      <c r="AL796" s="417" t="s">
        <v>210</v>
      </c>
      <c r="AM796" s="392" t="s">
        <v>210</v>
      </c>
      <c r="AN796" s="392" t="s">
        <v>210</v>
      </c>
      <c r="AO796" s="341" t="s">
        <v>210</v>
      </c>
      <c r="AP796" s="392" t="s">
        <v>210</v>
      </c>
      <c r="AQ796" s="433" t="s">
        <v>4547</v>
      </c>
      <c r="AR796" s="452">
        <v>588</v>
      </c>
      <c r="AS796" s="324">
        <v>100</v>
      </c>
      <c r="AT796" s="432">
        <v>1</v>
      </c>
      <c r="AU796" s="432"/>
      <c r="AV796" s="432">
        <v>1.5</v>
      </c>
      <c r="AW796" s="490"/>
      <c r="AX796" s="453" t="s">
        <v>210</v>
      </c>
      <c r="AY796" s="455" t="s">
        <v>210</v>
      </c>
      <c r="AZ796" s="405" t="s">
        <v>4083</v>
      </c>
      <c r="BA796" s="324" t="s">
        <v>210</v>
      </c>
      <c r="BB796" s="324" t="s">
        <v>210</v>
      </c>
      <c r="BC796" s="324" t="s">
        <v>4862</v>
      </c>
      <c r="BD796" s="324" t="s">
        <v>4863</v>
      </c>
      <c r="BE796" s="324" t="s">
        <v>4862</v>
      </c>
      <c r="BF796" s="324" t="s">
        <v>4864</v>
      </c>
      <c r="BG796" s="324" t="s">
        <v>4865</v>
      </c>
      <c r="BH796" s="426" t="s">
        <v>3495</v>
      </c>
      <c r="BI796" s="410"/>
      <c r="BJ796" s="427" t="s">
        <v>210</v>
      </c>
      <c r="BK796" s="412"/>
      <c r="BL796" s="413"/>
      <c r="BM796" s="414"/>
      <c r="BN796" s="321" t="s">
        <v>622</v>
      </c>
      <c r="BO796" s="372">
        <v>1.38</v>
      </c>
      <c r="BP796" s="373" t="s">
        <v>622</v>
      </c>
      <c r="BQ796" s="360"/>
      <c r="BR796" s="361"/>
      <c r="BS796" s="361"/>
      <c r="BT796" s="361"/>
      <c r="BU796" s="342" t="s">
        <v>210</v>
      </c>
      <c r="BV796" s="342" t="s">
        <v>210</v>
      </c>
      <c r="BW796" s="844" t="s">
        <v>210</v>
      </c>
      <c r="BX796" s="361"/>
      <c r="BY796" s="457"/>
      <c r="BZ796" s="363"/>
      <c r="CA796" s="363"/>
      <c r="CB796" s="363"/>
      <c r="CC796" s="363"/>
    </row>
    <row r="797" spans="2:81" ht="22.5" customHeight="1">
      <c r="B797" s="442" t="s">
        <v>4900</v>
      </c>
      <c r="C797" s="747" t="s">
        <v>4888</v>
      </c>
      <c r="D797" s="439" t="s">
        <v>5406</v>
      </c>
      <c r="E797" s="404" t="s">
        <v>5361</v>
      </c>
      <c r="F797" s="405" t="s">
        <v>375</v>
      </c>
      <c r="G797" s="324" t="s">
        <v>2950</v>
      </c>
      <c r="H797" s="324" t="s">
        <v>3003</v>
      </c>
      <c r="I797" s="326" t="s">
        <v>383</v>
      </c>
      <c r="J797" s="326" t="s">
        <v>399</v>
      </c>
      <c r="K797" s="324" t="s">
        <v>293</v>
      </c>
      <c r="L797" s="342">
        <v>24</v>
      </c>
      <c r="M797" s="408"/>
      <c r="N797" s="444" t="s">
        <v>438</v>
      </c>
      <c r="O797" s="324">
        <v>5</v>
      </c>
      <c r="P797" s="458">
        <v>3025</v>
      </c>
      <c r="Q797" s="459">
        <v>2959</v>
      </c>
      <c r="R797" s="420" t="s">
        <v>2974</v>
      </c>
      <c r="S797" s="394" t="s">
        <v>11806</v>
      </c>
      <c r="T797" s="400"/>
      <c r="U797" s="400"/>
      <c r="V797" s="394" t="s">
        <v>11807</v>
      </c>
      <c r="W797" s="332" t="s">
        <v>1683</v>
      </c>
      <c r="X797" s="331" t="s">
        <v>11803</v>
      </c>
      <c r="Y797" s="331" t="s">
        <v>11804</v>
      </c>
      <c r="Z797" s="331" t="s">
        <v>16512</v>
      </c>
      <c r="AA797" s="331" t="s">
        <v>11805</v>
      </c>
      <c r="AB797" s="416"/>
      <c r="AC797" s="416"/>
      <c r="AD797" s="447" t="s">
        <v>4902</v>
      </c>
      <c r="AE797" s="499" t="s">
        <v>4904</v>
      </c>
      <c r="AF797" s="462">
        <v>42786</v>
      </c>
      <c r="AG797" s="748">
        <v>42815</v>
      </c>
      <c r="AH797" s="417" t="s">
        <v>210</v>
      </c>
      <c r="AI797" s="392" t="s">
        <v>210</v>
      </c>
      <c r="AJ797" s="392" t="s">
        <v>210</v>
      </c>
      <c r="AK797" s="340" t="s">
        <v>210</v>
      </c>
      <c r="AL797" s="417" t="s">
        <v>210</v>
      </c>
      <c r="AM797" s="392" t="s">
        <v>210</v>
      </c>
      <c r="AN797" s="392" t="s">
        <v>210</v>
      </c>
      <c r="AO797" s="341" t="s">
        <v>210</v>
      </c>
      <c r="AP797" s="392" t="s">
        <v>210</v>
      </c>
      <c r="AQ797" s="433" t="s">
        <v>4547</v>
      </c>
      <c r="AR797" s="452">
        <v>3880</v>
      </c>
      <c r="AS797" s="324">
        <v>100</v>
      </c>
      <c r="AT797" s="432">
        <v>1.2</v>
      </c>
      <c r="AU797" s="432"/>
      <c r="AV797" s="432">
        <v>1.4</v>
      </c>
      <c r="AW797" s="490"/>
      <c r="AX797" s="453" t="s">
        <v>210</v>
      </c>
      <c r="AY797" s="340" t="s">
        <v>622</v>
      </c>
      <c r="AZ797" s="405" t="s">
        <v>4083</v>
      </c>
      <c r="BA797" s="324" t="s">
        <v>210</v>
      </c>
      <c r="BB797" s="324" t="s">
        <v>210</v>
      </c>
      <c r="BC797" s="324" t="s">
        <v>210</v>
      </c>
      <c r="BD797" s="324" t="s">
        <v>210</v>
      </c>
      <c r="BE797" s="324" t="s">
        <v>3476</v>
      </c>
      <c r="BF797" s="324" t="s">
        <v>4898</v>
      </c>
      <c r="BG797" s="324" t="s">
        <v>4899</v>
      </c>
      <c r="BH797" s="426" t="s">
        <v>4898</v>
      </c>
      <c r="BI797" s="410"/>
      <c r="BJ797" s="427" t="s">
        <v>210</v>
      </c>
      <c r="BK797" s="412"/>
      <c r="BL797" s="413"/>
      <c r="BM797" s="414"/>
      <c r="BN797" s="321" t="s">
        <v>622</v>
      </c>
      <c r="BO797" s="372"/>
      <c r="BP797" s="340" t="s">
        <v>210</v>
      </c>
      <c r="BQ797" s="360"/>
      <c r="BR797" s="361"/>
      <c r="BS797" s="361"/>
      <c r="BT797" s="361"/>
      <c r="BU797" s="342" t="s">
        <v>210</v>
      </c>
      <c r="BV797" s="342" t="s">
        <v>210</v>
      </c>
      <c r="BW797" s="844" t="s">
        <v>210</v>
      </c>
      <c r="BX797" s="361"/>
      <c r="BY797" s="457"/>
      <c r="BZ797" s="363"/>
      <c r="CA797" s="363"/>
      <c r="CB797" s="363"/>
      <c r="CC797" s="363"/>
    </row>
    <row r="798" spans="2:81" ht="22.5" customHeight="1">
      <c r="B798" s="442" t="s">
        <v>4901</v>
      </c>
      <c r="C798" s="747" t="s">
        <v>4889</v>
      </c>
      <c r="D798" s="439" t="s">
        <v>5406</v>
      </c>
      <c r="E798" s="404" t="s">
        <v>5361</v>
      </c>
      <c r="F798" s="405" t="s">
        <v>375</v>
      </c>
      <c r="G798" s="324" t="s">
        <v>2950</v>
      </c>
      <c r="H798" s="324" t="s">
        <v>3003</v>
      </c>
      <c r="I798" s="326" t="s">
        <v>383</v>
      </c>
      <c r="J798" s="326" t="s">
        <v>399</v>
      </c>
      <c r="K798" s="324" t="s">
        <v>293</v>
      </c>
      <c r="L798" s="342">
        <v>6.1</v>
      </c>
      <c r="M798" s="408"/>
      <c r="N798" s="444" t="s">
        <v>438</v>
      </c>
      <c r="O798" s="324">
        <v>5</v>
      </c>
      <c r="P798" s="458">
        <v>2911</v>
      </c>
      <c r="Q798" s="459">
        <v>2331</v>
      </c>
      <c r="R798" s="420" t="s">
        <v>2974</v>
      </c>
      <c r="S798" s="394" t="s">
        <v>11806</v>
      </c>
      <c r="T798" s="400"/>
      <c r="U798" s="400"/>
      <c r="V798" s="394" t="s">
        <v>11807</v>
      </c>
      <c r="W798" s="332" t="s">
        <v>1683</v>
      </c>
      <c r="X798" s="331" t="s">
        <v>11803</v>
      </c>
      <c r="Y798" s="331" t="s">
        <v>11804</v>
      </c>
      <c r="Z798" s="331" t="s">
        <v>16512</v>
      </c>
      <c r="AA798" s="331" t="s">
        <v>11805</v>
      </c>
      <c r="AB798" s="416"/>
      <c r="AC798" s="416"/>
      <c r="AD798" s="447" t="s">
        <v>4902</v>
      </c>
      <c r="AE798" s="499" t="s">
        <v>4904</v>
      </c>
      <c r="AF798" s="462">
        <v>42786</v>
      </c>
      <c r="AG798" s="748">
        <v>42815</v>
      </c>
      <c r="AH798" s="417" t="s">
        <v>210</v>
      </c>
      <c r="AI798" s="392" t="s">
        <v>210</v>
      </c>
      <c r="AJ798" s="392" t="s">
        <v>210</v>
      </c>
      <c r="AK798" s="340" t="s">
        <v>210</v>
      </c>
      <c r="AL798" s="417" t="s">
        <v>210</v>
      </c>
      <c r="AM798" s="392" t="s">
        <v>210</v>
      </c>
      <c r="AN798" s="392" t="s">
        <v>210</v>
      </c>
      <c r="AO798" s="341" t="s">
        <v>210</v>
      </c>
      <c r="AP798" s="392" t="s">
        <v>210</v>
      </c>
      <c r="AQ798" s="433" t="s">
        <v>4547</v>
      </c>
      <c r="AR798" s="452">
        <v>3191</v>
      </c>
      <c r="AS798" s="324">
        <v>100</v>
      </c>
      <c r="AT798" s="432">
        <v>1.2</v>
      </c>
      <c r="AU798" s="432"/>
      <c r="AV798" s="432">
        <v>1.91</v>
      </c>
      <c r="AW798" s="490"/>
      <c r="AX798" s="453" t="s">
        <v>210</v>
      </c>
      <c r="AY798" s="455" t="s">
        <v>210</v>
      </c>
      <c r="AZ798" s="405" t="s">
        <v>4083</v>
      </c>
      <c r="BA798" s="324" t="s">
        <v>210</v>
      </c>
      <c r="BB798" s="324" t="s">
        <v>210</v>
      </c>
      <c r="BC798" s="324" t="s">
        <v>210</v>
      </c>
      <c r="BD798" s="324" t="s">
        <v>210</v>
      </c>
      <c r="BE798" s="324" t="s">
        <v>3476</v>
      </c>
      <c r="BF798" s="324" t="s">
        <v>4898</v>
      </c>
      <c r="BG798" s="324" t="s">
        <v>4899</v>
      </c>
      <c r="BH798" s="426" t="s">
        <v>4898</v>
      </c>
      <c r="BI798" s="410"/>
      <c r="BJ798" s="427" t="s">
        <v>210</v>
      </c>
      <c r="BK798" s="412"/>
      <c r="BL798" s="413"/>
      <c r="BM798" s="414"/>
      <c r="BN798" s="321" t="s">
        <v>622</v>
      </c>
      <c r="BO798" s="372"/>
      <c r="BP798" s="340" t="s">
        <v>210</v>
      </c>
      <c r="BQ798" s="360"/>
      <c r="BR798" s="361"/>
      <c r="BS798" s="361"/>
      <c r="BT798" s="361"/>
      <c r="BU798" s="342" t="s">
        <v>210</v>
      </c>
      <c r="BV798" s="342" t="s">
        <v>210</v>
      </c>
      <c r="BW798" s="844" t="s">
        <v>210</v>
      </c>
      <c r="BX798" s="361"/>
      <c r="BY798" s="457"/>
      <c r="BZ798" s="363"/>
      <c r="CA798" s="363"/>
      <c r="CB798" s="363"/>
      <c r="CC798" s="363"/>
    </row>
    <row r="799" spans="2:81" ht="22.5" customHeight="1">
      <c r="B799" s="442">
        <v>170039</v>
      </c>
      <c r="C799" s="747" t="s">
        <v>12821</v>
      </c>
      <c r="D799" s="439" t="s">
        <v>4854</v>
      </c>
      <c r="E799" s="404" t="s">
        <v>5361</v>
      </c>
      <c r="F799" s="405" t="s">
        <v>4933</v>
      </c>
      <c r="G799" s="324" t="s">
        <v>4934</v>
      </c>
      <c r="H799" s="324" t="s">
        <v>5101</v>
      </c>
      <c r="I799" s="326" t="s">
        <v>383</v>
      </c>
      <c r="J799" s="326" t="s">
        <v>399</v>
      </c>
      <c r="K799" s="324" t="s">
        <v>293</v>
      </c>
      <c r="L799" s="342">
        <v>6</v>
      </c>
      <c r="M799" s="324" t="s">
        <v>10767</v>
      </c>
      <c r="N799" s="444" t="s">
        <v>438</v>
      </c>
      <c r="O799" s="324">
        <v>40</v>
      </c>
      <c r="P799" s="458">
        <v>4199</v>
      </c>
      <c r="Q799" s="459">
        <v>4292</v>
      </c>
      <c r="R799" s="420" t="s">
        <v>4935</v>
      </c>
      <c r="S799" s="394" t="s">
        <v>12822</v>
      </c>
      <c r="T799" s="394" t="s">
        <v>12825</v>
      </c>
      <c r="U799" s="394" t="s">
        <v>12824</v>
      </c>
      <c r="V799" s="394" t="s">
        <v>12823</v>
      </c>
      <c r="W799" s="332" t="s">
        <v>592</v>
      </c>
      <c r="X799" s="394" t="s">
        <v>12237</v>
      </c>
      <c r="Y799" s="394" t="s">
        <v>11508</v>
      </c>
      <c r="Z799" s="394" t="s">
        <v>11507</v>
      </c>
      <c r="AA799" s="394" t="s">
        <v>12239</v>
      </c>
      <c r="AB799" s="416"/>
      <c r="AC799" s="416"/>
      <c r="AD799" s="375"/>
      <c r="AE799" s="845"/>
      <c r="AF799" s="462">
        <v>42821</v>
      </c>
      <c r="AG799" s="748">
        <v>42914</v>
      </c>
      <c r="AH799" s="417" t="s">
        <v>210</v>
      </c>
      <c r="AI799" s="392" t="s">
        <v>210</v>
      </c>
      <c r="AJ799" s="392" t="s">
        <v>210</v>
      </c>
      <c r="AK799" s="340" t="s">
        <v>210</v>
      </c>
      <c r="AL799" s="417" t="s">
        <v>210</v>
      </c>
      <c r="AM799" s="392" t="s">
        <v>210</v>
      </c>
      <c r="AN799" s="392" t="s">
        <v>210</v>
      </c>
      <c r="AO799" s="341" t="s">
        <v>210</v>
      </c>
      <c r="AP799" s="392" t="s">
        <v>210</v>
      </c>
      <c r="AQ799" s="433" t="s">
        <v>4547</v>
      </c>
      <c r="AR799" s="452">
        <v>4961</v>
      </c>
      <c r="AS799" s="324">
        <v>100</v>
      </c>
      <c r="AT799" s="432">
        <v>1</v>
      </c>
      <c r="AU799" s="432"/>
      <c r="AV799" s="432">
        <v>1.2</v>
      </c>
      <c r="AW799" s="490"/>
      <c r="AX799" s="453" t="s">
        <v>210</v>
      </c>
      <c r="AY799" s="455" t="s">
        <v>210</v>
      </c>
      <c r="AZ799" s="405" t="s">
        <v>4083</v>
      </c>
      <c r="BA799" s="324" t="s">
        <v>210</v>
      </c>
      <c r="BB799" s="324" t="s">
        <v>210</v>
      </c>
      <c r="BC799" s="324" t="s">
        <v>210</v>
      </c>
      <c r="BD799" s="324" t="s">
        <v>210</v>
      </c>
      <c r="BE799" s="324" t="s">
        <v>5102</v>
      </c>
      <c r="BF799" s="324" t="s">
        <v>3491</v>
      </c>
      <c r="BG799" s="324" t="s">
        <v>5103</v>
      </c>
      <c r="BH799" s="426" t="s">
        <v>3491</v>
      </c>
      <c r="BI799" s="410"/>
      <c r="BJ799" s="427" t="s">
        <v>210</v>
      </c>
      <c r="BK799" s="412"/>
      <c r="BL799" s="413"/>
      <c r="BM799" s="414"/>
      <c r="BN799" s="417" t="s">
        <v>210</v>
      </c>
      <c r="BO799" s="372"/>
      <c r="BP799" s="340" t="s">
        <v>210</v>
      </c>
      <c r="BQ799" s="360"/>
      <c r="BR799" s="361"/>
      <c r="BS799" s="361"/>
      <c r="BT799" s="361"/>
      <c r="BU799" s="342" t="s">
        <v>210</v>
      </c>
      <c r="BV799" s="342" t="s">
        <v>210</v>
      </c>
      <c r="BW799" s="844" t="s">
        <v>210</v>
      </c>
      <c r="BX799" s="361"/>
      <c r="BY799" s="457" t="s">
        <v>5100</v>
      </c>
      <c r="BZ799" s="363"/>
      <c r="CA799" s="363"/>
      <c r="CB799" s="363"/>
      <c r="CC799" s="363"/>
    </row>
    <row r="800" spans="2:81" ht="22.5" customHeight="1">
      <c r="B800" s="442">
        <v>170040</v>
      </c>
      <c r="C800" s="747" t="s">
        <v>4867</v>
      </c>
      <c r="D800" s="439" t="s">
        <v>4856</v>
      </c>
      <c r="E800" s="404" t="s">
        <v>5362</v>
      </c>
      <c r="F800" s="405" t="s">
        <v>1043</v>
      </c>
      <c r="G800" s="324" t="s">
        <v>3299</v>
      </c>
      <c r="H800" s="324" t="s">
        <v>4868</v>
      </c>
      <c r="I800" s="326" t="s">
        <v>383</v>
      </c>
      <c r="J800" s="326" t="s">
        <v>387</v>
      </c>
      <c r="K800" s="324" t="s">
        <v>293</v>
      </c>
      <c r="L800" s="342">
        <v>5</v>
      </c>
      <c r="M800" s="324" t="s">
        <v>10767</v>
      </c>
      <c r="N800" s="444" t="s">
        <v>438</v>
      </c>
      <c r="O800" s="324">
        <v>140</v>
      </c>
      <c r="P800" s="458">
        <v>922</v>
      </c>
      <c r="Q800" s="459">
        <v>676</v>
      </c>
      <c r="R800" s="420" t="s">
        <v>4874</v>
      </c>
      <c r="S800" s="394" t="s">
        <v>12819</v>
      </c>
      <c r="T800" s="400"/>
      <c r="U800" s="400"/>
      <c r="V800" s="394" t="s">
        <v>12820</v>
      </c>
      <c r="W800" s="332" t="s">
        <v>432</v>
      </c>
      <c r="X800" s="331" t="s">
        <v>11079</v>
      </c>
      <c r="Y800" s="331" t="s">
        <v>11080</v>
      </c>
      <c r="Z800" s="331" t="s">
        <v>6574</v>
      </c>
      <c r="AA800" s="331" t="s">
        <v>6574</v>
      </c>
      <c r="AB800" s="416"/>
      <c r="AC800" s="416"/>
      <c r="AD800" s="447" t="s">
        <v>1591</v>
      </c>
      <c r="AE800" s="499" t="s">
        <v>5132</v>
      </c>
      <c r="AF800" s="462">
        <v>42782</v>
      </c>
      <c r="AG800" s="748">
        <v>42852</v>
      </c>
      <c r="AH800" s="453">
        <v>14.4</v>
      </c>
      <c r="AI800" s="432">
        <v>25.4</v>
      </c>
      <c r="AJ800" s="432">
        <v>16.2</v>
      </c>
      <c r="AK800" s="455">
        <f>SUM(AH800:AJ800)</f>
        <v>56</v>
      </c>
      <c r="AL800" s="417" t="s">
        <v>210</v>
      </c>
      <c r="AM800" s="392" t="s">
        <v>210</v>
      </c>
      <c r="AN800" s="392" t="s">
        <v>210</v>
      </c>
      <c r="AO800" s="341" t="s">
        <v>210</v>
      </c>
      <c r="AP800" s="392" t="s">
        <v>210</v>
      </c>
      <c r="AQ800" s="433" t="s">
        <v>4547</v>
      </c>
      <c r="AR800" s="452">
        <v>1132</v>
      </c>
      <c r="AS800" s="324">
        <v>100</v>
      </c>
      <c r="AT800" s="432">
        <v>1</v>
      </c>
      <c r="AU800" s="432"/>
      <c r="AV800" s="432">
        <v>1.5</v>
      </c>
      <c r="AW800" s="490"/>
      <c r="AX800" s="453" t="s">
        <v>210</v>
      </c>
      <c r="AY800" s="455" t="s">
        <v>210</v>
      </c>
      <c r="AZ800" s="405" t="s">
        <v>622</v>
      </c>
      <c r="BA800" s="324" t="s">
        <v>4869</v>
      </c>
      <c r="BB800" s="324" t="s">
        <v>3495</v>
      </c>
      <c r="BC800" s="324" t="s">
        <v>4870</v>
      </c>
      <c r="BD800" s="324" t="s">
        <v>3495</v>
      </c>
      <c r="BE800" s="324" t="s">
        <v>4871</v>
      </c>
      <c r="BF800" s="324" t="s">
        <v>3434</v>
      </c>
      <c r="BG800" s="324" t="s">
        <v>4872</v>
      </c>
      <c r="BH800" s="426" t="s">
        <v>4873</v>
      </c>
      <c r="BI800" s="453">
        <v>1</v>
      </c>
      <c r="BJ800" s="427" t="s">
        <v>210</v>
      </c>
      <c r="BK800" s="412"/>
      <c r="BL800" s="413"/>
      <c r="BM800" s="414"/>
      <c r="BN800" s="321" t="s">
        <v>622</v>
      </c>
      <c r="BO800" s="372">
        <v>1.66</v>
      </c>
      <c r="BP800" s="373" t="s">
        <v>622</v>
      </c>
      <c r="BQ800" s="360"/>
      <c r="BR800" s="361"/>
      <c r="BS800" s="361"/>
      <c r="BT800" s="361"/>
      <c r="BU800" s="342" t="s">
        <v>210</v>
      </c>
      <c r="BV800" s="342" t="s">
        <v>210</v>
      </c>
      <c r="BW800" s="844" t="s">
        <v>210</v>
      </c>
      <c r="BX800" s="361"/>
      <c r="BY800" s="457"/>
      <c r="BZ800" s="363"/>
      <c r="CA800" s="363"/>
      <c r="CB800" s="363"/>
      <c r="CC800" s="363"/>
    </row>
    <row r="801" spans="1:82" ht="22.5" customHeight="1">
      <c r="B801" s="442">
        <v>170048</v>
      </c>
      <c r="C801" s="747" t="s">
        <v>12695</v>
      </c>
      <c r="D801" s="439" t="s">
        <v>5406</v>
      </c>
      <c r="E801" s="404" t="s">
        <v>5361</v>
      </c>
      <c r="F801" s="405" t="s">
        <v>4939</v>
      </c>
      <c r="G801" s="324" t="s">
        <v>4940</v>
      </c>
      <c r="H801" s="324" t="s">
        <v>3074</v>
      </c>
      <c r="I801" s="326" t="s">
        <v>383</v>
      </c>
      <c r="J801" s="326" t="s">
        <v>387</v>
      </c>
      <c r="K801" s="326" t="s">
        <v>993</v>
      </c>
      <c r="L801" s="392" t="s">
        <v>210</v>
      </c>
      <c r="M801" s="408"/>
      <c r="N801" s="444" t="s">
        <v>438</v>
      </c>
      <c r="O801" s="324">
        <v>30</v>
      </c>
      <c r="P801" s="816">
        <v>270</v>
      </c>
      <c r="Q801" s="817">
        <v>135</v>
      </c>
      <c r="R801" s="420" t="s">
        <v>4938</v>
      </c>
      <c r="S801" s="394" t="s">
        <v>12818</v>
      </c>
      <c r="T801" s="394" t="s">
        <v>12147</v>
      </c>
      <c r="U801" s="394" t="s">
        <v>12146</v>
      </c>
      <c r="V801" s="394" t="s">
        <v>12817</v>
      </c>
      <c r="W801" s="460" t="s">
        <v>4938</v>
      </c>
      <c r="X801" s="394" t="s">
        <v>12818</v>
      </c>
      <c r="Y801" s="394" t="s">
        <v>12147</v>
      </c>
      <c r="Z801" s="394" t="s">
        <v>12146</v>
      </c>
      <c r="AA801" s="394" t="s">
        <v>12817</v>
      </c>
      <c r="AB801" s="416"/>
      <c r="AC801" s="416"/>
      <c r="AD801" s="375"/>
      <c r="AE801" s="815"/>
      <c r="AF801" s="462">
        <v>42790</v>
      </c>
      <c r="AG801" s="748">
        <v>42826</v>
      </c>
      <c r="AH801" s="417" t="s">
        <v>210</v>
      </c>
      <c r="AI801" s="392" t="s">
        <v>210</v>
      </c>
      <c r="AJ801" s="392" t="s">
        <v>210</v>
      </c>
      <c r="AK801" s="340" t="s">
        <v>210</v>
      </c>
      <c r="AL801" s="417" t="s">
        <v>210</v>
      </c>
      <c r="AM801" s="392" t="s">
        <v>210</v>
      </c>
      <c r="AN801" s="392" t="s">
        <v>210</v>
      </c>
      <c r="AO801" s="341" t="s">
        <v>210</v>
      </c>
      <c r="AP801" s="392" t="s">
        <v>210</v>
      </c>
      <c r="AQ801" s="433" t="s">
        <v>4547</v>
      </c>
      <c r="AR801" s="452">
        <v>274</v>
      </c>
      <c r="AS801" s="324">
        <v>150</v>
      </c>
      <c r="AT801" s="432">
        <v>0.8</v>
      </c>
      <c r="AU801" s="432"/>
      <c r="AV801" s="432">
        <v>1.4</v>
      </c>
      <c r="AW801" s="490"/>
      <c r="AX801" s="453" t="s">
        <v>210</v>
      </c>
      <c r="AY801" s="340" t="s">
        <v>622</v>
      </c>
      <c r="AZ801" s="405" t="s">
        <v>622</v>
      </c>
      <c r="BA801" s="324" t="s">
        <v>4969</v>
      </c>
      <c r="BB801" s="324" t="s">
        <v>3495</v>
      </c>
      <c r="BC801" s="324" t="s">
        <v>4970</v>
      </c>
      <c r="BD801" s="324" t="s">
        <v>3512</v>
      </c>
      <c r="BE801" s="324" t="s">
        <v>4971</v>
      </c>
      <c r="BF801" s="324" t="s">
        <v>4971</v>
      </c>
      <c r="BG801" s="324" t="s">
        <v>4972</v>
      </c>
      <c r="BH801" s="426" t="s">
        <v>3574</v>
      </c>
      <c r="BI801" s="410"/>
      <c r="BJ801" s="427" t="s">
        <v>210</v>
      </c>
      <c r="BK801" s="412"/>
      <c r="BL801" s="413"/>
      <c r="BM801" s="414"/>
      <c r="BN801" s="321" t="s">
        <v>622</v>
      </c>
      <c r="BO801" s="372"/>
      <c r="BP801" s="373" t="s">
        <v>14</v>
      </c>
      <c r="BQ801" s="360"/>
      <c r="BR801" s="361"/>
      <c r="BS801" s="361"/>
      <c r="BT801" s="361"/>
      <c r="BU801" s="342" t="s">
        <v>210</v>
      </c>
      <c r="BV801" s="342" t="s">
        <v>210</v>
      </c>
      <c r="BW801" s="844" t="s">
        <v>210</v>
      </c>
      <c r="BX801" s="361"/>
      <c r="BY801" s="457"/>
      <c r="BZ801" s="363"/>
      <c r="CA801" s="363"/>
      <c r="CB801" s="363"/>
      <c r="CC801" s="363"/>
    </row>
    <row r="802" spans="1:82" ht="22.5" customHeight="1">
      <c r="B802" s="442">
        <v>170049</v>
      </c>
      <c r="C802" s="747" t="s">
        <v>4919</v>
      </c>
      <c r="D802" s="439" t="s">
        <v>5406</v>
      </c>
      <c r="E802" s="404" t="s">
        <v>5362</v>
      </c>
      <c r="F802" s="405" t="s">
        <v>1043</v>
      </c>
      <c r="G802" s="324" t="s">
        <v>4989</v>
      </c>
      <c r="H802" s="324" t="s">
        <v>4990</v>
      </c>
      <c r="I802" s="326" t="s">
        <v>383</v>
      </c>
      <c r="J802" s="326" t="s">
        <v>399</v>
      </c>
      <c r="K802" s="324" t="s">
        <v>977</v>
      </c>
      <c r="L802" s="342">
        <v>6</v>
      </c>
      <c r="M802" s="408"/>
      <c r="N802" s="325" t="s">
        <v>437</v>
      </c>
      <c r="O802" s="324">
        <v>95</v>
      </c>
      <c r="P802" s="816">
        <v>1300</v>
      </c>
      <c r="Q802" s="817">
        <v>1300</v>
      </c>
      <c r="R802" s="420" t="s">
        <v>4533</v>
      </c>
      <c r="S802" s="394" t="s">
        <v>12234</v>
      </c>
      <c r="T802" s="394" t="s">
        <v>12235</v>
      </c>
      <c r="U802" s="400"/>
      <c r="V802" s="394" t="s">
        <v>12236</v>
      </c>
      <c r="W802" s="332" t="s">
        <v>592</v>
      </c>
      <c r="X802" s="400"/>
      <c r="Y802" s="400"/>
      <c r="Z802" s="400"/>
      <c r="AA802" s="400"/>
      <c r="AB802" s="416"/>
      <c r="AC802" s="416"/>
      <c r="AD802" s="447" t="s">
        <v>1591</v>
      </c>
      <c r="AE802" s="499" t="s">
        <v>353</v>
      </c>
      <c r="AF802" s="462">
        <v>42809</v>
      </c>
      <c r="AG802" s="748">
        <v>42865</v>
      </c>
      <c r="AH802" s="417" t="s">
        <v>210</v>
      </c>
      <c r="AI802" s="392" t="s">
        <v>210</v>
      </c>
      <c r="AJ802" s="392" t="s">
        <v>210</v>
      </c>
      <c r="AK802" s="340" t="s">
        <v>210</v>
      </c>
      <c r="AL802" s="417" t="s">
        <v>210</v>
      </c>
      <c r="AM802" s="392" t="s">
        <v>210</v>
      </c>
      <c r="AN802" s="392" t="s">
        <v>210</v>
      </c>
      <c r="AO802" s="341" t="s">
        <v>210</v>
      </c>
      <c r="AP802" s="392" t="s">
        <v>210</v>
      </c>
      <c r="AQ802" s="433" t="s">
        <v>4547</v>
      </c>
      <c r="AR802" s="452">
        <v>2534</v>
      </c>
      <c r="AS802" s="324">
        <v>80</v>
      </c>
      <c r="AT802" s="432">
        <v>1</v>
      </c>
      <c r="AU802" s="432"/>
      <c r="AV802" s="432">
        <v>1.5</v>
      </c>
      <c r="AW802" s="490"/>
      <c r="AX802" s="453" t="s">
        <v>210</v>
      </c>
      <c r="AY802" s="455" t="s">
        <v>210</v>
      </c>
      <c r="AZ802" s="405" t="s">
        <v>4083</v>
      </c>
      <c r="BA802" s="324" t="s">
        <v>210</v>
      </c>
      <c r="BB802" s="324" t="s">
        <v>210</v>
      </c>
      <c r="BC802" s="324" t="s">
        <v>3476</v>
      </c>
      <c r="BD802" s="324" t="s">
        <v>4988</v>
      </c>
      <c r="BE802" s="324" t="s">
        <v>4991</v>
      </c>
      <c r="BF802" s="324" t="s">
        <v>4988</v>
      </c>
      <c r="BG802" s="324" t="s">
        <v>4992</v>
      </c>
      <c r="BH802" s="426" t="s">
        <v>3443</v>
      </c>
      <c r="BI802" s="410"/>
      <c r="BJ802" s="427" t="s">
        <v>210</v>
      </c>
      <c r="BK802" s="412"/>
      <c r="BL802" s="413"/>
      <c r="BM802" s="414"/>
      <c r="BN802" s="417" t="s">
        <v>210</v>
      </c>
      <c r="BO802" s="372"/>
      <c r="BP802" s="340" t="s">
        <v>210</v>
      </c>
      <c r="BQ802" s="360"/>
      <c r="BR802" s="361"/>
      <c r="BS802" s="361"/>
      <c r="BT802" s="361"/>
      <c r="BU802" s="342" t="s">
        <v>210</v>
      </c>
      <c r="BV802" s="342" t="s">
        <v>210</v>
      </c>
      <c r="BW802" s="844" t="s">
        <v>210</v>
      </c>
      <c r="BX802" s="361"/>
      <c r="BY802" s="457"/>
      <c r="BZ802" s="363"/>
      <c r="CA802" s="363"/>
      <c r="CB802" s="363"/>
      <c r="CC802" s="363"/>
    </row>
    <row r="803" spans="1:82" ht="22.5" customHeight="1">
      <c r="B803" s="442">
        <v>170050</v>
      </c>
      <c r="C803" s="747" t="s">
        <v>4891</v>
      </c>
      <c r="D803" s="439" t="s">
        <v>4854</v>
      </c>
      <c r="E803" s="404" t="s">
        <v>5363</v>
      </c>
      <c r="F803" s="405" t="s">
        <v>5120</v>
      </c>
      <c r="G803" s="324" t="s">
        <v>5121</v>
      </c>
      <c r="H803" s="324" t="s">
        <v>5122</v>
      </c>
      <c r="I803" s="326" t="s">
        <v>383</v>
      </c>
      <c r="J803" s="326" t="s">
        <v>399</v>
      </c>
      <c r="K803" s="326" t="s">
        <v>917</v>
      </c>
      <c r="L803" s="392" t="s">
        <v>210</v>
      </c>
      <c r="M803" s="324" t="s">
        <v>10767</v>
      </c>
      <c r="N803" s="444" t="s">
        <v>210</v>
      </c>
      <c r="O803" s="324">
        <v>30</v>
      </c>
      <c r="P803" s="458">
        <v>240</v>
      </c>
      <c r="Q803" s="459">
        <v>180</v>
      </c>
      <c r="R803" s="420" t="s">
        <v>4892</v>
      </c>
      <c r="S803" s="394" t="s">
        <v>12693</v>
      </c>
      <c r="T803" s="400"/>
      <c r="U803" s="400"/>
      <c r="V803" s="394" t="s">
        <v>12694</v>
      </c>
      <c r="W803" s="332" t="s">
        <v>432</v>
      </c>
      <c r="X803" s="331" t="s">
        <v>11079</v>
      </c>
      <c r="Y803" s="331" t="s">
        <v>11080</v>
      </c>
      <c r="Z803" s="331" t="s">
        <v>6574</v>
      </c>
      <c r="AA803" s="331" t="s">
        <v>6574</v>
      </c>
      <c r="AB803" s="416"/>
      <c r="AC803" s="416"/>
      <c r="AD803" s="334" t="s">
        <v>5580</v>
      </c>
      <c r="AE803" s="335" t="s">
        <v>210</v>
      </c>
      <c r="AF803" s="462">
        <v>42795</v>
      </c>
      <c r="AG803" s="748">
        <v>42838</v>
      </c>
      <c r="AH803" s="453">
        <v>11.2</v>
      </c>
      <c r="AI803" s="432">
        <v>15.5</v>
      </c>
      <c r="AJ803" s="432">
        <v>10.5</v>
      </c>
      <c r="AK803" s="455">
        <f>SUM(AH803:AJ803)</f>
        <v>37.200000000000003</v>
      </c>
      <c r="AL803" s="417" t="s">
        <v>210</v>
      </c>
      <c r="AM803" s="392" t="s">
        <v>210</v>
      </c>
      <c r="AN803" s="392" t="s">
        <v>210</v>
      </c>
      <c r="AO803" s="341" t="s">
        <v>210</v>
      </c>
      <c r="AP803" s="392" t="s">
        <v>210</v>
      </c>
      <c r="AQ803" s="433" t="s">
        <v>4547</v>
      </c>
      <c r="AR803" s="452">
        <v>380.71300000000002</v>
      </c>
      <c r="AS803" s="324">
        <v>80</v>
      </c>
      <c r="AT803" s="432">
        <v>0.6</v>
      </c>
      <c r="AU803" s="432"/>
      <c r="AV803" s="432">
        <v>0.4</v>
      </c>
      <c r="AW803" s="490"/>
      <c r="AX803" s="453" t="s">
        <v>210</v>
      </c>
      <c r="AY803" s="455" t="s">
        <v>210</v>
      </c>
      <c r="AZ803" s="405" t="s">
        <v>4083</v>
      </c>
      <c r="BA803" s="324" t="s">
        <v>210</v>
      </c>
      <c r="BB803" s="324" t="s">
        <v>210</v>
      </c>
      <c r="BC803" s="324" t="s">
        <v>3459</v>
      </c>
      <c r="BD803" s="324" t="s">
        <v>3556</v>
      </c>
      <c r="BE803" s="324" t="s">
        <v>4206</v>
      </c>
      <c r="BF803" s="324" t="s">
        <v>3574</v>
      </c>
      <c r="BG803" s="324" t="s">
        <v>3738</v>
      </c>
      <c r="BH803" s="426" t="s">
        <v>3574</v>
      </c>
      <c r="BI803" s="410"/>
      <c r="BJ803" s="427" t="s">
        <v>9793</v>
      </c>
      <c r="BK803" s="412"/>
      <c r="BL803" s="413"/>
      <c r="BM803" s="414"/>
      <c r="BN803" s="321" t="s">
        <v>622</v>
      </c>
      <c r="BO803" s="372"/>
      <c r="BP803" s="373" t="s">
        <v>14</v>
      </c>
      <c r="BQ803" s="360"/>
      <c r="BR803" s="361"/>
      <c r="BS803" s="361"/>
      <c r="BT803" s="361"/>
      <c r="BU803" s="342" t="s">
        <v>622</v>
      </c>
      <c r="BV803" s="342" t="s">
        <v>210</v>
      </c>
      <c r="BW803" s="844" t="s">
        <v>210</v>
      </c>
      <c r="BX803" s="361"/>
      <c r="BY803" s="457"/>
      <c r="BZ803" s="363"/>
      <c r="CA803" s="363"/>
      <c r="CB803" s="363"/>
      <c r="CC803" s="363"/>
    </row>
    <row r="804" spans="1:82" ht="22.5" customHeight="1">
      <c r="B804" s="442">
        <v>170051</v>
      </c>
      <c r="C804" s="747" t="s">
        <v>7787</v>
      </c>
      <c r="D804" s="439" t="s">
        <v>4856</v>
      </c>
      <c r="E804" s="404" t="s">
        <v>5363</v>
      </c>
      <c r="F804" s="405" t="s">
        <v>4965</v>
      </c>
      <c r="G804" s="324" t="s">
        <v>4966</v>
      </c>
      <c r="H804" s="324" t="s">
        <v>4993</v>
      </c>
      <c r="I804" s="326" t="s">
        <v>383</v>
      </c>
      <c r="J804" s="326" t="s">
        <v>399</v>
      </c>
      <c r="K804" s="326" t="s">
        <v>917</v>
      </c>
      <c r="L804" s="392" t="s">
        <v>210</v>
      </c>
      <c r="M804" s="324" t="s">
        <v>10767</v>
      </c>
      <c r="N804" s="444" t="s">
        <v>438</v>
      </c>
      <c r="O804" s="324">
        <v>200</v>
      </c>
      <c r="P804" s="458">
        <v>850</v>
      </c>
      <c r="Q804" s="459">
        <v>850</v>
      </c>
      <c r="R804" s="420" t="s">
        <v>4964</v>
      </c>
      <c r="S804" s="394" t="s">
        <v>12566</v>
      </c>
      <c r="T804" s="394" t="s">
        <v>12567</v>
      </c>
      <c r="U804" s="394" t="s">
        <v>16336</v>
      </c>
      <c r="V804" s="394" t="s">
        <v>12568</v>
      </c>
      <c r="W804" s="332" t="s">
        <v>432</v>
      </c>
      <c r="X804" s="331" t="s">
        <v>11079</v>
      </c>
      <c r="Y804" s="331" t="s">
        <v>11080</v>
      </c>
      <c r="Z804" s="331" t="s">
        <v>6574</v>
      </c>
      <c r="AA804" s="331" t="s">
        <v>6574</v>
      </c>
      <c r="AB804" s="416"/>
      <c r="AC804" s="416"/>
      <c r="AD804" s="447" t="s">
        <v>5356</v>
      </c>
      <c r="AE804" s="499" t="s">
        <v>5346</v>
      </c>
      <c r="AF804" s="462">
        <v>42815</v>
      </c>
      <c r="AG804" s="748">
        <v>42901</v>
      </c>
      <c r="AH804" s="453">
        <v>27.4</v>
      </c>
      <c r="AI804" s="432">
        <v>35.700000000000003</v>
      </c>
      <c r="AJ804" s="432">
        <v>23.5</v>
      </c>
      <c r="AK804" s="455">
        <f>SUM(AH804:AJ804)</f>
        <v>86.6</v>
      </c>
      <c r="AL804" s="417" t="s">
        <v>210</v>
      </c>
      <c r="AM804" s="392" t="s">
        <v>210</v>
      </c>
      <c r="AN804" s="392" t="s">
        <v>210</v>
      </c>
      <c r="AO804" s="341" t="s">
        <v>210</v>
      </c>
      <c r="AP804" s="392" t="s">
        <v>210</v>
      </c>
      <c r="AQ804" s="433" t="s">
        <v>4547</v>
      </c>
      <c r="AR804" s="452">
        <v>1348</v>
      </c>
      <c r="AS804" s="324">
        <v>100</v>
      </c>
      <c r="AT804" s="432">
        <v>1</v>
      </c>
      <c r="AU804" s="432" t="s">
        <v>5264</v>
      </c>
      <c r="AV804" s="432">
        <v>1.5</v>
      </c>
      <c r="AW804" s="490" t="s">
        <v>5410</v>
      </c>
      <c r="AX804" s="453" t="s">
        <v>210</v>
      </c>
      <c r="AY804" s="455" t="s">
        <v>210</v>
      </c>
      <c r="AZ804" s="405" t="s">
        <v>4083</v>
      </c>
      <c r="BA804" s="324" t="s">
        <v>210</v>
      </c>
      <c r="BB804" s="324" t="s">
        <v>210</v>
      </c>
      <c r="BC804" s="324" t="s">
        <v>210</v>
      </c>
      <c r="BD804" s="324" t="s">
        <v>210</v>
      </c>
      <c r="BE804" s="324" t="s">
        <v>4994</v>
      </c>
      <c r="BF804" s="324" t="s">
        <v>3936</v>
      </c>
      <c r="BG804" s="324" t="s">
        <v>4995</v>
      </c>
      <c r="BH804" s="426" t="s">
        <v>4996</v>
      </c>
      <c r="BI804" s="453">
        <v>2.4700000000000002</v>
      </c>
      <c r="BJ804" s="427" t="s">
        <v>210</v>
      </c>
      <c r="BK804" s="412"/>
      <c r="BL804" s="413"/>
      <c r="BM804" s="414"/>
      <c r="BN804" s="405" t="s">
        <v>622</v>
      </c>
      <c r="BO804" s="464"/>
      <c r="BP804" s="426" t="s">
        <v>5466</v>
      </c>
      <c r="BQ804" s="456" t="s">
        <v>5467</v>
      </c>
      <c r="BR804" s="342" t="s">
        <v>210</v>
      </c>
      <c r="BS804" s="342" t="s">
        <v>622</v>
      </c>
      <c r="BT804" s="342" t="s">
        <v>622</v>
      </c>
      <c r="BU804" s="342" t="s">
        <v>210</v>
      </c>
      <c r="BV804" s="342" t="s">
        <v>210</v>
      </c>
      <c r="BW804" s="844" t="s">
        <v>210</v>
      </c>
      <c r="BX804" s="361"/>
      <c r="BY804" s="457"/>
      <c r="BZ804" s="363"/>
      <c r="CA804" s="363"/>
      <c r="CB804" s="363"/>
      <c r="CC804" s="363"/>
    </row>
    <row r="805" spans="1:82" ht="22.5" customHeight="1">
      <c r="B805" s="442">
        <v>170052</v>
      </c>
      <c r="C805" s="747" t="s">
        <v>4905</v>
      </c>
      <c r="D805" s="439" t="s">
        <v>4849</v>
      </c>
      <c r="E805" s="404" t="s">
        <v>5361</v>
      </c>
      <c r="F805" s="405" t="s">
        <v>240</v>
      </c>
      <c r="G805" s="324" t="s">
        <v>4906</v>
      </c>
      <c r="H805" s="324" t="s">
        <v>4907</v>
      </c>
      <c r="I805" s="326" t="s">
        <v>383</v>
      </c>
      <c r="J805" s="326" t="s">
        <v>399</v>
      </c>
      <c r="K805" s="324" t="s">
        <v>977</v>
      </c>
      <c r="L805" s="342">
        <v>20</v>
      </c>
      <c r="M805" s="408"/>
      <c r="N805" s="325" t="s">
        <v>437</v>
      </c>
      <c r="O805" s="324">
        <v>30</v>
      </c>
      <c r="P805" s="816">
        <v>470</v>
      </c>
      <c r="Q805" s="817">
        <v>470</v>
      </c>
      <c r="R805" s="329" t="s">
        <v>479</v>
      </c>
      <c r="S805" s="394" t="s">
        <v>12814</v>
      </c>
      <c r="T805" s="394" t="s">
        <v>12815</v>
      </c>
      <c r="U805" s="400"/>
      <c r="V805" s="394" t="s">
        <v>12816</v>
      </c>
      <c r="W805" s="332" t="s">
        <v>479</v>
      </c>
      <c r="X805" s="394" t="s">
        <v>12814</v>
      </c>
      <c r="Y805" s="394" t="s">
        <v>12815</v>
      </c>
      <c r="Z805" s="400"/>
      <c r="AA805" s="394" t="s">
        <v>12816</v>
      </c>
      <c r="AB805" s="416"/>
      <c r="AC805" s="416"/>
      <c r="AD805" s="375"/>
      <c r="AE805" s="335" t="s">
        <v>210</v>
      </c>
      <c r="AF805" s="462">
        <v>42808</v>
      </c>
      <c r="AG805" s="748">
        <v>42825</v>
      </c>
      <c r="AH805" s="417" t="s">
        <v>210</v>
      </c>
      <c r="AI805" s="392" t="s">
        <v>210</v>
      </c>
      <c r="AJ805" s="392" t="s">
        <v>210</v>
      </c>
      <c r="AK805" s="340" t="s">
        <v>210</v>
      </c>
      <c r="AL805" s="417" t="s">
        <v>210</v>
      </c>
      <c r="AM805" s="392" t="s">
        <v>210</v>
      </c>
      <c r="AN805" s="392" t="s">
        <v>210</v>
      </c>
      <c r="AO805" s="341" t="s">
        <v>210</v>
      </c>
      <c r="AP805" s="392" t="s">
        <v>210</v>
      </c>
      <c r="AQ805" s="433" t="s">
        <v>4548</v>
      </c>
      <c r="AR805" s="452">
        <v>608</v>
      </c>
      <c r="AS805" s="324">
        <v>50</v>
      </c>
      <c r="AT805" s="432">
        <v>1</v>
      </c>
      <c r="AU805" s="432"/>
      <c r="AV805" s="432">
        <v>1.5</v>
      </c>
      <c r="AW805" s="490"/>
      <c r="AX805" s="453" t="s">
        <v>210</v>
      </c>
      <c r="AY805" s="455" t="s">
        <v>210</v>
      </c>
      <c r="AZ805" s="405" t="s">
        <v>622</v>
      </c>
      <c r="BA805" s="324" t="s">
        <v>4908</v>
      </c>
      <c r="BB805" s="324" t="s">
        <v>3495</v>
      </c>
      <c r="BC805" s="324" t="s">
        <v>4909</v>
      </c>
      <c r="BD805" s="324" t="s">
        <v>3443</v>
      </c>
      <c r="BE805" s="324" t="s">
        <v>4910</v>
      </c>
      <c r="BF805" s="324" t="s">
        <v>3487</v>
      </c>
      <c r="BG805" s="324" t="s">
        <v>4911</v>
      </c>
      <c r="BH805" s="426" t="s">
        <v>3495</v>
      </c>
      <c r="BI805" s="410"/>
      <c r="BJ805" s="427" t="s">
        <v>210</v>
      </c>
      <c r="BK805" s="412"/>
      <c r="BL805" s="413"/>
      <c r="BM805" s="414"/>
      <c r="BN805" s="321" t="s">
        <v>622</v>
      </c>
      <c r="BO805" s="372"/>
      <c r="BP805" s="373" t="s">
        <v>14</v>
      </c>
      <c r="BQ805" s="360"/>
      <c r="BR805" s="361"/>
      <c r="BS805" s="361"/>
      <c r="BT805" s="361"/>
      <c r="BU805" s="342" t="s">
        <v>210</v>
      </c>
      <c r="BV805" s="342" t="s">
        <v>210</v>
      </c>
      <c r="BW805" s="844" t="s">
        <v>210</v>
      </c>
      <c r="BX805" s="361"/>
      <c r="BY805" s="457"/>
      <c r="BZ805" s="363"/>
      <c r="CA805" s="363"/>
      <c r="CB805" s="363"/>
      <c r="CC805" s="363"/>
    </row>
    <row r="806" spans="1:82" ht="22.5" customHeight="1">
      <c r="B806" s="442">
        <v>170073</v>
      </c>
      <c r="C806" s="747" t="s">
        <v>12810</v>
      </c>
      <c r="D806" s="439" t="s">
        <v>4854</v>
      </c>
      <c r="E806" s="404" t="s">
        <v>5363</v>
      </c>
      <c r="F806" s="405" t="s">
        <v>4957</v>
      </c>
      <c r="G806" s="324" t="s">
        <v>4958</v>
      </c>
      <c r="H806" s="324" t="s">
        <v>5123</v>
      </c>
      <c r="I806" s="326" t="s">
        <v>383</v>
      </c>
      <c r="J806" s="326" t="s">
        <v>387</v>
      </c>
      <c r="K806" s="324" t="s">
        <v>3400</v>
      </c>
      <c r="L806" s="392" t="s">
        <v>210</v>
      </c>
      <c r="M806" s="324" t="s">
        <v>6509</v>
      </c>
      <c r="N806" s="444" t="s">
        <v>438</v>
      </c>
      <c r="O806" s="324">
        <v>21</v>
      </c>
      <c r="P806" s="458">
        <v>1577</v>
      </c>
      <c r="Q806" s="459">
        <v>793</v>
      </c>
      <c r="R806" s="420" t="s">
        <v>4959</v>
      </c>
      <c r="S806" s="394" t="s">
        <v>12811</v>
      </c>
      <c r="T806" s="394" t="s">
        <v>12812</v>
      </c>
      <c r="U806" s="394" t="s">
        <v>16228</v>
      </c>
      <c r="V806" s="394" t="s">
        <v>12813</v>
      </c>
      <c r="W806" s="332" t="s">
        <v>432</v>
      </c>
      <c r="X806" s="331" t="s">
        <v>11079</v>
      </c>
      <c r="Y806" s="331" t="s">
        <v>11080</v>
      </c>
      <c r="Z806" s="331" t="s">
        <v>6574</v>
      </c>
      <c r="AA806" s="331" t="s">
        <v>6574</v>
      </c>
      <c r="AB806" s="416"/>
      <c r="AC806" s="416"/>
      <c r="AD806" s="447" t="s">
        <v>5536</v>
      </c>
      <c r="AE806" s="499" t="s">
        <v>245</v>
      </c>
      <c r="AF806" s="462">
        <v>42816</v>
      </c>
      <c r="AG806" s="748">
        <v>42916</v>
      </c>
      <c r="AH806" s="453">
        <v>26.4</v>
      </c>
      <c r="AI806" s="432">
        <v>44.7</v>
      </c>
      <c r="AJ806" s="432">
        <v>33.9</v>
      </c>
      <c r="AK806" s="455">
        <f>SUM(AH806:AJ806)</f>
        <v>105</v>
      </c>
      <c r="AL806" s="417" t="s">
        <v>210</v>
      </c>
      <c r="AM806" s="392" t="s">
        <v>210</v>
      </c>
      <c r="AN806" s="392" t="s">
        <v>210</v>
      </c>
      <c r="AO806" s="341" t="s">
        <v>210</v>
      </c>
      <c r="AP806" s="392" t="s">
        <v>210</v>
      </c>
      <c r="AQ806" s="433" t="s">
        <v>4547</v>
      </c>
      <c r="AR806" s="452">
        <v>853.55</v>
      </c>
      <c r="AS806" s="324">
        <v>150</v>
      </c>
      <c r="AT806" s="432">
        <v>1</v>
      </c>
      <c r="AU806" s="432" t="s">
        <v>5228</v>
      </c>
      <c r="AV806" s="432">
        <v>1.5</v>
      </c>
      <c r="AW806" s="490" t="s">
        <v>5228</v>
      </c>
      <c r="AX806" s="453" t="s">
        <v>210</v>
      </c>
      <c r="AY806" s="340" t="s">
        <v>622</v>
      </c>
      <c r="AZ806" s="405" t="s">
        <v>4083</v>
      </c>
      <c r="BA806" s="324" t="s">
        <v>210</v>
      </c>
      <c r="BB806" s="324" t="s">
        <v>210</v>
      </c>
      <c r="BC806" s="324" t="s">
        <v>210</v>
      </c>
      <c r="BD806" s="324" t="s">
        <v>210</v>
      </c>
      <c r="BE806" s="324" t="s">
        <v>3475</v>
      </c>
      <c r="BF806" s="324" t="s">
        <v>3382</v>
      </c>
      <c r="BG806" s="324" t="s">
        <v>3558</v>
      </c>
      <c r="BH806" s="426" t="s">
        <v>5124</v>
      </c>
      <c r="BI806" s="453">
        <v>1.2</v>
      </c>
      <c r="BJ806" s="427" t="s">
        <v>210</v>
      </c>
      <c r="BK806" s="412"/>
      <c r="BL806" s="413"/>
      <c r="BM806" s="414"/>
      <c r="BN806" s="321" t="s">
        <v>622</v>
      </c>
      <c r="BO806" s="372"/>
      <c r="BP806" s="373" t="s">
        <v>14</v>
      </c>
      <c r="BQ806" s="456" t="s">
        <v>1059</v>
      </c>
      <c r="BR806" s="342" t="s">
        <v>5223</v>
      </c>
      <c r="BS806" s="342" t="s">
        <v>5233</v>
      </c>
      <c r="BT806" s="342" t="s">
        <v>5223</v>
      </c>
      <c r="BU806" s="342" t="s">
        <v>210</v>
      </c>
      <c r="BV806" s="342" t="s">
        <v>210</v>
      </c>
      <c r="BW806" s="844" t="s">
        <v>210</v>
      </c>
      <c r="BX806" s="361"/>
      <c r="BY806" s="457"/>
      <c r="BZ806" s="363"/>
      <c r="CA806" s="363"/>
      <c r="CB806" s="363"/>
      <c r="CC806" s="363"/>
    </row>
    <row r="807" spans="1:82" s="465" customFormat="1" ht="22.5" customHeight="1">
      <c r="A807" s="287"/>
      <c r="B807" s="749">
        <v>170074</v>
      </c>
      <c r="C807" s="750" t="s">
        <v>12692</v>
      </c>
      <c r="D807" s="751"/>
      <c r="E807" s="752"/>
      <c r="F807" s="753" t="s">
        <v>226</v>
      </c>
      <c r="G807" s="754" t="s">
        <v>5125</v>
      </c>
      <c r="H807" s="754" t="s">
        <v>5126</v>
      </c>
      <c r="I807" s="662" t="s">
        <v>383</v>
      </c>
      <c r="J807" s="662" t="s">
        <v>399</v>
      </c>
      <c r="K807" s="754" t="s">
        <v>5127</v>
      </c>
      <c r="L807" s="676" t="s">
        <v>210</v>
      </c>
      <c r="M807" s="754"/>
      <c r="N807" s="664" t="s">
        <v>437</v>
      </c>
      <c r="O807" s="754">
        <v>25</v>
      </c>
      <c r="P807" s="782">
        <v>2718</v>
      </c>
      <c r="Q807" s="783">
        <v>2811</v>
      </c>
      <c r="R807" s="667" t="s">
        <v>479</v>
      </c>
      <c r="S807" s="668"/>
      <c r="T807" s="668"/>
      <c r="U807" s="668"/>
      <c r="V807" s="668"/>
      <c r="W807" s="669" t="s">
        <v>479</v>
      </c>
      <c r="X807" s="668"/>
      <c r="Y807" s="668"/>
      <c r="Z807" s="668"/>
      <c r="AA807" s="668"/>
      <c r="AB807" s="758"/>
      <c r="AC807" s="758"/>
      <c r="AD807" s="759"/>
      <c r="AE807" s="672" t="s">
        <v>210</v>
      </c>
      <c r="AF807" s="846">
        <v>42808</v>
      </c>
      <c r="AG807" s="674" t="s">
        <v>10514</v>
      </c>
      <c r="AH807" s="675" t="s">
        <v>210</v>
      </c>
      <c r="AI807" s="676" t="s">
        <v>210</v>
      </c>
      <c r="AJ807" s="676" t="s">
        <v>210</v>
      </c>
      <c r="AK807" s="677" t="s">
        <v>210</v>
      </c>
      <c r="AL807" s="675" t="s">
        <v>210</v>
      </c>
      <c r="AM807" s="676" t="s">
        <v>210</v>
      </c>
      <c r="AN807" s="676" t="s">
        <v>210</v>
      </c>
      <c r="AO807" s="678" t="s">
        <v>210</v>
      </c>
      <c r="AP807" s="663"/>
      <c r="AQ807" s="762" t="s">
        <v>4548</v>
      </c>
      <c r="AR807" s="763">
        <v>3588</v>
      </c>
      <c r="AS807" s="754">
        <v>120</v>
      </c>
      <c r="AT807" s="785">
        <v>1</v>
      </c>
      <c r="AU807" s="785"/>
      <c r="AV807" s="785">
        <v>1</v>
      </c>
      <c r="AW807" s="764"/>
      <c r="AX807" s="765" t="s">
        <v>210</v>
      </c>
      <c r="AY807" s="677" t="s">
        <v>622</v>
      </c>
      <c r="AZ807" s="753" t="s">
        <v>4083</v>
      </c>
      <c r="BA807" s="754" t="s">
        <v>210</v>
      </c>
      <c r="BB807" s="754" t="s">
        <v>210</v>
      </c>
      <c r="BC807" s="754" t="s">
        <v>210</v>
      </c>
      <c r="BD807" s="754" t="s">
        <v>210</v>
      </c>
      <c r="BE807" s="754" t="s">
        <v>3565</v>
      </c>
      <c r="BF807" s="754" t="s">
        <v>3512</v>
      </c>
      <c r="BG807" s="754" t="s">
        <v>3459</v>
      </c>
      <c r="BH807" s="767" t="s">
        <v>3443</v>
      </c>
      <c r="BI807" s="765"/>
      <c r="BJ807" s="768" t="s">
        <v>210</v>
      </c>
      <c r="BK807" s="769"/>
      <c r="BL807" s="766"/>
      <c r="BM807" s="770"/>
      <c r="BN807" s="661" t="s">
        <v>622</v>
      </c>
      <c r="BO807" s="686"/>
      <c r="BP807" s="677" t="s">
        <v>210</v>
      </c>
      <c r="BQ807" s="773"/>
      <c r="BR807" s="688"/>
      <c r="BS807" s="688"/>
      <c r="BT807" s="688"/>
      <c r="BU807" s="663" t="s">
        <v>5510</v>
      </c>
      <c r="BV807" s="663" t="s">
        <v>5510</v>
      </c>
      <c r="BW807" s="678" t="s">
        <v>210</v>
      </c>
      <c r="BX807" s="688"/>
      <c r="BY807" s="774"/>
      <c r="BZ807" s="483"/>
      <c r="CA807" s="483"/>
      <c r="CB807" s="483"/>
      <c r="CC807" s="483"/>
      <c r="CD807" s="484"/>
    </row>
    <row r="808" spans="1:82" ht="22.5" customHeight="1">
      <c r="B808" s="442">
        <v>170075</v>
      </c>
      <c r="C808" s="747" t="s">
        <v>4952</v>
      </c>
      <c r="D808" s="439" t="s">
        <v>4849</v>
      </c>
      <c r="E808" s="404" t="s">
        <v>5361</v>
      </c>
      <c r="F808" s="405" t="s">
        <v>4953</v>
      </c>
      <c r="G808" s="324" t="s">
        <v>4954</v>
      </c>
      <c r="H808" s="324" t="s">
        <v>5057</v>
      </c>
      <c r="I808" s="326" t="s">
        <v>383</v>
      </c>
      <c r="J808" s="326" t="s">
        <v>399</v>
      </c>
      <c r="K808" s="324" t="s">
        <v>6374</v>
      </c>
      <c r="L808" s="342">
        <v>20</v>
      </c>
      <c r="M808" s="408"/>
      <c r="N808" s="444" t="s">
        <v>438</v>
      </c>
      <c r="O808" s="324">
        <v>30</v>
      </c>
      <c r="P808" s="816">
        <v>410</v>
      </c>
      <c r="Q808" s="817">
        <v>410</v>
      </c>
      <c r="R808" s="420" t="s">
        <v>4947</v>
      </c>
      <c r="S808" s="394" t="s">
        <v>12687</v>
      </c>
      <c r="T808" s="394" t="s">
        <v>12688</v>
      </c>
      <c r="U808" s="394" t="s">
        <v>16383</v>
      </c>
      <c r="V808" s="394" t="s">
        <v>12689</v>
      </c>
      <c r="W808" s="332" t="s">
        <v>644</v>
      </c>
      <c r="X808" s="394" t="s">
        <v>12690</v>
      </c>
      <c r="Y808" s="394" t="s">
        <v>12685</v>
      </c>
      <c r="Z808" s="394" t="s">
        <v>12684</v>
      </c>
      <c r="AA808" s="394" t="s">
        <v>12691</v>
      </c>
      <c r="AB808" s="416"/>
      <c r="AC808" s="416"/>
      <c r="AD808" s="447" t="s">
        <v>5277</v>
      </c>
      <c r="AE808" s="499" t="s">
        <v>5274</v>
      </c>
      <c r="AF808" s="462">
        <v>42818</v>
      </c>
      <c r="AG808" s="748">
        <v>42881</v>
      </c>
      <c r="AH808" s="417" t="s">
        <v>210</v>
      </c>
      <c r="AI808" s="392" t="s">
        <v>210</v>
      </c>
      <c r="AJ808" s="392" t="s">
        <v>210</v>
      </c>
      <c r="AK808" s="340" t="s">
        <v>210</v>
      </c>
      <c r="AL808" s="417" t="s">
        <v>210</v>
      </c>
      <c r="AM808" s="392" t="s">
        <v>210</v>
      </c>
      <c r="AN808" s="392" t="s">
        <v>210</v>
      </c>
      <c r="AO808" s="341" t="s">
        <v>210</v>
      </c>
      <c r="AP808" s="342" t="s">
        <v>210</v>
      </c>
      <c r="AQ808" s="433" t="s">
        <v>4547</v>
      </c>
      <c r="AR808" s="452">
        <f>636+470</f>
        <v>1106</v>
      </c>
      <c r="AS808" s="324">
        <v>100</v>
      </c>
      <c r="AT808" s="432">
        <v>1</v>
      </c>
      <c r="AU808" s="432"/>
      <c r="AV808" s="432">
        <v>1.5</v>
      </c>
      <c r="AW808" s="490"/>
      <c r="AX808" s="453" t="s">
        <v>210</v>
      </c>
      <c r="AY808" s="455" t="s">
        <v>210</v>
      </c>
      <c r="AZ808" s="405" t="s">
        <v>4083</v>
      </c>
      <c r="BA808" s="324" t="s">
        <v>210</v>
      </c>
      <c r="BB808" s="324" t="s">
        <v>210</v>
      </c>
      <c r="BC808" s="324" t="s">
        <v>3459</v>
      </c>
      <c r="BD808" s="324" t="s">
        <v>5058</v>
      </c>
      <c r="BE808" s="324" t="s">
        <v>5059</v>
      </c>
      <c r="BF808" s="324" t="s">
        <v>3495</v>
      </c>
      <c r="BG808" s="324" t="s">
        <v>5060</v>
      </c>
      <c r="BH808" s="426" t="s">
        <v>3512</v>
      </c>
      <c r="BI808" s="410"/>
      <c r="BJ808" s="427" t="s">
        <v>210</v>
      </c>
      <c r="BK808" s="412"/>
      <c r="BL808" s="413"/>
      <c r="BM808" s="414"/>
      <c r="BN808" s="321" t="s">
        <v>622</v>
      </c>
      <c r="BO808" s="372"/>
      <c r="BP808" s="340" t="s">
        <v>210</v>
      </c>
      <c r="BQ808" s="360"/>
      <c r="BR808" s="361"/>
      <c r="BS808" s="361"/>
      <c r="BT808" s="361"/>
      <c r="BU808" s="342" t="s">
        <v>210</v>
      </c>
      <c r="BV808" s="342" t="s">
        <v>210</v>
      </c>
      <c r="BW808" s="341" t="s">
        <v>210</v>
      </c>
      <c r="BX808" s="361"/>
      <c r="BY808" s="457"/>
      <c r="BZ808" s="363"/>
      <c r="CA808" s="363"/>
      <c r="CB808" s="363"/>
      <c r="CC808" s="363"/>
    </row>
    <row r="809" spans="1:82" ht="22.5" customHeight="1">
      <c r="B809" s="442">
        <v>170076</v>
      </c>
      <c r="C809" s="747" t="s">
        <v>12682</v>
      </c>
      <c r="D809" s="439" t="s">
        <v>4849</v>
      </c>
      <c r="E809" s="404" t="s">
        <v>5361</v>
      </c>
      <c r="F809" s="405" t="s">
        <v>4950</v>
      </c>
      <c r="G809" s="324" t="s">
        <v>4951</v>
      </c>
      <c r="H809" s="324" t="s">
        <v>4920</v>
      </c>
      <c r="I809" s="326" t="s">
        <v>383</v>
      </c>
      <c r="J809" s="326" t="s">
        <v>399</v>
      </c>
      <c r="K809" s="324" t="s">
        <v>293</v>
      </c>
      <c r="L809" s="342">
        <v>20</v>
      </c>
      <c r="M809" s="408"/>
      <c r="N809" s="444" t="s">
        <v>438</v>
      </c>
      <c r="O809" s="324">
        <v>30</v>
      </c>
      <c r="P809" s="458">
        <v>583</v>
      </c>
      <c r="Q809" s="459">
        <v>677</v>
      </c>
      <c r="R809" s="420" t="s">
        <v>4947</v>
      </c>
      <c r="S809" s="394" t="s">
        <v>12687</v>
      </c>
      <c r="T809" s="394" t="s">
        <v>12688</v>
      </c>
      <c r="U809" s="394" t="s">
        <v>16383</v>
      </c>
      <c r="V809" s="394" t="s">
        <v>12689</v>
      </c>
      <c r="W809" s="332" t="s">
        <v>644</v>
      </c>
      <c r="X809" s="394" t="s">
        <v>12683</v>
      </c>
      <c r="Y809" s="394" t="s">
        <v>12685</v>
      </c>
      <c r="Z809" s="394" t="s">
        <v>12684</v>
      </c>
      <c r="AA809" s="394" t="s">
        <v>12686</v>
      </c>
      <c r="AB809" s="416"/>
      <c r="AC809" s="416"/>
      <c r="AD809" s="447" t="s">
        <v>5277</v>
      </c>
      <c r="AE809" s="499" t="s">
        <v>5360</v>
      </c>
      <c r="AF809" s="462">
        <v>42821</v>
      </c>
      <c r="AG809" s="748">
        <v>42888</v>
      </c>
      <c r="AH809" s="417" t="s">
        <v>210</v>
      </c>
      <c r="AI809" s="392" t="s">
        <v>210</v>
      </c>
      <c r="AJ809" s="392" t="s">
        <v>210</v>
      </c>
      <c r="AK809" s="340" t="s">
        <v>210</v>
      </c>
      <c r="AL809" s="417" t="s">
        <v>210</v>
      </c>
      <c r="AM809" s="392" t="s">
        <v>210</v>
      </c>
      <c r="AN809" s="392" t="s">
        <v>210</v>
      </c>
      <c r="AO809" s="341" t="s">
        <v>210</v>
      </c>
      <c r="AP809" s="342" t="s">
        <v>210</v>
      </c>
      <c r="AQ809" s="433" t="s">
        <v>4547</v>
      </c>
      <c r="AR809" s="452">
        <v>1407</v>
      </c>
      <c r="AS809" s="324">
        <v>80</v>
      </c>
      <c r="AT809" s="432">
        <v>1</v>
      </c>
      <c r="AU809" s="432"/>
      <c r="AV809" s="432">
        <v>1.2</v>
      </c>
      <c r="AW809" s="490"/>
      <c r="AX809" s="453" t="s">
        <v>210</v>
      </c>
      <c r="AY809" s="455" t="s">
        <v>210</v>
      </c>
      <c r="AZ809" s="405" t="s">
        <v>4083</v>
      </c>
      <c r="BA809" s="324" t="s">
        <v>210</v>
      </c>
      <c r="BB809" s="324" t="s">
        <v>210</v>
      </c>
      <c r="BC809" s="324" t="s">
        <v>5027</v>
      </c>
      <c r="BD809" s="324" t="s">
        <v>3443</v>
      </c>
      <c r="BE809" s="324" t="s">
        <v>5028</v>
      </c>
      <c r="BF809" s="324" t="s">
        <v>3443</v>
      </c>
      <c r="BG809" s="324" t="s">
        <v>5029</v>
      </c>
      <c r="BH809" s="426" t="s">
        <v>3443</v>
      </c>
      <c r="BI809" s="410"/>
      <c r="BJ809" s="427" t="s">
        <v>210</v>
      </c>
      <c r="BK809" s="412"/>
      <c r="BL809" s="413"/>
      <c r="BM809" s="414"/>
      <c r="BN809" s="321" t="s">
        <v>622</v>
      </c>
      <c r="BO809" s="372"/>
      <c r="BP809" s="340" t="s">
        <v>210</v>
      </c>
      <c r="BQ809" s="360"/>
      <c r="BR809" s="361"/>
      <c r="BS809" s="361"/>
      <c r="BT809" s="361"/>
      <c r="BU809" s="342" t="s">
        <v>210</v>
      </c>
      <c r="BV809" s="342" t="s">
        <v>210</v>
      </c>
      <c r="BW809" s="341" t="s">
        <v>210</v>
      </c>
      <c r="BX809" s="361"/>
      <c r="BY809" s="457"/>
      <c r="BZ809" s="363"/>
      <c r="CA809" s="363"/>
      <c r="CB809" s="363"/>
      <c r="CC809" s="363"/>
    </row>
    <row r="810" spans="1:82" ht="22.5" customHeight="1">
      <c r="B810" s="442">
        <v>170077</v>
      </c>
      <c r="C810" s="747" t="s">
        <v>12680</v>
      </c>
      <c r="D810" s="439" t="s">
        <v>4849</v>
      </c>
      <c r="E810" s="404" t="s">
        <v>5363</v>
      </c>
      <c r="F810" s="405" t="s">
        <v>4956</v>
      </c>
      <c r="G810" s="324" t="s">
        <v>2271</v>
      </c>
      <c r="H810" s="324" t="s">
        <v>5056</v>
      </c>
      <c r="I810" s="326" t="s">
        <v>383</v>
      </c>
      <c r="J810" s="326" t="s">
        <v>387</v>
      </c>
      <c r="K810" s="324" t="s">
        <v>293</v>
      </c>
      <c r="L810" s="392" t="s">
        <v>210</v>
      </c>
      <c r="M810" s="324" t="s">
        <v>10767</v>
      </c>
      <c r="N810" s="444" t="s">
        <v>438</v>
      </c>
      <c r="O810" s="324">
        <v>30</v>
      </c>
      <c r="P810" s="458">
        <v>1499</v>
      </c>
      <c r="Q810" s="459">
        <v>1499</v>
      </c>
      <c r="R810" s="420" t="s">
        <v>4955</v>
      </c>
      <c r="S810" s="394" t="s">
        <v>12681</v>
      </c>
      <c r="T810" s="331" t="s">
        <v>11123</v>
      </c>
      <c r="U810" s="331" t="s">
        <v>16209</v>
      </c>
      <c r="V810" s="331" t="s">
        <v>11124</v>
      </c>
      <c r="W810" s="332" t="s">
        <v>432</v>
      </c>
      <c r="X810" s="331" t="s">
        <v>11079</v>
      </c>
      <c r="Y810" s="331" t="s">
        <v>11080</v>
      </c>
      <c r="Z810" s="331" t="s">
        <v>6574</v>
      </c>
      <c r="AA810" s="331" t="s">
        <v>6574</v>
      </c>
      <c r="AB810" s="416" t="s">
        <v>16099</v>
      </c>
      <c r="AC810" s="416"/>
      <c r="AD810" s="334" t="s">
        <v>2329</v>
      </c>
      <c r="AE810" s="499" t="s">
        <v>5279</v>
      </c>
      <c r="AF810" s="462">
        <v>42830</v>
      </c>
      <c r="AG810" s="748">
        <v>42895</v>
      </c>
      <c r="AH810" s="486" t="s">
        <v>16106</v>
      </c>
      <c r="AI810" s="487" t="s">
        <v>16107</v>
      </c>
      <c r="AJ810" s="487" t="s">
        <v>16108</v>
      </c>
      <c r="AK810" s="895" t="s">
        <v>16109</v>
      </c>
      <c r="AL810" s="417" t="s">
        <v>210</v>
      </c>
      <c r="AM810" s="392" t="s">
        <v>210</v>
      </c>
      <c r="AN810" s="392" t="s">
        <v>210</v>
      </c>
      <c r="AO810" s="341" t="s">
        <v>210</v>
      </c>
      <c r="AP810" s="342" t="s">
        <v>210</v>
      </c>
      <c r="AQ810" s="433" t="s">
        <v>4547</v>
      </c>
      <c r="AR810" s="452">
        <v>1430</v>
      </c>
      <c r="AS810" s="324">
        <v>150</v>
      </c>
      <c r="AT810" s="432">
        <v>1</v>
      </c>
      <c r="AU810" s="432" t="s">
        <v>5228</v>
      </c>
      <c r="AV810" s="432">
        <v>1</v>
      </c>
      <c r="AW810" s="490" t="s">
        <v>5228</v>
      </c>
      <c r="AX810" s="453" t="s">
        <v>210</v>
      </c>
      <c r="AY810" s="340" t="s">
        <v>210</v>
      </c>
      <c r="AZ810" s="405" t="s">
        <v>4083</v>
      </c>
      <c r="BA810" s="324" t="s">
        <v>210</v>
      </c>
      <c r="BB810" s="324" t="s">
        <v>210</v>
      </c>
      <c r="BC810" s="324" t="s">
        <v>210</v>
      </c>
      <c r="BD810" s="324" t="s">
        <v>210</v>
      </c>
      <c r="BE810" s="324" t="s">
        <v>5104</v>
      </c>
      <c r="BF810" s="324" t="s">
        <v>5058</v>
      </c>
      <c r="BG810" s="324" t="s">
        <v>5105</v>
      </c>
      <c r="BH810" s="426" t="s">
        <v>5106</v>
      </c>
      <c r="BI810" s="453">
        <v>2</v>
      </c>
      <c r="BJ810" s="427" t="s">
        <v>210</v>
      </c>
      <c r="BK810" s="412"/>
      <c r="BL810" s="413"/>
      <c r="BM810" s="414"/>
      <c r="BN810" s="417" t="s">
        <v>210</v>
      </c>
      <c r="BO810" s="372"/>
      <c r="BP810" s="340" t="s">
        <v>210</v>
      </c>
      <c r="BQ810" s="456" t="s">
        <v>1059</v>
      </c>
      <c r="BR810" s="342" t="s">
        <v>5223</v>
      </c>
      <c r="BS810" s="342" t="s">
        <v>5233</v>
      </c>
      <c r="BT810" s="342" t="s">
        <v>5223</v>
      </c>
      <c r="BU810" s="342" t="s">
        <v>210</v>
      </c>
      <c r="BV810" s="342" t="s">
        <v>210</v>
      </c>
      <c r="BW810" s="341" t="s">
        <v>210</v>
      </c>
      <c r="BX810" s="361"/>
      <c r="BY810" s="457"/>
      <c r="BZ810" s="363"/>
      <c r="CA810" s="363"/>
      <c r="CB810" s="363"/>
      <c r="CC810" s="363"/>
    </row>
    <row r="811" spans="1:82" ht="22.5" customHeight="1">
      <c r="B811" s="442">
        <v>170078</v>
      </c>
      <c r="C811" s="747" t="s">
        <v>12805</v>
      </c>
      <c r="D811" s="439" t="s">
        <v>4854</v>
      </c>
      <c r="E811" s="404" t="s">
        <v>5361</v>
      </c>
      <c r="F811" s="405" t="s">
        <v>4936</v>
      </c>
      <c r="G811" s="324" t="s">
        <v>4963</v>
      </c>
      <c r="H811" s="324" t="s">
        <v>5476</v>
      </c>
      <c r="I811" s="326" t="s">
        <v>5477</v>
      </c>
      <c r="J811" s="326" t="s">
        <v>387</v>
      </c>
      <c r="K811" s="324" t="s">
        <v>5478</v>
      </c>
      <c r="L811" s="392" t="s">
        <v>210</v>
      </c>
      <c r="M811" s="324" t="s">
        <v>7475</v>
      </c>
      <c r="N811" s="444" t="s">
        <v>438</v>
      </c>
      <c r="O811" s="324">
        <v>30</v>
      </c>
      <c r="P811" s="458">
        <v>2272</v>
      </c>
      <c r="Q811" s="459">
        <v>1484</v>
      </c>
      <c r="R811" s="329" t="s">
        <v>3687</v>
      </c>
      <c r="S811" s="394" t="s">
        <v>12806</v>
      </c>
      <c r="T811" s="394" t="s">
        <v>12809</v>
      </c>
      <c r="U811" s="394" t="s">
        <v>12808</v>
      </c>
      <c r="V811" s="394" t="s">
        <v>12807</v>
      </c>
      <c r="W811" s="332" t="s">
        <v>432</v>
      </c>
      <c r="X811" s="331" t="s">
        <v>11079</v>
      </c>
      <c r="Y811" s="331" t="s">
        <v>11080</v>
      </c>
      <c r="Z811" s="331" t="s">
        <v>6574</v>
      </c>
      <c r="AA811" s="331" t="s">
        <v>6574</v>
      </c>
      <c r="AB811" s="416" t="s">
        <v>4962</v>
      </c>
      <c r="AC811" s="416"/>
      <c r="AD811" s="447" t="s">
        <v>5983</v>
      </c>
      <c r="AE811" s="499" t="s">
        <v>5982</v>
      </c>
      <c r="AF811" s="847"/>
      <c r="AG811" s="748">
        <v>43011</v>
      </c>
      <c r="AH811" s="417" t="s">
        <v>210</v>
      </c>
      <c r="AI811" s="392" t="s">
        <v>210</v>
      </c>
      <c r="AJ811" s="392" t="s">
        <v>210</v>
      </c>
      <c r="AK811" s="340" t="s">
        <v>210</v>
      </c>
      <c r="AL811" s="417" t="s">
        <v>210</v>
      </c>
      <c r="AM811" s="392" t="s">
        <v>210</v>
      </c>
      <c r="AN811" s="392" t="s">
        <v>210</v>
      </c>
      <c r="AO811" s="341" t="s">
        <v>210</v>
      </c>
      <c r="AP811" s="342" t="s">
        <v>210</v>
      </c>
      <c r="AQ811" s="433" t="s">
        <v>4548</v>
      </c>
      <c r="AR811" s="452">
        <v>1968</v>
      </c>
      <c r="AS811" s="324">
        <v>100</v>
      </c>
      <c r="AT811" s="432">
        <v>1</v>
      </c>
      <c r="AU811" s="432" t="s">
        <v>5479</v>
      </c>
      <c r="AV811" s="432">
        <v>1.5</v>
      </c>
      <c r="AW811" s="490" t="s">
        <v>5479</v>
      </c>
      <c r="AX811" s="453" t="s">
        <v>210</v>
      </c>
      <c r="AY811" s="340" t="s">
        <v>622</v>
      </c>
      <c r="AZ811" s="405" t="s">
        <v>622</v>
      </c>
      <c r="BA811" s="324" t="s">
        <v>5480</v>
      </c>
      <c r="BB811" s="324" t="s">
        <v>5479</v>
      </c>
      <c r="BC811" s="324" t="s">
        <v>5480</v>
      </c>
      <c r="BD811" s="324" t="s">
        <v>5479</v>
      </c>
      <c r="BE811" s="324" t="s">
        <v>5481</v>
      </c>
      <c r="BF811" s="324" t="s">
        <v>5479</v>
      </c>
      <c r="BG811" s="324" t="s">
        <v>3738</v>
      </c>
      <c r="BH811" s="426" t="s">
        <v>5482</v>
      </c>
      <c r="BI811" s="453">
        <v>3</v>
      </c>
      <c r="BJ811" s="427" t="s">
        <v>210</v>
      </c>
      <c r="BK811" s="412"/>
      <c r="BL811" s="413"/>
      <c r="BM811" s="414"/>
      <c r="BN811" s="417" t="s">
        <v>210</v>
      </c>
      <c r="BO811" s="372"/>
      <c r="BP811" s="340" t="s">
        <v>210</v>
      </c>
      <c r="BQ811" s="456" t="s">
        <v>1059</v>
      </c>
      <c r="BR811" s="342" t="s">
        <v>210</v>
      </c>
      <c r="BS811" s="342" t="s">
        <v>210</v>
      </c>
      <c r="BT811" s="342" t="s">
        <v>210</v>
      </c>
      <c r="BU811" s="342" t="s">
        <v>210</v>
      </c>
      <c r="BV811" s="342" t="s">
        <v>210</v>
      </c>
      <c r="BW811" s="341" t="s">
        <v>210</v>
      </c>
      <c r="BX811" s="361"/>
      <c r="BY811" s="457" t="s">
        <v>5556</v>
      </c>
      <c r="BZ811" s="363"/>
      <c r="CA811" s="363"/>
      <c r="CB811" s="363"/>
      <c r="CC811" s="363"/>
    </row>
    <row r="812" spans="1:82" ht="22.5" customHeight="1">
      <c r="B812" s="442">
        <v>170079</v>
      </c>
      <c r="C812" s="747" t="s">
        <v>12676</v>
      </c>
      <c r="D812" s="439" t="s">
        <v>4854</v>
      </c>
      <c r="E812" s="404" t="s">
        <v>5362</v>
      </c>
      <c r="F812" s="405" t="s">
        <v>4943</v>
      </c>
      <c r="G812" s="324" t="s">
        <v>4944</v>
      </c>
      <c r="H812" s="324" t="s">
        <v>5129</v>
      </c>
      <c r="I812" s="326" t="s">
        <v>383</v>
      </c>
      <c r="J812" s="326" t="s">
        <v>399</v>
      </c>
      <c r="K812" s="326" t="s">
        <v>917</v>
      </c>
      <c r="L812" s="392" t="s">
        <v>210</v>
      </c>
      <c r="M812" s="324" t="s">
        <v>10767</v>
      </c>
      <c r="N812" s="444" t="s">
        <v>438</v>
      </c>
      <c r="O812" s="324">
        <v>120</v>
      </c>
      <c r="P812" s="458">
        <v>3200</v>
      </c>
      <c r="Q812" s="459">
        <v>3300</v>
      </c>
      <c r="R812" s="420" t="s">
        <v>6391</v>
      </c>
      <c r="S812" s="394" t="s">
        <v>12677</v>
      </c>
      <c r="T812" s="394" t="s">
        <v>12678</v>
      </c>
      <c r="U812" s="394" t="s">
        <v>16311</v>
      </c>
      <c r="V812" s="394" t="s">
        <v>12679</v>
      </c>
      <c r="W812" s="332" t="s">
        <v>432</v>
      </c>
      <c r="X812" s="331" t="s">
        <v>11079</v>
      </c>
      <c r="Y812" s="331" t="s">
        <v>11080</v>
      </c>
      <c r="Z812" s="331" t="s">
        <v>6574</v>
      </c>
      <c r="AA812" s="331" t="s">
        <v>6574</v>
      </c>
      <c r="AB812" s="416"/>
      <c r="AC812" s="416"/>
      <c r="AD812" s="334" t="s">
        <v>2326</v>
      </c>
      <c r="AE812" s="499" t="s">
        <v>1038</v>
      </c>
      <c r="AF812" s="462">
        <v>42818</v>
      </c>
      <c r="AG812" s="748">
        <v>42906</v>
      </c>
      <c r="AH812" s="453">
        <v>10.7</v>
      </c>
      <c r="AI812" s="432">
        <v>27.6</v>
      </c>
      <c r="AJ812" s="432">
        <v>25</v>
      </c>
      <c r="AK812" s="455">
        <f>SUM(AH812:AJ812)</f>
        <v>63.3</v>
      </c>
      <c r="AL812" s="417" t="s">
        <v>210</v>
      </c>
      <c r="AM812" s="392" t="s">
        <v>210</v>
      </c>
      <c r="AN812" s="392" t="s">
        <v>210</v>
      </c>
      <c r="AO812" s="341" t="s">
        <v>210</v>
      </c>
      <c r="AP812" s="342" t="s">
        <v>210</v>
      </c>
      <c r="AQ812" s="433" t="s">
        <v>4547</v>
      </c>
      <c r="AR812" s="452">
        <v>5207</v>
      </c>
      <c r="AS812" s="324">
        <v>150</v>
      </c>
      <c r="AT812" s="432">
        <v>1</v>
      </c>
      <c r="AU812" s="432" t="s">
        <v>5383</v>
      </c>
      <c r="AV812" s="432">
        <v>1.5</v>
      </c>
      <c r="AW812" s="490" t="s">
        <v>3372</v>
      </c>
      <c r="AX812" s="453" t="s">
        <v>210</v>
      </c>
      <c r="AY812" s="340" t="s">
        <v>622</v>
      </c>
      <c r="AZ812" s="405" t="s">
        <v>622</v>
      </c>
      <c r="BA812" s="324" t="s">
        <v>3558</v>
      </c>
      <c r="BB812" s="324" t="s">
        <v>3372</v>
      </c>
      <c r="BC812" s="324" t="s">
        <v>5130</v>
      </c>
      <c r="BD812" s="324" t="s">
        <v>5058</v>
      </c>
      <c r="BE812" s="324" t="s">
        <v>5130</v>
      </c>
      <c r="BF812" s="324" t="s">
        <v>3372</v>
      </c>
      <c r="BG812" s="324" t="s">
        <v>5131</v>
      </c>
      <c r="BH812" s="426" t="s">
        <v>3898</v>
      </c>
      <c r="BI812" s="453">
        <v>0.5</v>
      </c>
      <c r="BJ812" s="427" t="s">
        <v>9793</v>
      </c>
      <c r="BK812" s="412"/>
      <c r="BL812" s="413"/>
      <c r="BM812" s="414"/>
      <c r="BN812" s="417" t="s">
        <v>210</v>
      </c>
      <c r="BO812" s="372"/>
      <c r="BP812" s="373" t="s">
        <v>622</v>
      </c>
      <c r="BQ812" s="456" t="s">
        <v>1059</v>
      </c>
      <c r="BR812" s="342" t="s">
        <v>622</v>
      </c>
      <c r="BS812" s="342" t="s">
        <v>622</v>
      </c>
      <c r="BT812" s="342" t="s">
        <v>622</v>
      </c>
      <c r="BU812" s="342" t="s">
        <v>210</v>
      </c>
      <c r="BV812" s="342" t="s">
        <v>210</v>
      </c>
      <c r="BW812" s="341" t="s">
        <v>210</v>
      </c>
      <c r="BX812" s="361"/>
      <c r="BY812" s="457"/>
      <c r="BZ812" s="363"/>
      <c r="CA812" s="363"/>
      <c r="CB812" s="363"/>
      <c r="CC812" s="363"/>
    </row>
    <row r="813" spans="1:82" s="465" customFormat="1" ht="22.5" customHeight="1">
      <c r="A813" s="287"/>
      <c r="B813" s="749">
        <v>170080</v>
      </c>
      <c r="C813" s="750" t="s">
        <v>12833</v>
      </c>
      <c r="D813" s="751"/>
      <c r="E813" s="752" t="s">
        <v>5361</v>
      </c>
      <c r="F813" s="753"/>
      <c r="G813" s="754"/>
      <c r="H813" s="754"/>
      <c r="I813" s="754"/>
      <c r="J813" s="754"/>
      <c r="K813" s="754"/>
      <c r="L813" s="688"/>
      <c r="M813" s="754"/>
      <c r="N813" s="755"/>
      <c r="O813" s="754"/>
      <c r="P813" s="782"/>
      <c r="Q813" s="783"/>
      <c r="R813" s="756" t="s">
        <v>4967</v>
      </c>
      <c r="S813" s="708"/>
      <c r="T813" s="848" t="s">
        <v>11546</v>
      </c>
      <c r="U813" s="848" t="s">
        <v>14971</v>
      </c>
      <c r="V813" s="708"/>
      <c r="W813" s="757" t="s">
        <v>4968</v>
      </c>
      <c r="X813" s="708"/>
      <c r="Y813" s="708"/>
      <c r="Z813" s="708"/>
      <c r="AA813" s="708"/>
      <c r="AB813" s="758"/>
      <c r="AC813" s="758"/>
      <c r="AD813" s="759"/>
      <c r="AE813" s="760"/>
      <c r="AF813" s="846"/>
      <c r="AG813" s="674" t="s">
        <v>10514</v>
      </c>
      <c r="AH813" s="675" t="s">
        <v>210</v>
      </c>
      <c r="AI813" s="676" t="s">
        <v>210</v>
      </c>
      <c r="AJ813" s="676" t="s">
        <v>210</v>
      </c>
      <c r="AK813" s="677" t="s">
        <v>210</v>
      </c>
      <c r="AL813" s="675" t="s">
        <v>210</v>
      </c>
      <c r="AM813" s="676" t="s">
        <v>210</v>
      </c>
      <c r="AN813" s="676" t="s">
        <v>210</v>
      </c>
      <c r="AO813" s="678" t="s">
        <v>210</v>
      </c>
      <c r="AP813" s="688" t="s">
        <v>210</v>
      </c>
      <c r="AQ813" s="762"/>
      <c r="AR813" s="763"/>
      <c r="AS813" s="754"/>
      <c r="AT813" s="785"/>
      <c r="AU813" s="785"/>
      <c r="AV813" s="785"/>
      <c r="AW813" s="764"/>
      <c r="AX813" s="765"/>
      <c r="AY813" s="772"/>
      <c r="AZ813" s="753"/>
      <c r="BA813" s="754"/>
      <c r="BB813" s="754"/>
      <c r="BC813" s="754"/>
      <c r="BD813" s="754"/>
      <c r="BE813" s="754"/>
      <c r="BF813" s="754"/>
      <c r="BG813" s="754"/>
      <c r="BH813" s="767"/>
      <c r="BI813" s="765"/>
      <c r="BJ813" s="768"/>
      <c r="BK813" s="769"/>
      <c r="BL813" s="766"/>
      <c r="BM813" s="770"/>
      <c r="BN813" s="753"/>
      <c r="BO813" s="771"/>
      <c r="BP813" s="767"/>
      <c r="BQ813" s="773"/>
      <c r="BR813" s="688"/>
      <c r="BS813" s="688"/>
      <c r="BT813" s="688"/>
      <c r="BU813" s="688"/>
      <c r="BV813" s="688" t="s">
        <v>210</v>
      </c>
      <c r="BW813" s="678" t="s">
        <v>210</v>
      </c>
      <c r="BX813" s="688"/>
      <c r="BY813" s="774"/>
      <c r="BZ813" s="483"/>
      <c r="CA813" s="483"/>
      <c r="CB813" s="483"/>
      <c r="CC813" s="483"/>
      <c r="CD813" s="484"/>
    </row>
    <row r="814" spans="1:82" ht="22.5" customHeight="1">
      <c r="B814" s="442">
        <v>170081</v>
      </c>
      <c r="C814" s="747" t="s">
        <v>5080</v>
      </c>
      <c r="D814" s="467" t="s">
        <v>5516</v>
      </c>
      <c r="E814" s="404" t="s">
        <v>5363</v>
      </c>
      <c r="F814" s="405" t="s">
        <v>5081</v>
      </c>
      <c r="G814" s="324" t="s">
        <v>3239</v>
      </c>
      <c r="H814" s="324" t="s">
        <v>1771</v>
      </c>
      <c r="I814" s="326" t="s">
        <v>383</v>
      </c>
      <c r="J814" s="326" t="s">
        <v>399</v>
      </c>
      <c r="K814" s="324" t="s">
        <v>293</v>
      </c>
      <c r="L814" s="342">
        <v>2</v>
      </c>
      <c r="M814" s="324" t="s">
        <v>10768</v>
      </c>
      <c r="N814" s="444" t="s">
        <v>438</v>
      </c>
      <c r="O814" s="324">
        <v>25</v>
      </c>
      <c r="P814" s="816">
        <f>54*20</f>
        <v>1080</v>
      </c>
      <c r="Q814" s="817">
        <f>P814</f>
        <v>1080</v>
      </c>
      <c r="R814" s="329" t="s">
        <v>432</v>
      </c>
      <c r="S814" s="331" t="s">
        <v>11079</v>
      </c>
      <c r="T814" s="331" t="s">
        <v>11079</v>
      </c>
      <c r="U814" s="331" t="s">
        <v>11079</v>
      </c>
      <c r="V814" s="331" t="s">
        <v>295</v>
      </c>
      <c r="W814" s="332" t="s">
        <v>432</v>
      </c>
      <c r="X814" s="331" t="s">
        <v>11079</v>
      </c>
      <c r="Y814" s="331" t="s">
        <v>11080</v>
      </c>
      <c r="Z814" s="331" t="s">
        <v>6574</v>
      </c>
      <c r="AA814" s="331" t="s">
        <v>6574</v>
      </c>
      <c r="AB814" s="416"/>
      <c r="AC814" s="416"/>
      <c r="AD814" s="334" t="s">
        <v>2333</v>
      </c>
      <c r="AE814" s="499" t="s">
        <v>2839</v>
      </c>
      <c r="AF814" s="462">
        <v>42832</v>
      </c>
      <c r="AG814" s="748">
        <v>42931</v>
      </c>
      <c r="AH814" s="453">
        <v>14.1</v>
      </c>
      <c r="AI814" s="432">
        <v>15</v>
      </c>
      <c r="AJ814" s="432">
        <v>8.8000000000000007</v>
      </c>
      <c r="AK814" s="455">
        <f>SUM(AH814:AJ814)</f>
        <v>37.900000000000006</v>
      </c>
      <c r="AL814" s="417" t="s">
        <v>210</v>
      </c>
      <c r="AM814" s="392" t="s">
        <v>210</v>
      </c>
      <c r="AN814" s="392" t="s">
        <v>210</v>
      </c>
      <c r="AO814" s="341" t="s">
        <v>210</v>
      </c>
      <c r="AP814" s="342" t="s">
        <v>622</v>
      </c>
      <c r="AQ814" s="433" t="s">
        <v>4547</v>
      </c>
      <c r="AR814" s="452">
        <v>1561</v>
      </c>
      <c r="AS814" s="324">
        <v>80</v>
      </c>
      <c r="AT814" s="432">
        <v>1.2</v>
      </c>
      <c r="AU814" s="432" t="s">
        <v>5220</v>
      </c>
      <c r="AV814" s="432">
        <v>1.6</v>
      </c>
      <c r="AW814" s="490" t="s">
        <v>5220</v>
      </c>
      <c r="AX814" s="417" t="s">
        <v>210</v>
      </c>
      <c r="AY814" s="340" t="s">
        <v>210</v>
      </c>
      <c r="AZ814" s="405" t="s">
        <v>622</v>
      </c>
      <c r="BA814" s="324" t="s">
        <v>4869</v>
      </c>
      <c r="BB814" s="324" t="s">
        <v>3495</v>
      </c>
      <c r="BC814" s="324" t="s">
        <v>210</v>
      </c>
      <c r="BD814" s="324" t="s">
        <v>210</v>
      </c>
      <c r="BE814" s="324" t="s">
        <v>3459</v>
      </c>
      <c r="BF814" s="324" t="s">
        <v>3627</v>
      </c>
      <c r="BG814" s="324" t="s">
        <v>210</v>
      </c>
      <c r="BH814" s="426" t="s">
        <v>210</v>
      </c>
      <c r="BI814" s="453">
        <v>2</v>
      </c>
      <c r="BJ814" s="427" t="s">
        <v>9793</v>
      </c>
      <c r="BK814" s="412"/>
      <c r="BL814" s="413"/>
      <c r="BM814" s="414"/>
      <c r="BN814" s="321" t="s">
        <v>622</v>
      </c>
      <c r="BO814" s="372"/>
      <c r="BP814" s="373" t="s">
        <v>622</v>
      </c>
      <c r="BQ814" s="456" t="s">
        <v>5235</v>
      </c>
      <c r="BR814" s="342" t="s">
        <v>210</v>
      </c>
      <c r="BS814" s="342" t="s">
        <v>622</v>
      </c>
      <c r="BT814" s="342" t="s">
        <v>622</v>
      </c>
      <c r="BU814" s="342" t="s">
        <v>210</v>
      </c>
      <c r="BV814" s="342" t="s">
        <v>210</v>
      </c>
      <c r="BW814" s="341" t="s">
        <v>210</v>
      </c>
      <c r="BX814" s="361"/>
      <c r="BY814" s="457"/>
      <c r="BZ814" s="363"/>
      <c r="CA814" s="363"/>
      <c r="CB814" s="363"/>
      <c r="CC814" s="363"/>
    </row>
    <row r="815" spans="1:82" ht="22.5" customHeight="1">
      <c r="B815" s="442">
        <v>170082</v>
      </c>
      <c r="C815" s="747" t="s">
        <v>12667</v>
      </c>
      <c r="D815" s="439" t="s">
        <v>5406</v>
      </c>
      <c r="E815" s="404" t="s">
        <v>5361</v>
      </c>
      <c r="F815" s="405" t="s">
        <v>4941</v>
      </c>
      <c r="G815" s="324" t="s">
        <v>4942</v>
      </c>
      <c r="H815" s="324" t="s">
        <v>5030</v>
      </c>
      <c r="I815" s="326" t="s">
        <v>383</v>
      </c>
      <c r="J815" s="326" t="s">
        <v>399</v>
      </c>
      <c r="K815" s="324" t="s">
        <v>977</v>
      </c>
      <c r="L815" s="342">
        <v>2</v>
      </c>
      <c r="M815" s="408"/>
      <c r="N815" s="325" t="s">
        <v>437</v>
      </c>
      <c r="O815" s="324">
        <v>30</v>
      </c>
      <c r="P815" s="816">
        <v>660</v>
      </c>
      <c r="Q815" s="817">
        <v>660</v>
      </c>
      <c r="R815" s="420" t="s">
        <v>5038</v>
      </c>
      <c r="S815" s="394" t="s">
        <v>12668</v>
      </c>
      <c r="T815" s="394" t="s">
        <v>12670</v>
      </c>
      <c r="U815" s="394" t="s">
        <v>12669</v>
      </c>
      <c r="V815" s="394" t="s">
        <v>12671</v>
      </c>
      <c r="W815" s="460" t="s">
        <v>5035</v>
      </c>
      <c r="X815" s="394" t="s">
        <v>12672</v>
      </c>
      <c r="Y815" s="394" t="s">
        <v>12674</v>
      </c>
      <c r="Z815" s="394" t="s">
        <v>12673</v>
      </c>
      <c r="AA815" s="394" t="s">
        <v>12675</v>
      </c>
      <c r="AB815" s="416"/>
      <c r="AC815" s="416"/>
      <c r="AD815" s="334" t="s">
        <v>2327</v>
      </c>
      <c r="AE815" s="335" t="s">
        <v>210</v>
      </c>
      <c r="AF815" s="462">
        <v>42824</v>
      </c>
      <c r="AG815" s="748">
        <v>42869</v>
      </c>
      <c r="AH815" s="417" t="s">
        <v>210</v>
      </c>
      <c r="AI815" s="392" t="s">
        <v>210</v>
      </c>
      <c r="AJ815" s="392" t="s">
        <v>210</v>
      </c>
      <c r="AK815" s="340" t="s">
        <v>210</v>
      </c>
      <c r="AL815" s="417" t="s">
        <v>210</v>
      </c>
      <c r="AM815" s="425" t="s">
        <v>8761</v>
      </c>
      <c r="AN815" s="392" t="s">
        <v>210</v>
      </c>
      <c r="AO815" s="341" t="s">
        <v>210</v>
      </c>
      <c r="AP815" s="342" t="s">
        <v>210</v>
      </c>
      <c r="AQ815" s="433" t="s">
        <v>4547</v>
      </c>
      <c r="AR815" s="452">
        <v>909</v>
      </c>
      <c r="AS815" s="324">
        <v>80</v>
      </c>
      <c r="AT815" s="432">
        <v>1.4</v>
      </c>
      <c r="AU815" s="432"/>
      <c r="AV815" s="432">
        <v>1.6</v>
      </c>
      <c r="AW815" s="490"/>
      <c r="AX815" s="453" t="s">
        <v>210</v>
      </c>
      <c r="AY815" s="340" t="s">
        <v>622</v>
      </c>
      <c r="AZ815" s="405" t="s">
        <v>622</v>
      </c>
      <c r="BA815" s="324" t="s">
        <v>5031</v>
      </c>
      <c r="BB815" s="324" t="s">
        <v>5032</v>
      </c>
      <c r="BC815" s="324" t="s">
        <v>5033</v>
      </c>
      <c r="BD815" s="324" t="s">
        <v>5032</v>
      </c>
      <c r="BE815" s="324" t="s">
        <v>5033</v>
      </c>
      <c r="BF815" s="324" t="s">
        <v>3382</v>
      </c>
      <c r="BG815" s="324" t="s">
        <v>5034</v>
      </c>
      <c r="BH815" s="426" t="s">
        <v>3382</v>
      </c>
      <c r="BI815" s="410"/>
      <c r="BJ815" s="427" t="s">
        <v>9793</v>
      </c>
      <c r="BK815" s="412"/>
      <c r="BL815" s="413"/>
      <c r="BM815" s="414"/>
      <c r="BN815" s="321" t="s">
        <v>622</v>
      </c>
      <c r="BO815" s="372"/>
      <c r="BP815" s="373" t="s">
        <v>14</v>
      </c>
      <c r="BQ815" s="360"/>
      <c r="BR815" s="361"/>
      <c r="BS815" s="361"/>
      <c r="BT815" s="361"/>
      <c r="BU815" s="342" t="s">
        <v>210</v>
      </c>
      <c r="BV815" s="418">
        <v>-25</v>
      </c>
      <c r="BW815" s="341" t="s">
        <v>210</v>
      </c>
      <c r="BX815" s="361"/>
      <c r="BY815" s="457"/>
      <c r="BZ815" s="363"/>
      <c r="CA815" s="363"/>
      <c r="CB815" s="363"/>
      <c r="CC815" s="363"/>
    </row>
    <row r="816" spans="1:82" ht="22.5" customHeight="1">
      <c r="B816" s="442">
        <v>170085</v>
      </c>
      <c r="C816" s="747" t="s">
        <v>7734</v>
      </c>
      <c r="D816" s="439" t="s">
        <v>4849</v>
      </c>
      <c r="E816" s="404" t="s">
        <v>5362</v>
      </c>
      <c r="F816" s="405" t="s">
        <v>1043</v>
      </c>
      <c r="G816" s="324" t="s">
        <v>5016</v>
      </c>
      <c r="H816" s="324" t="s">
        <v>5017</v>
      </c>
      <c r="I816" s="326" t="s">
        <v>383</v>
      </c>
      <c r="J816" s="326" t="s">
        <v>399</v>
      </c>
      <c r="K816" s="324" t="s">
        <v>3400</v>
      </c>
      <c r="L816" s="392" t="s">
        <v>210</v>
      </c>
      <c r="M816" s="324" t="s">
        <v>10767</v>
      </c>
      <c r="N816" s="444" t="s">
        <v>5107</v>
      </c>
      <c r="O816" s="324">
        <v>130</v>
      </c>
      <c r="P816" s="458">
        <v>1158</v>
      </c>
      <c r="Q816" s="459">
        <v>1222</v>
      </c>
      <c r="R816" s="420" t="s">
        <v>5021</v>
      </c>
      <c r="S816" s="394" t="s">
        <v>12664</v>
      </c>
      <c r="T816" s="394" t="s">
        <v>12665</v>
      </c>
      <c r="U816" s="394" t="s">
        <v>16298</v>
      </c>
      <c r="V816" s="394" t="s">
        <v>12666</v>
      </c>
      <c r="W816" s="460" t="s">
        <v>5024</v>
      </c>
      <c r="X816" s="394" t="s">
        <v>12661</v>
      </c>
      <c r="Y816" s="394" t="s">
        <v>12662</v>
      </c>
      <c r="Z816" s="394" t="s">
        <v>16326</v>
      </c>
      <c r="AA816" s="394" t="s">
        <v>12663</v>
      </c>
      <c r="AB816" s="416"/>
      <c r="AC816" s="416"/>
      <c r="AD816" s="334" t="s">
        <v>2337</v>
      </c>
      <c r="AE816" s="335" t="s">
        <v>210</v>
      </c>
      <c r="AF816" s="462">
        <v>42824</v>
      </c>
      <c r="AG816" s="748">
        <v>42877</v>
      </c>
      <c r="AH816" s="417" t="s">
        <v>210</v>
      </c>
      <c r="AI816" s="392" t="s">
        <v>210</v>
      </c>
      <c r="AJ816" s="392" t="s">
        <v>210</v>
      </c>
      <c r="AK816" s="340" t="s">
        <v>210</v>
      </c>
      <c r="AL816" s="417" t="s">
        <v>210</v>
      </c>
      <c r="AM816" s="392" t="s">
        <v>210</v>
      </c>
      <c r="AN816" s="392" t="s">
        <v>210</v>
      </c>
      <c r="AO816" s="341" t="s">
        <v>210</v>
      </c>
      <c r="AP816" s="342" t="s">
        <v>210</v>
      </c>
      <c r="AQ816" s="433" t="s">
        <v>4547</v>
      </c>
      <c r="AR816" s="452">
        <v>1631</v>
      </c>
      <c r="AS816" s="324">
        <v>120</v>
      </c>
      <c r="AT816" s="432">
        <v>1</v>
      </c>
      <c r="AU816" s="432" t="s">
        <v>5227</v>
      </c>
      <c r="AV816" s="432">
        <v>1.5</v>
      </c>
      <c r="AW816" s="490" t="s">
        <v>3422</v>
      </c>
      <c r="AX816" s="453" t="s">
        <v>210</v>
      </c>
      <c r="AY816" s="455" t="s">
        <v>210</v>
      </c>
      <c r="AZ816" s="405" t="s">
        <v>4083</v>
      </c>
      <c r="BA816" s="324" t="s">
        <v>210</v>
      </c>
      <c r="BB816" s="324" t="s">
        <v>210</v>
      </c>
      <c r="BC816" s="324" t="s">
        <v>5018</v>
      </c>
      <c r="BD816" s="324" t="s">
        <v>3422</v>
      </c>
      <c r="BE816" s="324" t="s">
        <v>5019</v>
      </c>
      <c r="BF816" s="324" t="s">
        <v>3372</v>
      </c>
      <c r="BG816" s="324" t="s">
        <v>5020</v>
      </c>
      <c r="BH816" s="426" t="s">
        <v>3898</v>
      </c>
      <c r="BI816" s="453">
        <v>1.2</v>
      </c>
      <c r="BJ816" s="427" t="s">
        <v>9704</v>
      </c>
      <c r="BK816" s="412"/>
      <c r="BL816" s="413"/>
      <c r="BM816" s="414"/>
      <c r="BN816" s="321" t="s">
        <v>14</v>
      </c>
      <c r="BO816" s="372">
        <v>1.04</v>
      </c>
      <c r="BP816" s="340" t="s">
        <v>210</v>
      </c>
      <c r="BQ816" s="360"/>
      <c r="BR816" s="342" t="s">
        <v>5223</v>
      </c>
      <c r="BS816" s="342" t="s">
        <v>5233</v>
      </c>
      <c r="BT816" s="342" t="s">
        <v>5223</v>
      </c>
      <c r="BU816" s="342" t="s">
        <v>210</v>
      </c>
      <c r="BV816" s="342" t="s">
        <v>210</v>
      </c>
      <c r="BW816" s="341" t="s">
        <v>210</v>
      </c>
      <c r="BX816" s="361"/>
      <c r="BY816" s="457"/>
      <c r="BZ816" s="363"/>
      <c r="CA816" s="363"/>
      <c r="CB816" s="363"/>
      <c r="CC816" s="363"/>
    </row>
    <row r="817" spans="1:82" ht="22.5" customHeight="1">
      <c r="B817" s="442">
        <v>170086</v>
      </c>
      <c r="C817" s="747" t="s">
        <v>4980</v>
      </c>
      <c r="D817" s="439" t="s">
        <v>4847</v>
      </c>
      <c r="E817" s="404" t="s">
        <v>5361</v>
      </c>
      <c r="F817" s="405" t="s">
        <v>4981</v>
      </c>
      <c r="G817" s="324" t="s">
        <v>2101</v>
      </c>
      <c r="H817" s="324" t="s">
        <v>4982</v>
      </c>
      <c r="I817" s="326" t="s">
        <v>383</v>
      </c>
      <c r="J817" s="326" t="s">
        <v>399</v>
      </c>
      <c r="K817" s="326" t="s">
        <v>917</v>
      </c>
      <c r="L817" s="392" t="s">
        <v>210</v>
      </c>
      <c r="M817" s="408"/>
      <c r="N817" s="444" t="s">
        <v>438</v>
      </c>
      <c r="O817" s="324">
        <v>15</v>
      </c>
      <c r="P817" s="458">
        <v>1660</v>
      </c>
      <c r="Q817" s="459">
        <v>1526</v>
      </c>
      <c r="R817" s="420" t="s">
        <v>728</v>
      </c>
      <c r="S817" s="394" t="s">
        <v>12658</v>
      </c>
      <c r="T817" s="394" t="s">
        <v>12659</v>
      </c>
      <c r="U817" s="394" t="s">
        <v>16275</v>
      </c>
      <c r="V817" s="394" t="s">
        <v>12660</v>
      </c>
      <c r="W817" s="460" t="s">
        <v>5332</v>
      </c>
      <c r="X817" s="394" t="s">
        <v>12656</v>
      </c>
      <c r="Y817" s="400"/>
      <c r="Z817" s="400"/>
      <c r="AA817" s="394" t="s">
        <v>12657</v>
      </c>
      <c r="AB817" s="416" t="s">
        <v>4416</v>
      </c>
      <c r="AC817" s="416"/>
      <c r="AD817" s="334" t="s">
        <v>2333</v>
      </c>
      <c r="AE817" s="499" t="s">
        <v>922</v>
      </c>
      <c r="AF817" s="462">
        <v>42891</v>
      </c>
      <c r="AG817" s="748">
        <v>43006</v>
      </c>
      <c r="AH817" s="417" t="s">
        <v>210</v>
      </c>
      <c r="AI817" s="392" t="s">
        <v>210</v>
      </c>
      <c r="AJ817" s="392" t="s">
        <v>210</v>
      </c>
      <c r="AK817" s="340" t="s">
        <v>210</v>
      </c>
      <c r="AL817" s="417" t="s">
        <v>210</v>
      </c>
      <c r="AM817" s="392" t="s">
        <v>210</v>
      </c>
      <c r="AN817" s="392" t="s">
        <v>210</v>
      </c>
      <c r="AO817" s="341" t="s">
        <v>210</v>
      </c>
      <c r="AP817" s="342" t="s">
        <v>210</v>
      </c>
      <c r="AQ817" s="433" t="s">
        <v>4547</v>
      </c>
      <c r="AR817" s="452">
        <v>2049</v>
      </c>
      <c r="AS817" s="324">
        <v>120</v>
      </c>
      <c r="AT817" s="432">
        <v>1</v>
      </c>
      <c r="AU817" s="432" t="s">
        <v>5357</v>
      </c>
      <c r="AV817" s="432">
        <v>1.5</v>
      </c>
      <c r="AW817" s="490" t="s">
        <v>5358</v>
      </c>
      <c r="AX817" s="453" t="s">
        <v>210</v>
      </c>
      <c r="AY817" s="455" t="s">
        <v>210</v>
      </c>
      <c r="AZ817" s="405" t="s">
        <v>4083</v>
      </c>
      <c r="BA817" s="324" t="s">
        <v>210</v>
      </c>
      <c r="BB817" s="324" t="s">
        <v>210</v>
      </c>
      <c r="BC817" s="324" t="s">
        <v>4983</v>
      </c>
      <c r="BD817" s="324" t="s">
        <v>3422</v>
      </c>
      <c r="BE817" s="324" t="s">
        <v>4984</v>
      </c>
      <c r="BF817" s="324" t="s">
        <v>3495</v>
      </c>
      <c r="BG817" s="324" t="s">
        <v>4985</v>
      </c>
      <c r="BH817" s="426" t="s">
        <v>3922</v>
      </c>
      <c r="BI817" s="453">
        <v>1.5</v>
      </c>
      <c r="BJ817" s="427" t="s">
        <v>210</v>
      </c>
      <c r="BK817" s="412"/>
      <c r="BL817" s="413"/>
      <c r="BM817" s="414"/>
      <c r="BN817" s="321" t="s">
        <v>622</v>
      </c>
      <c r="BO817" s="372"/>
      <c r="BP817" s="373" t="s">
        <v>14</v>
      </c>
      <c r="BQ817" s="456" t="s">
        <v>5513</v>
      </c>
      <c r="BR817" s="342" t="s">
        <v>210</v>
      </c>
      <c r="BS817" s="342" t="s">
        <v>622</v>
      </c>
      <c r="BT817" s="342" t="s">
        <v>210</v>
      </c>
      <c r="BU817" s="342" t="s">
        <v>210</v>
      </c>
      <c r="BV817" s="342" t="s">
        <v>210</v>
      </c>
      <c r="BW817" s="341" t="s">
        <v>210</v>
      </c>
      <c r="BX817" s="361"/>
      <c r="BY817" s="457" t="s">
        <v>5800</v>
      </c>
      <c r="BZ817" s="363"/>
      <c r="CA817" s="363"/>
      <c r="CB817" s="363"/>
      <c r="CC817" s="363"/>
    </row>
    <row r="818" spans="1:82" s="465" customFormat="1" ht="22.5" customHeight="1">
      <c r="A818" s="287"/>
      <c r="B818" s="749">
        <v>170087</v>
      </c>
      <c r="C818" s="750" t="s">
        <v>5005</v>
      </c>
      <c r="D818" s="751"/>
      <c r="E818" s="752"/>
      <c r="F818" s="753" t="s">
        <v>228</v>
      </c>
      <c r="G818" s="754" t="s">
        <v>5006</v>
      </c>
      <c r="H818" s="754" t="s">
        <v>5007</v>
      </c>
      <c r="I818" s="662" t="s">
        <v>383</v>
      </c>
      <c r="J818" s="662" t="s">
        <v>399</v>
      </c>
      <c r="K818" s="754" t="s">
        <v>5012</v>
      </c>
      <c r="L818" s="676" t="s">
        <v>210</v>
      </c>
      <c r="M818" s="754"/>
      <c r="N818" s="755" t="s">
        <v>438</v>
      </c>
      <c r="O818" s="754">
        <v>100</v>
      </c>
      <c r="P818" s="782">
        <v>517</v>
      </c>
      <c r="Q818" s="783">
        <v>532</v>
      </c>
      <c r="R818" s="756" t="s">
        <v>5013</v>
      </c>
      <c r="S818" s="708" t="s">
        <v>12653</v>
      </c>
      <c r="T818" s="708" t="s">
        <v>12654</v>
      </c>
      <c r="U818" s="708"/>
      <c r="V818" s="708" t="s">
        <v>12655</v>
      </c>
      <c r="W818" s="757" t="s">
        <v>5013</v>
      </c>
      <c r="X818" s="708" t="s">
        <v>12653</v>
      </c>
      <c r="Y818" s="708" t="s">
        <v>12654</v>
      </c>
      <c r="Z818" s="708"/>
      <c r="AA818" s="708" t="s">
        <v>12655</v>
      </c>
      <c r="AB818" s="758"/>
      <c r="AC818" s="758"/>
      <c r="AD818" s="759"/>
      <c r="AE818" s="760"/>
      <c r="AF818" s="846">
        <v>42824</v>
      </c>
      <c r="AG818" s="674" t="s">
        <v>10514</v>
      </c>
      <c r="AH818" s="675" t="s">
        <v>210</v>
      </c>
      <c r="AI818" s="676" t="s">
        <v>210</v>
      </c>
      <c r="AJ818" s="676" t="s">
        <v>210</v>
      </c>
      <c r="AK818" s="677" t="s">
        <v>210</v>
      </c>
      <c r="AL818" s="675" t="s">
        <v>210</v>
      </c>
      <c r="AM818" s="676" t="s">
        <v>210</v>
      </c>
      <c r="AN818" s="676" t="s">
        <v>210</v>
      </c>
      <c r="AO818" s="678" t="s">
        <v>210</v>
      </c>
      <c r="AP818" s="663"/>
      <c r="AQ818" s="762" t="s">
        <v>4551</v>
      </c>
      <c r="AR818" s="763"/>
      <c r="AS818" s="754"/>
      <c r="AT818" s="785"/>
      <c r="AU818" s="785"/>
      <c r="AV818" s="785"/>
      <c r="AW818" s="764"/>
      <c r="AX818" s="765" t="s">
        <v>210</v>
      </c>
      <c r="AY818" s="772" t="s">
        <v>210</v>
      </c>
      <c r="AZ818" s="753" t="s">
        <v>622</v>
      </c>
      <c r="BA818" s="754" t="s">
        <v>5008</v>
      </c>
      <c r="BB818" s="754" t="s">
        <v>3727</v>
      </c>
      <c r="BC818" s="754" t="s">
        <v>5009</v>
      </c>
      <c r="BD818" s="754" t="s">
        <v>3372</v>
      </c>
      <c r="BE818" s="754" t="s">
        <v>210</v>
      </c>
      <c r="BF818" s="754" t="s">
        <v>210</v>
      </c>
      <c r="BG818" s="754" t="s">
        <v>5010</v>
      </c>
      <c r="BH818" s="767" t="s">
        <v>5011</v>
      </c>
      <c r="BI818" s="753"/>
      <c r="BJ818" s="768"/>
      <c r="BK818" s="769"/>
      <c r="BL818" s="766"/>
      <c r="BM818" s="770"/>
      <c r="BN818" s="753"/>
      <c r="BO818" s="771"/>
      <c r="BP818" s="767"/>
      <c r="BQ818" s="773"/>
      <c r="BR818" s="688"/>
      <c r="BS818" s="688"/>
      <c r="BT818" s="688"/>
      <c r="BU818" s="663" t="s">
        <v>5510</v>
      </c>
      <c r="BV818" s="663" t="s">
        <v>5510</v>
      </c>
      <c r="BW818" s="678" t="s">
        <v>210</v>
      </c>
      <c r="BX818" s="688"/>
      <c r="BY818" s="774"/>
      <c r="BZ818" s="483"/>
      <c r="CA818" s="483"/>
      <c r="CB818" s="483"/>
      <c r="CC818" s="483"/>
      <c r="CD818" s="484"/>
    </row>
    <row r="819" spans="1:82" ht="22.5" customHeight="1">
      <c r="B819" s="442" t="s">
        <v>5117</v>
      </c>
      <c r="C819" s="747" t="s">
        <v>5001</v>
      </c>
      <c r="D819" s="439" t="s">
        <v>5406</v>
      </c>
      <c r="E819" s="404" t="s">
        <v>5361</v>
      </c>
      <c r="F819" s="405" t="s">
        <v>709</v>
      </c>
      <c r="G819" s="324" t="s">
        <v>4999</v>
      </c>
      <c r="H819" s="324" t="s">
        <v>5000</v>
      </c>
      <c r="I819" s="326" t="s">
        <v>383</v>
      </c>
      <c r="J819" s="326" t="s">
        <v>399</v>
      </c>
      <c r="K819" s="324" t="s">
        <v>293</v>
      </c>
      <c r="L819" s="342">
        <v>10</v>
      </c>
      <c r="M819" s="408"/>
      <c r="N819" s="444" t="s">
        <v>438</v>
      </c>
      <c r="O819" s="324">
        <v>30</v>
      </c>
      <c r="P819" s="458">
        <v>1261</v>
      </c>
      <c r="Q819" s="459">
        <v>1081</v>
      </c>
      <c r="R819" s="329" t="s">
        <v>991</v>
      </c>
      <c r="S819" s="400"/>
      <c r="T819" s="400"/>
      <c r="U819" s="400"/>
      <c r="V819" s="400"/>
      <c r="W819" s="332" t="s">
        <v>1095</v>
      </c>
      <c r="X819" s="332" t="s">
        <v>11851</v>
      </c>
      <c r="Y819" s="332" t="s">
        <v>11852</v>
      </c>
      <c r="Z819" s="332" t="s">
        <v>16284</v>
      </c>
      <c r="AA819" s="332" t="s">
        <v>11853</v>
      </c>
      <c r="AB819" s="416"/>
      <c r="AC819" s="416"/>
      <c r="AD819" s="447" t="s">
        <v>1748</v>
      </c>
      <c r="AE819" s="499" t="s">
        <v>922</v>
      </c>
      <c r="AF819" s="462">
        <v>42823</v>
      </c>
      <c r="AG819" s="748">
        <v>42888</v>
      </c>
      <c r="AH819" s="417" t="s">
        <v>210</v>
      </c>
      <c r="AI819" s="392" t="s">
        <v>210</v>
      </c>
      <c r="AJ819" s="392" t="s">
        <v>210</v>
      </c>
      <c r="AK819" s="340" t="s">
        <v>210</v>
      </c>
      <c r="AL819" s="417" t="s">
        <v>210</v>
      </c>
      <c r="AM819" s="392" t="s">
        <v>210</v>
      </c>
      <c r="AN819" s="392" t="s">
        <v>210</v>
      </c>
      <c r="AO819" s="341" t="s">
        <v>210</v>
      </c>
      <c r="AP819" s="342" t="s">
        <v>210</v>
      </c>
      <c r="AQ819" s="433" t="s">
        <v>4547</v>
      </c>
      <c r="AR819" s="452">
        <v>1350</v>
      </c>
      <c r="AS819" s="324">
        <v>100</v>
      </c>
      <c r="AT819" s="432">
        <v>1</v>
      </c>
      <c r="AU819" s="432"/>
      <c r="AV819" s="432">
        <v>1.5</v>
      </c>
      <c r="AW819" s="490"/>
      <c r="AX819" s="453" t="s">
        <v>210</v>
      </c>
      <c r="AY819" s="455" t="s">
        <v>210</v>
      </c>
      <c r="AZ819" s="405" t="s">
        <v>4083</v>
      </c>
      <c r="BA819" s="324" t="s">
        <v>210</v>
      </c>
      <c r="BB819" s="324" t="s">
        <v>210</v>
      </c>
      <c r="BC819" s="324" t="s">
        <v>3555</v>
      </c>
      <c r="BD819" s="324" t="s">
        <v>3422</v>
      </c>
      <c r="BE819" s="324" t="s">
        <v>3457</v>
      </c>
      <c r="BF819" s="324" t="s">
        <v>3372</v>
      </c>
      <c r="BG819" s="324" t="s">
        <v>5083</v>
      </c>
      <c r="BH819" s="426" t="s">
        <v>3898</v>
      </c>
      <c r="BI819" s="410"/>
      <c r="BJ819" s="427" t="s">
        <v>210</v>
      </c>
      <c r="BK819" s="412"/>
      <c r="BL819" s="413"/>
      <c r="BM819" s="414"/>
      <c r="BN819" s="321" t="s">
        <v>622</v>
      </c>
      <c r="BO819" s="372"/>
      <c r="BP819" s="373" t="s">
        <v>14</v>
      </c>
      <c r="BQ819" s="360"/>
      <c r="BR819" s="361"/>
      <c r="BS819" s="361"/>
      <c r="BT819" s="361"/>
      <c r="BU819" s="342" t="s">
        <v>210</v>
      </c>
      <c r="BV819" s="342" t="s">
        <v>210</v>
      </c>
      <c r="BW819" s="341" t="s">
        <v>210</v>
      </c>
      <c r="BX819" s="361"/>
      <c r="BY819" s="457"/>
      <c r="BZ819" s="363"/>
      <c r="CA819" s="363"/>
      <c r="CB819" s="363"/>
      <c r="CC819" s="363"/>
    </row>
    <row r="820" spans="1:82" ht="22.5" customHeight="1">
      <c r="B820" s="442" t="s">
        <v>5118</v>
      </c>
      <c r="C820" s="747" t="s">
        <v>5002</v>
      </c>
      <c r="D820" s="439" t="s">
        <v>5406</v>
      </c>
      <c r="E820" s="404" t="s">
        <v>5361</v>
      </c>
      <c r="F820" s="405" t="s">
        <v>709</v>
      </c>
      <c r="G820" s="324" t="s">
        <v>4999</v>
      </c>
      <c r="H820" s="324" t="s">
        <v>5000</v>
      </c>
      <c r="I820" s="326" t="s">
        <v>383</v>
      </c>
      <c r="J820" s="326" t="s">
        <v>5082</v>
      </c>
      <c r="K820" s="324" t="s">
        <v>293</v>
      </c>
      <c r="L820" s="342">
        <v>10</v>
      </c>
      <c r="M820" s="408"/>
      <c r="N820" s="444" t="s">
        <v>438</v>
      </c>
      <c r="O820" s="324">
        <v>30</v>
      </c>
      <c r="P820" s="458">
        <v>1926</v>
      </c>
      <c r="Q820" s="459">
        <v>642</v>
      </c>
      <c r="R820" s="329" t="s">
        <v>991</v>
      </c>
      <c r="S820" s="400"/>
      <c r="T820" s="400"/>
      <c r="U820" s="400"/>
      <c r="V820" s="400"/>
      <c r="W820" s="332" t="s">
        <v>1095</v>
      </c>
      <c r="X820" s="332" t="s">
        <v>11851</v>
      </c>
      <c r="Y820" s="332" t="s">
        <v>11852</v>
      </c>
      <c r="Z820" s="332" t="s">
        <v>16284</v>
      </c>
      <c r="AA820" s="332" t="s">
        <v>11853</v>
      </c>
      <c r="AB820" s="416"/>
      <c r="AC820" s="416"/>
      <c r="AD820" s="447" t="s">
        <v>1748</v>
      </c>
      <c r="AE820" s="499" t="s">
        <v>922</v>
      </c>
      <c r="AF820" s="462">
        <v>42823</v>
      </c>
      <c r="AG820" s="748">
        <v>42888</v>
      </c>
      <c r="AH820" s="417" t="s">
        <v>210</v>
      </c>
      <c r="AI820" s="392" t="s">
        <v>210</v>
      </c>
      <c r="AJ820" s="392" t="s">
        <v>210</v>
      </c>
      <c r="AK820" s="340" t="s">
        <v>210</v>
      </c>
      <c r="AL820" s="417" t="s">
        <v>210</v>
      </c>
      <c r="AM820" s="392" t="s">
        <v>210</v>
      </c>
      <c r="AN820" s="392" t="s">
        <v>210</v>
      </c>
      <c r="AO820" s="341" t="s">
        <v>210</v>
      </c>
      <c r="AP820" s="342" t="s">
        <v>210</v>
      </c>
      <c r="AQ820" s="433" t="s">
        <v>4547</v>
      </c>
      <c r="AR820" s="452">
        <v>890</v>
      </c>
      <c r="AS820" s="324">
        <v>100</v>
      </c>
      <c r="AT820" s="432">
        <v>1</v>
      </c>
      <c r="AU820" s="432"/>
      <c r="AV820" s="432">
        <v>1.8</v>
      </c>
      <c r="AW820" s="490"/>
      <c r="AX820" s="453" t="s">
        <v>210</v>
      </c>
      <c r="AY820" s="455" t="s">
        <v>210</v>
      </c>
      <c r="AZ820" s="405" t="s">
        <v>4083</v>
      </c>
      <c r="BA820" s="324" t="s">
        <v>210</v>
      </c>
      <c r="BB820" s="324" t="s">
        <v>210</v>
      </c>
      <c r="BC820" s="324" t="s">
        <v>3555</v>
      </c>
      <c r="BD820" s="324" t="s">
        <v>3422</v>
      </c>
      <c r="BE820" s="324" t="s">
        <v>3457</v>
      </c>
      <c r="BF820" s="324" t="s">
        <v>3372</v>
      </c>
      <c r="BG820" s="324" t="s">
        <v>5083</v>
      </c>
      <c r="BH820" s="426" t="s">
        <v>3898</v>
      </c>
      <c r="BI820" s="410"/>
      <c r="BJ820" s="427" t="s">
        <v>210</v>
      </c>
      <c r="BK820" s="412"/>
      <c r="BL820" s="413"/>
      <c r="BM820" s="414"/>
      <c r="BN820" s="321" t="s">
        <v>622</v>
      </c>
      <c r="BO820" s="372"/>
      <c r="BP820" s="373" t="s">
        <v>14</v>
      </c>
      <c r="BQ820" s="360"/>
      <c r="BR820" s="361"/>
      <c r="BS820" s="361"/>
      <c r="BT820" s="361"/>
      <c r="BU820" s="342" t="s">
        <v>210</v>
      </c>
      <c r="BV820" s="342" t="s">
        <v>210</v>
      </c>
      <c r="BW820" s="341" t="s">
        <v>210</v>
      </c>
      <c r="BX820" s="361"/>
      <c r="BY820" s="457"/>
      <c r="BZ820" s="363"/>
      <c r="CA820" s="363"/>
      <c r="CB820" s="363"/>
      <c r="CC820" s="363"/>
    </row>
    <row r="821" spans="1:82" ht="22.5" customHeight="1">
      <c r="B821" s="442">
        <v>170089</v>
      </c>
      <c r="C821" s="747" t="s">
        <v>5062</v>
      </c>
      <c r="D821" s="439" t="s">
        <v>5344</v>
      </c>
      <c r="E821" s="404" t="s">
        <v>5361</v>
      </c>
      <c r="F821" s="405" t="s">
        <v>240</v>
      </c>
      <c r="G821" s="324" t="s">
        <v>5063</v>
      </c>
      <c r="H821" s="324" t="s">
        <v>5064</v>
      </c>
      <c r="I821" s="326" t="s">
        <v>383</v>
      </c>
      <c r="J821" s="326" t="s">
        <v>399</v>
      </c>
      <c r="K821" s="324" t="s">
        <v>3223</v>
      </c>
      <c r="L821" s="342">
        <v>3.9</v>
      </c>
      <c r="M821" s="408"/>
      <c r="N821" s="325" t="s">
        <v>437</v>
      </c>
      <c r="O821" s="324">
        <v>30</v>
      </c>
      <c r="P821" s="458">
        <v>515</v>
      </c>
      <c r="Q821" s="459">
        <v>440</v>
      </c>
      <c r="R821" s="329" t="s">
        <v>479</v>
      </c>
      <c r="S821" s="394" t="s">
        <v>12651</v>
      </c>
      <c r="T821" s="394" t="s">
        <v>12610</v>
      </c>
      <c r="U821" s="400"/>
      <c r="V821" s="394" t="s">
        <v>12652</v>
      </c>
      <c r="W821" s="332" t="s">
        <v>479</v>
      </c>
      <c r="X821" s="394" t="s">
        <v>12651</v>
      </c>
      <c r="Y821" s="394" t="s">
        <v>12610</v>
      </c>
      <c r="Z821" s="400"/>
      <c r="AA821" s="394" t="s">
        <v>12652</v>
      </c>
      <c r="AB821" s="416"/>
      <c r="AC821" s="416"/>
      <c r="AD821" s="375"/>
      <c r="AE821" s="335" t="s">
        <v>210</v>
      </c>
      <c r="AF821" s="462">
        <v>42830</v>
      </c>
      <c r="AG821" s="748">
        <v>42885</v>
      </c>
      <c r="AH821" s="417" t="s">
        <v>210</v>
      </c>
      <c r="AI821" s="392" t="s">
        <v>210</v>
      </c>
      <c r="AJ821" s="392" t="s">
        <v>210</v>
      </c>
      <c r="AK821" s="340" t="s">
        <v>210</v>
      </c>
      <c r="AL821" s="417" t="s">
        <v>210</v>
      </c>
      <c r="AM821" s="392" t="s">
        <v>210</v>
      </c>
      <c r="AN821" s="392" t="s">
        <v>210</v>
      </c>
      <c r="AO821" s="341" t="s">
        <v>210</v>
      </c>
      <c r="AP821" s="342" t="s">
        <v>210</v>
      </c>
      <c r="AQ821" s="433" t="s">
        <v>4548</v>
      </c>
      <c r="AR821" s="452">
        <v>653</v>
      </c>
      <c r="AS821" s="324">
        <v>50</v>
      </c>
      <c r="AT821" s="432">
        <v>0.8</v>
      </c>
      <c r="AU821" s="432" t="s">
        <v>5386</v>
      </c>
      <c r="AV821" s="432">
        <v>1.5</v>
      </c>
      <c r="AW821" s="490" t="s">
        <v>3434</v>
      </c>
      <c r="AX821" s="453" t="s">
        <v>210</v>
      </c>
      <c r="AY821" s="340" t="s">
        <v>622</v>
      </c>
      <c r="AZ821" s="405" t="s">
        <v>622</v>
      </c>
      <c r="BA821" s="324" t="s">
        <v>5065</v>
      </c>
      <c r="BB821" s="324" t="s">
        <v>3434</v>
      </c>
      <c r="BC821" s="324" t="s">
        <v>3558</v>
      </c>
      <c r="BD821" s="324" t="s">
        <v>3434</v>
      </c>
      <c r="BE821" s="324" t="s">
        <v>5066</v>
      </c>
      <c r="BF821" s="324" t="s">
        <v>5058</v>
      </c>
      <c r="BG821" s="324" t="s">
        <v>5067</v>
      </c>
      <c r="BH821" s="426" t="s">
        <v>5068</v>
      </c>
      <c r="BI821" s="453">
        <v>2</v>
      </c>
      <c r="BJ821" s="427" t="s">
        <v>210</v>
      </c>
      <c r="BK821" s="412"/>
      <c r="BL821" s="413"/>
      <c r="BM821" s="414"/>
      <c r="BN821" s="321" t="s">
        <v>622</v>
      </c>
      <c r="BO821" s="372"/>
      <c r="BP821" s="373" t="s">
        <v>14</v>
      </c>
      <c r="BQ821" s="456" t="s">
        <v>247</v>
      </c>
      <c r="BR821" s="432" t="s">
        <v>210</v>
      </c>
      <c r="BS821" s="432" t="s">
        <v>210</v>
      </c>
      <c r="BT821" s="432" t="s">
        <v>210</v>
      </c>
      <c r="BU821" s="342" t="s">
        <v>210</v>
      </c>
      <c r="BV821" s="342" t="s">
        <v>210</v>
      </c>
      <c r="BW821" s="341" t="s">
        <v>210</v>
      </c>
      <c r="BX821" s="361"/>
      <c r="BY821" s="457"/>
      <c r="BZ821" s="363"/>
      <c r="CA821" s="363"/>
      <c r="CB821" s="363"/>
      <c r="CC821" s="363"/>
    </row>
    <row r="822" spans="1:82" ht="22.5" customHeight="1">
      <c r="B822" s="442">
        <v>170090</v>
      </c>
      <c r="C822" s="747" t="s">
        <v>5041</v>
      </c>
      <c r="D822" s="439" t="s">
        <v>5344</v>
      </c>
      <c r="E822" s="404" t="s">
        <v>5362</v>
      </c>
      <c r="F822" s="405" t="s">
        <v>1043</v>
      </c>
      <c r="G822" s="324" t="s">
        <v>3299</v>
      </c>
      <c r="H822" s="324" t="s">
        <v>4868</v>
      </c>
      <c r="I822" s="326" t="s">
        <v>383</v>
      </c>
      <c r="J822" s="324" t="s">
        <v>6632</v>
      </c>
      <c r="K822" s="324" t="s">
        <v>977</v>
      </c>
      <c r="L822" s="342">
        <v>5</v>
      </c>
      <c r="M822" s="324" t="s">
        <v>10767</v>
      </c>
      <c r="N822" s="444" t="s">
        <v>438</v>
      </c>
      <c r="O822" s="324">
        <v>140</v>
      </c>
      <c r="P822" s="458">
        <v>1488</v>
      </c>
      <c r="Q822" s="459">
        <v>1224</v>
      </c>
      <c r="R822" s="420" t="s">
        <v>5046</v>
      </c>
      <c r="S822" s="394" t="s">
        <v>12800</v>
      </c>
      <c r="T822" s="394" t="s">
        <v>13505</v>
      </c>
      <c r="U822" s="394" t="s">
        <v>16299</v>
      </c>
      <c r="V822" s="394" t="s">
        <v>12801</v>
      </c>
      <c r="W822" s="460" t="s">
        <v>5049</v>
      </c>
      <c r="X822" s="394" t="s">
        <v>12802</v>
      </c>
      <c r="Y822" s="394" t="s">
        <v>12803</v>
      </c>
      <c r="Z822" s="394" t="s">
        <v>16239</v>
      </c>
      <c r="AA822" s="394" t="s">
        <v>12804</v>
      </c>
      <c r="AB822" s="416"/>
      <c r="AC822" s="416"/>
      <c r="AD822" s="447" t="s">
        <v>5538</v>
      </c>
      <c r="AE822" s="499" t="s">
        <v>5634</v>
      </c>
      <c r="AF822" s="462">
        <v>42828</v>
      </c>
      <c r="AG822" s="748">
        <v>42922</v>
      </c>
      <c r="AH822" s="417" t="s">
        <v>210</v>
      </c>
      <c r="AI822" s="392" t="s">
        <v>210</v>
      </c>
      <c r="AJ822" s="392" t="s">
        <v>210</v>
      </c>
      <c r="AK822" s="340" t="s">
        <v>210</v>
      </c>
      <c r="AL822" s="417" t="s">
        <v>210</v>
      </c>
      <c r="AM822" s="392" t="s">
        <v>210</v>
      </c>
      <c r="AN822" s="392" t="s">
        <v>210</v>
      </c>
      <c r="AO822" s="341" t="s">
        <v>210</v>
      </c>
      <c r="AP822" s="342" t="s">
        <v>210</v>
      </c>
      <c r="AQ822" s="433" t="s">
        <v>4547</v>
      </c>
      <c r="AR822" s="452">
        <v>1709</v>
      </c>
      <c r="AS822" s="324">
        <v>100</v>
      </c>
      <c r="AT822" s="432">
        <v>1</v>
      </c>
      <c r="AU822" s="324" t="s">
        <v>3556</v>
      </c>
      <c r="AV822" s="432">
        <v>1.5</v>
      </c>
      <c r="AW822" s="463" t="s">
        <v>3556</v>
      </c>
      <c r="AX822" s="417" t="s">
        <v>622</v>
      </c>
      <c r="AY822" s="455" t="s">
        <v>210</v>
      </c>
      <c r="AZ822" s="405" t="s">
        <v>622</v>
      </c>
      <c r="BA822" s="324" t="s">
        <v>5043</v>
      </c>
      <c r="BB822" s="324" t="s">
        <v>3487</v>
      </c>
      <c r="BC822" s="324" t="s">
        <v>5042</v>
      </c>
      <c r="BD822" s="324" t="s">
        <v>5044</v>
      </c>
      <c r="BE822" s="324" t="s">
        <v>5045</v>
      </c>
      <c r="BF822" s="324" t="s">
        <v>3574</v>
      </c>
      <c r="BG822" s="324" t="s">
        <v>5042</v>
      </c>
      <c r="BH822" s="426" t="s">
        <v>3556</v>
      </c>
      <c r="BI822" s="453">
        <v>1.5</v>
      </c>
      <c r="BJ822" s="427" t="s">
        <v>9793</v>
      </c>
      <c r="BK822" s="412"/>
      <c r="BL822" s="413"/>
      <c r="BM822" s="414"/>
      <c r="BN822" s="321" t="s">
        <v>622</v>
      </c>
      <c r="BO822" s="372">
        <v>0.9</v>
      </c>
      <c r="BP822" s="373" t="s">
        <v>14</v>
      </c>
      <c r="BQ822" s="456" t="s">
        <v>1059</v>
      </c>
      <c r="BR822" s="342" t="s">
        <v>5223</v>
      </c>
      <c r="BS822" s="342" t="s">
        <v>5223</v>
      </c>
      <c r="BT822" s="342" t="s">
        <v>5223</v>
      </c>
      <c r="BU822" s="342" t="s">
        <v>210</v>
      </c>
      <c r="BV822" s="342" t="s">
        <v>210</v>
      </c>
      <c r="BW822" s="341" t="s">
        <v>210</v>
      </c>
      <c r="BX822" s="361"/>
      <c r="BY822" s="457"/>
      <c r="BZ822" s="363"/>
      <c r="CA822" s="363"/>
      <c r="CB822" s="363"/>
      <c r="CC822" s="363"/>
    </row>
    <row r="823" spans="1:82" s="465" customFormat="1" ht="22.5" customHeight="1">
      <c r="A823" s="287"/>
      <c r="B823" s="749">
        <v>170091</v>
      </c>
      <c r="C823" s="750" t="s">
        <v>5069</v>
      </c>
      <c r="D823" s="751"/>
      <c r="E823" s="752"/>
      <c r="F823" s="753" t="s">
        <v>400</v>
      </c>
      <c r="G823" s="754" t="s">
        <v>5070</v>
      </c>
      <c r="H823" s="754" t="s">
        <v>5071</v>
      </c>
      <c r="I823" s="662" t="s">
        <v>383</v>
      </c>
      <c r="J823" s="662" t="s">
        <v>399</v>
      </c>
      <c r="K823" s="754" t="s">
        <v>977</v>
      </c>
      <c r="L823" s="688"/>
      <c r="M823" s="754"/>
      <c r="N823" s="755" t="s">
        <v>438</v>
      </c>
      <c r="O823" s="754"/>
      <c r="P823" s="782">
        <v>1312</v>
      </c>
      <c r="Q823" s="783">
        <v>1342</v>
      </c>
      <c r="R823" s="756" t="s">
        <v>5072</v>
      </c>
      <c r="S823" s="708"/>
      <c r="T823" s="708"/>
      <c r="U823" s="708"/>
      <c r="V823" s="708"/>
      <c r="W823" s="669" t="s">
        <v>644</v>
      </c>
      <c r="X823" s="708"/>
      <c r="Y823" s="708" t="s">
        <v>11201</v>
      </c>
      <c r="Z823" s="708" t="s">
        <v>12155</v>
      </c>
      <c r="AA823" s="708"/>
      <c r="AB823" s="758"/>
      <c r="AC823" s="758"/>
      <c r="AD823" s="759"/>
      <c r="AE823" s="760"/>
      <c r="AF823" s="846">
        <v>42831</v>
      </c>
      <c r="AG823" s="674" t="s">
        <v>10514</v>
      </c>
      <c r="AH823" s="675" t="s">
        <v>210</v>
      </c>
      <c r="AI823" s="676" t="s">
        <v>210</v>
      </c>
      <c r="AJ823" s="676" t="s">
        <v>210</v>
      </c>
      <c r="AK823" s="677" t="s">
        <v>210</v>
      </c>
      <c r="AL823" s="675" t="s">
        <v>210</v>
      </c>
      <c r="AM823" s="676" t="s">
        <v>210</v>
      </c>
      <c r="AN823" s="676" t="s">
        <v>210</v>
      </c>
      <c r="AO823" s="678" t="s">
        <v>210</v>
      </c>
      <c r="AP823" s="663"/>
      <c r="AQ823" s="762" t="s">
        <v>4547</v>
      </c>
      <c r="AR823" s="763"/>
      <c r="AS823" s="754"/>
      <c r="AT823" s="785"/>
      <c r="AU823" s="785"/>
      <c r="AV823" s="785"/>
      <c r="AW823" s="764"/>
      <c r="AX823" s="765" t="s">
        <v>210</v>
      </c>
      <c r="AY823" s="772" t="s">
        <v>210</v>
      </c>
      <c r="AZ823" s="753" t="s">
        <v>4083</v>
      </c>
      <c r="BA823" s="754" t="s">
        <v>210</v>
      </c>
      <c r="BB823" s="754" t="s">
        <v>210</v>
      </c>
      <c r="BC823" s="754" t="s">
        <v>5075</v>
      </c>
      <c r="BD823" s="754" t="s">
        <v>4813</v>
      </c>
      <c r="BE823" s="754" t="s">
        <v>5076</v>
      </c>
      <c r="BF823" s="754" t="s">
        <v>5077</v>
      </c>
      <c r="BG823" s="754" t="s">
        <v>5078</v>
      </c>
      <c r="BH823" s="767" t="s">
        <v>5079</v>
      </c>
      <c r="BI823" s="753"/>
      <c r="BJ823" s="768"/>
      <c r="BK823" s="769"/>
      <c r="BL823" s="766"/>
      <c r="BM823" s="770"/>
      <c r="BN823" s="765"/>
      <c r="BO823" s="771"/>
      <c r="BP823" s="772"/>
      <c r="BQ823" s="773"/>
      <c r="BR823" s="688"/>
      <c r="BS823" s="688"/>
      <c r="BT823" s="688"/>
      <c r="BU823" s="663" t="s">
        <v>5510</v>
      </c>
      <c r="BV823" s="663" t="s">
        <v>5510</v>
      </c>
      <c r="BW823" s="678" t="s">
        <v>210</v>
      </c>
      <c r="BX823" s="688"/>
      <c r="BY823" s="774"/>
      <c r="BZ823" s="483"/>
      <c r="CA823" s="483"/>
      <c r="CB823" s="483"/>
      <c r="CC823" s="483"/>
      <c r="CD823" s="484"/>
    </row>
    <row r="824" spans="1:82" ht="22.5" customHeight="1">
      <c r="B824" s="442">
        <v>170092</v>
      </c>
      <c r="C824" s="747" t="s">
        <v>5052</v>
      </c>
      <c r="D824" s="439" t="s">
        <v>4854</v>
      </c>
      <c r="E824" s="404" t="s">
        <v>5362</v>
      </c>
      <c r="F824" s="405" t="s">
        <v>222</v>
      </c>
      <c r="G824" s="324" t="s">
        <v>2378</v>
      </c>
      <c r="H824" s="324" t="s">
        <v>5061</v>
      </c>
      <c r="I824" s="326" t="s">
        <v>383</v>
      </c>
      <c r="J824" s="326" t="s">
        <v>399</v>
      </c>
      <c r="K824" s="324" t="s">
        <v>9172</v>
      </c>
      <c r="L824" s="342">
        <v>28</v>
      </c>
      <c r="M824" s="324" t="s">
        <v>10767</v>
      </c>
      <c r="N824" s="444" t="s">
        <v>438</v>
      </c>
      <c r="O824" s="324">
        <v>130</v>
      </c>
      <c r="P824" s="816">
        <v>1392</v>
      </c>
      <c r="Q824" s="817">
        <v>1392</v>
      </c>
      <c r="R824" s="420" t="s">
        <v>5053</v>
      </c>
      <c r="S824" s="400"/>
      <c r="T824" s="400"/>
      <c r="U824" s="400"/>
      <c r="V824" s="400"/>
      <c r="W824" s="332" t="s">
        <v>592</v>
      </c>
      <c r="X824" s="394" t="s">
        <v>12237</v>
      </c>
      <c r="Y824" s="394" t="s">
        <v>11508</v>
      </c>
      <c r="Z824" s="394" t="s">
        <v>11507</v>
      </c>
      <c r="AA824" s="394" t="s">
        <v>12239</v>
      </c>
      <c r="AB824" s="416"/>
      <c r="AC824" s="416"/>
      <c r="AD824" s="447" t="s">
        <v>5540</v>
      </c>
      <c r="AE824" s="499" t="s">
        <v>5369</v>
      </c>
      <c r="AF824" s="462">
        <v>42829</v>
      </c>
      <c r="AG824" s="748">
        <v>42912</v>
      </c>
      <c r="AH824" s="417" t="s">
        <v>210</v>
      </c>
      <c r="AI824" s="392" t="s">
        <v>210</v>
      </c>
      <c r="AJ824" s="392" t="s">
        <v>210</v>
      </c>
      <c r="AK824" s="340" t="s">
        <v>210</v>
      </c>
      <c r="AL824" s="417" t="s">
        <v>210</v>
      </c>
      <c r="AM824" s="392" t="s">
        <v>210</v>
      </c>
      <c r="AN824" s="392" t="s">
        <v>210</v>
      </c>
      <c r="AO824" s="341" t="s">
        <v>210</v>
      </c>
      <c r="AP824" s="342" t="s">
        <v>210</v>
      </c>
      <c r="AQ824" s="433" t="s">
        <v>5382</v>
      </c>
      <c r="AR824" s="452">
        <v>1752</v>
      </c>
      <c r="AS824" s="324">
        <v>150</v>
      </c>
      <c r="AT824" s="432">
        <v>1</v>
      </c>
      <c r="AU824" s="432" t="s">
        <v>3936</v>
      </c>
      <c r="AV824" s="432">
        <v>0.8</v>
      </c>
      <c r="AW824" s="490" t="s">
        <v>3936</v>
      </c>
      <c r="AX824" s="453" t="s">
        <v>210</v>
      </c>
      <c r="AY824" s="455" t="s">
        <v>210</v>
      </c>
      <c r="AZ824" s="405" t="s">
        <v>4083</v>
      </c>
      <c r="BA824" s="324" t="s">
        <v>210</v>
      </c>
      <c r="BB824" s="324" t="s">
        <v>210</v>
      </c>
      <c r="BC824" s="324" t="s">
        <v>210</v>
      </c>
      <c r="BD824" s="324" t="s">
        <v>210</v>
      </c>
      <c r="BE824" s="324" t="s">
        <v>210</v>
      </c>
      <c r="BF824" s="324" t="s">
        <v>210</v>
      </c>
      <c r="BG824" s="324" t="s">
        <v>3459</v>
      </c>
      <c r="BH824" s="426" t="s">
        <v>3936</v>
      </c>
      <c r="BI824" s="453">
        <v>5</v>
      </c>
      <c r="BJ824" s="427" t="s">
        <v>210</v>
      </c>
      <c r="BK824" s="412"/>
      <c r="BL824" s="413"/>
      <c r="BM824" s="414"/>
      <c r="BN824" s="321" t="s">
        <v>622</v>
      </c>
      <c r="BO824" s="372"/>
      <c r="BP824" s="340" t="s">
        <v>210</v>
      </c>
      <c r="BQ824" s="456" t="s">
        <v>1059</v>
      </c>
      <c r="BR824" s="342" t="s">
        <v>210</v>
      </c>
      <c r="BS824" s="342" t="s">
        <v>210</v>
      </c>
      <c r="BT824" s="342" t="s">
        <v>210</v>
      </c>
      <c r="BU824" s="342" t="s">
        <v>210</v>
      </c>
      <c r="BV824" s="342" t="s">
        <v>210</v>
      </c>
      <c r="BW824" s="341" t="s">
        <v>210</v>
      </c>
      <c r="BX824" s="361"/>
      <c r="BY824" s="457"/>
      <c r="BZ824" s="363"/>
      <c r="CA824" s="363"/>
      <c r="CB824" s="363"/>
      <c r="CC824" s="363"/>
    </row>
    <row r="825" spans="1:82" ht="22.5" customHeight="1">
      <c r="B825" s="442">
        <v>170093</v>
      </c>
      <c r="C825" s="747" t="s">
        <v>5084</v>
      </c>
      <c r="D825" s="439" t="s">
        <v>4849</v>
      </c>
      <c r="E825" s="404" t="s">
        <v>5405</v>
      </c>
      <c r="F825" s="405" t="s">
        <v>1048</v>
      </c>
      <c r="G825" s="324" t="s">
        <v>1819</v>
      </c>
      <c r="H825" s="324" t="s">
        <v>4492</v>
      </c>
      <c r="I825" s="326" t="s">
        <v>383</v>
      </c>
      <c r="J825" s="326" t="s">
        <v>399</v>
      </c>
      <c r="K825" s="326" t="s">
        <v>917</v>
      </c>
      <c r="L825" s="392" t="s">
        <v>210</v>
      </c>
      <c r="M825" s="408"/>
      <c r="N825" s="325" t="s">
        <v>437</v>
      </c>
      <c r="O825" s="324">
        <v>30</v>
      </c>
      <c r="P825" s="458">
        <v>375.8</v>
      </c>
      <c r="Q825" s="459">
        <v>381.8</v>
      </c>
      <c r="R825" s="420" t="s">
        <v>5085</v>
      </c>
      <c r="S825" s="394" t="s">
        <v>12647</v>
      </c>
      <c r="T825" s="394" t="s">
        <v>12648</v>
      </c>
      <c r="U825" s="394" t="s">
        <v>12649</v>
      </c>
      <c r="V825" s="394" t="s">
        <v>12650</v>
      </c>
      <c r="W825" s="460" t="s">
        <v>5085</v>
      </c>
      <c r="X825" s="394" t="s">
        <v>12647</v>
      </c>
      <c r="Y825" s="394" t="s">
        <v>12648</v>
      </c>
      <c r="Z825" s="394" t="s">
        <v>12649</v>
      </c>
      <c r="AA825" s="394" t="s">
        <v>12650</v>
      </c>
      <c r="AB825" s="416"/>
      <c r="AC825" s="416"/>
      <c r="AD825" s="375"/>
      <c r="AE825" s="335" t="s">
        <v>210</v>
      </c>
      <c r="AF825" s="462">
        <v>42833</v>
      </c>
      <c r="AG825" s="748">
        <v>42886</v>
      </c>
      <c r="AH825" s="417" t="s">
        <v>210</v>
      </c>
      <c r="AI825" s="392" t="s">
        <v>210</v>
      </c>
      <c r="AJ825" s="392" t="s">
        <v>210</v>
      </c>
      <c r="AK825" s="340" t="s">
        <v>210</v>
      </c>
      <c r="AL825" s="417" t="s">
        <v>210</v>
      </c>
      <c r="AM825" s="392" t="s">
        <v>210</v>
      </c>
      <c r="AN825" s="392" t="s">
        <v>210</v>
      </c>
      <c r="AO825" s="341" t="s">
        <v>210</v>
      </c>
      <c r="AP825" s="342" t="s">
        <v>210</v>
      </c>
      <c r="AQ825" s="433" t="s">
        <v>4548</v>
      </c>
      <c r="AR825" s="452">
        <v>594</v>
      </c>
      <c r="AS825" s="324">
        <v>50</v>
      </c>
      <c r="AT825" s="432">
        <v>0.8</v>
      </c>
      <c r="AU825" s="432" t="s">
        <v>5228</v>
      </c>
      <c r="AV825" s="432">
        <v>1</v>
      </c>
      <c r="AW825" s="490" t="s">
        <v>5228</v>
      </c>
      <c r="AX825" s="453" t="s">
        <v>210</v>
      </c>
      <c r="AY825" s="455" t="s">
        <v>210</v>
      </c>
      <c r="AZ825" s="405" t="s">
        <v>4083</v>
      </c>
      <c r="BA825" s="324" t="s">
        <v>210</v>
      </c>
      <c r="BB825" s="324" t="s">
        <v>210</v>
      </c>
      <c r="BC825" s="324" t="s">
        <v>3459</v>
      </c>
      <c r="BD825" s="324" t="s">
        <v>3360</v>
      </c>
      <c r="BE825" s="324" t="s">
        <v>3844</v>
      </c>
      <c r="BF825" s="324" t="s">
        <v>4185</v>
      </c>
      <c r="BG825" s="324" t="s">
        <v>3558</v>
      </c>
      <c r="BH825" s="426" t="s">
        <v>3936</v>
      </c>
      <c r="BI825" s="453">
        <v>4</v>
      </c>
      <c r="BJ825" s="427" t="s">
        <v>210</v>
      </c>
      <c r="BK825" s="412"/>
      <c r="BL825" s="413"/>
      <c r="BM825" s="414"/>
      <c r="BN825" s="321" t="s">
        <v>622</v>
      </c>
      <c r="BO825" s="372"/>
      <c r="BP825" s="340" t="s">
        <v>210</v>
      </c>
      <c r="BQ825" s="360"/>
      <c r="BR825" s="342" t="s">
        <v>5223</v>
      </c>
      <c r="BS825" s="342" t="s">
        <v>5223</v>
      </c>
      <c r="BT825" s="342" t="s">
        <v>5223</v>
      </c>
      <c r="BU825" s="342" t="s">
        <v>210</v>
      </c>
      <c r="BV825" s="342" t="s">
        <v>210</v>
      </c>
      <c r="BW825" s="341" t="s">
        <v>210</v>
      </c>
      <c r="BX825" s="361"/>
      <c r="BY825" s="457"/>
      <c r="BZ825" s="363"/>
      <c r="CA825" s="363"/>
      <c r="CB825" s="363"/>
      <c r="CC825" s="363"/>
    </row>
    <row r="826" spans="1:82" ht="22.5" customHeight="1">
      <c r="B826" s="442">
        <v>170094</v>
      </c>
      <c r="C826" s="747" t="s">
        <v>5088</v>
      </c>
      <c r="D826" s="439" t="s">
        <v>5406</v>
      </c>
      <c r="E826" s="404" t="s">
        <v>5362</v>
      </c>
      <c r="F826" s="405" t="s">
        <v>308</v>
      </c>
      <c r="G826" s="324" t="s">
        <v>5089</v>
      </c>
      <c r="H826" s="324" t="s">
        <v>5090</v>
      </c>
      <c r="I826" s="326" t="s">
        <v>383</v>
      </c>
      <c r="J826" s="326" t="s">
        <v>387</v>
      </c>
      <c r="K826" s="324" t="s">
        <v>5094</v>
      </c>
      <c r="L826" s="392" t="s">
        <v>210</v>
      </c>
      <c r="M826" s="408"/>
      <c r="N826" s="444" t="s">
        <v>438</v>
      </c>
      <c r="O826" s="324">
        <v>200</v>
      </c>
      <c r="P826" s="816">
        <v>1200</v>
      </c>
      <c r="Q826" s="817">
        <v>634</v>
      </c>
      <c r="R826" s="420" t="s">
        <v>4032</v>
      </c>
      <c r="S826" s="400"/>
      <c r="T826" s="400"/>
      <c r="U826" s="400"/>
      <c r="V826" s="400"/>
      <c r="W826" s="460" t="s">
        <v>5095</v>
      </c>
      <c r="X826" s="394" t="s">
        <v>12644</v>
      </c>
      <c r="Y826" s="394" t="s">
        <v>12645</v>
      </c>
      <c r="Z826" s="394" t="s">
        <v>16321</v>
      </c>
      <c r="AA826" s="394" t="s">
        <v>12646</v>
      </c>
      <c r="AB826" s="416"/>
      <c r="AC826" s="416"/>
      <c r="AD826" s="375"/>
      <c r="AE826" s="845"/>
      <c r="AF826" s="462">
        <v>42846</v>
      </c>
      <c r="AG826" s="748">
        <v>42853</v>
      </c>
      <c r="AH826" s="417" t="s">
        <v>210</v>
      </c>
      <c r="AI826" s="392" t="s">
        <v>210</v>
      </c>
      <c r="AJ826" s="392" t="s">
        <v>210</v>
      </c>
      <c r="AK826" s="340" t="s">
        <v>210</v>
      </c>
      <c r="AL826" s="417" t="s">
        <v>210</v>
      </c>
      <c r="AM826" s="392" t="s">
        <v>210</v>
      </c>
      <c r="AN826" s="392" t="s">
        <v>210</v>
      </c>
      <c r="AO826" s="341" t="s">
        <v>210</v>
      </c>
      <c r="AP826" s="342" t="s">
        <v>210</v>
      </c>
      <c r="AQ826" s="433" t="s">
        <v>4547</v>
      </c>
      <c r="AR826" s="452">
        <v>992</v>
      </c>
      <c r="AS826" s="324">
        <v>120</v>
      </c>
      <c r="AT826" s="432">
        <v>1</v>
      </c>
      <c r="AU826" s="432" t="s">
        <v>5228</v>
      </c>
      <c r="AV826" s="432">
        <v>1.5</v>
      </c>
      <c r="AW826" s="490" t="s">
        <v>5228</v>
      </c>
      <c r="AX826" s="453" t="s">
        <v>210</v>
      </c>
      <c r="AY826" s="455" t="s">
        <v>210</v>
      </c>
      <c r="AZ826" s="405" t="s">
        <v>4083</v>
      </c>
      <c r="BA826" s="324" t="s">
        <v>210</v>
      </c>
      <c r="BB826" s="324" t="s">
        <v>210</v>
      </c>
      <c r="BC826" s="324" t="s">
        <v>3459</v>
      </c>
      <c r="BD826" s="324" t="s">
        <v>5091</v>
      </c>
      <c r="BE826" s="324" t="s">
        <v>5092</v>
      </c>
      <c r="BF826" s="324" t="s">
        <v>3372</v>
      </c>
      <c r="BG826" s="324" t="s">
        <v>5093</v>
      </c>
      <c r="BH826" s="426" t="s">
        <v>3727</v>
      </c>
      <c r="BI826" s="453">
        <v>2</v>
      </c>
      <c r="BJ826" s="427" t="s">
        <v>210</v>
      </c>
      <c r="BK826" s="412"/>
      <c r="BL826" s="413"/>
      <c r="BM826" s="414"/>
      <c r="BN826" s="321" t="s">
        <v>622</v>
      </c>
      <c r="BO826" s="372"/>
      <c r="BP826" s="373" t="s">
        <v>622</v>
      </c>
      <c r="BQ826" s="456" t="s">
        <v>5235</v>
      </c>
      <c r="BR826" s="342" t="s">
        <v>5223</v>
      </c>
      <c r="BS826" s="342" t="s">
        <v>5223</v>
      </c>
      <c r="BT826" s="342" t="s">
        <v>5223</v>
      </c>
      <c r="BU826" s="342" t="s">
        <v>210</v>
      </c>
      <c r="BV826" s="342" t="s">
        <v>210</v>
      </c>
      <c r="BW826" s="341" t="s">
        <v>210</v>
      </c>
      <c r="BX826" s="361"/>
      <c r="BY826" s="457" t="s">
        <v>5558</v>
      </c>
      <c r="BZ826" s="363"/>
      <c r="CA826" s="363"/>
      <c r="CB826" s="363"/>
      <c r="CC826" s="363"/>
    </row>
    <row r="827" spans="1:82" ht="22.5" customHeight="1">
      <c r="B827" s="442">
        <v>170095</v>
      </c>
      <c r="C827" s="747" t="s">
        <v>5108</v>
      </c>
      <c r="D827" s="439" t="s">
        <v>5406</v>
      </c>
      <c r="E827" s="404" t="s">
        <v>5362</v>
      </c>
      <c r="F827" s="405" t="s">
        <v>1509</v>
      </c>
      <c r="G827" s="324" t="s">
        <v>1866</v>
      </c>
      <c r="H827" s="324" t="s">
        <v>5109</v>
      </c>
      <c r="I827" s="326" t="s">
        <v>383</v>
      </c>
      <c r="J827" s="326" t="s">
        <v>399</v>
      </c>
      <c r="K827" s="324" t="s">
        <v>5142</v>
      </c>
      <c r="L827" s="392" t="s">
        <v>210</v>
      </c>
      <c r="M827" s="408"/>
      <c r="N827" s="444" t="s">
        <v>438</v>
      </c>
      <c r="O827" s="324">
        <v>100</v>
      </c>
      <c r="P827" s="816">
        <v>670</v>
      </c>
      <c r="Q827" s="817">
        <v>670</v>
      </c>
      <c r="R827" s="420" t="s">
        <v>5143</v>
      </c>
      <c r="S827" s="400"/>
      <c r="T827" s="400"/>
      <c r="U827" s="400"/>
      <c r="V827" s="400"/>
      <c r="W827" s="460" t="s">
        <v>5114</v>
      </c>
      <c r="X827" s="394" t="s">
        <v>12798</v>
      </c>
      <c r="Y827" s="394" t="s">
        <v>12797</v>
      </c>
      <c r="Z827" s="394" t="s">
        <v>12796</v>
      </c>
      <c r="AA827" s="394" t="s">
        <v>12799</v>
      </c>
      <c r="AB827" s="416"/>
      <c r="AC827" s="416"/>
      <c r="AD827" s="447" t="s">
        <v>5196</v>
      </c>
      <c r="AE827" s="499" t="s">
        <v>231</v>
      </c>
      <c r="AF827" s="462">
        <v>42846</v>
      </c>
      <c r="AG827" s="748">
        <v>42886</v>
      </c>
      <c r="AH827" s="417" t="s">
        <v>210</v>
      </c>
      <c r="AI827" s="392" t="s">
        <v>210</v>
      </c>
      <c r="AJ827" s="392" t="s">
        <v>210</v>
      </c>
      <c r="AK827" s="340" t="s">
        <v>210</v>
      </c>
      <c r="AL827" s="417" t="s">
        <v>210</v>
      </c>
      <c r="AM827" s="392" t="s">
        <v>210</v>
      </c>
      <c r="AN827" s="392" t="s">
        <v>210</v>
      </c>
      <c r="AO827" s="341" t="s">
        <v>210</v>
      </c>
      <c r="AP827" s="342" t="s">
        <v>210</v>
      </c>
      <c r="AQ827" s="433" t="s">
        <v>4547</v>
      </c>
      <c r="AR827" s="452">
        <v>956</v>
      </c>
      <c r="AS827" s="324">
        <v>100</v>
      </c>
      <c r="AT827" s="432">
        <v>2.2000000000000002</v>
      </c>
      <c r="AU827" s="432" t="s">
        <v>5228</v>
      </c>
      <c r="AV827" s="432">
        <v>1</v>
      </c>
      <c r="AW827" s="490" t="s">
        <v>3727</v>
      </c>
      <c r="AX827" s="453" t="s">
        <v>210</v>
      </c>
      <c r="AY827" s="455" t="s">
        <v>210</v>
      </c>
      <c r="AZ827" s="405" t="s">
        <v>622</v>
      </c>
      <c r="BA827" s="324" t="s">
        <v>3555</v>
      </c>
      <c r="BB827" s="324" t="s">
        <v>4834</v>
      </c>
      <c r="BC827" s="324" t="s">
        <v>5110</v>
      </c>
      <c r="BD827" s="324" t="s">
        <v>3382</v>
      </c>
      <c r="BE827" s="324" t="s">
        <v>5111</v>
      </c>
      <c r="BF827" s="324" t="s">
        <v>5112</v>
      </c>
      <c r="BG827" s="324" t="s">
        <v>5113</v>
      </c>
      <c r="BH827" s="426" t="s">
        <v>3512</v>
      </c>
      <c r="BI827" s="453">
        <v>0.6</v>
      </c>
      <c r="BJ827" s="427" t="s">
        <v>210</v>
      </c>
      <c r="BK827" s="412"/>
      <c r="BL827" s="413"/>
      <c r="BM827" s="414"/>
      <c r="BN827" s="417" t="s">
        <v>210</v>
      </c>
      <c r="BO827" s="372"/>
      <c r="BP827" s="373" t="s">
        <v>622</v>
      </c>
      <c r="BQ827" s="456" t="s">
        <v>1059</v>
      </c>
      <c r="BR827" s="342" t="s">
        <v>5223</v>
      </c>
      <c r="BS827" s="342" t="s">
        <v>5233</v>
      </c>
      <c r="BT827" s="342" t="s">
        <v>5223</v>
      </c>
      <c r="BU827" s="342" t="s">
        <v>210</v>
      </c>
      <c r="BV827" s="342" t="s">
        <v>210</v>
      </c>
      <c r="BW827" s="341" t="s">
        <v>210</v>
      </c>
      <c r="BX827" s="361"/>
      <c r="BY827" s="457"/>
      <c r="BZ827" s="363"/>
      <c r="CA827" s="363"/>
      <c r="CB827" s="363"/>
      <c r="CC827" s="363"/>
    </row>
    <row r="828" spans="1:82" ht="22.5" customHeight="1">
      <c r="B828" s="442">
        <v>170096</v>
      </c>
      <c r="C828" s="747" t="s">
        <v>7733</v>
      </c>
      <c r="D828" s="439" t="s">
        <v>4849</v>
      </c>
      <c r="E828" s="404" t="s">
        <v>5362</v>
      </c>
      <c r="F828" s="405" t="s">
        <v>5134</v>
      </c>
      <c r="G828" s="324" t="s">
        <v>5135</v>
      </c>
      <c r="H828" s="324" t="s">
        <v>5136</v>
      </c>
      <c r="I828" s="326" t="s">
        <v>383</v>
      </c>
      <c r="J828" s="326" t="s">
        <v>399</v>
      </c>
      <c r="K828" s="326" t="s">
        <v>917</v>
      </c>
      <c r="L828" s="392" t="s">
        <v>210</v>
      </c>
      <c r="M828" s="324" t="s">
        <v>10767</v>
      </c>
      <c r="N828" s="325" t="s">
        <v>437</v>
      </c>
      <c r="O828" s="324">
        <v>40</v>
      </c>
      <c r="P828" s="816">
        <v>1200</v>
      </c>
      <c r="Q828" s="817">
        <v>1200</v>
      </c>
      <c r="R828" s="420" t="s">
        <v>6390</v>
      </c>
      <c r="S828" s="400"/>
      <c r="T828" s="400"/>
      <c r="U828" s="400"/>
      <c r="V828" s="400"/>
      <c r="W828" s="460" t="s">
        <v>8256</v>
      </c>
      <c r="X828" s="394" t="s">
        <v>12794</v>
      </c>
      <c r="Y828" s="400"/>
      <c r="Z828" s="400"/>
      <c r="AA828" s="394" t="s">
        <v>12795</v>
      </c>
      <c r="AB828" s="416" t="s">
        <v>513</v>
      </c>
      <c r="AC828" s="416"/>
      <c r="AD828" s="447" t="s">
        <v>3094</v>
      </c>
      <c r="AE828" s="335" t="s">
        <v>210</v>
      </c>
      <c r="AF828" s="462">
        <v>42846</v>
      </c>
      <c r="AG828" s="748">
        <v>42877</v>
      </c>
      <c r="AH828" s="417" t="s">
        <v>210</v>
      </c>
      <c r="AI828" s="392" t="s">
        <v>210</v>
      </c>
      <c r="AJ828" s="392" t="s">
        <v>210</v>
      </c>
      <c r="AK828" s="340" t="s">
        <v>210</v>
      </c>
      <c r="AL828" s="417" t="s">
        <v>210</v>
      </c>
      <c r="AM828" s="392" t="s">
        <v>210</v>
      </c>
      <c r="AN828" s="392" t="s">
        <v>210</v>
      </c>
      <c r="AO828" s="341" t="s">
        <v>210</v>
      </c>
      <c r="AP828" s="342" t="s">
        <v>210</v>
      </c>
      <c r="AQ828" s="433" t="s">
        <v>4547</v>
      </c>
      <c r="AR828" s="452">
        <v>1567</v>
      </c>
      <c r="AS828" s="324">
        <v>100</v>
      </c>
      <c r="AT828" s="432">
        <v>1</v>
      </c>
      <c r="AU828" s="432" t="s">
        <v>5228</v>
      </c>
      <c r="AV828" s="432">
        <v>1.5</v>
      </c>
      <c r="AW828" s="490" t="s">
        <v>3492</v>
      </c>
      <c r="AX828" s="453" t="s">
        <v>210</v>
      </c>
      <c r="AY828" s="455" t="s">
        <v>210</v>
      </c>
      <c r="AZ828" s="405" t="s">
        <v>622</v>
      </c>
      <c r="BA828" s="324" t="s">
        <v>5137</v>
      </c>
      <c r="BB828" s="324" t="s">
        <v>5138</v>
      </c>
      <c r="BC828" s="324" t="s">
        <v>5139</v>
      </c>
      <c r="BD828" s="324" t="s">
        <v>3492</v>
      </c>
      <c r="BE828" s="324" t="s">
        <v>3565</v>
      </c>
      <c r="BF828" s="324" t="s">
        <v>5058</v>
      </c>
      <c r="BG828" s="324" t="s">
        <v>5140</v>
      </c>
      <c r="BH828" s="426" t="s">
        <v>3512</v>
      </c>
      <c r="BI828" s="453">
        <v>0.7</v>
      </c>
      <c r="BJ828" s="427" t="s">
        <v>210</v>
      </c>
      <c r="BK828" s="412"/>
      <c r="BL828" s="413"/>
      <c r="BM828" s="414"/>
      <c r="BN828" s="321" t="s">
        <v>622</v>
      </c>
      <c r="BO828" s="372"/>
      <c r="BP828" s="373" t="s">
        <v>622</v>
      </c>
      <c r="BQ828" s="456" t="s">
        <v>1059</v>
      </c>
      <c r="BR828" s="342" t="s">
        <v>5223</v>
      </c>
      <c r="BS828" s="342" t="s">
        <v>5233</v>
      </c>
      <c r="BT828" s="342" t="s">
        <v>5223</v>
      </c>
      <c r="BU828" s="342" t="s">
        <v>210</v>
      </c>
      <c r="BV828" s="342" t="s">
        <v>210</v>
      </c>
      <c r="BW828" s="341" t="s">
        <v>210</v>
      </c>
      <c r="BX828" s="361"/>
      <c r="BY828" s="457"/>
      <c r="BZ828" s="363"/>
      <c r="CA828" s="363"/>
      <c r="CB828" s="363"/>
      <c r="CC828" s="363"/>
    </row>
    <row r="829" spans="1:82" s="465" customFormat="1" ht="22.5" customHeight="1">
      <c r="A829" s="287"/>
      <c r="B829" s="749">
        <v>170098</v>
      </c>
      <c r="C829" s="750" t="s">
        <v>5269</v>
      </c>
      <c r="D829" s="829" t="s">
        <v>5426</v>
      </c>
      <c r="E829" s="752" t="s">
        <v>5363</v>
      </c>
      <c r="F829" s="753" t="s">
        <v>5270</v>
      </c>
      <c r="G829" s="754" t="s">
        <v>5271</v>
      </c>
      <c r="H829" s="754" t="s">
        <v>5603</v>
      </c>
      <c r="I829" s="662" t="s">
        <v>383</v>
      </c>
      <c r="J829" s="662" t="s">
        <v>387</v>
      </c>
      <c r="K829" s="662" t="s">
        <v>917</v>
      </c>
      <c r="L829" s="676" t="s">
        <v>210</v>
      </c>
      <c r="M829" s="754"/>
      <c r="N829" s="755" t="s">
        <v>438</v>
      </c>
      <c r="O829" s="754">
        <v>30</v>
      </c>
      <c r="P829" s="782">
        <v>579.5</v>
      </c>
      <c r="Q829" s="783">
        <v>289.75</v>
      </c>
      <c r="R829" s="667" t="s">
        <v>432</v>
      </c>
      <c r="S829" s="668" t="s">
        <v>11082</v>
      </c>
      <c r="T829" s="668" t="s">
        <v>11082</v>
      </c>
      <c r="U829" s="668" t="s">
        <v>11082</v>
      </c>
      <c r="V829" s="668" t="s">
        <v>295</v>
      </c>
      <c r="W829" s="669" t="s">
        <v>432</v>
      </c>
      <c r="X829" s="668" t="s">
        <v>11082</v>
      </c>
      <c r="Y829" s="668" t="s">
        <v>11082</v>
      </c>
      <c r="Z829" s="668" t="s">
        <v>11082</v>
      </c>
      <c r="AA829" s="668" t="s">
        <v>210</v>
      </c>
      <c r="AB829" s="758"/>
      <c r="AC829" s="758"/>
      <c r="AD829" s="671" t="s">
        <v>2333</v>
      </c>
      <c r="AE829" s="760"/>
      <c r="AF829" s="846">
        <v>42915</v>
      </c>
      <c r="AG829" s="674" t="s">
        <v>10514</v>
      </c>
      <c r="AH829" s="765">
        <v>16.8</v>
      </c>
      <c r="AI829" s="785">
        <v>22.5</v>
      </c>
      <c r="AJ829" s="785">
        <v>12.4</v>
      </c>
      <c r="AK829" s="772">
        <f>SUM(AH829:AJ829)</f>
        <v>51.699999999999996</v>
      </c>
      <c r="AL829" s="675" t="s">
        <v>210</v>
      </c>
      <c r="AM829" s="676" t="s">
        <v>210</v>
      </c>
      <c r="AN829" s="676" t="s">
        <v>210</v>
      </c>
      <c r="AO829" s="678" t="s">
        <v>210</v>
      </c>
      <c r="AP829" s="688" t="s">
        <v>210</v>
      </c>
      <c r="AQ829" s="762" t="s">
        <v>4547</v>
      </c>
      <c r="AR829" s="763">
        <v>377</v>
      </c>
      <c r="AS829" s="754">
        <v>150</v>
      </c>
      <c r="AT829" s="785">
        <v>1</v>
      </c>
      <c r="AU829" s="785" t="s">
        <v>5228</v>
      </c>
      <c r="AV829" s="785">
        <v>1</v>
      </c>
      <c r="AW829" s="764" t="s">
        <v>5228</v>
      </c>
      <c r="AX829" s="675" t="s">
        <v>210</v>
      </c>
      <c r="AY829" s="677" t="s">
        <v>210</v>
      </c>
      <c r="AZ829" s="753" t="s">
        <v>3367</v>
      </c>
      <c r="BA829" s="754" t="s">
        <v>210</v>
      </c>
      <c r="BB829" s="754" t="s">
        <v>210</v>
      </c>
      <c r="BC829" s="754" t="s">
        <v>210</v>
      </c>
      <c r="BD829" s="754" t="s">
        <v>210</v>
      </c>
      <c r="BE829" s="754" t="s">
        <v>3475</v>
      </c>
      <c r="BF829" s="754" t="s">
        <v>5358</v>
      </c>
      <c r="BG829" s="754" t="s">
        <v>5635</v>
      </c>
      <c r="BH829" s="767" t="s">
        <v>5636</v>
      </c>
      <c r="BI829" s="765">
        <v>1.48</v>
      </c>
      <c r="BJ829" s="768" t="s">
        <v>210</v>
      </c>
      <c r="BK829" s="769"/>
      <c r="BL829" s="766"/>
      <c r="BM829" s="770"/>
      <c r="BN829" s="661" t="s">
        <v>622</v>
      </c>
      <c r="BO829" s="686"/>
      <c r="BP829" s="682" t="s">
        <v>622</v>
      </c>
      <c r="BQ829" s="773" t="s">
        <v>917</v>
      </c>
      <c r="BR829" s="688" t="s">
        <v>210</v>
      </c>
      <c r="BS829" s="688" t="s">
        <v>622</v>
      </c>
      <c r="BT829" s="688" t="s">
        <v>210</v>
      </c>
      <c r="BU829" s="688" t="s">
        <v>210</v>
      </c>
      <c r="BV829" s="688" t="s">
        <v>5402</v>
      </c>
      <c r="BW829" s="678" t="s">
        <v>210</v>
      </c>
      <c r="BX829" s="688"/>
      <c r="BY829" s="774"/>
      <c r="BZ829" s="483"/>
      <c r="CA829" s="483"/>
      <c r="CB829" s="483"/>
      <c r="CC829" s="483"/>
      <c r="CD829" s="484"/>
    </row>
    <row r="830" spans="1:82" ht="22.5" customHeight="1">
      <c r="B830" s="442">
        <v>170101</v>
      </c>
      <c r="C830" s="747" t="s">
        <v>5146</v>
      </c>
      <c r="D830" s="439" t="s">
        <v>4849</v>
      </c>
      <c r="E830" s="404" t="s">
        <v>5362</v>
      </c>
      <c r="F830" s="405" t="s">
        <v>1043</v>
      </c>
      <c r="G830" s="324" t="s">
        <v>5147</v>
      </c>
      <c r="H830" s="324" t="s">
        <v>5148</v>
      </c>
      <c r="I830" s="326" t="s">
        <v>383</v>
      </c>
      <c r="J830" s="326" t="s">
        <v>399</v>
      </c>
      <c r="K830" s="326" t="s">
        <v>917</v>
      </c>
      <c r="L830" s="392" t="s">
        <v>210</v>
      </c>
      <c r="M830" s="408"/>
      <c r="N830" s="444" t="s">
        <v>521</v>
      </c>
      <c r="O830" s="324">
        <v>230</v>
      </c>
      <c r="P830" s="458">
        <v>1406</v>
      </c>
      <c r="Q830" s="459">
        <v>1411</v>
      </c>
      <c r="R830" s="329" t="s">
        <v>1082</v>
      </c>
      <c r="S830" s="394" t="s">
        <v>12640</v>
      </c>
      <c r="T830" s="394" t="s">
        <v>11219</v>
      </c>
      <c r="U830" s="394" t="s">
        <v>16305</v>
      </c>
      <c r="V830" s="394" t="s">
        <v>11220</v>
      </c>
      <c r="W830" s="460" t="s">
        <v>5153</v>
      </c>
      <c r="X830" s="394" t="s">
        <v>12641</v>
      </c>
      <c r="Y830" s="394" t="s">
        <v>12642</v>
      </c>
      <c r="Z830" s="400"/>
      <c r="AA830" s="394" t="s">
        <v>12643</v>
      </c>
      <c r="AB830" s="416"/>
      <c r="AC830" s="416"/>
      <c r="AD830" s="447" t="s">
        <v>1591</v>
      </c>
      <c r="AE830" s="335" t="s">
        <v>210</v>
      </c>
      <c r="AF830" s="462">
        <v>42819</v>
      </c>
      <c r="AG830" s="748">
        <v>42881</v>
      </c>
      <c r="AH830" s="417" t="s">
        <v>210</v>
      </c>
      <c r="AI830" s="392" t="s">
        <v>210</v>
      </c>
      <c r="AJ830" s="392" t="s">
        <v>210</v>
      </c>
      <c r="AK830" s="340" t="s">
        <v>210</v>
      </c>
      <c r="AL830" s="417" t="s">
        <v>210</v>
      </c>
      <c r="AM830" s="392" t="s">
        <v>210</v>
      </c>
      <c r="AN830" s="392" t="s">
        <v>210</v>
      </c>
      <c r="AO830" s="341" t="s">
        <v>210</v>
      </c>
      <c r="AP830" s="342" t="s">
        <v>210</v>
      </c>
      <c r="AQ830" s="433" t="s">
        <v>4547</v>
      </c>
      <c r="AR830" s="452">
        <v>1713</v>
      </c>
      <c r="AS830" s="324">
        <v>150</v>
      </c>
      <c r="AT830" s="432">
        <v>8</v>
      </c>
      <c r="AU830" s="432" t="s">
        <v>5220</v>
      </c>
      <c r="AV830" s="432">
        <v>1.5</v>
      </c>
      <c r="AW830" s="490" t="s">
        <v>5234</v>
      </c>
      <c r="AX830" s="453" t="s">
        <v>210</v>
      </c>
      <c r="AY830" s="455" t="s">
        <v>210</v>
      </c>
      <c r="AZ830" s="405" t="s">
        <v>4083</v>
      </c>
      <c r="BA830" s="324" t="s">
        <v>210</v>
      </c>
      <c r="BB830" s="324" t="s">
        <v>210</v>
      </c>
      <c r="BC830" s="324" t="s">
        <v>5149</v>
      </c>
      <c r="BD830" s="324" t="s">
        <v>5150</v>
      </c>
      <c r="BE830" s="324" t="s">
        <v>5151</v>
      </c>
      <c r="BF830" s="324" t="s">
        <v>3492</v>
      </c>
      <c r="BG830" s="324" t="s">
        <v>5152</v>
      </c>
      <c r="BH830" s="426" t="s">
        <v>3492</v>
      </c>
      <c r="BI830" s="453">
        <v>1.8</v>
      </c>
      <c r="BJ830" s="427" t="s">
        <v>210</v>
      </c>
      <c r="BK830" s="412"/>
      <c r="BL830" s="413"/>
      <c r="BM830" s="414"/>
      <c r="BN830" s="321" t="s">
        <v>622</v>
      </c>
      <c r="BO830" s="372"/>
      <c r="BP830" s="373" t="s">
        <v>622</v>
      </c>
      <c r="BQ830" s="456" t="s">
        <v>1059</v>
      </c>
      <c r="BR830" s="342" t="s">
        <v>5223</v>
      </c>
      <c r="BS830" s="342" t="s">
        <v>5233</v>
      </c>
      <c r="BT830" s="342" t="s">
        <v>5223</v>
      </c>
      <c r="BU830" s="342" t="s">
        <v>210</v>
      </c>
      <c r="BV830" s="342" t="s">
        <v>210</v>
      </c>
      <c r="BW830" s="341" t="s">
        <v>210</v>
      </c>
      <c r="BX830" s="361"/>
      <c r="BY830" s="457"/>
      <c r="BZ830" s="363"/>
      <c r="CA830" s="363"/>
      <c r="CB830" s="363"/>
      <c r="CC830" s="363"/>
    </row>
    <row r="831" spans="1:82" ht="22.5" customHeight="1">
      <c r="B831" s="442">
        <v>170102</v>
      </c>
      <c r="C831" s="747" t="s">
        <v>5156</v>
      </c>
      <c r="D831" s="439" t="s">
        <v>4849</v>
      </c>
      <c r="E831" s="404" t="s">
        <v>5362</v>
      </c>
      <c r="F831" s="405" t="s">
        <v>1058</v>
      </c>
      <c r="G831" s="324" t="s">
        <v>1839</v>
      </c>
      <c r="H831" s="324" t="s">
        <v>3849</v>
      </c>
      <c r="I831" s="326" t="s">
        <v>383</v>
      </c>
      <c r="J831" s="326" t="s">
        <v>399</v>
      </c>
      <c r="K831" s="326" t="s">
        <v>917</v>
      </c>
      <c r="L831" s="432" t="s">
        <v>210</v>
      </c>
      <c r="M831" s="408"/>
      <c r="N831" s="325" t="s">
        <v>437</v>
      </c>
      <c r="O831" s="324">
        <v>50</v>
      </c>
      <c r="P831" s="458">
        <v>200</v>
      </c>
      <c r="Q831" s="459">
        <v>200</v>
      </c>
      <c r="R831" s="329" t="s">
        <v>479</v>
      </c>
      <c r="S831" s="400"/>
      <c r="T831" s="400"/>
      <c r="U831" s="400"/>
      <c r="V831" s="400"/>
      <c r="W831" s="460" t="s">
        <v>5157</v>
      </c>
      <c r="X831" s="394" t="s">
        <v>12826</v>
      </c>
      <c r="Y831" s="394" t="s">
        <v>12828</v>
      </c>
      <c r="Z831" s="394" t="s">
        <v>12827</v>
      </c>
      <c r="AA831" s="394" t="s">
        <v>12829</v>
      </c>
      <c r="AB831" s="416"/>
      <c r="AC831" s="416"/>
      <c r="AD831" s="375"/>
      <c r="AE831" s="335" t="s">
        <v>210</v>
      </c>
      <c r="AF831" s="462">
        <v>42820</v>
      </c>
      <c r="AG831" s="748">
        <v>42896</v>
      </c>
      <c r="AH831" s="417" t="s">
        <v>210</v>
      </c>
      <c r="AI831" s="392" t="s">
        <v>210</v>
      </c>
      <c r="AJ831" s="392" t="s">
        <v>210</v>
      </c>
      <c r="AK831" s="340" t="s">
        <v>210</v>
      </c>
      <c r="AL831" s="417" t="s">
        <v>210</v>
      </c>
      <c r="AM831" s="392" t="s">
        <v>210</v>
      </c>
      <c r="AN831" s="392" t="s">
        <v>210</v>
      </c>
      <c r="AO831" s="341" t="s">
        <v>210</v>
      </c>
      <c r="AP831" s="342" t="s">
        <v>210</v>
      </c>
      <c r="AQ831" s="433" t="s">
        <v>4548</v>
      </c>
      <c r="AR831" s="452">
        <v>310</v>
      </c>
      <c r="AS831" s="324">
        <v>50</v>
      </c>
      <c r="AT831" s="432">
        <v>1</v>
      </c>
      <c r="AU831" s="432" t="s">
        <v>5228</v>
      </c>
      <c r="AV831" s="432">
        <v>1.5</v>
      </c>
      <c r="AW831" s="490" t="s">
        <v>5228</v>
      </c>
      <c r="AX831" s="417" t="s">
        <v>210</v>
      </c>
      <c r="AY831" s="455" t="s">
        <v>210</v>
      </c>
      <c r="AZ831" s="405" t="s">
        <v>622</v>
      </c>
      <c r="BA831" s="324" t="s">
        <v>3738</v>
      </c>
      <c r="BB831" s="324" t="s">
        <v>3372</v>
      </c>
      <c r="BC831" s="324" t="s">
        <v>3459</v>
      </c>
      <c r="BD831" s="324" t="s">
        <v>3922</v>
      </c>
      <c r="BE831" s="324" t="s">
        <v>3459</v>
      </c>
      <c r="BF831" s="324" t="s">
        <v>3922</v>
      </c>
      <c r="BG831" s="324" t="s">
        <v>3475</v>
      </c>
      <c r="BH831" s="426" t="s">
        <v>4147</v>
      </c>
      <c r="BI831" s="453">
        <v>2.5</v>
      </c>
      <c r="BJ831" s="427" t="s">
        <v>210</v>
      </c>
      <c r="BK831" s="412"/>
      <c r="BL831" s="413"/>
      <c r="BM831" s="414"/>
      <c r="BN831" s="321" t="s">
        <v>622</v>
      </c>
      <c r="BO831" s="372"/>
      <c r="BP831" s="373" t="s">
        <v>622</v>
      </c>
      <c r="BQ831" s="456" t="s">
        <v>5235</v>
      </c>
      <c r="BR831" s="342" t="s">
        <v>5223</v>
      </c>
      <c r="BS831" s="342" t="s">
        <v>5233</v>
      </c>
      <c r="BT831" s="342" t="s">
        <v>5223</v>
      </c>
      <c r="BU831" s="342" t="s">
        <v>210</v>
      </c>
      <c r="BV831" s="342" t="s">
        <v>210</v>
      </c>
      <c r="BW831" s="341" t="s">
        <v>210</v>
      </c>
      <c r="BX831" s="361"/>
      <c r="BY831" s="457"/>
      <c r="BZ831" s="363"/>
      <c r="CA831" s="363"/>
      <c r="CB831" s="363"/>
      <c r="CC831" s="363"/>
    </row>
    <row r="832" spans="1:82" s="465" customFormat="1" ht="22.5" customHeight="1">
      <c r="A832" s="287"/>
      <c r="B832" s="749">
        <v>170103</v>
      </c>
      <c r="C832" s="750" t="s">
        <v>5184</v>
      </c>
      <c r="D832" s="751" t="s">
        <v>5406</v>
      </c>
      <c r="E832" s="752" t="s">
        <v>5361</v>
      </c>
      <c r="F832" s="753" t="s">
        <v>229</v>
      </c>
      <c r="G832" s="754" t="s">
        <v>5165</v>
      </c>
      <c r="H832" s="754" t="s">
        <v>5166</v>
      </c>
      <c r="I832" s="662" t="s">
        <v>383</v>
      </c>
      <c r="J832" s="662" t="s">
        <v>399</v>
      </c>
      <c r="K832" s="754" t="s">
        <v>293</v>
      </c>
      <c r="L832" s="688">
        <v>5</v>
      </c>
      <c r="M832" s="754"/>
      <c r="N832" s="755" t="s">
        <v>438</v>
      </c>
      <c r="O832" s="754">
        <v>30</v>
      </c>
      <c r="P832" s="782">
        <v>1620</v>
      </c>
      <c r="Q832" s="783">
        <v>1620</v>
      </c>
      <c r="R832" s="756" t="s">
        <v>5167</v>
      </c>
      <c r="S832" s="708" t="s">
        <v>12791</v>
      </c>
      <c r="T832" s="708" t="s">
        <v>12793</v>
      </c>
      <c r="U832" s="708" t="s">
        <v>16280</v>
      </c>
      <c r="V832" s="708" t="s">
        <v>12792</v>
      </c>
      <c r="W832" s="669" t="s">
        <v>1095</v>
      </c>
      <c r="X832" s="708" t="s">
        <v>12791</v>
      </c>
      <c r="Y832" s="708" t="s">
        <v>12793</v>
      </c>
      <c r="Z832" s="708" t="s">
        <v>16280</v>
      </c>
      <c r="AA832" s="708" t="s">
        <v>12792</v>
      </c>
      <c r="AB832" s="670" t="s">
        <v>644</v>
      </c>
      <c r="AC832" s="758"/>
      <c r="AD832" s="759"/>
      <c r="AE832" s="760"/>
      <c r="AF832" s="846">
        <v>42856</v>
      </c>
      <c r="AG832" s="674" t="s">
        <v>10514</v>
      </c>
      <c r="AH832" s="675" t="s">
        <v>210</v>
      </c>
      <c r="AI832" s="676" t="s">
        <v>210</v>
      </c>
      <c r="AJ832" s="676" t="s">
        <v>210</v>
      </c>
      <c r="AK832" s="677" t="s">
        <v>210</v>
      </c>
      <c r="AL832" s="675" t="s">
        <v>210</v>
      </c>
      <c r="AM832" s="676" t="s">
        <v>210</v>
      </c>
      <c r="AN832" s="676" t="s">
        <v>210</v>
      </c>
      <c r="AO832" s="678" t="s">
        <v>210</v>
      </c>
      <c r="AP832" s="688" t="s">
        <v>210</v>
      </c>
      <c r="AQ832" s="762" t="s">
        <v>4547</v>
      </c>
      <c r="AR832" s="763">
        <v>2093</v>
      </c>
      <c r="AS832" s="754">
        <v>80</v>
      </c>
      <c r="AT832" s="785">
        <v>1</v>
      </c>
      <c r="AU832" s="785" t="s">
        <v>5164</v>
      </c>
      <c r="AV832" s="785">
        <v>0.8</v>
      </c>
      <c r="AW832" s="764" t="s">
        <v>5164</v>
      </c>
      <c r="AX832" s="675" t="s">
        <v>210</v>
      </c>
      <c r="AY832" s="772" t="s">
        <v>210</v>
      </c>
      <c r="AZ832" s="753" t="s">
        <v>4083</v>
      </c>
      <c r="BA832" s="754" t="s">
        <v>210</v>
      </c>
      <c r="BB832" s="754" t="s">
        <v>210</v>
      </c>
      <c r="BC832" s="754" t="s">
        <v>3459</v>
      </c>
      <c r="BD832" s="754" t="s">
        <v>5150</v>
      </c>
      <c r="BE832" s="754" t="s">
        <v>210</v>
      </c>
      <c r="BF832" s="754" t="s">
        <v>210</v>
      </c>
      <c r="BG832" s="754" t="s">
        <v>5163</v>
      </c>
      <c r="BH832" s="767" t="s">
        <v>5164</v>
      </c>
      <c r="BI832" s="765">
        <v>2.7</v>
      </c>
      <c r="BJ832" s="768" t="s">
        <v>210</v>
      </c>
      <c r="BK832" s="769"/>
      <c r="BL832" s="766"/>
      <c r="BM832" s="770"/>
      <c r="BN832" s="661" t="s">
        <v>622</v>
      </c>
      <c r="BO832" s="686"/>
      <c r="BP832" s="677" t="s">
        <v>210</v>
      </c>
      <c r="BQ832" s="773" t="s">
        <v>5235</v>
      </c>
      <c r="BR832" s="688" t="s">
        <v>210</v>
      </c>
      <c r="BS832" s="688" t="s">
        <v>622</v>
      </c>
      <c r="BT832" s="688" t="s">
        <v>210</v>
      </c>
      <c r="BU832" s="688" t="s">
        <v>622</v>
      </c>
      <c r="BV832" s="688" t="s">
        <v>210</v>
      </c>
      <c r="BW832" s="678" t="s">
        <v>210</v>
      </c>
      <c r="BX832" s="688"/>
      <c r="BY832" s="774" t="s">
        <v>5548</v>
      </c>
      <c r="BZ832" s="483"/>
      <c r="CA832" s="483"/>
      <c r="CB832" s="483"/>
      <c r="CC832" s="483"/>
      <c r="CD832" s="484"/>
    </row>
    <row r="833" spans="1:82" ht="22.5" customHeight="1">
      <c r="B833" s="442">
        <v>170112</v>
      </c>
      <c r="C833" s="747" t="s">
        <v>5173</v>
      </c>
      <c r="D833" s="439" t="s">
        <v>5406</v>
      </c>
      <c r="E833" s="404" t="s">
        <v>5362</v>
      </c>
      <c r="F833" s="405" t="s">
        <v>839</v>
      </c>
      <c r="G833" s="324" t="s">
        <v>2173</v>
      </c>
      <c r="H833" s="324" t="s">
        <v>5174</v>
      </c>
      <c r="I833" s="326" t="s">
        <v>383</v>
      </c>
      <c r="J833" s="326" t="s">
        <v>399</v>
      </c>
      <c r="K833" s="324" t="s">
        <v>293</v>
      </c>
      <c r="L833" s="342">
        <v>1.7</v>
      </c>
      <c r="M833" s="408"/>
      <c r="N833" s="444" t="s">
        <v>438</v>
      </c>
      <c r="O833" s="324">
        <v>30</v>
      </c>
      <c r="P833" s="816">
        <v>265</v>
      </c>
      <c r="Q833" s="817">
        <v>265</v>
      </c>
      <c r="R833" s="420" t="s">
        <v>5178</v>
      </c>
      <c r="S833" s="394" t="s">
        <v>12638</v>
      </c>
      <c r="T833" s="400"/>
      <c r="U833" s="400"/>
      <c r="V833" s="394" t="s">
        <v>12639</v>
      </c>
      <c r="W833" s="332" t="s">
        <v>644</v>
      </c>
      <c r="X833" s="400"/>
      <c r="Y833" s="394" t="s">
        <v>11201</v>
      </c>
      <c r="Z833" s="394" t="s">
        <v>12155</v>
      </c>
      <c r="AA833" s="400"/>
      <c r="AB833" s="416" t="s">
        <v>5181</v>
      </c>
      <c r="AC833" s="416"/>
      <c r="AD833" s="447" t="s">
        <v>5278</v>
      </c>
      <c r="AE833" s="499" t="s">
        <v>5330</v>
      </c>
      <c r="AF833" s="462">
        <v>42856</v>
      </c>
      <c r="AG833" s="748">
        <v>42879</v>
      </c>
      <c r="AH833" s="417" t="s">
        <v>210</v>
      </c>
      <c r="AI833" s="392" t="s">
        <v>210</v>
      </c>
      <c r="AJ833" s="392" t="s">
        <v>210</v>
      </c>
      <c r="AK833" s="340" t="s">
        <v>210</v>
      </c>
      <c r="AL833" s="417" t="s">
        <v>210</v>
      </c>
      <c r="AM833" s="392" t="s">
        <v>210</v>
      </c>
      <c r="AN833" s="392" t="s">
        <v>210</v>
      </c>
      <c r="AO833" s="341" t="s">
        <v>210</v>
      </c>
      <c r="AP833" s="342" t="s">
        <v>210</v>
      </c>
      <c r="AQ833" s="433" t="s">
        <v>4547</v>
      </c>
      <c r="AR833" s="452">
        <v>418</v>
      </c>
      <c r="AS833" s="324">
        <v>80</v>
      </c>
      <c r="AT833" s="432">
        <v>1</v>
      </c>
      <c r="AU833" s="432" t="s">
        <v>5220</v>
      </c>
      <c r="AV833" s="432">
        <v>1.5</v>
      </c>
      <c r="AW833" s="490" t="s">
        <v>5221</v>
      </c>
      <c r="AX833" s="417" t="s">
        <v>210</v>
      </c>
      <c r="AY833" s="455" t="s">
        <v>210</v>
      </c>
      <c r="AZ833" s="405" t="s">
        <v>622</v>
      </c>
      <c r="BA833" s="324" t="s">
        <v>5175</v>
      </c>
      <c r="BB833" s="324" t="s">
        <v>3372</v>
      </c>
      <c r="BC833" s="324" t="s">
        <v>3475</v>
      </c>
      <c r="BD833" s="324" t="s">
        <v>3382</v>
      </c>
      <c r="BE833" s="324" t="s">
        <v>5176</v>
      </c>
      <c r="BF833" s="324" t="s">
        <v>5177</v>
      </c>
      <c r="BG833" s="324" t="s">
        <v>210</v>
      </c>
      <c r="BH833" s="426" t="s">
        <v>210</v>
      </c>
      <c r="BI833" s="453">
        <v>1</v>
      </c>
      <c r="BJ833" s="427" t="s">
        <v>210</v>
      </c>
      <c r="BK833" s="412"/>
      <c r="BL833" s="413"/>
      <c r="BM833" s="414"/>
      <c r="BN833" s="321" t="s">
        <v>622</v>
      </c>
      <c r="BO833" s="372">
        <v>1.1200000000000001</v>
      </c>
      <c r="BP833" s="373" t="s">
        <v>622</v>
      </c>
      <c r="BQ833" s="456" t="s">
        <v>5225</v>
      </c>
      <c r="BR833" s="342" t="s">
        <v>5223</v>
      </c>
      <c r="BS833" s="342" t="s">
        <v>5233</v>
      </c>
      <c r="BT833" s="342" t="s">
        <v>5223</v>
      </c>
      <c r="BU833" s="342" t="s">
        <v>210</v>
      </c>
      <c r="BV833" s="342" t="s">
        <v>210</v>
      </c>
      <c r="BW833" s="341" t="s">
        <v>210</v>
      </c>
      <c r="BX833" s="361"/>
      <c r="BY833" s="457"/>
      <c r="BZ833" s="363"/>
      <c r="CA833" s="363"/>
      <c r="CB833" s="363"/>
      <c r="CC833" s="363"/>
    </row>
    <row r="834" spans="1:82" ht="22.5" customHeight="1">
      <c r="B834" s="442">
        <v>170113</v>
      </c>
      <c r="C834" s="747" t="s">
        <v>5590</v>
      </c>
      <c r="D834" s="439" t="s">
        <v>5591</v>
      </c>
      <c r="E834" s="404" t="s">
        <v>5361</v>
      </c>
      <c r="F834" s="405" t="s">
        <v>5592</v>
      </c>
      <c r="G834" s="324" t="s">
        <v>4035</v>
      </c>
      <c r="H834" s="324" t="s">
        <v>5593</v>
      </c>
      <c r="I834" s="326" t="s">
        <v>383</v>
      </c>
      <c r="J834" s="326" t="s">
        <v>399</v>
      </c>
      <c r="K834" s="324" t="s">
        <v>5594</v>
      </c>
      <c r="L834" s="361"/>
      <c r="M834" s="408"/>
      <c r="N834" s="444" t="s">
        <v>5651</v>
      </c>
      <c r="O834" s="324">
        <v>110</v>
      </c>
      <c r="P834" s="458">
        <v>1631</v>
      </c>
      <c r="Q834" s="459">
        <v>1644</v>
      </c>
      <c r="R834" s="420" t="s">
        <v>5595</v>
      </c>
      <c r="S834" s="394" t="s">
        <v>12634</v>
      </c>
      <c r="T834" s="394" t="s">
        <v>12635</v>
      </c>
      <c r="U834" s="394" t="s">
        <v>12636</v>
      </c>
      <c r="V834" s="394" t="s">
        <v>12637</v>
      </c>
      <c r="W834" s="460" t="s">
        <v>5595</v>
      </c>
      <c r="X834" s="394" t="s">
        <v>12634</v>
      </c>
      <c r="Y834" s="394" t="s">
        <v>12635</v>
      </c>
      <c r="Z834" s="394" t="s">
        <v>12636</v>
      </c>
      <c r="AA834" s="394" t="s">
        <v>12637</v>
      </c>
      <c r="AB834" s="416"/>
      <c r="AC834" s="416"/>
      <c r="AD834" s="447" t="s">
        <v>7809</v>
      </c>
      <c r="AE834" s="499" t="s">
        <v>966</v>
      </c>
      <c r="AF834" s="462">
        <v>42929</v>
      </c>
      <c r="AG834" s="748">
        <v>43314</v>
      </c>
      <c r="AH834" s="417" t="s">
        <v>210</v>
      </c>
      <c r="AI834" s="392" t="s">
        <v>210</v>
      </c>
      <c r="AJ834" s="392" t="s">
        <v>210</v>
      </c>
      <c r="AK834" s="340" t="s">
        <v>210</v>
      </c>
      <c r="AL834" s="392" t="s">
        <v>210</v>
      </c>
      <c r="AM834" s="392" t="s">
        <v>210</v>
      </c>
      <c r="AN834" s="392" t="s">
        <v>210</v>
      </c>
      <c r="AO834" s="341" t="s">
        <v>210</v>
      </c>
      <c r="AP834" s="342" t="s">
        <v>210</v>
      </c>
      <c r="AQ834" s="433" t="s">
        <v>4547</v>
      </c>
      <c r="AR834" s="452">
        <f>236.9+1598+480+32.6+180+72.2</f>
        <v>2599.6999999999998</v>
      </c>
      <c r="AS834" s="324">
        <v>100</v>
      </c>
      <c r="AT834" s="432">
        <v>1</v>
      </c>
      <c r="AU834" s="432" t="s">
        <v>5246</v>
      </c>
      <c r="AV834" s="432">
        <v>1.5</v>
      </c>
      <c r="AW834" s="490" t="s">
        <v>3382</v>
      </c>
      <c r="AX834" s="417" t="s">
        <v>210</v>
      </c>
      <c r="AY834" s="455" t="s">
        <v>210</v>
      </c>
      <c r="AZ834" s="405" t="s">
        <v>622</v>
      </c>
      <c r="BA834" s="324" t="s">
        <v>5598</v>
      </c>
      <c r="BB834" s="324" t="s">
        <v>3382</v>
      </c>
      <c r="BC834" s="324" t="s">
        <v>3738</v>
      </c>
      <c r="BD834" s="324" t="s">
        <v>5599</v>
      </c>
      <c r="BE834" s="324" t="s">
        <v>5600</v>
      </c>
      <c r="BF834" s="324" t="s">
        <v>5599</v>
      </c>
      <c r="BG834" s="324" t="s">
        <v>5601</v>
      </c>
      <c r="BH834" s="426" t="s">
        <v>3574</v>
      </c>
      <c r="BI834" s="453">
        <v>1</v>
      </c>
      <c r="BJ834" s="427" t="s">
        <v>210</v>
      </c>
      <c r="BK834" s="412"/>
      <c r="BL834" s="413"/>
      <c r="BM834" s="414"/>
      <c r="BN834" s="321" t="s">
        <v>622</v>
      </c>
      <c r="BO834" s="372"/>
      <c r="BP834" s="373" t="s">
        <v>622</v>
      </c>
      <c r="BQ834" s="456" t="s">
        <v>5650</v>
      </c>
      <c r="BR834" s="342" t="s">
        <v>622</v>
      </c>
      <c r="BS834" s="342" t="s">
        <v>622</v>
      </c>
      <c r="BT834" s="342" t="s">
        <v>622</v>
      </c>
      <c r="BU834" s="342" t="s">
        <v>210</v>
      </c>
      <c r="BV834" s="342" t="s">
        <v>210</v>
      </c>
      <c r="BW834" s="341" t="s">
        <v>210</v>
      </c>
      <c r="BX834" s="361"/>
      <c r="BY834" s="457" t="s">
        <v>5602</v>
      </c>
      <c r="BZ834" s="363"/>
      <c r="CA834" s="363"/>
      <c r="CB834" s="363"/>
      <c r="CC834" s="363"/>
    </row>
    <row r="835" spans="1:82" ht="22.5" customHeight="1">
      <c r="B835" s="442">
        <v>170115</v>
      </c>
      <c r="C835" s="747" t="s">
        <v>5205</v>
      </c>
      <c r="D835" s="439" t="s">
        <v>5406</v>
      </c>
      <c r="E835" s="404" t="s">
        <v>5362</v>
      </c>
      <c r="F835" s="405" t="s">
        <v>1043</v>
      </c>
      <c r="G835" s="324" t="s">
        <v>5185</v>
      </c>
      <c r="H835" s="324" t="s">
        <v>5186</v>
      </c>
      <c r="I835" s="326" t="s">
        <v>383</v>
      </c>
      <c r="J835" s="326" t="s">
        <v>399</v>
      </c>
      <c r="K835" s="324" t="s">
        <v>977</v>
      </c>
      <c r="L835" s="778"/>
      <c r="M835" s="408"/>
      <c r="N835" s="444" t="s">
        <v>521</v>
      </c>
      <c r="O835" s="324">
        <v>140</v>
      </c>
      <c r="P835" s="816">
        <v>990</v>
      </c>
      <c r="Q835" s="817">
        <v>990</v>
      </c>
      <c r="R835" s="420" t="s">
        <v>5187</v>
      </c>
      <c r="S835" s="400"/>
      <c r="T835" s="400"/>
      <c r="U835" s="400"/>
      <c r="V835" s="400"/>
      <c r="W835" s="460" t="s">
        <v>5190</v>
      </c>
      <c r="X835" s="394" t="s">
        <v>12830</v>
      </c>
      <c r="Y835" s="394" t="s">
        <v>12831</v>
      </c>
      <c r="Z835" s="394" t="s">
        <v>16327</v>
      </c>
      <c r="AA835" s="394" t="s">
        <v>12832</v>
      </c>
      <c r="AB835" s="416"/>
      <c r="AC835" s="416"/>
      <c r="AD835" s="447" t="s">
        <v>5429</v>
      </c>
      <c r="AE835" s="499" t="s">
        <v>5427</v>
      </c>
      <c r="AF835" s="462">
        <v>42864</v>
      </c>
      <c r="AG835" s="748">
        <v>42902</v>
      </c>
      <c r="AH835" s="417" t="s">
        <v>210</v>
      </c>
      <c r="AI835" s="392" t="s">
        <v>210</v>
      </c>
      <c r="AJ835" s="392" t="s">
        <v>210</v>
      </c>
      <c r="AK835" s="340" t="s">
        <v>210</v>
      </c>
      <c r="AL835" s="417" t="s">
        <v>210</v>
      </c>
      <c r="AM835" s="392" t="s">
        <v>210</v>
      </c>
      <c r="AN835" s="392" t="s">
        <v>210</v>
      </c>
      <c r="AO835" s="341" t="s">
        <v>210</v>
      </c>
      <c r="AP835" s="342" t="s">
        <v>210</v>
      </c>
      <c r="AQ835" s="433" t="s">
        <v>4547</v>
      </c>
      <c r="AR835" s="452">
        <v>1354</v>
      </c>
      <c r="AS835" s="324">
        <v>100</v>
      </c>
      <c r="AT835" s="432">
        <v>1</v>
      </c>
      <c r="AU835" s="432" t="s">
        <v>5228</v>
      </c>
      <c r="AV835" s="432">
        <v>1</v>
      </c>
      <c r="AW835" s="490" t="s">
        <v>5227</v>
      </c>
      <c r="AX835" s="417" t="s">
        <v>210</v>
      </c>
      <c r="AY835" s="455" t="s">
        <v>210</v>
      </c>
      <c r="AZ835" s="405" t="s">
        <v>4083</v>
      </c>
      <c r="BA835" s="324" t="s">
        <v>210</v>
      </c>
      <c r="BB835" s="324" t="s">
        <v>210</v>
      </c>
      <c r="BC835" s="324" t="s">
        <v>210</v>
      </c>
      <c r="BD835" s="324" t="s">
        <v>210</v>
      </c>
      <c r="BE835" s="324" t="s">
        <v>210</v>
      </c>
      <c r="BF835" s="324" t="s">
        <v>210</v>
      </c>
      <c r="BG835" s="324" t="s">
        <v>3555</v>
      </c>
      <c r="BH835" s="426" t="s">
        <v>3372</v>
      </c>
      <c r="BI835" s="453">
        <v>2</v>
      </c>
      <c r="BJ835" s="427" t="s">
        <v>210</v>
      </c>
      <c r="BK835" s="412"/>
      <c r="BL835" s="413"/>
      <c r="BM835" s="414"/>
      <c r="BN835" s="417" t="s">
        <v>210</v>
      </c>
      <c r="BO835" s="372"/>
      <c r="BP835" s="340" t="s">
        <v>210</v>
      </c>
      <c r="BQ835" s="456" t="s">
        <v>1059</v>
      </c>
      <c r="BR835" s="342" t="s">
        <v>5223</v>
      </c>
      <c r="BS835" s="342" t="s">
        <v>5233</v>
      </c>
      <c r="BT835" s="342" t="s">
        <v>5223</v>
      </c>
      <c r="BU835" s="342" t="s">
        <v>210</v>
      </c>
      <c r="BV835" s="342" t="s">
        <v>210</v>
      </c>
      <c r="BW835" s="341" t="s">
        <v>210</v>
      </c>
      <c r="BX835" s="361"/>
      <c r="BY835" s="457"/>
      <c r="BZ835" s="363"/>
      <c r="CA835" s="363"/>
      <c r="CB835" s="363"/>
      <c r="CC835" s="363"/>
    </row>
    <row r="836" spans="1:82" ht="22.5" customHeight="1">
      <c r="B836" s="442">
        <v>170116</v>
      </c>
      <c r="C836" s="747" t="s">
        <v>5207</v>
      </c>
      <c r="D836" s="439" t="s">
        <v>5406</v>
      </c>
      <c r="E836" s="404" t="s">
        <v>5362</v>
      </c>
      <c r="F836" s="405" t="s">
        <v>5208</v>
      </c>
      <c r="G836" s="324" t="s">
        <v>5209</v>
      </c>
      <c r="H836" s="324" t="s">
        <v>5210</v>
      </c>
      <c r="I836" s="324" t="s">
        <v>766</v>
      </c>
      <c r="J836" s="326" t="s">
        <v>399</v>
      </c>
      <c r="K836" s="326" t="s">
        <v>993</v>
      </c>
      <c r="L836" s="432" t="s">
        <v>210</v>
      </c>
      <c r="M836" s="408"/>
      <c r="N836" s="444" t="s">
        <v>468</v>
      </c>
      <c r="O836" s="324">
        <v>60</v>
      </c>
      <c r="P836" s="816">
        <v>1800</v>
      </c>
      <c r="Q836" s="817">
        <v>1800</v>
      </c>
      <c r="R836" s="420" t="s">
        <v>668</v>
      </c>
      <c r="S836" s="400"/>
      <c r="T836" s="400"/>
      <c r="U836" s="400"/>
      <c r="V836" s="400"/>
      <c r="W836" s="460" t="s">
        <v>5212</v>
      </c>
      <c r="X836" s="394" t="s">
        <v>12787</v>
      </c>
      <c r="Y836" s="394" t="s">
        <v>12789</v>
      </c>
      <c r="Z836" s="394" t="s">
        <v>12788</v>
      </c>
      <c r="AA836" s="394" t="s">
        <v>12790</v>
      </c>
      <c r="AB836" s="416"/>
      <c r="AC836" s="416"/>
      <c r="AD836" s="447" t="s">
        <v>6116</v>
      </c>
      <c r="AE836" s="335" t="s">
        <v>210</v>
      </c>
      <c r="AF836" s="462">
        <v>42867</v>
      </c>
      <c r="AG836" s="748">
        <v>43038</v>
      </c>
      <c r="AH836" s="417" t="s">
        <v>210</v>
      </c>
      <c r="AI836" s="392" t="s">
        <v>210</v>
      </c>
      <c r="AJ836" s="392" t="s">
        <v>210</v>
      </c>
      <c r="AK836" s="340" t="s">
        <v>210</v>
      </c>
      <c r="AL836" s="417" t="s">
        <v>210</v>
      </c>
      <c r="AM836" s="392" t="s">
        <v>210</v>
      </c>
      <c r="AN836" s="392" t="s">
        <v>210</v>
      </c>
      <c r="AO836" s="341" t="s">
        <v>210</v>
      </c>
      <c r="AP836" s="342" t="s">
        <v>210</v>
      </c>
      <c r="AQ836" s="433" t="s">
        <v>4548</v>
      </c>
      <c r="AR836" s="452">
        <f>764+312+1162+192</f>
        <v>2430</v>
      </c>
      <c r="AS836" s="324">
        <v>80</v>
      </c>
      <c r="AT836" s="432">
        <v>1</v>
      </c>
      <c r="AU836" s="432" t="s">
        <v>5058</v>
      </c>
      <c r="AV836" s="432">
        <v>1.7</v>
      </c>
      <c r="AW836" s="490" t="s">
        <v>5388</v>
      </c>
      <c r="AX836" s="417" t="s">
        <v>210</v>
      </c>
      <c r="AY836" s="455" t="s">
        <v>210</v>
      </c>
      <c r="AZ836" s="405" t="s">
        <v>4083</v>
      </c>
      <c r="BA836" s="324" t="s">
        <v>210</v>
      </c>
      <c r="BB836" s="324" t="s">
        <v>210</v>
      </c>
      <c r="BC836" s="324" t="s">
        <v>3459</v>
      </c>
      <c r="BD836" s="324" t="s">
        <v>3434</v>
      </c>
      <c r="BE836" s="324" t="s">
        <v>5272</v>
      </c>
      <c r="BF836" s="324" t="s">
        <v>3494</v>
      </c>
      <c r="BG836" s="324" t="s">
        <v>3555</v>
      </c>
      <c r="BH836" s="426" t="s">
        <v>3494</v>
      </c>
      <c r="BI836" s="453">
        <v>2.5</v>
      </c>
      <c r="BJ836" s="427">
        <v>2.33</v>
      </c>
      <c r="BK836" s="412"/>
      <c r="BL836" s="413"/>
      <c r="BM836" s="414"/>
      <c r="BN836" s="321" t="s">
        <v>622</v>
      </c>
      <c r="BO836" s="372"/>
      <c r="BP836" s="373" t="s">
        <v>622</v>
      </c>
      <c r="BQ836" s="456" t="s">
        <v>6160</v>
      </c>
      <c r="BR836" s="342" t="s">
        <v>210</v>
      </c>
      <c r="BS836" s="342" t="s">
        <v>622</v>
      </c>
      <c r="BT836" s="342" t="s">
        <v>210</v>
      </c>
      <c r="BU836" s="342" t="s">
        <v>210</v>
      </c>
      <c r="BV836" s="342" t="s">
        <v>210</v>
      </c>
      <c r="BW836" s="341" t="s">
        <v>210</v>
      </c>
      <c r="BX836" s="361"/>
      <c r="BY836" s="457" t="s">
        <v>5549</v>
      </c>
      <c r="BZ836" s="363"/>
      <c r="CA836" s="363"/>
      <c r="CB836" s="363"/>
      <c r="CC836" s="363"/>
    </row>
    <row r="837" spans="1:82" ht="22.5" customHeight="1">
      <c r="B837" s="442">
        <v>170117</v>
      </c>
      <c r="C837" s="747" t="s">
        <v>5198</v>
      </c>
      <c r="D837" s="439" t="s">
        <v>5406</v>
      </c>
      <c r="E837" s="404" t="s">
        <v>5362</v>
      </c>
      <c r="F837" s="405" t="s">
        <v>5199</v>
      </c>
      <c r="G837" s="324" t="s">
        <v>2169</v>
      </c>
      <c r="H837" s="324" t="s">
        <v>5245</v>
      </c>
      <c r="I837" s="326" t="s">
        <v>383</v>
      </c>
      <c r="J837" s="326" t="s">
        <v>399</v>
      </c>
      <c r="K837" s="324" t="s">
        <v>307</v>
      </c>
      <c r="L837" s="432" t="s">
        <v>210</v>
      </c>
      <c r="M837" s="408"/>
      <c r="N837" s="325" t="s">
        <v>437</v>
      </c>
      <c r="O837" s="324">
        <v>60</v>
      </c>
      <c r="P837" s="816">
        <v>940</v>
      </c>
      <c r="Q837" s="817">
        <v>940</v>
      </c>
      <c r="R837" s="420" t="s">
        <v>12624</v>
      </c>
      <c r="S837" s="394" t="s">
        <v>12623</v>
      </c>
      <c r="T837" s="394" t="s">
        <v>12626</v>
      </c>
      <c r="U837" s="394" t="s">
        <v>16457</v>
      </c>
      <c r="V837" s="394" t="s">
        <v>12627</v>
      </c>
      <c r="W837" s="460" t="s">
        <v>5200</v>
      </c>
      <c r="X837" s="394" t="s">
        <v>12630</v>
      </c>
      <c r="Y837" s="394" t="s">
        <v>12628</v>
      </c>
      <c r="Z837" s="394" t="s">
        <v>16477</v>
      </c>
      <c r="AA837" s="394" t="s">
        <v>12629</v>
      </c>
      <c r="AB837" s="416"/>
      <c r="AC837" s="416"/>
      <c r="AD837" s="447" t="s">
        <v>5509</v>
      </c>
      <c r="AE837" s="335" t="s">
        <v>210</v>
      </c>
      <c r="AF837" s="462">
        <v>42865</v>
      </c>
      <c r="AG837" s="748">
        <v>42909</v>
      </c>
      <c r="AH837" s="417" t="s">
        <v>210</v>
      </c>
      <c r="AI837" s="392" t="s">
        <v>210</v>
      </c>
      <c r="AJ837" s="392" t="s">
        <v>210</v>
      </c>
      <c r="AK837" s="340" t="s">
        <v>210</v>
      </c>
      <c r="AL837" s="417" t="s">
        <v>210</v>
      </c>
      <c r="AM837" s="392" t="s">
        <v>210</v>
      </c>
      <c r="AN837" s="392" t="s">
        <v>210</v>
      </c>
      <c r="AO837" s="341" t="s">
        <v>210</v>
      </c>
      <c r="AP837" s="342" t="s">
        <v>210</v>
      </c>
      <c r="AQ837" s="433" t="s">
        <v>4547</v>
      </c>
      <c r="AR837" s="452">
        <v>1253</v>
      </c>
      <c r="AS837" s="324">
        <v>80</v>
      </c>
      <c r="AT837" s="432">
        <v>0.8</v>
      </c>
      <c r="AU837" s="432" t="s">
        <v>5228</v>
      </c>
      <c r="AV837" s="432">
        <v>1</v>
      </c>
      <c r="AW837" s="490" t="s">
        <v>5228</v>
      </c>
      <c r="AX837" s="417" t="s">
        <v>210</v>
      </c>
      <c r="AY837" s="455" t="s">
        <v>210</v>
      </c>
      <c r="AZ837" s="405" t="s">
        <v>4083</v>
      </c>
      <c r="BA837" s="324" t="s">
        <v>210</v>
      </c>
      <c r="BB837" s="324" t="s">
        <v>210</v>
      </c>
      <c r="BC837" s="324" t="s">
        <v>210</v>
      </c>
      <c r="BD837" s="324" t="s">
        <v>210</v>
      </c>
      <c r="BE837" s="324" t="s">
        <v>210</v>
      </c>
      <c r="BF837" s="324" t="s">
        <v>210</v>
      </c>
      <c r="BG837" s="324" t="s">
        <v>3475</v>
      </c>
      <c r="BH837" s="426" t="s">
        <v>5246</v>
      </c>
      <c r="BI837" s="453">
        <v>4</v>
      </c>
      <c r="BJ837" s="427" t="s">
        <v>210</v>
      </c>
      <c r="BK837" s="412"/>
      <c r="BL837" s="413"/>
      <c r="BM837" s="414"/>
      <c r="BN837" s="321" t="s">
        <v>622</v>
      </c>
      <c r="BO837" s="372"/>
      <c r="BP837" s="340" t="s">
        <v>210</v>
      </c>
      <c r="BQ837" s="456" t="s">
        <v>5235</v>
      </c>
      <c r="BR837" s="342" t="s">
        <v>210</v>
      </c>
      <c r="BS837" s="342" t="s">
        <v>622</v>
      </c>
      <c r="BT837" s="342" t="s">
        <v>210</v>
      </c>
      <c r="BU837" s="342" t="s">
        <v>210</v>
      </c>
      <c r="BV837" s="342" t="s">
        <v>210</v>
      </c>
      <c r="BW837" s="341" t="s">
        <v>210</v>
      </c>
      <c r="BX837" s="361"/>
      <c r="BY837" s="457"/>
      <c r="BZ837" s="363"/>
      <c r="CA837" s="363"/>
      <c r="CB837" s="363"/>
      <c r="CC837" s="363"/>
    </row>
    <row r="838" spans="1:82" s="465" customFormat="1" ht="22.5" customHeight="1">
      <c r="A838" s="287"/>
      <c r="B838" s="749">
        <v>170120</v>
      </c>
      <c r="C838" s="750" t="s">
        <v>5248</v>
      </c>
      <c r="D838" s="751" t="s">
        <v>4849</v>
      </c>
      <c r="E838" s="752" t="s">
        <v>5362</v>
      </c>
      <c r="F838" s="753" t="s">
        <v>1043</v>
      </c>
      <c r="G838" s="754" t="s">
        <v>5249</v>
      </c>
      <c r="H838" s="754" t="s">
        <v>5250</v>
      </c>
      <c r="I838" s="662" t="s">
        <v>383</v>
      </c>
      <c r="J838" s="662" t="s">
        <v>399</v>
      </c>
      <c r="K838" s="662" t="s">
        <v>917</v>
      </c>
      <c r="L838" s="785" t="s">
        <v>210</v>
      </c>
      <c r="M838" s="662"/>
      <c r="N838" s="664" t="s">
        <v>437</v>
      </c>
      <c r="O838" s="754">
        <v>230</v>
      </c>
      <c r="P838" s="782">
        <v>740</v>
      </c>
      <c r="Q838" s="783">
        <v>740</v>
      </c>
      <c r="R838" s="756" t="s">
        <v>5251</v>
      </c>
      <c r="S838" s="708" t="s">
        <v>12631</v>
      </c>
      <c r="T838" s="708" t="s">
        <v>12632</v>
      </c>
      <c r="U838" s="708" t="s">
        <v>16300</v>
      </c>
      <c r="V838" s="708" t="s">
        <v>12633</v>
      </c>
      <c r="W838" s="757" t="s">
        <v>5251</v>
      </c>
      <c r="X838" s="708" t="s">
        <v>12631</v>
      </c>
      <c r="Y838" s="708" t="s">
        <v>12632</v>
      </c>
      <c r="Z838" s="708" t="s">
        <v>16300</v>
      </c>
      <c r="AA838" s="708" t="s">
        <v>12633</v>
      </c>
      <c r="AB838" s="758"/>
      <c r="AC838" s="758"/>
      <c r="AD838" s="759"/>
      <c r="AE838" s="760"/>
      <c r="AF838" s="846">
        <v>42869</v>
      </c>
      <c r="AG838" s="674" t="s">
        <v>10514</v>
      </c>
      <c r="AH838" s="675" t="s">
        <v>210</v>
      </c>
      <c r="AI838" s="676" t="s">
        <v>210</v>
      </c>
      <c r="AJ838" s="676" t="s">
        <v>210</v>
      </c>
      <c r="AK838" s="677" t="s">
        <v>210</v>
      </c>
      <c r="AL838" s="675" t="s">
        <v>210</v>
      </c>
      <c r="AM838" s="676" t="s">
        <v>210</v>
      </c>
      <c r="AN838" s="676" t="s">
        <v>210</v>
      </c>
      <c r="AO838" s="678" t="s">
        <v>210</v>
      </c>
      <c r="AP838" s="688" t="s">
        <v>210</v>
      </c>
      <c r="AQ838" s="762" t="s">
        <v>4547</v>
      </c>
      <c r="AR838" s="763"/>
      <c r="AS838" s="754">
        <v>150</v>
      </c>
      <c r="AT838" s="785">
        <v>0.8</v>
      </c>
      <c r="AU838" s="785"/>
      <c r="AV838" s="785">
        <v>1.6</v>
      </c>
      <c r="AW838" s="764"/>
      <c r="AX838" s="675" t="s">
        <v>210</v>
      </c>
      <c r="AY838" s="772" t="s">
        <v>210</v>
      </c>
      <c r="AZ838" s="753" t="s">
        <v>4083</v>
      </c>
      <c r="BA838" s="754" t="s">
        <v>210</v>
      </c>
      <c r="BB838" s="754" t="s">
        <v>210</v>
      </c>
      <c r="BC838" s="754" t="s">
        <v>3459</v>
      </c>
      <c r="BD838" s="754" t="s">
        <v>3372</v>
      </c>
      <c r="BE838" s="754" t="s">
        <v>210</v>
      </c>
      <c r="BF838" s="754" t="s">
        <v>210</v>
      </c>
      <c r="BG838" s="754" t="s">
        <v>3459</v>
      </c>
      <c r="BH838" s="767" t="s">
        <v>5266</v>
      </c>
      <c r="BI838" s="765">
        <v>2</v>
      </c>
      <c r="BJ838" s="768" t="s">
        <v>210</v>
      </c>
      <c r="BK838" s="769"/>
      <c r="BL838" s="766"/>
      <c r="BM838" s="770"/>
      <c r="BN838" s="765"/>
      <c r="BO838" s="771"/>
      <c r="BP838" s="772"/>
      <c r="BQ838" s="773"/>
      <c r="BR838" s="688" t="s">
        <v>210</v>
      </c>
      <c r="BS838" s="688" t="s">
        <v>622</v>
      </c>
      <c r="BT838" s="688" t="s">
        <v>210</v>
      </c>
      <c r="BU838" s="688" t="s">
        <v>210</v>
      </c>
      <c r="BV838" s="688" t="s">
        <v>210</v>
      </c>
      <c r="BW838" s="678" t="s">
        <v>210</v>
      </c>
      <c r="BX838" s="688"/>
      <c r="BY838" s="774"/>
      <c r="BZ838" s="483"/>
      <c r="CA838" s="483"/>
      <c r="CB838" s="483"/>
      <c r="CC838" s="483"/>
      <c r="CD838" s="484"/>
    </row>
    <row r="839" spans="1:82" s="883" customFormat="1" ht="22.5" customHeight="1">
      <c r="A839" s="287"/>
      <c r="B839" s="442">
        <v>170121</v>
      </c>
      <c r="C839" s="849" t="s">
        <v>5261</v>
      </c>
      <c r="D839" s="850" t="s">
        <v>5344</v>
      </c>
      <c r="E839" s="851" t="s">
        <v>5361</v>
      </c>
      <c r="F839" s="852" t="s">
        <v>4072</v>
      </c>
      <c r="G839" s="853" t="s">
        <v>5262</v>
      </c>
      <c r="H839" s="853" t="s">
        <v>5263</v>
      </c>
      <c r="I839" s="854" t="s">
        <v>383</v>
      </c>
      <c r="J839" s="854" t="s">
        <v>6036</v>
      </c>
      <c r="K839" s="853" t="s">
        <v>977</v>
      </c>
      <c r="L839" s="855">
        <v>5.4</v>
      </c>
      <c r="M839" s="408"/>
      <c r="N839" s="856" t="s">
        <v>438</v>
      </c>
      <c r="O839" s="853">
        <v>21</v>
      </c>
      <c r="P839" s="857">
        <v>1480</v>
      </c>
      <c r="Q839" s="858">
        <v>370</v>
      </c>
      <c r="R839" s="859" t="s">
        <v>5366</v>
      </c>
      <c r="S839" s="400"/>
      <c r="T839" s="400"/>
      <c r="U839" s="400"/>
      <c r="V839" s="400"/>
      <c r="W839" s="860" t="s">
        <v>3874</v>
      </c>
      <c r="X839" s="394" t="s">
        <v>12619</v>
      </c>
      <c r="Y839" s="394" t="s">
        <v>12621</v>
      </c>
      <c r="Z839" s="394" t="s">
        <v>12620</v>
      </c>
      <c r="AA839" s="394" t="s">
        <v>12622</v>
      </c>
      <c r="AB839" s="861"/>
      <c r="AC839" s="861"/>
      <c r="AD839" s="859"/>
      <c r="AE839" s="862" t="s">
        <v>245</v>
      </c>
      <c r="AF839" s="863">
        <v>42871</v>
      </c>
      <c r="AG839" s="864">
        <v>42973</v>
      </c>
      <c r="AH839" s="865" t="s">
        <v>210</v>
      </c>
      <c r="AI839" s="866" t="s">
        <v>210</v>
      </c>
      <c r="AJ839" s="866" t="s">
        <v>210</v>
      </c>
      <c r="AK839" s="867" t="s">
        <v>210</v>
      </c>
      <c r="AL839" s="865" t="s">
        <v>210</v>
      </c>
      <c r="AM839" s="866" t="s">
        <v>210</v>
      </c>
      <c r="AN839" s="866" t="s">
        <v>210</v>
      </c>
      <c r="AO839" s="868" t="s">
        <v>210</v>
      </c>
      <c r="AP839" s="855" t="s">
        <v>210</v>
      </c>
      <c r="AQ839" s="869" t="s">
        <v>5331</v>
      </c>
      <c r="AR839" s="870">
        <v>538</v>
      </c>
      <c r="AS839" s="853">
        <v>150</v>
      </c>
      <c r="AT839" s="871">
        <v>1.2</v>
      </c>
      <c r="AU839" s="871" t="s">
        <v>5389</v>
      </c>
      <c r="AV839" s="871">
        <v>1.2</v>
      </c>
      <c r="AW839" s="872" t="s">
        <v>5389</v>
      </c>
      <c r="AX839" s="865" t="s">
        <v>210</v>
      </c>
      <c r="AY839" s="873" t="s">
        <v>210</v>
      </c>
      <c r="AZ839" s="852" t="s">
        <v>4083</v>
      </c>
      <c r="BA839" s="853" t="s">
        <v>210</v>
      </c>
      <c r="BB839" s="853" t="s">
        <v>210</v>
      </c>
      <c r="BC839" s="853" t="s">
        <v>3995</v>
      </c>
      <c r="BD839" s="853" t="s">
        <v>3382</v>
      </c>
      <c r="BE839" s="853" t="s">
        <v>3557</v>
      </c>
      <c r="BF839" s="853" t="s">
        <v>5264</v>
      </c>
      <c r="BG839" s="853" t="s">
        <v>5265</v>
      </c>
      <c r="BH839" s="874" t="s">
        <v>5246</v>
      </c>
      <c r="BI839" s="875">
        <v>7</v>
      </c>
      <c r="BJ839" s="876" t="s">
        <v>210</v>
      </c>
      <c r="BK839" s="412"/>
      <c r="BL839" s="413"/>
      <c r="BM839" s="414"/>
      <c r="BN839" s="877" t="s">
        <v>622</v>
      </c>
      <c r="BO839" s="878"/>
      <c r="BP839" s="867" t="s">
        <v>210</v>
      </c>
      <c r="BQ839" s="879" t="s">
        <v>5390</v>
      </c>
      <c r="BR839" s="855" t="s">
        <v>210</v>
      </c>
      <c r="BS839" s="854" t="s">
        <v>622</v>
      </c>
      <c r="BT839" s="855" t="s">
        <v>210</v>
      </c>
      <c r="BU839" s="855" t="s">
        <v>210</v>
      </c>
      <c r="BV839" s="855" t="s">
        <v>210</v>
      </c>
      <c r="BW839" s="868" t="s">
        <v>210</v>
      </c>
      <c r="BX839" s="361"/>
      <c r="BY839" s="880" t="s">
        <v>5549</v>
      </c>
      <c r="BZ839" s="881"/>
      <c r="CA839" s="881"/>
      <c r="CB839" s="881"/>
      <c r="CC839" s="881"/>
      <c r="CD839" s="882"/>
    </row>
    <row r="840" spans="1:82" ht="22.5" customHeight="1">
      <c r="B840" s="442">
        <v>170122</v>
      </c>
      <c r="C840" s="747" t="s">
        <v>5206</v>
      </c>
      <c r="D840" s="439" t="s">
        <v>5406</v>
      </c>
      <c r="E840" s="404" t="s">
        <v>5362</v>
      </c>
      <c r="F840" s="405" t="s">
        <v>5201</v>
      </c>
      <c r="G840" s="324" t="s">
        <v>2230</v>
      </c>
      <c r="H840" s="324" t="s">
        <v>5267</v>
      </c>
      <c r="I840" s="326" t="s">
        <v>383</v>
      </c>
      <c r="J840" s="326" t="s">
        <v>399</v>
      </c>
      <c r="K840" s="324" t="s">
        <v>3400</v>
      </c>
      <c r="L840" s="432" t="s">
        <v>210</v>
      </c>
      <c r="M840" s="408"/>
      <c r="N840" s="444" t="s">
        <v>438</v>
      </c>
      <c r="O840" s="324">
        <v>200</v>
      </c>
      <c r="P840" s="816">
        <v>1400</v>
      </c>
      <c r="Q840" s="817">
        <v>1400</v>
      </c>
      <c r="R840" s="420" t="s">
        <v>6680</v>
      </c>
      <c r="S840" s="400"/>
      <c r="T840" s="400"/>
      <c r="U840" s="400"/>
      <c r="V840" s="400"/>
      <c r="W840" s="460" t="s">
        <v>5202</v>
      </c>
      <c r="X840" s="400"/>
      <c r="Y840" s="400"/>
      <c r="Z840" s="400"/>
      <c r="AA840" s="400"/>
      <c r="AB840" s="416"/>
      <c r="AC840" s="416"/>
      <c r="AD840" s="334" t="s">
        <v>2322</v>
      </c>
      <c r="AE840" s="499" t="s">
        <v>5577</v>
      </c>
      <c r="AF840" s="462">
        <v>42866</v>
      </c>
      <c r="AG840" s="748">
        <v>42914</v>
      </c>
      <c r="AH840" s="417" t="s">
        <v>210</v>
      </c>
      <c r="AI840" s="392" t="s">
        <v>210</v>
      </c>
      <c r="AJ840" s="392" t="s">
        <v>210</v>
      </c>
      <c r="AK840" s="340" t="s">
        <v>210</v>
      </c>
      <c r="AL840" s="417" t="s">
        <v>210</v>
      </c>
      <c r="AM840" s="392" t="s">
        <v>210</v>
      </c>
      <c r="AN840" s="392" t="s">
        <v>210</v>
      </c>
      <c r="AO840" s="341" t="s">
        <v>210</v>
      </c>
      <c r="AP840" s="342" t="s">
        <v>210</v>
      </c>
      <c r="AQ840" s="433" t="s">
        <v>4547</v>
      </c>
      <c r="AR840" s="452">
        <v>2148</v>
      </c>
      <c r="AS840" s="324">
        <v>100</v>
      </c>
      <c r="AT840" s="432">
        <v>0.8</v>
      </c>
      <c r="AU840" s="432" t="s">
        <v>5228</v>
      </c>
      <c r="AV840" s="432">
        <v>1.6</v>
      </c>
      <c r="AW840" s="490" t="s">
        <v>5280</v>
      </c>
      <c r="AX840" s="417" t="s">
        <v>210</v>
      </c>
      <c r="AY840" s="340" t="s">
        <v>622</v>
      </c>
      <c r="AZ840" s="405" t="s">
        <v>4083</v>
      </c>
      <c r="BA840" s="324" t="s">
        <v>210</v>
      </c>
      <c r="BB840" s="324" t="s">
        <v>210</v>
      </c>
      <c r="BC840" s="324" t="s">
        <v>3475</v>
      </c>
      <c r="BD840" s="324" t="s">
        <v>3487</v>
      </c>
      <c r="BE840" s="324" t="s">
        <v>3557</v>
      </c>
      <c r="BF840" s="324" t="s">
        <v>3372</v>
      </c>
      <c r="BG840" s="324" t="s">
        <v>3459</v>
      </c>
      <c r="BH840" s="426" t="s">
        <v>3372</v>
      </c>
      <c r="BI840" s="453">
        <v>1.5</v>
      </c>
      <c r="BJ840" s="427" t="s">
        <v>210</v>
      </c>
      <c r="BK840" s="412"/>
      <c r="BL840" s="413"/>
      <c r="BM840" s="414"/>
      <c r="BN840" s="321" t="s">
        <v>622</v>
      </c>
      <c r="BO840" s="372"/>
      <c r="BP840" s="373" t="s">
        <v>622</v>
      </c>
      <c r="BQ840" s="456" t="s">
        <v>917</v>
      </c>
      <c r="BR840" s="342" t="s">
        <v>210</v>
      </c>
      <c r="BS840" s="342" t="s">
        <v>622</v>
      </c>
      <c r="BT840" s="342" t="s">
        <v>210</v>
      </c>
      <c r="BU840" s="342" t="s">
        <v>210</v>
      </c>
      <c r="BV840" s="342" t="s">
        <v>210</v>
      </c>
      <c r="BW840" s="341" t="s">
        <v>210</v>
      </c>
      <c r="BX840" s="361"/>
      <c r="BY840" s="457"/>
      <c r="BZ840" s="363"/>
      <c r="CA840" s="363"/>
      <c r="CB840" s="363"/>
      <c r="CC840" s="363"/>
    </row>
    <row r="841" spans="1:82" ht="22.5" customHeight="1">
      <c r="B841" s="442">
        <v>170123</v>
      </c>
      <c r="C841" s="747" t="s">
        <v>7793</v>
      </c>
      <c r="D841" s="439" t="s">
        <v>4849</v>
      </c>
      <c r="E841" s="404" t="s">
        <v>5362</v>
      </c>
      <c r="F841" s="405" t="s">
        <v>5193</v>
      </c>
      <c r="G841" s="324" t="s">
        <v>5194</v>
      </c>
      <c r="H841" s="324" t="s">
        <v>5195</v>
      </c>
      <c r="I841" s="326" t="s">
        <v>383</v>
      </c>
      <c r="J841" s="326" t="s">
        <v>399</v>
      </c>
      <c r="K841" s="326" t="s">
        <v>917</v>
      </c>
      <c r="L841" s="432" t="s">
        <v>210</v>
      </c>
      <c r="M841" s="408"/>
      <c r="N841" s="325" t="s">
        <v>437</v>
      </c>
      <c r="O841" s="324">
        <v>30</v>
      </c>
      <c r="P841" s="816">
        <v>1100</v>
      </c>
      <c r="Q841" s="817">
        <v>1100</v>
      </c>
      <c r="R841" s="420" t="s">
        <v>3501</v>
      </c>
      <c r="S841" s="394" t="s">
        <v>12783</v>
      </c>
      <c r="T841" s="400"/>
      <c r="U841" s="400"/>
      <c r="V841" s="394" t="s">
        <v>12618</v>
      </c>
      <c r="W841" s="460" t="s">
        <v>3504</v>
      </c>
      <c r="X841" s="394" t="s">
        <v>12781</v>
      </c>
      <c r="Y841" s="400"/>
      <c r="Z841" s="400"/>
      <c r="AA841" s="394" t="s">
        <v>12782</v>
      </c>
      <c r="AB841" s="416"/>
      <c r="AC841" s="416"/>
      <c r="AD841" s="447" t="s">
        <v>5979</v>
      </c>
      <c r="AE841" s="335" t="s">
        <v>210</v>
      </c>
      <c r="AF841" s="462">
        <v>42864</v>
      </c>
      <c r="AG841" s="748">
        <v>43024</v>
      </c>
      <c r="AH841" s="417" t="s">
        <v>210</v>
      </c>
      <c r="AI841" s="392" t="s">
        <v>210</v>
      </c>
      <c r="AJ841" s="392" t="s">
        <v>210</v>
      </c>
      <c r="AK841" s="340" t="s">
        <v>210</v>
      </c>
      <c r="AL841" s="417" t="s">
        <v>210</v>
      </c>
      <c r="AM841" s="392" t="s">
        <v>210</v>
      </c>
      <c r="AN841" s="392" t="s">
        <v>622</v>
      </c>
      <c r="AO841" s="341" t="s">
        <v>210</v>
      </c>
      <c r="AP841" s="342" t="s">
        <v>210</v>
      </c>
      <c r="AQ841" s="433" t="s">
        <v>4547</v>
      </c>
      <c r="AR841" s="452">
        <v>1543</v>
      </c>
      <c r="AS841" s="324">
        <v>80</v>
      </c>
      <c r="AT841" s="432">
        <v>1</v>
      </c>
      <c r="AU841" s="432" t="s">
        <v>5228</v>
      </c>
      <c r="AV841" s="432">
        <v>1.5</v>
      </c>
      <c r="AW841" s="490" t="s">
        <v>3434</v>
      </c>
      <c r="AX841" s="417" t="s">
        <v>210</v>
      </c>
      <c r="AY841" s="455" t="s">
        <v>210</v>
      </c>
      <c r="AZ841" s="405" t="s">
        <v>622</v>
      </c>
      <c r="BA841" s="324" t="s">
        <v>5340</v>
      </c>
      <c r="BB841" s="324" t="s">
        <v>3492</v>
      </c>
      <c r="BC841" s="324" t="s">
        <v>5341</v>
      </c>
      <c r="BD841" s="324" t="s">
        <v>3494</v>
      </c>
      <c r="BE841" s="324" t="s">
        <v>5342</v>
      </c>
      <c r="BF841" s="324" t="s">
        <v>3434</v>
      </c>
      <c r="BG841" s="324" t="s">
        <v>5343</v>
      </c>
      <c r="BH841" s="426" t="s">
        <v>3494</v>
      </c>
      <c r="BI841" s="453">
        <v>1</v>
      </c>
      <c r="BJ841" s="427" t="s">
        <v>9793</v>
      </c>
      <c r="BK841" s="412"/>
      <c r="BL841" s="413"/>
      <c r="BM841" s="414"/>
      <c r="BN841" s="321" t="s">
        <v>622</v>
      </c>
      <c r="BO841" s="372"/>
      <c r="BP841" s="373" t="s">
        <v>622</v>
      </c>
      <c r="BQ841" s="456" t="s">
        <v>1059</v>
      </c>
      <c r="BR841" s="342" t="s">
        <v>622</v>
      </c>
      <c r="BS841" s="342" t="s">
        <v>622</v>
      </c>
      <c r="BT841" s="342" t="s">
        <v>210</v>
      </c>
      <c r="BU841" s="342" t="s">
        <v>210</v>
      </c>
      <c r="BV841" s="342" t="s">
        <v>210</v>
      </c>
      <c r="BW841" s="341" t="s">
        <v>210</v>
      </c>
      <c r="BX841" s="361"/>
      <c r="BY841" s="457" t="s">
        <v>5553</v>
      </c>
      <c r="BZ841" s="363"/>
      <c r="CA841" s="363"/>
      <c r="CB841" s="363"/>
      <c r="CC841" s="363"/>
    </row>
    <row r="842" spans="1:82" ht="22.5" customHeight="1">
      <c r="B842" s="442">
        <v>170124</v>
      </c>
      <c r="C842" s="747" t="s">
        <v>5252</v>
      </c>
      <c r="D842" s="439" t="s">
        <v>4854</v>
      </c>
      <c r="E842" s="404" t="s">
        <v>5361</v>
      </c>
      <c r="F842" s="405" t="s">
        <v>5253</v>
      </c>
      <c r="G842" s="324" t="s">
        <v>5254</v>
      </c>
      <c r="H842" s="324" t="s">
        <v>5255</v>
      </c>
      <c r="I842" s="326" t="s">
        <v>383</v>
      </c>
      <c r="J842" s="326" t="s">
        <v>399</v>
      </c>
      <c r="K842" s="324" t="s">
        <v>977</v>
      </c>
      <c r="L842" s="432" t="s">
        <v>210</v>
      </c>
      <c r="M842" s="324" t="s">
        <v>10767</v>
      </c>
      <c r="N842" s="444" t="s">
        <v>438</v>
      </c>
      <c r="O842" s="324">
        <v>60</v>
      </c>
      <c r="P842" s="816">
        <v>1280</v>
      </c>
      <c r="Q842" s="817">
        <v>1280</v>
      </c>
      <c r="R842" s="420" t="s">
        <v>5258</v>
      </c>
      <c r="S842" s="400"/>
      <c r="T842" s="400"/>
      <c r="U842" s="400"/>
      <c r="V842" s="400"/>
      <c r="W842" s="460" t="s">
        <v>5260</v>
      </c>
      <c r="X842" s="394" t="s">
        <v>12614</v>
      </c>
      <c r="Y842" s="394" t="s">
        <v>12617</v>
      </c>
      <c r="Z842" s="394" t="s">
        <v>12615</v>
      </c>
      <c r="AA842" s="394" t="s">
        <v>12616</v>
      </c>
      <c r="AB842" s="416"/>
      <c r="AC842" s="416"/>
      <c r="AD842" s="334" t="s">
        <v>6423</v>
      </c>
      <c r="AE842" s="845"/>
      <c r="AF842" s="462">
        <v>42870</v>
      </c>
      <c r="AG842" s="748">
        <v>42965</v>
      </c>
      <c r="AH842" s="417" t="s">
        <v>210</v>
      </c>
      <c r="AI842" s="392" t="s">
        <v>210</v>
      </c>
      <c r="AJ842" s="392" t="s">
        <v>210</v>
      </c>
      <c r="AK842" s="340" t="s">
        <v>210</v>
      </c>
      <c r="AL842" s="417" t="s">
        <v>210</v>
      </c>
      <c r="AM842" s="392" t="s">
        <v>210</v>
      </c>
      <c r="AN842" s="392" t="s">
        <v>210</v>
      </c>
      <c r="AO842" s="341" t="s">
        <v>210</v>
      </c>
      <c r="AP842" s="342" t="s">
        <v>210</v>
      </c>
      <c r="AQ842" s="433" t="s">
        <v>4547</v>
      </c>
      <c r="AR842" s="452">
        <v>1552</v>
      </c>
      <c r="AS842" s="324">
        <v>100</v>
      </c>
      <c r="AT842" s="432">
        <v>1</v>
      </c>
      <c r="AU842" s="432" t="s">
        <v>5228</v>
      </c>
      <c r="AV842" s="432">
        <v>1.5</v>
      </c>
      <c r="AW842" s="490" t="s">
        <v>5228</v>
      </c>
      <c r="AX842" s="417" t="s">
        <v>210</v>
      </c>
      <c r="AY842" s="455" t="s">
        <v>210</v>
      </c>
      <c r="AZ842" s="405" t="s">
        <v>4083</v>
      </c>
      <c r="BA842" s="324" t="s">
        <v>210</v>
      </c>
      <c r="BB842" s="324" t="s">
        <v>210</v>
      </c>
      <c r="BC842" s="324" t="s">
        <v>3459</v>
      </c>
      <c r="BD842" s="324" t="s">
        <v>5058</v>
      </c>
      <c r="BE842" s="324" t="s">
        <v>5256</v>
      </c>
      <c r="BF842" s="324" t="s">
        <v>3372</v>
      </c>
      <c r="BG842" s="324" t="s">
        <v>3459</v>
      </c>
      <c r="BH842" s="426" t="s">
        <v>5058</v>
      </c>
      <c r="BI842" s="453">
        <v>2.5</v>
      </c>
      <c r="BJ842" s="427" t="s">
        <v>210</v>
      </c>
      <c r="BK842" s="412"/>
      <c r="BL842" s="413"/>
      <c r="BM842" s="414"/>
      <c r="BN842" s="417" t="s">
        <v>210</v>
      </c>
      <c r="BO842" s="372"/>
      <c r="BP842" s="340" t="s">
        <v>210</v>
      </c>
      <c r="BQ842" s="456" t="s">
        <v>5235</v>
      </c>
      <c r="BR842" s="342" t="s">
        <v>210</v>
      </c>
      <c r="BS842" s="342" t="s">
        <v>622</v>
      </c>
      <c r="BT842" s="342" t="s">
        <v>210</v>
      </c>
      <c r="BU842" s="342" t="s">
        <v>210</v>
      </c>
      <c r="BV842" s="342" t="s">
        <v>210</v>
      </c>
      <c r="BW842" s="341" t="s">
        <v>210</v>
      </c>
      <c r="BX842" s="361"/>
      <c r="BY842" s="457"/>
      <c r="BZ842" s="363"/>
      <c r="CA842" s="363"/>
      <c r="CB842" s="363"/>
      <c r="CC842" s="363"/>
    </row>
    <row r="843" spans="1:82" ht="22.5" customHeight="1">
      <c r="B843" s="442">
        <v>170125</v>
      </c>
      <c r="C843" s="747" t="s">
        <v>5615</v>
      </c>
      <c r="D843" s="439" t="s">
        <v>4849</v>
      </c>
      <c r="E843" s="404" t="s">
        <v>5361</v>
      </c>
      <c r="F843" s="405" t="s">
        <v>240</v>
      </c>
      <c r="G843" s="324" t="s">
        <v>1790</v>
      </c>
      <c r="H843" s="324" t="s">
        <v>4475</v>
      </c>
      <c r="I843" s="326" t="s">
        <v>383</v>
      </c>
      <c r="J843" s="326" t="s">
        <v>387</v>
      </c>
      <c r="K843" s="324" t="s">
        <v>307</v>
      </c>
      <c r="L843" s="432" t="s">
        <v>210</v>
      </c>
      <c r="M843" s="408"/>
      <c r="N843" s="325" t="s">
        <v>437</v>
      </c>
      <c r="O843" s="324">
        <v>30</v>
      </c>
      <c r="P843" s="458">
        <v>386</v>
      </c>
      <c r="Q843" s="459">
        <v>197</v>
      </c>
      <c r="R843" s="329" t="s">
        <v>479</v>
      </c>
      <c r="S843" s="394" t="s">
        <v>12612</v>
      </c>
      <c r="T843" s="394" t="s">
        <v>12613</v>
      </c>
      <c r="U843" s="400"/>
      <c r="V843" s="394" t="s">
        <v>12611</v>
      </c>
      <c r="W843" s="332" t="s">
        <v>479</v>
      </c>
      <c r="X843" s="394" t="s">
        <v>12612</v>
      </c>
      <c r="Y843" s="394" t="s">
        <v>12613</v>
      </c>
      <c r="Z843" s="400"/>
      <c r="AA843" s="394" t="s">
        <v>12611</v>
      </c>
      <c r="AB843" s="416"/>
      <c r="AC843" s="416"/>
      <c r="AD843" s="334" t="s">
        <v>2325</v>
      </c>
      <c r="AE843" s="335" t="s">
        <v>210</v>
      </c>
      <c r="AF843" s="462">
        <v>42872</v>
      </c>
      <c r="AG843" s="748">
        <v>42936</v>
      </c>
      <c r="AH843" s="417" t="s">
        <v>210</v>
      </c>
      <c r="AI843" s="392" t="s">
        <v>210</v>
      </c>
      <c r="AJ843" s="392" t="s">
        <v>210</v>
      </c>
      <c r="AK843" s="340" t="s">
        <v>210</v>
      </c>
      <c r="AL843" s="417" t="s">
        <v>210</v>
      </c>
      <c r="AM843" s="392" t="s">
        <v>210</v>
      </c>
      <c r="AN843" s="392" t="s">
        <v>210</v>
      </c>
      <c r="AO843" s="341" t="s">
        <v>210</v>
      </c>
      <c r="AP843" s="342" t="s">
        <v>210</v>
      </c>
      <c r="AQ843" s="433" t="s">
        <v>4548</v>
      </c>
      <c r="AR843" s="452">
        <v>293</v>
      </c>
      <c r="AS843" s="324">
        <v>50</v>
      </c>
      <c r="AT843" s="432">
        <v>0.8</v>
      </c>
      <c r="AU843" s="432" t="s">
        <v>5246</v>
      </c>
      <c r="AV843" s="432">
        <v>1.5</v>
      </c>
      <c r="AW843" s="490" t="s">
        <v>5246</v>
      </c>
      <c r="AX843" s="417" t="s">
        <v>210</v>
      </c>
      <c r="AY843" s="455" t="s">
        <v>210</v>
      </c>
      <c r="AZ843" s="405" t="s">
        <v>4083</v>
      </c>
      <c r="BA843" s="324" t="s">
        <v>210</v>
      </c>
      <c r="BB843" s="324" t="s">
        <v>210</v>
      </c>
      <c r="BC843" s="324" t="s">
        <v>3565</v>
      </c>
      <c r="BD843" s="324" t="s">
        <v>3372</v>
      </c>
      <c r="BE843" s="324" t="s">
        <v>3995</v>
      </c>
      <c r="BF843" s="324" t="s">
        <v>3372</v>
      </c>
      <c r="BG843" s="324" t="s">
        <v>3555</v>
      </c>
      <c r="BH843" s="426" t="s">
        <v>3559</v>
      </c>
      <c r="BI843" s="453">
        <v>2.5</v>
      </c>
      <c r="BJ843" s="427" t="s">
        <v>210</v>
      </c>
      <c r="BK843" s="412"/>
      <c r="BL843" s="413"/>
      <c r="BM843" s="414"/>
      <c r="BN843" s="417" t="s">
        <v>210</v>
      </c>
      <c r="BO843" s="372"/>
      <c r="BP843" s="340" t="s">
        <v>210</v>
      </c>
      <c r="BQ843" s="456" t="s">
        <v>5235</v>
      </c>
      <c r="BR843" s="342" t="s">
        <v>210</v>
      </c>
      <c r="BS843" s="342" t="s">
        <v>210</v>
      </c>
      <c r="BT843" s="342" t="s">
        <v>210</v>
      </c>
      <c r="BU843" s="342" t="s">
        <v>210</v>
      </c>
      <c r="BV843" s="342" t="s">
        <v>210</v>
      </c>
      <c r="BW843" s="341" t="s">
        <v>210</v>
      </c>
      <c r="BX843" s="361"/>
      <c r="BY843" s="457" t="s">
        <v>5551</v>
      </c>
      <c r="BZ843" s="363"/>
      <c r="CA843" s="363"/>
      <c r="CB843" s="363"/>
      <c r="CC843" s="363"/>
    </row>
    <row r="844" spans="1:82" ht="22.5" customHeight="1">
      <c r="B844" s="442">
        <v>170126</v>
      </c>
      <c r="C844" s="747" t="s">
        <v>5273</v>
      </c>
      <c r="D844" s="439" t="s">
        <v>4849</v>
      </c>
      <c r="E844" s="404" t="s">
        <v>5362</v>
      </c>
      <c r="F844" s="405" t="s">
        <v>304</v>
      </c>
      <c r="G844" s="324" t="s">
        <v>4831</v>
      </c>
      <c r="H844" s="324" t="s">
        <v>4832</v>
      </c>
      <c r="I844" s="326" t="s">
        <v>383</v>
      </c>
      <c r="J844" s="326" t="s">
        <v>399</v>
      </c>
      <c r="K844" s="326" t="s">
        <v>917</v>
      </c>
      <c r="L844" s="432" t="s">
        <v>210</v>
      </c>
      <c r="M844" s="408"/>
      <c r="N844" s="325" t="s">
        <v>437</v>
      </c>
      <c r="O844" s="324">
        <v>53</v>
      </c>
      <c r="P844" s="458">
        <v>732</v>
      </c>
      <c r="Q844" s="459">
        <v>732</v>
      </c>
      <c r="R844" s="329" t="s">
        <v>479</v>
      </c>
      <c r="S844" s="394" t="s">
        <v>12574</v>
      </c>
      <c r="T844" s="394" t="s">
        <v>12575</v>
      </c>
      <c r="U844" s="400"/>
      <c r="V844" s="394" t="s">
        <v>12576</v>
      </c>
      <c r="W844" s="332" t="s">
        <v>479</v>
      </c>
      <c r="X844" s="394" t="s">
        <v>12574</v>
      </c>
      <c r="Y844" s="394" t="s">
        <v>12575</v>
      </c>
      <c r="Z844" s="400"/>
      <c r="AA844" s="394" t="s">
        <v>12576</v>
      </c>
      <c r="AB844" s="416"/>
      <c r="AC844" s="416"/>
      <c r="AD844" s="375"/>
      <c r="AE844" s="335" t="s">
        <v>210</v>
      </c>
      <c r="AF844" s="462">
        <v>42873</v>
      </c>
      <c r="AG844" s="748">
        <v>42929</v>
      </c>
      <c r="AH844" s="417" t="s">
        <v>210</v>
      </c>
      <c r="AI844" s="392" t="s">
        <v>210</v>
      </c>
      <c r="AJ844" s="392" t="s">
        <v>210</v>
      </c>
      <c r="AK844" s="340" t="s">
        <v>210</v>
      </c>
      <c r="AL844" s="417" t="s">
        <v>210</v>
      </c>
      <c r="AM844" s="392" t="s">
        <v>210</v>
      </c>
      <c r="AN844" s="392" t="s">
        <v>210</v>
      </c>
      <c r="AO844" s="341" t="s">
        <v>210</v>
      </c>
      <c r="AP844" s="342" t="s">
        <v>210</v>
      </c>
      <c r="AQ844" s="433" t="s">
        <v>4548</v>
      </c>
      <c r="AR844" s="452">
        <v>983</v>
      </c>
      <c r="AS844" s="324">
        <v>50</v>
      </c>
      <c r="AT844" s="432">
        <v>1</v>
      </c>
      <c r="AU844" s="432" t="s">
        <v>5246</v>
      </c>
      <c r="AV844" s="432">
        <v>1.5</v>
      </c>
      <c r="AW844" s="490" t="s">
        <v>5275</v>
      </c>
      <c r="AX844" s="417" t="s">
        <v>210</v>
      </c>
      <c r="AY844" s="455" t="s">
        <v>210</v>
      </c>
      <c r="AZ844" s="405" t="s">
        <v>622</v>
      </c>
      <c r="BA844" s="324" t="s">
        <v>3475</v>
      </c>
      <c r="BB844" s="324" t="s">
        <v>4834</v>
      </c>
      <c r="BC844" s="324" t="s">
        <v>3555</v>
      </c>
      <c r="BD844" s="324" t="s">
        <v>4836</v>
      </c>
      <c r="BE844" s="324" t="s">
        <v>3565</v>
      </c>
      <c r="BF844" s="324" t="s">
        <v>3487</v>
      </c>
      <c r="BG844" s="324" t="s">
        <v>3565</v>
      </c>
      <c r="BH844" s="426" t="s">
        <v>3487</v>
      </c>
      <c r="BI844" s="453">
        <v>0.5</v>
      </c>
      <c r="BJ844" s="427" t="s">
        <v>210</v>
      </c>
      <c r="BK844" s="412"/>
      <c r="BL844" s="413"/>
      <c r="BM844" s="414"/>
      <c r="BN844" s="321" t="s">
        <v>622</v>
      </c>
      <c r="BO844" s="372"/>
      <c r="BP844" s="373" t="s">
        <v>622</v>
      </c>
      <c r="BQ844" s="456" t="s">
        <v>1059</v>
      </c>
      <c r="BR844" s="342" t="s">
        <v>210</v>
      </c>
      <c r="BS844" s="342" t="s">
        <v>622</v>
      </c>
      <c r="BT844" s="342" t="s">
        <v>210</v>
      </c>
      <c r="BU844" s="342" t="s">
        <v>210</v>
      </c>
      <c r="BV844" s="342" t="s">
        <v>210</v>
      </c>
      <c r="BW844" s="341" t="s">
        <v>210</v>
      </c>
      <c r="BX844" s="361"/>
      <c r="BY844" s="457" t="s">
        <v>5550</v>
      </c>
      <c r="BZ844" s="363"/>
      <c r="CA844" s="363"/>
      <c r="CB844" s="363"/>
      <c r="CC844" s="363"/>
    </row>
    <row r="845" spans="1:82" s="465" customFormat="1" ht="22.5" customHeight="1">
      <c r="A845" s="287"/>
      <c r="B845" s="749">
        <v>170127</v>
      </c>
      <c r="C845" s="750" t="s">
        <v>5236</v>
      </c>
      <c r="D845" s="751" t="s">
        <v>5406</v>
      </c>
      <c r="E845" s="752" t="s">
        <v>5361</v>
      </c>
      <c r="F845" s="753" t="s">
        <v>328</v>
      </c>
      <c r="G845" s="754" t="s">
        <v>5237</v>
      </c>
      <c r="H845" s="754" t="s">
        <v>5238</v>
      </c>
      <c r="I845" s="662" t="s">
        <v>383</v>
      </c>
      <c r="J845" s="662" t="s">
        <v>399</v>
      </c>
      <c r="K845" s="662" t="s">
        <v>917</v>
      </c>
      <c r="L845" s="785" t="s">
        <v>210</v>
      </c>
      <c r="M845" s="754"/>
      <c r="N845" s="755" t="s">
        <v>438</v>
      </c>
      <c r="O845" s="754">
        <v>30</v>
      </c>
      <c r="P845" s="782">
        <v>5000</v>
      </c>
      <c r="Q845" s="783">
        <v>5000</v>
      </c>
      <c r="R845" s="756" t="s">
        <v>5239</v>
      </c>
      <c r="S845" s="708"/>
      <c r="T845" s="708"/>
      <c r="U845" s="708"/>
      <c r="V845" s="708"/>
      <c r="W845" s="757" t="s">
        <v>5240</v>
      </c>
      <c r="X845" s="669"/>
      <c r="Y845" s="669" t="s">
        <v>11625</v>
      </c>
      <c r="Z845" s="669" t="s">
        <v>16479</v>
      </c>
      <c r="AA845" s="669" t="s">
        <v>11627</v>
      </c>
      <c r="AB845" s="758"/>
      <c r="AC845" s="758"/>
      <c r="AD845" s="759"/>
      <c r="AE845" s="760"/>
      <c r="AF845" s="846">
        <v>42868</v>
      </c>
      <c r="AG845" s="674" t="s">
        <v>10514</v>
      </c>
      <c r="AH845" s="675" t="s">
        <v>210</v>
      </c>
      <c r="AI845" s="676" t="s">
        <v>210</v>
      </c>
      <c r="AJ845" s="676" t="s">
        <v>210</v>
      </c>
      <c r="AK845" s="677" t="s">
        <v>210</v>
      </c>
      <c r="AL845" s="675" t="s">
        <v>210</v>
      </c>
      <c r="AM845" s="676" t="s">
        <v>210</v>
      </c>
      <c r="AN845" s="676" t="s">
        <v>210</v>
      </c>
      <c r="AO845" s="678" t="s">
        <v>210</v>
      </c>
      <c r="AP845" s="663"/>
      <c r="AQ845" s="762" t="s">
        <v>4547</v>
      </c>
      <c r="AR845" s="763">
        <v>5543</v>
      </c>
      <c r="AS845" s="754">
        <v>80</v>
      </c>
      <c r="AT845" s="785">
        <v>1</v>
      </c>
      <c r="AU845" s="785" t="s">
        <v>5220</v>
      </c>
      <c r="AV845" s="785">
        <v>1</v>
      </c>
      <c r="AW845" s="764" t="s">
        <v>5220</v>
      </c>
      <c r="AX845" s="675" t="s">
        <v>210</v>
      </c>
      <c r="AY845" s="772" t="s">
        <v>210</v>
      </c>
      <c r="AZ845" s="753" t="s">
        <v>4083</v>
      </c>
      <c r="BA845" s="754" t="s">
        <v>210</v>
      </c>
      <c r="BB845" s="754" t="s">
        <v>210</v>
      </c>
      <c r="BC845" s="754" t="s">
        <v>3475</v>
      </c>
      <c r="BD845" s="754" t="s">
        <v>5058</v>
      </c>
      <c r="BE845" s="754" t="s">
        <v>3555</v>
      </c>
      <c r="BF845" s="754" t="s">
        <v>5058</v>
      </c>
      <c r="BG845" s="754" t="s">
        <v>3555</v>
      </c>
      <c r="BH845" s="767" t="s">
        <v>3495</v>
      </c>
      <c r="BI845" s="765">
        <v>3</v>
      </c>
      <c r="BJ845" s="768" t="s">
        <v>210</v>
      </c>
      <c r="BK845" s="769"/>
      <c r="BL845" s="766"/>
      <c r="BM845" s="770"/>
      <c r="BN845" s="661" t="s">
        <v>622</v>
      </c>
      <c r="BO845" s="686"/>
      <c r="BP845" s="682" t="s">
        <v>622</v>
      </c>
      <c r="BQ845" s="773" t="s">
        <v>1059</v>
      </c>
      <c r="BR845" s="688" t="s">
        <v>210</v>
      </c>
      <c r="BS845" s="688" t="s">
        <v>622</v>
      </c>
      <c r="BT845" s="688" t="s">
        <v>210</v>
      </c>
      <c r="BU845" s="663" t="s">
        <v>5510</v>
      </c>
      <c r="BV845" s="663" t="s">
        <v>5510</v>
      </c>
      <c r="BW845" s="678" t="s">
        <v>210</v>
      </c>
      <c r="BX845" s="688"/>
      <c r="BY845" s="774"/>
      <c r="BZ845" s="483"/>
      <c r="CA845" s="483"/>
      <c r="CB845" s="483"/>
      <c r="CC845" s="483"/>
      <c r="CD845" s="484"/>
    </row>
    <row r="846" spans="1:82" ht="22.5" customHeight="1">
      <c r="B846" s="442">
        <v>170128</v>
      </c>
      <c r="C846" s="747" t="s">
        <v>7788</v>
      </c>
      <c r="D846" s="439" t="s">
        <v>5406</v>
      </c>
      <c r="E846" s="404" t="s">
        <v>5363</v>
      </c>
      <c r="F846" s="405" t="s">
        <v>4072</v>
      </c>
      <c r="G846" s="324" t="s">
        <v>5281</v>
      </c>
      <c r="H846" s="324" t="s">
        <v>5282</v>
      </c>
      <c r="I846" s="326" t="s">
        <v>383</v>
      </c>
      <c r="J846" s="326" t="s">
        <v>387</v>
      </c>
      <c r="K846" s="324" t="s">
        <v>3400</v>
      </c>
      <c r="L846" s="432" t="s">
        <v>210</v>
      </c>
      <c r="M846" s="408"/>
      <c r="N846" s="444" t="s">
        <v>438</v>
      </c>
      <c r="O846" s="324">
        <v>30</v>
      </c>
      <c r="P846" s="816">
        <v>740</v>
      </c>
      <c r="Q846" s="817">
        <v>370</v>
      </c>
      <c r="R846" s="420" t="s">
        <v>5286</v>
      </c>
      <c r="S846" s="394" t="s">
        <v>12407</v>
      </c>
      <c r="T846" s="394" t="s">
        <v>12408</v>
      </c>
      <c r="U846" s="394" t="s">
        <v>16411</v>
      </c>
      <c r="V846" s="394" t="s">
        <v>12409</v>
      </c>
      <c r="W846" s="460" t="s">
        <v>5284</v>
      </c>
      <c r="X846" s="394" t="s">
        <v>12786</v>
      </c>
      <c r="Y846" s="394" t="s">
        <v>12784</v>
      </c>
      <c r="Z846" s="394" t="s">
        <v>16501</v>
      </c>
      <c r="AA846" s="394" t="s">
        <v>12785</v>
      </c>
      <c r="AB846" s="416"/>
      <c r="AC846" s="416"/>
      <c r="AD846" s="447" t="s">
        <v>5611</v>
      </c>
      <c r="AE846" s="499" t="s">
        <v>245</v>
      </c>
      <c r="AF846" s="462">
        <v>42884</v>
      </c>
      <c r="AG846" s="748">
        <v>42950</v>
      </c>
      <c r="AH846" s="417" t="s">
        <v>210</v>
      </c>
      <c r="AI846" s="392" t="s">
        <v>210</v>
      </c>
      <c r="AJ846" s="392" t="s">
        <v>210</v>
      </c>
      <c r="AK846" s="340" t="s">
        <v>210</v>
      </c>
      <c r="AL846" s="417" t="s">
        <v>210</v>
      </c>
      <c r="AM846" s="392" t="s">
        <v>210</v>
      </c>
      <c r="AN846" s="392" t="s">
        <v>210</v>
      </c>
      <c r="AO846" s="341" t="s">
        <v>210</v>
      </c>
      <c r="AP846" s="342" t="s">
        <v>210</v>
      </c>
      <c r="AQ846" s="433" t="s">
        <v>4547</v>
      </c>
      <c r="AR846" s="452">
        <v>542</v>
      </c>
      <c r="AS846" s="324">
        <v>100</v>
      </c>
      <c r="AT846" s="432">
        <v>1</v>
      </c>
      <c r="AU846" s="432" t="s">
        <v>5528</v>
      </c>
      <c r="AV846" s="432">
        <v>2.2000000000000002</v>
      </c>
      <c r="AW846" s="490" t="s">
        <v>5528</v>
      </c>
      <c r="AX846" s="417" t="s">
        <v>210</v>
      </c>
      <c r="AY846" s="455" t="s">
        <v>210</v>
      </c>
      <c r="AZ846" s="405" t="s">
        <v>4083</v>
      </c>
      <c r="BA846" s="324" t="s">
        <v>210</v>
      </c>
      <c r="BB846" s="324" t="s">
        <v>210</v>
      </c>
      <c r="BC846" s="324" t="s">
        <v>210</v>
      </c>
      <c r="BD846" s="324" t="s">
        <v>210</v>
      </c>
      <c r="BE846" s="324" t="s">
        <v>5283</v>
      </c>
      <c r="BF846" s="324" t="s">
        <v>4813</v>
      </c>
      <c r="BG846" s="324" t="s">
        <v>210</v>
      </c>
      <c r="BH846" s="426" t="s">
        <v>210</v>
      </c>
      <c r="BI846" s="453">
        <v>3.1</v>
      </c>
      <c r="BJ846" s="427" t="s">
        <v>210</v>
      </c>
      <c r="BK846" s="412"/>
      <c r="BL846" s="413"/>
      <c r="BM846" s="414"/>
      <c r="BN846" s="321" t="s">
        <v>622</v>
      </c>
      <c r="BO846" s="372">
        <v>2.25</v>
      </c>
      <c r="BP846" s="340" t="s">
        <v>210</v>
      </c>
      <c r="BQ846" s="456" t="s">
        <v>1059</v>
      </c>
      <c r="BR846" s="342" t="s">
        <v>210</v>
      </c>
      <c r="BS846" s="342" t="s">
        <v>622</v>
      </c>
      <c r="BT846" s="342" t="s">
        <v>622</v>
      </c>
      <c r="BU846" s="342" t="s">
        <v>210</v>
      </c>
      <c r="BV846" s="342" t="s">
        <v>210</v>
      </c>
      <c r="BW846" s="341" t="s">
        <v>210</v>
      </c>
      <c r="BX846" s="361"/>
      <c r="BY846" s="457"/>
      <c r="BZ846" s="363"/>
      <c r="CA846" s="363"/>
      <c r="CB846" s="363"/>
      <c r="CC846" s="363"/>
    </row>
    <row r="847" spans="1:82" ht="22.5" customHeight="1">
      <c r="B847" s="442">
        <v>170129</v>
      </c>
      <c r="C847" s="747" t="s">
        <v>12780</v>
      </c>
      <c r="D847" s="439" t="s">
        <v>4849</v>
      </c>
      <c r="E847" s="404" t="s">
        <v>5361</v>
      </c>
      <c r="F847" s="405" t="s">
        <v>240</v>
      </c>
      <c r="G847" s="324" t="s">
        <v>4906</v>
      </c>
      <c r="H847" s="324" t="s">
        <v>4907</v>
      </c>
      <c r="I847" s="326" t="s">
        <v>383</v>
      </c>
      <c r="J847" s="326" t="s">
        <v>399</v>
      </c>
      <c r="K847" s="324" t="s">
        <v>977</v>
      </c>
      <c r="L847" s="342">
        <v>20</v>
      </c>
      <c r="M847" s="408"/>
      <c r="N847" s="325" t="s">
        <v>437</v>
      </c>
      <c r="O847" s="324">
        <v>30</v>
      </c>
      <c r="P847" s="458">
        <v>1100</v>
      </c>
      <c r="Q847" s="459">
        <v>1100</v>
      </c>
      <c r="R847" s="329" t="s">
        <v>479</v>
      </c>
      <c r="S847" s="394" t="s">
        <v>12609</v>
      </c>
      <c r="T847" s="394" t="s">
        <v>12610</v>
      </c>
      <c r="U847" s="400"/>
      <c r="V847" s="394" t="s">
        <v>12611</v>
      </c>
      <c r="W847" s="332" t="s">
        <v>479</v>
      </c>
      <c r="X847" s="394" t="s">
        <v>12609</v>
      </c>
      <c r="Y847" s="394" t="s">
        <v>12610</v>
      </c>
      <c r="Z847" s="400"/>
      <c r="AA847" s="394" t="s">
        <v>12611</v>
      </c>
      <c r="AB847" s="416"/>
      <c r="AC847" s="416"/>
      <c r="AD847" s="375"/>
      <c r="AE847" s="335" t="s">
        <v>210</v>
      </c>
      <c r="AF847" s="462">
        <v>42884</v>
      </c>
      <c r="AG847" s="748">
        <v>42926</v>
      </c>
      <c r="AH847" s="417" t="s">
        <v>210</v>
      </c>
      <c r="AI847" s="392" t="s">
        <v>210</v>
      </c>
      <c r="AJ847" s="392" t="s">
        <v>210</v>
      </c>
      <c r="AK847" s="340" t="s">
        <v>210</v>
      </c>
      <c r="AL847" s="417" t="s">
        <v>210</v>
      </c>
      <c r="AM847" s="392" t="s">
        <v>210</v>
      </c>
      <c r="AN847" s="392" t="s">
        <v>210</v>
      </c>
      <c r="AO847" s="341" t="s">
        <v>210</v>
      </c>
      <c r="AP847" s="342" t="s">
        <v>210</v>
      </c>
      <c r="AQ847" s="433" t="s">
        <v>4548</v>
      </c>
      <c r="AR847" s="452">
        <v>1364</v>
      </c>
      <c r="AS847" s="324">
        <v>50</v>
      </c>
      <c r="AT847" s="432">
        <v>1</v>
      </c>
      <c r="AU847" s="432" t="s">
        <v>5246</v>
      </c>
      <c r="AV847" s="432">
        <v>1.5</v>
      </c>
      <c r="AW847" s="490" t="s">
        <v>5246</v>
      </c>
      <c r="AX847" s="417" t="s">
        <v>210</v>
      </c>
      <c r="AY847" s="455" t="s">
        <v>210</v>
      </c>
      <c r="AZ847" s="405" t="s">
        <v>622</v>
      </c>
      <c r="BA847" s="324" t="s">
        <v>3558</v>
      </c>
      <c r="BB847" s="324" t="s">
        <v>3495</v>
      </c>
      <c r="BC847" s="324" t="s">
        <v>3555</v>
      </c>
      <c r="BD847" s="324" t="s">
        <v>3443</v>
      </c>
      <c r="BE847" s="324" t="s">
        <v>3844</v>
      </c>
      <c r="BF847" s="324" t="s">
        <v>3487</v>
      </c>
      <c r="BG847" s="324" t="s">
        <v>3475</v>
      </c>
      <c r="BH847" s="426" t="s">
        <v>3495</v>
      </c>
      <c r="BI847" s="453">
        <v>2</v>
      </c>
      <c r="BJ847" s="427" t="s">
        <v>210</v>
      </c>
      <c r="BK847" s="412"/>
      <c r="BL847" s="413"/>
      <c r="BM847" s="414"/>
      <c r="BN847" s="417" t="s">
        <v>210</v>
      </c>
      <c r="BO847" s="372"/>
      <c r="BP847" s="340" t="s">
        <v>210</v>
      </c>
      <c r="BQ847" s="456" t="s">
        <v>1059</v>
      </c>
      <c r="BR847" s="342" t="s">
        <v>210</v>
      </c>
      <c r="BS847" s="342" t="s">
        <v>210</v>
      </c>
      <c r="BT847" s="342" t="s">
        <v>210</v>
      </c>
      <c r="BU847" s="342" t="s">
        <v>210</v>
      </c>
      <c r="BV847" s="342" t="s">
        <v>210</v>
      </c>
      <c r="BW847" s="341" t="s">
        <v>210</v>
      </c>
      <c r="BX847" s="361"/>
      <c r="BY847" s="457" t="s">
        <v>5552</v>
      </c>
      <c r="BZ847" s="363"/>
      <c r="CA847" s="363"/>
      <c r="CB847" s="363"/>
      <c r="CC847" s="363"/>
    </row>
    <row r="848" spans="1:82" ht="22.5" customHeight="1">
      <c r="B848" s="442">
        <v>170130</v>
      </c>
      <c r="C848" s="747" t="s">
        <v>5321</v>
      </c>
      <c r="D848" s="439" t="s">
        <v>4849</v>
      </c>
      <c r="E848" s="404" t="s">
        <v>5361</v>
      </c>
      <c r="F848" s="405" t="s">
        <v>227</v>
      </c>
      <c r="G848" s="324" t="s">
        <v>1774</v>
      </c>
      <c r="H848" s="324" t="s">
        <v>5322</v>
      </c>
      <c r="I848" s="326" t="s">
        <v>383</v>
      </c>
      <c r="J848" s="324" t="s">
        <v>216</v>
      </c>
      <c r="K848" s="324" t="s">
        <v>247</v>
      </c>
      <c r="L848" s="342">
        <v>3.6</v>
      </c>
      <c r="M848" s="408"/>
      <c r="N848" s="444" t="s">
        <v>438</v>
      </c>
      <c r="O848" s="324">
        <v>30</v>
      </c>
      <c r="P848" s="458">
        <v>534</v>
      </c>
      <c r="Q848" s="459">
        <v>236</v>
      </c>
      <c r="R848" s="420" t="s">
        <v>5323</v>
      </c>
      <c r="S848" s="400"/>
      <c r="T848" s="400"/>
      <c r="U848" s="400"/>
      <c r="V848" s="400"/>
      <c r="W848" s="460" t="s">
        <v>5326</v>
      </c>
      <c r="X848" s="400"/>
      <c r="Y848" s="394" t="s">
        <v>12778</v>
      </c>
      <c r="Z848" s="394" t="s">
        <v>16519</v>
      </c>
      <c r="AA848" s="394" t="s">
        <v>12779</v>
      </c>
      <c r="AB848" s="416" t="s">
        <v>5329</v>
      </c>
      <c r="AC848" s="416"/>
      <c r="AD848" s="447" t="s">
        <v>5469</v>
      </c>
      <c r="AE848" s="499" t="s">
        <v>5470</v>
      </c>
      <c r="AF848" s="462">
        <v>42884</v>
      </c>
      <c r="AG848" s="748">
        <v>42913</v>
      </c>
      <c r="AH848" s="417" t="s">
        <v>210</v>
      </c>
      <c r="AI848" s="392" t="s">
        <v>210</v>
      </c>
      <c r="AJ848" s="392" t="s">
        <v>210</v>
      </c>
      <c r="AK848" s="340" t="s">
        <v>210</v>
      </c>
      <c r="AL848" s="417" t="s">
        <v>210</v>
      </c>
      <c r="AM848" s="392" t="s">
        <v>210</v>
      </c>
      <c r="AN848" s="392" t="s">
        <v>210</v>
      </c>
      <c r="AO848" s="341" t="s">
        <v>210</v>
      </c>
      <c r="AP848" s="342" t="s">
        <v>210</v>
      </c>
      <c r="AQ848" s="433" t="s">
        <v>4547</v>
      </c>
      <c r="AR848" s="452">
        <v>286</v>
      </c>
      <c r="AS848" s="324">
        <v>150</v>
      </c>
      <c r="AT848" s="432">
        <v>1</v>
      </c>
      <c r="AU848" s="432" t="s">
        <v>3627</v>
      </c>
      <c r="AV848" s="432">
        <v>1.5</v>
      </c>
      <c r="AW848" s="490" t="s">
        <v>5058</v>
      </c>
      <c r="AX848" s="417" t="s">
        <v>210</v>
      </c>
      <c r="AY848" s="455" t="s">
        <v>210</v>
      </c>
      <c r="AZ848" s="405" t="s">
        <v>4083</v>
      </c>
      <c r="BA848" s="324" t="s">
        <v>210</v>
      </c>
      <c r="BB848" s="324" t="s">
        <v>210</v>
      </c>
      <c r="BC848" s="324" t="s">
        <v>3475</v>
      </c>
      <c r="BD848" s="324" t="s">
        <v>5497</v>
      </c>
      <c r="BE848" s="324" t="s">
        <v>3565</v>
      </c>
      <c r="BF848" s="324" t="s">
        <v>3434</v>
      </c>
      <c r="BG848" s="324" t="s">
        <v>5498</v>
      </c>
      <c r="BH848" s="426" t="s">
        <v>4117</v>
      </c>
      <c r="BI848" s="453">
        <v>1.5</v>
      </c>
      <c r="BJ848" s="427" t="s">
        <v>210</v>
      </c>
      <c r="BK848" s="412"/>
      <c r="BL848" s="413"/>
      <c r="BM848" s="414"/>
      <c r="BN848" s="417" t="s">
        <v>210</v>
      </c>
      <c r="BO848" s="372"/>
      <c r="BP848" s="340" t="s">
        <v>210</v>
      </c>
      <c r="BQ848" s="456" t="s">
        <v>1059</v>
      </c>
      <c r="BR848" s="342" t="s">
        <v>210</v>
      </c>
      <c r="BS848" s="342" t="s">
        <v>622</v>
      </c>
      <c r="BT848" s="342" t="s">
        <v>210</v>
      </c>
      <c r="BU848" s="342" t="s">
        <v>210</v>
      </c>
      <c r="BV848" s="342" t="s">
        <v>210</v>
      </c>
      <c r="BW848" s="341" t="s">
        <v>210</v>
      </c>
      <c r="BX848" s="361"/>
      <c r="BY848" s="457" t="s">
        <v>5555</v>
      </c>
      <c r="BZ848" s="363"/>
      <c r="CA848" s="363"/>
      <c r="CB848" s="363"/>
      <c r="CC848" s="363"/>
    </row>
    <row r="849" spans="2:81" ht="22.5" customHeight="1">
      <c r="B849" s="442">
        <v>170131</v>
      </c>
      <c r="C849" s="747" t="s">
        <v>12606</v>
      </c>
      <c r="D849" s="439" t="s">
        <v>4849</v>
      </c>
      <c r="E849" s="404" t="s">
        <v>5362</v>
      </c>
      <c r="F849" s="405" t="s">
        <v>1043</v>
      </c>
      <c r="G849" s="324" t="s">
        <v>5287</v>
      </c>
      <c r="H849" s="324" t="s">
        <v>5288</v>
      </c>
      <c r="I849" s="326" t="s">
        <v>383</v>
      </c>
      <c r="J849" s="326" t="s">
        <v>399</v>
      </c>
      <c r="K849" s="324" t="s">
        <v>3930</v>
      </c>
      <c r="L849" s="778"/>
      <c r="M849" s="408"/>
      <c r="N849" s="325" t="s">
        <v>437</v>
      </c>
      <c r="O849" s="324">
        <v>70</v>
      </c>
      <c r="P849" s="458">
        <v>248</v>
      </c>
      <c r="Q849" s="459">
        <v>223</v>
      </c>
      <c r="R849" s="420" t="s">
        <v>5289</v>
      </c>
      <c r="S849" s="394" t="s">
        <v>12607</v>
      </c>
      <c r="T849" s="400"/>
      <c r="U849" s="400"/>
      <c r="V849" s="394" t="s">
        <v>12608</v>
      </c>
      <c r="W849" s="460" t="s">
        <v>5318</v>
      </c>
      <c r="X849" s="400"/>
      <c r="Y849" s="400"/>
      <c r="Z849" s="400"/>
      <c r="AA849" s="400"/>
      <c r="AB849" s="416"/>
      <c r="AC849" s="416"/>
      <c r="AD849" s="447" t="s">
        <v>1591</v>
      </c>
      <c r="AE849" s="335" t="s">
        <v>210</v>
      </c>
      <c r="AF849" s="462">
        <v>42886</v>
      </c>
      <c r="AG849" s="748">
        <v>42915</v>
      </c>
      <c r="AH849" s="417" t="s">
        <v>210</v>
      </c>
      <c r="AI849" s="392" t="s">
        <v>210</v>
      </c>
      <c r="AJ849" s="392" t="s">
        <v>210</v>
      </c>
      <c r="AK849" s="340" t="s">
        <v>210</v>
      </c>
      <c r="AL849" s="417" t="s">
        <v>210</v>
      </c>
      <c r="AM849" s="392" t="s">
        <v>210</v>
      </c>
      <c r="AN849" s="392" t="s">
        <v>210</v>
      </c>
      <c r="AO849" s="341" t="s">
        <v>210</v>
      </c>
      <c r="AP849" s="342" t="s">
        <v>210</v>
      </c>
      <c r="AQ849" s="430" t="s">
        <v>4547</v>
      </c>
      <c r="AR849" s="452">
        <v>415</v>
      </c>
      <c r="AS849" s="324">
        <v>100</v>
      </c>
      <c r="AT849" s="432">
        <v>1</v>
      </c>
      <c r="AU849" s="432" t="s">
        <v>5058</v>
      </c>
      <c r="AV849" s="432">
        <v>1.5</v>
      </c>
      <c r="AW849" s="490" t="s">
        <v>5058</v>
      </c>
      <c r="AX849" s="417" t="s">
        <v>210</v>
      </c>
      <c r="AY849" s="340" t="s">
        <v>622</v>
      </c>
      <c r="AZ849" s="405" t="s">
        <v>4083</v>
      </c>
      <c r="BA849" s="324" t="s">
        <v>210</v>
      </c>
      <c r="BB849" s="324" t="s">
        <v>210</v>
      </c>
      <c r="BC849" s="324" t="s">
        <v>5314</v>
      </c>
      <c r="BD849" s="324" t="s">
        <v>3372</v>
      </c>
      <c r="BE849" s="324" t="s">
        <v>5316</v>
      </c>
      <c r="BF849" s="324" t="s">
        <v>5315</v>
      </c>
      <c r="BG849" s="324" t="s">
        <v>5317</v>
      </c>
      <c r="BH849" s="426" t="s">
        <v>5315</v>
      </c>
      <c r="BI849" s="453">
        <v>1.3</v>
      </c>
      <c r="BJ849" s="427" t="s">
        <v>210</v>
      </c>
      <c r="BK849" s="412"/>
      <c r="BL849" s="413"/>
      <c r="BM849" s="414"/>
      <c r="BN849" s="321" t="s">
        <v>622</v>
      </c>
      <c r="BO849" s="372"/>
      <c r="BP849" s="373" t="s">
        <v>622</v>
      </c>
      <c r="BQ849" s="456" t="s">
        <v>1059</v>
      </c>
      <c r="BR849" s="342" t="s">
        <v>210</v>
      </c>
      <c r="BS849" s="342" t="s">
        <v>622</v>
      </c>
      <c r="BT849" s="342" t="s">
        <v>210</v>
      </c>
      <c r="BU849" s="342" t="s">
        <v>210</v>
      </c>
      <c r="BV849" s="342" t="s">
        <v>210</v>
      </c>
      <c r="BW849" s="341" t="s">
        <v>210</v>
      </c>
      <c r="BX849" s="361"/>
      <c r="BY849" s="457"/>
      <c r="BZ849" s="363"/>
      <c r="CA849" s="363"/>
      <c r="CB849" s="363"/>
      <c r="CC849" s="363"/>
    </row>
    <row r="850" spans="2:81" ht="22.5" customHeight="1">
      <c r="B850" s="442">
        <v>170132</v>
      </c>
      <c r="C850" s="747" t="s">
        <v>12603</v>
      </c>
      <c r="D850" s="439" t="s">
        <v>5344</v>
      </c>
      <c r="E850" s="404" t="s">
        <v>5362</v>
      </c>
      <c r="F850" s="405" t="s">
        <v>839</v>
      </c>
      <c r="G850" s="324" t="s">
        <v>5293</v>
      </c>
      <c r="H850" s="324" t="s">
        <v>5294</v>
      </c>
      <c r="I850" s="326" t="s">
        <v>383</v>
      </c>
      <c r="J850" s="326" t="s">
        <v>399</v>
      </c>
      <c r="K850" s="324" t="s">
        <v>4051</v>
      </c>
      <c r="L850" s="342">
        <v>10</v>
      </c>
      <c r="M850" s="408"/>
      <c r="N850" s="325" t="s">
        <v>437</v>
      </c>
      <c r="O850" s="324">
        <v>30</v>
      </c>
      <c r="P850" s="327">
        <f>220*2+180+300+9.98+180</f>
        <v>1109.98</v>
      </c>
      <c r="Q850" s="369">
        <f>220+180+300+9.98+180</f>
        <v>889.98</v>
      </c>
      <c r="R850" s="420" t="s">
        <v>5295</v>
      </c>
      <c r="S850" s="394" t="s">
        <v>12604</v>
      </c>
      <c r="T850" s="400"/>
      <c r="U850" s="400"/>
      <c r="V850" s="394" t="s">
        <v>12605</v>
      </c>
      <c r="W850" s="460" t="s">
        <v>5301</v>
      </c>
      <c r="X850" s="400"/>
      <c r="Y850" s="400"/>
      <c r="Z850" s="400"/>
      <c r="AA850" s="400"/>
      <c r="AB850" s="416" t="s">
        <v>5298</v>
      </c>
      <c r="AC850" s="416"/>
      <c r="AD850" s="447" t="s">
        <v>6038</v>
      </c>
      <c r="AE850" s="335" t="s">
        <v>15</v>
      </c>
      <c r="AF850" s="462">
        <v>42892</v>
      </c>
      <c r="AG850" s="748">
        <v>42973</v>
      </c>
      <c r="AH850" s="417" t="s">
        <v>210</v>
      </c>
      <c r="AI850" s="392" t="s">
        <v>210</v>
      </c>
      <c r="AJ850" s="392" t="s">
        <v>210</v>
      </c>
      <c r="AK850" s="340" t="s">
        <v>210</v>
      </c>
      <c r="AL850" s="417" t="s">
        <v>210</v>
      </c>
      <c r="AM850" s="392" t="s">
        <v>210</v>
      </c>
      <c r="AN850" s="392" t="s">
        <v>210</v>
      </c>
      <c r="AO850" s="341" t="s">
        <v>622</v>
      </c>
      <c r="AP850" s="342" t="s">
        <v>210</v>
      </c>
      <c r="AQ850" s="433" t="s">
        <v>4547</v>
      </c>
      <c r="AR850" s="452">
        <v>1721.5</v>
      </c>
      <c r="AS850" s="324">
        <v>100</v>
      </c>
      <c r="AT850" s="432">
        <v>1</v>
      </c>
      <c r="AU850" s="432" t="s">
        <v>5246</v>
      </c>
      <c r="AV850" s="432">
        <v>1.5</v>
      </c>
      <c r="AW850" s="490" t="s">
        <v>5246</v>
      </c>
      <c r="AX850" s="417" t="s">
        <v>210</v>
      </c>
      <c r="AY850" s="340" t="s">
        <v>622</v>
      </c>
      <c r="AZ850" s="405" t="s">
        <v>622</v>
      </c>
      <c r="BA850" s="324" t="s">
        <v>3475</v>
      </c>
      <c r="BB850" s="324" t="s">
        <v>3495</v>
      </c>
      <c r="BC850" s="324" t="s">
        <v>3555</v>
      </c>
      <c r="BD850" s="324" t="s">
        <v>3495</v>
      </c>
      <c r="BE850" s="324" t="s">
        <v>210</v>
      </c>
      <c r="BF850" s="324" t="s">
        <v>210</v>
      </c>
      <c r="BG850" s="324" t="s">
        <v>210</v>
      </c>
      <c r="BH850" s="324" t="s">
        <v>210</v>
      </c>
      <c r="BI850" s="453">
        <v>1.1499999999999999</v>
      </c>
      <c r="BJ850" s="427" t="s">
        <v>9793</v>
      </c>
      <c r="BK850" s="412"/>
      <c r="BL850" s="413"/>
      <c r="BM850" s="414"/>
      <c r="BN850" s="417" t="s">
        <v>210</v>
      </c>
      <c r="BO850" s="372"/>
      <c r="BP850" s="340" t="s">
        <v>210</v>
      </c>
      <c r="BQ850" s="456" t="s">
        <v>1059</v>
      </c>
      <c r="BR850" s="342" t="s">
        <v>210</v>
      </c>
      <c r="BS850" s="342" t="s">
        <v>622</v>
      </c>
      <c r="BT850" s="342" t="s">
        <v>210</v>
      </c>
      <c r="BU850" s="342" t="s">
        <v>210</v>
      </c>
      <c r="BV850" s="342" t="s">
        <v>210</v>
      </c>
      <c r="BW850" s="341" t="s">
        <v>210</v>
      </c>
      <c r="BX850" s="361"/>
      <c r="BY850" s="457" t="s">
        <v>5495</v>
      </c>
      <c r="BZ850" s="363"/>
      <c r="CA850" s="363"/>
      <c r="CB850" s="363"/>
      <c r="CC850" s="363"/>
    </row>
    <row r="851" spans="2:81" ht="22.5" customHeight="1">
      <c r="B851" s="442">
        <v>170133</v>
      </c>
      <c r="C851" s="747" t="s">
        <v>5304</v>
      </c>
      <c r="D851" s="439" t="s">
        <v>5344</v>
      </c>
      <c r="E851" s="404" t="s">
        <v>5362</v>
      </c>
      <c r="F851" s="405" t="s">
        <v>308</v>
      </c>
      <c r="G851" s="324" t="s">
        <v>5305</v>
      </c>
      <c r="H851" s="324" t="s">
        <v>5306</v>
      </c>
      <c r="I851" s="326" t="s">
        <v>383</v>
      </c>
      <c r="J851" s="326" t="s">
        <v>399</v>
      </c>
      <c r="K851" s="324" t="s">
        <v>247</v>
      </c>
      <c r="L851" s="342">
        <v>20</v>
      </c>
      <c r="M851" s="408"/>
      <c r="N851" s="444" t="s">
        <v>438</v>
      </c>
      <c r="O851" s="324">
        <v>100</v>
      </c>
      <c r="P851" s="458">
        <v>700</v>
      </c>
      <c r="Q851" s="459">
        <v>700</v>
      </c>
      <c r="R851" s="420" t="s">
        <v>5307</v>
      </c>
      <c r="S851" s="394" t="s">
        <v>12601</v>
      </c>
      <c r="T851" s="400"/>
      <c r="U851" s="400"/>
      <c r="V851" s="394" t="s">
        <v>12602</v>
      </c>
      <c r="W851" s="332" t="s">
        <v>592</v>
      </c>
      <c r="X851" s="331" t="s">
        <v>11927</v>
      </c>
      <c r="Y851" s="331" t="s">
        <v>11929</v>
      </c>
      <c r="Z851" s="331" t="s">
        <v>11346</v>
      </c>
      <c r="AA851" s="331" t="s">
        <v>11928</v>
      </c>
      <c r="AB851" s="416"/>
      <c r="AC851" s="416"/>
      <c r="AD851" s="447" t="s">
        <v>3094</v>
      </c>
      <c r="AE851" s="499" t="s">
        <v>6118</v>
      </c>
      <c r="AF851" s="462">
        <v>42892</v>
      </c>
      <c r="AG851" s="748">
        <v>43060</v>
      </c>
      <c r="AH851" s="417" t="s">
        <v>210</v>
      </c>
      <c r="AI851" s="392" t="s">
        <v>210</v>
      </c>
      <c r="AJ851" s="392" t="s">
        <v>210</v>
      </c>
      <c r="AK851" s="340" t="s">
        <v>210</v>
      </c>
      <c r="AL851" s="417" t="s">
        <v>210</v>
      </c>
      <c r="AM851" s="392" t="s">
        <v>210</v>
      </c>
      <c r="AN851" s="392" t="s">
        <v>210</v>
      </c>
      <c r="AO851" s="341" t="s">
        <v>210</v>
      </c>
      <c r="AP851" s="342" t="s">
        <v>210</v>
      </c>
      <c r="AQ851" s="433" t="s">
        <v>5382</v>
      </c>
      <c r="AR851" s="452">
        <v>956</v>
      </c>
      <c r="AS851" s="324">
        <v>150</v>
      </c>
      <c r="AT851" s="432">
        <v>1</v>
      </c>
      <c r="AU851" s="432" t="s">
        <v>3898</v>
      </c>
      <c r="AV851" s="432">
        <v>1</v>
      </c>
      <c r="AW851" s="490" t="s">
        <v>3898</v>
      </c>
      <c r="AX851" s="417" t="s">
        <v>210</v>
      </c>
      <c r="AY851" s="455" t="s">
        <v>210</v>
      </c>
      <c r="AZ851" s="405" t="s">
        <v>4083</v>
      </c>
      <c r="BA851" s="324" t="s">
        <v>210</v>
      </c>
      <c r="BB851" s="324" t="s">
        <v>210</v>
      </c>
      <c r="BC851" s="324" t="s">
        <v>210</v>
      </c>
      <c r="BD851" s="324" t="s">
        <v>210</v>
      </c>
      <c r="BE851" s="324" t="s">
        <v>210</v>
      </c>
      <c r="BF851" s="324" t="s">
        <v>210</v>
      </c>
      <c r="BG851" s="408"/>
      <c r="BH851" s="409"/>
      <c r="BI851" s="453">
        <v>16.2</v>
      </c>
      <c r="BJ851" s="427" t="s">
        <v>210</v>
      </c>
      <c r="BK851" s="412"/>
      <c r="BL851" s="413"/>
      <c r="BM851" s="414"/>
      <c r="BN851" s="321" t="s">
        <v>622</v>
      </c>
      <c r="BO851" s="464"/>
      <c r="BP851" s="455" t="s">
        <v>210</v>
      </c>
      <c r="BQ851" s="456" t="s">
        <v>247</v>
      </c>
      <c r="BR851" s="342" t="s">
        <v>210</v>
      </c>
      <c r="BS851" s="342" t="s">
        <v>210</v>
      </c>
      <c r="BT851" s="342" t="s">
        <v>210</v>
      </c>
      <c r="BU851" s="342" t="s">
        <v>210</v>
      </c>
      <c r="BV851" s="342" t="s">
        <v>210</v>
      </c>
      <c r="BW851" s="341" t="s">
        <v>210</v>
      </c>
      <c r="BX851" s="361"/>
      <c r="BY851" s="457" t="s">
        <v>6254</v>
      </c>
      <c r="BZ851" s="363"/>
      <c r="CA851" s="363"/>
      <c r="CB851" s="363"/>
      <c r="CC851" s="363"/>
    </row>
    <row r="852" spans="2:81" ht="22.5" customHeight="1">
      <c r="B852" s="442">
        <v>170134</v>
      </c>
      <c r="C852" s="747" t="s">
        <v>5308</v>
      </c>
      <c r="D852" s="439" t="s">
        <v>5406</v>
      </c>
      <c r="E852" s="404" t="s">
        <v>5361</v>
      </c>
      <c r="F852" s="405" t="s">
        <v>237</v>
      </c>
      <c r="G852" s="324" t="s">
        <v>5309</v>
      </c>
      <c r="H852" s="324" t="s">
        <v>5310</v>
      </c>
      <c r="I852" s="324" t="s">
        <v>383</v>
      </c>
      <c r="J852" s="324" t="s">
        <v>214</v>
      </c>
      <c r="K852" s="324" t="s">
        <v>247</v>
      </c>
      <c r="L852" s="342">
        <v>50</v>
      </c>
      <c r="M852" s="408"/>
      <c r="N852" s="444" t="s">
        <v>521</v>
      </c>
      <c r="O852" s="324">
        <v>45</v>
      </c>
      <c r="P852" s="458">
        <v>2160</v>
      </c>
      <c r="Q852" s="459">
        <v>2160</v>
      </c>
      <c r="R852" s="420" t="s">
        <v>5311</v>
      </c>
      <c r="S852" s="394" t="s">
        <v>12594</v>
      </c>
      <c r="T852" s="394" t="s">
        <v>12596</v>
      </c>
      <c r="U852" s="394" t="s">
        <v>12595</v>
      </c>
      <c r="V852" s="394" t="s">
        <v>12597</v>
      </c>
      <c r="W852" s="460" t="s">
        <v>5353</v>
      </c>
      <c r="X852" s="394" t="s">
        <v>12598</v>
      </c>
      <c r="Y852" s="394" t="s">
        <v>12599</v>
      </c>
      <c r="Z852" s="400"/>
      <c r="AA852" s="394" t="s">
        <v>12600</v>
      </c>
      <c r="AB852" s="416"/>
      <c r="AC852" s="416"/>
      <c r="AD852" s="334" t="s">
        <v>5699</v>
      </c>
      <c r="AE852" s="335" t="s">
        <v>210</v>
      </c>
      <c r="AF852" s="462">
        <v>42892</v>
      </c>
      <c r="AG852" s="748">
        <v>42978</v>
      </c>
      <c r="AH852" s="417" t="s">
        <v>210</v>
      </c>
      <c r="AI852" s="392" t="s">
        <v>210</v>
      </c>
      <c r="AJ852" s="392" t="s">
        <v>210</v>
      </c>
      <c r="AK852" s="340" t="s">
        <v>210</v>
      </c>
      <c r="AL852" s="417" t="s">
        <v>210</v>
      </c>
      <c r="AM852" s="392" t="s">
        <v>210</v>
      </c>
      <c r="AN852" s="392" t="s">
        <v>210</v>
      </c>
      <c r="AO852" s="341" t="s">
        <v>210</v>
      </c>
      <c r="AP852" s="342" t="s">
        <v>210</v>
      </c>
      <c r="AQ852" s="433" t="s">
        <v>4547</v>
      </c>
      <c r="AR852" s="452">
        <v>2316</v>
      </c>
      <c r="AS852" s="324">
        <v>100</v>
      </c>
      <c r="AT852" s="432">
        <v>1</v>
      </c>
      <c r="AU852" s="432" t="s">
        <v>5246</v>
      </c>
      <c r="AV852" s="432">
        <v>1.2</v>
      </c>
      <c r="AW852" s="490" t="s">
        <v>5246</v>
      </c>
      <c r="AX852" s="417" t="s">
        <v>210</v>
      </c>
      <c r="AY852" s="455" t="s">
        <v>210</v>
      </c>
      <c r="AZ852" s="405" t="s">
        <v>4083</v>
      </c>
      <c r="BA852" s="324" t="s">
        <v>210</v>
      </c>
      <c r="BB852" s="324" t="s">
        <v>210</v>
      </c>
      <c r="BC852" s="324" t="s">
        <v>210</v>
      </c>
      <c r="BD852" s="324" t="s">
        <v>210</v>
      </c>
      <c r="BE852" s="324" t="s">
        <v>210</v>
      </c>
      <c r="BF852" s="324" t="s">
        <v>210</v>
      </c>
      <c r="BG852" s="324" t="s">
        <v>3475</v>
      </c>
      <c r="BH852" s="426" t="s">
        <v>5501</v>
      </c>
      <c r="BI852" s="453">
        <v>3</v>
      </c>
      <c r="BJ852" s="427" t="s">
        <v>5490</v>
      </c>
      <c r="BK852" s="412"/>
      <c r="BL852" s="413"/>
      <c r="BM852" s="414"/>
      <c r="BN852" s="321" t="s">
        <v>622</v>
      </c>
      <c r="BO852" s="464"/>
      <c r="BP852" s="455" t="s">
        <v>5490</v>
      </c>
      <c r="BQ852" s="456" t="s">
        <v>1059</v>
      </c>
      <c r="BR852" s="342" t="s">
        <v>5494</v>
      </c>
      <c r="BS852" s="342" t="s">
        <v>5493</v>
      </c>
      <c r="BT852" s="342" t="s">
        <v>210</v>
      </c>
      <c r="BU852" s="342" t="s">
        <v>210</v>
      </c>
      <c r="BV852" s="342" t="s">
        <v>210</v>
      </c>
      <c r="BW852" s="341" t="s">
        <v>210</v>
      </c>
      <c r="BX852" s="361"/>
      <c r="BY852" s="457"/>
      <c r="BZ852" s="363"/>
      <c r="CA852" s="363"/>
      <c r="CB852" s="363"/>
      <c r="CC852" s="363"/>
    </row>
    <row r="853" spans="2:81" ht="22.5" customHeight="1">
      <c r="B853" s="442">
        <v>170135</v>
      </c>
      <c r="C853" s="747" t="s">
        <v>12593</v>
      </c>
      <c r="D853" s="439" t="s">
        <v>4849</v>
      </c>
      <c r="E853" s="404" t="s">
        <v>5361</v>
      </c>
      <c r="F853" s="405" t="s">
        <v>264</v>
      </c>
      <c r="G853" s="324" t="s">
        <v>5348</v>
      </c>
      <c r="H853" s="324" t="s">
        <v>5349</v>
      </c>
      <c r="I853" s="326" t="s">
        <v>383</v>
      </c>
      <c r="J853" s="326" t="s">
        <v>399</v>
      </c>
      <c r="K853" s="324" t="s">
        <v>977</v>
      </c>
      <c r="L853" s="342">
        <v>16.5</v>
      </c>
      <c r="M853" s="408"/>
      <c r="N853" s="444" t="s">
        <v>521</v>
      </c>
      <c r="O853" s="324">
        <v>30</v>
      </c>
      <c r="P853" s="816">
        <v>342</v>
      </c>
      <c r="Q853" s="817">
        <v>342</v>
      </c>
      <c r="R853" s="420" t="s">
        <v>5347</v>
      </c>
      <c r="S853" s="400"/>
      <c r="T853" s="400"/>
      <c r="U853" s="400"/>
      <c r="V853" s="400"/>
      <c r="W853" s="332" t="s">
        <v>1095</v>
      </c>
      <c r="X853" s="400"/>
      <c r="Y853" s="400"/>
      <c r="Z853" s="400"/>
      <c r="AA853" s="400"/>
      <c r="AB853" s="416"/>
      <c r="AC853" s="416"/>
      <c r="AD853" s="447" t="s">
        <v>1748</v>
      </c>
      <c r="AE853" s="335" t="s">
        <v>210</v>
      </c>
      <c r="AF853" s="462">
        <v>42892</v>
      </c>
      <c r="AG853" s="748">
        <v>42920</v>
      </c>
      <c r="AH853" s="417" t="s">
        <v>210</v>
      </c>
      <c r="AI853" s="392" t="s">
        <v>210</v>
      </c>
      <c r="AJ853" s="392" t="s">
        <v>210</v>
      </c>
      <c r="AK853" s="340" t="s">
        <v>210</v>
      </c>
      <c r="AL853" s="417" t="s">
        <v>210</v>
      </c>
      <c r="AM853" s="392" t="s">
        <v>210</v>
      </c>
      <c r="AN853" s="392" t="s">
        <v>210</v>
      </c>
      <c r="AO853" s="341" t="s">
        <v>210</v>
      </c>
      <c r="AP853" s="342" t="s">
        <v>210</v>
      </c>
      <c r="AQ853" s="433" t="s">
        <v>4547</v>
      </c>
      <c r="AR853" s="452">
        <v>524</v>
      </c>
      <c r="AS853" s="324">
        <v>100</v>
      </c>
      <c r="AT853" s="432">
        <v>1.2</v>
      </c>
      <c r="AU853" s="432" t="s">
        <v>5373</v>
      </c>
      <c r="AV853" s="432">
        <v>1.4</v>
      </c>
      <c r="AW853" s="490" t="s">
        <v>5373</v>
      </c>
      <c r="AX853" s="417" t="s">
        <v>622</v>
      </c>
      <c r="AY853" s="455" t="s">
        <v>210</v>
      </c>
      <c r="AZ853" s="405" t="s">
        <v>4083</v>
      </c>
      <c r="BA853" s="324" t="s">
        <v>210</v>
      </c>
      <c r="BB853" s="324" t="s">
        <v>210</v>
      </c>
      <c r="BC853" s="324" t="s">
        <v>210</v>
      </c>
      <c r="BD853" s="324" t="s">
        <v>210</v>
      </c>
      <c r="BE853" s="324" t="s">
        <v>5350</v>
      </c>
      <c r="BF853" s="324" t="s">
        <v>3372</v>
      </c>
      <c r="BG853" s="324" t="s">
        <v>5351</v>
      </c>
      <c r="BH853" s="426" t="s">
        <v>5352</v>
      </c>
      <c r="BI853" s="453">
        <v>2</v>
      </c>
      <c r="BJ853" s="427" t="s">
        <v>210</v>
      </c>
      <c r="BK853" s="412"/>
      <c r="BL853" s="413"/>
      <c r="BM853" s="414"/>
      <c r="BN853" s="321" t="s">
        <v>622</v>
      </c>
      <c r="BO853" s="372"/>
      <c r="BP853" s="373" t="s">
        <v>622</v>
      </c>
      <c r="BQ853" s="456" t="s">
        <v>247</v>
      </c>
      <c r="BR853" s="342" t="s">
        <v>210</v>
      </c>
      <c r="BS853" s="342" t="s">
        <v>210</v>
      </c>
      <c r="BT853" s="342" t="s">
        <v>210</v>
      </c>
      <c r="BU853" s="342" t="s">
        <v>210</v>
      </c>
      <c r="BV853" s="342" t="s">
        <v>210</v>
      </c>
      <c r="BW853" s="341" t="s">
        <v>210</v>
      </c>
      <c r="BX853" s="361"/>
      <c r="BY853" s="457" t="s">
        <v>5554</v>
      </c>
      <c r="BZ853" s="363"/>
      <c r="CA853" s="363"/>
      <c r="CB853" s="363"/>
      <c r="CC853" s="363"/>
    </row>
    <row r="854" spans="2:81" ht="22.5" customHeight="1">
      <c r="B854" s="442">
        <v>170136</v>
      </c>
      <c r="C854" s="747" t="s">
        <v>5335</v>
      </c>
      <c r="D854" s="439" t="s">
        <v>4849</v>
      </c>
      <c r="E854" s="404" t="s">
        <v>5361</v>
      </c>
      <c r="F854" s="405" t="s">
        <v>372</v>
      </c>
      <c r="G854" s="324" t="s">
        <v>1780</v>
      </c>
      <c r="H854" s="324" t="s">
        <v>5336</v>
      </c>
      <c r="I854" s="326" t="s">
        <v>383</v>
      </c>
      <c r="J854" s="326" t="s">
        <v>387</v>
      </c>
      <c r="K854" s="324" t="s">
        <v>3930</v>
      </c>
      <c r="L854" s="342">
        <v>5</v>
      </c>
      <c r="M854" s="408"/>
      <c r="N854" s="444" t="s">
        <v>438</v>
      </c>
      <c r="O854" s="324">
        <v>30</v>
      </c>
      <c r="P854" s="458">
        <v>1446</v>
      </c>
      <c r="Q854" s="459">
        <v>926</v>
      </c>
      <c r="R854" s="420" t="s">
        <v>5337</v>
      </c>
      <c r="S854" s="394" t="s">
        <v>11528</v>
      </c>
      <c r="T854" s="394" t="s">
        <v>11529</v>
      </c>
      <c r="U854" s="394" t="s">
        <v>16415</v>
      </c>
      <c r="V854" s="394" t="s">
        <v>11531</v>
      </c>
      <c r="W854" s="460" t="s">
        <v>5338</v>
      </c>
      <c r="X854" s="394" t="s">
        <v>11528</v>
      </c>
      <c r="Y854" s="394" t="s">
        <v>11529</v>
      </c>
      <c r="Z854" s="394" t="s">
        <v>11530</v>
      </c>
      <c r="AA854" s="394" t="s">
        <v>11531</v>
      </c>
      <c r="AB854" s="416"/>
      <c r="AC854" s="416"/>
      <c r="AD854" s="334" t="s">
        <v>2321</v>
      </c>
      <c r="AE854" s="499" t="s">
        <v>5559</v>
      </c>
      <c r="AF854" s="462">
        <v>42888</v>
      </c>
      <c r="AG854" s="748">
        <v>42920</v>
      </c>
      <c r="AH854" s="417" t="s">
        <v>210</v>
      </c>
      <c r="AI854" s="392" t="s">
        <v>210</v>
      </c>
      <c r="AJ854" s="392" t="s">
        <v>210</v>
      </c>
      <c r="AK854" s="340" t="s">
        <v>210</v>
      </c>
      <c r="AL854" s="417" t="s">
        <v>210</v>
      </c>
      <c r="AM854" s="392" t="s">
        <v>210</v>
      </c>
      <c r="AN854" s="392" t="s">
        <v>210</v>
      </c>
      <c r="AO854" s="341" t="s">
        <v>210</v>
      </c>
      <c r="AP854" s="342" t="s">
        <v>210</v>
      </c>
      <c r="AQ854" s="433" t="s">
        <v>4547</v>
      </c>
      <c r="AR854" s="452">
        <v>1385</v>
      </c>
      <c r="AS854" s="324">
        <v>100</v>
      </c>
      <c r="AT854" s="432">
        <v>1</v>
      </c>
      <c r="AU854" s="432" t="s">
        <v>5246</v>
      </c>
      <c r="AV854" s="432">
        <v>1.2</v>
      </c>
      <c r="AW854" s="490" t="s">
        <v>5246</v>
      </c>
      <c r="AX854" s="417" t="s">
        <v>210</v>
      </c>
      <c r="AY854" s="455" t="s">
        <v>210</v>
      </c>
      <c r="AZ854" s="405" t="s">
        <v>4083</v>
      </c>
      <c r="BA854" s="324" t="s">
        <v>210</v>
      </c>
      <c r="BB854" s="324" t="s">
        <v>210</v>
      </c>
      <c r="BC854" s="324" t="s">
        <v>3459</v>
      </c>
      <c r="BD854" s="324" t="s">
        <v>5246</v>
      </c>
      <c r="BE854" s="324" t="s">
        <v>210</v>
      </c>
      <c r="BF854" s="324" t="s">
        <v>210</v>
      </c>
      <c r="BG854" s="324" t="s">
        <v>3459</v>
      </c>
      <c r="BH854" s="426" t="s">
        <v>5246</v>
      </c>
      <c r="BI854" s="453">
        <v>3.5</v>
      </c>
      <c r="BJ854" s="427" t="s">
        <v>210</v>
      </c>
      <c r="BK854" s="412"/>
      <c r="BL854" s="413"/>
      <c r="BM854" s="414"/>
      <c r="BN854" s="321" t="s">
        <v>622</v>
      </c>
      <c r="BO854" s="372"/>
      <c r="BP854" s="340" t="s">
        <v>210</v>
      </c>
      <c r="BQ854" s="456" t="s">
        <v>5235</v>
      </c>
      <c r="BR854" s="342" t="s">
        <v>210</v>
      </c>
      <c r="BS854" s="342" t="s">
        <v>210</v>
      </c>
      <c r="BT854" s="342" t="s">
        <v>210</v>
      </c>
      <c r="BU854" s="342" t="s">
        <v>210</v>
      </c>
      <c r="BV854" s="342" t="s">
        <v>210</v>
      </c>
      <c r="BW854" s="341" t="s">
        <v>210</v>
      </c>
      <c r="BX854" s="361"/>
      <c r="BY854" s="457"/>
      <c r="BZ854" s="363"/>
      <c r="CA854" s="363"/>
      <c r="CB854" s="363"/>
      <c r="CC854" s="363"/>
    </row>
    <row r="855" spans="2:81" ht="22.5" customHeight="1">
      <c r="B855" s="442">
        <v>170137</v>
      </c>
      <c r="C855" s="747" t="s">
        <v>5374</v>
      </c>
      <c r="D855" s="439" t="s">
        <v>5406</v>
      </c>
      <c r="E855" s="404" t="s">
        <v>5362</v>
      </c>
      <c r="F855" s="405" t="s">
        <v>1043</v>
      </c>
      <c r="G855" s="324" t="s">
        <v>3545</v>
      </c>
      <c r="H855" s="324" t="s">
        <v>5375</v>
      </c>
      <c r="I855" s="326" t="s">
        <v>383</v>
      </c>
      <c r="J855" s="326" t="s">
        <v>399</v>
      </c>
      <c r="K855" s="324" t="s">
        <v>977</v>
      </c>
      <c r="L855" s="342">
        <v>30</v>
      </c>
      <c r="M855" s="408"/>
      <c r="N855" s="444" t="s">
        <v>5468</v>
      </c>
      <c r="O855" s="324">
        <v>70</v>
      </c>
      <c r="P855" s="458">
        <v>1950</v>
      </c>
      <c r="Q855" s="459">
        <v>1950</v>
      </c>
      <c r="R855" s="329" t="s">
        <v>3550</v>
      </c>
      <c r="S855" s="394" t="s">
        <v>12390</v>
      </c>
      <c r="T855" s="394" t="s">
        <v>12392</v>
      </c>
      <c r="U855" s="394" t="s">
        <v>16264</v>
      </c>
      <c r="V855" s="394" t="s">
        <v>12391</v>
      </c>
      <c r="W855" s="460" t="s">
        <v>3793</v>
      </c>
      <c r="X855" s="400"/>
      <c r="Y855" s="400"/>
      <c r="Z855" s="400"/>
      <c r="AA855" s="400"/>
      <c r="AB855" s="416" t="s">
        <v>6223</v>
      </c>
      <c r="AC855" s="416"/>
      <c r="AD855" s="375"/>
      <c r="AE855" s="499" t="s">
        <v>5665</v>
      </c>
      <c r="AF855" s="462">
        <v>42895</v>
      </c>
      <c r="AG855" s="748">
        <v>43011</v>
      </c>
      <c r="AH855" s="417" t="s">
        <v>210</v>
      </c>
      <c r="AI855" s="392" t="s">
        <v>210</v>
      </c>
      <c r="AJ855" s="392" t="s">
        <v>210</v>
      </c>
      <c r="AK855" s="340" t="s">
        <v>210</v>
      </c>
      <c r="AL855" s="417" t="s">
        <v>210</v>
      </c>
      <c r="AM855" s="392" t="s">
        <v>210</v>
      </c>
      <c r="AN855" s="392" t="s">
        <v>210</v>
      </c>
      <c r="AO855" s="341" t="s">
        <v>210</v>
      </c>
      <c r="AP855" s="342" t="s">
        <v>210</v>
      </c>
      <c r="AQ855" s="433" t="s">
        <v>4547</v>
      </c>
      <c r="AR855" s="452">
        <v>2400</v>
      </c>
      <c r="AS855" s="324">
        <v>120</v>
      </c>
      <c r="AT855" s="432">
        <v>1</v>
      </c>
      <c r="AU855" s="432" t="s">
        <v>5486</v>
      </c>
      <c r="AV855" s="432">
        <v>1.5</v>
      </c>
      <c r="AW855" s="490" t="s">
        <v>5487</v>
      </c>
      <c r="AX855" s="453" t="s">
        <v>5488</v>
      </c>
      <c r="AY855" s="429" t="s">
        <v>5489</v>
      </c>
      <c r="AZ855" s="405" t="s">
        <v>4083</v>
      </c>
      <c r="BA855" s="324" t="s">
        <v>210</v>
      </c>
      <c r="BB855" s="324" t="s">
        <v>210</v>
      </c>
      <c r="BC855" s="324" t="s">
        <v>210</v>
      </c>
      <c r="BD855" s="324" t="s">
        <v>210</v>
      </c>
      <c r="BE855" s="324" t="s">
        <v>5376</v>
      </c>
      <c r="BF855" s="324" t="s">
        <v>5377</v>
      </c>
      <c r="BG855" s="324" t="s">
        <v>5378</v>
      </c>
      <c r="BH855" s="426" t="s">
        <v>3574</v>
      </c>
      <c r="BI855" s="453">
        <v>4</v>
      </c>
      <c r="BJ855" s="427" t="s">
        <v>5488</v>
      </c>
      <c r="BK855" s="412"/>
      <c r="BL855" s="413"/>
      <c r="BM855" s="414"/>
      <c r="BN855" s="321" t="s">
        <v>622</v>
      </c>
      <c r="BO855" s="372">
        <v>3.16</v>
      </c>
      <c r="BP855" s="340" t="s">
        <v>210</v>
      </c>
      <c r="BQ855" s="456" t="s">
        <v>5235</v>
      </c>
      <c r="BR855" s="342" t="s">
        <v>5489</v>
      </c>
      <c r="BS855" s="342" t="s">
        <v>210</v>
      </c>
      <c r="BT855" s="342" t="s">
        <v>5490</v>
      </c>
      <c r="BU855" s="342" t="s">
        <v>210</v>
      </c>
      <c r="BV855" s="342" t="s">
        <v>210</v>
      </c>
      <c r="BW855" s="341" t="s">
        <v>210</v>
      </c>
      <c r="BX855" s="361"/>
      <c r="BY855" s="457"/>
      <c r="BZ855" s="363"/>
      <c r="CA855" s="363"/>
      <c r="CB855" s="363"/>
      <c r="CC855" s="363"/>
    </row>
    <row r="856" spans="2:81" ht="22.5" customHeight="1">
      <c r="B856" s="442">
        <v>170138</v>
      </c>
      <c r="C856" s="747" t="s">
        <v>5339</v>
      </c>
      <c r="D856" s="439" t="s">
        <v>4854</v>
      </c>
      <c r="E856" s="404" t="s">
        <v>5361</v>
      </c>
      <c r="F856" s="405" t="s">
        <v>320</v>
      </c>
      <c r="G856" s="324" t="s">
        <v>5364</v>
      </c>
      <c r="H856" s="324" t="s">
        <v>5365</v>
      </c>
      <c r="I856" s="326" t="s">
        <v>383</v>
      </c>
      <c r="J856" s="326" t="s">
        <v>399</v>
      </c>
      <c r="K856" s="324" t="s">
        <v>3930</v>
      </c>
      <c r="L856" s="342">
        <v>3.9</v>
      </c>
      <c r="M856" s="324" t="s">
        <v>10767</v>
      </c>
      <c r="N856" s="444" t="s">
        <v>438</v>
      </c>
      <c r="O856" s="324">
        <v>30</v>
      </c>
      <c r="P856" s="458">
        <v>1782</v>
      </c>
      <c r="Q856" s="459">
        <v>2093</v>
      </c>
      <c r="R856" s="329" t="s">
        <v>1437</v>
      </c>
      <c r="S856" s="394" t="s">
        <v>11735</v>
      </c>
      <c r="T856" s="394" t="s">
        <v>11151</v>
      </c>
      <c r="U856" s="394" t="s">
        <v>11737</v>
      </c>
      <c r="V856" s="394" t="s">
        <v>11738</v>
      </c>
      <c r="W856" s="332" t="s">
        <v>1437</v>
      </c>
      <c r="X856" s="330"/>
      <c r="Y856" s="330"/>
      <c r="Z856" s="330"/>
      <c r="AA856" s="330"/>
      <c r="AB856" s="333" t="s">
        <v>4661</v>
      </c>
      <c r="AC856" s="416"/>
      <c r="AD856" s="447" t="s">
        <v>5629</v>
      </c>
      <c r="AE856" s="499" t="s">
        <v>5579</v>
      </c>
      <c r="AF856" s="462">
        <v>42888</v>
      </c>
      <c r="AG856" s="748">
        <v>42989</v>
      </c>
      <c r="AH856" s="417">
        <v>14.6</v>
      </c>
      <c r="AI856" s="392">
        <v>29.6</v>
      </c>
      <c r="AJ856" s="392">
        <v>19.100000000000001</v>
      </c>
      <c r="AK856" s="340">
        <v>63.3</v>
      </c>
      <c r="AL856" s="417" t="s">
        <v>210</v>
      </c>
      <c r="AM856" s="392" t="s">
        <v>210</v>
      </c>
      <c r="AN856" s="392" t="s">
        <v>210</v>
      </c>
      <c r="AO856" s="341" t="s">
        <v>210</v>
      </c>
      <c r="AP856" s="342" t="s">
        <v>210</v>
      </c>
      <c r="AQ856" s="433" t="s">
        <v>8238</v>
      </c>
      <c r="AR856" s="452">
        <v>1858.8</v>
      </c>
      <c r="AS856" s="324">
        <v>80</v>
      </c>
      <c r="AT856" s="432">
        <v>1</v>
      </c>
      <c r="AU856" s="432" t="s">
        <v>5483</v>
      </c>
      <c r="AV856" s="432">
        <v>1.5</v>
      </c>
      <c r="AW856" s="490" t="s">
        <v>5483</v>
      </c>
      <c r="AX856" s="453" t="s">
        <v>210</v>
      </c>
      <c r="AY856" s="429" t="s">
        <v>210</v>
      </c>
      <c r="AZ856" s="405" t="s">
        <v>4083</v>
      </c>
      <c r="BA856" s="324" t="s">
        <v>210</v>
      </c>
      <c r="BB856" s="324" t="s">
        <v>210</v>
      </c>
      <c r="BC856" s="324" t="s">
        <v>5484</v>
      </c>
      <c r="BD856" s="324" t="s">
        <v>3487</v>
      </c>
      <c r="BE856" s="324" t="s">
        <v>3459</v>
      </c>
      <c r="BF856" s="324" t="s">
        <v>5483</v>
      </c>
      <c r="BG856" s="324" t="s">
        <v>5485</v>
      </c>
      <c r="BH856" s="426" t="s">
        <v>5483</v>
      </c>
      <c r="BI856" s="453">
        <v>3</v>
      </c>
      <c r="BJ856" s="427" t="s">
        <v>210</v>
      </c>
      <c r="BK856" s="412"/>
      <c r="BL856" s="413"/>
      <c r="BM856" s="414"/>
      <c r="BN856" s="417" t="s">
        <v>210</v>
      </c>
      <c r="BO856" s="372"/>
      <c r="BP856" s="340" t="s">
        <v>210</v>
      </c>
      <c r="BQ856" s="456" t="s">
        <v>247</v>
      </c>
      <c r="BR856" s="342" t="s">
        <v>210</v>
      </c>
      <c r="BS856" s="342" t="s">
        <v>210</v>
      </c>
      <c r="BT856" s="342" t="s">
        <v>210</v>
      </c>
      <c r="BU856" s="342" t="s">
        <v>210</v>
      </c>
      <c r="BV856" s="342" t="s">
        <v>210</v>
      </c>
      <c r="BW856" s="341" t="s">
        <v>210</v>
      </c>
      <c r="BX856" s="361"/>
      <c r="BY856" s="457" t="s">
        <v>5496</v>
      </c>
      <c r="BZ856" s="363"/>
      <c r="CA856" s="363"/>
      <c r="CB856" s="363"/>
      <c r="CC856" s="363"/>
    </row>
    <row r="857" spans="2:81" ht="22.5" customHeight="1">
      <c r="B857" s="442">
        <v>170139</v>
      </c>
      <c r="C857" s="747" t="s">
        <v>5420</v>
      </c>
      <c r="D857" s="467" t="s">
        <v>5197</v>
      </c>
      <c r="E857" s="404" t="s">
        <v>5361</v>
      </c>
      <c r="F857" s="405" t="s">
        <v>267</v>
      </c>
      <c r="G857" s="324" t="s">
        <v>5421</v>
      </c>
      <c r="H857" s="324" t="s">
        <v>5492</v>
      </c>
      <c r="I857" s="326" t="s">
        <v>383</v>
      </c>
      <c r="J857" s="326" t="s">
        <v>399</v>
      </c>
      <c r="K857" s="324" t="s">
        <v>247</v>
      </c>
      <c r="L857" s="392" t="s">
        <v>210</v>
      </c>
      <c r="M857" s="324" t="s">
        <v>10767</v>
      </c>
      <c r="N857" s="444" t="s">
        <v>5609</v>
      </c>
      <c r="O857" s="324">
        <v>10</v>
      </c>
      <c r="P857" s="458">
        <v>2200</v>
      </c>
      <c r="Q857" s="459">
        <v>2316</v>
      </c>
      <c r="R857" s="420" t="s">
        <v>5423</v>
      </c>
      <c r="S857" s="394" t="s">
        <v>12589</v>
      </c>
      <c r="T857" s="394" t="s">
        <v>12591</v>
      </c>
      <c r="U857" s="394" t="s">
        <v>12590</v>
      </c>
      <c r="V857" s="394" t="s">
        <v>12592</v>
      </c>
      <c r="W857" s="332" t="s">
        <v>432</v>
      </c>
      <c r="X857" s="331" t="s">
        <v>11079</v>
      </c>
      <c r="Y857" s="331" t="s">
        <v>11080</v>
      </c>
      <c r="Z857" s="331" t="s">
        <v>11080</v>
      </c>
      <c r="AA857" s="331" t="s">
        <v>6574</v>
      </c>
      <c r="AB857" s="416"/>
      <c r="AC857" s="416"/>
      <c r="AD857" s="447" t="s">
        <v>5957</v>
      </c>
      <c r="AE857" s="335" t="s">
        <v>210</v>
      </c>
      <c r="AF857" s="462">
        <v>42906</v>
      </c>
      <c r="AG857" s="748">
        <v>43024</v>
      </c>
      <c r="AH857" s="453">
        <v>16.899999999999999</v>
      </c>
      <c r="AI857" s="432">
        <v>8.6</v>
      </c>
      <c r="AJ857" s="432">
        <v>9.3000000000000007</v>
      </c>
      <c r="AK857" s="455">
        <v>34.799999999999997</v>
      </c>
      <c r="AL857" s="417" t="s">
        <v>210</v>
      </c>
      <c r="AM857" s="392" t="s">
        <v>210</v>
      </c>
      <c r="AN857" s="392" t="s">
        <v>210</v>
      </c>
      <c r="AO857" s="341" t="s">
        <v>210</v>
      </c>
      <c r="AP857" s="342" t="s">
        <v>622</v>
      </c>
      <c r="AQ857" s="433" t="s">
        <v>4547</v>
      </c>
      <c r="AR857" s="452">
        <v>1371</v>
      </c>
      <c r="AS857" s="324">
        <v>80</v>
      </c>
      <c r="AT857" s="432">
        <v>1</v>
      </c>
      <c r="AU857" s="432" t="s">
        <v>3627</v>
      </c>
      <c r="AV857" s="432">
        <v>1.5</v>
      </c>
      <c r="AW857" s="490" t="s">
        <v>5487</v>
      </c>
      <c r="AX857" s="453" t="s">
        <v>210</v>
      </c>
      <c r="AY857" s="429" t="s">
        <v>210</v>
      </c>
      <c r="AZ857" s="405" t="s">
        <v>622</v>
      </c>
      <c r="BA857" s="324" t="s">
        <v>3565</v>
      </c>
      <c r="BB857" s="324" t="s">
        <v>5424</v>
      </c>
      <c r="BC857" s="324" t="s">
        <v>5425</v>
      </c>
      <c r="BD857" s="324" t="s">
        <v>5424</v>
      </c>
      <c r="BE857" s="324" t="s">
        <v>3476</v>
      </c>
      <c r="BF857" s="324" t="s">
        <v>5424</v>
      </c>
      <c r="BG857" s="324" t="s">
        <v>210</v>
      </c>
      <c r="BH857" s="426" t="s">
        <v>210</v>
      </c>
      <c r="BI857" s="453">
        <v>1.25</v>
      </c>
      <c r="BJ857" s="427" t="s">
        <v>5491</v>
      </c>
      <c r="BK857" s="412"/>
      <c r="BL857" s="413"/>
      <c r="BM857" s="414"/>
      <c r="BN857" s="410"/>
      <c r="BO857" s="502"/>
      <c r="BP857" s="492"/>
      <c r="BQ857" s="456" t="s">
        <v>5610</v>
      </c>
      <c r="BR857" s="342" t="s">
        <v>210</v>
      </c>
      <c r="BS857" s="342" t="s">
        <v>622</v>
      </c>
      <c r="BT857" s="342" t="s">
        <v>210</v>
      </c>
      <c r="BU857" s="342" t="s">
        <v>210</v>
      </c>
      <c r="BV857" s="342" t="s">
        <v>210</v>
      </c>
      <c r="BW857" s="341" t="s">
        <v>210</v>
      </c>
      <c r="BX857" s="361"/>
      <c r="BY857" s="457" t="s">
        <v>5588</v>
      </c>
      <c r="BZ857" s="363"/>
      <c r="CA857" s="363"/>
      <c r="CB857" s="363"/>
      <c r="CC857" s="363"/>
    </row>
    <row r="858" spans="2:81" ht="22.5" customHeight="1">
      <c r="B858" s="442">
        <v>170140</v>
      </c>
      <c r="C858" s="747" t="s">
        <v>5394</v>
      </c>
      <c r="D858" s="439" t="s">
        <v>5344</v>
      </c>
      <c r="E858" s="404" t="s">
        <v>5361</v>
      </c>
      <c r="F858" s="405" t="s">
        <v>1048</v>
      </c>
      <c r="G858" s="324" t="s">
        <v>5395</v>
      </c>
      <c r="H858" s="324" t="s">
        <v>5396</v>
      </c>
      <c r="I858" s="326" t="s">
        <v>383</v>
      </c>
      <c r="J858" s="326" t="s">
        <v>399</v>
      </c>
      <c r="K858" s="324" t="s">
        <v>247</v>
      </c>
      <c r="L858" s="342">
        <v>20</v>
      </c>
      <c r="M858" s="408"/>
      <c r="N858" s="884" t="s">
        <v>438</v>
      </c>
      <c r="O858" s="324">
        <v>60</v>
      </c>
      <c r="P858" s="458">
        <f>1013.94+354</f>
        <v>1367.94</v>
      </c>
      <c r="Q858" s="459">
        <f>P858</f>
        <v>1367.94</v>
      </c>
      <c r="R858" s="420" t="s">
        <v>5397</v>
      </c>
      <c r="S858" s="394" t="s">
        <v>12775</v>
      </c>
      <c r="T858" s="394" t="s">
        <v>12776</v>
      </c>
      <c r="U858" s="394" t="s">
        <v>16344</v>
      </c>
      <c r="V858" s="394" t="s">
        <v>12777</v>
      </c>
      <c r="W858" s="332" t="s">
        <v>592</v>
      </c>
      <c r="X858" s="400"/>
      <c r="Y858" s="400"/>
      <c r="Z858" s="400"/>
      <c r="AA858" s="400"/>
      <c r="AB858" s="416"/>
      <c r="AC858" s="416"/>
      <c r="AD858" s="375"/>
      <c r="AE858" s="845"/>
      <c r="AF858" s="462">
        <v>42898</v>
      </c>
      <c r="AG858" s="748">
        <v>42965</v>
      </c>
      <c r="AH858" s="417" t="s">
        <v>210</v>
      </c>
      <c r="AI858" s="392" t="s">
        <v>210</v>
      </c>
      <c r="AJ858" s="392" t="s">
        <v>210</v>
      </c>
      <c r="AK858" s="340" t="s">
        <v>210</v>
      </c>
      <c r="AL858" s="417" t="s">
        <v>210</v>
      </c>
      <c r="AM858" s="392" t="s">
        <v>210</v>
      </c>
      <c r="AN858" s="392" t="s">
        <v>210</v>
      </c>
      <c r="AO858" s="341" t="s">
        <v>210</v>
      </c>
      <c r="AP858" s="342" t="s">
        <v>210</v>
      </c>
      <c r="AQ858" s="433" t="s">
        <v>4548</v>
      </c>
      <c r="AR858" s="452">
        <f>1203+418</f>
        <v>1621</v>
      </c>
      <c r="AS858" s="324">
        <v>80</v>
      </c>
      <c r="AT858" s="432">
        <v>1</v>
      </c>
      <c r="AU858" s="432" t="s">
        <v>3424</v>
      </c>
      <c r="AV858" s="432">
        <v>1.5</v>
      </c>
      <c r="AW858" s="490" t="s">
        <v>3424</v>
      </c>
      <c r="AX858" s="453" t="s">
        <v>210</v>
      </c>
      <c r="AY858" s="429" t="s">
        <v>210</v>
      </c>
      <c r="AZ858" s="405" t="s">
        <v>4083</v>
      </c>
      <c r="BA858" s="324" t="s">
        <v>210</v>
      </c>
      <c r="BB858" s="324" t="s">
        <v>210</v>
      </c>
      <c r="BC858" s="324" t="s">
        <v>5400</v>
      </c>
      <c r="BD858" s="324" t="s">
        <v>3372</v>
      </c>
      <c r="BE858" s="324" t="s">
        <v>5401</v>
      </c>
      <c r="BF858" s="324" t="s">
        <v>3372</v>
      </c>
      <c r="BG858" s="324" t="s">
        <v>3459</v>
      </c>
      <c r="BH858" s="426" t="s">
        <v>3424</v>
      </c>
      <c r="BI858" s="453">
        <v>1.1000000000000001</v>
      </c>
      <c r="BJ858" s="427">
        <v>2.79</v>
      </c>
      <c r="BK858" s="412"/>
      <c r="BL858" s="413"/>
      <c r="BM858" s="414"/>
      <c r="BN858" s="321" t="s">
        <v>622</v>
      </c>
      <c r="BO858" s="464"/>
      <c r="BP858" s="492"/>
      <c r="BQ858" s="456" t="s">
        <v>247</v>
      </c>
      <c r="BR858" s="342" t="s">
        <v>210</v>
      </c>
      <c r="BS858" s="342" t="s">
        <v>622</v>
      </c>
      <c r="BT858" s="342" t="s">
        <v>210</v>
      </c>
      <c r="BU858" s="342" t="s">
        <v>210</v>
      </c>
      <c r="BV858" s="342" t="s">
        <v>210</v>
      </c>
      <c r="BW858" s="341" t="s">
        <v>210</v>
      </c>
      <c r="BX858" s="361"/>
      <c r="BY858" s="457" t="s">
        <v>5527</v>
      </c>
      <c r="BZ858" s="363"/>
      <c r="CA858" s="363"/>
      <c r="CB858" s="363"/>
      <c r="CC858" s="363"/>
    </row>
    <row r="859" spans="2:81" ht="22.5" customHeight="1">
      <c r="B859" s="442">
        <v>170141</v>
      </c>
      <c r="C859" s="747" t="s">
        <v>5574</v>
      </c>
      <c r="D859" s="439" t="s">
        <v>4849</v>
      </c>
      <c r="E859" s="404" t="s">
        <v>5361</v>
      </c>
      <c r="F859" s="405" t="s">
        <v>5432</v>
      </c>
      <c r="G859" s="324" t="s">
        <v>5433</v>
      </c>
      <c r="H859" s="324" t="s">
        <v>5434</v>
      </c>
      <c r="I859" s="326" t="s">
        <v>383</v>
      </c>
      <c r="J859" s="326" t="s">
        <v>399</v>
      </c>
      <c r="K859" s="324" t="s">
        <v>5435</v>
      </c>
      <c r="L859" s="342">
        <v>35</v>
      </c>
      <c r="M859" s="408"/>
      <c r="N859" s="885" t="s">
        <v>437</v>
      </c>
      <c r="O859" s="324">
        <v>20</v>
      </c>
      <c r="P859" s="816">
        <v>80</v>
      </c>
      <c r="Q859" s="817">
        <f>P859</f>
        <v>80</v>
      </c>
      <c r="R859" s="420" t="s">
        <v>5436</v>
      </c>
      <c r="S859" s="394" t="s">
        <v>11413</v>
      </c>
      <c r="T859" s="400"/>
      <c r="U859" s="400"/>
      <c r="V859" s="394" t="s">
        <v>11846</v>
      </c>
      <c r="W859" s="460" t="s">
        <v>5471</v>
      </c>
      <c r="X859" s="400"/>
      <c r="Y859" s="400"/>
      <c r="Z859" s="400"/>
      <c r="AA859" s="400"/>
      <c r="AB859" s="333"/>
      <c r="AC859" s="333"/>
      <c r="AD859" s="334" t="s">
        <v>210</v>
      </c>
      <c r="AE859" s="335" t="s">
        <v>210</v>
      </c>
      <c r="AF859" s="462">
        <v>42901</v>
      </c>
      <c r="AG859" s="748">
        <v>42931</v>
      </c>
      <c r="AH859" s="417" t="s">
        <v>210</v>
      </c>
      <c r="AI859" s="392" t="s">
        <v>210</v>
      </c>
      <c r="AJ859" s="392" t="s">
        <v>210</v>
      </c>
      <c r="AK859" s="340" t="s">
        <v>210</v>
      </c>
      <c r="AL859" s="417" t="s">
        <v>210</v>
      </c>
      <c r="AM859" s="392" t="s">
        <v>210</v>
      </c>
      <c r="AN859" s="392" t="s">
        <v>210</v>
      </c>
      <c r="AO859" s="341" t="s">
        <v>210</v>
      </c>
      <c r="AP859" s="342" t="s">
        <v>210</v>
      </c>
      <c r="AQ859" s="433" t="s">
        <v>4550</v>
      </c>
      <c r="AR859" s="452">
        <v>138.30000000000001</v>
      </c>
      <c r="AS859" s="324">
        <v>50</v>
      </c>
      <c r="AT859" s="432">
        <v>1.2</v>
      </c>
      <c r="AU859" s="432" t="s">
        <v>5560</v>
      </c>
      <c r="AV859" s="432">
        <v>1.2</v>
      </c>
      <c r="AW859" s="490" t="s">
        <v>5560</v>
      </c>
      <c r="AX859" s="453" t="s">
        <v>210</v>
      </c>
      <c r="AY859" s="429" t="s">
        <v>210</v>
      </c>
      <c r="AZ859" s="405" t="s">
        <v>622</v>
      </c>
      <c r="BA859" s="324" t="s">
        <v>5439</v>
      </c>
      <c r="BB859" s="324" t="s">
        <v>5280</v>
      </c>
      <c r="BC859" s="324" t="s">
        <v>5440</v>
      </c>
      <c r="BD859" s="324" t="s">
        <v>5280</v>
      </c>
      <c r="BE859" s="324" t="s">
        <v>5441</v>
      </c>
      <c r="BF859" s="324" t="s">
        <v>5442</v>
      </c>
      <c r="BG859" s="324" t="s">
        <v>5443</v>
      </c>
      <c r="BH859" s="426" t="s">
        <v>5444</v>
      </c>
      <c r="BI859" s="453">
        <v>1.2</v>
      </c>
      <c r="BJ859" s="427" t="s">
        <v>210</v>
      </c>
      <c r="BK859" s="412"/>
      <c r="BL859" s="413"/>
      <c r="BM859" s="414"/>
      <c r="BN859" s="321" t="s">
        <v>622</v>
      </c>
      <c r="BO859" s="372"/>
      <c r="BP859" s="373" t="s">
        <v>622</v>
      </c>
      <c r="BQ859" s="456" t="s">
        <v>247</v>
      </c>
      <c r="BR859" s="342" t="s">
        <v>210</v>
      </c>
      <c r="BS859" s="342" t="s">
        <v>622</v>
      </c>
      <c r="BT859" s="342" t="s">
        <v>210</v>
      </c>
      <c r="BU859" s="342" t="s">
        <v>210</v>
      </c>
      <c r="BV859" s="342" t="s">
        <v>210</v>
      </c>
      <c r="BW859" s="341" t="s">
        <v>210</v>
      </c>
      <c r="BX859" s="361"/>
      <c r="BY859" s="457" t="s">
        <v>5587</v>
      </c>
      <c r="BZ859" s="363"/>
      <c r="CA859" s="363"/>
      <c r="CB859" s="363"/>
      <c r="CC859" s="363"/>
    </row>
    <row r="860" spans="2:81" ht="22.5" customHeight="1">
      <c r="B860" s="442">
        <v>170142</v>
      </c>
      <c r="C860" s="747" t="s">
        <v>5581</v>
      </c>
      <c r="D860" s="439" t="s">
        <v>4854</v>
      </c>
      <c r="E860" s="404" t="s">
        <v>5361</v>
      </c>
      <c r="F860" s="405" t="s">
        <v>225</v>
      </c>
      <c r="G860" s="324" t="s">
        <v>5445</v>
      </c>
      <c r="H860" s="324" t="s">
        <v>5446</v>
      </c>
      <c r="I860" s="326" t="s">
        <v>383</v>
      </c>
      <c r="J860" s="326" t="s">
        <v>399</v>
      </c>
      <c r="K860" s="324" t="s">
        <v>247</v>
      </c>
      <c r="L860" s="342">
        <v>20</v>
      </c>
      <c r="M860" s="324" t="s">
        <v>10767</v>
      </c>
      <c r="N860" s="884" t="s">
        <v>438</v>
      </c>
      <c r="O860" s="324">
        <v>30</v>
      </c>
      <c r="P860" s="458">
        <v>1329.21</v>
      </c>
      <c r="Q860" s="459">
        <v>947.7</v>
      </c>
      <c r="R860" s="420" t="s">
        <v>5447</v>
      </c>
      <c r="S860" s="394" t="s">
        <v>12769</v>
      </c>
      <c r="T860" s="394" t="s">
        <v>12770</v>
      </c>
      <c r="U860" s="394" t="s">
        <v>16345</v>
      </c>
      <c r="V860" s="394" t="s">
        <v>12771</v>
      </c>
      <c r="W860" s="332" t="s">
        <v>644</v>
      </c>
      <c r="X860" s="394" t="s">
        <v>12772</v>
      </c>
      <c r="Y860" s="394" t="s">
        <v>12773</v>
      </c>
      <c r="Z860" s="394" t="s">
        <v>16520</v>
      </c>
      <c r="AA860" s="394" t="s">
        <v>12774</v>
      </c>
      <c r="AB860" s="416" t="s">
        <v>5450</v>
      </c>
      <c r="AC860" s="416"/>
      <c r="AD860" s="375"/>
      <c r="AE860" s="499" t="s">
        <v>245</v>
      </c>
      <c r="AF860" s="462">
        <v>42921</v>
      </c>
      <c r="AG860" s="748">
        <v>43025</v>
      </c>
      <c r="AH860" s="417" t="s">
        <v>210</v>
      </c>
      <c r="AI860" s="392" t="s">
        <v>210</v>
      </c>
      <c r="AJ860" s="392" t="s">
        <v>210</v>
      </c>
      <c r="AK860" s="340" t="s">
        <v>210</v>
      </c>
      <c r="AL860" s="417" t="s">
        <v>210</v>
      </c>
      <c r="AM860" s="392" t="s">
        <v>210</v>
      </c>
      <c r="AN860" s="392" t="s">
        <v>210</v>
      </c>
      <c r="AO860" s="341" t="s">
        <v>210</v>
      </c>
      <c r="AP860" s="342" t="s">
        <v>210</v>
      </c>
      <c r="AQ860" s="433" t="s">
        <v>4547</v>
      </c>
      <c r="AR860" s="452">
        <f>18.5*61.7</f>
        <v>1141.45</v>
      </c>
      <c r="AS860" s="324">
        <v>100</v>
      </c>
      <c r="AT860" s="432">
        <v>1</v>
      </c>
      <c r="AU860" s="432" t="s">
        <v>5604</v>
      </c>
      <c r="AV860" s="432">
        <v>1.5</v>
      </c>
      <c r="AW860" s="490" t="s">
        <v>3382</v>
      </c>
      <c r="AX860" s="453" t="s">
        <v>210</v>
      </c>
      <c r="AY860" s="429" t="s">
        <v>210</v>
      </c>
      <c r="AZ860" s="405" t="s">
        <v>4083</v>
      </c>
      <c r="BA860" s="324" t="s">
        <v>210</v>
      </c>
      <c r="BB860" s="324" t="s">
        <v>210</v>
      </c>
      <c r="BC860" s="324" t="s">
        <v>210</v>
      </c>
      <c r="BD860" s="324" t="s">
        <v>210</v>
      </c>
      <c r="BE860" s="324" t="s">
        <v>5582</v>
      </c>
      <c r="BF860" s="324" t="s">
        <v>3382</v>
      </c>
      <c r="BG860" s="324" t="s">
        <v>5583</v>
      </c>
      <c r="BH860" s="426" t="s">
        <v>3424</v>
      </c>
      <c r="BI860" s="453">
        <v>1.3</v>
      </c>
      <c r="BJ860" s="427" t="s">
        <v>210</v>
      </c>
      <c r="BK860" s="412"/>
      <c r="BL860" s="413"/>
      <c r="BM860" s="414"/>
      <c r="BN860" s="417" t="s">
        <v>210</v>
      </c>
      <c r="BO860" s="372"/>
      <c r="BP860" s="340" t="s">
        <v>210</v>
      </c>
      <c r="BQ860" s="456" t="s">
        <v>1059</v>
      </c>
      <c r="BR860" s="342" t="s">
        <v>210</v>
      </c>
      <c r="BS860" s="342" t="s">
        <v>622</v>
      </c>
      <c r="BT860" s="342" t="s">
        <v>622</v>
      </c>
      <c r="BU860" s="342" t="s">
        <v>210</v>
      </c>
      <c r="BV860" s="342" t="s">
        <v>210</v>
      </c>
      <c r="BW860" s="341" t="s">
        <v>210</v>
      </c>
      <c r="BX860" s="361"/>
      <c r="BY860" s="457" t="s">
        <v>5584</v>
      </c>
      <c r="BZ860" s="363"/>
      <c r="CA860" s="363"/>
      <c r="CB860" s="363"/>
      <c r="CC860" s="363"/>
    </row>
    <row r="861" spans="2:81" ht="22.5" customHeight="1">
      <c r="B861" s="442" t="s">
        <v>6020</v>
      </c>
      <c r="C861" s="747" t="s">
        <v>6007</v>
      </c>
      <c r="D861" s="439" t="s">
        <v>4854</v>
      </c>
      <c r="E861" s="404" t="s">
        <v>5361</v>
      </c>
      <c r="F861" s="405" t="s">
        <v>225</v>
      </c>
      <c r="G861" s="324" t="s">
        <v>1990</v>
      </c>
      <c r="H861" s="324" t="s">
        <v>5446</v>
      </c>
      <c r="I861" s="326" t="s">
        <v>383</v>
      </c>
      <c r="J861" s="326" t="s">
        <v>399</v>
      </c>
      <c r="K861" s="324" t="s">
        <v>6008</v>
      </c>
      <c r="L861" s="392" t="s">
        <v>210</v>
      </c>
      <c r="M861" s="324" t="s">
        <v>10767</v>
      </c>
      <c r="N861" s="884" t="s">
        <v>438</v>
      </c>
      <c r="O861" s="324">
        <v>30</v>
      </c>
      <c r="P861" s="816">
        <v>190</v>
      </c>
      <c r="Q861" s="817">
        <f>P861</f>
        <v>190</v>
      </c>
      <c r="R861" s="420" t="s">
        <v>5447</v>
      </c>
      <c r="S861" s="394" t="s">
        <v>12769</v>
      </c>
      <c r="T861" s="394" t="s">
        <v>12770</v>
      </c>
      <c r="U861" s="394" t="s">
        <v>16345</v>
      </c>
      <c r="V861" s="394" t="s">
        <v>12771</v>
      </c>
      <c r="W861" s="460" t="s">
        <v>5447</v>
      </c>
      <c r="X861" s="394" t="s">
        <v>12769</v>
      </c>
      <c r="Y861" s="394" t="s">
        <v>12770</v>
      </c>
      <c r="Z861" s="394" t="s">
        <v>16345</v>
      </c>
      <c r="AA861" s="394" t="s">
        <v>12771</v>
      </c>
      <c r="AB861" s="416" t="s">
        <v>5450</v>
      </c>
      <c r="AC861" s="416"/>
      <c r="AD861" s="334" t="s">
        <v>210</v>
      </c>
      <c r="AE861" s="335" t="s">
        <v>210</v>
      </c>
      <c r="AF861" s="462">
        <v>43011</v>
      </c>
      <c r="AG861" s="748">
        <v>43049</v>
      </c>
      <c r="AH861" s="417" t="s">
        <v>210</v>
      </c>
      <c r="AI861" s="392" t="s">
        <v>210</v>
      </c>
      <c r="AJ861" s="392" t="s">
        <v>210</v>
      </c>
      <c r="AK861" s="340" t="s">
        <v>210</v>
      </c>
      <c r="AL861" s="417" t="s">
        <v>210</v>
      </c>
      <c r="AM861" s="392" t="s">
        <v>210</v>
      </c>
      <c r="AN861" s="392" t="s">
        <v>210</v>
      </c>
      <c r="AO861" s="341" t="s">
        <v>210</v>
      </c>
      <c r="AP861" s="342" t="s">
        <v>210</v>
      </c>
      <c r="AQ861" s="433" t="s">
        <v>4547</v>
      </c>
      <c r="AR861" s="452">
        <v>302.8</v>
      </c>
      <c r="AS861" s="324">
        <v>100</v>
      </c>
      <c r="AT861" s="432">
        <v>1</v>
      </c>
      <c r="AU861" s="432" t="s">
        <v>5604</v>
      </c>
      <c r="AV861" s="432">
        <v>1.5</v>
      </c>
      <c r="AW861" s="490" t="s">
        <v>3382</v>
      </c>
      <c r="AX861" s="453" t="s">
        <v>210</v>
      </c>
      <c r="AY861" s="429" t="s">
        <v>210</v>
      </c>
      <c r="AZ861" s="405" t="s">
        <v>4083</v>
      </c>
      <c r="BA861" s="324" t="s">
        <v>210</v>
      </c>
      <c r="BB861" s="324" t="s">
        <v>210</v>
      </c>
      <c r="BC861" s="324" t="s">
        <v>210</v>
      </c>
      <c r="BD861" s="324" t="s">
        <v>210</v>
      </c>
      <c r="BE861" s="324" t="s">
        <v>3555</v>
      </c>
      <c r="BF861" s="324" t="s">
        <v>3382</v>
      </c>
      <c r="BG861" s="324" t="s">
        <v>4869</v>
      </c>
      <c r="BH861" s="426" t="s">
        <v>3424</v>
      </c>
      <c r="BI861" s="453">
        <v>1.3</v>
      </c>
      <c r="BJ861" s="427" t="s">
        <v>210</v>
      </c>
      <c r="BK861" s="412"/>
      <c r="BL861" s="413"/>
      <c r="BM861" s="414"/>
      <c r="BN861" s="417" t="s">
        <v>210</v>
      </c>
      <c r="BO861" s="372"/>
      <c r="BP861" s="340" t="s">
        <v>210</v>
      </c>
      <c r="BQ861" s="456" t="s">
        <v>1059</v>
      </c>
      <c r="BR861" s="342" t="s">
        <v>210</v>
      </c>
      <c r="BS861" s="342" t="s">
        <v>622</v>
      </c>
      <c r="BT861" s="342" t="s">
        <v>622</v>
      </c>
      <c r="BU861" s="342" t="s">
        <v>210</v>
      </c>
      <c r="BV861" s="342" t="s">
        <v>210</v>
      </c>
      <c r="BW861" s="341" t="s">
        <v>210</v>
      </c>
      <c r="BX861" s="361"/>
      <c r="BY861" s="457" t="s">
        <v>6009</v>
      </c>
      <c r="BZ861" s="363"/>
      <c r="CA861" s="363"/>
      <c r="CB861" s="363"/>
      <c r="CC861" s="363"/>
    </row>
    <row r="862" spans="2:81" ht="22.5" customHeight="1">
      <c r="B862" s="442">
        <v>170143</v>
      </c>
      <c r="C862" s="747" t="s">
        <v>5459</v>
      </c>
      <c r="D862" s="467" t="s">
        <v>4853</v>
      </c>
      <c r="E862" s="404" t="s">
        <v>5361</v>
      </c>
      <c r="F862" s="405" t="s">
        <v>5460</v>
      </c>
      <c r="G862" s="324" t="s">
        <v>5461</v>
      </c>
      <c r="H862" s="324" t="s">
        <v>5682</v>
      </c>
      <c r="I862" s="326" t="s">
        <v>383</v>
      </c>
      <c r="J862" s="326" t="s">
        <v>387</v>
      </c>
      <c r="K862" s="326" t="s">
        <v>917</v>
      </c>
      <c r="L862" s="392" t="s">
        <v>210</v>
      </c>
      <c r="M862" s="324" t="s">
        <v>10767</v>
      </c>
      <c r="N862" s="444" t="s">
        <v>5637</v>
      </c>
      <c r="O862" s="324">
        <v>30</v>
      </c>
      <c r="P862" s="458">
        <v>1285</v>
      </c>
      <c r="Q862" s="459">
        <v>877</v>
      </c>
      <c r="R862" s="420" t="s">
        <v>6389</v>
      </c>
      <c r="S862" s="394" t="s">
        <v>12586</v>
      </c>
      <c r="T862" s="394" t="s">
        <v>12587</v>
      </c>
      <c r="U862" s="394" t="s">
        <v>16276</v>
      </c>
      <c r="V862" s="394" t="s">
        <v>12588</v>
      </c>
      <c r="W862" s="332" t="s">
        <v>432</v>
      </c>
      <c r="X862" s="331" t="s">
        <v>11079</v>
      </c>
      <c r="Y862" s="331" t="s">
        <v>11080</v>
      </c>
      <c r="Z862" s="331" t="s">
        <v>11080</v>
      </c>
      <c r="AA862" s="331" t="s">
        <v>6574</v>
      </c>
      <c r="AB862" s="416" t="s">
        <v>5462</v>
      </c>
      <c r="AC862" s="416"/>
      <c r="AD862" s="334" t="s">
        <v>2333</v>
      </c>
      <c r="AE862" s="499" t="s">
        <v>4609</v>
      </c>
      <c r="AF862" s="462">
        <v>42949</v>
      </c>
      <c r="AG862" s="748">
        <v>43039</v>
      </c>
      <c r="AH862" s="417">
        <v>13.1</v>
      </c>
      <c r="AI862" s="392">
        <v>37.1</v>
      </c>
      <c r="AJ862" s="392">
        <v>21.6</v>
      </c>
      <c r="AK862" s="340">
        <v>71.8</v>
      </c>
      <c r="AL862" s="417" t="s">
        <v>210</v>
      </c>
      <c r="AM862" s="392" t="s">
        <v>210</v>
      </c>
      <c r="AN862" s="392" t="s">
        <v>622</v>
      </c>
      <c r="AO862" s="341" t="s">
        <v>210</v>
      </c>
      <c r="AP862" s="342" t="s">
        <v>210</v>
      </c>
      <c r="AQ862" s="433" t="s">
        <v>4547</v>
      </c>
      <c r="AR862" s="452">
        <v>1400</v>
      </c>
      <c r="AS862" s="324">
        <v>100</v>
      </c>
      <c r="AT862" s="432">
        <v>1</v>
      </c>
      <c r="AU862" s="432" t="s">
        <v>5681</v>
      </c>
      <c r="AV862" s="432">
        <v>1.5</v>
      </c>
      <c r="AW862" s="490" t="s">
        <v>5636</v>
      </c>
      <c r="AX862" s="453" t="s">
        <v>210</v>
      </c>
      <c r="AY862" s="429" t="s">
        <v>210</v>
      </c>
      <c r="AZ862" s="405" t="s">
        <v>622</v>
      </c>
      <c r="BA862" s="324" t="s">
        <v>3557</v>
      </c>
      <c r="BB862" s="324" t="s">
        <v>5464</v>
      </c>
      <c r="BC862" s="324" t="s">
        <v>5465</v>
      </c>
      <c r="BD862" s="324" t="s">
        <v>5058</v>
      </c>
      <c r="BE862" s="324" t="s">
        <v>210</v>
      </c>
      <c r="BF862" s="324" t="s">
        <v>210</v>
      </c>
      <c r="BG862" s="324" t="s">
        <v>210</v>
      </c>
      <c r="BH862" s="324" t="s">
        <v>210</v>
      </c>
      <c r="BI862" s="453">
        <v>2.1</v>
      </c>
      <c r="BJ862" s="427" t="s">
        <v>9793</v>
      </c>
      <c r="BK862" s="412"/>
      <c r="BL862" s="413"/>
      <c r="BM862" s="414"/>
      <c r="BN862" s="321" t="s">
        <v>622</v>
      </c>
      <c r="BO862" s="372"/>
      <c r="BP862" s="373" t="s">
        <v>622</v>
      </c>
      <c r="BQ862" s="456" t="s">
        <v>917</v>
      </c>
      <c r="BR862" s="342" t="s">
        <v>210</v>
      </c>
      <c r="BS862" s="342" t="s">
        <v>622</v>
      </c>
      <c r="BT862" s="342" t="s">
        <v>210</v>
      </c>
      <c r="BU862" s="342" t="s">
        <v>210</v>
      </c>
      <c r="BV862" s="342" t="s">
        <v>210</v>
      </c>
      <c r="BW862" s="341" t="s">
        <v>210</v>
      </c>
      <c r="BX862" s="361"/>
      <c r="BY862" s="457" t="s">
        <v>5680</v>
      </c>
      <c r="BZ862" s="363"/>
      <c r="CA862" s="363"/>
      <c r="CB862" s="363"/>
      <c r="CC862" s="363"/>
    </row>
    <row r="863" spans="2:81" ht="22.5" customHeight="1">
      <c r="B863" s="442">
        <v>170146</v>
      </c>
      <c r="C863" s="747" t="s">
        <v>5502</v>
      </c>
      <c r="D863" s="439" t="s">
        <v>4854</v>
      </c>
      <c r="E863" s="404" t="s">
        <v>5361</v>
      </c>
      <c r="F863" s="405" t="s">
        <v>4072</v>
      </c>
      <c r="G863" s="324" t="s">
        <v>5503</v>
      </c>
      <c r="H863" s="324" t="s">
        <v>5504</v>
      </c>
      <c r="I863" s="326" t="s">
        <v>383</v>
      </c>
      <c r="J863" s="326" t="s">
        <v>399</v>
      </c>
      <c r="K863" s="324" t="s">
        <v>5505</v>
      </c>
      <c r="L863" s="392" t="s">
        <v>210</v>
      </c>
      <c r="M863" s="324" t="s">
        <v>10767</v>
      </c>
      <c r="N863" s="884" t="s">
        <v>438</v>
      </c>
      <c r="O863" s="324">
        <v>29</v>
      </c>
      <c r="P863" s="458">
        <v>400</v>
      </c>
      <c r="Q863" s="459">
        <v>800</v>
      </c>
      <c r="R863" s="420" t="s">
        <v>5631</v>
      </c>
      <c r="S863" s="400"/>
      <c r="T863" s="400"/>
      <c r="U863" s="400"/>
      <c r="V863" s="400"/>
      <c r="W863" s="460" t="s">
        <v>5506</v>
      </c>
      <c r="X863" s="394" t="s">
        <v>12582</v>
      </c>
      <c r="Y863" s="394" t="s">
        <v>12584</v>
      </c>
      <c r="Z863" s="394" t="s">
        <v>12583</v>
      </c>
      <c r="AA863" s="394" t="s">
        <v>12585</v>
      </c>
      <c r="AB863" s="416"/>
      <c r="AC863" s="416"/>
      <c r="AD863" s="334" t="s">
        <v>3553</v>
      </c>
      <c r="AE863" s="499" t="s">
        <v>245</v>
      </c>
      <c r="AF863" s="462">
        <v>42908</v>
      </c>
      <c r="AG863" s="748">
        <v>43011</v>
      </c>
      <c r="AH863" s="417" t="s">
        <v>210</v>
      </c>
      <c r="AI863" s="392" t="s">
        <v>210</v>
      </c>
      <c r="AJ863" s="392" t="s">
        <v>210</v>
      </c>
      <c r="AK863" s="340" t="s">
        <v>210</v>
      </c>
      <c r="AL863" s="417" t="s">
        <v>210</v>
      </c>
      <c r="AM863" s="392" t="s">
        <v>210</v>
      </c>
      <c r="AN863" s="392" t="s">
        <v>210</v>
      </c>
      <c r="AO863" s="341" t="s">
        <v>210</v>
      </c>
      <c r="AP863" s="342" t="s">
        <v>210</v>
      </c>
      <c r="AQ863" s="433" t="s">
        <v>4547</v>
      </c>
      <c r="AR863" s="452">
        <v>500</v>
      </c>
      <c r="AS863" s="324">
        <v>100</v>
      </c>
      <c r="AT863" s="432">
        <v>1</v>
      </c>
      <c r="AU863" s="432" t="s">
        <v>5246</v>
      </c>
      <c r="AV863" s="432">
        <v>1.5</v>
      </c>
      <c r="AW863" s="490" t="s">
        <v>5578</v>
      </c>
      <c r="AX863" s="417" t="s">
        <v>210</v>
      </c>
      <c r="AY863" s="455" t="s">
        <v>210</v>
      </c>
      <c r="AZ863" s="405" t="s">
        <v>4083</v>
      </c>
      <c r="BA863" s="324" t="s">
        <v>210</v>
      </c>
      <c r="BB863" s="324" t="s">
        <v>210</v>
      </c>
      <c r="BC863" s="324" t="s">
        <v>5507</v>
      </c>
      <c r="BD863" s="324" t="s">
        <v>3495</v>
      </c>
      <c r="BE863" s="324" t="s">
        <v>5508</v>
      </c>
      <c r="BF863" s="324" t="s">
        <v>3495</v>
      </c>
      <c r="BG863" s="324" t="s">
        <v>5507</v>
      </c>
      <c r="BH863" s="324" t="s">
        <v>3495</v>
      </c>
      <c r="BI863" s="453">
        <v>1.5</v>
      </c>
      <c r="BJ863" s="427" t="s">
        <v>210</v>
      </c>
      <c r="BK863" s="412"/>
      <c r="BL863" s="413"/>
      <c r="BM863" s="414"/>
      <c r="BN863" s="417" t="s">
        <v>210</v>
      </c>
      <c r="BO863" s="372"/>
      <c r="BP863" s="340" t="s">
        <v>210</v>
      </c>
      <c r="BQ863" s="456" t="s">
        <v>1059</v>
      </c>
      <c r="BR863" s="342" t="s">
        <v>210</v>
      </c>
      <c r="BS863" s="342" t="s">
        <v>622</v>
      </c>
      <c r="BT863" s="342" t="s">
        <v>210</v>
      </c>
      <c r="BU863" s="342" t="s">
        <v>210</v>
      </c>
      <c r="BV863" s="342" t="s">
        <v>210</v>
      </c>
      <c r="BW863" s="341" t="s">
        <v>210</v>
      </c>
      <c r="BX863" s="361"/>
      <c r="BY863" s="457"/>
      <c r="BZ863" s="363"/>
      <c r="CA863" s="363"/>
      <c r="CB863" s="363"/>
      <c r="CC863" s="363"/>
    </row>
    <row r="864" spans="2:81" ht="22.5" customHeight="1">
      <c r="B864" s="442">
        <v>170147</v>
      </c>
      <c r="C864" s="747" t="s">
        <v>12577</v>
      </c>
      <c r="D864" s="467" t="s">
        <v>5197</v>
      </c>
      <c r="E864" s="404" t="s">
        <v>5361</v>
      </c>
      <c r="F864" s="405" t="s">
        <v>5542</v>
      </c>
      <c r="G864" s="324" t="s">
        <v>5543</v>
      </c>
      <c r="H864" s="324" t="s">
        <v>5544</v>
      </c>
      <c r="I864" s="326" t="s">
        <v>383</v>
      </c>
      <c r="J864" s="326" t="s">
        <v>399</v>
      </c>
      <c r="K864" s="324" t="s">
        <v>247</v>
      </c>
      <c r="L864" s="342">
        <v>10</v>
      </c>
      <c r="M864" s="408"/>
      <c r="N864" s="444" t="s">
        <v>5575</v>
      </c>
      <c r="O864" s="324">
        <v>50</v>
      </c>
      <c r="P864" s="816">
        <f>1490+1365+1320</f>
        <v>4175</v>
      </c>
      <c r="Q864" s="817">
        <f>P864</f>
        <v>4175</v>
      </c>
      <c r="R864" s="420" t="s">
        <v>5545</v>
      </c>
      <c r="S864" s="400"/>
      <c r="T864" s="400"/>
      <c r="U864" s="400"/>
      <c r="V864" s="400"/>
      <c r="W864" s="460" t="s">
        <v>5541</v>
      </c>
      <c r="X864" s="394" t="s">
        <v>12578</v>
      </c>
      <c r="Y864" s="394" t="s">
        <v>12580</v>
      </c>
      <c r="Z864" s="394" t="s">
        <v>12579</v>
      </c>
      <c r="AA864" s="394" t="s">
        <v>12581</v>
      </c>
      <c r="AB864" s="416"/>
      <c r="AC864" s="416"/>
      <c r="AD864" s="447" t="s">
        <v>6010</v>
      </c>
      <c r="AE864" s="499" t="s">
        <v>245</v>
      </c>
      <c r="AF864" s="462">
        <v>42916</v>
      </c>
      <c r="AG864" s="748">
        <v>43028</v>
      </c>
      <c r="AH864" s="417" t="s">
        <v>210</v>
      </c>
      <c r="AI864" s="392" t="s">
        <v>210</v>
      </c>
      <c r="AJ864" s="392" t="s">
        <v>210</v>
      </c>
      <c r="AK864" s="340" t="s">
        <v>210</v>
      </c>
      <c r="AL864" s="417" t="s">
        <v>210</v>
      </c>
      <c r="AM864" s="392" t="s">
        <v>210</v>
      </c>
      <c r="AN864" s="392" t="s">
        <v>210</v>
      </c>
      <c r="AO864" s="341" t="s">
        <v>210</v>
      </c>
      <c r="AP864" s="342" t="s">
        <v>622</v>
      </c>
      <c r="AQ864" s="433" t="s">
        <v>4547</v>
      </c>
      <c r="AR864" s="452">
        <v>6787</v>
      </c>
      <c r="AS864" s="324">
        <v>100</v>
      </c>
      <c r="AT864" s="432">
        <v>1</v>
      </c>
      <c r="AU864" s="432" t="s">
        <v>5246</v>
      </c>
      <c r="AV864" s="432">
        <v>1.5</v>
      </c>
      <c r="AW864" s="490" t="s">
        <v>5246</v>
      </c>
      <c r="AX864" s="417" t="s">
        <v>210</v>
      </c>
      <c r="AY864" s="455" t="s">
        <v>210</v>
      </c>
      <c r="AZ864" s="405" t="s">
        <v>4083</v>
      </c>
      <c r="BA864" s="324" t="s">
        <v>210</v>
      </c>
      <c r="BB864" s="324" t="s">
        <v>210</v>
      </c>
      <c r="BC864" s="324" t="s">
        <v>210</v>
      </c>
      <c r="BD864" s="324" t="s">
        <v>210</v>
      </c>
      <c r="BE864" s="324" t="s">
        <v>3555</v>
      </c>
      <c r="BF864" s="324" t="s">
        <v>5246</v>
      </c>
      <c r="BG864" s="324" t="s">
        <v>3459</v>
      </c>
      <c r="BH864" s="426" t="s">
        <v>5246</v>
      </c>
      <c r="BI864" s="453">
        <v>0.5</v>
      </c>
      <c r="BJ864" s="427" t="s">
        <v>210</v>
      </c>
      <c r="BK864" s="412"/>
      <c r="BL864" s="413"/>
      <c r="BM864" s="414"/>
      <c r="BN864" s="453" t="s">
        <v>5576</v>
      </c>
      <c r="BO864" s="464"/>
      <c r="BP864" s="492"/>
      <c r="BQ864" s="456" t="s">
        <v>247</v>
      </c>
      <c r="BR864" s="342" t="s">
        <v>210</v>
      </c>
      <c r="BS864" s="342" t="s">
        <v>210</v>
      </c>
      <c r="BT864" s="342" t="s">
        <v>210</v>
      </c>
      <c r="BU864" s="342" t="s">
        <v>210</v>
      </c>
      <c r="BV864" s="342" t="s">
        <v>210</v>
      </c>
      <c r="BW864" s="341" t="s">
        <v>210</v>
      </c>
      <c r="BX864" s="361"/>
      <c r="BY864" s="457" t="s">
        <v>5754</v>
      </c>
      <c r="BZ864" s="363"/>
      <c r="CA864" s="363"/>
      <c r="CB864" s="363"/>
      <c r="CC864" s="363"/>
    </row>
    <row r="865" spans="1:82" ht="22.5" customHeight="1">
      <c r="B865" s="442">
        <v>170148</v>
      </c>
      <c r="C865" s="747" t="s">
        <v>12573</v>
      </c>
      <c r="D865" s="439" t="s">
        <v>4854</v>
      </c>
      <c r="E865" s="404" t="s">
        <v>5362</v>
      </c>
      <c r="F865" s="405" t="s">
        <v>304</v>
      </c>
      <c r="G865" s="324" t="s">
        <v>4831</v>
      </c>
      <c r="H865" s="324" t="s">
        <v>4832</v>
      </c>
      <c r="I865" s="326" t="s">
        <v>383</v>
      </c>
      <c r="J865" s="326" t="s">
        <v>399</v>
      </c>
      <c r="K865" s="326" t="s">
        <v>917</v>
      </c>
      <c r="L865" s="392" t="s">
        <v>210</v>
      </c>
      <c r="M865" s="324" t="s">
        <v>10767</v>
      </c>
      <c r="N865" s="325" t="s">
        <v>437</v>
      </c>
      <c r="O865" s="324">
        <v>53</v>
      </c>
      <c r="P865" s="458">
        <v>105</v>
      </c>
      <c r="Q865" s="459">
        <f>P865</f>
        <v>105</v>
      </c>
      <c r="R865" s="329" t="s">
        <v>479</v>
      </c>
      <c r="S865" s="394" t="s">
        <v>12574</v>
      </c>
      <c r="T865" s="394" t="s">
        <v>12575</v>
      </c>
      <c r="U865" s="400"/>
      <c r="V865" s="394" t="s">
        <v>12576</v>
      </c>
      <c r="W865" s="332" t="s">
        <v>479</v>
      </c>
      <c r="X865" s="394" t="s">
        <v>12574</v>
      </c>
      <c r="Y865" s="394" t="s">
        <v>12575</v>
      </c>
      <c r="Z865" s="400"/>
      <c r="AA865" s="394" t="s">
        <v>12576</v>
      </c>
      <c r="AB865" s="416"/>
      <c r="AC865" s="416"/>
      <c r="AD865" s="334" t="s">
        <v>210</v>
      </c>
      <c r="AE865" s="335" t="s">
        <v>210</v>
      </c>
      <c r="AF865" s="462">
        <v>42916</v>
      </c>
      <c r="AG865" s="748">
        <v>42946</v>
      </c>
      <c r="AH865" s="417" t="s">
        <v>210</v>
      </c>
      <c r="AI865" s="392" t="s">
        <v>210</v>
      </c>
      <c r="AJ865" s="392" t="s">
        <v>210</v>
      </c>
      <c r="AK865" s="340" t="s">
        <v>210</v>
      </c>
      <c r="AL865" s="417" t="s">
        <v>210</v>
      </c>
      <c r="AM865" s="392" t="s">
        <v>210</v>
      </c>
      <c r="AN865" s="392" t="s">
        <v>210</v>
      </c>
      <c r="AO865" s="341" t="s">
        <v>210</v>
      </c>
      <c r="AP865" s="342" t="s">
        <v>210</v>
      </c>
      <c r="AQ865" s="433" t="s">
        <v>4548</v>
      </c>
      <c r="AR865" s="452">
        <v>160</v>
      </c>
      <c r="AS865" s="324">
        <v>50</v>
      </c>
      <c r="AT865" s="432">
        <v>1</v>
      </c>
      <c r="AU865" s="432" t="s">
        <v>5246</v>
      </c>
      <c r="AV865" s="432">
        <v>1.5</v>
      </c>
      <c r="AW865" s="490" t="s">
        <v>5275</v>
      </c>
      <c r="AX865" s="417" t="s">
        <v>210</v>
      </c>
      <c r="AY865" s="455" t="s">
        <v>210</v>
      </c>
      <c r="AZ865" s="405" t="s">
        <v>622</v>
      </c>
      <c r="BA865" s="324" t="s">
        <v>3475</v>
      </c>
      <c r="BB865" s="324" t="s">
        <v>4834</v>
      </c>
      <c r="BC865" s="324" t="s">
        <v>3555</v>
      </c>
      <c r="BD865" s="324" t="s">
        <v>4836</v>
      </c>
      <c r="BE865" s="324" t="s">
        <v>3565</v>
      </c>
      <c r="BF865" s="324" t="s">
        <v>3487</v>
      </c>
      <c r="BG865" s="324" t="s">
        <v>3565</v>
      </c>
      <c r="BH865" s="426" t="s">
        <v>3487</v>
      </c>
      <c r="BI865" s="453">
        <v>0.5</v>
      </c>
      <c r="BJ865" s="427" t="s">
        <v>210</v>
      </c>
      <c r="BK865" s="412"/>
      <c r="BL865" s="413"/>
      <c r="BM865" s="414"/>
      <c r="BN865" s="417" t="s">
        <v>210</v>
      </c>
      <c r="BO865" s="372"/>
      <c r="BP865" s="340" t="s">
        <v>210</v>
      </c>
      <c r="BQ865" s="456" t="s">
        <v>1059</v>
      </c>
      <c r="BR865" s="342" t="s">
        <v>210</v>
      </c>
      <c r="BS865" s="342" t="s">
        <v>622</v>
      </c>
      <c r="BT865" s="342" t="s">
        <v>210</v>
      </c>
      <c r="BU865" s="342" t="s">
        <v>210</v>
      </c>
      <c r="BV865" s="342" t="s">
        <v>210</v>
      </c>
      <c r="BW865" s="341" t="s">
        <v>210</v>
      </c>
      <c r="BX865" s="361"/>
      <c r="BY865" s="457" t="s">
        <v>5530</v>
      </c>
      <c r="BZ865" s="363"/>
      <c r="CA865" s="363"/>
      <c r="CB865" s="363"/>
      <c r="CC865" s="363"/>
    </row>
    <row r="866" spans="1:82" ht="22.5" customHeight="1">
      <c r="B866" s="442">
        <v>170149</v>
      </c>
      <c r="C866" s="747" t="s">
        <v>12572</v>
      </c>
      <c r="D866" s="439" t="s">
        <v>4854</v>
      </c>
      <c r="E866" s="404" t="s">
        <v>5362</v>
      </c>
      <c r="F866" s="405" t="s">
        <v>1043</v>
      </c>
      <c r="G866" s="324" t="s">
        <v>5565</v>
      </c>
      <c r="H866" s="324" t="s">
        <v>5566</v>
      </c>
      <c r="I866" s="326" t="s">
        <v>383</v>
      </c>
      <c r="J866" s="326" t="s">
        <v>399</v>
      </c>
      <c r="K866" s="324" t="s">
        <v>5567</v>
      </c>
      <c r="L866" s="392">
        <v>6</v>
      </c>
      <c r="M866" s="324" t="s">
        <v>10767</v>
      </c>
      <c r="N866" s="444" t="s">
        <v>521</v>
      </c>
      <c r="O866" s="324">
        <v>120</v>
      </c>
      <c r="P866" s="458">
        <v>2248</v>
      </c>
      <c r="Q866" s="459">
        <v>2248</v>
      </c>
      <c r="R866" s="420" t="s">
        <v>5569</v>
      </c>
      <c r="S866" s="400"/>
      <c r="T866" s="400"/>
      <c r="U866" s="400"/>
      <c r="V866" s="400"/>
      <c r="W866" s="460" t="s">
        <v>5568</v>
      </c>
      <c r="X866" s="394" t="s">
        <v>12241</v>
      </c>
      <c r="Y866" s="394" t="s">
        <v>12112</v>
      </c>
      <c r="Z866" s="400"/>
      <c r="AA866" s="394" t="s">
        <v>12114</v>
      </c>
      <c r="AB866" s="416"/>
      <c r="AC866" s="416"/>
      <c r="AD866" s="447" t="s">
        <v>5737</v>
      </c>
      <c r="AE866" s="335" t="s">
        <v>210</v>
      </c>
      <c r="AF866" s="462">
        <v>42921</v>
      </c>
      <c r="AG866" s="748">
        <v>42965</v>
      </c>
      <c r="AH866" s="417" t="s">
        <v>210</v>
      </c>
      <c r="AI866" s="392" t="s">
        <v>210</v>
      </c>
      <c r="AJ866" s="392" t="s">
        <v>210</v>
      </c>
      <c r="AK866" s="340" t="s">
        <v>210</v>
      </c>
      <c r="AL866" s="417" t="s">
        <v>210</v>
      </c>
      <c r="AM866" s="392" t="s">
        <v>210</v>
      </c>
      <c r="AN866" s="392" t="s">
        <v>210</v>
      </c>
      <c r="AO866" s="341" t="s">
        <v>210</v>
      </c>
      <c r="AP866" s="342" t="s">
        <v>210</v>
      </c>
      <c r="AQ866" s="433" t="s">
        <v>4547</v>
      </c>
      <c r="AR866" s="452">
        <v>2595</v>
      </c>
      <c r="AS866" s="324">
        <v>100</v>
      </c>
      <c r="AT866" s="432">
        <v>0.8</v>
      </c>
      <c r="AU866" s="432" t="s">
        <v>3845</v>
      </c>
      <c r="AV866" s="432">
        <v>0.8</v>
      </c>
      <c r="AW866" s="490" t="s">
        <v>5487</v>
      </c>
      <c r="AX866" s="417" t="s">
        <v>210</v>
      </c>
      <c r="AY866" s="455" t="s">
        <v>5606</v>
      </c>
      <c r="AZ866" s="405" t="s">
        <v>4083</v>
      </c>
      <c r="BA866" s="324" t="s">
        <v>210</v>
      </c>
      <c r="BB866" s="324" t="s">
        <v>210</v>
      </c>
      <c r="BC866" s="324" t="s">
        <v>5572</v>
      </c>
      <c r="BD866" s="324" t="s">
        <v>5058</v>
      </c>
      <c r="BE866" s="324" t="s">
        <v>210</v>
      </c>
      <c r="BF866" s="324" t="s">
        <v>210</v>
      </c>
      <c r="BG866" s="324" t="s">
        <v>210</v>
      </c>
      <c r="BH866" s="324" t="s">
        <v>210</v>
      </c>
      <c r="BI866" s="453">
        <v>1.5</v>
      </c>
      <c r="BJ866" s="427" t="s">
        <v>210</v>
      </c>
      <c r="BK866" s="412"/>
      <c r="BL866" s="413"/>
      <c r="BM866" s="414"/>
      <c r="BN866" s="417" t="s">
        <v>210</v>
      </c>
      <c r="BO866" s="372"/>
      <c r="BP866" s="340" t="s">
        <v>210</v>
      </c>
      <c r="BQ866" s="456" t="s">
        <v>5608</v>
      </c>
      <c r="BR866" s="342" t="s">
        <v>622</v>
      </c>
      <c r="BS866" s="342" t="s">
        <v>210</v>
      </c>
      <c r="BT866" s="342" t="s">
        <v>210</v>
      </c>
      <c r="BU866" s="342" t="s">
        <v>210</v>
      </c>
      <c r="BV866" s="342" t="s">
        <v>210</v>
      </c>
      <c r="BW866" s="341" t="s">
        <v>210</v>
      </c>
      <c r="BX866" s="361"/>
      <c r="BY866" s="457" t="s">
        <v>5573</v>
      </c>
      <c r="BZ866" s="363"/>
      <c r="CA866" s="363"/>
      <c r="CB866" s="363"/>
      <c r="CC866" s="363"/>
    </row>
    <row r="867" spans="1:82" s="465" customFormat="1" ht="22.5" customHeight="1">
      <c r="A867" s="287"/>
      <c r="B867" s="749">
        <v>170150</v>
      </c>
      <c r="C867" s="750" t="s">
        <v>5532</v>
      </c>
      <c r="D867" s="751" t="s">
        <v>4854</v>
      </c>
      <c r="E867" s="752" t="s">
        <v>5361</v>
      </c>
      <c r="F867" s="753" t="s">
        <v>1048</v>
      </c>
      <c r="G867" s="754" t="s">
        <v>2651</v>
      </c>
      <c r="H867" s="754" t="s">
        <v>5531</v>
      </c>
      <c r="I867" s="662" t="s">
        <v>383</v>
      </c>
      <c r="J867" s="662" t="s">
        <v>399</v>
      </c>
      <c r="K867" s="754" t="s">
        <v>5533</v>
      </c>
      <c r="L867" s="676" t="s">
        <v>210</v>
      </c>
      <c r="M867" s="754" t="s">
        <v>10767</v>
      </c>
      <c r="N867" s="755"/>
      <c r="O867" s="754">
        <v>65</v>
      </c>
      <c r="P867" s="782">
        <v>400</v>
      </c>
      <c r="Q867" s="783">
        <v>800</v>
      </c>
      <c r="R867" s="756" t="s">
        <v>2346</v>
      </c>
      <c r="S867" s="708" t="s">
        <v>12768</v>
      </c>
      <c r="T867" s="708" t="s">
        <v>12147</v>
      </c>
      <c r="U867" s="708" t="s">
        <v>12146</v>
      </c>
      <c r="V867" s="708" t="s">
        <v>12767</v>
      </c>
      <c r="W867" s="757" t="s">
        <v>2346</v>
      </c>
      <c r="X867" s="708" t="s">
        <v>12768</v>
      </c>
      <c r="Y867" s="708" t="s">
        <v>12147</v>
      </c>
      <c r="Z867" s="708" t="s">
        <v>12146</v>
      </c>
      <c r="AA867" s="708" t="s">
        <v>12767</v>
      </c>
      <c r="AB867" s="758"/>
      <c r="AC867" s="758"/>
      <c r="AD867" s="759"/>
      <c r="AE867" s="760"/>
      <c r="AF867" s="846">
        <v>42916</v>
      </c>
      <c r="AG867" s="674" t="s">
        <v>10514</v>
      </c>
      <c r="AH867" s="675" t="s">
        <v>210</v>
      </c>
      <c r="AI867" s="676" t="s">
        <v>210</v>
      </c>
      <c r="AJ867" s="676" t="s">
        <v>210</v>
      </c>
      <c r="AK867" s="677" t="s">
        <v>210</v>
      </c>
      <c r="AL867" s="675" t="s">
        <v>210</v>
      </c>
      <c r="AM867" s="676" t="s">
        <v>210</v>
      </c>
      <c r="AN867" s="676" t="s">
        <v>210</v>
      </c>
      <c r="AO867" s="678" t="s">
        <v>210</v>
      </c>
      <c r="AP867" s="688" t="s">
        <v>210</v>
      </c>
      <c r="AQ867" s="762" t="s">
        <v>4547</v>
      </c>
      <c r="AR867" s="763">
        <v>460</v>
      </c>
      <c r="AS867" s="754">
        <v>150</v>
      </c>
      <c r="AT867" s="785">
        <v>1</v>
      </c>
      <c r="AU867" s="785" t="s">
        <v>5605</v>
      </c>
      <c r="AV867" s="785">
        <v>1.8</v>
      </c>
      <c r="AW867" s="764" t="s">
        <v>3754</v>
      </c>
      <c r="AX867" s="675" t="s">
        <v>210</v>
      </c>
      <c r="AY867" s="772" t="s">
        <v>5606</v>
      </c>
      <c r="AZ867" s="753" t="s">
        <v>4083</v>
      </c>
      <c r="BA867" s="754" t="s">
        <v>210</v>
      </c>
      <c r="BB867" s="754" t="s">
        <v>210</v>
      </c>
      <c r="BC867" s="754" t="s">
        <v>210</v>
      </c>
      <c r="BD867" s="754" t="s">
        <v>210</v>
      </c>
      <c r="BE867" s="754" t="s">
        <v>5534</v>
      </c>
      <c r="BF867" s="754" t="s">
        <v>5528</v>
      </c>
      <c r="BG867" s="754" t="s">
        <v>5535</v>
      </c>
      <c r="BH867" s="754" t="s">
        <v>5528</v>
      </c>
      <c r="BI867" s="765">
        <v>1.1000000000000001</v>
      </c>
      <c r="BJ867" s="768" t="s">
        <v>210</v>
      </c>
      <c r="BK867" s="769"/>
      <c r="BL867" s="766"/>
      <c r="BM867" s="770"/>
      <c r="BN867" s="675" t="s">
        <v>210</v>
      </c>
      <c r="BO867" s="686"/>
      <c r="BP867" s="677" t="s">
        <v>210</v>
      </c>
      <c r="BQ867" s="773" t="s">
        <v>5607</v>
      </c>
      <c r="BR867" s="688" t="s">
        <v>210</v>
      </c>
      <c r="BS867" s="688" t="s">
        <v>622</v>
      </c>
      <c r="BT867" s="688" t="s">
        <v>210</v>
      </c>
      <c r="BU867" s="688" t="s">
        <v>210</v>
      </c>
      <c r="BV867" s="688" t="s">
        <v>210</v>
      </c>
      <c r="BW867" s="678" t="s">
        <v>210</v>
      </c>
      <c r="BX867" s="688"/>
      <c r="BY867" s="774"/>
      <c r="BZ867" s="483"/>
      <c r="CA867" s="483"/>
      <c r="CB867" s="483"/>
      <c r="CC867" s="483"/>
      <c r="CD867" s="484"/>
    </row>
    <row r="868" spans="1:82" ht="22.5" customHeight="1">
      <c r="B868" s="442">
        <v>170151</v>
      </c>
      <c r="C868" s="747" t="s">
        <v>5616</v>
      </c>
      <c r="D868" s="439" t="s">
        <v>4854</v>
      </c>
      <c r="E868" s="404" t="s">
        <v>5362</v>
      </c>
      <c r="F868" s="405" t="s">
        <v>1058</v>
      </c>
      <c r="G868" s="324" t="s">
        <v>5617</v>
      </c>
      <c r="H868" s="324" t="s">
        <v>5618</v>
      </c>
      <c r="I868" s="326" t="s">
        <v>383</v>
      </c>
      <c r="J868" s="326" t="s">
        <v>399</v>
      </c>
      <c r="K868" s="324" t="s">
        <v>247</v>
      </c>
      <c r="L868" s="342">
        <v>40</v>
      </c>
      <c r="M868" s="324" t="s">
        <v>10767</v>
      </c>
      <c r="N868" s="325" t="s">
        <v>437</v>
      </c>
      <c r="O868" s="324">
        <v>30</v>
      </c>
      <c r="P868" s="458">
        <f>1215+1350</f>
        <v>2565</v>
      </c>
      <c r="Q868" s="459">
        <f>P868</f>
        <v>2565</v>
      </c>
      <c r="R868" s="420" t="s">
        <v>5620</v>
      </c>
      <c r="S868" s="394" t="s">
        <v>12569</v>
      </c>
      <c r="T868" s="394" t="s">
        <v>12571</v>
      </c>
      <c r="U868" s="400"/>
      <c r="V868" s="394" t="s">
        <v>12570</v>
      </c>
      <c r="W868" s="460" t="s">
        <v>5623</v>
      </c>
      <c r="X868" s="400"/>
      <c r="Y868" s="400"/>
      <c r="Z868" s="400"/>
      <c r="AA868" s="400"/>
      <c r="AB868" s="416" t="s">
        <v>5619</v>
      </c>
      <c r="AC868" s="416"/>
      <c r="AD868" s="447" t="s">
        <v>3094</v>
      </c>
      <c r="AE868" s="335" t="s">
        <v>210</v>
      </c>
      <c r="AF868" s="462">
        <v>42936</v>
      </c>
      <c r="AG868" s="748">
        <v>43447</v>
      </c>
      <c r="AH868" s="417" t="s">
        <v>210</v>
      </c>
      <c r="AI868" s="392" t="s">
        <v>210</v>
      </c>
      <c r="AJ868" s="392" t="s">
        <v>210</v>
      </c>
      <c r="AK868" s="340" t="s">
        <v>210</v>
      </c>
      <c r="AL868" s="417" t="s">
        <v>210</v>
      </c>
      <c r="AM868" s="392" t="s">
        <v>210</v>
      </c>
      <c r="AN868" s="392" t="s">
        <v>210</v>
      </c>
      <c r="AO868" s="341" t="s">
        <v>210</v>
      </c>
      <c r="AP868" s="342" t="s">
        <v>210</v>
      </c>
      <c r="AQ868" s="433" t="s">
        <v>4547</v>
      </c>
      <c r="AR868" s="452">
        <v>3600</v>
      </c>
      <c r="AS868" s="324">
        <v>80</v>
      </c>
      <c r="AT868" s="432">
        <v>1.2</v>
      </c>
      <c r="AU868" s="432" t="s">
        <v>5656</v>
      </c>
      <c r="AV868" s="432">
        <v>1.2</v>
      </c>
      <c r="AW868" s="490" t="s">
        <v>5657</v>
      </c>
      <c r="AX868" s="417" t="s">
        <v>210</v>
      </c>
      <c r="AY868" s="455" t="s">
        <v>210</v>
      </c>
      <c r="AZ868" s="405" t="s">
        <v>4083</v>
      </c>
      <c r="BA868" s="324" t="s">
        <v>210</v>
      </c>
      <c r="BB868" s="324" t="s">
        <v>210</v>
      </c>
      <c r="BC868" s="324" t="s">
        <v>210</v>
      </c>
      <c r="BD868" s="324" t="s">
        <v>210</v>
      </c>
      <c r="BE868" s="324" t="s">
        <v>5626</v>
      </c>
      <c r="BF868" s="324" t="s">
        <v>5246</v>
      </c>
      <c r="BG868" s="324" t="s">
        <v>3459</v>
      </c>
      <c r="BH868" s="426" t="s">
        <v>5627</v>
      </c>
      <c r="BI868" s="453">
        <v>5</v>
      </c>
      <c r="BJ868" s="427" t="s">
        <v>210</v>
      </c>
      <c r="BK868" s="428" t="s">
        <v>3492</v>
      </c>
      <c r="BL868" s="429">
        <v>0.45</v>
      </c>
      <c r="BM868" s="414"/>
      <c r="BN868" s="417" t="s">
        <v>210</v>
      </c>
      <c r="BO868" s="372"/>
      <c r="BP868" s="340" t="s">
        <v>210</v>
      </c>
      <c r="BQ868" s="456" t="s">
        <v>5235</v>
      </c>
      <c r="BR868" s="342" t="s">
        <v>622</v>
      </c>
      <c r="BS868" s="342" t="s">
        <v>210</v>
      </c>
      <c r="BT868" s="342" t="s">
        <v>210</v>
      </c>
      <c r="BU868" s="342" t="s">
        <v>210</v>
      </c>
      <c r="BV868" s="342" t="s">
        <v>210</v>
      </c>
      <c r="BW868" s="341" t="s">
        <v>210</v>
      </c>
      <c r="BX868" s="361"/>
      <c r="BY868" s="457" t="s">
        <v>5628</v>
      </c>
      <c r="BZ868" s="363"/>
      <c r="CA868" s="363"/>
      <c r="CB868" s="363"/>
      <c r="CC868" s="363"/>
    </row>
    <row r="869" spans="1:82" ht="22.5" customHeight="1">
      <c r="B869" s="442">
        <v>170152</v>
      </c>
      <c r="C869" s="747" t="s">
        <v>5756</v>
      </c>
      <c r="D869" s="467" t="s">
        <v>4854</v>
      </c>
      <c r="E869" s="404" t="s">
        <v>5363</v>
      </c>
      <c r="F869" s="405" t="s">
        <v>228</v>
      </c>
      <c r="G869" s="324" t="s">
        <v>5612</v>
      </c>
      <c r="H869" s="324" t="s">
        <v>5613</v>
      </c>
      <c r="I869" s="326" t="s">
        <v>383</v>
      </c>
      <c r="J869" s="326" t="s">
        <v>399</v>
      </c>
      <c r="K869" s="324" t="s">
        <v>247</v>
      </c>
      <c r="L869" s="392" t="s">
        <v>210</v>
      </c>
      <c r="M869" s="324" t="s">
        <v>10767</v>
      </c>
      <c r="N869" s="325" t="s">
        <v>437</v>
      </c>
      <c r="O869" s="324">
        <v>100</v>
      </c>
      <c r="P869" s="458">
        <v>942.88</v>
      </c>
      <c r="Q869" s="459">
        <v>969.7</v>
      </c>
      <c r="R869" s="420" t="s">
        <v>442</v>
      </c>
      <c r="S869" s="394" t="s">
        <v>12566</v>
      </c>
      <c r="T869" s="394" t="s">
        <v>12567</v>
      </c>
      <c r="U869" s="394" t="s">
        <v>16336</v>
      </c>
      <c r="V869" s="394" t="s">
        <v>14090</v>
      </c>
      <c r="W869" s="332" t="s">
        <v>432</v>
      </c>
      <c r="X869" s="331" t="s">
        <v>11079</v>
      </c>
      <c r="Y869" s="331" t="s">
        <v>11080</v>
      </c>
      <c r="Z869" s="331" t="s">
        <v>11080</v>
      </c>
      <c r="AA869" s="331" t="s">
        <v>6574</v>
      </c>
      <c r="AB869" s="416"/>
      <c r="AC869" s="416"/>
      <c r="AD869" s="447" t="s">
        <v>6928</v>
      </c>
      <c r="AE869" s="335" t="s">
        <v>210</v>
      </c>
      <c r="AF869" s="462">
        <v>42950</v>
      </c>
      <c r="AG869" s="748">
        <v>43070</v>
      </c>
      <c r="AH869" s="417">
        <v>15.3</v>
      </c>
      <c r="AI869" s="392">
        <v>18.899999999999999</v>
      </c>
      <c r="AJ869" s="392">
        <v>11</v>
      </c>
      <c r="AK869" s="340">
        <v>45.2</v>
      </c>
      <c r="AL869" s="417" t="s">
        <v>210</v>
      </c>
      <c r="AM869" s="392" t="s">
        <v>210</v>
      </c>
      <c r="AN869" s="392" t="s">
        <v>210</v>
      </c>
      <c r="AO869" s="341" t="s">
        <v>210</v>
      </c>
      <c r="AP869" s="342" t="s">
        <v>210</v>
      </c>
      <c r="AQ869" s="433" t="s">
        <v>4547</v>
      </c>
      <c r="AR869" s="452">
        <v>738.8</v>
      </c>
      <c r="AS869" s="324">
        <v>120</v>
      </c>
      <c r="AT869" s="432">
        <v>0.8</v>
      </c>
      <c r="AU869" s="432" t="s">
        <v>5246</v>
      </c>
      <c r="AV869" s="432">
        <v>0.6</v>
      </c>
      <c r="AW869" s="490" t="s">
        <v>3898</v>
      </c>
      <c r="AX869" s="417" t="s">
        <v>210</v>
      </c>
      <c r="AY869" s="455" t="s">
        <v>210</v>
      </c>
      <c r="AZ869" s="405" t="s">
        <v>4083</v>
      </c>
      <c r="BA869" s="324" t="s">
        <v>210</v>
      </c>
      <c r="BB869" s="324" t="s">
        <v>210</v>
      </c>
      <c r="BC869" s="324" t="s">
        <v>210</v>
      </c>
      <c r="BD869" s="324" t="s">
        <v>210</v>
      </c>
      <c r="BE869" s="324" t="s">
        <v>210</v>
      </c>
      <c r="BF869" s="324" t="s">
        <v>210</v>
      </c>
      <c r="BG869" s="324" t="s">
        <v>5614</v>
      </c>
      <c r="BH869" s="426" t="s">
        <v>3494</v>
      </c>
      <c r="BI869" s="453">
        <v>4</v>
      </c>
      <c r="BJ869" s="427" t="s">
        <v>210</v>
      </c>
      <c r="BK869" s="412"/>
      <c r="BL869" s="413"/>
      <c r="BM869" s="414"/>
      <c r="BN869" s="417" t="s">
        <v>210</v>
      </c>
      <c r="BO869" s="372"/>
      <c r="BP869" s="340" t="s">
        <v>210</v>
      </c>
      <c r="BQ869" s="456" t="s">
        <v>917</v>
      </c>
      <c r="BR869" s="342" t="s">
        <v>210</v>
      </c>
      <c r="BS869" s="342" t="s">
        <v>622</v>
      </c>
      <c r="BT869" s="342" t="s">
        <v>210</v>
      </c>
      <c r="BU869" s="342" t="s">
        <v>210</v>
      </c>
      <c r="BV869" s="342" t="s">
        <v>210</v>
      </c>
      <c r="BW869" s="341" t="s">
        <v>210</v>
      </c>
      <c r="BX869" s="361"/>
      <c r="BY869" s="457" t="s">
        <v>5658</v>
      </c>
      <c r="BZ869" s="363"/>
      <c r="CA869" s="363"/>
      <c r="CB869" s="363"/>
      <c r="CC869" s="363"/>
    </row>
    <row r="870" spans="1:82" ht="22.5" customHeight="1">
      <c r="B870" s="442">
        <v>170153</v>
      </c>
      <c r="C870" s="747" t="s">
        <v>5639</v>
      </c>
      <c r="D870" s="467" t="s">
        <v>5640</v>
      </c>
      <c r="E870" s="404" t="s">
        <v>5361</v>
      </c>
      <c r="F870" s="405" t="s">
        <v>5641</v>
      </c>
      <c r="G870" s="324" t="s">
        <v>5642</v>
      </c>
      <c r="H870" s="324" t="s">
        <v>5643</v>
      </c>
      <c r="I870" s="326" t="s">
        <v>383</v>
      </c>
      <c r="J870" s="326" t="s">
        <v>399</v>
      </c>
      <c r="K870" s="324" t="s">
        <v>247</v>
      </c>
      <c r="L870" s="392" t="s">
        <v>210</v>
      </c>
      <c r="M870" s="324" t="s">
        <v>10767</v>
      </c>
      <c r="N870" s="444" t="s">
        <v>438</v>
      </c>
      <c r="O870" s="324">
        <v>26</v>
      </c>
      <c r="P870" s="458">
        <v>760</v>
      </c>
      <c r="Q870" s="459">
        <v>760</v>
      </c>
      <c r="R870" s="420" t="s">
        <v>5644</v>
      </c>
      <c r="S870" s="394" t="s">
        <v>12565</v>
      </c>
      <c r="T870" s="400"/>
      <c r="U870" s="400"/>
      <c r="V870" s="394" t="s">
        <v>12564</v>
      </c>
      <c r="W870" s="332" t="s">
        <v>432</v>
      </c>
      <c r="X870" s="331" t="s">
        <v>11079</v>
      </c>
      <c r="Y870" s="331" t="s">
        <v>11080</v>
      </c>
      <c r="Z870" s="331" t="s">
        <v>11080</v>
      </c>
      <c r="AA870" s="331" t="s">
        <v>6574</v>
      </c>
      <c r="AB870" s="416" t="s">
        <v>5462</v>
      </c>
      <c r="AC870" s="416"/>
      <c r="AD870" s="334" t="s">
        <v>2327</v>
      </c>
      <c r="AE870" s="335" t="s">
        <v>6866</v>
      </c>
      <c r="AF870" s="462">
        <v>42940</v>
      </c>
      <c r="AG870" s="748">
        <v>43056</v>
      </c>
      <c r="AH870" s="453">
        <v>8.1</v>
      </c>
      <c r="AI870" s="432">
        <v>16.600000000000001</v>
      </c>
      <c r="AJ870" s="432">
        <v>13.4</v>
      </c>
      <c r="AK870" s="455">
        <v>38.1</v>
      </c>
      <c r="AL870" s="417" t="s">
        <v>210</v>
      </c>
      <c r="AM870" s="392" t="s">
        <v>210</v>
      </c>
      <c r="AN870" s="392" t="s">
        <v>210</v>
      </c>
      <c r="AO870" s="341" t="s">
        <v>210</v>
      </c>
      <c r="AP870" s="392" t="s">
        <v>210</v>
      </c>
      <c r="AQ870" s="433" t="s">
        <v>4547</v>
      </c>
      <c r="AR870" s="452">
        <v>1100</v>
      </c>
      <c r="AS870" s="324">
        <v>100</v>
      </c>
      <c r="AT870" s="432">
        <v>1.2</v>
      </c>
      <c r="AU870" s="432" t="s">
        <v>5636</v>
      </c>
      <c r="AV870" s="432">
        <v>2</v>
      </c>
      <c r="AW870" s="490" t="s">
        <v>5833</v>
      </c>
      <c r="AX870" s="417" t="s">
        <v>622</v>
      </c>
      <c r="AY870" s="429" t="s">
        <v>5834</v>
      </c>
      <c r="AZ870" s="405" t="s">
        <v>622</v>
      </c>
      <c r="BA870" s="324" t="s">
        <v>5645</v>
      </c>
      <c r="BB870" s="324" t="s">
        <v>5646</v>
      </c>
      <c r="BC870" s="324" t="s">
        <v>5647</v>
      </c>
      <c r="BD870" s="324" t="s">
        <v>3512</v>
      </c>
      <c r="BE870" s="324" t="s">
        <v>5648</v>
      </c>
      <c r="BF870" s="324" t="s">
        <v>5352</v>
      </c>
      <c r="BG870" s="324" t="s">
        <v>5649</v>
      </c>
      <c r="BH870" s="426" t="s">
        <v>3382</v>
      </c>
      <c r="BI870" s="453">
        <v>0.4</v>
      </c>
      <c r="BJ870" s="427">
        <v>0.91</v>
      </c>
      <c r="BK870" s="412"/>
      <c r="BL870" s="413"/>
      <c r="BM870" s="414"/>
      <c r="BN870" s="453" t="s">
        <v>5835</v>
      </c>
      <c r="BO870" s="464"/>
      <c r="BP870" s="373" t="s">
        <v>622</v>
      </c>
      <c r="BQ870" s="456" t="s">
        <v>9909</v>
      </c>
      <c r="BR870" s="342" t="s">
        <v>210</v>
      </c>
      <c r="BS870" s="342" t="s">
        <v>622</v>
      </c>
      <c r="BT870" s="342" t="s">
        <v>210</v>
      </c>
      <c r="BU870" s="342" t="s">
        <v>210</v>
      </c>
      <c r="BV870" s="786">
        <v>-20</v>
      </c>
      <c r="BW870" s="341" t="s">
        <v>210</v>
      </c>
      <c r="BX870" s="361"/>
      <c r="BY870" s="457"/>
      <c r="BZ870" s="363"/>
      <c r="CA870" s="363"/>
      <c r="CB870" s="363"/>
      <c r="CC870" s="363"/>
    </row>
    <row r="871" spans="1:82" ht="22.5" customHeight="1">
      <c r="B871" s="442">
        <v>170154</v>
      </c>
      <c r="C871" s="747" t="s">
        <v>5659</v>
      </c>
      <c r="D871" s="467" t="s">
        <v>5640</v>
      </c>
      <c r="E871" s="404" t="s">
        <v>5363</v>
      </c>
      <c r="F871" s="405" t="s">
        <v>5660</v>
      </c>
      <c r="G871" s="324" t="s">
        <v>5661</v>
      </c>
      <c r="H871" s="324" t="s">
        <v>5663</v>
      </c>
      <c r="I871" s="326" t="s">
        <v>383</v>
      </c>
      <c r="J871" s="326" t="s">
        <v>399</v>
      </c>
      <c r="K871" s="326" t="s">
        <v>917</v>
      </c>
      <c r="L871" s="392" t="s">
        <v>210</v>
      </c>
      <c r="M871" s="324" t="s">
        <v>10767</v>
      </c>
      <c r="N871" s="444" t="s">
        <v>438</v>
      </c>
      <c r="O871" s="324">
        <v>200</v>
      </c>
      <c r="P871" s="458">
        <v>3674.13</v>
      </c>
      <c r="Q871" s="459">
        <v>3474.13</v>
      </c>
      <c r="R871" s="420" t="s">
        <v>5662</v>
      </c>
      <c r="S871" s="331" t="s">
        <v>11299</v>
      </c>
      <c r="T871" s="331" t="s">
        <v>11301</v>
      </c>
      <c r="U871" s="331" t="s">
        <v>11300</v>
      </c>
      <c r="V871" s="331" t="s">
        <v>11302</v>
      </c>
      <c r="W871" s="332" t="s">
        <v>432</v>
      </c>
      <c r="X871" s="331" t="s">
        <v>11079</v>
      </c>
      <c r="Y871" s="331" t="s">
        <v>11080</v>
      </c>
      <c r="Z871" s="331" t="s">
        <v>11080</v>
      </c>
      <c r="AA871" s="331" t="s">
        <v>6574</v>
      </c>
      <c r="AB871" s="416"/>
      <c r="AC871" s="416"/>
      <c r="AD871" s="334" t="s">
        <v>2322</v>
      </c>
      <c r="AE871" s="499" t="s">
        <v>351</v>
      </c>
      <c r="AF871" s="462">
        <v>42970</v>
      </c>
      <c r="AG871" s="748">
        <v>43127</v>
      </c>
      <c r="AH871" s="453">
        <v>12.6</v>
      </c>
      <c r="AI871" s="432">
        <v>35.4</v>
      </c>
      <c r="AJ871" s="432">
        <v>34.6</v>
      </c>
      <c r="AK871" s="455">
        <v>82.6</v>
      </c>
      <c r="AL871" s="417" t="s">
        <v>210</v>
      </c>
      <c r="AM871" s="392" t="s">
        <v>210</v>
      </c>
      <c r="AN871" s="392" t="s">
        <v>210</v>
      </c>
      <c r="AO871" s="341" t="s">
        <v>210</v>
      </c>
      <c r="AP871" s="342" t="s">
        <v>622</v>
      </c>
      <c r="AQ871" s="433" t="s">
        <v>4547</v>
      </c>
      <c r="AR871" s="452">
        <v>4664</v>
      </c>
      <c r="AS871" s="324">
        <v>100</v>
      </c>
      <c r="AT871" s="432">
        <v>0.8</v>
      </c>
      <c r="AU871" s="432" t="s">
        <v>5246</v>
      </c>
      <c r="AV871" s="432">
        <v>1.2</v>
      </c>
      <c r="AW871" s="490" t="s">
        <v>6095</v>
      </c>
      <c r="AX871" s="417" t="s">
        <v>5788</v>
      </c>
      <c r="AY871" s="429" t="s">
        <v>622</v>
      </c>
      <c r="AZ871" s="405" t="s">
        <v>6096</v>
      </c>
      <c r="BA871" s="324" t="s">
        <v>6097</v>
      </c>
      <c r="BB871" s="324" t="s">
        <v>6097</v>
      </c>
      <c r="BC871" s="324" t="s">
        <v>6100</v>
      </c>
      <c r="BD871" s="324" t="s">
        <v>6098</v>
      </c>
      <c r="BE871" s="324" t="s">
        <v>6099</v>
      </c>
      <c r="BF871" s="324" t="s">
        <v>6101</v>
      </c>
      <c r="BG871" s="324" t="s">
        <v>6102</v>
      </c>
      <c r="BH871" s="426" t="s">
        <v>3936</v>
      </c>
      <c r="BI871" s="453">
        <v>1.95</v>
      </c>
      <c r="BJ871" s="427" t="s">
        <v>6097</v>
      </c>
      <c r="BK871" s="412"/>
      <c r="BL871" s="413"/>
      <c r="BM871" s="414"/>
      <c r="BN871" s="453" t="s">
        <v>6097</v>
      </c>
      <c r="BO871" s="464"/>
      <c r="BP871" s="455" t="s">
        <v>6097</v>
      </c>
      <c r="BQ871" s="456" t="s">
        <v>917</v>
      </c>
      <c r="BR871" s="342" t="s">
        <v>6097</v>
      </c>
      <c r="BS871" s="342" t="s">
        <v>622</v>
      </c>
      <c r="BT871" s="342" t="s">
        <v>210</v>
      </c>
      <c r="BU871" s="342" t="s">
        <v>210</v>
      </c>
      <c r="BV871" s="342" t="s">
        <v>210</v>
      </c>
      <c r="BW871" s="341" t="s">
        <v>210</v>
      </c>
      <c r="BX871" s="361"/>
      <c r="BY871" s="457" t="s">
        <v>6076</v>
      </c>
      <c r="BZ871" s="363"/>
      <c r="CA871" s="363"/>
      <c r="CB871" s="363"/>
      <c r="CC871" s="363"/>
    </row>
    <row r="872" spans="1:82" ht="22.5" customHeight="1">
      <c r="B872" s="442">
        <v>170155</v>
      </c>
      <c r="C872" s="747" t="s">
        <v>5666</v>
      </c>
      <c r="D872" s="467" t="s">
        <v>5197</v>
      </c>
      <c r="E872" s="404" t="s">
        <v>5361</v>
      </c>
      <c r="F872" s="405" t="s">
        <v>266</v>
      </c>
      <c r="G872" s="324" t="s">
        <v>3477</v>
      </c>
      <c r="H872" s="324" t="s">
        <v>5668</v>
      </c>
      <c r="I872" s="326" t="s">
        <v>383</v>
      </c>
      <c r="J872" s="326" t="s">
        <v>399</v>
      </c>
      <c r="K872" s="324" t="s">
        <v>5744</v>
      </c>
      <c r="L872" s="342">
        <v>5</v>
      </c>
      <c r="M872" s="324" t="s">
        <v>10767</v>
      </c>
      <c r="N872" s="444" t="s">
        <v>438</v>
      </c>
      <c r="O872" s="324">
        <v>30</v>
      </c>
      <c r="P872" s="458">
        <v>4680</v>
      </c>
      <c r="Q872" s="459">
        <v>4680</v>
      </c>
      <c r="R872" s="420" t="s">
        <v>6388</v>
      </c>
      <c r="S872" s="394" t="s">
        <v>12560</v>
      </c>
      <c r="T872" s="394" t="s">
        <v>12561</v>
      </c>
      <c r="U872" s="394" t="s">
        <v>12562</v>
      </c>
      <c r="V872" s="394" t="s">
        <v>12563</v>
      </c>
      <c r="W872" s="332" t="s">
        <v>644</v>
      </c>
      <c r="X872" s="331" t="s">
        <v>12104</v>
      </c>
      <c r="Y872" s="331" t="s">
        <v>11201</v>
      </c>
      <c r="Z872" s="394" t="s">
        <v>11200</v>
      </c>
      <c r="AA872" s="331" t="s">
        <v>12106</v>
      </c>
      <c r="AB872" s="416"/>
      <c r="AC872" s="416"/>
      <c r="AD872" s="447" t="s">
        <v>6231</v>
      </c>
      <c r="AE872" s="499" t="s">
        <v>1742</v>
      </c>
      <c r="AF872" s="462">
        <v>42948</v>
      </c>
      <c r="AG872" s="748">
        <v>43028</v>
      </c>
      <c r="AH872" s="417" t="s">
        <v>210</v>
      </c>
      <c r="AI872" s="392" t="s">
        <v>210</v>
      </c>
      <c r="AJ872" s="392" t="s">
        <v>210</v>
      </c>
      <c r="AK872" s="340" t="s">
        <v>210</v>
      </c>
      <c r="AL872" s="417" t="s">
        <v>210</v>
      </c>
      <c r="AM872" s="392" t="s">
        <v>210</v>
      </c>
      <c r="AN872" s="392" t="s">
        <v>210</v>
      </c>
      <c r="AO872" s="341" t="s">
        <v>210</v>
      </c>
      <c r="AP872" s="342" t="s">
        <v>622</v>
      </c>
      <c r="AQ872" s="433" t="s">
        <v>4547</v>
      </c>
      <c r="AR872" s="452">
        <v>5410</v>
      </c>
      <c r="AS872" s="324">
        <v>100</v>
      </c>
      <c r="AT872" s="432">
        <v>1</v>
      </c>
      <c r="AU872" s="432" t="s">
        <v>5745</v>
      </c>
      <c r="AV872" s="432">
        <v>1.5</v>
      </c>
      <c r="AW872" s="490" t="s">
        <v>5745</v>
      </c>
      <c r="AX872" s="417" t="s">
        <v>210</v>
      </c>
      <c r="AY872" s="455" t="s">
        <v>210</v>
      </c>
      <c r="AZ872" s="405" t="s">
        <v>4083</v>
      </c>
      <c r="BA872" s="324" t="s">
        <v>210</v>
      </c>
      <c r="BB872" s="324" t="s">
        <v>210</v>
      </c>
      <c r="BC872" s="324" t="s">
        <v>3558</v>
      </c>
      <c r="BD872" s="324" t="s">
        <v>5246</v>
      </c>
      <c r="BE872" s="324" t="s">
        <v>5669</v>
      </c>
      <c r="BF872" s="324" t="s">
        <v>3422</v>
      </c>
      <c r="BG872" s="324" t="s">
        <v>5670</v>
      </c>
      <c r="BH872" s="426" t="s">
        <v>5671</v>
      </c>
      <c r="BI872" s="453">
        <v>4</v>
      </c>
      <c r="BJ872" s="427" t="s">
        <v>210</v>
      </c>
      <c r="BK872" s="412"/>
      <c r="BL872" s="413"/>
      <c r="BM872" s="414"/>
      <c r="BN872" s="410"/>
      <c r="BO872" s="502"/>
      <c r="BP872" s="492"/>
      <c r="BQ872" s="456" t="s">
        <v>5235</v>
      </c>
      <c r="BR872" s="342" t="s">
        <v>210</v>
      </c>
      <c r="BS872" s="342" t="s">
        <v>210</v>
      </c>
      <c r="BT872" s="342" t="s">
        <v>210</v>
      </c>
      <c r="BU872" s="342" t="s">
        <v>210</v>
      </c>
      <c r="BV872" s="342" t="s">
        <v>210</v>
      </c>
      <c r="BW872" s="341" t="s">
        <v>210</v>
      </c>
      <c r="BX872" s="361"/>
      <c r="BY872" s="457"/>
      <c r="BZ872" s="363"/>
      <c r="CA872" s="363"/>
      <c r="CB872" s="363"/>
      <c r="CC872" s="363"/>
    </row>
    <row r="873" spans="1:82" ht="22.5" customHeight="1">
      <c r="B873" s="466">
        <v>170156</v>
      </c>
      <c r="C873" s="747" t="s">
        <v>5936</v>
      </c>
      <c r="D873" s="439" t="s">
        <v>4847</v>
      </c>
      <c r="E873" s="404" t="s">
        <v>5362</v>
      </c>
      <c r="F873" s="405" t="s">
        <v>1043</v>
      </c>
      <c r="G873" s="324" t="s">
        <v>5249</v>
      </c>
      <c r="H873" s="324" t="s">
        <v>5685</v>
      </c>
      <c r="I873" s="326" t="s">
        <v>383</v>
      </c>
      <c r="J873" s="326" t="s">
        <v>387</v>
      </c>
      <c r="K873" s="324" t="s">
        <v>247</v>
      </c>
      <c r="L873" s="342">
        <v>2</v>
      </c>
      <c r="M873" s="324" t="s">
        <v>8045</v>
      </c>
      <c r="N873" s="444" t="s">
        <v>438</v>
      </c>
      <c r="O873" s="324">
        <v>80</v>
      </c>
      <c r="P873" s="458">
        <v>3524</v>
      </c>
      <c r="Q873" s="459">
        <v>2914</v>
      </c>
      <c r="R873" s="420" t="s">
        <v>6387</v>
      </c>
      <c r="S873" s="394" t="s">
        <v>11283</v>
      </c>
      <c r="T873" s="394" t="s">
        <v>11284</v>
      </c>
      <c r="U873" s="394" t="s">
        <v>16292</v>
      </c>
      <c r="V873" s="394" t="s">
        <v>11285</v>
      </c>
      <c r="W873" s="460" t="s">
        <v>10150</v>
      </c>
      <c r="X873" s="394" t="s">
        <v>12558</v>
      </c>
      <c r="Y873" s="394" t="s">
        <v>11282</v>
      </c>
      <c r="Z873" s="394" t="s">
        <v>16323</v>
      </c>
      <c r="AA873" s="394" t="s">
        <v>11280</v>
      </c>
      <c r="AB873" s="416"/>
      <c r="AC873" s="416"/>
      <c r="AD873" s="447" t="s">
        <v>6103</v>
      </c>
      <c r="AE873" s="499" t="s">
        <v>231</v>
      </c>
      <c r="AF873" s="462">
        <v>42987</v>
      </c>
      <c r="AG873" s="748">
        <v>43283</v>
      </c>
      <c r="AH873" s="417" t="s">
        <v>210</v>
      </c>
      <c r="AI873" s="392" t="s">
        <v>210</v>
      </c>
      <c r="AJ873" s="392" t="s">
        <v>210</v>
      </c>
      <c r="AK873" s="340" t="s">
        <v>210</v>
      </c>
      <c r="AL873" s="417" t="s">
        <v>210</v>
      </c>
      <c r="AM873" s="392" t="s">
        <v>622</v>
      </c>
      <c r="AN873" s="392" t="s">
        <v>210</v>
      </c>
      <c r="AO873" s="341" t="s">
        <v>210</v>
      </c>
      <c r="AP873" s="342" t="s">
        <v>210</v>
      </c>
      <c r="AQ873" s="433" t="s">
        <v>4547</v>
      </c>
      <c r="AR873" s="452">
        <v>3500</v>
      </c>
      <c r="AS873" s="324">
        <v>150</v>
      </c>
      <c r="AT873" s="432">
        <v>1</v>
      </c>
      <c r="AU873" s="432" t="s">
        <v>5838</v>
      </c>
      <c r="AV873" s="432">
        <v>1.5</v>
      </c>
      <c r="AW873" s="490" t="s">
        <v>5838</v>
      </c>
      <c r="AX873" s="417" t="s">
        <v>622</v>
      </c>
      <c r="AY873" s="455" t="s">
        <v>210</v>
      </c>
      <c r="AZ873" s="405" t="s">
        <v>4083</v>
      </c>
      <c r="BA873" s="324" t="s">
        <v>210</v>
      </c>
      <c r="BB873" s="324" t="s">
        <v>210</v>
      </c>
      <c r="BC873" s="324" t="s">
        <v>210</v>
      </c>
      <c r="BD873" s="324" t="s">
        <v>210</v>
      </c>
      <c r="BE873" s="324" t="s">
        <v>210</v>
      </c>
      <c r="BF873" s="324" t="s">
        <v>210</v>
      </c>
      <c r="BG873" s="324" t="s">
        <v>3555</v>
      </c>
      <c r="BH873" s="426" t="s">
        <v>3494</v>
      </c>
      <c r="BI873" s="453">
        <v>2.09</v>
      </c>
      <c r="BJ873" s="427" t="s">
        <v>210</v>
      </c>
      <c r="BK873" s="412"/>
      <c r="BL873" s="413"/>
      <c r="BM873" s="414"/>
      <c r="BN873" s="417" t="s">
        <v>210</v>
      </c>
      <c r="BO873" s="372"/>
      <c r="BP873" s="340" t="s">
        <v>210</v>
      </c>
      <c r="BQ873" s="360"/>
      <c r="BR873" s="361"/>
      <c r="BS873" s="342" t="s">
        <v>622</v>
      </c>
      <c r="BT873" s="342" t="s">
        <v>622</v>
      </c>
      <c r="BU873" s="342" t="s">
        <v>210</v>
      </c>
      <c r="BV873" s="418">
        <v>-30</v>
      </c>
      <c r="BW873" s="341" t="s">
        <v>210</v>
      </c>
      <c r="BX873" s="361"/>
      <c r="BY873" s="457" t="s">
        <v>8686</v>
      </c>
      <c r="BZ873" s="363"/>
      <c r="CA873" s="363"/>
      <c r="CB873" s="363"/>
      <c r="CC873" s="363"/>
    </row>
    <row r="874" spans="1:82" s="287" customFormat="1" ht="22.5" customHeight="1">
      <c r="B874" s="466">
        <v>170157</v>
      </c>
      <c r="C874" s="747" t="s">
        <v>5672</v>
      </c>
      <c r="D874" s="439" t="s">
        <v>4849</v>
      </c>
      <c r="E874" s="404" t="s">
        <v>5363</v>
      </c>
      <c r="F874" s="405" t="s">
        <v>5673</v>
      </c>
      <c r="G874" s="324" t="s">
        <v>5674</v>
      </c>
      <c r="H874" s="324" t="s">
        <v>5675</v>
      </c>
      <c r="I874" s="324" t="s">
        <v>1066</v>
      </c>
      <c r="J874" s="326" t="s">
        <v>399</v>
      </c>
      <c r="K874" s="326" t="s">
        <v>203</v>
      </c>
      <c r="L874" s="392" t="s">
        <v>210</v>
      </c>
      <c r="M874" s="324" t="s">
        <v>6626</v>
      </c>
      <c r="N874" s="444" t="s">
        <v>468</v>
      </c>
      <c r="O874" s="324">
        <v>40</v>
      </c>
      <c r="P874" s="458">
        <v>93.03</v>
      </c>
      <c r="Q874" s="459">
        <v>108.48</v>
      </c>
      <c r="R874" s="420" t="s">
        <v>2280</v>
      </c>
      <c r="S874" s="394" t="s">
        <v>11739</v>
      </c>
      <c r="T874" s="394" t="s">
        <v>11741</v>
      </c>
      <c r="U874" s="394" t="s">
        <v>11740</v>
      </c>
      <c r="V874" s="394" t="s">
        <v>11742</v>
      </c>
      <c r="W874" s="332" t="s">
        <v>432</v>
      </c>
      <c r="X874" s="331" t="s">
        <v>11079</v>
      </c>
      <c r="Y874" s="331" t="s">
        <v>11080</v>
      </c>
      <c r="Z874" s="331" t="s">
        <v>11080</v>
      </c>
      <c r="AA874" s="331" t="s">
        <v>6574</v>
      </c>
      <c r="AB874" s="416"/>
      <c r="AC874" s="416"/>
      <c r="AD874" s="447"/>
      <c r="AE874" s="335" t="s">
        <v>210</v>
      </c>
      <c r="AF874" s="462">
        <v>42949</v>
      </c>
      <c r="AG874" s="748">
        <v>43708</v>
      </c>
      <c r="AH874" s="417" t="s">
        <v>210</v>
      </c>
      <c r="AI874" s="392" t="s">
        <v>210</v>
      </c>
      <c r="AJ874" s="392" t="s">
        <v>210</v>
      </c>
      <c r="AK874" s="340" t="s">
        <v>210</v>
      </c>
      <c r="AL874" s="417" t="s">
        <v>210</v>
      </c>
      <c r="AM874" s="392" t="s">
        <v>210</v>
      </c>
      <c r="AN874" s="392" t="s">
        <v>210</v>
      </c>
      <c r="AO874" s="341" t="s">
        <v>210</v>
      </c>
      <c r="AP874" s="342" t="s">
        <v>210</v>
      </c>
      <c r="AQ874" s="433" t="s">
        <v>4548</v>
      </c>
      <c r="AR874" s="452">
        <v>172</v>
      </c>
      <c r="AS874" s="324">
        <v>100</v>
      </c>
      <c r="AT874" s="432">
        <v>1</v>
      </c>
      <c r="AU874" s="432" t="s">
        <v>5676</v>
      </c>
      <c r="AV874" s="432">
        <v>0.6</v>
      </c>
      <c r="AW874" s="490" t="s">
        <v>3702</v>
      </c>
      <c r="AX874" s="417" t="s">
        <v>210</v>
      </c>
      <c r="AY874" s="455" t="s">
        <v>210</v>
      </c>
      <c r="AZ874" s="405" t="s">
        <v>4083</v>
      </c>
      <c r="BA874" s="324" t="s">
        <v>210</v>
      </c>
      <c r="BB874" s="324" t="s">
        <v>210</v>
      </c>
      <c r="BC874" s="324" t="s">
        <v>3459</v>
      </c>
      <c r="BD874" s="324" t="s">
        <v>5676</v>
      </c>
      <c r="BE874" s="324" t="s">
        <v>5677</v>
      </c>
      <c r="BF874" s="324" t="s">
        <v>5678</v>
      </c>
      <c r="BG874" s="324" t="s">
        <v>210</v>
      </c>
      <c r="BH874" s="324" t="s">
        <v>210</v>
      </c>
      <c r="BI874" s="453" t="s">
        <v>5804</v>
      </c>
      <c r="BJ874" s="886" t="s">
        <v>8893</v>
      </c>
      <c r="BK874" s="428" t="s">
        <v>8805</v>
      </c>
      <c r="BL874" s="429" t="s">
        <v>210</v>
      </c>
      <c r="BM874" s="430"/>
      <c r="BN874" s="417" t="s">
        <v>210</v>
      </c>
      <c r="BO874" s="372"/>
      <c r="BP874" s="340" t="s">
        <v>210</v>
      </c>
      <c r="BQ874" s="456" t="s">
        <v>5679</v>
      </c>
      <c r="BR874" s="342" t="s">
        <v>210</v>
      </c>
      <c r="BS874" s="342" t="s">
        <v>622</v>
      </c>
      <c r="BT874" s="342" t="s">
        <v>210</v>
      </c>
      <c r="BU874" s="342" t="s">
        <v>210</v>
      </c>
      <c r="BV874" s="342" t="s">
        <v>210</v>
      </c>
      <c r="BW874" s="341" t="s">
        <v>210</v>
      </c>
      <c r="BX874" s="342"/>
      <c r="BY874" s="457"/>
      <c r="BZ874" s="363"/>
      <c r="CA874" s="363"/>
      <c r="CB874" s="363"/>
      <c r="CC874" s="363"/>
      <c r="CD874" s="887"/>
    </row>
    <row r="875" spans="1:82" ht="22.5" customHeight="1">
      <c r="B875" s="466">
        <v>170161</v>
      </c>
      <c r="C875" s="747" t="s">
        <v>5715</v>
      </c>
      <c r="D875" s="467" t="s">
        <v>5840</v>
      </c>
      <c r="E875" s="404" t="s">
        <v>5362</v>
      </c>
      <c r="F875" s="405" t="s">
        <v>5716</v>
      </c>
      <c r="G875" s="324" t="s">
        <v>5717</v>
      </c>
      <c r="H875" s="324" t="s">
        <v>5718</v>
      </c>
      <c r="I875" s="326" t="s">
        <v>383</v>
      </c>
      <c r="J875" s="326" t="s">
        <v>387</v>
      </c>
      <c r="K875" s="324" t="s">
        <v>5719</v>
      </c>
      <c r="L875" s="392" t="s">
        <v>210</v>
      </c>
      <c r="M875" s="324" t="s">
        <v>10767</v>
      </c>
      <c r="N875" s="444" t="s">
        <v>521</v>
      </c>
      <c r="O875" s="324">
        <v>150</v>
      </c>
      <c r="P875" s="458">
        <v>920.9</v>
      </c>
      <c r="Q875" s="459">
        <v>523.20000000000005</v>
      </c>
      <c r="R875" s="329" t="s">
        <v>1697</v>
      </c>
      <c r="S875" s="332" t="s">
        <v>11095</v>
      </c>
      <c r="T875" s="332" t="s">
        <v>11096</v>
      </c>
      <c r="U875" s="332" t="s">
        <v>11098</v>
      </c>
      <c r="V875" s="332" t="s">
        <v>11097</v>
      </c>
      <c r="W875" s="332" t="s">
        <v>1697</v>
      </c>
      <c r="X875" s="332" t="s">
        <v>11095</v>
      </c>
      <c r="Y875" s="332" t="s">
        <v>11096</v>
      </c>
      <c r="Z875" s="332" t="s">
        <v>11098</v>
      </c>
      <c r="AA875" s="332" t="s">
        <v>11097</v>
      </c>
      <c r="AB875" s="416"/>
      <c r="AC875" s="416"/>
      <c r="AD875" s="447" t="s">
        <v>6492</v>
      </c>
      <c r="AE875" s="335" t="s">
        <v>6493</v>
      </c>
      <c r="AF875" s="462">
        <v>42955</v>
      </c>
      <c r="AG875" s="748">
        <v>43109</v>
      </c>
      <c r="AH875" s="417" t="s">
        <v>210</v>
      </c>
      <c r="AI875" s="392" t="s">
        <v>210</v>
      </c>
      <c r="AJ875" s="392" t="s">
        <v>210</v>
      </c>
      <c r="AK875" s="340" t="s">
        <v>210</v>
      </c>
      <c r="AL875" s="417" t="s">
        <v>210</v>
      </c>
      <c r="AM875" s="392" t="s">
        <v>210</v>
      </c>
      <c r="AN875" s="392" t="s">
        <v>210</v>
      </c>
      <c r="AO875" s="341" t="s">
        <v>210</v>
      </c>
      <c r="AP875" s="342" t="s">
        <v>622</v>
      </c>
      <c r="AQ875" s="433" t="s">
        <v>4547</v>
      </c>
      <c r="AR875" s="452">
        <v>668</v>
      </c>
      <c r="AS875" s="324">
        <v>80</v>
      </c>
      <c r="AT875" s="432">
        <v>1</v>
      </c>
      <c r="AU875" s="432" t="s">
        <v>3494</v>
      </c>
      <c r="AV875" s="432">
        <v>1.5</v>
      </c>
      <c r="AW875" s="490" t="s">
        <v>3727</v>
      </c>
      <c r="AX875" s="417" t="s">
        <v>210</v>
      </c>
      <c r="AY875" s="455" t="s">
        <v>210</v>
      </c>
      <c r="AZ875" s="405" t="s">
        <v>622</v>
      </c>
      <c r="BA875" s="324" t="s">
        <v>5720</v>
      </c>
      <c r="BB875" s="324" t="s">
        <v>3492</v>
      </c>
      <c r="BC875" s="324" t="s">
        <v>5721</v>
      </c>
      <c r="BD875" s="324" t="s">
        <v>3372</v>
      </c>
      <c r="BE875" s="324" t="s">
        <v>3475</v>
      </c>
      <c r="BF875" s="324" t="s">
        <v>3494</v>
      </c>
      <c r="BG875" s="324" t="s">
        <v>5722</v>
      </c>
      <c r="BH875" s="426" t="s">
        <v>3434</v>
      </c>
      <c r="BI875" s="453">
        <v>0.7</v>
      </c>
      <c r="BJ875" s="427" t="s">
        <v>210</v>
      </c>
      <c r="BK875" s="412"/>
      <c r="BL875" s="413"/>
      <c r="BM875" s="414"/>
      <c r="BN875" s="321" t="s">
        <v>622</v>
      </c>
      <c r="BO875" s="372"/>
      <c r="BP875" s="373" t="s">
        <v>622</v>
      </c>
      <c r="BQ875" s="456" t="s">
        <v>9909</v>
      </c>
      <c r="BR875" s="342" t="s">
        <v>210</v>
      </c>
      <c r="BS875" s="342" t="s">
        <v>622</v>
      </c>
      <c r="BT875" s="342" t="s">
        <v>210</v>
      </c>
      <c r="BU875" s="342" t="s">
        <v>210</v>
      </c>
      <c r="BV875" s="342" t="s">
        <v>210</v>
      </c>
      <c r="BW875" s="341" t="s">
        <v>210</v>
      </c>
      <c r="BX875" s="361"/>
      <c r="BY875" s="457"/>
      <c r="BZ875" s="363"/>
      <c r="CA875" s="363"/>
      <c r="CB875" s="363"/>
      <c r="CC875" s="363"/>
    </row>
    <row r="876" spans="1:82" ht="22.5" customHeight="1">
      <c r="B876" s="442">
        <v>170162</v>
      </c>
      <c r="C876" s="747" t="s">
        <v>5700</v>
      </c>
      <c r="D876" s="439" t="s">
        <v>4849</v>
      </c>
      <c r="E876" s="404" t="s">
        <v>5361</v>
      </c>
      <c r="F876" s="405" t="s">
        <v>5701</v>
      </c>
      <c r="G876" s="324" t="s">
        <v>5702</v>
      </c>
      <c r="H876" s="324" t="s">
        <v>5703</v>
      </c>
      <c r="I876" s="326" t="s">
        <v>383</v>
      </c>
      <c r="J876" s="326" t="s">
        <v>387</v>
      </c>
      <c r="K876" s="324" t="s">
        <v>5704</v>
      </c>
      <c r="L876" s="392" t="s">
        <v>210</v>
      </c>
      <c r="M876" s="324" t="s">
        <v>10767</v>
      </c>
      <c r="N876" s="444" t="s">
        <v>438</v>
      </c>
      <c r="O876" s="324">
        <v>30</v>
      </c>
      <c r="P876" s="816">
        <v>534</v>
      </c>
      <c r="Q876" s="817">
        <v>267</v>
      </c>
      <c r="R876" s="420" t="s">
        <v>5705</v>
      </c>
      <c r="S876" s="394" t="s">
        <v>12551</v>
      </c>
      <c r="T876" s="394" t="s">
        <v>12553</v>
      </c>
      <c r="U876" s="394" t="s">
        <v>12552</v>
      </c>
      <c r="V876" s="394" t="s">
        <v>12554</v>
      </c>
      <c r="W876" s="460" t="s">
        <v>5708</v>
      </c>
      <c r="X876" s="394" t="s">
        <v>12555</v>
      </c>
      <c r="Y876" s="394" t="s">
        <v>12556</v>
      </c>
      <c r="Z876" s="400"/>
      <c r="AA876" s="394" t="s">
        <v>12557</v>
      </c>
      <c r="AB876" s="416"/>
      <c r="AC876" s="416"/>
      <c r="AD876" s="447" t="s">
        <v>5883</v>
      </c>
      <c r="AE876" s="499" t="s">
        <v>231</v>
      </c>
      <c r="AF876" s="462">
        <v>42955</v>
      </c>
      <c r="AG876" s="748">
        <v>43000</v>
      </c>
      <c r="AH876" s="417" t="s">
        <v>210</v>
      </c>
      <c r="AI876" s="392" t="s">
        <v>210</v>
      </c>
      <c r="AJ876" s="392" t="s">
        <v>210</v>
      </c>
      <c r="AK876" s="340" t="s">
        <v>210</v>
      </c>
      <c r="AL876" s="417" t="s">
        <v>210</v>
      </c>
      <c r="AM876" s="392" t="s">
        <v>210</v>
      </c>
      <c r="AN876" s="392" t="s">
        <v>210</v>
      </c>
      <c r="AO876" s="341" t="s">
        <v>210</v>
      </c>
      <c r="AP876" s="342" t="s">
        <v>210</v>
      </c>
      <c r="AQ876" s="433" t="s">
        <v>4547</v>
      </c>
      <c r="AR876" s="452">
        <v>381</v>
      </c>
      <c r="AS876" s="324">
        <v>100</v>
      </c>
      <c r="AT876" s="432">
        <v>1</v>
      </c>
      <c r="AU876" s="432" t="s">
        <v>5058</v>
      </c>
      <c r="AV876" s="432">
        <v>1.5</v>
      </c>
      <c r="AW876" s="490" t="s">
        <v>5785</v>
      </c>
      <c r="AX876" s="417" t="s">
        <v>210</v>
      </c>
      <c r="AY876" s="455" t="s">
        <v>210</v>
      </c>
      <c r="AZ876" s="405" t="s">
        <v>4083</v>
      </c>
      <c r="BA876" s="324" t="s">
        <v>210</v>
      </c>
      <c r="BB876" s="324" t="s">
        <v>210</v>
      </c>
      <c r="BC876" s="324" t="s">
        <v>5711</v>
      </c>
      <c r="BD876" s="324" t="s">
        <v>5712</v>
      </c>
      <c r="BE876" s="324" t="s">
        <v>5713</v>
      </c>
      <c r="BF876" s="324" t="s">
        <v>5079</v>
      </c>
      <c r="BG876" s="324" t="s">
        <v>5714</v>
      </c>
      <c r="BH876" s="426" t="s">
        <v>3727</v>
      </c>
      <c r="BI876" s="453">
        <v>0.6</v>
      </c>
      <c r="BJ876" s="427">
        <v>2.29</v>
      </c>
      <c r="BK876" s="412"/>
      <c r="BL876" s="413"/>
      <c r="BM876" s="414"/>
      <c r="BN876" s="410"/>
      <c r="BO876" s="502"/>
      <c r="BP876" s="492"/>
      <c r="BQ876" s="456" t="s">
        <v>5786</v>
      </c>
      <c r="BR876" s="342" t="s">
        <v>210</v>
      </c>
      <c r="BS876" s="342" t="s">
        <v>622</v>
      </c>
      <c r="BT876" s="342" t="s">
        <v>210</v>
      </c>
      <c r="BU876" s="342" t="s">
        <v>210</v>
      </c>
      <c r="BV876" s="342" t="s">
        <v>210</v>
      </c>
      <c r="BW876" s="341" t="s">
        <v>210</v>
      </c>
      <c r="BX876" s="361"/>
      <c r="BY876" s="457" t="s">
        <v>5787</v>
      </c>
      <c r="BZ876" s="363"/>
      <c r="CA876" s="363"/>
      <c r="CB876" s="363"/>
      <c r="CC876" s="363"/>
    </row>
    <row r="877" spans="1:82" ht="22.5" customHeight="1">
      <c r="B877" s="442">
        <v>170163</v>
      </c>
      <c r="C877" s="747" t="s">
        <v>5726</v>
      </c>
      <c r="D877" s="439" t="s">
        <v>5755</v>
      </c>
      <c r="E877" s="404" t="s">
        <v>5362</v>
      </c>
      <c r="F877" s="405" t="s">
        <v>839</v>
      </c>
      <c r="G877" s="324" t="s">
        <v>2228</v>
      </c>
      <c r="H877" s="324" t="s">
        <v>5727</v>
      </c>
      <c r="I877" s="326" t="s">
        <v>383</v>
      </c>
      <c r="J877" s="326" t="s">
        <v>387</v>
      </c>
      <c r="K877" s="326" t="s">
        <v>917</v>
      </c>
      <c r="L877" s="392" t="s">
        <v>210</v>
      </c>
      <c r="M877" s="324" t="s">
        <v>10767</v>
      </c>
      <c r="N877" s="444" t="s">
        <v>438</v>
      </c>
      <c r="O877" s="324">
        <v>30</v>
      </c>
      <c r="P877" s="458">
        <v>622.92999999999995</v>
      </c>
      <c r="Q877" s="459">
        <v>319.8</v>
      </c>
      <c r="R877" s="420" t="s">
        <v>5728</v>
      </c>
      <c r="S877" s="394" t="s">
        <v>12548</v>
      </c>
      <c r="T877" s="394" t="s">
        <v>12549</v>
      </c>
      <c r="U877" s="400"/>
      <c r="V877" s="394" t="s">
        <v>12550</v>
      </c>
      <c r="W877" s="332" t="s">
        <v>5729</v>
      </c>
      <c r="X877" s="394" t="s">
        <v>12547</v>
      </c>
      <c r="Y877" s="394" t="s">
        <v>11486</v>
      </c>
      <c r="Z877" s="394" t="s">
        <v>11487</v>
      </c>
      <c r="AA877" s="394" t="s">
        <v>11488</v>
      </c>
      <c r="AB877" s="416"/>
      <c r="AC877" s="416"/>
      <c r="AD877" s="447" t="s">
        <v>5884</v>
      </c>
      <c r="AE877" s="335" t="s">
        <v>5906</v>
      </c>
      <c r="AF877" s="462">
        <v>42955</v>
      </c>
      <c r="AG877" s="748">
        <v>43034</v>
      </c>
      <c r="AH877" s="417" t="s">
        <v>210</v>
      </c>
      <c r="AI877" s="392" t="s">
        <v>210</v>
      </c>
      <c r="AJ877" s="392" t="s">
        <v>210</v>
      </c>
      <c r="AK877" s="340" t="s">
        <v>210</v>
      </c>
      <c r="AL877" s="417" t="s">
        <v>210</v>
      </c>
      <c r="AM877" s="392" t="s">
        <v>210</v>
      </c>
      <c r="AN877" s="392" t="s">
        <v>210</v>
      </c>
      <c r="AO877" s="341" t="s">
        <v>210</v>
      </c>
      <c r="AP877" s="342" t="s">
        <v>210</v>
      </c>
      <c r="AQ877" s="433" t="s">
        <v>4547</v>
      </c>
      <c r="AR877" s="452">
        <v>363</v>
      </c>
      <c r="AS877" s="324">
        <v>100</v>
      </c>
      <c r="AT877" s="432">
        <v>1</v>
      </c>
      <c r="AU877" s="432" t="s">
        <v>5801</v>
      </c>
      <c r="AV877" s="432">
        <v>1.5</v>
      </c>
      <c r="AW877" s="490" t="s">
        <v>5802</v>
      </c>
      <c r="AX877" s="417" t="s">
        <v>210</v>
      </c>
      <c r="AY877" s="455" t="s">
        <v>210</v>
      </c>
      <c r="AZ877" s="405" t="s">
        <v>622</v>
      </c>
      <c r="BA877" s="324" t="s">
        <v>3459</v>
      </c>
      <c r="BB877" s="324" t="s">
        <v>5730</v>
      </c>
      <c r="BC877" s="324" t="s">
        <v>5731</v>
      </c>
      <c r="BD877" s="324" t="s">
        <v>5730</v>
      </c>
      <c r="BE877" s="324" t="s">
        <v>5732</v>
      </c>
      <c r="BF877" s="324" t="s">
        <v>3702</v>
      </c>
      <c r="BG877" s="324" t="s">
        <v>5733</v>
      </c>
      <c r="BH877" s="426" t="s">
        <v>5734</v>
      </c>
      <c r="BI877" s="453">
        <v>4</v>
      </c>
      <c r="BJ877" s="427" t="s">
        <v>210</v>
      </c>
      <c r="BK877" s="412"/>
      <c r="BL877" s="413"/>
      <c r="BM877" s="414"/>
      <c r="BN877" s="410"/>
      <c r="BO877" s="502"/>
      <c r="BP877" s="492"/>
      <c r="BQ877" s="456" t="s">
        <v>5803</v>
      </c>
      <c r="BR877" s="342" t="s">
        <v>210</v>
      </c>
      <c r="BS877" s="342" t="s">
        <v>622</v>
      </c>
      <c r="BT877" s="342" t="s">
        <v>210</v>
      </c>
      <c r="BU877" s="342" t="s">
        <v>210</v>
      </c>
      <c r="BV877" s="342" t="s">
        <v>210</v>
      </c>
      <c r="BW877" s="341" t="s">
        <v>210</v>
      </c>
      <c r="BX877" s="361"/>
      <c r="BY877" s="457"/>
      <c r="BZ877" s="363"/>
      <c r="CA877" s="363"/>
      <c r="CB877" s="363"/>
      <c r="CC877" s="363"/>
    </row>
    <row r="878" spans="1:82" ht="22.5" customHeight="1">
      <c r="B878" s="442">
        <v>170164</v>
      </c>
      <c r="C878" s="747" t="s">
        <v>5805</v>
      </c>
      <c r="D878" s="439" t="s">
        <v>4854</v>
      </c>
      <c r="E878" s="404" t="s">
        <v>5361</v>
      </c>
      <c r="F878" s="405" t="s">
        <v>4933</v>
      </c>
      <c r="G878" s="324" t="s">
        <v>1854</v>
      </c>
      <c r="H878" s="324" t="s">
        <v>5101</v>
      </c>
      <c r="I878" s="326" t="s">
        <v>383</v>
      </c>
      <c r="J878" s="326" t="s">
        <v>399</v>
      </c>
      <c r="K878" s="324" t="s">
        <v>247</v>
      </c>
      <c r="L878" s="342">
        <v>6</v>
      </c>
      <c r="M878" s="324" t="s">
        <v>10767</v>
      </c>
      <c r="N878" s="444" t="s">
        <v>438</v>
      </c>
      <c r="O878" s="324">
        <v>40</v>
      </c>
      <c r="P878" s="458">
        <v>1920</v>
      </c>
      <c r="Q878" s="459">
        <v>1920</v>
      </c>
      <c r="R878" s="420" t="s">
        <v>4935</v>
      </c>
      <c r="S878" s="394" t="s">
        <v>12545</v>
      </c>
      <c r="T878" s="400"/>
      <c r="U878" s="400"/>
      <c r="V878" s="394" t="s">
        <v>12546</v>
      </c>
      <c r="W878" s="332" t="s">
        <v>592</v>
      </c>
      <c r="X878" s="400"/>
      <c r="Y878" s="400"/>
      <c r="Z878" s="400"/>
      <c r="AA878" s="400"/>
      <c r="AB878" s="416"/>
      <c r="AC878" s="416"/>
      <c r="AD878" s="375"/>
      <c r="AE878" s="845"/>
      <c r="AF878" s="462">
        <v>42963</v>
      </c>
      <c r="AG878" s="748">
        <v>42996</v>
      </c>
      <c r="AH878" s="417" t="s">
        <v>210</v>
      </c>
      <c r="AI878" s="392" t="s">
        <v>210</v>
      </c>
      <c r="AJ878" s="392" t="s">
        <v>210</v>
      </c>
      <c r="AK878" s="340" t="s">
        <v>210</v>
      </c>
      <c r="AL878" s="417" t="s">
        <v>210</v>
      </c>
      <c r="AM878" s="392" t="s">
        <v>210</v>
      </c>
      <c r="AN878" s="392" t="s">
        <v>210</v>
      </c>
      <c r="AO878" s="341" t="s">
        <v>210</v>
      </c>
      <c r="AP878" s="342" t="s">
        <v>210</v>
      </c>
      <c r="AQ878" s="433" t="s">
        <v>5382</v>
      </c>
      <c r="AR878" s="452">
        <v>3300</v>
      </c>
      <c r="AS878" s="324">
        <v>100</v>
      </c>
      <c r="AT878" s="432">
        <v>1</v>
      </c>
      <c r="AU878" s="432" t="s">
        <v>5822</v>
      </c>
      <c r="AV878" s="432">
        <v>1.2</v>
      </c>
      <c r="AW878" s="490" t="s">
        <v>5822</v>
      </c>
      <c r="AX878" s="453" t="s">
        <v>210</v>
      </c>
      <c r="AY878" s="455" t="s">
        <v>210</v>
      </c>
      <c r="AZ878" s="405" t="s">
        <v>4083</v>
      </c>
      <c r="BA878" s="324" t="s">
        <v>210</v>
      </c>
      <c r="BB878" s="324" t="s">
        <v>210</v>
      </c>
      <c r="BC878" s="324" t="s">
        <v>210</v>
      </c>
      <c r="BD878" s="324" t="s">
        <v>210</v>
      </c>
      <c r="BE878" s="324" t="s">
        <v>3565</v>
      </c>
      <c r="BF878" s="324" t="s">
        <v>3491</v>
      </c>
      <c r="BG878" s="324" t="s">
        <v>3557</v>
      </c>
      <c r="BH878" s="426" t="s">
        <v>3491</v>
      </c>
      <c r="BI878" s="453" t="s">
        <v>210</v>
      </c>
      <c r="BJ878" s="427" t="s">
        <v>210</v>
      </c>
      <c r="BK878" s="412"/>
      <c r="BL878" s="413"/>
      <c r="BM878" s="414"/>
      <c r="BN878" s="417" t="s">
        <v>210</v>
      </c>
      <c r="BO878" s="372"/>
      <c r="BP878" s="340" t="s">
        <v>210</v>
      </c>
      <c r="BQ878" s="456" t="s">
        <v>5679</v>
      </c>
      <c r="BR878" s="342" t="s">
        <v>210</v>
      </c>
      <c r="BS878" s="342" t="s">
        <v>210</v>
      </c>
      <c r="BT878" s="342" t="s">
        <v>210</v>
      </c>
      <c r="BU878" s="342" t="s">
        <v>210</v>
      </c>
      <c r="BV878" s="342" t="s">
        <v>210</v>
      </c>
      <c r="BW878" s="341" t="s">
        <v>210</v>
      </c>
      <c r="BX878" s="361"/>
      <c r="BY878" s="457" t="s">
        <v>5806</v>
      </c>
      <c r="BZ878" s="363"/>
      <c r="CA878" s="363"/>
      <c r="CB878" s="363"/>
      <c r="CC878" s="363"/>
    </row>
    <row r="879" spans="1:82" ht="22.5" customHeight="1">
      <c r="B879" s="442">
        <v>170165</v>
      </c>
      <c r="C879" s="747" t="s">
        <v>5723</v>
      </c>
      <c r="D879" s="439" t="s">
        <v>4854</v>
      </c>
      <c r="E879" s="404" t="s">
        <v>5362</v>
      </c>
      <c r="F879" s="405" t="s">
        <v>5716</v>
      </c>
      <c r="G879" s="324" t="s">
        <v>5717</v>
      </c>
      <c r="H879" s="324" t="s">
        <v>2915</v>
      </c>
      <c r="I879" s="326" t="s">
        <v>383</v>
      </c>
      <c r="J879" s="326" t="s">
        <v>399</v>
      </c>
      <c r="K879" s="324" t="s">
        <v>5719</v>
      </c>
      <c r="L879" s="392" t="s">
        <v>210</v>
      </c>
      <c r="M879" s="324" t="s">
        <v>10767</v>
      </c>
      <c r="N879" s="444" t="s">
        <v>437</v>
      </c>
      <c r="O879" s="324">
        <v>150</v>
      </c>
      <c r="P879" s="458">
        <v>400</v>
      </c>
      <c r="Q879" s="459">
        <v>400</v>
      </c>
      <c r="R879" s="420" t="s">
        <v>6400</v>
      </c>
      <c r="S879" s="400"/>
      <c r="T879" s="331" t="s">
        <v>14113</v>
      </c>
      <c r="U879" s="331" t="s">
        <v>14112</v>
      </c>
      <c r="V879" s="400"/>
      <c r="W879" s="332" t="s">
        <v>5724</v>
      </c>
      <c r="X879" s="331" t="s">
        <v>11801</v>
      </c>
      <c r="Y879" s="330"/>
      <c r="Z879" s="330"/>
      <c r="AA879" s="331" t="s">
        <v>11802</v>
      </c>
      <c r="AB879" s="416"/>
      <c r="AC879" s="416"/>
      <c r="AD879" s="447" t="s">
        <v>6232</v>
      </c>
      <c r="AE879" s="335" t="s">
        <v>210</v>
      </c>
      <c r="AF879" s="462">
        <v>42955</v>
      </c>
      <c r="AG879" s="748">
        <v>43004</v>
      </c>
      <c r="AH879" s="417" t="s">
        <v>210</v>
      </c>
      <c r="AI879" s="392" t="s">
        <v>210</v>
      </c>
      <c r="AJ879" s="392" t="s">
        <v>210</v>
      </c>
      <c r="AK879" s="340" t="s">
        <v>210</v>
      </c>
      <c r="AL879" s="417" t="s">
        <v>210</v>
      </c>
      <c r="AM879" s="392" t="s">
        <v>210</v>
      </c>
      <c r="AN879" s="392" t="s">
        <v>210</v>
      </c>
      <c r="AO879" s="341" t="s">
        <v>210</v>
      </c>
      <c r="AP879" s="342" t="s">
        <v>210</v>
      </c>
      <c r="AQ879" s="433" t="s">
        <v>4547</v>
      </c>
      <c r="AR879" s="452">
        <v>363</v>
      </c>
      <c r="AS879" s="324">
        <v>80</v>
      </c>
      <c r="AT879" s="432">
        <v>1</v>
      </c>
      <c r="AU879" s="432" t="s">
        <v>5823</v>
      </c>
      <c r="AV879" s="432">
        <v>1.5</v>
      </c>
      <c r="AW879" s="490" t="s">
        <v>5246</v>
      </c>
      <c r="AX879" s="453" t="s">
        <v>210</v>
      </c>
      <c r="AY879" s="455" t="s">
        <v>210</v>
      </c>
      <c r="AZ879" s="405" t="s">
        <v>4083</v>
      </c>
      <c r="BA879" s="324" t="s">
        <v>210</v>
      </c>
      <c r="BB879" s="324" t="s">
        <v>210</v>
      </c>
      <c r="BC879" s="324" t="s">
        <v>5735</v>
      </c>
      <c r="BD879" s="324" t="s">
        <v>3372</v>
      </c>
      <c r="BE879" s="324" t="s">
        <v>5735</v>
      </c>
      <c r="BF879" s="324" t="s">
        <v>3372</v>
      </c>
      <c r="BG879" s="324" t="s">
        <v>5736</v>
      </c>
      <c r="BH879" s="426" t="s">
        <v>5058</v>
      </c>
      <c r="BI879" s="453" t="s">
        <v>210</v>
      </c>
      <c r="BJ879" s="427" t="s">
        <v>210</v>
      </c>
      <c r="BK879" s="412"/>
      <c r="BL879" s="413"/>
      <c r="BM879" s="414"/>
      <c r="BN879" s="417" t="s">
        <v>210</v>
      </c>
      <c r="BO879" s="372"/>
      <c r="BP879" s="340" t="s">
        <v>210</v>
      </c>
      <c r="BQ879" s="456" t="s">
        <v>5698</v>
      </c>
      <c r="BR879" s="342" t="s">
        <v>210</v>
      </c>
      <c r="BS879" s="342" t="s">
        <v>210</v>
      </c>
      <c r="BT879" s="342" t="s">
        <v>210</v>
      </c>
      <c r="BU879" s="342" t="s">
        <v>210</v>
      </c>
      <c r="BV879" s="342" t="s">
        <v>210</v>
      </c>
      <c r="BW879" s="341" t="s">
        <v>210</v>
      </c>
      <c r="BX879" s="361"/>
      <c r="BY879" s="457"/>
      <c r="BZ879" s="363"/>
      <c r="CA879" s="363"/>
      <c r="CB879" s="363"/>
      <c r="CC879" s="363"/>
    </row>
    <row r="880" spans="1:82" ht="22.5" customHeight="1">
      <c r="B880" s="442">
        <v>170166</v>
      </c>
      <c r="C880" s="747" t="s">
        <v>5686</v>
      </c>
      <c r="D880" s="439" t="s">
        <v>4854</v>
      </c>
      <c r="E880" s="404" t="s">
        <v>5362</v>
      </c>
      <c r="F880" s="405" t="s">
        <v>5688</v>
      </c>
      <c r="G880" s="324" t="s">
        <v>5689</v>
      </c>
      <c r="H880" s="324" t="s">
        <v>5365</v>
      </c>
      <c r="I880" s="326" t="s">
        <v>383</v>
      </c>
      <c r="J880" s="326" t="s">
        <v>399</v>
      </c>
      <c r="K880" s="324" t="s">
        <v>977</v>
      </c>
      <c r="L880" s="342">
        <v>3.9</v>
      </c>
      <c r="M880" s="324" t="s">
        <v>10767</v>
      </c>
      <c r="N880" s="444" t="s">
        <v>438</v>
      </c>
      <c r="O880" s="324">
        <v>30</v>
      </c>
      <c r="P880" s="458">
        <v>200</v>
      </c>
      <c r="Q880" s="459">
        <v>200</v>
      </c>
      <c r="R880" s="420" t="s">
        <v>6386</v>
      </c>
      <c r="S880" s="394" t="s">
        <v>11735</v>
      </c>
      <c r="T880" s="394" t="s">
        <v>11151</v>
      </c>
      <c r="U880" s="394" t="s">
        <v>11737</v>
      </c>
      <c r="V880" s="394" t="s">
        <v>11738</v>
      </c>
      <c r="W880" s="332" t="s">
        <v>5690</v>
      </c>
      <c r="X880" s="400"/>
      <c r="Y880" s="400"/>
      <c r="Z880" s="400"/>
      <c r="AA880" s="400"/>
      <c r="AB880" s="416"/>
      <c r="AC880" s="416"/>
      <c r="AD880" s="334" t="s">
        <v>210</v>
      </c>
      <c r="AE880" s="335" t="s">
        <v>210</v>
      </c>
      <c r="AF880" s="462">
        <v>42950</v>
      </c>
      <c r="AG880" s="748">
        <v>42987</v>
      </c>
      <c r="AH880" s="417" t="s">
        <v>210</v>
      </c>
      <c r="AI880" s="392" t="s">
        <v>210</v>
      </c>
      <c r="AJ880" s="392" t="s">
        <v>210</v>
      </c>
      <c r="AK880" s="340" t="s">
        <v>210</v>
      </c>
      <c r="AL880" s="417" t="s">
        <v>210</v>
      </c>
      <c r="AM880" s="392" t="s">
        <v>210</v>
      </c>
      <c r="AN880" s="392" t="s">
        <v>210</v>
      </c>
      <c r="AO880" s="341" t="s">
        <v>210</v>
      </c>
      <c r="AP880" s="342" t="s">
        <v>210</v>
      </c>
      <c r="AQ880" s="433" t="s">
        <v>4548</v>
      </c>
      <c r="AR880" s="452">
        <v>360.7</v>
      </c>
      <c r="AS880" s="324">
        <v>80</v>
      </c>
      <c r="AT880" s="432">
        <v>1</v>
      </c>
      <c r="AU880" s="432" t="s">
        <v>5483</v>
      </c>
      <c r="AV880" s="432">
        <v>1.5</v>
      </c>
      <c r="AW880" s="490" t="s">
        <v>5483</v>
      </c>
      <c r="AX880" s="453" t="s">
        <v>210</v>
      </c>
      <c r="AY880" s="429" t="s">
        <v>210</v>
      </c>
      <c r="AZ880" s="405" t="s">
        <v>4083</v>
      </c>
      <c r="BA880" s="324" t="s">
        <v>210</v>
      </c>
      <c r="BB880" s="324" t="s">
        <v>210</v>
      </c>
      <c r="BC880" s="324" t="s">
        <v>3475</v>
      </c>
      <c r="BD880" s="324" t="s">
        <v>3487</v>
      </c>
      <c r="BE880" s="324" t="s">
        <v>3459</v>
      </c>
      <c r="BF880" s="324" t="s">
        <v>5483</v>
      </c>
      <c r="BG880" s="324" t="s">
        <v>3565</v>
      </c>
      <c r="BH880" s="426" t="s">
        <v>5483</v>
      </c>
      <c r="BI880" s="453">
        <v>3</v>
      </c>
      <c r="BJ880" s="427" t="s">
        <v>210</v>
      </c>
      <c r="BK880" s="412"/>
      <c r="BL880" s="413"/>
      <c r="BM880" s="414"/>
      <c r="BN880" s="417" t="s">
        <v>210</v>
      </c>
      <c r="BO880" s="372"/>
      <c r="BP880" s="340" t="s">
        <v>210</v>
      </c>
      <c r="BQ880" s="456" t="s">
        <v>247</v>
      </c>
      <c r="BR880" s="342" t="s">
        <v>210</v>
      </c>
      <c r="BS880" s="342" t="s">
        <v>210</v>
      </c>
      <c r="BT880" s="342" t="s">
        <v>210</v>
      </c>
      <c r="BU880" s="342" t="s">
        <v>210</v>
      </c>
      <c r="BV880" s="342" t="s">
        <v>210</v>
      </c>
      <c r="BW880" s="341" t="s">
        <v>210</v>
      </c>
      <c r="BX880" s="361"/>
      <c r="BY880" s="457" t="s">
        <v>5687</v>
      </c>
      <c r="BZ880" s="363"/>
      <c r="CA880" s="363"/>
      <c r="CB880" s="363"/>
      <c r="CC880" s="363"/>
    </row>
    <row r="881" spans="1:82" ht="22.5" customHeight="1">
      <c r="B881" s="442">
        <v>170167</v>
      </c>
      <c r="C881" s="747" t="s">
        <v>5863</v>
      </c>
      <c r="D881" s="439" t="s">
        <v>4849</v>
      </c>
      <c r="E881" s="404" t="s">
        <v>5362</v>
      </c>
      <c r="F881" s="405" t="s">
        <v>228</v>
      </c>
      <c r="G881" s="324" t="s">
        <v>5749</v>
      </c>
      <c r="H881" s="324" t="s">
        <v>5750</v>
      </c>
      <c r="I881" s="326" t="s">
        <v>383</v>
      </c>
      <c r="J881" s="326" t="s">
        <v>399</v>
      </c>
      <c r="K881" s="326" t="s">
        <v>917</v>
      </c>
      <c r="L881" s="392" t="s">
        <v>210</v>
      </c>
      <c r="M881" s="324" t="s">
        <v>10767</v>
      </c>
      <c r="N881" s="444" t="s">
        <v>437</v>
      </c>
      <c r="O881" s="324">
        <v>100</v>
      </c>
      <c r="P881" s="458">
        <v>1081.96</v>
      </c>
      <c r="Q881" s="459">
        <v>1121.77</v>
      </c>
      <c r="R881" s="420" t="s">
        <v>5746</v>
      </c>
      <c r="S881" s="394" t="s">
        <v>11696</v>
      </c>
      <c r="T881" s="394" t="s">
        <v>11694</v>
      </c>
      <c r="U881" s="394" t="s">
        <v>16337</v>
      </c>
      <c r="V881" s="394" t="s">
        <v>11695</v>
      </c>
      <c r="W881" s="332" t="s">
        <v>6275</v>
      </c>
      <c r="X881" s="394" t="s">
        <v>12542</v>
      </c>
      <c r="Y881" s="394" t="s">
        <v>12544</v>
      </c>
      <c r="Z881" s="394" t="s">
        <v>16340</v>
      </c>
      <c r="AA881" s="394" t="s">
        <v>12543</v>
      </c>
      <c r="AB881" s="416"/>
      <c r="AC881" s="416"/>
      <c r="AD881" s="447" t="s">
        <v>6159</v>
      </c>
      <c r="AE881" s="335" t="s">
        <v>210</v>
      </c>
      <c r="AF881" s="462">
        <v>42969</v>
      </c>
      <c r="AG881" s="748">
        <v>43052</v>
      </c>
      <c r="AH881" s="417" t="s">
        <v>210</v>
      </c>
      <c r="AI881" s="392" t="s">
        <v>210</v>
      </c>
      <c r="AJ881" s="392" t="s">
        <v>210</v>
      </c>
      <c r="AK881" s="340" t="s">
        <v>210</v>
      </c>
      <c r="AL881" s="417" t="s">
        <v>210</v>
      </c>
      <c r="AM881" s="392" t="s">
        <v>210</v>
      </c>
      <c r="AN881" s="392" t="s">
        <v>210</v>
      </c>
      <c r="AO881" s="341" t="s">
        <v>210</v>
      </c>
      <c r="AP881" s="342" t="s">
        <v>210</v>
      </c>
      <c r="AQ881" s="433" t="s">
        <v>4547</v>
      </c>
      <c r="AR881" s="452">
        <v>1364</v>
      </c>
      <c r="AS881" s="324">
        <v>100</v>
      </c>
      <c r="AT881" s="432">
        <v>1</v>
      </c>
      <c r="AU881" s="432" t="s">
        <v>5838</v>
      </c>
      <c r="AV881" s="432">
        <v>1.5</v>
      </c>
      <c r="AW881" s="490" t="s">
        <v>3494</v>
      </c>
      <c r="AX881" s="417" t="s">
        <v>210</v>
      </c>
      <c r="AY881" s="455" t="s">
        <v>210</v>
      </c>
      <c r="AZ881" s="405" t="s">
        <v>622</v>
      </c>
      <c r="BA881" s="324" t="s">
        <v>3459</v>
      </c>
      <c r="BB881" s="324" t="s">
        <v>3492</v>
      </c>
      <c r="BC881" s="324" t="s">
        <v>5751</v>
      </c>
      <c r="BD881" s="324" t="s">
        <v>3492</v>
      </c>
      <c r="BE881" s="324" t="s">
        <v>5752</v>
      </c>
      <c r="BF881" s="324" t="s">
        <v>5058</v>
      </c>
      <c r="BG881" s="324" t="s">
        <v>5753</v>
      </c>
      <c r="BH881" s="426" t="s">
        <v>3494</v>
      </c>
      <c r="BI881" s="453">
        <v>0.7</v>
      </c>
      <c r="BJ881" s="427" t="s">
        <v>210</v>
      </c>
      <c r="BK881" s="412"/>
      <c r="BL881" s="413"/>
      <c r="BM881" s="414"/>
      <c r="BN881" s="321" t="s">
        <v>622</v>
      </c>
      <c r="BO881" s="372"/>
      <c r="BP881" s="373" t="s">
        <v>622</v>
      </c>
      <c r="BQ881" s="456" t="s">
        <v>917</v>
      </c>
      <c r="BR881" s="342" t="s">
        <v>210</v>
      </c>
      <c r="BS881" s="342" t="s">
        <v>622</v>
      </c>
      <c r="BT881" s="342" t="s">
        <v>210</v>
      </c>
      <c r="BU881" s="342" t="s">
        <v>210</v>
      </c>
      <c r="BV881" s="342" t="s">
        <v>210</v>
      </c>
      <c r="BW881" s="341" t="s">
        <v>210</v>
      </c>
      <c r="BX881" s="361"/>
      <c r="BY881" s="457" t="s">
        <v>5824</v>
      </c>
      <c r="BZ881" s="363"/>
      <c r="CA881" s="363"/>
      <c r="CB881" s="363"/>
      <c r="CC881" s="363"/>
    </row>
    <row r="882" spans="1:82" ht="22.5" customHeight="1">
      <c r="B882" s="442">
        <v>170168</v>
      </c>
      <c r="C882" s="747" t="s">
        <v>12538</v>
      </c>
      <c r="D882" s="439" t="s">
        <v>4849</v>
      </c>
      <c r="E882" s="404" t="s">
        <v>5361</v>
      </c>
      <c r="F882" s="405" t="s">
        <v>782</v>
      </c>
      <c r="G882" s="324" t="s">
        <v>5694</v>
      </c>
      <c r="H882" s="324" t="s">
        <v>5695</v>
      </c>
      <c r="I882" s="326" t="s">
        <v>383</v>
      </c>
      <c r="J882" s="326" t="s">
        <v>399</v>
      </c>
      <c r="K882" s="324" t="s">
        <v>6374</v>
      </c>
      <c r="L882" s="342">
        <v>5.4</v>
      </c>
      <c r="M882" s="324" t="s">
        <v>10767</v>
      </c>
      <c r="N882" s="444" t="s">
        <v>437</v>
      </c>
      <c r="O882" s="324">
        <v>25</v>
      </c>
      <c r="P882" s="458">
        <v>273</v>
      </c>
      <c r="Q882" s="459">
        <v>273</v>
      </c>
      <c r="R882" s="420" t="s">
        <v>5693</v>
      </c>
      <c r="S882" s="394" t="s">
        <v>12509</v>
      </c>
      <c r="T882" s="394" t="s">
        <v>12510</v>
      </c>
      <c r="U882" s="400"/>
      <c r="V882" s="394" t="s">
        <v>12511</v>
      </c>
      <c r="W882" s="332" t="s">
        <v>5738</v>
      </c>
      <c r="X882" s="394" t="s">
        <v>12539</v>
      </c>
      <c r="Y882" s="394" t="s">
        <v>12540</v>
      </c>
      <c r="Z882" s="394" t="s">
        <v>16391</v>
      </c>
      <c r="AA882" s="394" t="s">
        <v>12541</v>
      </c>
      <c r="AB882" s="416"/>
      <c r="AC882" s="416"/>
      <c r="AD882" s="375"/>
      <c r="AE882" s="335" t="s">
        <v>210</v>
      </c>
      <c r="AF882" s="462">
        <v>42951</v>
      </c>
      <c r="AG882" s="748">
        <v>42987</v>
      </c>
      <c r="AH882" s="417" t="s">
        <v>210</v>
      </c>
      <c r="AI882" s="392" t="s">
        <v>210</v>
      </c>
      <c r="AJ882" s="392" t="s">
        <v>210</v>
      </c>
      <c r="AK882" s="340" t="s">
        <v>210</v>
      </c>
      <c r="AL882" s="417" t="s">
        <v>210</v>
      </c>
      <c r="AM882" s="392" t="s">
        <v>210</v>
      </c>
      <c r="AN882" s="392" t="s">
        <v>210</v>
      </c>
      <c r="AO882" s="341" t="s">
        <v>210</v>
      </c>
      <c r="AP882" s="342" t="s">
        <v>622</v>
      </c>
      <c r="AQ882" s="433" t="s">
        <v>4547</v>
      </c>
      <c r="AR882" s="452">
        <v>407</v>
      </c>
      <c r="AS882" s="324">
        <v>80</v>
      </c>
      <c r="AT882" s="432">
        <v>1</v>
      </c>
      <c r="AU882" s="432" t="s">
        <v>5741</v>
      </c>
      <c r="AV882" s="432">
        <v>1.5</v>
      </c>
      <c r="AW882" s="490" t="s">
        <v>5742</v>
      </c>
      <c r="AX882" s="417" t="s">
        <v>210</v>
      </c>
      <c r="AY882" s="455" t="s">
        <v>210</v>
      </c>
      <c r="AZ882" s="405" t="s">
        <v>622</v>
      </c>
      <c r="BA882" s="324" t="s">
        <v>3844</v>
      </c>
      <c r="BB882" s="324" t="s">
        <v>3372</v>
      </c>
      <c r="BC882" s="324" t="s">
        <v>5696</v>
      </c>
      <c r="BD882" s="324" t="s">
        <v>3434</v>
      </c>
      <c r="BE882" s="324" t="s">
        <v>210</v>
      </c>
      <c r="BF882" s="324" t="s">
        <v>210</v>
      </c>
      <c r="BG882" s="324" t="s">
        <v>3459</v>
      </c>
      <c r="BH882" s="426" t="s">
        <v>5697</v>
      </c>
      <c r="BI882" s="453">
        <v>2</v>
      </c>
      <c r="BJ882" s="427">
        <v>0.98</v>
      </c>
      <c r="BK882" s="412"/>
      <c r="BL882" s="413"/>
      <c r="BM882" s="414"/>
      <c r="BN882" s="410"/>
      <c r="BO882" s="502"/>
      <c r="BP882" s="492"/>
      <c r="BQ882" s="456" t="s">
        <v>5698</v>
      </c>
      <c r="BR882" s="342" t="s">
        <v>210</v>
      </c>
      <c r="BS882" s="342" t="s">
        <v>210</v>
      </c>
      <c r="BT882" s="342" t="s">
        <v>210</v>
      </c>
      <c r="BU882" s="342" t="s">
        <v>210</v>
      </c>
      <c r="BV882" s="342" t="s">
        <v>210</v>
      </c>
      <c r="BW882" s="341" t="s">
        <v>210</v>
      </c>
      <c r="BX882" s="361"/>
      <c r="BY882" s="457" t="s">
        <v>5743</v>
      </c>
      <c r="BZ882" s="363"/>
      <c r="CA882" s="363"/>
      <c r="CB882" s="363"/>
      <c r="CC882" s="363"/>
    </row>
    <row r="883" spans="1:82" ht="23.25" customHeight="1">
      <c r="B883" s="442">
        <v>170169</v>
      </c>
      <c r="C883" s="747" t="s">
        <v>5764</v>
      </c>
      <c r="D883" s="439" t="s">
        <v>4847</v>
      </c>
      <c r="E883" s="404" t="s">
        <v>5361</v>
      </c>
      <c r="F883" s="405" t="s">
        <v>5765</v>
      </c>
      <c r="G883" s="324" t="s">
        <v>5271</v>
      </c>
      <c r="H883" s="324" t="s">
        <v>5766</v>
      </c>
      <c r="I883" s="326" t="s">
        <v>383</v>
      </c>
      <c r="J883" s="324" t="s">
        <v>3939</v>
      </c>
      <c r="K883" s="324" t="s">
        <v>5225</v>
      </c>
      <c r="L883" s="392" t="s">
        <v>210</v>
      </c>
      <c r="M883" s="324" t="s">
        <v>6509</v>
      </c>
      <c r="N883" s="444" t="s">
        <v>438</v>
      </c>
      <c r="O883" s="326">
        <v>30</v>
      </c>
      <c r="P883" s="458">
        <v>922</v>
      </c>
      <c r="Q883" s="459">
        <v>922</v>
      </c>
      <c r="R883" s="420" t="s">
        <v>3953</v>
      </c>
      <c r="S883" s="394" t="s">
        <v>12535</v>
      </c>
      <c r="T883" s="394" t="s">
        <v>12536</v>
      </c>
      <c r="U883" s="394" t="s">
        <v>16229</v>
      </c>
      <c r="V883" s="394" t="s">
        <v>12537</v>
      </c>
      <c r="W883" s="332" t="s">
        <v>5767</v>
      </c>
      <c r="X883" s="394" t="s">
        <v>12531</v>
      </c>
      <c r="Y883" s="394" t="s">
        <v>12533</v>
      </c>
      <c r="Z883" s="394" t="s">
        <v>12532</v>
      </c>
      <c r="AA883" s="394" t="s">
        <v>12534</v>
      </c>
      <c r="AB883" s="416"/>
      <c r="AC883" s="416"/>
      <c r="AD883" s="447" t="s">
        <v>944</v>
      </c>
      <c r="AE883" s="499" t="s">
        <v>373</v>
      </c>
      <c r="AF883" s="462">
        <v>42970</v>
      </c>
      <c r="AG883" s="748">
        <v>43031</v>
      </c>
      <c r="AH883" s="417" t="s">
        <v>210</v>
      </c>
      <c r="AI883" s="392" t="s">
        <v>210</v>
      </c>
      <c r="AJ883" s="392" t="s">
        <v>210</v>
      </c>
      <c r="AK883" s="340" t="s">
        <v>210</v>
      </c>
      <c r="AL883" s="417" t="s">
        <v>210</v>
      </c>
      <c r="AM883" s="392" t="s">
        <v>210</v>
      </c>
      <c r="AN883" s="392" t="s">
        <v>210</v>
      </c>
      <c r="AO883" s="341" t="s">
        <v>210</v>
      </c>
      <c r="AP883" s="342" t="s">
        <v>622</v>
      </c>
      <c r="AQ883" s="433" t="s">
        <v>4547</v>
      </c>
      <c r="AR883" s="452">
        <v>1138</v>
      </c>
      <c r="AS883" s="324">
        <v>100</v>
      </c>
      <c r="AT883" s="432">
        <v>1</v>
      </c>
      <c r="AU883" s="432" t="s">
        <v>5819</v>
      </c>
      <c r="AV883" s="432">
        <v>1.2</v>
      </c>
      <c r="AW883" s="490" t="s">
        <v>5819</v>
      </c>
      <c r="AX883" s="453" t="s">
        <v>210</v>
      </c>
      <c r="AY883" s="455" t="s">
        <v>210</v>
      </c>
      <c r="AZ883" s="405" t="s">
        <v>4083</v>
      </c>
      <c r="BA883" s="324" t="s">
        <v>210</v>
      </c>
      <c r="BB883" s="324" t="s">
        <v>210</v>
      </c>
      <c r="BC883" s="324" t="s">
        <v>3459</v>
      </c>
      <c r="BD883" s="324" t="s">
        <v>3382</v>
      </c>
      <c r="BE883" s="324" t="s">
        <v>3616</v>
      </c>
      <c r="BF883" s="324" t="s">
        <v>3382</v>
      </c>
      <c r="BG883" s="324" t="s">
        <v>3476</v>
      </c>
      <c r="BH883" s="324" t="s">
        <v>3382</v>
      </c>
      <c r="BI883" s="453">
        <v>2.2000000000000002</v>
      </c>
      <c r="BJ883" s="427" t="s">
        <v>210</v>
      </c>
      <c r="BK883" s="412"/>
      <c r="BL883" s="413"/>
      <c r="BM883" s="414"/>
      <c r="BN883" s="321" t="s">
        <v>622</v>
      </c>
      <c r="BO883" s="372">
        <v>1.61</v>
      </c>
      <c r="BP883" s="373" t="s">
        <v>622</v>
      </c>
      <c r="BQ883" s="456" t="s">
        <v>5820</v>
      </c>
      <c r="BR883" s="342" t="s">
        <v>210</v>
      </c>
      <c r="BS883" s="342" t="s">
        <v>622</v>
      </c>
      <c r="BT883" s="342" t="s">
        <v>210</v>
      </c>
      <c r="BU883" s="342" t="s">
        <v>210</v>
      </c>
      <c r="BV883" s="342" t="s">
        <v>210</v>
      </c>
      <c r="BW883" s="341" t="s">
        <v>210</v>
      </c>
      <c r="BX883" s="361"/>
      <c r="BY883" s="457" t="s">
        <v>5821</v>
      </c>
      <c r="BZ883" s="363"/>
      <c r="CA883" s="363"/>
      <c r="CB883" s="363"/>
      <c r="CC883" s="363"/>
    </row>
    <row r="884" spans="1:82" s="465" customFormat="1" ht="22.5" customHeight="1">
      <c r="A884" s="287"/>
      <c r="B884" s="749">
        <v>170170</v>
      </c>
      <c r="C884" s="750" t="s">
        <v>5768</v>
      </c>
      <c r="D884" s="751" t="s">
        <v>4847</v>
      </c>
      <c r="E884" s="752" t="s">
        <v>5361</v>
      </c>
      <c r="F884" s="753" t="s">
        <v>4072</v>
      </c>
      <c r="G884" s="754" t="s">
        <v>5769</v>
      </c>
      <c r="H884" s="754" t="s">
        <v>5770</v>
      </c>
      <c r="I884" s="662" t="s">
        <v>383</v>
      </c>
      <c r="J884" s="662" t="s">
        <v>399</v>
      </c>
      <c r="K884" s="754" t="s">
        <v>977</v>
      </c>
      <c r="L884" s="688">
        <v>5</v>
      </c>
      <c r="M884" s="754" t="s">
        <v>10767</v>
      </c>
      <c r="N884" s="755" t="s">
        <v>438</v>
      </c>
      <c r="O884" s="754" t="s">
        <v>5771</v>
      </c>
      <c r="P884" s="782">
        <f>22.9*15.9+6.5*5.75</f>
        <v>401.48500000000001</v>
      </c>
      <c r="Q884" s="783">
        <f>22.9*15.9</f>
        <v>364.11</v>
      </c>
      <c r="R884" s="756" t="s">
        <v>5772</v>
      </c>
      <c r="S884" s="708" t="s">
        <v>12528</v>
      </c>
      <c r="T884" s="708" t="s">
        <v>12529</v>
      </c>
      <c r="U884" s="708" t="s">
        <v>16230</v>
      </c>
      <c r="V884" s="708" t="s">
        <v>12530</v>
      </c>
      <c r="W884" s="669" t="s">
        <v>5772</v>
      </c>
      <c r="X884" s="708" t="s">
        <v>12528</v>
      </c>
      <c r="Y884" s="708" t="s">
        <v>12529</v>
      </c>
      <c r="Z884" s="708" t="s">
        <v>16230</v>
      </c>
      <c r="AA884" s="708" t="s">
        <v>12530</v>
      </c>
      <c r="AB884" s="758"/>
      <c r="AC884" s="758"/>
      <c r="AD884" s="759"/>
      <c r="AE884" s="760"/>
      <c r="AF884" s="846">
        <v>42970</v>
      </c>
      <c r="AG884" s="674" t="s">
        <v>10514</v>
      </c>
      <c r="AH884" s="675" t="s">
        <v>210</v>
      </c>
      <c r="AI884" s="676" t="s">
        <v>210</v>
      </c>
      <c r="AJ884" s="676" t="s">
        <v>210</v>
      </c>
      <c r="AK884" s="677" t="s">
        <v>210</v>
      </c>
      <c r="AL884" s="675" t="s">
        <v>210</v>
      </c>
      <c r="AM884" s="676" t="s">
        <v>210</v>
      </c>
      <c r="AN884" s="676" t="s">
        <v>210</v>
      </c>
      <c r="AO884" s="678" t="s">
        <v>210</v>
      </c>
      <c r="AP884" s="688" t="s">
        <v>622</v>
      </c>
      <c r="AQ884" s="762" t="s">
        <v>4547</v>
      </c>
      <c r="AR884" s="763">
        <v>552</v>
      </c>
      <c r="AS884" s="754">
        <v>80</v>
      </c>
      <c r="AT884" s="785">
        <v>1</v>
      </c>
      <c r="AU884" s="785" t="s">
        <v>5352</v>
      </c>
      <c r="AV884" s="785">
        <v>1.5</v>
      </c>
      <c r="AW884" s="764" t="s">
        <v>5352</v>
      </c>
      <c r="AX884" s="675" t="s">
        <v>210</v>
      </c>
      <c r="AY884" s="772" t="s">
        <v>210</v>
      </c>
      <c r="AZ884" s="753" t="s">
        <v>622</v>
      </c>
      <c r="BA884" s="754" t="s">
        <v>5775</v>
      </c>
      <c r="BB884" s="754" t="s">
        <v>3372</v>
      </c>
      <c r="BC884" s="754" t="s">
        <v>5776</v>
      </c>
      <c r="BD884" s="754" t="s">
        <v>3372</v>
      </c>
      <c r="BE884" s="754" t="s">
        <v>210</v>
      </c>
      <c r="BF884" s="754" t="s">
        <v>210</v>
      </c>
      <c r="BG884" s="754" t="s">
        <v>210</v>
      </c>
      <c r="BH884" s="754" t="s">
        <v>210</v>
      </c>
      <c r="BI884" s="765">
        <v>0.6</v>
      </c>
      <c r="BJ884" s="683" t="s">
        <v>210</v>
      </c>
      <c r="BK884" s="684"/>
      <c r="BL884" s="681"/>
      <c r="BM884" s="685"/>
      <c r="BN884" s="661" t="s">
        <v>622</v>
      </c>
      <c r="BO884" s="686"/>
      <c r="BP884" s="682" t="s">
        <v>622</v>
      </c>
      <c r="BQ884" s="773" t="s">
        <v>1059</v>
      </c>
      <c r="BR884" s="688" t="s">
        <v>210</v>
      </c>
      <c r="BS884" s="688" t="s">
        <v>622</v>
      </c>
      <c r="BT884" s="688" t="s">
        <v>210</v>
      </c>
      <c r="BU884" s="688" t="s">
        <v>210</v>
      </c>
      <c r="BV884" s="688" t="s">
        <v>210</v>
      </c>
      <c r="BW884" s="678" t="s">
        <v>210</v>
      </c>
      <c r="BX884" s="688"/>
      <c r="BY884" s="774"/>
      <c r="BZ884" s="483"/>
      <c r="CA884" s="483"/>
      <c r="CB884" s="483"/>
      <c r="CC884" s="483"/>
      <c r="CD884" s="484"/>
    </row>
    <row r="885" spans="1:82" ht="22.5" customHeight="1">
      <c r="B885" s="442">
        <v>170171</v>
      </c>
      <c r="C885" s="747" t="s">
        <v>5757</v>
      </c>
      <c r="D885" s="439" t="s">
        <v>4849</v>
      </c>
      <c r="E885" s="404" t="s">
        <v>5361</v>
      </c>
      <c r="F885" s="405" t="s">
        <v>266</v>
      </c>
      <c r="G885" s="324" t="s">
        <v>5758</v>
      </c>
      <c r="H885" s="324" t="s">
        <v>5759</v>
      </c>
      <c r="I885" s="326" t="s">
        <v>383</v>
      </c>
      <c r="J885" s="326" t="s">
        <v>399</v>
      </c>
      <c r="K885" s="326" t="s">
        <v>223</v>
      </c>
      <c r="L885" s="392" t="s">
        <v>210</v>
      </c>
      <c r="M885" s="324" t="s">
        <v>10767</v>
      </c>
      <c r="N885" s="444" t="s">
        <v>5778</v>
      </c>
      <c r="O885" s="324">
        <v>30</v>
      </c>
      <c r="P885" s="458">
        <v>479</v>
      </c>
      <c r="Q885" s="459">
        <v>378</v>
      </c>
      <c r="R885" s="420" t="s">
        <v>5779</v>
      </c>
      <c r="S885" s="400"/>
      <c r="T885" s="400"/>
      <c r="U885" s="400"/>
      <c r="V885" s="400"/>
      <c r="W885" s="416" t="s">
        <v>647</v>
      </c>
      <c r="X885" s="332" t="s">
        <v>12527</v>
      </c>
      <c r="Y885" s="394" t="s">
        <v>11486</v>
      </c>
      <c r="Z885" s="394" t="s">
        <v>11487</v>
      </c>
      <c r="AA885" s="394" t="s">
        <v>11488</v>
      </c>
      <c r="AB885" s="416" t="s">
        <v>647</v>
      </c>
      <c r="AC885" s="416"/>
      <c r="AD885" s="447" t="s">
        <v>294</v>
      </c>
      <c r="AE885" s="335" t="s">
        <v>210</v>
      </c>
      <c r="AF885" s="462">
        <v>42968</v>
      </c>
      <c r="AG885" s="748">
        <v>43006</v>
      </c>
      <c r="AH885" s="417" t="s">
        <v>210</v>
      </c>
      <c r="AI885" s="392" t="s">
        <v>210</v>
      </c>
      <c r="AJ885" s="392" t="s">
        <v>210</v>
      </c>
      <c r="AK885" s="340" t="s">
        <v>210</v>
      </c>
      <c r="AL885" s="417" t="s">
        <v>210</v>
      </c>
      <c r="AM885" s="392" t="s">
        <v>210</v>
      </c>
      <c r="AN885" s="392" t="s">
        <v>210</v>
      </c>
      <c r="AO885" s="341" t="s">
        <v>210</v>
      </c>
      <c r="AP885" s="342" t="s">
        <v>210</v>
      </c>
      <c r="AQ885" s="433" t="s">
        <v>4547</v>
      </c>
      <c r="AR885" s="452">
        <v>483</v>
      </c>
      <c r="AS885" s="324">
        <v>100</v>
      </c>
      <c r="AT885" s="432">
        <v>1</v>
      </c>
      <c r="AU885" s="432" t="s">
        <v>3627</v>
      </c>
      <c r="AV885" s="432">
        <v>1.5</v>
      </c>
      <c r="AW885" s="490" t="s">
        <v>3512</v>
      </c>
      <c r="AX885" s="417" t="s">
        <v>210</v>
      </c>
      <c r="AY885" s="455" t="s">
        <v>210</v>
      </c>
      <c r="AZ885" s="405" t="s">
        <v>622</v>
      </c>
      <c r="BA885" s="324" t="s">
        <v>5760</v>
      </c>
      <c r="BB885" s="324" t="s">
        <v>5761</v>
      </c>
      <c r="BC885" s="324" t="s">
        <v>5762</v>
      </c>
      <c r="BD885" s="324" t="s">
        <v>3512</v>
      </c>
      <c r="BE885" s="324" t="s">
        <v>210</v>
      </c>
      <c r="BF885" s="324" t="s">
        <v>210</v>
      </c>
      <c r="BG885" s="324" t="s">
        <v>5763</v>
      </c>
      <c r="BH885" s="426" t="s">
        <v>3494</v>
      </c>
      <c r="BI885" s="453">
        <v>1.7</v>
      </c>
      <c r="BJ885" s="427" t="s">
        <v>210</v>
      </c>
      <c r="BK885" s="412"/>
      <c r="BL885" s="413"/>
      <c r="BM885" s="414"/>
      <c r="BN885" s="453" t="s">
        <v>5784</v>
      </c>
      <c r="BO885" s="464"/>
      <c r="BP885" s="455" t="s">
        <v>622</v>
      </c>
      <c r="BQ885" s="456" t="s">
        <v>5529</v>
      </c>
      <c r="BR885" s="342" t="s">
        <v>210</v>
      </c>
      <c r="BS885" s="342" t="s">
        <v>622</v>
      </c>
      <c r="BT885" s="342" t="s">
        <v>210</v>
      </c>
      <c r="BU885" s="342" t="s">
        <v>210</v>
      </c>
      <c r="BV885" s="342" t="s">
        <v>210</v>
      </c>
      <c r="BW885" s="341" t="s">
        <v>210</v>
      </c>
      <c r="BX885" s="361"/>
      <c r="BY885" s="457"/>
      <c r="BZ885" s="363"/>
      <c r="CA885" s="363"/>
      <c r="CB885" s="363"/>
      <c r="CC885" s="363"/>
    </row>
    <row r="886" spans="1:82" ht="22.5" customHeight="1">
      <c r="B886" s="442">
        <v>170172</v>
      </c>
      <c r="C886" s="747" t="s">
        <v>5790</v>
      </c>
      <c r="D886" s="439" t="s">
        <v>4847</v>
      </c>
      <c r="E886" s="404" t="s">
        <v>5361</v>
      </c>
      <c r="F886" s="405" t="s">
        <v>226</v>
      </c>
      <c r="G886" s="324" t="s">
        <v>5791</v>
      </c>
      <c r="H886" s="324" t="s">
        <v>5792</v>
      </c>
      <c r="I886" s="326" t="s">
        <v>383</v>
      </c>
      <c r="J886" s="326" t="s">
        <v>399</v>
      </c>
      <c r="K886" s="324" t="s">
        <v>5793</v>
      </c>
      <c r="L886" s="342">
        <v>10</v>
      </c>
      <c r="M886" s="324" t="s">
        <v>10767</v>
      </c>
      <c r="N886" s="444" t="s">
        <v>438</v>
      </c>
      <c r="O886" s="324">
        <v>30</v>
      </c>
      <c r="P886" s="458">
        <v>4290</v>
      </c>
      <c r="Q886" s="459">
        <v>3960</v>
      </c>
      <c r="R886" s="420" t="s">
        <v>5794</v>
      </c>
      <c r="S886" s="394" t="s">
        <v>12518</v>
      </c>
      <c r="T886" s="394" t="s">
        <v>12520</v>
      </c>
      <c r="U886" s="394" t="s">
        <v>12519</v>
      </c>
      <c r="V886" s="394" t="s">
        <v>12521</v>
      </c>
      <c r="W886" s="332" t="s">
        <v>6274</v>
      </c>
      <c r="X886" s="394" t="s">
        <v>12524</v>
      </c>
      <c r="Y886" s="394" t="s">
        <v>12525</v>
      </c>
      <c r="Z886" s="394" t="s">
        <v>16362</v>
      </c>
      <c r="AA886" s="394" t="s">
        <v>12526</v>
      </c>
      <c r="AB886" s="416" t="s">
        <v>12523</v>
      </c>
      <c r="AC886" s="416"/>
      <c r="AD886" s="334" t="s">
        <v>4294</v>
      </c>
      <c r="AE886" s="499" t="s">
        <v>6202</v>
      </c>
      <c r="AF886" s="462">
        <v>42972</v>
      </c>
      <c r="AG886" s="748">
        <v>43070</v>
      </c>
      <c r="AH886" s="417" t="s">
        <v>210</v>
      </c>
      <c r="AI886" s="392" t="s">
        <v>210</v>
      </c>
      <c r="AJ886" s="392" t="s">
        <v>210</v>
      </c>
      <c r="AK886" s="340" t="s">
        <v>210</v>
      </c>
      <c r="AL886" s="417" t="s">
        <v>210</v>
      </c>
      <c r="AM886" s="392" t="s">
        <v>210</v>
      </c>
      <c r="AN886" s="392" t="s">
        <v>210</v>
      </c>
      <c r="AO886" s="341" t="s">
        <v>210</v>
      </c>
      <c r="AP886" s="342" t="s">
        <v>622</v>
      </c>
      <c r="AQ886" s="433" t="s">
        <v>4547</v>
      </c>
      <c r="AR886" s="452">
        <v>5673</v>
      </c>
      <c r="AS886" s="324">
        <v>100</v>
      </c>
      <c r="AT886" s="432">
        <v>1</v>
      </c>
      <c r="AU886" s="432" t="s">
        <v>3627</v>
      </c>
      <c r="AV886" s="432">
        <v>1.5</v>
      </c>
      <c r="AW886" s="490" t="s">
        <v>5058</v>
      </c>
      <c r="AX886" s="417" t="s">
        <v>622</v>
      </c>
      <c r="AY886" s="455" t="s">
        <v>210</v>
      </c>
      <c r="AZ886" s="405" t="s">
        <v>4083</v>
      </c>
      <c r="BA886" s="324" t="s">
        <v>210</v>
      </c>
      <c r="BB886" s="324" t="s">
        <v>210</v>
      </c>
      <c r="BC886" s="324" t="s">
        <v>3555</v>
      </c>
      <c r="BD886" s="324" t="s">
        <v>5058</v>
      </c>
      <c r="BE886" s="324" t="s">
        <v>5798</v>
      </c>
      <c r="BF886" s="324" t="s">
        <v>5058</v>
      </c>
      <c r="BG886" s="324" t="s">
        <v>5799</v>
      </c>
      <c r="BH886" s="426" t="s">
        <v>3512</v>
      </c>
      <c r="BI886" s="453">
        <v>2</v>
      </c>
      <c r="BJ886" s="427" t="s">
        <v>210</v>
      </c>
      <c r="BK886" s="412"/>
      <c r="BL886" s="413"/>
      <c r="BM886" s="414"/>
      <c r="BN886" s="453" t="s">
        <v>622</v>
      </c>
      <c r="BO886" s="464"/>
      <c r="BP886" s="455" t="s">
        <v>622</v>
      </c>
      <c r="BQ886" s="456" t="s">
        <v>247</v>
      </c>
      <c r="BR886" s="342" t="s">
        <v>622</v>
      </c>
      <c r="BS886" s="342" t="s">
        <v>622</v>
      </c>
      <c r="BT886" s="342" t="s">
        <v>210</v>
      </c>
      <c r="BU886" s="342" t="s">
        <v>210</v>
      </c>
      <c r="BV886" s="786" t="s">
        <v>9796</v>
      </c>
      <c r="BW886" s="341" t="s">
        <v>210</v>
      </c>
      <c r="BX886" s="361"/>
      <c r="BY886" s="457"/>
      <c r="BZ886" s="363"/>
      <c r="CA886" s="363"/>
      <c r="CB886" s="363"/>
      <c r="CC886" s="363"/>
    </row>
    <row r="887" spans="1:82" ht="22.5" customHeight="1">
      <c r="B887" s="442">
        <v>170173</v>
      </c>
      <c r="C887" s="443" t="s">
        <v>5809</v>
      </c>
      <c r="D887" s="439" t="s">
        <v>4847</v>
      </c>
      <c r="E887" s="404" t="s">
        <v>5361</v>
      </c>
      <c r="F887" s="405" t="s">
        <v>5810</v>
      </c>
      <c r="G887" s="324" t="s">
        <v>5811</v>
      </c>
      <c r="H887" s="324" t="s">
        <v>5812</v>
      </c>
      <c r="I887" s="326" t="s">
        <v>383</v>
      </c>
      <c r="J887" s="326" t="s">
        <v>399</v>
      </c>
      <c r="K887" s="324" t="s">
        <v>5816</v>
      </c>
      <c r="L887" s="342">
        <v>20</v>
      </c>
      <c r="M887" s="324" t="s">
        <v>10767</v>
      </c>
      <c r="N887" s="444" t="s">
        <v>521</v>
      </c>
      <c r="O887" s="324">
        <v>30</v>
      </c>
      <c r="P887" s="458">
        <v>345</v>
      </c>
      <c r="Q887" s="459">
        <v>360.5</v>
      </c>
      <c r="R887" s="420" t="s">
        <v>5813</v>
      </c>
      <c r="S887" s="394" t="s">
        <v>12515</v>
      </c>
      <c r="T887" s="394" t="s">
        <v>12516</v>
      </c>
      <c r="U887" s="400"/>
      <c r="V887" s="394" t="s">
        <v>12517</v>
      </c>
      <c r="W887" s="332" t="s">
        <v>4586</v>
      </c>
      <c r="X887" s="394" t="s">
        <v>12506</v>
      </c>
      <c r="Y887" s="394" t="s">
        <v>12508</v>
      </c>
      <c r="Z887" s="400"/>
      <c r="AA887" s="394" t="s">
        <v>12507</v>
      </c>
      <c r="AB887" s="416"/>
      <c r="AC887" s="416"/>
      <c r="AD887" s="447" t="s">
        <v>5277</v>
      </c>
      <c r="AE887" s="335" t="s">
        <v>210</v>
      </c>
      <c r="AF887" s="462">
        <v>42975</v>
      </c>
      <c r="AG887" s="748">
        <v>43046</v>
      </c>
      <c r="AH887" s="417" t="s">
        <v>210</v>
      </c>
      <c r="AI887" s="392" t="s">
        <v>210</v>
      </c>
      <c r="AJ887" s="392" t="s">
        <v>210</v>
      </c>
      <c r="AK887" s="340" t="s">
        <v>210</v>
      </c>
      <c r="AL887" s="417" t="s">
        <v>210</v>
      </c>
      <c r="AM887" s="392" t="s">
        <v>210</v>
      </c>
      <c r="AN887" s="392" t="s">
        <v>210</v>
      </c>
      <c r="AO887" s="341" t="s">
        <v>210</v>
      </c>
      <c r="AP887" s="342" t="s">
        <v>210</v>
      </c>
      <c r="AQ887" s="433" t="s">
        <v>4547</v>
      </c>
      <c r="AR887" s="452">
        <v>493</v>
      </c>
      <c r="AS887" s="324">
        <v>80</v>
      </c>
      <c r="AT887" s="432">
        <v>1</v>
      </c>
      <c r="AU887" s="432" t="s">
        <v>5058</v>
      </c>
      <c r="AV887" s="432">
        <v>1.5</v>
      </c>
      <c r="AW887" s="490" t="s">
        <v>5058</v>
      </c>
      <c r="AX887" s="417" t="s">
        <v>210</v>
      </c>
      <c r="AY887" s="455" t="s">
        <v>210</v>
      </c>
      <c r="AZ887" s="405" t="s">
        <v>4083</v>
      </c>
      <c r="BA887" s="324" t="s">
        <v>210</v>
      </c>
      <c r="BB887" s="324" t="s">
        <v>210</v>
      </c>
      <c r="BC887" s="324" t="s">
        <v>210</v>
      </c>
      <c r="BD887" s="324" t="s">
        <v>210</v>
      </c>
      <c r="BE887" s="324" t="s">
        <v>5817</v>
      </c>
      <c r="BF887" s="324" t="s">
        <v>5058</v>
      </c>
      <c r="BG887" s="324" t="s">
        <v>5818</v>
      </c>
      <c r="BH887" s="426" t="s">
        <v>5079</v>
      </c>
      <c r="BI887" s="453">
        <v>2.7</v>
      </c>
      <c r="BJ887" s="427" t="s">
        <v>210</v>
      </c>
      <c r="BK887" s="412"/>
      <c r="BL887" s="413"/>
      <c r="BM887" s="414"/>
      <c r="BN887" s="453" t="s">
        <v>622</v>
      </c>
      <c r="BO887" s="464"/>
      <c r="BP887" s="455" t="s">
        <v>622</v>
      </c>
      <c r="BQ887" s="456" t="s">
        <v>5862</v>
      </c>
      <c r="BR887" s="342" t="s">
        <v>210</v>
      </c>
      <c r="BS887" s="342" t="s">
        <v>622</v>
      </c>
      <c r="BT887" s="342" t="s">
        <v>210</v>
      </c>
      <c r="BU887" s="342" t="s">
        <v>210</v>
      </c>
      <c r="BV887" s="342" t="s">
        <v>210</v>
      </c>
      <c r="BW887" s="341" t="s">
        <v>210</v>
      </c>
      <c r="BX887" s="361"/>
      <c r="BY887" s="457" t="s">
        <v>5861</v>
      </c>
      <c r="BZ887" s="363"/>
      <c r="CA887" s="363"/>
      <c r="CB887" s="363"/>
      <c r="CC887" s="363"/>
    </row>
    <row r="888" spans="1:82" ht="22.5" customHeight="1">
      <c r="B888" s="442">
        <v>170174</v>
      </c>
      <c r="C888" s="747" t="s">
        <v>5407</v>
      </c>
      <c r="D888" s="439" t="s">
        <v>4849</v>
      </c>
      <c r="E888" s="404" t="s">
        <v>5363</v>
      </c>
      <c r="F888" s="405" t="s">
        <v>5455</v>
      </c>
      <c r="G888" s="324" t="s">
        <v>2152</v>
      </c>
      <c r="H888" s="324" t="s">
        <v>5456</v>
      </c>
      <c r="I888" s="324" t="s">
        <v>1066</v>
      </c>
      <c r="J888" s="326" t="s">
        <v>387</v>
      </c>
      <c r="K888" s="326" t="s">
        <v>203</v>
      </c>
      <c r="L888" s="392" t="s">
        <v>210</v>
      </c>
      <c r="M888" s="324" t="s">
        <v>6518</v>
      </c>
      <c r="N888" s="444" t="s">
        <v>5457</v>
      </c>
      <c r="O888" s="324">
        <v>20</v>
      </c>
      <c r="P888" s="458">
        <v>226.37</v>
      </c>
      <c r="Q888" s="459">
        <v>152.84</v>
      </c>
      <c r="R888" s="420" t="s">
        <v>5408</v>
      </c>
      <c r="S888" s="394" t="s">
        <v>11739</v>
      </c>
      <c r="T888" s="394" t="s">
        <v>11741</v>
      </c>
      <c r="U888" s="394" t="s">
        <v>11740</v>
      </c>
      <c r="V888" s="394" t="s">
        <v>11742</v>
      </c>
      <c r="W888" s="332" t="s">
        <v>432</v>
      </c>
      <c r="X888" s="331" t="s">
        <v>11079</v>
      </c>
      <c r="Y888" s="331" t="s">
        <v>11080</v>
      </c>
      <c r="Z888" s="331" t="s">
        <v>11080</v>
      </c>
      <c r="AA888" s="331" t="s">
        <v>6574</v>
      </c>
      <c r="AB888" s="416"/>
      <c r="AC888" s="416"/>
      <c r="AD888" s="334" t="s">
        <v>2333</v>
      </c>
      <c r="AE888" s="335" t="s">
        <v>210</v>
      </c>
      <c r="AF888" s="462">
        <v>42899</v>
      </c>
      <c r="AG888" s="449"/>
      <c r="AH888" s="417" t="s">
        <v>210</v>
      </c>
      <c r="AI888" s="392" t="s">
        <v>210</v>
      </c>
      <c r="AJ888" s="392" t="s">
        <v>210</v>
      </c>
      <c r="AK888" s="340" t="s">
        <v>210</v>
      </c>
      <c r="AL888" s="417" t="s">
        <v>210</v>
      </c>
      <c r="AM888" s="392" t="s">
        <v>622</v>
      </c>
      <c r="AN888" s="392" t="s">
        <v>210</v>
      </c>
      <c r="AO888" s="341" t="s">
        <v>210</v>
      </c>
      <c r="AP888" s="342" t="s">
        <v>210</v>
      </c>
      <c r="AQ888" s="433" t="s">
        <v>4548</v>
      </c>
      <c r="AR888" s="452">
        <v>277</v>
      </c>
      <c r="AS888" s="324">
        <v>200</v>
      </c>
      <c r="AT888" s="432">
        <v>1.4</v>
      </c>
      <c r="AU888" s="432" t="s">
        <v>5458</v>
      </c>
      <c r="AV888" s="432">
        <v>0.6</v>
      </c>
      <c r="AW888" s="490" t="s">
        <v>3574</v>
      </c>
      <c r="AX888" s="417" t="s">
        <v>5788</v>
      </c>
      <c r="AY888" s="455" t="s">
        <v>210</v>
      </c>
      <c r="AZ888" s="405" t="s">
        <v>4083</v>
      </c>
      <c r="BA888" s="324" t="s">
        <v>210</v>
      </c>
      <c r="BB888" s="324" t="s">
        <v>210</v>
      </c>
      <c r="BC888" s="324" t="s">
        <v>210</v>
      </c>
      <c r="BD888" s="324" t="s">
        <v>210</v>
      </c>
      <c r="BE888" s="324" t="s">
        <v>210</v>
      </c>
      <c r="BF888" s="324" t="s">
        <v>210</v>
      </c>
      <c r="BG888" s="324" t="s">
        <v>210</v>
      </c>
      <c r="BH888" s="324" t="s">
        <v>210</v>
      </c>
      <c r="BI888" s="453" t="s">
        <v>4083</v>
      </c>
      <c r="BJ888" s="427" t="s">
        <v>210</v>
      </c>
      <c r="BK888" s="412"/>
      <c r="BL888" s="413"/>
      <c r="BM888" s="414"/>
      <c r="BN888" s="417" t="s">
        <v>210</v>
      </c>
      <c r="BO888" s="372"/>
      <c r="BP888" s="340" t="s">
        <v>210</v>
      </c>
      <c r="BQ888" s="456" t="s">
        <v>1059</v>
      </c>
      <c r="BR888" s="342" t="s">
        <v>210</v>
      </c>
      <c r="BS888" s="342" t="s">
        <v>622</v>
      </c>
      <c r="BT888" s="342" t="s">
        <v>210</v>
      </c>
      <c r="BU888" s="342" t="s">
        <v>210</v>
      </c>
      <c r="BV888" s="342" t="s">
        <v>5789</v>
      </c>
      <c r="BW888" s="341" t="s">
        <v>210</v>
      </c>
      <c r="BX888" s="361"/>
      <c r="BY888" s="457"/>
      <c r="BZ888" s="363"/>
      <c r="CA888" s="363"/>
      <c r="CB888" s="363"/>
      <c r="CC888" s="363"/>
    </row>
    <row r="889" spans="1:82" ht="22.5" customHeight="1">
      <c r="B889" s="442">
        <v>170175</v>
      </c>
      <c r="C889" s="443" t="s">
        <v>5826</v>
      </c>
      <c r="D889" s="439" t="s">
        <v>4849</v>
      </c>
      <c r="E889" s="404" t="s">
        <v>5362</v>
      </c>
      <c r="F889" s="405" t="s">
        <v>5827</v>
      </c>
      <c r="G889" s="324" t="s">
        <v>4005</v>
      </c>
      <c r="H889" s="324" t="s">
        <v>5828</v>
      </c>
      <c r="I889" s="326" t="s">
        <v>383</v>
      </c>
      <c r="J889" s="326" t="s">
        <v>399</v>
      </c>
      <c r="K889" s="326" t="s">
        <v>223</v>
      </c>
      <c r="L889" s="392" t="s">
        <v>210</v>
      </c>
      <c r="M889" s="324" t="s">
        <v>10767</v>
      </c>
      <c r="N889" s="444" t="s">
        <v>468</v>
      </c>
      <c r="O889" s="324">
        <v>40</v>
      </c>
      <c r="P889" s="458">
        <v>1100</v>
      </c>
      <c r="Q889" s="459">
        <v>1196</v>
      </c>
      <c r="R889" s="329" t="s">
        <v>999</v>
      </c>
      <c r="S889" s="394" t="s">
        <v>12514</v>
      </c>
      <c r="T889" s="394" t="s">
        <v>11262</v>
      </c>
      <c r="U889" s="394" t="s">
        <v>16414</v>
      </c>
      <c r="V889" s="394" t="s">
        <v>11263</v>
      </c>
      <c r="W889" s="332" t="s">
        <v>4603</v>
      </c>
      <c r="X889" s="331" t="s">
        <v>12214</v>
      </c>
      <c r="Y889" s="331" t="s">
        <v>11906</v>
      </c>
      <c r="Z889" s="331" t="s">
        <v>12414</v>
      </c>
      <c r="AA889" s="331" t="s">
        <v>12216</v>
      </c>
      <c r="AB889" s="416" t="s">
        <v>513</v>
      </c>
      <c r="AC889" s="416"/>
      <c r="AD889" s="334" t="s">
        <v>2321</v>
      </c>
      <c r="AE889" s="335" t="s">
        <v>210</v>
      </c>
      <c r="AF889" s="462">
        <v>42982</v>
      </c>
      <c r="AG889" s="748">
        <v>43031</v>
      </c>
      <c r="AH889" s="417" t="s">
        <v>210</v>
      </c>
      <c r="AI889" s="392" t="s">
        <v>210</v>
      </c>
      <c r="AJ889" s="392" t="s">
        <v>210</v>
      </c>
      <c r="AK889" s="340" t="s">
        <v>210</v>
      </c>
      <c r="AL889" s="417" t="s">
        <v>210</v>
      </c>
      <c r="AM889" s="392" t="s">
        <v>210</v>
      </c>
      <c r="AN889" s="392" t="s">
        <v>210</v>
      </c>
      <c r="AO889" s="341" t="s">
        <v>210</v>
      </c>
      <c r="AP889" s="342" t="s">
        <v>210</v>
      </c>
      <c r="AQ889" s="433" t="s">
        <v>4547</v>
      </c>
      <c r="AR889" s="452">
        <v>1364</v>
      </c>
      <c r="AS889" s="324">
        <v>80</v>
      </c>
      <c r="AT889" s="432">
        <v>1</v>
      </c>
      <c r="AU889" s="432" t="s">
        <v>5246</v>
      </c>
      <c r="AV889" s="432">
        <v>1.5</v>
      </c>
      <c r="AW889" s="490" t="s">
        <v>5246</v>
      </c>
      <c r="AX889" s="417" t="s">
        <v>210</v>
      </c>
      <c r="AY889" s="455" t="s">
        <v>210</v>
      </c>
      <c r="AZ889" s="405" t="s">
        <v>622</v>
      </c>
      <c r="BA889" s="324" t="s">
        <v>5831</v>
      </c>
      <c r="BB889" s="324" t="s">
        <v>5829</v>
      </c>
      <c r="BC889" s="324" t="s">
        <v>5830</v>
      </c>
      <c r="BD889" s="324" t="s">
        <v>5829</v>
      </c>
      <c r="BE889" s="324" t="s">
        <v>3558</v>
      </c>
      <c r="BF889" s="324" t="s">
        <v>3512</v>
      </c>
      <c r="BG889" s="324" t="s">
        <v>5832</v>
      </c>
      <c r="BH889" s="324" t="s">
        <v>3512</v>
      </c>
      <c r="BI889" s="453">
        <v>1.9</v>
      </c>
      <c r="BJ889" s="427" t="s">
        <v>210</v>
      </c>
      <c r="BK889" s="412"/>
      <c r="BL889" s="413"/>
      <c r="BM889" s="414"/>
      <c r="BN889" s="1909" t="s">
        <v>210</v>
      </c>
      <c r="BO889" s="392" t="s">
        <v>295</v>
      </c>
      <c r="BP889" s="340" t="s">
        <v>210</v>
      </c>
      <c r="BQ889" s="456" t="s">
        <v>5862</v>
      </c>
      <c r="BR889" s="342" t="s">
        <v>210</v>
      </c>
      <c r="BS889" s="342" t="s">
        <v>622</v>
      </c>
      <c r="BT889" s="342" t="s">
        <v>210</v>
      </c>
      <c r="BU889" s="342" t="s">
        <v>210</v>
      </c>
      <c r="BV889" s="342" t="s">
        <v>210</v>
      </c>
      <c r="BW889" s="341" t="s">
        <v>210</v>
      </c>
      <c r="BX889" s="361"/>
      <c r="BY889" s="888" t="s">
        <v>6194</v>
      </c>
      <c r="BZ889" s="889"/>
      <c r="CA889" s="889"/>
      <c r="CB889" s="889"/>
      <c r="CC889" s="889"/>
    </row>
    <row r="890" spans="1:82" ht="22.5" customHeight="1">
      <c r="B890" s="442">
        <v>170176</v>
      </c>
      <c r="C890" s="443" t="s">
        <v>5841</v>
      </c>
      <c r="D890" s="439" t="s">
        <v>4849</v>
      </c>
      <c r="E890" s="404" t="s">
        <v>5362</v>
      </c>
      <c r="F890" s="405" t="s">
        <v>5842</v>
      </c>
      <c r="G890" s="324" t="s">
        <v>5843</v>
      </c>
      <c r="H890" s="324" t="s">
        <v>5844</v>
      </c>
      <c r="I890" s="326" t="s">
        <v>383</v>
      </c>
      <c r="J890" s="326" t="s">
        <v>387</v>
      </c>
      <c r="K890" s="324" t="s">
        <v>247</v>
      </c>
      <c r="L890" s="342">
        <v>5</v>
      </c>
      <c r="M890" s="324" t="s">
        <v>10767</v>
      </c>
      <c r="N890" s="444" t="s">
        <v>521</v>
      </c>
      <c r="O890" s="324">
        <v>30</v>
      </c>
      <c r="P890" s="816">
        <v>600</v>
      </c>
      <c r="Q890" s="817">
        <v>400</v>
      </c>
      <c r="R890" s="420" t="s">
        <v>5848</v>
      </c>
      <c r="S890" s="400"/>
      <c r="T890" s="400"/>
      <c r="U890" s="400"/>
      <c r="V890" s="400"/>
      <c r="W890" s="332" t="s">
        <v>5845</v>
      </c>
      <c r="X890" s="394" t="s">
        <v>12512</v>
      </c>
      <c r="Y890" s="400"/>
      <c r="Z890" s="400"/>
      <c r="AA890" s="394" t="s">
        <v>12513</v>
      </c>
      <c r="AB890" s="416"/>
      <c r="AC890" s="416"/>
      <c r="AD890" s="447" t="s">
        <v>5943</v>
      </c>
      <c r="AE890" s="335" t="s">
        <v>210</v>
      </c>
      <c r="AF890" s="462">
        <v>42983</v>
      </c>
      <c r="AG890" s="748">
        <v>43009</v>
      </c>
      <c r="AH890" s="417" t="s">
        <v>210</v>
      </c>
      <c r="AI890" s="392" t="s">
        <v>210</v>
      </c>
      <c r="AJ890" s="392" t="s">
        <v>210</v>
      </c>
      <c r="AK890" s="340" t="s">
        <v>210</v>
      </c>
      <c r="AL890" s="417" t="s">
        <v>210</v>
      </c>
      <c r="AM890" s="392" t="s">
        <v>210</v>
      </c>
      <c r="AN890" s="392" t="s">
        <v>210</v>
      </c>
      <c r="AO890" s="341" t="s">
        <v>210</v>
      </c>
      <c r="AP890" s="342" t="s">
        <v>210</v>
      </c>
      <c r="AQ890" s="433" t="s">
        <v>4547</v>
      </c>
      <c r="AR890" s="452">
        <v>705</v>
      </c>
      <c r="AS890" s="324">
        <v>150</v>
      </c>
      <c r="AT890" s="432">
        <v>1</v>
      </c>
      <c r="AU890" s="432" t="s">
        <v>5246</v>
      </c>
      <c r="AV890" s="432">
        <v>1.5</v>
      </c>
      <c r="AW890" s="490" t="s">
        <v>3372</v>
      </c>
      <c r="AX890" s="417" t="s">
        <v>210</v>
      </c>
      <c r="AY890" s="455" t="s">
        <v>210</v>
      </c>
      <c r="AZ890" s="405" t="s">
        <v>4083</v>
      </c>
      <c r="BA890" s="324" t="s">
        <v>210</v>
      </c>
      <c r="BB890" s="324" t="s">
        <v>210</v>
      </c>
      <c r="BC890" s="324" t="s">
        <v>5851</v>
      </c>
      <c r="BD890" s="324" t="s">
        <v>3372</v>
      </c>
      <c r="BE890" s="324" t="s">
        <v>5852</v>
      </c>
      <c r="BF890" s="324" t="s">
        <v>3372</v>
      </c>
      <c r="BG890" s="324" t="s">
        <v>5853</v>
      </c>
      <c r="BH890" s="324" t="s">
        <v>3372</v>
      </c>
      <c r="BI890" s="453">
        <v>1.8</v>
      </c>
      <c r="BJ890" s="427" t="s">
        <v>210</v>
      </c>
      <c r="BK890" s="412"/>
      <c r="BL890" s="413"/>
      <c r="BM890" s="414"/>
      <c r="BN890" s="453" t="s">
        <v>622</v>
      </c>
      <c r="BO890" s="464"/>
      <c r="BP890" s="455" t="s">
        <v>622</v>
      </c>
      <c r="BQ890" s="456" t="s">
        <v>5864</v>
      </c>
      <c r="BR890" s="342" t="s">
        <v>210</v>
      </c>
      <c r="BS890" s="342" t="s">
        <v>622</v>
      </c>
      <c r="BT890" s="342" t="s">
        <v>210</v>
      </c>
      <c r="BU890" s="342" t="s">
        <v>210</v>
      </c>
      <c r="BV890" s="342" t="s">
        <v>210</v>
      </c>
      <c r="BW890" s="341" t="s">
        <v>210</v>
      </c>
      <c r="BX890" s="361"/>
      <c r="BY890" s="457" t="s">
        <v>5854</v>
      </c>
      <c r="BZ890" s="363"/>
      <c r="CA890" s="363"/>
      <c r="CB890" s="363"/>
      <c r="CC890" s="363"/>
    </row>
    <row r="891" spans="1:82" ht="22.5" customHeight="1">
      <c r="B891" s="442">
        <v>170177</v>
      </c>
      <c r="C891" s="443" t="s">
        <v>5855</v>
      </c>
      <c r="D891" s="439" t="s">
        <v>4849</v>
      </c>
      <c r="E891" s="404" t="s">
        <v>5361</v>
      </c>
      <c r="F891" s="405" t="s">
        <v>229</v>
      </c>
      <c r="G891" s="324" t="s">
        <v>5856</v>
      </c>
      <c r="H891" s="324" t="s">
        <v>5857</v>
      </c>
      <c r="I891" s="326" t="s">
        <v>383</v>
      </c>
      <c r="J891" s="326" t="s">
        <v>399</v>
      </c>
      <c r="K891" s="324" t="s">
        <v>247</v>
      </c>
      <c r="L891" s="342">
        <v>2</v>
      </c>
      <c r="M891" s="324" t="s">
        <v>10767</v>
      </c>
      <c r="N891" s="444" t="s">
        <v>437</v>
      </c>
      <c r="O891" s="324">
        <v>20</v>
      </c>
      <c r="P891" s="458">
        <v>192</v>
      </c>
      <c r="Q891" s="459">
        <v>192</v>
      </c>
      <c r="R891" s="420" t="s">
        <v>6385</v>
      </c>
      <c r="S891" s="394" t="s">
        <v>12509</v>
      </c>
      <c r="T891" s="394" t="s">
        <v>12510</v>
      </c>
      <c r="U891" s="400"/>
      <c r="V891" s="394" t="s">
        <v>12511</v>
      </c>
      <c r="W891" s="460" t="s">
        <v>5865</v>
      </c>
      <c r="X891" s="400"/>
      <c r="Y891" s="400"/>
      <c r="Z891" s="400"/>
      <c r="AA891" s="400"/>
      <c r="AB891" s="416"/>
      <c r="AC891" s="416"/>
      <c r="AD891" s="447" t="s">
        <v>6219</v>
      </c>
      <c r="AE891" s="335" t="s">
        <v>210</v>
      </c>
      <c r="AF891" s="462">
        <v>42983</v>
      </c>
      <c r="AG891" s="748">
        <v>43047</v>
      </c>
      <c r="AH891" s="417" t="s">
        <v>210</v>
      </c>
      <c r="AI891" s="392" t="s">
        <v>210</v>
      </c>
      <c r="AJ891" s="392" t="s">
        <v>210</v>
      </c>
      <c r="AK891" s="340" t="s">
        <v>210</v>
      </c>
      <c r="AL891" s="417" t="s">
        <v>210</v>
      </c>
      <c r="AM891" s="392" t="s">
        <v>210</v>
      </c>
      <c r="AN891" s="392" t="s">
        <v>210</v>
      </c>
      <c r="AO891" s="341" t="s">
        <v>210</v>
      </c>
      <c r="AP891" s="342" t="s">
        <v>210</v>
      </c>
      <c r="AQ891" s="433" t="s">
        <v>4547</v>
      </c>
      <c r="AR891" s="452">
        <v>230.7</v>
      </c>
      <c r="AS891" s="324">
        <v>80</v>
      </c>
      <c r="AT891" s="432">
        <v>1</v>
      </c>
      <c r="AU891" s="432" t="s">
        <v>5246</v>
      </c>
      <c r="AV891" s="432">
        <v>1.5</v>
      </c>
      <c r="AW891" s="490" t="s">
        <v>5077</v>
      </c>
      <c r="AX891" s="417" t="s">
        <v>210</v>
      </c>
      <c r="AY891" s="455" t="s">
        <v>210</v>
      </c>
      <c r="AZ891" s="405" t="s">
        <v>622</v>
      </c>
      <c r="BA891" s="324" t="s">
        <v>5858</v>
      </c>
      <c r="BB891" s="324" t="s">
        <v>3372</v>
      </c>
      <c r="BC891" s="324" t="s">
        <v>5859</v>
      </c>
      <c r="BD891" s="324" t="s">
        <v>5058</v>
      </c>
      <c r="BE891" s="324" t="s">
        <v>210</v>
      </c>
      <c r="BF891" s="324" t="s">
        <v>210</v>
      </c>
      <c r="BG891" s="324" t="s">
        <v>5860</v>
      </c>
      <c r="BH891" s="426" t="s">
        <v>5079</v>
      </c>
      <c r="BI891" s="453">
        <v>1.3</v>
      </c>
      <c r="BJ891" s="427" t="s">
        <v>9793</v>
      </c>
      <c r="BK891" s="412"/>
      <c r="BL891" s="413"/>
      <c r="BM891" s="414"/>
      <c r="BN891" s="453" t="s">
        <v>622</v>
      </c>
      <c r="BO891" s="464"/>
      <c r="BP891" s="455" t="s">
        <v>622</v>
      </c>
      <c r="BQ891" s="456" t="s">
        <v>5882</v>
      </c>
      <c r="BR891" s="342" t="s">
        <v>210</v>
      </c>
      <c r="BS891" s="342" t="s">
        <v>622</v>
      </c>
      <c r="BT891" s="342" t="s">
        <v>210</v>
      </c>
      <c r="BU891" s="342" t="s">
        <v>210</v>
      </c>
      <c r="BV891" s="342" t="s">
        <v>210</v>
      </c>
      <c r="BW891" s="341" t="s">
        <v>210</v>
      </c>
      <c r="BX891" s="361"/>
      <c r="BY891" s="457" t="s">
        <v>5866</v>
      </c>
      <c r="BZ891" s="363"/>
      <c r="CA891" s="363"/>
      <c r="CB891" s="363"/>
      <c r="CC891" s="363"/>
    </row>
    <row r="892" spans="1:82" ht="22.5" customHeight="1">
      <c r="B892" s="442">
        <v>170180</v>
      </c>
      <c r="C892" s="443" t="s">
        <v>5876</v>
      </c>
      <c r="D892" s="439" t="s">
        <v>4849</v>
      </c>
      <c r="E892" s="404" t="s">
        <v>5361</v>
      </c>
      <c r="F892" s="405" t="s">
        <v>5869</v>
      </c>
      <c r="G892" s="324" t="s">
        <v>5870</v>
      </c>
      <c r="H892" s="324" t="s">
        <v>5871</v>
      </c>
      <c r="I892" s="326" t="s">
        <v>383</v>
      </c>
      <c r="J892" s="326" t="s">
        <v>399</v>
      </c>
      <c r="K892" s="324" t="s">
        <v>5872</v>
      </c>
      <c r="L892" s="392" t="s">
        <v>210</v>
      </c>
      <c r="M892" s="324" t="s">
        <v>10767</v>
      </c>
      <c r="N892" s="444" t="s">
        <v>438</v>
      </c>
      <c r="O892" s="324" t="s">
        <v>210</v>
      </c>
      <c r="P892" s="458">
        <v>144.27000000000001</v>
      </c>
      <c r="Q892" s="459">
        <v>154.52000000000001</v>
      </c>
      <c r="R892" s="420" t="s">
        <v>5873</v>
      </c>
      <c r="S892" s="400"/>
      <c r="T892" s="400"/>
      <c r="U892" s="400"/>
      <c r="V892" s="400"/>
      <c r="W892" s="332" t="s">
        <v>4586</v>
      </c>
      <c r="X892" s="394" t="s">
        <v>12506</v>
      </c>
      <c r="Y892" s="394" t="s">
        <v>12508</v>
      </c>
      <c r="Z892" s="400"/>
      <c r="AA892" s="394" t="s">
        <v>12507</v>
      </c>
      <c r="AB892" s="416"/>
      <c r="AC892" s="416"/>
      <c r="AD892" s="334" t="s">
        <v>210</v>
      </c>
      <c r="AE892" s="335" t="s">
        <v>210</v>
      </c>
      <c r="AF892" s="462">
        <v>42989</v>
      </c>
      <c r="AG892" s="748">
        <v>43010</v>
      </c>
      <c r="AH892" s="417" t="s">
        <v>210</v>
      </c>
      <c r="AI892" s="392" t="s">
        <v>210</v>
      </c>
      <c r="AJ892" s="392" t="s">
        <v>210</v>
      </c>
      <c r="AK892" s="340" t="s">
        <v>210</v>
      </c>
      <c r="AL892" s="417" t="s">
        <v>210</v>
      </c>
      <c r="AM892" s="392" t="s">
        <v>210</v>
      </c>
      <c r="AN892" s="392" t="s">
        <v>210</v>
      </c>
      <c r="AO892" s="341" t="s">
        <v>210</v>
      </c>
      <c r="AP892" s="342" t="s">
        <v>210</v>
      </c>
      <c r="AQ892" s="433" t="s">
        <v>4547</v>
      </c>
      <c r="AR892" s="452">
        <v>264</v>
      </c>
      <c r="AS892" s="324">
        <v>120</v>
      </c>
      <c r="AT892" s="432">
        <v>1</v>
      </c>
      <c r="AU892" s="432" t="s">
        <v>3372</v>
      </c>
      <c r="AV892" s="432">
        <v>1.5</v>
      </c>
      <c r="AW892" s="490" t="s">
        <v>3372</v>
      </c>
      <c r="AX892" s="417" t="s">
        <v>210</v>
      </c>
      <c r="AY892" s="455" t="s">
        <v>210</v>
      </c>
      <c r="AZ892" s="405" t="s">
        <v>622</v>
      </c>
      <c r="BA892" s="324" t="s">
        <v>5874</v>
      </c>
      <c r="BB892" s="324" t="s">
        <v>3372</v>
      </c>
      <c r="BC892" s="324" t="s">
        <v>210</v>
      </c>
      <c r="BD892" s="324" t="s">
        <v>210</v>
      </c>
      <c r="BE892" s="324" t="s">
        <v>3555</v>
      </c>
      <c r="BF892" s="324" t="s">
        <v>4813</v>
      </c>
      <c r="BG892" s="324" t="s">
        <v>5875</v>
      </c>
      <c r="BH892" s="324" t="s">
        <v>4813</v>
      </c>
      <c r="BI892" s="453">
        <v>0.2</v>
      </c>
      <c r="BJ892" s="427" t="s">
        <v>9793</v>
      </c>
      <c r="BK892" s="412"/>
      <c r="BL892" s="413"/>
      <c r="BM892" s="414"/>
      <c r="BN892" s="453" t="s">
        <v>622</v>
      </c>
      <c r="BO892" s="464"/>
      <c r="BP892" s="455" t="s">
        <v>622</v>
      </c>
      <c r="BQ892" s="456" t="s">
        <v>5914</v>
      </c>
      <c r="BR892" s="342" t="s">
        <v>210</v>
      </c>
      <c r="BS892" s="342" t="s">
        <v>622</v>
      </c>
      <c r="BT892" s="342" t="s">
        <v>210</v>
      </c>
      <c r="BU892" s="342" t="s">
        <v>210</v>
      </c>
      <c r="BV892" s="342" t="s">
        <v>210</v>
      </c>
      <c r="BW892" s="341" t="s">
        <v>210</v>
      </c>
      <c r="BX892" s="361"/>
      <c r="BY892" s="457"/>
      <c r="BZ892" s="363"/>
      <c r="CA892" s="363"/>
      <c r="CB892" s="363"/>
      <c r="CC892" s="363"/>
    </row>
    <row r="893" spans="1:82" ht="22.5" customHeight="1">
      <c r="B893" s="442">
        <v>170181</v>
      </c>
      <c r="C893" s="443" t="s">
        <v>5877</v>
      </c>
      <c r="D893" s="439" t="s">
        <v>4849</v>
      </c>
      <c r="E893" s="404" t="s">
        <v>5362</v>
      </c>
      <c r="F893" s="405" t="s">
        <v>5878</v>
      </c>
      <c r="G893" s="324" t="s">
        <v>5879</v>
      </c>
      <c r="H893" s="324" t="s">
        <v>5981</v>
      </c>
      <c r="I893" s="326" t="s">
        <v>383</v>
      </c>
      <c r="J893" s="326" t="s">
        <v>399</v>
      </c>
      <c r="K893" s="324" t="s">
        <v>977</v>
      </c>
      <c r="L893" s="342">
        <v>20</v>
      </c>
      <c r="M893" s="324" t="s">
        <v>10767</v>
      </c>
      <c r="N893" s="444" t="s">
        <v>438</v>
      </c>
      <c r="O893" s="324">
        <v>130</v>
      </c>
      <c r="P893" s="458">
        <v>1756.6</v>
      </c>
      <c r="Q893" s="459">
        <v>1564.6</v>
      </c>
      <c r="R893" s="420" t="s">
        <v>6384</v>
      </c>
      <c r="S893" s="394" t="s">
        <v>12504</v>
      </c>
      <c r="T893" s="394" t="s">
        <v>12503</v>
      </c>
      <c r="U893" s="394" t="s">
        <v>16406</v>
      </c>
      <c r="V893" s="394" t="s">
        <v>12505</v>
      </c>
      <c r="W893" s="332" t="s">
        <v>592</v>
      </c>
      <c r="X893" s="394" t="s">
        <v>12237</v>
      </c>
      <c r="Y893" s="394" t="s">
        <v>11508</v>
      </c>
      <c r="Z893" s="394" t="s">
        <v>11507</v>
      </c>
      <c r="AA893" s="394" t="s">
        <v>12239</v>
      </c>
      <c r="AB893" s="416"/>
      <c r="AC893" s="416"/>
      <c r="AD893" s="447" t="s">
        <v>6260</v>
      </c>
      <c r="AE893" s="845"/>
      <c r="AF893" s="462">
        <v>42990</v>
      </c>
      <c r="AG893" s="748">
        <v>43052</v>
      </c>
      <c r="AH893" s="417" t="s">
        <v>210</v>
      </c>
      <c r="AI893" s="392" t="s">
        <v>210</v>
      </c>
      <c r="AJ893" s="392" t="s">
        <v>210</v>
      </c>
      <c r="AK893" s="340" t="s">
        <v>210</v>
      </c>
      <c r="AL893" s="417" t="s">
        <v>210</v>
      </c>
      <c r="AM893" s="392" t="s">
        <v>210</v>
      </c>
      <c r="AN893" s="392" t="s">
        <v>622</v>
      </c>
      <c r="AO893" s="341" t="s">
        <v>210</v>
      </c>
      <c r="AP893" s="342" t="s">
        <v>210</v>
      </c>
      <c r="AQ893" s="433" t="s">
        <v>5382</v>
      </c>
      <c r="AR893" s="452">
        <v>1899</v>
      </c>
      <c r="AS893" s="324">
        <v>100</v>
      </c>
      <c r="AT893" s="432">
        <v>1</v>
      </c>
      <c r="AU893" s="432" t="s">
        <v>3382</v>
      </c>
      <c r="AV893" s="432">
        <v>1.5</v>
      </c>
      <c r="AW893" s="490" t="s">
        <v>3382</v>
      </c>
      <c r="AX893" s="417" t="s">
        <v>210</v>
      </c>
      <c r="AY893" s="455" t="s">
        <v>210</v>
      </c>
      <c r="AZ893" s="405" t="s">
        <v>622</v>
      </c>
      <c r="BA893" s="324" t="s">
        <v>3557</v>
      </c>
      <c r="BB893" s="324" t="s">
        <v>3382</v>
      </c>
      <c r="BC893" s="324" t="s">
        <v>3616</v>
      </c>
      <c r="BD893" s="324" t="s">
        <v>3382</v>
      </c>
      <c r="BE893" s="324" t="s">
        <v>5881</v>
      </c>
      <c r="BF893" s="324" t="s">
        <v>3382</v>
      </c>
      <c r="BG893" s="324" t="s">
        <v>210</v>
      </c>
      <c r="BH893" s="324" t="s">
        <v>210</v>
      </c>
      <c r="BI893" s="453">
        <v>0.8</v>
      </c>
      <c r="BJ893" s="427" t="s">
        <v>9793</v>
      </c>
      <c r="BK893" s="412"/>
      <c r="BL893" s="413"/>
      <c r="BM893" s="414"/>
      <c r="BN893" s="417" t="s">
        <v>210</v>
      </c>
      <c r="BO893" s="464"/>
      <c r="BP893" s="455" t="s">
        <v>622</v>
      </c>
      <c r="BQ893" s="456" t="s">
        <v>5927</v>
      </c>
      <c r="BR893" s="342" t="s">
        <v>210</v>
      </c>
      <c r="BS893" s="342" t="s">
        <v>622</v>
      </c>
      <c r="BT893" s="342" t="s">
        <v>210</v>
      </c>
      <c r="BU893" s="342" t="s">
        <v>210</v>
      </c>
      <c r="BV893" s="342" t="s">
        <v>210</v>
      </c>
      <c r="BW893" s="341" t="s">
        <v>210</v>
      </c>
      <c r="BX893" s="361"/>
      <c r="BY893" s="457"/>
      <c r="BZ893" s="363"/>
      <c r="CA893" s="363"/>
      <c r="CB893" s="363"/>
      <c r="CC893" s="363"/>
    </row>
    <row r="894" spans="1:82" ht="22.5" customHeight="1">
      <c r="B894" s="442">
        <v>170182</v>
      </c>
      <c r="C894" s="443" t="s">
        <v>5889</v>
      </c>
      <c r="D894" s="439" t="s">
        <v>4849</v>
      </c>
      <c r="E894" s="404" t="s">
        <v>5362</v>
      </c>
      <c r="F894" s="405" t="s">
        <v>5962</v>
      </c>
      <c r="G894" s="324" t="s">
        <v>5963</v>
      </c>
      <c r="H894" s="324" t="s">
        <v>5964</v>
      </c>
      <c r="I894" s="326" t="s">
        <v>383</v>
      </c>
      <c r="J894" s="326" t="s">
        <v>399</v>
      </c>
      <c r="K894" s="326" t="s">
        <v>917</v>
      </c>
      <c r="L894" s="392" t="s">
        <v>210</v>
      </c>
      <c r="M894" s="324" t="s">
        <v>10767</v>
      </c>
      <c r="N894" s="444" t="s">
        <v>438</v>
      </c>
      <c r="O894" s="324">
        <v>200</v>
      </c>
      <c r="P894" s="816">
        <v>3000</v>
      </c>
      <c r="Q894" s="817">
        <v>3000</v>
      </c>
      <c r="R894" s="420" t="s">
        <v>3827</v>
      </c>
      <c r="S894" s="400"/>
      <c r="T894" s="400"/>
      <c r="U894" s="400"/>
      <c r="V894" s="400"/>
      <c r="W894" s="460" t="s">
        <v>4838</v>
      </c>
      <c r="X894" s="394" t="s">
        <v>12500</v>
      </c>
      <c r="Y894" s="394" t="s">
        <v>12501</v>
      </c>
      <c r="Z894" s="394" t="s">
        <v>16476</v>
      </c>
      <c r="AA894" s="394" t="s">
        <v>12502</v>
      </c>
      <c r="AB894" s="416"/>
      <c r="AC894" s="416"/>
      <c r="AD894" s="447" t="s">
        <v>3094</v>
      </c>
      <c r="AE894" s="499" t="s">
        <v>6136</v>
      </c>
      <c r="AF894" s="462">
        <v>42991</v>
      </c>
      <c r="AG894" s="748">
        <v>43150</v>
      </c>
      <c r="AH894" s="417" t="s">
        <v>210</v>
      </c>
      <c r="AI894" s="392" t="s">
        <v>210</v>
      </c>
      <c r="AJ894" s="392" t="s">
        <v>210</v>
      </c>
      <c r="AK894" s="340" t="s">
        <v>210</v>
      </c>
      <c r="AL894" s="417" t="s">
        <v>210</v>
      </c>
      <c r="AM894" s="392" t="s">
        <v>210</v>
      </c>
      <c r="AN894" s="392" t="s">
        <v>210</v>
      </c>
      <c r="AO894" s="341" t="s">
        <v>210</v>
      </c>
      <c r="AP894" s="418" t="s">
        <v>622</v>
      </c>
      <c r="AQ894" s="433" t="s">
        <v>4547</v>
      </c>
      <c r="AR894" s="452">
        <v>4078</v>
      </c>
      <c r="AS894" s="324">
        <v>100</v>
      </c>
      <c r="AT894" s="432">
        <v>1.4</v>
      </c>
      <c r="AU894" s="432" t="s">
        <v>3372</v>
      </c>
      <c r="AV894" s="432">
        <v>0.8</v>
      </c>
      <c r="AW894" s="490" t="s">
        <v>3372</v>
      </c>
      <c r="AX894" s="417" t="s">
        <v>210</v>
      </c>
      <c r="AY894" s="429" t="s">
        <v>5965</v>
      </c>
      <c r="AZ894" s="405" t="s">
        <v>4083</v>
      </c>
      <c r="BA894" s="324" t="s">
        <v>210</v>
      </c>
      <c r="BB894" s="324" t="s">
        <v>210</v>
      </c>
      <c r="BC894" s="324" t="s">
        <v>210</v>
      </c>
      <c r="BD894" s="324" t="s">
        <v>210</v>
      </c>
      <c r="BE894" s="324" t="s">
        <v>5966</v>
      </c>
      <c r="BF894" s="324" t="s">
        <v>5967</v>
      </c>
      <c r="BG894" s="324" t="s">
        <v>210</v>
      </c>
      <c r="BH894" s="324" t="s">
        <v>210</v>
      </c>
      <c r="BI894" s="453">
        <v>2</v>
      </c>
      <c r="BJ894" s="427" t="s">
        <v>9704</v>
      </c>
      <c r="BK894" s="412"/>
      <c r="BL894" s="413"/>
      <c r="BM894" s="414"/>
      <c r="BN894" s="410"/>
      <c r="BO894" s="502"/>
      <c r="BP894" s="492"/>
      <c r="BQ894" s="456" t="s">
        <v>5927</v>
      </c>
      <c r="BR894" s="342" t="s">
        <v>210</v>
      </c>
      <c r="BS894" s="342" t="s">
        <v>622</v>
      </c>
      <c r="BT894" s="342" t="s">
        <v>210</v>
      </c>
      <c r="BU894" s="342" t="s">
        <v>210</v>
      </c>
      <c r="BV894" s="342" t="s">
        <v>210</v>
      </c>
      <c r="BW894" s="341" t="s">
        <v>210</v>
      </c>
      <c r="BX894" s="361"/>
      <c r="BY894" s="457" t="s">
        <v>6074</v>
      </c>
      <c r="BZ894" s="363"/>
      <c r="CA894" s="363"/>
      <c r="CB894" s="363"/>
      <c r="CC894" s="363"/>
    </row>
    <row r="895" spans="1:82" ht="22.5" customHeight="1">
      <c r="B895" s="442">
        <v>180183</v>
      </c>
      <c r="C895" s="443" t="s">
        <v>5890</v>
      </c>
      <c r="D895" s="439" t="s">
        <v>4849</v>
      </c>
      <c r="E895" s="404" t="s">
        <v>5362</v>
      </c>
      <c r="F895" s="405" t="s">
        <v>5891</v>
      </c>
      <c r="G895" s="324" t="s">
        <v>5892</v>
      </c>
      <c r="H895" s="324" t="s">
        <v>5893</v>
      </c>
      <c r="I895" s="324" t="s">
        <v>5895</v>
      </c>
      <c r="J895" s="324" t="s">
        <v>5895</v>
      </c>
      <c r="K895" s="324" t="s">
        <v>5894</v>
      </c>
      <c r="L895" s="342">
        <v>25</v>
      </c>
      <c r="M895" s="890"/>
      <c r="N895" s="444" t="s">
        <v>210</v>
      </c>
      <c r="O895" s="324" t="s">
        <v>210</v>
      </c>
      <c r="P895" s="458">
        <f>23.5*13</f>
        <v>305.5</v>
      </c>
      <c r="Q895" s="459">
        <f>P895</f>
        <v>305.5</v>
      </c>
      <c r="R895" s="420" t="s">
        <v>5896</v>
      </c>
      <c r="S895" s="394" t="s">
        <v>12498</v>
      </c>
      <c r="T895" s="400"/>
      <c r="U895" s="400"/>
      <c r="V895" s="394" t="s">
        <v>12499</v>
      </c>
      <c r="W895" s="460" t="s">
        <v>5898</v>
      </c>
      <c r="X895" s="394" t="s">
        <v>12498</v>
      </c>
      <c r="Y895" s="400"/>
      <c r="Z895" s="400"/>
      <c r="AA895" s="394" t="s">
        <v>12499</v>
      </c>
      <c r="AB895" s="416"/>
      <c r="AC895" s="416"/>
      <c r="AD895" s="334" t="s">
        <v>210</v>
      </c>
      <c r="AE895" s="335" t="s">
        <v>210</v>
      </c>
      <c r="AF895" s="462">
        <v>42991</v>
      </c>
      <c r="AG895" s="748">
        <v>43003</v>
      </c>
      <c r="AH895" s="417" t="s">
        <v>210</v>
      </c>
      <c r="AI895" s="392" t="s">
        <v>210</v>
      </c>
      <c r="AJ895" s="392" t="s">
        <v>210</v>
      </c>
      <c r="AK895" s="340" t="s">
        <v>210</v>
      </c>
      <c r="AL895" s="417" t="s">
        <v>210</v>
      </c>
      <c r="AM895" s="392" t="s">
        <v>210</v>
      </c>
      <c r="AN895" s="392" t="s">
        <v>210</v>
      </c>
      <c r="AO895" s="341" t="s">
        <v>210</v>
      </c>
      <c r="AP895" s="342" t="s">
        <v>210</v>
      </c>
      <c r="AQ895" s="433" t="s">
        <v>5900</v>
      </c>
      <c r="AR895" s="452">
        <v>383</v>
      </c>
      <c r="AS895" s="324">
        <v>50</v>
      </c>
      <c r="AT895" s="432">
        <v>1.2</v>
      </c>
      <c r="AU895" s="432" t="s">
        <v>5926</v>
      </c>
      <c r="AV895" s="432">
        <v>1.2</v>
      </c>
      <c r="AW895" s="490" t="s">
        <v>5926</v>
      </c>
      <c r="AX895" s="417" t="s">
        <v>210</v>
      </c>
      <c r="AY895" s="455" t="s">
        <v>210</v>
      </c>
      <c r="AZ895" s="405" t="s">
        <v>4083</v>
      </c>
      <c r="BA895" s="324" t="s">
        <v>210</v>
      </c>
      <c r="BB895" s="324" t="s">
        <v>210</v>
      </c>
      <c r="BC895" s="324" t="s">
        <v>5901</v>
      </c>
      <c r="BD895" s="324" t="s">
        <v>5902</v>
      </c>
      <c r="BE895" s="324" t="s">
        <v>5903</v>
      </c>
      <c r="BF895" s="324" t="s">
        <v>3382</v>
      </c>
      <c r="BG895" s="324" t="s">
        <v>5904</v>
      </c>
      <c r="BH895" s="426" t="s">
        <v>5905</v>
      </c>
      <c r="BI895" s="453">
        <v>3</v>
      </c>
      <c r="BJ895" s="427" t="s">
        <v>9704</v>
      </c>
      <c r="BK895" s="412"/>
      <c r="BL895" s="413"/>
      <c r="BM895" s="414"/>
      <c r="BN895" s="410"/>
      <c r="BO895" s="502"/>
      <c r="BP895" s="492"/>
      <c r="BQ895" s="456" t="s">
        <v>5927</v>
      </c>
      <c r="BR895" s="342" t="s">
        <v>210</v>
      </c>
      <c r="BS895" s="342" t="s">
        <v>210</v>
      </c>
      <c r="BT895" s="342" t="s">
        <v>210</v>
      </c>
      <c r="BU895" s="342" t="s">
        <v>210</v>
      </c>
      <c r="BV895" s="342" t="s">
        <v>210</v>
      </c>
      <c r="BW895" s="341" t="s">
        <v>210</v>
      </c>
      <c r="BX895" s="361"/>
      <c r="BY895" s="457"/>
      <c r="BZ895" s="363"/>
      <c r="CA895" s="363"/>
      <c r="CB895" s="363"/>
      <c r="CC895" s="363"/>
    </row>
    <row r="896" spans="1:82" ht="22.5" customHeight="1">
      <c r="B896" s="442">
        <v>170184</v>
      </c>
      <c r="C896" s="443" t="s">
        <v>5907</v>
      </c>
      <c r="D896" s="439" t="s">
        <v>4849</v>
      </c>
      <c r="E896" s="404" t="s">
        <v>5362</v>
      </c>
      <c r="F896" s="405" t="s">
        <v>1043</v>
      </c>
      <c r="G896" s="324" t="s">
        <v>5908</v>
      </c>
      <c r="H896" s="324" t="s">
        <v>5909</v>
      </c>
      <c r="I896" s="326" t="s">
        <v>383</v>
      </c>
      <c r="J896" s="326" t="s">
        <v>399</v>
      </c>
      <c r="K896" s="324" t="s">
        <v>977</v>
      </c>
      <c r="L896" s="778"/>
      <c r="M896" s="324" t="s">
        <v>10767</v>
      </c>
      <c r="N896" s="444" t="s">
        <v>438</v>
      </c>
      <c r="O896" s="324">
        <v>140</v>
      </c>
      <c r="P896" s="458">
        <v>10373.6</v>
      </c>
      <c r="Q896" s="459">
        <v>10504</v>
      </c>
      <c r="R896" s="420" t="s">
        <v>5910</v>
      </c>
      <c r="S896" s="394" t="s">
        <v>12495</v>
      </c>
      <c r="T896" s="394" t="s">
        <v>12496</v>
      </c>
      <c r="U896" s="394" t="s">
        <v>16306</v>
      </c>
      <c r="V896" s="394" t="s">
        <v>12497</v>
      </c>
      <c r="W896" s="332" t="s">
        <v>644</v>
      </c>
      <c r="X896" s="394" t="s">
        <v>12002</v>
      </c>
      <c r="Y896" s="394" t="s">
        <v>11201</v>
      </c>
      <c r="Z896" s="394" t="s">
        <v>11200</v>
      </c>
      <c r="AA896" s="394" t="s">
        <v>12005</v>
      </c>
      <c r="AB896" s="416"/>
      <c r="AC896" s="416"/>
      <c r="AD896" s="334" t="s">
        <v>3569</v>
      </c>
      <c r="AE896" s="499" t="s">
        <v>231</v>
      </c>
      <c r="AF896" s="462">
        <v>42992</v>
      </c>
      <c r="AG896" s="748">
        <v>43075</v>
      </c>
      <c r="AH896" s="417" t="s">
        <v>210</v>
      </c>
      <c r="AI896" s="392" t="s">
        <v>210</v>
      </c>
      <c r="AJ896" s="392" t="s">
        <v>210</v>
      </c>
      <c r="AK896" s="340" t="s">
        <v>210</v>
      </c>
      <c r="AL896" s="417" t="s">
        <v>210</v>
      </c>
      <c r="AM896" s="392" t="s">
        <v>210</v>
      </c>
      <c r="AN896" s="392" t="s">
        <v>210</v>
      </c>
      <c r="AO896" s="341" t="s">
        <v>210</v>
      </c>
      <c r="AP896" s="418" t="s">
        <v>622</v>
      </c>
      <c r="AQ896" s="433" t="s">
        <v>4547</v>
      </c>
      <c r="AR896" s="452">
        <v>12793</v>
      </c>
      <c r="AS896" s="324">
        <v>120</v>
      </c>
      <c r="AT896" s="432">
        <v>1</v>
      </c>
      <c r="AU896" s="432" t="s">
        <v>3898</v>
      </c>
      <c r="AV896" s="432">
        <v>1.8</v>
      </c>
      <c r="AW896" s="490" t="s">
        <v>3898</v>
      </c>
      <c r="AX896" s="417" t="s">
        <v>622</v>
      </c>
      <c r="AY896" s="455" t="s">
        <v>210</v>
      </c>
      <c r="AZ896" s="405" t="s">
        <v>4083</v>
      </c>
      <c r="BA896" s="324" t="s">
        <v>210</v>
      </c>
      <c r="BB896" s="324" t="s">
        <v>210</v>
      </c>
      <c r="BC896" s="324" t="s">
        <v>210</v>
      </c>
      <c r="BD896" s="324" t="s">
        <v>210</v>
      </c>
      <c r="BE896" s="324" t="s">
        <v>6060</v>
      </c>
      <c r="BF896" s="324" t="s">
        <v>5058</v>
      </c>
      <c r="BG896" s="324" t="s">
        <v>5913</v>
      </c>
      <c r="BH896" s="426" t="s">
        <v>3898</v>
      </c>
      <c r="BI896" s="453">
        <v>1</v>
      </c>
      <c r="BJ896" s="427" t="s">
        <v>5958</v>
      </c>
      <c r="BK896" s="412"/>
      <c r="BL896" s="413"/>
      <c r="BM896" s="414"/>
      <c r="BN896" s="453" t="s">
        <v>622</v>
      </c>
      <c r="BO896" s="464">
        <v>0.9</v>
      </c>
      <c r="BP896" s="340" t="s">
        <v>210</v>
      </c>
      <c r="BQ896" s="456" t="s">
        <v>5235</v>
      </c>
      <c r="BR896" s="342" t="s">
        <v>210</v>
      </c>
      <c r="BS896" s="342" t="s">
        <v>210</v>
      </c>
      <c r="BT896" s="342" t="s">
        <v>210</v>
      </c>
      <c r="BU896" s="342" t="s">
        <v>210</v>
      </c>
      <c r="BV896" s="342" t="s">
        <v>210</v>
      </c>
      <c r="BW896" s="341" t="s">
        <v>210</v>
      </c>
      <c r="BX896" s="361"/>
      <c r="BY896" s="457"/>
      <c r="BZ896" s="363"/>
      <c r="CA896" s="363"/>
      <c r="CB896" s="363"/>
      <c r="CC896" s="363"/>
    </row>
    <row r="897" spans="1:82" ht="22.5" customHeight="1">
      <c r="B897" s="442">
        <v>170185</v>
      </c>
      <c r="C897" s="443" t="s">
        <v>5885</v>
      </c>
      <c r="D897" s="467" t="s">
        <v>5640</v>
      </c>
      <c r="E897" s="404" t="s">
        <v>5363</v>
      </c>
      <c r="F897" s="405" t="s">
        <v>5886</v>
      </c>
      <c r="G897" s="324" t="s">
        <v>5887</v>
      </c>
      <c r="H897" s="324" t="s">
        <v>5888</v>
      </c>
      <c r="I897" s="326" t="s">
        <v>383</v>
      </c>
      <c r="J897" s="326" t="s">
        <v>399</v>
      </c>
      <c r="K897" s="326" t="s">
        <v>223</v>
      </c>
      <c r="L897" s="392" t="s">
        <v>210</v>
      </c>
      <c r="M897" s="324" t="s">
        <v>10767</v>
      </c>
      <c r="N897" s="444" t="s">
        <v>438</v>
      </c>
      <c r="O897" s="324">
        <v>30</v>
      </c>
      <c r="P897" s="458">
        <v>4342.0600000000004</v>
      </c>
      <c r="Q897" s="459">
        <v>4533.33</v>
      </c>
      <c r="R897" s="329" t="s">
        <v>615</v>
      </c>
      <c r="S897" s="394" t="s">
        <v>11204</v>
      </c>
      <c r="T897" s="394" t="s">
        <v>11205</v>
      </c>
      <c r="U897" s="394" t="s">
        <v>11207</v>
      </c>
      <c r="V897" s="394" t="s">
        <v>11206</v>
      </c>
      <c r="W897" s="332" t="s">
        <v>432</v>
      </c>
      <c r="X897" s="331" t="s">
        <v>11079</v>
      </c>
      <c r="Y897" s="331" t="s">
        <v>11080</v>
      </c>
      <c r="Z897" s="331" t="s">
        <v>11080</v>
      </c>
      <c r="AA897" s="331" t="s">
        <v>6574</v>
      </c>
      <c r="AB897" s="416"/>
      <c r="AC897" s="416"/>
      <c r="AD897" s="334" t="s">
        <v>2325</v>
      </c>
      <c r="AE897" s="499" t="s">
        <v>231</v>
      </c>
      <c r="AF897" s="462">
        <v>42990</v>
      </c>
      <c r="AG897" s="748">
        <v>43080</v>
      </c>
      <c r="AH897" s="417">
        <v>6.2</v>
      </c>
      <c r="AI897" s="392">
        <v>16.5</v>
      </c>
      <c r="AJ897" s="392">
        <v>14.4</v>
      </c>
      <c r="AK897" s="340">
        <v>37.1</v>
      </c>
      <c r="AL897" s="417" t="s">
        <v>210</v>
      </c>
      <c r="AM897" s="392" t="s">
        <v>210</v>
      </c>
      <c r="AN897" s="392" t="s">
        <v>210</v>
      </c>
      <c r="AO897" s="341" t="s">
        <v>210</v>
      </c>
      <c r="AP897" s="418" t="s">
        <v>622</v>
      </c>
      <c r="AQ897" s="433" t="s">
        <v>4547</v>
      </c>
      <c r="AR897" s="452">
        <v>5614</v>
      </c>
      <c r="AS897" s="324">
        <v>100</v>
      </c>
      <c r="AT897" s="432">
        <v>0.8</v>
      </c>
      <c r="AU897" s="432" t="s">
        <v>5833</v>
      </c>
      <c r="AV897" s="432">
        <v>1.2</v>
      </c>
      <c r="AW897" s="490" t="s">
        <v>6055</v>
      </c>
      <c r="AX897" s="417" t="s">
        <v>210</v>
      </c>
      <c r="AY897" s="455" t="s">
        <v>210</v>
      </c>
      <c r="AZ897" s="405" t="s">
        <v>4083</v>
      </c>
      <c r="BA897" s="324" t="s">
        <v>210</v>
      </c>
      <c r="BB897" s="324" t="s">
        <v>210</v>
      </c>
      <c r="BC897" s="324" t="s">
        <v>210</v>
      </c>
      <c r="BD897" s="324" t="s">
        <v>210</v>
      </c>
      <c r="BE897" s="324" t="s">
        <v>6060</v>
      </c>
      <c r="BF897" s="324" t="s">
        <v>6055</v>
      </c>
      <c r="BG897" s="324" t="s">
        <v>3475</v>
      </c>
      <c r="BH897" s="324" t="s">
        <v>6055</v>
      </c>
      <c r="BI897" s="453">
        <v>1</v>
      </c>
      <c r="BJ897" s="427" t="s">
        <v>210</v>
      </c>
      <c r="BK897" s="412"/>
      <c r="BL897" s="413"/>
      <c r="BM897" s="414"/>
      <c r="BN897" s="453" t="s">
        <v>622</v>
      </c>
      <c r="BO897" s="464"/>
      <c r="BP897" s="340" t="s">
        <v>210</v>
      </c>
      <c r="BQ897" s="456" t="s">
        <v>1059</v>
      </c>
      <c r="BR897" s="342" t="s">
        <v>210</v>
      </c>
      <c r="BS897" s="342" t="s">
        <v>210</v>
      </c>
      <c r="BT897" s="342" t="s">
        <v>210</v>
      </c>
      <c r="BU897" s="342" t="s">
        <v>210</v>
      </c>
      <c r="BV897" s="342" t="s">
        <v>210</v>
      </c>
      <c r="BW897" s="341" t="s">
        <v>210</v>
      </c>
      <c r="BX897" s="361"/>
      <c r="BY897" s="891"/>
      <c r="BZ897" s="892"/>
      <c r="CA897" s="892"/>
      <c r="CB897" s="892"/>
      <c r="CC897" s="892"/>
    </row>
    <row r="898" spans="1:82" ht="22.5" customHeight="1">
      <c r="B898" s="442">
        <v>170186</v>
      </c>
      <c r="C898" s="443" t="s">
        <v>12492</v>
      </c>
      <c r="D898" s="467" t="s">
        <v>6019</v>
      </c>
      <c r="E898" s="404" t="s">
        <v>5361</v>
      </c>
      <c r="F898" s="405" t="s">
        <v>709</v>
      </c>
      <c r="G898" s="324" t="s">
        <v>3860</v>
      </c>
      <c r="H898" s="324" t="s">
        <v>5980</v>
      </c>
      <c r="I898" s="326" t="s">
        <v>383</v>
      </c>
      <c r="J898" s="326" t="s">
        <v>399</v>
      </c>
      <c r="K898" s="326" t="s">
        <v>917</v>
      </c>
      <c r="L898" s="392" t="s">
        <v>210</v>
      </c>
      <c r="M898" s="324" t="s">
        <v>10767</v>
      </c>
      <c r="N898" s="444" t="s">
        <v>438</v>
      </c>
      <c r="O898" s="324">
        <v>30</v>
      </c>
      <c r="P898" s="458">
        <v>1160</v>
      </c>
      <c r="Q898" s="459">
        <v>1210</v>
      </c>
      <c r="R898" s="420" t="s">
        <v>5644</v>
      </c>
      <c r="S898" s="394" t="s">
        <v>12494</v>
      </c>
      <c r="T898" s="400"/>
      <c r="U898" s="400"/>
      <c r="V898" s="394" t="s">
        <v>12493</v>
      </c>
      <c r="W898" s="332" t="s">
        <v>432</v>
      </c>
      <c r="X898" s="331" t="s">
        <v>11079</v>
      </c>
      <c r="Y898" s="331" t="s">
        <v>11080</v>
      </c>
      <c r="Z898" s="331" t="s">
        <v>11080</v>
      </c>
      <c r="AA898" s="331" t="s">
        <v>6574</v>
      </c>
      <c r="AB898" s="416"/>
      <c r="AC898" s="416"/>
      <c r="AD898" s="334" t="s">
        <v>2327</v>
      </c>
      <c r="AE898" s="499" t="s">
        <v>4609</v>
      </c>
      <c r="AF898" s="462">
        <v>43006</v>
      </c>
      <c r="AG898" s="748">
        <v>43060</v>
      </c>
      <c r="AH898" s="417">
        <v>13.8</v>
      </c>
      <c r="AI898" s="392">
        <v>24.7</v>
      </c>
      <c r="AJ898" s="392">
        <v>11.3</v>
      </c>
      <c r="AK898" s="340">
        <v>49.8</v>
      </c>
      <c r="AL898" s="417" t="s">
        <v>210</v>
      </c>
      <c r="AM898" s="392" t="s">
        <v>210</v>
      </c>
      <c r="AN898" s="392" t="s">
        <v>210</v>
      </c>
      <c r="AO898" s="341" t="s">
        <v>210</v>
      </c>
      <c r="AP898" s="418" t="s">
        <v>622</v>
      </c>
      <c r="AQ898" s="433" t="s">
        <v>4547</v>
      </c>
      <c r="AR898" s="452">
        <v>1507</v>
      </c>
      <c r="AS898" s="324">
        <v>80</v>
      </c>
      <c r="AT898" s="432">
        <v>1</v>
      </c>
      <c r="AU898" s="432" t="s">
        <v>5079</v>
      </c>
      <c r="AV898" s="432">
        <v>1.5</v>
      </c>
      <c r="AW898" s="490" t="s">
        <v>5079</v>
      </c>
      <c r="AX898" s="417" t="s">
        <v>210</v>
      </c>
      <c r="AY898" s="455" t="s">
        <v>210</v>
      </c>
      <c r="AZ898" s="405" t="s">
        <v>4083</v>
      </c>
      <c r="BA898" s="324" t="s">
        <v>210</v>
      </c>
      <c r="BB898" s="324" t="s">
        <v>210</v>
      </c>
      <c r="BC898" s="324" t="s">
        <v>6056</v>
      </c>
      <c r="BD898" s="324" t="s">
        <v>6057</v>
      </c>
      <c r="BE898" s="324" t="s">
        <v>6058</v>
      </c>
      <c r="BF898" s="324" t="s">
        <v>5636</v>
      </c>
      <c r="BG898" s="324" t="s">
        <v>6059</v>
      </c>
      <c r="BH898" s="426" t="s">
        <v>5079</v>
      </c>
      <c r="BI898" s="453">
        <v>1.2</v>
      </c>
      <c r="BJ898" s="427" t="s">
        <v>9793</v>
      </c>
      <c r="BK898" s="412"/>
      <c r="BL898" s="413"/>
      <c r="BM898" s="414"/>
      <c r="BN898" s="453" t="s">
        <v>622</v>
      </c>
      <c r="BO898" s="464"/>
      <c r="BP898" s="455" t="s">
        <v>622</v>
      </c>
      <c r="BQ898" s="456" t="s">
        <v>917</v>
      </c>
      <c r="BR898" s="342" t="s">
        <v>210</v>
      </c>
      <c r="BS898" s="342" t="s">
        <v>622</v>
      </c>
      <c r="BT898" s="342" t="s">
        <v>210</v>
      </c>
      <c r="BU898" s="342" t="s">
        <v>210</v>
      </c>
      <c r="BV898" s="342" t="s">
        <v>210</v>
      </c>
      <c r="BW898" s="341" t="s">
        <v>210</v>
      </c>
      <c r="BX898" s="361"/>
      <c r="BY898" s="457"/>
      <c r="BZ898" s="363"/>
      <c r="CA898" s="363"/>
      <c r="CB898" s="363"/>
      <c r="CC898" s="363"/>
    </row>
    <row r="899" spans="1:82" s="465" customFormat="1" ht="22.5" customHeight="1">
      <c r="A899" s="287"/>
      <c r="B899" s="749">
        <v>170187</v>
      </c>
      <c r="C899" s="781" t="s">
        <v>5976</v>
      </c>
      <c r="D899" s="751" t="s">
        <v>4849</v>
      </c>
      <c r="E899" s="752" t="s">
        <v>5363</v>
      </c>
      <c r="F899" s="753" t="s">
        <v>227</v>
      </c>
      <c r="G899" s="754" t="s">
        <v>1774</v>
      </c>
      <c r="H899" s="754" t="s">
        <v>5970</v>
      </c>
      <c r="I899" s="662" t="s">
        <v>383</v>
      </c>
      <c r="J899" s="662" t="s">
        <v>399</v>
      </c>
      <c r="K899" s="754" t="s">
        <v>247</v>
      </c>
      <c r="L899" s="688">
        <v>10</v>
      </c>
      <c r="M899" s="754" t="s">
        <v>10767</v>
      </c>
      <c r="N899" s="755" t="s">
        <v>438</v>
      </c>
      <c r="O899" s="754">
        <v>30</v>
      </c>
      <c r="P899" s="782">
        <v>250</v>
      </c>
      <c r="Q899" s="783">
        <v>250</v>
      </c>
      <c r="R899" s="756" t="s">
        <v>712</v>
      </c>
      <c r="S899" s="708" t="s">
        <v>12488</v>
      </c>
      <c r="T899" s="708" t="s">
        <v>12491</v>
      </c>
      <c r="U899" s="708" t="s">
        <v>12490</v>
      </c>
      <c r="V899" s="708" t="s">
        <v>12489</v>
      </c>
      <c r="W899" s="757" t="s">
        <v>5915</v>
      </c>
      <c r="X899" s="708" t="s">
        <v>12488</v>
      </c>
      <c r="Y899" s="708" t="s">
        <v>12491</v>
      </c>
      <c r="Z899" s="708" t="s">
        <v>12490</v>
      </c>
      <c r="AA899" s="708" t="s">
        <v>12489</v>
      </c>
      <c r="AB899" s="758"/>
      <c r="AC899" s="758"/>
      <c r="AD899" s="671" t="s">
        <v>210</v>
      </c>
      <c r="AE899" s="672" t="s">
        <v>210</v>
      </c>
      <c r="AF899" s="846">
        <v>42992</v>
      </c>
      <c r="AG899" s="674" t="s">
        <v>10514</v>
      </c>
      <c r="AH899" s="675" t="s">
        <v>210</v>
      </c>
      <c r="AI899" s="676" t="s">
        <v>210</v>
      </c>
      <c r="AJ899" s="676" t="s">
        <v>210</v>
      </c>
      <c r="AK899" s="677" t="s">
        <v>210</v>
      </c>
      <c r="AL899" s="675" t="s">
        <v>5971</v>
      </c>
      <c r="AM899" s="676" t="s">
        <v>210</v>
      </c>
      <c r="AN899" s="676" t="s">
        <v>210</v>
      </c>
      <c r="AO899" s="678" t="s">
        <v>210</v>
      </c>
      <c r="AP899" s="688" t="s">
        <v>210</v>
      </c>
      <c r="AQ899" s="762" t="s">
        <v>4547</v>
      </c>
      <c r="AR899" s="763">
        <f>83+302</f>
        <v>385</v>
      </c>
      <c r="AS899" s="754">
        <v>80</v>
      </c>
      <c r="AT899" s="785">
        <v>1</v>
      </c>
      <c r="AU899" s="785" t="s">
        <v>5999</v>
      </c>
      <c r="AV899" s="785">
        <v>1.5</v>
      </c>
      <c r="AW899" s="764" t="s">
        <v>5999</v>
      </c>
      <c r="AX899" s="675" t="s">
        <v>210</v>
      </c>
      <c r="AY899" s="772" t="s">
        <v>210</v>
      </c>
      <c r="AZ899" s="753" t="s">
        <v>4083</v>
      </c>
      <c r="BA899" s="754" t="s">
        <v>210</v>
      </c>
      <c r="BB899" s="754" t="s">
        <v>210</v>
      </c>
      <c r="BC899" s="754" t="s">
        <v>210</v>
      </c>
      <c r="BD899" s="754" t="s">
        <v>210</v>
      </c>
      <c r="BE899" s="754" t="s">
        <v>5972</v>
      </c>
      <c r="BF899" s="754" t="s">
        <v>3372</v>
      </c>
      <c r="BG899" s="754" t="s">
        <v>5973</v>
      </c>
      <c r="BH899" s="767" t="s">
        <v>5058</v>
      </c>
      <c r="BI899" s="765">
        <v>0.7</v>
      </c>
      <c r="BJ899" s="768" t="s">
        <v>210</v>
      </c>
      <c r="BK899" s="769"/>
      <c r="BL899" s="766"/>
      <c r="BM899" s="770"/>
      <c r="BN899" s="765" t="s">
        <v>622</v>
      </c>
      <c r="BO899" s="771"/>
      <c r="BP899" s="677" t="s">
        <v>210</v>
      </c>
      <c r="BQ899" s="773" t="s">
        <v>5974</v>
      </c>
      <c r="BR899" s="688" t="s">
        <v>210</v>
      </c>
      <c r="BS899" s="688" t="s">
        <v>622</v>
      </c>
      <c r="BT899" s="688" t="s">
        <v>210</v>
      </c>
      <c r="BU899" s="688" t="s">
        <v>210</v>
      </c>
      <c r="BV899" s="688" t="s">
        <v>210</v>
      </c>
      <c r="BW899" s="678" t="s">
        <v>210</v>
      </c>
      <c r="BX899" s="688"/>
      <c r="BY899" s="774" t="s">
        <v>5975</v>
      </c>
      <c r="BZ899" s="483"/>
      <c r="CA899" s="483"/>
      <c r="CB899" s="483"/>
      <c r="CC899" s="483"/>
      <c r="CD899" s="484"/>
    </row>
    <row r="900" spans="1:82" ht="22.5" customHeight="1">
      <c r="B900" s="442">
        <v>170188</v>
      </c>
      <c r="C900" s="443" t="s">
        <v>6018</v>
      </c>
      <c r="D900" s="439" t="s">
        <v>4847</v>
      </c>
      <c r="E900" s="404" t="s">
        <v>5361</v>
      </c>
      <c r="F900" s="405" t="s">
        <v>238</v>
      </c>
      <c r="G900" s="324" t="s">
        <v>5922</v>
      </c>
      <c r="H900" s="324" t="s">
        <v>5923</v>
      </c>
      <c r="I900" s="326" t="s">
        <v>383</v>
      </c>
      <c r="J900" s="326" t="s">
        <v>399</v>
      </c>
      <c r="K900" s="324" t="s">
        <v>247</v>
      </c>
      <c r="L900" s="342">
        <v>5</v>
      </c>
      <c r="M900" s="324" t="s">
        <v>10767</v>
      </c>
      <c r="N900" s="444" t="s">
        <v>5968</v>
      </c>
      <c r="O900" s="324" t="s">
        <v>5969</v>
      </c>
      <c r="P900" s="458">
        <f>30.15*12.45</f>
        <v>375.36749999999995</v>
      </c>
      <c r="Q900" s="459">
        <f>P900</f>
        <v>375.36749999999995</v>
      </c>
      <c r="R900" s="420" t="s">
        <v>5924</v>
      </c>
      <c r="S900" s="394" t="s">
        <v>12485</v>
      </c>
      <c r="T900" s="394" t="s">
        <v>12486</v>
      </c>
      <c r="U900" s="394" t="s">
        <v>16426</v>
      </c>
      <c r="V900" s="394" t="s">
        <v>12487</v>
      </c>
      <c r="W900" s="460" t="s">
        <v>6266</v>
      </c>
      <c r="X900" s="394" t="s">
        <v>12485</v>
      </c>
      <c r="Y900" s="394" t="s">
        <v>12486</v>
      </c>
      <c r="Z900" s="394" t="s">
        <v>16427</v>
      </c>
      <c r="AA900" s="394" t="s">
        <v>12487</v>
      </c>
      <c r="AB900" s="416"/>
      <c r="AC900" s="416"/>
      <c r="AD900" s="334" t="s">
        <v>2334</v>
      </c>
      <c r="AE900" s="335" t="s">
        <v>210</v>
      </c>
      <c r="AF900" s="462">
        <v>42993</v>
      </c>
      <c r="AG900" s="748">
        <v>43049</v>
      </c>
      <c r="AH900" s="417" t="s">
        <v>210</v>
      </c>
      <c r="AI900" s="392" t="s">
        <v>210</v>
      </c>
      <c r="AJ900" s="392" t="s">
        <v>210</v>
      </c>
      <c r="AK900" s="340" t="s">
        <v>210</v>
      </c>
      <c r="AL900" s="417" t="s">
        <v>5971</v>
      </c>
      <c r="AM900" s="392" t="s">
        <v>210</v>
      </c>
      <c r="AN900" s="392" t="s">
        <v>210</v>
      </c>
      <c r="AO900" s="341" t="s">
        <v>210</v>
      </c>
      <c r="AP900" s="418" t="s">
        <v>622</v>
      </c>
      <c r="AQ900" s="433" t="s">
        <v>4547</v>
      </c>
      <c r="AR900" s="452">
        <v>710</v>
      </c>
      <c r="AS900" s="324">
        <v>80</v>
      </c>
      <c r="AT900" s="432">
        <v>1</v>
      </c>
      <c r="AU900" s="432" t="s">
        <v>5528</v>
      </c>
      <c r="AV900" s="432">
        <v>1.5</v>
      </c>
      <c r="AW900" s="490" t="s">
        <v>6000</v>
      </c>
      <c r="AX900" s="417" t="s">
        <v>210</v>
      </c>
      <c r="AY900" s="455" t="s">
        <v>210</v>
      </c>
      <c r="AZ900" s="405" t="s">
        <v>4083</v>
      </c>
      <c r="BA900" s="324" t="s">
        <v>210</v>
      </c>
      <c r="BB900" s="324" t="s">
        <v>210</v>
      </c>
      <c r="BC900" s="324" t="s">
        <v>210</v>
      </c>
      <c r="BD900" s="324" t="s">
        <v>210</v>
      </c>
      <c r="BE900" s="324" t="s">
        <v>5925</v>
      </c>
      <c r="BF900" s="324" t="s">
        <v>5058</v>
      </c>
      <c r="BG900" s="324" t="s">
        <v>3555</v>
      </c>
      <c r="BH900" s="426" t="s">
        <v>3512</v>
      </c>
      <c r="BI900" s="453">
        <v>1</v>
      </c>
      <c r="BJ900" s="427" t="s">
        <v>9703</v>
      </c>
      <c r="BK900" s="412"/>
      <c r="BL900" s="413"/>
      <c r="BM900" s="414"/>
      <c r="BN900" s="410"/>
      <c r="BO900" s="502"/>
      <c r="BP900" s="492"/>
      <c r="BQ900" s="456" t="s">
        <v>5927</v>
      </c>
      <c r="BR900" s="342" t="s">
        <v>210</v>
      </c>
      <c r="BS900" s="342" t="s">
        <v>622</v>
      </c>
      <c r="BT900" s="342" t="s">
        <v>210</v>
      </c>
      <c r="BU900" s="342" t="s">
        <v>210</v>
      </c>
      <c r="BV900" s="342" t="s">
        <v>210</v>
      </c>
      <c r="BW900" s="341" t="s">
        <v>210</v>
      </c>
      <c r="BX900" s="361"/>
      <c r="BY900" s="457"/>
      <c r="BZ900" s="363"/>
      <c r="CA900" s="363"/>
      <c r="CB900" s="363"/>
      <c r="CC900" s="363"/>
    </row>
    <row r="901" spans="1:82" ht="22.5" customHeight="1">
      <c r="B901" s="442">
        <v>170189</v>
      </c>
      <c r="C901" s="443" t="s">
        <v>5928</v>
      </c>
      <c r="D901" s="439" t="s">
        <v>4847</v>
      </c>
      <c r="E901" s="404" t="s">
        <v>5362</v>
      </c>
      <c r="F901" s="405" t="s">
        <v>266</v>
      </c>
      <c r="G901" s="324" t="s">
        <v>5929</v>
      </c>
      <c r="H901" s="324" t="s">
        <v>5930</v>
      </c>
      <c r="I901" s="326" t="s">
        <v>383</v>
      </c>
      <c r="J901" s="326" t="s">
        <v>399</v>
      </c>
      <c r="K901" s="326" t="s">
        <v>223</v>
      </c>
      <c r="L901" s="392" t="s">
        <v>210</v>
      </c>
      <c r="M901" s="324" t="s">
        <v>10767</v>
      </c>
      <c r="N901" s="444" t="s">
        <v>437</v>
      </c>
      <c r="O901" s="324">
        <v>30</v>
      </c>
      <c r="P901" s="458">
        <v>1086</v>
      </c>
      <c r="Q901" s="459">
        <v>1120</v>
      </c>
      <c r="R901" s="420" t="s">
        <v>6383</v>
      </c>
      <c r="S901" s="394" t="s">
        <v>12481</v>
      </c>
      <c r="T901" s="394" t="s">
        <v>12483</v>
      </c>
      <c r="U901" s="394" t="s">
        <v>12482</v>
      </c>
      <c r="V901" s="394" t="s">
        <v>12484</v>
      </c>
      <c r="W901" s="460" t="s">
        <v>5959</v>
      </c>
      <c r="X901" s="400"/>
      <c r="Y901" s="400"/>
      <c r="Z901" s="400"/>
      <c r="AA901" s="400"/>
      <c r="AB901" s="416"/>
      <c r="AC901" s="416"/>
      <c r="AD901" s="447" t="s">
        <v>6077</v>
      </c>
      <c r="AE901" s="335" t="s">
        <v>210</v>
      </c>
      <c r="AF901" s="462">
        <v>42998</v>
      </c>
      <c r="AG901" s="748">
        <v>43034</v>
      </c>
      <c r="AH901" s="417" t="s">
        <v>210</v>
      </c>
      <c r="AI901" s="392" t="s">
        <v>210</v>
      </c>
      <c r="AJ901" s="392" t="s">
        <v>210</v>
      </c>
      <c r="AK901" s="340" t="s">
        <v>210</v>
      </c>
      <c r="AL901" s="417" t="s">
        <v>210</v>
      </c>
      <c r="AM901" s="392" t="s">
        <v>210</v>
      </c>
      <c r="AN901" s="392" t="s">
        <v>210</v>
      </c>
      <c r="AO901" s="341" t="s">
        <v>210</v>
      </c>
      <c r="AP901" s="342" t="s">
        <v>210</v>
      </c>
      <c r="AQ901" s="433" t="s">
        <v>4547</v>
      </c>
      <c r="AR901" s="452">
        <f>1222+135</f>
        <v>1357</v>
      </c>
      <c r="AS901" s="324">
        <v>80</v>
      </c>
      <c r="AT901" s="432">
        <v>1</v>
      </c>
      <c r="AU901" s="432" t="s">
        <v>5246</v>
      </c>
      <c r="AV901" s="432">
        <v>1.5</v>
      </c>
      <c r="AW901" s="490" t="s">
        <v>4755</v>
      </c>
      <c r="AX901" s="417" t="s">
        <v>210</v>
      </c>
      <c r="AY901" s="455" t="s">
        <v>210</v>
      </c>
      <c r="AZ901" s="405" t="s">
        <v>622</v>
      </c>
      <c r="BA901" s="324" t="s">
        <v>5933</v>
      </c>
      <c r="BB901" s="324" t="s">
        <v>5934</v>
      </c>
      <c r="BC901" s="324" t="s">
        <v>5935</v>
      </c>
      <c r="BD901" s="324" t="s">
        <v>5934</v>
      </c>
      <c r="BE901" s="324" t="s">
        <v>5935</v>
      </c>
      <c r="BF901" s="324" t="s">
        <v>5058</v>
      </c>
      <c r="BG901" s="324" t="s">
        <v>210</v>
      </c>
      <c r="BH901" s="324" t="s">
        <v>210</v>
      </c>
      <c r="BI901" s="453">
        <v>1</v>
      </c>
      <c r="BJ901" s="427" t="s">
        <v>210</v>
      </c>
      <c r="BK901" s="412"/>
      <c r="BL901" s="413"/>
      <c r="BM901" s="414"/>
      <c r="BN901" s="453" t="s">
        <v>622</v>
      </c>
      <c r="BO901" s="464"/>
      <c r="BP901" s="455" t="s">
        <v>622</v>
      </c>
      <c r="BQ901" s="456" t="s">
        <v>1059</v>
      </c>
      <c r="BR901" s="342" t="s">
        <v>210</v>
      </c>
      <c r="BS901" s="342" t="s">
        <v>622</v>
      </c>
      <c r="BT901" s="342" t="s">
        <v>210</v>
      </c>
      <c r="BU901" s="342" t="s">
        <v>210</v>
      </c>
      <c r="BV901" s="342" t="s">
        <v>210</v>
      </c>
      <c r="BW901" s="341" t="s">
        <v>210</v>
      </c>
      <c r="BX901" s="361"/>
      <c r="BY901" s="457"/>
      <c r="BZ901" s="363"/>
      <c r="CA901" s="363"/>
      <c r="CB901" s="363"/>
      <c r="CC901" s="363"/>
    </row>
    <row r="902" spans="1:82" ht="22.5" customHeight="1">
      <c r="B902" s="442">
        <v>170190</v>
      </c>
      <c r="C902" s="443" t="s">
        <v>5916</v>
      </c>
      <c r="D902" s="467" t="s">
        <v>4853</v>
      </c>
      <c r="E902" s="404" t="s">
        <v>5361</v>
      </c>
      <c r="F902" s="405" t="s">
        <v>5917</v>
      </c>
      <c r="G902" s="324" t="s">
        <v>5918</v>
      </c>
      <c r="H902" s="324" t="s">
        <v>5919</v>
      </c>
      <c r="I902" s="326" t="s">
        <v>383</v>
      </c>
      <c r="J902" s="326" t="s">
        <v>387</v>
      </c>
      <c r="K902" s="324" t="s">
        <v>3223</v>
      </c>
      <c r="L902" s="392">
        <v>4</v>
      </c>
      <c r="M902" s="324" t="s">
        <v>10767</v>
      </c>
      <c r="N902" s="444" t="s">
        <v>438</v>
      </c>
      <c r="O902" s="324">
        <v>30</v>
      </c>
      <c r="P902" s="458">
        <v>1351</v>
      </c>
      <c r="Q902" s="459">
        <v>723</v>
      </c>
      <c r="R902" s="420" t="s">
        <v>5644</v>
      </c>
      <c r="S902" s="394" t="s">
        <v>11662</v>
      </c>
      <c r="T902" s="394" t="s">
        <v>11664</v>
      </c>
      <c r="U902" s="394" t="s">
        <v>11663</v>
      </c>
      <c r="V902" s="394" t="s">
        <v>11665</v>
      </c>
      <c r="W902" s="332" t="s">
        <v>432</v>
      </c>
      <c r="X902" s="331" t="s">
        <v>11079</v>
      </c>
      <c r="Y902" s="331" t="s">
        <v>11080</v>
      </c>
      <c r="Z902" s="331" t="s">
        <v>11080</v>
      </c>
      <c r="AA902" s="331" t="s">
        <v>6574</v>
      </c>
      <c r="AB902" s="416"/>
      <c r="AC902" s="416"/>
      <c r="AD902" s="334" t="s">
        <v>2327</v>
      </c>
      <c r="AE902" s="499" t="s">
        <v>6867</v>
      </c>
      <c r="AF902" s="462">
        <v>42993</v>
      </c>
      <c r="AG902" s="748">
        <v>43075</v>
      </c>
      <c r="AH902" s="450" t="s">
        <v>6196</v>
      </c>
      <c r="AI902" s="425" t="s">
        <v>6197</v>
      </c>
      <c r="AJ902" s="425" t="s">
        <v>6198</v>
      </c>
      <c r="AK902" s="451" t="s">
        <v>6199</v>
      </c>
      <c r="AL902" s="417" t="s">
        <v>210</v>
      </c>
      <c r="AM902" s="392" t="s">
        <v>210</v>
      </c>
      <c r="AN902" s="392" t="s">
        <v>210</v>
      </c>
      <c r="AO902" s="341" t="s">
        <v>210</v>
      </c>
      <c r="AP902" s="342" t="s">
        <v>210</v>
      </c>
      <c r="AQ902" s="433" t="s">
        <v>4547</v>
      </c>
      <c r="AR902" s="452">
        <v>815.3</v>
      </c>
      <c r="AS902" s="324">
        <v>100</v>
      </c>
      <c r="AT902" s="432">
        <v>1</v>
      </c>
      <c r="AU902" s="432" t="s">
        <v>5246</v>
      </c>
      <c r="AV902" s="432">
        <v>1.4</v>
      </c>
      <c r="AW902" s="490" t="s">
        <v>3382</v>
      </c>
      <c r="AX902" s="417" t="s">
        <v>210</v>
      </c>
      <c r="AY902" s="455" t="s">
        <v>210</v>
      </c>
      <c r="AZ902" s="405" t="s">
        <v>4083</v>
      </c>
      <c r="BA902" s="324" t="s">
        <v>210</v>
      </c>
      <c r="BB902" s="324" t="s">
        <v>210</v>
      </c>
      <c r="BC902" s="324" t="s">
        <v>210</v>
      </c>
      <c r="BD902" s="324" t="s">
        <v>210</v>
      </c>
      <c r="BE902" s="324" t="s">
        <v>3459</v>
      </c>
      <c r="BF902" s="324" t="s">
        <v>5920</v>
      </c>
      <c r="BG902" s="324" t="s">
        <v>3475</v>
      </c>
      <c r="BH902" s="426" t="s">
        <v>5921</v>
      </c>
      <c r="BI902" s="453">
        <v>0.4</v>
      </c>
      <c r="BJ902" s="427" t="s">
        <v>210</v>
      </c>
      <c r="BK902" s="412"/>
      <c r="BL902" s="413"/>
      <c r="BM902" s="414"/>
      <c r="BN902" s="453" t="s">
        <v>6200</v>
      </c>
      <c r="BO902" s="464"/>
      <c r="BP902" s="340" t="s">
        <v>210</v>
      </c>
      <c r="BQ902" s="456" t="s">
        <v>1059</v>
      </c>
      <c r="BR902" s="342" t="s">
        <v>6201</v>
      </c>
      <c r="BS902" s="342" t="s">
        <v>622</v>
      </c>
      <c r="BT902" s="342" t="s">
        <v>210</v>
      </c>
      <c r="BU902" s="342" t="s">
        <v>210</v>
      </c>
      <c r="BV902" s="342" t="s">
        <v>210</v>
      </c>
      <c r="BW902" s="341" t="s">
        <v>210</v>
      </c>
      <c r="BX902" s="361"/>
      <c r="BY902" s="457" t="s">
        <v>6347</v>
      </c>
      <c r="BZ902" s="363"/>
      <c r="CA902" s="363"/>
      <c r="CB902" s="363"/>
      <c r="CC902" s="363"/>
    </row>
    <row r="903" spans="1:82" s="465" customFormat="1" ht="22.5" customHeight="1">
      <c r="A903" s="287"/>
      <c r="B903" s="749">
        <v>170191</v>
      </c>
      <c r="C903" s="781" t="s">
        <v>5937</v>
      </c>
      <c r="D903" s="751" t="s">
        <v>4854</v>
      </c>
      <c r="E903" s="752" t="s">
        <v>5363</v>
      </c>
      <c r="F903" s="753" t="s">
        <v>4072</v>
      </c>
      <c r="G903" s="754" t="s">
        <v>1831</v>
      </c>
      <c r="H903" s="754" t="s">
        <v>5938</v>
      </c>
      <c r="I903" s="662" t="s">
        <v>383</v>
      </c>
      <c r="J903" s="662" t="s">
        <v>387</v>
      </c>
      <c r="K903" s="754" t="s">
        <v>5939</v>
      </c>
      <c r="L903" s="676" t="s">
        <v>210</v>
      </c>
      <c r="M903" s="754" t="s">
        <v>10767</v>
      </c>
      <c r="N903" s="755" t="s">
        <v>438</v>
      </c>
      <c r="O903" s="754">
        <v>30</v>
      </c>
      <c r="P903" s="782">
        <v>800</v>
      </c>
      <c r="Q903" s="783">
        <v>1600</v>
      </c>
      <c r="R903" s="756" t="s">
        <v>5940</v>
      </c>
      <c r="S903" s="708" t="s">
        <v>12478</v>
      </c>
      <c r="T903" s="708" t="s">
        <v>12479</v>
      </c>
      <c r="U903" s="708"/>
      <c r="V903" s="708" t="s">
        <v>12480</v>
      </c>
      <c r="W903" s="669" t="s">
        <v>432</v>
      </c>
      <c r="X903" s="668" t="s">
        <v>11082</v>
      </c>
      <c r="Y903" s="668" t="s">
        <v>11082</v>
      </c>
      <c r="Z903" s="668" t="s">
        <v>11082</v>
      </c>
      <c r="AA903" s="668" t="s">
        <v>210</v>
      </c>
      <c r="AB903" s="758"/>
      <c r="AC903" s="758"/>
      <c r="AD903" s="759"/>
      <c r="AE903" s="760" t="s">
        <v>245</v>
      </c>
      <c r="AF903" s="846">
        <v>42998</v>
      </c>
      <c r="AG903" s="674" t="s">
        <v>10514</v>
      </c>
      <c r="AH903" s="675">
        <v>14.8</v>
      </c>
      <c r="AI903" s="676">
        <v>34.6</v>
      </c>
      <c r="AJ903" s="676">
        <v>18.8</v>
      </c>
      <c r="AK903" s="677">
        <v>68.2</v>
      </c>
      <c r="AL903" s="765" t="s">
        <v>210</v>
      </c>
      <c r="AM903" s="785" t="s">
        <v>210</v>
      </c>
      <c r="AN903" s="785" t="s">
        <v>210</v>
      </c>
      <c r="AO903" s="764" t="s">
        <v>210</v>
      </c>
      <c r="AP903" s="784" t="s">
        <v>622</v>
      </c>
      <c r="AQ903" s="762" t="s">
        <v>4547</v>
      </c>
      <c r="AR903" s="763">
        <v>808.6</v>
      </c>
      <c r="AS903" s="754">
        <v>100</v>
      </c>
      <c r="AT903" s="785">
        <v>1</v>
      </c>
      <c r="AU903" s="785" t="s">
        <v>5246</v>
      </c>
      <c r="AV903" s="785">
        <v>1.5</v>
      </c>
      <c r="AW903" s="764" t="s">
        <v>5636</v>
      </c>
      <c r="AX903" s="675" t="s">
        <v>210</v>
      </c>
      <c r="AY903" s="766" t="s">
        <v>622</v>
      </c>
      <c r="AZ903" s="753" t="s">
        <v>4083</v>
      </c>
      <c r="BA903" s="754" t="s">
        <v>210</v>
      </c>
      <c r="BB903" s="754" t="s">
        <v>210</v>
      </c>
      <c r="BC903" s="754" t="s">
        <v>8104</v>
      </c>
      <c r="BD903" s="754" t="s">
        <v>3382</v>
      </c>
      <c r="BE903" s="754" t="s">
        <v>210</v>
      </c>
      <c r="BF903" s="754" t="s">
        <v>210</v>
      </c>
      <c r="BG903" s="754" t="s">
        <v>8105</v>
      </c>
      <c r="BH903" s="767" t="s">
        <v>5833</v>
      </c>
      <c r="BI903" s="765">
        <v>2.1</v>
      </c>
      <c r="BJ903" s="768"/>
      <c r="BK903" s="769" t="s">
        <v>8819</v>
      </c>
      <c r="BL903" s="766">
        <v>2.7</v>
      </c>
      <c r="BM903" s="770"/>
      <c r="BN903" s="765" t="s">
        <v>210</v>
      </c>
      <c r="BO903" s="771">
        <v>1.01</v>
      </c>
      <c r="BP903" s="677" t="s">
        <v>210</v>
      </c>
      <c r="BQ903" s="773" t="s">
        <v>1059</v>
      </c>
      <c r="BR903" s="688" t="s">
        <v>210</v>
      </c>
      <c r="BS903" s="688" t="s">
        <v>622</v>
      </c>
      <c r="BT903" s="688" t="s">
        <v>210</v>
      </c>
      <c r="BU903" s="688" t="s">
        <v>210</v>
      </c>
      <c r="BV903" s="688" t="s">
        <v>210</v>
      </c>
      <c r="BW903" s="678" t="s">
        <v>210</v>
      </c>
      <c r="BX903" s="688" t="s">
        <v>210</v>
      </c>
      <c r="BY903" s="774" t="s">
        <v>10035</v>
      </c>
      <c r="BZ903" s="483"/>
      <c r="CA903" s="483"/>
      <c r="CB903" s="483"/>
      <c r="CC903" s="483"/>
      <c r="CD903" s="484"/>
    </row>
    <row r="904" spans="1:82" ht="22.5" customHeight="1">
      <c r="B904" s="442">
        <v>170192</v>
      </c>
      <c r="C904" s="443" t="s">
        <v>5944</v>
      </c>
      <c r="D904" s="439" t="s">
        <v>4849</v>
      </c>
      <c r="E904" s="404" t="s">
        <v>5361</v>
      </c>
      <c r="F904" s="405" t="s">
        <v>5945</v>
      </c>
      <c r="G904" s="324" t="s">
        <v>5237</v>
      </c>
      <c r="H904" s="324" t="s">
        <v>5946</v>
      </c>
      <c r="I904" s="326" t="s">
        <v>383</v>
      </c>
      <c r="J904" s="326" t="s">
        <v>399</v>
      </c>
      <c r="K904" s="324" t="s">
        <v>5225</v>
      </c>
      <c r="L904" s="392" t="s">
        <v>210</v>
      </c>
      <c r="M904" s="324" t="s">
        <v>10767</v>
      </c>
      <c r="N904" s="444" t="s">
        <v>437</v>
      </c>
      <c r="O904" s="324">
        <v>30</v>
      </c>
      <c r="P904" s="816">
        <f>118.5*18+85*20+87.5*31</f>
        <v>6545.5</v>
      </c>
      <c r="Q904" s="817">
        <f>P904</f>
        <v>6545.5</v>
      </c>
      <c r="R904" s="420" t="s">
        <v>5949</v>
      </c>
      <c r="S904" s="394" t="s">
        <v>12474</v>
      </c>
      <c r="T904" s="394" t="s">
        <v>12476</v>
      </c>
      <c r="U904" s="394" t="s">
        <v>12475</v>
      </c>
      <c r="V904" s="394" t="s">
        <v>12477</v>
      </c>
      <c r="W904" s="460" t="s">
        <v>5947</v>
      </c>
      <c r="X904" s="394" t="s">
        <v>12471</v>
      </c>
      <c r="Y904" s="394" t="s">
        <v>12472</v>
      </c>
      <c r="Z904" s="400"/>
      <c r="AA904" s="394" t="s">
        <v>12473</v>
      </c>
      <c r="AB904" s="416"/>
      <c r="AC904" s="416"/>
      <c r="AD904" s="375"/>
      <c r="AE904" s="335" t="s">
        <v>210</v>
      </c>
      <c r="AF904" s="462">
        <v>43003</v>
      </c>
      <c r="AG904" s="748">
        <v>43063</v>
      </c>
      <c r="AH904" s="417" t="s">
        <v>210</v>
      </c>
      <c r="AI904" s="392" t="s">
        <v>210</v>
      </c>
      <c r="AJ904" s="392" t="s">
        <v>210</v>
      </c>
      <c r="AK904" s="340" t="s">
        <v>210</v>
      </c>
      <c r="AL904" s="417" t="s">
        <v>210</v>
      </c>
      <c r="AM904" s="392" t="s">
        <v>210</v>
      </c>
      <c r="AN904" s="392" t="s">
        <v>210</v>
      </c>
      <c r="AO904" s="341" t="s">
        <v>210</v>
      </c>
      <c r="AP904" s="342" t="s">
        <v>210</v>
      </c>
      <c r="AQ904" s="433" t="s">
        <v>4547</v>
      </c>
      <c r="AR904" s="452">
        <f>2143.8+1787+2728.6</f>
        <v>6659.4</v>
      </c>
      <c r="AS904" s="324">
        <v>80</v>
      </c>
      <c r="AT904" s="432">
        <v>0.8</v>
      </c>
      <c r="AU904" s="432" t="s">
        <v>6011</v>
      </c>
      <c r="AV904" s="432">
        <v>1.2</v>
      </c>
      <c r="AW904" s="490" t="s">
        <v>6011</v>
      </c>
      <c r="AX904" s="417" t="s">
        <v>210</v>
      </c>
      <c r="AY904" s="455" t="s">
        <v>210</v>
      </c>
      <c r="AZ904" s="405" t="s">
        <v>622</v>
      </c>
      <c r="BA904" s="324" t="s">
        <v>5953</v>
      </c>
      <c r="BB904" s="324" t="s">
        <v>5954</v>
      </c>
      <c r="BC904" s="324" t="s">
        <v>5955</v>
      </c>
      <c r="BD904" s="324" t="s">
        <v>5954</v>
      </c>
      <c r="BE904" s="324" t="s">
        <v>210</v>
      </c>
      <c r="BF904" s="324" t="s">
        <v>210</v>
      </c>
      <c r="BG904" s="324" t="s">
        <v>210</v>
      </c>
      <c r="BH904" s="324" t="s">
        <v>210</v>
      </c>
      <c r="BI904" s="453">
        <v>0.5</v>
      </c>
      <c r="BJ904" s="427" t="s">
        <v>210</v>
      </c>
      <c r="BK904" s="412"/>
      <c r="BL904" s="413"/>
      <c r="BM904" s="414"/>
      <c r="BN904" s="453" t="s">
        <v>210</v>
      </c>
      <c r="BO904" s="464"/>
      <c r="BP904" s="340" t="s">
        <v>210</v>
      </c>
      <c r="BQ904" s="456" t="s">
        <v>6012</v>
      </c>
      <c r="BR904" s="342" t="s">
        <v>210</v>
      </c>
      <c r="BS904" s="342" t="s">
        <v>622</v>
      </c>
      <c r="BT904" s="342" t="s">
        <v>210</v>
      </c>
      <c r="BU904" s="342" t="s">
        <v>210</v>
      </c>
      <c r="BV904" s="342" t="s">
        <v>210</v>
      </c>
      <c r="BW904" s="341" t="s">
        <v>210</v>
      </c>
      <c r="BX904" s="361"/>
      <c r="BY904" s="457" t="s">
        <v>5956</v>
      </c>
      <c r="BZ904" s="363"/>
      <c r="CA904" s="363"/>
      <c r="CB904" s="363"/>
      <c r="CC904" s="363"/>
    </row>
    <row r="905" spans="1:82" s="465" customFormat="1" ht="22.5" customHeight="1">
      <c r="A905" s="287"/>
      <c r="B905" s="749">
        <v>170193</v>
      </c>
      <c r="C905" s="781" t="s">
        <v>7794</v>
      </c>
      <c r="D905" s="751" t="s">
        <v>4849</v>
      </c>
      <c r="E905" s="752" t="s">
        <v>5363</v>
      </c>
      <c r="F905" s="753" t="s">
        <v>226</v>
      </c>
      <c r="G905" s="754" t="s">
        <v>5977</v>
      </c>
      <c r="H905" s="754" t="s">
        <v>6021</v>
      </c>
      <c r="I905" s="662" t="s">
        <v>383</v>
      </c>
      <c r="J905" s="662" t="s">
        <v>399</v>
      </c>
      <c r="K905" s="662" t="s">
        <v>223</v>
      </c>
      <c r="L905" s="676" t="s">
        <v>210</v>
      </c>
      <c r="M905" s="754" t="s">
        <v>10767</v>
      </c>
      <c r="N905" s="755" t="s">
        <v>437</v>
      </c>
      <c r="O905" s="754">
        <v>30</v>
      </c>
      <c r="P905" s="782"/>
      <c r="Q905" s="783"/>
      <c r="R905" s="756" t="s">
        <v>6393</v>
      </c>
      <c r="S905" s="708" t="s">
        <v>12461</v>
      </c>
      <c r="T905" s="708" t="s">
        <v>11829</v>
      </c>
      <c r="U905" s="708" t="s">
        <v>11828</v>
      </c>
      <c r="V905" s="708" t="s">
        <v>12460</v>
      </c>
      <c r="W905" s="669" t="s">
        <v>432</v>
      </c>
      <c r="X905" s="668" t="s">
        <v>11082</v>
      </c>
      <c r="Y905" s="668" t="s">
        <v>11082</v>
      </c>
      <c r="Z905" s="668" t="s">
        <v>11082</v>
      </c>
      <c r="AA905" s="668" t="s">
        <v>210</v>
      </c>
      <c r="AB905" s="758"/>
      <c r="AC905" s="758"/>
      <c r="AD905" s="759"/>
      <c r="AE905" s="760"/>
      <c r="AF905" s="846">
        <v>43004</v>
      </c>
      <c r="AG905" s="674" t="s">
        <v>10514</v>
      </c>
      <c r="AH905" s="765"/>
      <c r="AI905" s="785"/>
      <c r="AJ905" s="785"/>
      <c r="AK905" s="772"/>
      <c r="AL905" s="765"/>
      <c r="AM905" s="785"/>
      <c r="AN905" s="785"/>
      <c r="AO905" s="764"/>
      <c r="AP905" s="688" t="s">
        <v>210</v>
      </c>
      <c r="AQ905" s="762" t="s">
        <v>4547</v>
      </c>
      <c r="AR905" s="763"/>
      <c r="AS905" s="754"/>
      <c r="AT905" s="785">
        <v>0.8</v>
      </c>
      <c r="AU905" s="785"/>
      <c r="AV905" s="785">
        <v>0.8</v>
      </c>
      <c r="AW905" s="764"/>
      <c r="AX905" s="675" t="s">
        <v>210</v>
      </c>
      <c r="AY905" s="772" t="s">
        <v>210</v>
      </c>
      <c r="AZ905" s="753"/>
      <c r="BA905" s="754"/>
      <c r="BB905" s="754"/>
      <c r="BC905" s="754"/>
      <c r="BD905" s="754"/>
      <c r="BE905" s="754"/>
      <c r="BF905" s="754"/>
      <c r="BG905" s="754"/>
      <c r="BH905" s="767"/>
      <c r="BI905" s="765"/>
      <c r="BJ905" s="768"/>
      <c r="BK905" s="769" t="s">
        <v>8818</v>
      </c>
      <c r="BL905" s="766">
        <v>1.6</v>
      </c>
      <c r="BM905" s="770"/>
      <c r="BN905" s="765"/>
      <c r="BO905" s="771"/>
      <c r="BP905" s="772"/>
      <c r="BQ905" s="773"/>
      <c r="BR905" s="688"/>
      <c r="BS905" s="688"/>
      <c r="BT905" s="688" t="s">
        <v>210</v>
      </c>
      <c r="BU905" s="688" t="s">
        <v>210</v>
      </c>
      <c r="BV905" s="688" t="s">
        <v>210</v>
      </c>
      <c r="BW905" s="678" t="s">
        <v>210</v>
      </c>
      <c r="BX905" s="688"/>
      <c r="BY905" s="893" t="s">
        <v>10034</v>
      </c>
      <c r="BZ905" s="894"/>
      <c r="CA905" s="894"/>
      <c r="CB905" s="894"/>
      <c r="CC905" s="894"/>
      <c r="CD905" s="484"/>
    </row>
    <row r="906" spans="1:82" ht="22.5" customHeight="1">
      <c r="B906" s="442">
        <v>170194</v>
      </c>
      <c r="C906" s="443" t="s">
        <v>5984</v>
      </c>
      <c r="D906" s="439" t="s">
        <v>4847</v>
      </c>
      <c r="E906" s="404" t="s">
        <v>5361</v>
      </c>
      <c r="F906" s="405" t="s">
        <v>4072</v>
      </c>
      <c r="G906" s="324" t="s">
        <v>5985</v>
      </c>
      <c r="H906" s="324" t="s">
        <v>5986</v>
      </c>
      <c r="I906" s="326" t="s">
        <v>383</v>
      </c>
      <c r="J906" s="324" t="s">
        <v>216</v>
      </c>
      <c r="K906" s="324" t="s">
        <v>5987</v>
      </c>
      <c r="L906" s="392" t="s">
        <v>210</v>
      </c>
      <c r="M906" s="324" t="s">
        <v>10767</v>
      </c>
      <c r="N906" s="444" t="s">
        <v>521</v>
      </c>
      <c r="O906" s="324">
        <v>30</v>
      </c>
      <c r="P906" s="458">
        <v>504.87</v>
      </c>
      <c r="Q906" s="459">
        <v>190.47</v>
      </c>
      <c r="R906" s="420" t="s">
        <v>5988</v>
      </c>
      <c r="S906" s="394" t="s">
        <v>12454</v>
      </c>
      <c r="T906" s="394" t="s">
        <v>12453</v>
      </c>
      <c r="U906" s="394" t="s">
        <v>12452</v>
      </c>
      <c r="V906" s="394" t="s">
        <v>12455</v>
      </c>
      <c r="W906" s="460" t="s">
        <v>5991</v>
      </c>
      <c r="X906" s="394" t="s">
        <v>12456</v>
      </c>
      <c r="Y906" s="394" t="s">
        <v>12457</v>
      </c>
      <c r="Z906" s="394" t="s">
        <v>12458</v>
      </c>
      <c r="AA906" s="394" t="s">
        <v>12459</v>
      </c>
      <c r="AB906" s="416" t="s">
        <v>5994</v>
      </c>
      <c r="AC906" s="416"/>
      <c r="AD906" s="334" t="s">
        <v>2329</v>
      </c>
      <c r="AE906" s="335" t="s">
        <v>210</v>
      </c>
      <c r="AF906" s="462">
        <v>43015</v>
      </c>
      <c r="AG906" s="748">
        <v>43077</v>
      </c>
      <c r="AH906" s="417" t="s">
        <v>210</v>
      </c>
      <c r="AI906" s="392" t="s">
        <v>210</v>
      </c>
      <c r="AJ906" s="392" t="s">
        <v>210</v>
      </c>
      <c r="AK906" s="340" t="s">
        <v>210</v>
      </c>
      <c r="AL906" s="417" t="s">
        <v>210</v>
      </c>
      <c r="AM906" s="392" t="s">
        <v>210</v>
      </c>
      <c r="AN906" s="392" t="s">
        <v>210</v>
      </c>
      <c r="AO906" s="341" t="s">
        <v>210</v>
      </c>
      <c r="AP906" s="342" t="s">
        <v>210</v>
      </c>
      <c r="AQ906" s="433" t="s">
        <v>6035</v>
      </c>
      <c r="AR906" s="452">
        <v>204</v>
      </c>
      <c r="AS906" s="324">
        <v>100</v>
      </c>
      <c r="AT906" s="432">
        <v>1.2</v>
      </c>
      <c r="AU906" s="432" t="s">
        <v>3434</v>
      </c>
      <c r="AV906" s="432">
        <v>1.2</v>
      </c>
      <c r="AW906" s="490" t="s">
        <v>3434</v>
      </c>
      <c r="AX906" s="417" t="s">
        <v>210</v>
      </c>
      <c r="AY906" s="455" t="s">
        <v>210</v>
      </c>
      <c r="AZ906" s="405" t="s">
        <v>4083</v>
      </c>
      <c r="BA906" s="324" t="s">
        <v>210</v>
      </c>
      <c r="BB906" s="324" t="s">
        <v>210</v>
      </c>
      <c r="BC906" s="324" t="s">
        <v>210</v>
      </c>
      <c r="BD906" s="324" t="s">
        <v>210</v>
      </c>
      <c r="BE906" s="324" t="s">
        <v>5997</v>
      </c>
      <c r="BF906" s="324" t="s">
        <v>3382</v>
      </c>
      <c r="BG906" s="324" t="s">
        <v>5998</v>
      </c>
      <c r="BH906" s="426" t="s">
        <v>3512</v>
      </c>
      <c r="BI906" s="453">
        <v>1.2</v>
      </c>
      <c r="BJ906" s="427" t="s">
        <v>210</v>
      </c>
      <c r="BK906" s="412"/>
      <c r="BL906" s="413"/>
      <c r="BM906" s="414"/>
      <c r="BN906" s="453" t="s">
        <v>622</v>
      </c>
      <c r="BO906" s="464"/>
      <c r="BP906" s="455" t="s">
        <v>622</v>
      </c>
      <c r="BQ906" s="456" t="s">
        <v>1059</v>
      </c>
      <c r="BR906" s="342" t="s">
        <v>210</v>
      </c>
      <c r="BS906" s="342" t="s">
        <v>622</v>
      </c>
      <c r="BT906" s="342" t="s">
        <v>210</v>
      </c>
      <c r="BU906" s="342" t="s">
        <v>210</v>
      </c>
      <c r="BV906" s="342" t="s">
        <v>210</v>
      </c>
      <c r="BW906" s="341" t="s">
        <v>210</v>
      </c>
      <c r="BX906" s="361"/>
      <c r="BY906" s="457"/>
      <c r="BZ906" s="363"/>
      <c r="CA906" s="363"/>
      <c r="CB906" s="363"/>
      <c r="CC906" s="363"/>
    </row>
    <row r="907" spans="1:82" ht="22.5" customHeight="1">
      <c r="B907" s="442">
        <v>170196</v>
      </c>
      <c r="C907" s="443" t="s">
        <v>6001</v>
      </c>
      <c r="D907" s="439" t="s">
        <v>4849</v>
      </c>
      <c r="E907" s="404" t="s">
        <v>5362</v>
      </c>
      <c r="F907" s="405" t="s">
        <v>6004</v>
      </c>
      <c r="G907" s="324" t="s">
        <v>6005</v>
      </c>
      <c r="H907" s="324" t="s">
        <v>6006</v>
      </c>
      <c r="I907" s="326" t="s">
        <v>383</v>
      </c>
      <c r="J907" s="326" t="s">
        <v>399</v>
      </c>
      <c r="K907" s="326" t="s">
        <v>223</v>
      </c>
      <c r="L907" s="392" t="s">
        <v>210</v>
      </c>
      <c r="M907" s="324" t="s">
        <v>10767</v>
      </c>
      <c r="N907" s="444" t="s">
        <v>438</v>
      </c>
      <c r="O907" s="324">
        <v>40</v>
      </c>
      <c r="P907" s="458">
        <v>1092</v>
      </c>
      <c r="Q907" s="459">
        <v>1179</v>
      </c>
      <c r="R907" s="329" t="s">
        <v>999</v>
      </c>
      <c r="S907" s="394" t="s">
        <v>12122</v>
      </c>
      <c r="T907" s="394" t="s">
        <v>11262</v>
      </c>
      <c r="U907" s="394" t="s">
        <v>16414</v>
      </c>
      <c r="V907" s="394" t="s">
        <v>11263</v>
      </c>
      <c r="W907" s="332" t="s">
        <v>12451</v>
      </c>
      <c r="X907" s="331" t="s">
        <v>12214</v>
      </c>
      <c r="Y907" s="331" t="s">
        <v>12215</v>
      </c>
      <c r="Z907" s="331" t="s">
        <v>12414</v>
      </c>
      <c r="AA907" s="331" t="s">
        <v>12216</v>
      </c>
      <c r="AB907" s="416"/>
      <c r="AC907" s="416"/>
      <c r="AD907" s="334" t="s">
        <v>2321</v>
      </c>
      <c r="AE907" s="499" t="s">
        <v>1038</v>
      </c>
      <c r="AF907" s="462">
        <v>43015</v>
      </c>
      <c r="AG907" s="748">
        <v>43063</v>
      </c>
      <c r="AH907" s="417" t="s">
        <v>210</v>
      </c>
      <c r="AI907" s="392" t="s">
        <v>210</v>
      </c>
      <c r="AJ907" s="392" t="s">
        <v>210</v>
      </c>
      <c r="AK907" s="340" t="s">
        <v>210</v>
      </c>
      <c r="AL907" s="417" t="s">
        <v>210</v>
      </c>
      <c r="AM907" s="392" t="s">
        <v>210</v>
      </c>
      <c r="AN907" s="392" t="s">
        <v>210</v>
      </c>
      <c r="AO907" s="341" t="s">
        <v>210</v>
      </c>
      <c r="AP907" s="342" t="s">
        <v>210</v>
      </c>
      <c r="AQ907" s="433" t="s">
        <v>4547</v>
      </c>
      <c r="AR907" s="452">
        <v>1497</v>
      </c>
      <c r="AS907" s="324">
        <v>80</v>
      </c>
      <c r="AT907" s="432">
        <v>1</v>
      </c>
      <c r="AU907" s="432" t="s">
        <v>3372</v>
      </c>
      <c r="AV907" s="432">
        <v>1.5</v>
      </c>
      <c r="AW907" s="490" t="s">
        <v>3372</v>
      </c>
      <c r="AX907" s="417" t="s">
        <v>210</v>
      </c>
      <c r="AY907" s="455" t="s">
        <v>210</v>
      </c>
      <c r="AZ907" s="405" t="s">
        <v>622</v>
      </c>
      <c r="BA907" s="324" t="s">
        <v>3475</v>
      </c>
      <c r="BB907" s="324" t="s">
        <v>6002</v>
      </c>
      <c r="BC907" s="324" t="s">
        <v>6003</v>
      </c>
      <c r="BD907" s="324" t="s">
        <v>6002</v>
      </c>
      <c r="BE907" s="324" t="s">
        <v>3557</v>
      </c>
      <c r="BF907" s="324" t="s">
        <v>6002</v>
      </c>
      <c r="BG907" s="324" t="s">
        <v>210</v>
      </c>
      <c r="BH907" s="324" t="s">
        <v>210</v>
      </c>
      <c r="BI907" s="453">
        <v>0.7</v>
      </c>
      <c r="BJ907" s="427">
        <v>1.64</v>
      </c>
      <c r="BK907" s="412"/>
      <c r="BL907" s="413"/>
      <c r="BM907" s="414"/>
      <c r="BN907" s="453" t="s">
        <v>622</v>
      </c>
      <c r="BO907" s="464"/>
      <c r="BP907" s="492"/>
      <c r="BQ907" s="456" t="s">
        <v>9905</v>
      </c>
      <c r="BR907" s="342" t="s">
        <v>210</v>
      </c>
      <c r="BS907" s="342" t="s">
        <v>622</v>
      </c>
      <c r="BT907" s="342" t="s">
        <v>210</v>
      </c>
      <c r="BU907" s="342" t="s">
        <v>210</v>
      </c>
      <c r="BV907" s="342" t="s">
        <v>210</v>
      </c>
      <c r="BW907" s="341" t="s">
        <v>210</v>
      </c>
      <c r="BX907" s="361"/>
      <c r="BY907" s="457"/>
      <c r="BZ907" s="363"/>
      <c r="CA907" s="363"/>
      <c r="CB907" s="363"/>
      <c r="CC907" s="363"/>
    </row>
    <row r="908" spans="1:82" ht="22.5" customHeight="1">
      <c r="B908" s="442">
        <v>170197</v>
      </c>
      <c r="C908" s="443" t="s">
        <v>6436</v>
      </c>
      <c r="D908" s="467" t="s">
        <v>6594</v>
      </c>
      <c r="E908" s="404" t="s">
        <v>5362</v>
      </c>
      <c r="F908" s="405" t="s">
        <v>6013</v>
      </c>
      <c r="G908" s="324" t="s">
        <v>6014</v>
      </c>
      <c r="H908" s="324" t="s">
        <v>6015</v>
      </c>
      <c r="I908" s="326" t="s">
        <v>383</v>
      </c>
      <c r="J908" s="326" t="s">
        <v>399</v>
      </c>
      <c r="K908" s="324" t="s">
        <v>6552</v>
      </c>
      <c r="L908" s="342">
        <v>5</v>
      </c>
      <c r="M908" s="324" t="s">
        <v>10767</v>
      </c>
      <c r="N908" s="444" t="s">
        <v>438</v>
      </c>
      <c r="O908" s="324">
        <v>40</v>
      </c>
      <c r="P908" s="816">
        <v>1430</v>
      </c>
      <c r="Q908" s="817">
        <v>1430</v>
      </c>
      <c r="R908" s="420" t="s">
        <v>6437</v>
      </c>
      <c r="S908" s="394" t="s">
        <v>12447</v>
      </c>
      <c r="T908" s="394" t="s">
        <v>12448</v>
      </c>
      <c r="U908" s="394" t="s">
        <v>12449</v>
      </c>
      <c r="V908" s="394" t="s">
        <v>12450</v>
      </c>
      <c r="W908" s="332" t="s">
        <v>432</v>
      </c>
      <c r="X908" s="331" t="s">
        <v>11079</v>
      </c>
      <c r="Y908" s="331" t="s">
        <v>11080</v>
      </c>
      <c r="Z908" s="331" t="s">
        <v>11080</v>
      </c>
      <c r="AA908" s="331" t="s">
        <v>6574</v>
      </c>
      <c r="AB908" s="416" t="s">
        <v>513</v>
      </c>
      <c r="AC908" s="416"/>
      <c r="AD908" s="334" t="s">
        <v>7552</v>
      </c>
      <c r="AE908" s="499" t="s">
        <v>811</v>
      </c>
      <c r="AF908" s="462">
        <v>43019</v>
      </c>
      <c r="AG908" s="748">
        <v>43168</v>
      </c>
      <c r="AH908" s="453">
        <v>6.5</v>
      </c>
      <c r="AI908" s="432">
        <v>20.399999999999999</v>
      </c>
      <c r="AJ908" s="432">
        <v>20.6</v>
      </c>
      <c r="AK908" s="455">
        <v>47.5</v>
      </c>
      <c r="AL908" s="417" t="s">
        <v>210</v>
      </c>
      <c r="AM908" s="392" t="s">
        <v>210</v>
      </c>
      <c r="AN908" s="392" t="s">
        <v>210</v>
      </c>
      <c r="AO908" s="341" t="s">
        <v>210</v>
      </c>
      <c r="AP908" s="342" t="s">
        <v>210</v>
      </c>
      <c r="AQ908" s="433" t="s">
        <v>4547</v>
      </c>
      <c r="AR908" s="452">
        <v>1070</v>
      </c>
      <c r="AS908" s="324">
        <v>100</v>
      </c>
      <c r="AT908" s="432">
        <v>1</v>
      </c>
      <c r="AU908" s="432" t="s">
        <v>5246</v>
      </c>
      <c r="AV908" s="432">
        <v>3.4</v>
      </c>
      <c r="AW908" s="490" t="s">
        <v>6698</v>
      </c>
      <c r="AX908" s="453" t="s">
        <v>6697</v>
      </c>
      <c r="AY908" s="429" t="s">
        <v>6696</v>
      </c>
      <c r="AZ908" s="405" t="s">
        <v>4083</v>
      </c>
      <c r="BA908" s="324" t="s">
        <v>210</v>
      </c>
      <c r="BB908" s="324" t="s">
        <v>210</v>
      </c>
      <c r="BC908" s="324" t="s">
        <v>6016</v>
      </c>
      <c r="BD908" s="324" t="s">
        <v>3492</v>
      </c>
      <c r="BE908" s="324" t="s">
        <v>6017</v>
      </c>
      <c r="BF908" s="324" t="s">
        <v>3372</v>
      </c>
      <c r="BG908" s="324" t="s">
        <v>210</v>
      </c>
      <c r="BH908" s="324" t="s">
        <v>210</v>
      </c>
      <c r="BI908" s="453">
        <v>3.4</v>
      </c>
      <c r="BJ908" s="427" t="s">
        <v>9793</v>
      </c>
      <c r="BK908" s="412"/>
      <c r="BL908" s="413"/>
      <c r="BM908" s="414"/>
      <c r="BN908" s="453" t="s">
        <v>6695</v>
      </c>
      <c r="BO908" s="464"/>
      <c r="BP908" s="455" t="s">
        <v>622</v>
      </c>
      <c r="BQ908" s="456" t="s">
        <v>5610</v>
      </c>
      <c r="BR908" s="342" t="s">
        <v>6710</v>
      </c>
      <c r="BS908" s="342" t="s">
        <v>622</v>
      </c>
      <c r="BT908" s="342" t="s">
        <v>6695</v>
      </c>
      <c r="BU908" s="342" t="s">
        <v>210</v>
      </c>
      <c r="BV908" s="342" t="s">
        <v>210</v>
      </c>
      <c r="BW908" s="341" t="s">
        <v>210</v>
      </c>
      <c r="BX908" s="361"/>
      <c r="BY908" s="457"/>
      <c r="BZ908" s="363"/>
      <c r="CA908" s="363"/>
      <c r="CB908" s="363"/>
      <c r="CC908" s="363"/>
    </row>
    <row r="909" spans="1:82" ht="22.5" customHeight="1">
      <c r="B909" s="442" t="s">
        <v>6065</v>
      </c>
      <c r="C909" s="443" t="s">
        <v>6045</v>
      </c>
      <c r="D909" s="439" t="s">
        <v>4854</v>
      </c>
      <c r="E909" s="404" t="s">
        <v>5363</v>
      </c>
      <c r="F909" s="405" t="s">
        <v>240</v>
      </c>
      <c r="G909" s="324" t="s">
        <v>2271</v>
      </c>
      <c r="H909" s="324" t="s">
        <v>6047</v>
      </c>
      <c r="I909" s="326" t="s">
        <v>383</v>
      </c>
      <c r="J909" s="326" t="s">
        <v>399</v>
      </c>
      <c r="K909" s="326" t="s">
        <v>223</v>
      </c>
      <c r="L909" s="392" t="s">
        <v>210</v>
      </c>
      <c r="M909" s="324" t="s">
        <v>6509</v>
      </c>
      <c r="N909" s="444" t="s">
        <v>438</v>
      </c>
      <c r="O909" s="324">
        <v>30</v>
      </c>
      <c r="P909" s="458">
        <v>4600</v>
      </c>
      <c r="Q909" s="459">
        <v>4600</v>
      </c>
      <c r="R909" s="329" t="s">
        <v>447</v>
      </c>
      <c r="S909" s="394" t="s">
        <v>11188</v>
      </c>
      <c r="T909" s="331" t="s">
        <v>11087</v>
      </c>
      <c r="U909" s="331" t="s">
        <v>16355</v>
      </c>
      <c r="V909" s="394" t="s">
        <v>11189</v>
      </c>
      <c r="W909" s="332" t="s">
        <v>432</v>
      </c>
      <c r="X909" s="331" t="s">
        <v>11079</v>
      </c>
      <c r="Y909" s="331" t="s">
        <v>11080</v>
      </c>
      <c r="Z909" s="331" t="s">
        <v>11080</v>
      </c>
      <c r="AA909" s="331" t="s">
        <v>6574</v>
      </c>
      <c r="AB909" s="416"/>
      <c r="AC909" s="416"/>
      <c r="AD909" s="447" t="s">
        <v>730</v>
      </c>
      <c r="AE909" s="499" t="s">
        <v>298</v>
      </c>
      <c r="AF909" s="462">
        <v>43026</v>
      </c>
      <c r="AG909" s="748">
        <v>43218</v>
      </c>
      <c r="AH909" s="486">
        <v>16.899999999999999</v>
      </c>
      <c r="AI909" s="487">
        <v>39.9</v>
      </c>
      <c r="AJ909" s="487">
        <v>32.299999999999997</v>
      </c>
      <c r="AK909" s="895">
        <v>89.2</v>
      </c>
      <c r="AL909" s="453" t="s">
        <v>6170</v>
      </c>
      <c r="AM909" s="432" t="s">
        <v>6170</v>
      </c>
      <c r="AN909" s="432" t="s">
        <v>210</v>
      </c>
      <c r="AO909" s="490" t="s">
        <v>6172</v>
      </c>
      <c r="AP909" s="342" t="s">
        <v>210</v>
      </c>
      <c r="AQ909" s="433" t="s">
        <v>4547</v>
      </c>
      <c r="AR909" s="452">
        <v>4500</v>
      </c>
      <c r="AS909" s="324">
        <v>150</v>
      </c>
      <c r="AT909" s="432">
        <v>0.8</v>
      </c>
      <c r="AU909" s="432" t="s">
        <v>5246</v>
      </c>
      <c r="AV909" s="432">
        <v>0.8</v>
      </c>
      <c r="AW909" s="490" t="s">
        <v>5246</v>
      </c>
      <c r="AX909" s="417" t="s">
        <v>210</v>
      </c>
      <c r="AY909" s="429" t="s">
        <v>622</v>
      </c>
      <c r="AZ909" s="405" t="s">
        <v>4083</v>
      </c>
      <c r="BA909" s="324" t="s">
        <v>210</v>
      </c>
      <c r="BB909" s="324" t="s">
        <v>6170</v>
      </c>
      <c r="BC909" s="324" t="s">
        <v>6170</v>
      </c>
      <c r="BD909" s="324" t="s">
        <v>6170</v>
      </c>
      <c r="BE909" s="324" t="s">
        <v>6171</v>
      </c>
      <c r="BF909" s="324" t="s">
        <v>5487</v>
      </c>
      <c r="BG909" s="324" t="s">
        <v>6170</v>
      </c>
      <c r="BH909" s="426" t="s">
        <v>6170</v>
      </c>
      <c r="BI909" s="453">
        <v>3</v>
      </c>
      <c r="BJ909" s="427" t="s">
        <v>210</v>
      </c>
      <c r="BK909" s="412"/>
      <c r="BL909" s="413"/>
      <c r="BM909" s="414"/>
      <c r="BN909" s="453" t="s">
        <v>622</v>
      </c>
      <c r="BO909" s="464"/>
      <c r="BP909" s="455" t="s">
        <v>210</v>
      </c>
      <c r="BQ909" s="896" t="s">
        <v>6173</v>
      </c>
      <c r="BR909" s="342" t="s">
        <v>210</v>
      </c>
      <c r="BS909" s="342" t="s">
        <v>622</v>
      </c>
      <c r="BT909" s="342" t="s">
        <v>210</v>
      </c>
      <c r="BU909" s="342" t="s">
        <v>210</v>
      </c>
      <c r="BV909" s="342" t="s">
        <v>210</v>
      </c>
      <c r="BW909" s="341" t="s">
        <v>210</v>
      </c>
      <c r="BX909" s="361"/>
      <c r="BY909" s="888" t="s">
        <v>6924</v>
      </c>
      <c r="BZ909" s="889"/>
      <c r="CA909" s="889"/>
      <c r="CB909" s="889"/>
      <c r="CC909" s="889"/>
    </row>
    <row r="910" spans="1:82" s="465" customFormat="1" ht="22.5" customHeight="1">
      <c r="A910" s="287"/>
      <c r="B910" s="749" t="s">
        <v>6066</v>
      </c>
      <c r="C910" s="781" t="s">
        <v>6046</v>
      </c>
      <c r="D910" s="751"/>
      <c r="E910" s="752" t="s">
        <v>5363</v>
      </c>
      <c r="F910" s="753" t="s">
        <v>240</v>
      </c>
      <c r="G910" s="754" t="s">
        <v>2271</v>
      </c>
      <c r="H910" s="754" t="s">
        <v>6047</v>
      </c>
      <c r="I910" s="662" t="s">
        <v>383</v>
      </c>
      <c r="J910" s="662" t="s">
        <v>399</v>
      </c>
      <c r="K910" s="662" t="s">
        <v>223</v>
      </c>
      <c r="L910" s="676" t="s">
        <v>210</v>
      </c>
      <c r="M910" s="754"/>
      <c r="N910" s="755"/>
      <c r="O910" s="754"/>
      <c r="P910" s="782"/>
      <c r="Q910" s="783"/>
      <c r="R910" s="667" t="s">
        <v>447</v>
      </c>
      <c r="S910" s="668" t="s">
        <v>12446</v>
      </c>
      <c r="T910" s="668" t="s">
        <v>11078</v>
      </c>
      <c r="U910" s="668" t="s">
        <v>16355</v>
      </c>
      <c r="V910" s="668" t="s">
        <v>15056</v>
      </c>
      <c r="W910" s="669" t="s">
        <v>432</v>
      </c>
      <c r="X910" s="668" t="s">
        <v>11082</v>
      </c>
      <c r="Y910" s="668" t="s">
        <v>11082</v>
      </c>
      <c r="Z910" s="668" t="s">
        <v>11082</v>
      </c>
      <c r="AA910" s="668" t="s">
        <v>210</v>
      </c>
      <c r="AB910" s="758"/>
      <c r="AC910" s="758"/>
      <c r="AD910" s="671" t="s">
        <v>210</v>
      </c>
      <c r="AE910" s="672" t="s">
        <v>210</v>
      </c>
      <c r="AF910" s="846">
        <v>43026</v>
      </c>
      <c r="AG910" s="674" t="s">
        <v>10514</v>
      </c>
      <c r="AH910" s="765"/>
      <c r="AI910" s="785"/>
      <c r="AJ910" s="785"/>
      <c r="AK910" s="772"/>
      <c r="AL910" s="765"/>
      <c r="AM910" s="785"/>
      <c r="AN910" s="785"/>
      <c r="AO910" s="764"/>
      <c r="AP910" s="784"/>
      <c r="AQ910" s="762" t="s">
        <v>4547</v>
      </c>
      <c r="AR910" s="763"/>
      <c r="AS910" s="754"/>
      <c r="AT910" s="785"/>
      <c r="AU910" s="785"/>
      <c r="AV910" s="785"/>
      <c r="AW910" s="764"/>
      <c r="AX910" s="675" t="s">
        <v>210</v>
      </c>
      <c r="AY910" s="766"/>
      <c r="AZ910" s="753"/>
      <c r="BA910" s="754"/>
      <c r="BB910" s="754"/>
      <c r="BC910" s="754"/>
      <c r="BD910" s="754"/>
      <c r="BE910" s="754"/>
      <c r="BF910" s="754"/>
      <c r="BG910" s="754"/>
      <c r="BH910" s="767"/>
      <c r="BI910" s="765"/>
      <c r="BJ910" s="768"/>
      <c r="BK910" s="769"/>
      <c r="BL910" s="766"/>
      <c r="BM910" s="770"/>
      <c r="BN910" s="765"/>
      <c r="BO910" s="771"/>
      <c r="BP910" s="772"/>
      <c r="BQ910" s="773"/>
      <c r="BR910" s="688"/>
      <c r="BS910" s="688" t="s">
        <v>622</v>
      </c>
      <c r="BT910" s="688" t="s">
        <v>210</v>
      </c>
      <c r="BU910" s="688" t="s">
        <v>210</v>
      </c>
      <c r="BV910" s="688" t="s">
        <v>210</v>
      </c>
      <c r="BW910" s="678" t="s">
        <v>210</v>
      </c>
      <c r="BX910" s="688"/>
      <c r="BY910" s="774"/>
      <c r="BZ910" s="483"/>
      <c r="CA910" s="483"/>
      <c r="CB910" s="483"/>
      <c r="CC910" s="483"/>
      <c r="CD910" s="484"/>
    </row>
    <row r="911" spans="1:82" ht="22.5" customHeight="1">
      <c r="B911" s="442">
        <v>170200</v>
      </c>
      <c r="C911" s="443" t="s">
        <v>6022</v>
      </c>
      <c r="D911" s="439" t="s">
        <v>4849</v>
      </c>
      <c r="E911" s="404" t="s">
        <v>5362</v>
      </c>
      <c r="F911" s="405" t="s">
        <v>839</v>
      </c>
      <c r="G911" s="324" t="s">
        <v>6023</v>
      </c>
      <c r="H911" s="324" t="s">
        <v>6024</v>
      </c>
      <c r="I911" s="326" t="s">
        <v>383</v>
      </c>
      <c r="J911" s="326" t="s">
        <v>387</v>
      </c>
      <c r="K911" s="324" t="s">
        <v>6025</v>
      </c>
      <c r="L911" s="392" t="s">
        <v>210</v>
      </c>
      <c r="M911" s="324" t="s">
        <v>6625</v>
      </c>
      <c r="N911" s="444" t="s">
        <v>437</v>
      </c>
      <c r="O911" s="324">
        <v>35</v>
      </c>
      <c r="P911" s="816">
        <f>Q911*2</f>
        <v>262.8</v>
      </c>
      <c r="Q911" s="817">
        <f>7.3*18</f>
        <v>131.4</v>
      </c>
      <c r="R911" s="420" t="s">
        <v>6026</v>
      </c>
      <c r="S911" s="400"/>
      <c r="T911" s="400"/>
      <c r="U911" s="400"/>
      <c r="V911" s="400"/>
      <c r="W911" s="460" t="s">
        <v>6027</v>
      </c>
      <c r="X911" s="394" t="s">
        <v>12442</v>
      </c>
      <c r="Y911" s="394" t="s">
        <v>12443</v>
      </c>
      <c r="Z911" s="394" t="s">
        <v>12444</v>
      </c>
      <c r="AA911" s="394" t="s">
        <v>12445</v>
      </c>
      <c r="AB911" s="416"/>
      <c r="AC911" s="416"/>
      <c r="AD911" s="334" t="s">
        <v>6119</v>
      </c>
      <c r="AE911" s="335" t="s">
        <v>210</v>
      </c>
      <c r="AF911" s="462">
        <v>43021</v>
      </c>
      <c r="AG911" s="748">
        <v>43031</v>
      </c>
      <c r="AH911" s="417" t="s">
        <v>210</v>
      </c>
      <c r="AI911" s="392" t="s">
        <v>210</v>
      </c>
      <c r="AJ911" s="392" t="s">
        <v>210</v>
      </c>
      <c r="AK911" s="340" t="s">
        <v>210</v>
      </c>
      <c r="AL911" s="417" t="s">
        <v>210</v>
      </c>
      <c r="AM911" s="392" t="s">
        <v>210</v>
      </c>
      <c r="AN911" s="392" t="s">
        <v>210</v>
      </c>
      <c r="AO911" s="341" t="s">
        <v>210</v>
      </c>
      <c r="AP911" s="342" t="s">
        <v>210</v>
      </c>
      <c r="AQ911" s="433" t="s">
        <v>4548</v>
      </c>
      <c r="AR911" s="452">
        <v>201</v>
      </c>
      <c r="AS911" s="324">
        <v>80</v>
      </c>
      <c r="AT911" s="432">
        <v>1.5</v>
      </c>
      <c r="AU911" s="432" t="s">
        <v>3627</v>
      </c>
      <c r="AV911" s="432">
        <v>1</v>
      </c>
      <c r="AW911" s="490" t="s">
        <v>3627</v>
      </c>
      <c r="AX911" s="417" t="s">
        <v>210</v>
      </c>
      <c r="AY911" s="455" t="s">
        <v>210</v>
      </c>
      <c r="AZ911" s="405" t="s">
        <v>4083</v>
      </c>
      <c r="BA911" s="324" t="s">
        <v>210</v>
      </c>
      <c r="BB911" s="324" t="s">
        <v>210</v>
      </c>
      <c r="BC911" s="324" t="s">
        <v>6032</v>
      </c>
      <c r="BD911" s="324" t="s">
        <v>3372</v>
      </c>
      <c r="BE911" s="324" t="s">
        <v>3557</v>
      </c>
      <c r="BF911" s="324" t="s">
        <v>3372</v>
      </c>
      <c r="BG911" s="324" t="s">
        <v>6033</v>
      </c>
      <c r="BH911" s="426" t="s">
        <v>6034</v>
      </c>
      <c r="BI911" s="453">
        <v>1.4</v>
      </c>
      <c r="BJ911" s="427" t="s">
        <v>210</v>
      </c>
      <c r="BK911" s="412"/>
      <c r="BL911" s="413"/>
      <c r="BM911" s="414"/>
      <c r="BN911" s="453" t="s">
        <v>622</v>
      </c>
      <c r="BO911" s="464"/>
      <c r="BP911" s="455" t="s">
        <v>622</v>
      </c>
      <c r="BQ911" s="456" t="s">
        <v>1059</v>
      </c>
      <c r="BR911" s="342" t="s">
        <v>210</v>
      </c>
      <c r="BS911" s="342" t="s">
        <v>622</v>
      </c>
      <c r="BT911" s="342" t="s">
        <v>210</v>
      </c>
      <c r="BU911" s="342" t="s">
        <v>210</v>
      </c>
      <c r="BV911" s="342" t="s">
        <v>210</v>
      </c>
      <c r="BW911" s="341" t="s">
        <v>210</v>
      </c>
      <c r="BX911" s="361"/>
      <c r="BY911" s="457"/>
      <c r="BZ911" s="363"/>
      <c r="CA911" s="363"/>
      <c r="CB911" s="363"/>
      <c r="CC911" s="363"/>
    </row>
    <row r="912" spans="1:82" ht="22.5" customHeight="1">
      <c r="B912" s="442">
        <v>170201</v>
      </c>
      <c r="C912" s="443" t="s">
        <v>6039</v>
      </c>
      <c r="D912" s="467" t="s">
        <v>5640</v>
      </c>
      <c r="E912" s="404" t="s">
        <v>5361</v>
      </c>
      <c r="F912" s="405" t="s">
        <v>709</v>
      </c>
      <c r="G912" s="324" t="s">
        <v>6040</v>
      </c>
      <c r="H912" s="324" t="s">
        <v>6041</v>
      </c>
      <c r="I912" s="326" t="s">
        <v>383</v>
      </c>
      <c r="J912" s="326" t="s">
        <v>387</v>
      </c>
      <c r="K912" s="324" t="s">
        <v>3400</v>
      </c>
      <c r="L912" s="342">
        <v>4</v>
      </c>
      <c r="M912" s="324" t="s">
        <v>10767</v>
      </c>
      <c r="N912" s="444" t="s">
        <v>438</v>
      </c>
      <c r="O912" s="324">
        <v>30</v>
      </c>
      <c r="P912" s="458">
        <v>1351.1</v>
      </c>
      <c r="Q912" s="459">
        <v>722.6</v>
      </c>
      <c r="R912" s="420" t="s">
        <v>15055</v>
      </c>
      <c r="S912" s="394" t="s">
        <v>12440</v>
      </c>
      <c r="T912" s="400"/>
      <c r="U912" s="394" t="s">
        <v>16272</v>
      </c>
      <c r="V912" s="394" t="s">
        <v>12441</v>
      </c>
      <c r="W912" s="332" t="s">
        <v>432</v>
      </c>
      <c r="X912" s="331" t="s">
        <v>11079</v>
      </c>
      <c r="Y912" s="331" t="s">
        <v>11080</v>
      </c>
      <c r="Z912" s="331" t="s">
        <v>11080</v>
      </c>
      <c r="AA912" s="331" t="s">
        <v>6574</v>
      </c>
      <c r="AB912" s="416"/>
      <c r="AC912" s="416"/>
      <c r="AD912" s="334" t="s">
        <v>2327</v>
      </c>
      <c r="AE912" s="499" t="s">
        <v>922</v>
      </c>
      <c r="AF912" s="462">
        <v>43026</v>
      </c>
      <c r="AG912" s="748">
        <v>43202</v>
      </c>
      <c r="AH912" s="486" t="s">
        <v>6225</v>
      </c>
      <c r="AI912" s="487" t="s">
        <v>6226</v>
      </c>
      <c r="AJ912" s="487" t="s">
        <v>6227</v>
      </c>
      <c r="AK912" s="895" t="s">
        <v>6228</v>
      </c>
      <c r="AL912" s="417" t="s">
        <v>210</v>
      </c>
      <c r="AM912" s="392" t="s">
        <v>210</v>
      </c>
      <c r="AN912" s="392" t="s">
        <v>210</v>
      </c>
      <c r="AO912" s="341" t="s">
        <v>210</v>
      </c>
      <c r="AP912" s="342" t="s">
        <v>210</v>
      </c>
      <c r="AQ912" s="433" t="s">
        <v>4547</v>
      </c>
      <c r="AR912" s="452">
        <v>1318</v>
      </c>
      <c r="AS912" s="324">
        <v>100</v>
      </c>
      <c r="AT912" s="432">
        <v>1</v>
      </c>
      <c r="AU912" s="432" t="s">
        <v>6229</v>
      </c>
      <c r="AV912" s="432">
        <v>1.5</v>
      </c>
      <c r="AW912" s="490" t="s">
        <v>6230</v>
      </c>
      <c r="AX912" s="417" t="s">
        <v>210</v>
      </c>
      <c r="AY912" s="455" t="s">
        <v>210</v>
      </c>
      <c r="AZ912" s="405" t="s">
        <v>622</v>
      </c>
      <c r="BA912" s="324" t="s">
        <v>6042</v>
      </c>
      <c r="BB912" s="324" t="s">
        <v>3495</v>
      </c>
      <c r="BC912" s="324" t="s">
        <v>6043</v>
      </c>
      <c r="BD912" s="324" t="s">
        <v>3512</v>
      </c>
      <c r="BE912" s="324" t="s">
        <v>6044</v>
      </c>
      <c r="BF912" s="324" t="s">
        <v>3424</v>
      </c>
      <c r="BG912" s="324" t="s">
        <v>6043</v>
      </c>
      <c r="BH912" s="426" t="s">
        <v>3574</v>
      </c>
      <c r="BI912" s="453">
        <v>1.4</v>
      </c>
      <c r="BJ912" s="427" t="s">
        <v>210</v>
      </c>
      <c r="BK912" s="412"/>
      <c r="BL912" s="413"/>
      <c r="BM912" s="414"/>
      <c r="BN912" s="453" t="s">
        <v>622</v>
      </c>
      <c r="BO912" s="464"/>
      <c r="BP912" s="340" t="s">
        <v>210</v>
      </c>
      <c r="BQ912" s="456" t="s">
        <v>5610</v>
      </c>
      <c r="BR912" s="342" t="s">
        <v>210</v>
      </c>
      <c r="BS912" s="342" t="s">
        <v>622</v>
      </c>
      <c r="BT912" s="342" t="s">
        <v>210</v>
      </c>
      <c r="BU912" s="342" t="s">
        <v>210</v>
      </c>
      <c r="BV912" s="342" t="s">
        <v>210</v>
      </c>
      <c r="BW912" s="341" t="s">
        <v>210</v>
      </c>
      <c r="BX912" s="361"/>
      <c r="BY912" s="457"/>
      <c r="BZ912" s="363"/>
      <c r="CA912" s="363"/>
      <c r="CB912" s="363"/>
      <c r="CC912" s="363"/>
    </row>
    <row r="913" spans="1:82" ht="22.5" customHeight="1">
      <c r="B913" s="442">
        <v>170202</v>
      </c>
      <c r="C913" s="443" t="s">
        <v>6075</v>
      </c>
      <c r="D913" s="439" t="s">
        <v>4847</v>
      </c>
      <c r="E913" s="404" t="s">
        <v>5362</v>
      </c>
      <c r="F913" s="405" t="s">
        <v>6067</v>
      </c>
      <c r="G913" s="324" t="s">
        <v>6068</v>
      </c>
      <c r="H913" s="324" t="s">
        <v>6069</v>
      </c>
      <c r="I913" s="326" t="s">
        <v>383</v>
      </c>
      <c r="J913" s="326" t="s">
        <v>399</v>
      </c>
      <c r="K913" s="326" t="s">
        <v>223</v>
      </c>
      <c r="L913" s="392" t="s">
        <v>210</v>
      </c>
      <c r="M913" s="324" t="s">
        <v>10767</v>
      </c>
      <c r="N913" s="444" t="s">
        <v>437</v>
      </c>
      <c r="O913" s="324">
        <v>40</v>
      </c>
      <c r="P913" s="458">
        <v>606</v>
      </c>
      <c r="Q913" s="459">
        <v>615</v>
      </c>
      <c r="R913" s="329" t="s">
        <v>1098</v>
      </c>
      <c r="S913" s="400"/>
      <c r="T913" s="394" t="s">
        <v>12439</v>
      </c>
      <c r="U913" s="394" t="s">
        <v>16310</v>
      </c>
      <c r="V913" s="400"/>
      <c r="W913" s="460" t="s">
        <v>3800</v>
      </c>
      <c r="X913" s="394" t="s">
        <v>11416</v>
      </c>
      <c r="Y913" s="394" t="s">
        <v>11417</v>
      </c>
      <c r="Z913" s="394" t="s">
        <v>11418</v>
      </c>
      <c r="AA913" s="394" t="s">
        <v>11419</v>
      </c>
      <c r="AB913" s="416"/>
      <c r="AC913" s="416"/>
      <c r="AD913" s="334" t="s">
        <v>2326</v>
      </c>
      <c r="AE913" s="335" t="s">
        <v>210</v>
      </c>
      <c r="AF913" s="462">
        <v>43033</v>
      </c>
      <c r="AG913" s="748">
        <v>43088</v>
      </c>
      <c r="AH913" s="417" t="s">
        <v>210</v>
      </c>
      <c r="AI913" s="392" t="s">
        <v>210</v>
      </c>
      <c r="AJ913" s="392" t="s">
        <v>210</v>
      </c>
      <c r="AK913" s="340" t="s">
        <v>210</v>
      </c>
      <c r="AL913" s="417" t="s">
        <v>210</v>
      </c>
      <c r="AM913" s="392" t="s">
        <v>210</v>
      </c>
      <c r="AN913" s="392" t="s">
        <v>210</v>
      </c>
      <c r="AO913" s="341" t="s">
        <v>210</v>
      </c>
      <c r="AP913" s="342" t="s">
        <v>210</v>
      </c>
      <c r="AQ913" s="433" t="s">
        <v>4547</v>
      </c>
      <c r="AR913" s="452">
        <v>857</v>
      </c>
      <c r="AS913" s="324">
        <v>80</v>
      </c>
      <c r="AT913" s="432">
        <v>1</v>
      </c>
      <c r="AU913" s="432" t="s">
        <v>5246</v>
      </c>
      <c r="AV913" s="432">
        <v>1.5</v>
      </c>
      <c r="AW913" s="490" t="s">
        <v>5246</v>
      </c>
      <c r="AX913" s="417" t="s">
        <v>210</v>
      </c>
      <c r="AY913" s="455" t="s">
        <v>210</v>
      </c>
      <c r="AZ913" s="405" t="s">
        <v>622</v>
      </c>
      <c r="BA913" s="324" t="s">
        <v>6070</v>
      </c>
      <c r="BB913" s="324" t="s">
        <v>3372</v>
      </c>
      <c r="BC913" s="324" t="s">
        <v>6071</v>
      </c>
      <c r="BD913" s="324" t="s">
        <v>3372</v>
      </c>
      <c r="BE913" s="324" t="s">
        <v>210</v>
      </c>
      <c r="BF913" s="324" t="s">
        <v>210</v>
      </c>
      <c r="BG913" s="324" t="s">
        <v>6072</v>
      </c>
      <c r="BH913" s="426" t="s">
        <v>5246</v>
      </c>
      <c r="BI913" s="453">
        <v>1.8</v>
      </c>
      <c r="BJ913" s="427">
        <v>0.32</v>
      </c>
      <c r="BK913" s="412"/>
      <c r="BL913" s="413"/>
      <c r="BM913" s="414"/>
      <c r="BN913" s="453" t="s">
        <v>210</v>
      </c>
      <c r="BO913" s="464"/>
      <c r="BP913" s="340" t="s">
        <v>210</v>
      </c>
      <c r="BQ913" s="456" t="s">
        <v>6216</v>
      </c>
      <c r="BR913" s="342" t="s">
        <v>210</v>
      </c>
      <c r="BS913" s="342" t="s">
        <v>210</v>
      </c>
      <c r="BT913" s="342" t="s">
        <v>210</v>
      </c>
      <c r="BU913" s="342" t="s">
        <v>210</v>
      </c>
      <c r="BV913" s="342" t="s">
        <v>210</v>
      </c>
      <c r="BW913" s="341" t="s">
        <v>210</v>
      </c>
      <c r="BX913" s="361"/>
      <c r="BY913" s="888" t="s">
        <v>6313</v>
      </c>
      <c r="BZ913" s="889"/>
      <c r="CA913" s="889"/>
      <c r="CB913" s="889"/>
      <c r="CC913" s="889"/>
    </row>
    <row r="914" spans="1:82" ht="22.5" customHeight="1">
      <c r="B914" s="442">
        <v>170203</v>
      </c>
      <c r="C914" s="443" t="s">
        <v>6061</v>
      </c>
      <c r="D914" s="439" t="s">
        <v>4854</v>
      </c>
      <c r="E914" s="404" t="s">
        <v>5361</v>
      </c>
      <c r="F914" s="405" t="s">
        <v>709</v>
      </c>
      <c r="G914" s="324" t="s">
        <v>6062</v>
      </c>
      <c r="H914" s="324" t="s">
        <v>6063</v>
      </c>
      <c r="I914" s="326" t="s">
        <v>383</v>
      </c>
      <c r="J914" s="326" t="s">
        <v>387</v>
      </c>
      <c r="K914" s="324" t="s">
        <v>307</v>
      </c>
      <c r="L914" s="392" t="s">
        <v>210</v>
      </c>
      <c r="M914" s="324" t="s">
        <v>10767</v>
      </c>
      <c r="N914" s="444" t="s">
        <v>438</v>
      </c>
      <c r="O914" s="324">
        <v>35</v>
      </c>
      <c r="P914" s="458">
        <v>292.20999999999998</v>
      </c>
      <c r="Q914" s="459">
        <v>149.22</v>
      </c>
      <c r="R914" s="420" t="s">
        <v>5436</v>
      </c>
      <c r="S914" s="394" t="s">
        <v>11413</v>
      </c>
      <c r="T914" s="400"/>
      <c r="U914" s="400"/>
      <c r="V914" s="394" t="s">
        <v>11846</v>
      </c>
      <c r="W914" s="460" t="s">
        <v>5471</v>
      </c>
      <c r="X914" s="394" t="s">
        <v>12436</v>
      </c>
      <c r="Y914" s="394" t="s">
        <v>12437</v>
      </c>
      <c r="Z914" s="394" t="s">
        <v>16490</v>
      </c>
      <c r="AA914" s="394" t="s">
        <v>12438</v>
      </c>
      <c r="AB914" s="416"/>
      <c r="AC914" s="416"/>
      <c r="AD914" s="334" t="s">
        <v>2333</v>
      </c>
      <c r="AE914" s="499" t="s">
        <v>1643</v>
      </c>
      <c r="AF914" s="462">
        <v>43028</v>
      </c>
      <c r="AG914" s="748">
        <v>43090</v>
      </c>
      <c r="AH914" s="417" t="s">
        <v>210</v>
      </c>
      <c r="AI914" s="392" t="s">
        <v>210</v>
      </c>
      <c r="AJ914" s="392" t="s">
        <v>210</v>
      </c>
      <c r="AK914" s="340" t="s">
        <v>210</v>
      </c>
      <c r="AL914" s="417" t="s">
        <v>210</v>
      </c>
      <c r="AM914" s="392" t="s">
        <v>210</v>
      </c>
      <c r="AN914" s="392" t="s">
        <v>210</v>
      </c>
      <c r="AO914" s="341" t="s">
        <v>210</v>
      </c>
      <c r="AP914" s="342" t="s">
        <v>210</v>
      </c>
      <c r="AQ914" s="433" t="s">
        <v>4547</v>
      </c>
      <c r="AR914" s="452">
        <v>200</v>
      </c>
      <c r="AS914" s="324">
        <v>150</v>
      </c>
      <c r="AT914" s="432">
        <v>0.8</v>
      </c>
      <c r="AU914" s="432" t="s">
        <v>5246</v>
      </c>
      <c r="AV914" s="432">
        <v>0.8</v>
      </c>
      <c r="AW914" s="490" t="s">
        <v>5246</v>
      </c>
      <c r="AX914" s="417" t="s">
        <v>210</v>
      </c>
      <c r="AY914" s="429" t="s">
        <v>622</v>
      </c>
      <c r="AZ914" s="405" t="s">
        <v>4083</v>
      </c>
      <c r="BA914" s="324" t="s">
        <v>210</v>
      </c>
      <c r="BB914" s="324" t="s">
        <v>210</v>
      </c>
      <c r="BC914" s="324" t="s">
        <v>3555</v>
      </c>
      <c r="BD914" s="324" t="s">
        <v>3512</v>
      </c>
      <c r="BE914" s="324" t="s">
        <v>6064</v>
      </c>
      <c r="BF914" s="324" t="s">
        <v>3424</v>
      </c>
      <c r="BG914" s="324" t="s">
        <v>3555</v>
      </c>
      <c r="BH914" s="426" t="s">
        <v>3574</v>
      </c>
      <c r="BI914" s="453">
        <v>2.9</v>
      </c>
      <c r="BJ914" s="427" t="s">
        <v>210</v>
      </c>
      <c r="BK914" s="412"/>
      <c r="BL914" s="413"/>
      <c r="BM914" s="414"/>
      <c r="BN914" s="453" t="s">
        <v>622</v>
      </c>
      <c r="BO914" s="464"/>
      <c r="BP914" s="340" t="s">
        <v>210</v>
      </c>
      <c r="BQ914" s="456" t="s">
        <v>1059</v>
      </c>
      <c r="BR914" s="342" t="s">
        <v>210</v>
      </c>
      <c r="BS914" s="342" t="s">
        <v>622</v>
      </c>
      <c r="BT914" s="342" t="s">
        <v>210</v>
      </c>
      <c r="BU914" s="342" t="s">
        <v>210</v>
      </c>
      <c r="BV914" s="342" t="s">
        <v>210</v>
      </c>
      <c r="BW914" s="341" t="s">
        <v>210</v>
      </c>
      <c r="BX914" s="361"/>
      <c r="BY914" s="457" t="s">
        <v>6195</v>
      </c>
      <c r="BZ914" s="363"/>
      <c r="CA914" s="363"/>
      <c r="CB914" s="363"/>
      <c r="CC914" s="363"/>
    </row>
    <row r="915" spans="1:82" ht="22.5" customHeight="1">
      <c r="B915" s="442">
        <v>170204</v>
      </c>
      <c r="C915" s="443" t="s">
        <v>6081</v>
      </c>
      <c r="D915" s="439" t="s">
        <v>4849</v>
      </c>
      <c r="E915" s="404" t="s">
        <v>5362</v>
      </c>
      <c r="F915" s="405" t="s">
        <v>839</v>
      </c>
      <c r="G915" s="324" t="s">
        <v>6082</v>
      </c>
      <c r="H915" s="324" t="s">
        <v>6083</v>
      </c>
      <c r="I915" s="326" t="s">
        <v>383</v>
      </c>
      <c r="J915" s="326" t="s">
        <v>387</v>
      </c>
      <c r="K915" s="324" t="s">
        <v>977</v>
      </c>
      <c r="L915" s="342">
        <v>3.9</v>
      </c>
      <c r="M915" s="324" t="s">
        <v>10767</v>
      </c>
      <c r="N915" s="444" t="s">
        <v>438</v>
      </c>
      <c r="O915" s="324" t="s">
        <v>210</v>
      </c>
      <c r="P915" s="458">
        <v>1089.4000000000001</v>
      </c>
      <c r="Q915" s="459">
        <v>550.70000000000005</v>
      </c>
      <c r="R915" s="420" t="s">
        <v>6084</v>
      </c>
      <c r="S915" s="394" t="s">
        <v>12432</v>
      </c>
      <c r="T915" s="394" t="s">
        <v>12435</v>
      </c>
      <c r="U915" s="394" t="s">
        <v>12434</v>
      </c>
      <c r="V915" s="394" t="s">
        <v>12433</v>
      </c>
      <c r="W915" s="332" t="s">
        <v>644</v>
      </c>
      <c r="X915" s="400"/>
      <c r="Y915" s="394" t="s">
        <v>11201</v>
      </c>
      <c r="Z915" s="394" t="s">
        <v>11200</v>
      </c>
      <c r="AA915" s="400"/>
      <c r="AB915" s="416"/>
      <c r="AC915" s="416"/>
      <c r="AD915" s="447" t="s">
        <v>6141</v>
      </c>
      <c r="AE915" s="499" t="s">
        <v>6142</v>
      </c>
      <c r="AF915" s="462">
        <v>43033</v>
      </c>
      <c r="AG915" s="748">
        <v>43063</v>
      </c>
      <c r="AH915" s="417" t="s">
        <v>210</v>
      </c>
      <c r="AI915" s="392" t="s">
        <v>210</v>
      </c>
      <c r="AJ915" s="392" t="s">
        <v>210</v>
      </c>
      <c r="AK915" s="340" t="s">
        <v>210</v>
      </c>
      <c r="AL915" s="417" t="s">
        <v>210</v>
      </c>
      <c r="AM915" s="392" t="s">
        <v>210</v>
      </c>
      <c r="AN915" s="392" t="s">
        <v>210</v>
      </c>
      <c r="AO915" s="341" t="s">
        <v>210</v>
      </c>
      <c r="AP915" s="342" t="s">
        <v>210</v>
      </c>
      <c r="AQ915" s="433" t="s">
        <v>4547</v>
      </c>
      <c r="AR915" s="452">
        <v>722</v>
      </c>
      <c r="AS915" s="324">
        <v>150</v>
      </c>
      <c r="AT915" s="432">
        <v>1</v>
      </c>
      <c r="AU915" s="432" t="s">
        <v>6117</v>
      </c>
      <c r="AV915" s="432">
        <v>2.2000000000000002</v>
      </c>
      <c r="AW915" s="490" t="s">
        <v>5246</v>
      </c>
      <c r="AX915" s="417" t="s">
        <v>622</v>
      </c>
      <c r="AY915" s="455" t="s">
        <v>210</v>
      </c>
      <c r="AZ915" s="405" t="s">
        <v>622</v>
      </c>
      <c r="BA915" s="324" t="s">
        <v>6087</v>
      </c>
      <c r="BB915" s="324" t="s">
        <v>3434</v>
      </c>
      <c r="BC915" s="324" t="s">
        <v>3565</v>
      </c>
      <c r="BD915" s="324" t="s">
        <v>3434</v>
      </c>
      <c r="BE915" s="324" t="s">
        <v>6088</v>
      </c>
      <c r="BF915" s="324" t="s">
        <v>5058</v>
      </c>
      <c r="BG915" s="324" t="s">
        <v>210</v>
      </c>
      <c r="BH915" s="324" t="s">
        <v>210</v>
      </c>
      <c r="BI915" s="453">
        <v>1</v>
      </c>
      <c r="BJ915" s="427" t="s">
        <v>210</v>
      </c>
      <c r="BK915" s="412"/>
      <c r="BL915" s="413"/>
      <c r="BM915" s="414"/>
      <c r="BN915" s="453" t="s">
        <v>622</v>
      </c>
      <c r="BO915" s="464"/>
      <c r="BP915" s="455" t="s">
        <v>622</v>
      </c>
      <c r="BQ915" s="456" t="s">
        <v>1059</v>
      </c>
      <c r="BR915" s="342" t="s">
        <v>622</v>
      </c>
      <c r="BS915" s="342" t="s">
        <v>622</v>
      </c>
      <c r="BT915" s="342" t="s">
        <v>210</v>
      </c>
      <c r="BU915" s="342" t="s">
        <v>210</v>
      </c>
      <c r="BV915" s="342" t="s">
        <v>210</v>
      </c>
      <c r="BW915" s="341" t="s">
        <v>210</v>
      </c>
      <c r="BX915" s="361"/>
      <c r="BY915" s="457"/>
      <c r="BZ915" s="363"/>
      <c r="CA915" s="363"/>
      <c r="CB915" s="363"/>
      <c r="CC915" s="363"/>
    </row>
    <row r="916" spans="1:82" ht="22.5" customHeight="1">
      <c r="B916" s="442">
        <v>170205</v>
      </c>
      <c r="C916" s="443" t="s">
        <v>12426</v>
      </c>
      <c r="D916" s="439" t="s">
        <v>4847</v>
      </c>
      <c r="E916" s="404" t="s">
        <v>5361</v>
      </c>
      <c r="F916" s="405" t="s">
        <v>213</v>
      </c>
      <c r="G916" s="324" t="s">
        <v>6078</v>
      </c>
      <c r="H916" s="324" t="s">
        <v>6079</v>
      </c>
      <c r="I916" s="326" t="s">
        <v>383</v>
      </c>
      <c r="J916" s="326" t="s">
        <v>399</v>
      </c>
      <c r="K916" s="324" t="s">
        <v>977</v>
      </c>
      <c r="L916" s="342">
        <v>100</v>
      </c>
      <c r="M916" s="324" t="s">
        <v>10767</v>
      </c>
      <c r="N916" s="444" t="s">
        <v>438</v>
      </c>
      <c r="O916" s="324">
        <v>20</v>
      </c>
      <c r="P916" s="458">
        <v>2414</v>
      </c>
      <c r="Q916" s="459">
        <v>2508</v>
      </c>
      <c r="R916" s="420" t="s">
        <v>6408</v>
      </c>
      <c r="S916" s="394" t="s">
        <v>12427</v>
      </c>
      <c r="T916" s="394" t="s">
        <v>12431</v>
      </c>
      <c r="U916" s="400"/>
      <c r="V916" s="394" t="s">
        <v>12428</v>
      </c>
      <c r="W916" s="332" t="s">
        <v>1019</v>
      </c>
      <c r="X916" s="394" t="s">
        <v>12429</v>
      </c>
      <c r="Y916" s="400"/>
      <c r="Z916" s="400"/>
      <c r="AA916" s="394" t="s">
        <v>12430</v>
      </c>
      <c r="AB916" s="416"/>
      <c r="AC916" s="416"/>
      <c r="AD916" s="334" t="s">
        <v>2328</v>
      </c>
      <c r="AE916" s="499" t="s">
        <v>946</v>
      </c>
      <c r="AF916" s="462">
        <v>43033</v>
      </c>
      <c r="AG916" s="748">
        <v>43161</v>
      </c>
      <c r="AH916" s="417" t="s">
        <v>210</v>
      </c>
      <c r="AI916" s="392" t="s">
        <v>210</v>
      </c>
      <c r="AJ916" s="392" t="s">
        <v>210</v>
      </c>
      <c r="AK916" s="340" t="s">
        <v>210</v>
      </c>
      <c r="AL916" s="417" t="s">
        <v>210</v>
      </c>
      <c r="AM916" s="392" t="s">
        <v>210</v>
      </c>
      <c r="AN916" s="392" t="s">
        <v>210</v>
      </c>
      <c r="AO916" s="341" t="s">
        <v>210</v>
      </c>
      <c r="AP916" s="392" t="s">
        <v>210</v>
      </c>
      <c r="AQ916" s="433" t="s">
        <v>4547</v>
      </c>
      <c r="AR916" s="452">
        <v>3330</v>
      </c>
      <c r="AS916" s="324">
        <v>150</v>
      </c>
      <c r="AT916" s="432">
        <v>1</v>
      </c>
      <c r="AU916" s="432" t="s">
        <v>5921</v>
      </c>
      <c r="AV916" s="432">
        <v>1.5</v>
      </c>
      <c r="AW916" s="490" t="s">
        <v>5921</v>
      </c>
      <c r="AX916" s="417" t="s">
        <v>210</v>
      </c>
      <c r="AY916" s="455" t="s">
        <v>210</v>
      </c>
      <c r="AZ916" s="405" t="s">
        <v>4083</v>
      </c>
      <c r="BA916" s="324" t="s">
        <v>210</v>
      </c>
      <c r="BB916" s="324" t="s">
        <v>210</v>
      </c>
      <c r="BC916" s="324" t="s">
        <v>210</v>
      </c>
      <c r="BD916" s="324" t="s">
        <v>210</v>
      </c>
      <c r="BE916" s="324" t="s">
        <v>210</v>
      </c>
      <c r="BF916" s="324" t="s">
        <v>210</v>
      </c>
      <c r="BG916" s="324" t="s">
        <v>3476</v>
      </c>
      <c r="BH916" s="426" t="s">
        <v>3574</v>
      </c>
      <c r="BI916" s="453">
        <v>3.6</v>
      </c>
      <c r="BJ916" s="427" t="s">
        <v>210</v>
      </c>
      <c r="BK916" s="412"/>
      <c r="BL916" s="413"/>
      <c r="BM916" s="414"/>
      <c r="BN916" s="453" t="s">
        <v>622</v>
      </c>
      <c r="BO916" s="464"/>
      <c r="BP916" s="455" t="s">
        <v>622</v>
      </c>
      <c r="BQ916" s="360"/>
      <c r="BR916" s="342" t="s">
        <v>210</v>
      </c>
      <c r="BS916" s="342" t="s">
        <v>622</v>
      </c>
      <c r="BT916" s="342" t="s">
        <v>210</v>
      </c>
      <c r="BU916" s="342" t="s">
        <v>210</v>
      </c>
      <c r="BV916" s="342" t="s">
        <v>210</v>
      </c>
      <c r="BW916" s="341" t="s">
        <v>210</v>
      </c>
      <c r="BX916" s="361"/>
      <c r="BY916" s="457" t="s">
        <v>6080</v>
      </c>
      <c r="BZ916" s="363"/>
      <c r="CA916" s="363"/>
      <c r="CB916" s="363"/>
      <c r="CC916" s="363"/>
    </row>
    <row r="917" spans="1:82" ht="22.5" customHeight="1">
      <c r="B917" s="442">
        <v>170206</v>
      </c>
      <c r="C917" s="443" t="s">
        <v>6089</v>
      </c>
      <c r="D917" s="439" t="s">
        <v>4849</v>
      </c>
      <c r="E917" s="404" t="s">
        <v>5362</v>
      </c>
      <c r="F917" s="405" t="s">
        <v>222</v>
      </c>
      <c r="G917" s="324" t="s">
        <v>6090</v>
      </c>
      <c r="H917" s="324" t="s">
        <v>6091</v>
      </c>
      <c r="I917" s="326" t="s">
        <v>383</v>
      </c>
      <c r="J917" s="326" t="s">
        <v>387</v>
      </c>
      <c r="K917" s="326" t="s">
        <v>993</v>
      </c>
      <c r="L917" s="392" t="s">
        <v>210</v>
      </c>
      <c r="M917" s="324" t="s">
        <v>10768</v>
      </c>
      <c r="N917" s="444" t="s">
        <v>521</v>
      </c>
      <c r="O917" s="324" t="s">
        <v>6233</v>
      </c>
      <c r="P917" s="458">
        <v>784</v>
      </c>
      <c r="Q917" s="459">
        <v>399.56</v>
      </c>
      <c r="R917" s="420" t="s">
        <v>6113</v>
      </c>
      <c r="S917" s="394" t="s">
        <v>12465</v>
      </c>
      <c r="T917" s="394" t="s">
        <v>12466</v>
      </c>
      <c r="U917" s="394" t="s">
        <v>12467</v>
      </c>
      <c r="V917" s="394" t="s">
        <v>12462</v>
      </c>
      <c r="W917" s="332" t="s">
        <v>1050</v>
      </c>
      <c r="X917" s="394" t="s">
        <v>12463</v>
      </c>
      <c r="Y917" s="400"/>
      <c r="Z917" s="400"/>
      <c r="AA917" s="394" t="s">
        <v>12464</v>
      </c>
      <c r="AB917" s="416"/>
      <c r="AC917" s="416"/>
      <c r="AD917" s="447" t="s">
        <v>6637</v>
      </c>
      <c r="AE917" s="335" t="s">
        <v>6630</v>
      </c>
      <c r="AF917" s="462">
        <v>43033</v>
      </c>
      <c r="AG917" s="748">
        <v>43145</v>
      </c>
      <c r="AH917" s="417" t="s">
        <v>210</v>
      </c>
      <c r="AI917" s="392" t="s">
        <v>210</v>
      </c>
      <c r="AJ917" s="392" t="s">
        <v>210</v>
      </c>
      <c r="AK917" s="340" t="s">
        <v>210</v>
      </c>
      <c r="AL917" s="417" t="s">
        <v>210</v>
      </c>
      <c r="AM917" s="392" t="s">
        <v>210</v>
      </c>
      <c r="AN917" s="392" t="s">
        <v>210</v>
      </c>
      <c r="AO917" s="341" t="s">
        <v>210</v>
      </c>
      <c r="AP917" s="342" t="s">
        <v>210</v>
      </c>
      <c r="AQ917" s="433" t="s">
        <v>4547</v>
      </c>
      <c r="AR917" s="452">
        <v>564</v>
      </c>
      <c r="AS917" s="324">
        <v>120</v>
      </c>
      <c r="AT917" s="432">
        <v>1</v>
      </c>
      <c r="AU917" s="432" t="s">
        <v>3372</v>
      </c>
      <c r="AV917" s="432">
        <v>1.5</v>
      </c>
      <c r="AW917" s="490" t="s">
        <v>3487</v>
      </c>
      <c r="AX917" s="417" t="s">
        <v>210</v>
      </c>
      <c r="AY917" s="455" t="s">
        <v>210</v>
      </c>
      <c r="AZ917" s="405" t="s">
        <v>622</v>
      </c>
      <c r="BA917" s="324" t="s">
        <v>6092</v>
      </c>
      <c r="BB917" s="324" t="s">
        <v>6093</v>
      </c>
      <c r="BC917" s="324" t="s">
        <v>3565</v>
      </c>
      <c r="BD917" s="324" t="s">
        <v>6093</v>
      </c>
      <c r="BE917" s="324" t="s">
        <v>6094</v>
      </c>
      <c r="BF917" s="324" t="s">
        <v>3574</v>
      </c>
      <c r="BG917" s="324" t="s">
        <v>3476</v>
      </c>
      <c r="BH917" s="426" t="s">
        <v>3574</v>
      </c>
      <c r="BI917" s="453">
        <v>0.5</v>
      </c>
      <c r="BJ917" s="427" t="s">
        <v>210</v>
      </c>
      <c r="BK917" s="412"/>
      <c r="BL917" s="413"/>
      <c r="BM917" s="414"/>
      <c r="BN917" s="453" t="s">
        <v>622</v>
      </c>
      <c r="BO917" s="464"/>
      <c r="BP917" s="455" t="s">
        <v>622</v>
      </c>
      <c r="BQ917" s="456" t="s">
        <v>6240</v>
      </c>
      <c r="BR917" s="342" t="s">
        <v>210</v>
      </c>
      <c r="BS917" s="342" t="s">
        <v>622</v>
      </c>
      <c r="BT917" s="342" t="s">
        <v>210</v>
      </c>
      <c r="BU917" s="342" t="s">
        <v>210</v>
      </c>
      <c r="BV917" s="342" t="s">
        <v>210</v>
      </c>
      <c r="BW917" s="341" t="s">
        <v>210</v>
      </c>
      <c r="BX917" s="361"/>
      <c r="BY917" s="457" t="s">
        <v>6112</v>
      </c>
      <c r="BZ917" s="363"/>
      <c r="CA917" s="363"/>
      <c r="CB917" s="363"/>
      <c r="CC917" s="363"/>
    </row>
    <row r="918" spans="1:82" ht="22.5" customHeight="1">
      <c r="B918" s="442">
        <v>170207</v>
      </c>
      <c r="C918" s="443" t="s">
        <v>12424</v>
      </c>
      <c r="D918" s="439" t="s">
        <v>6143</v>
      </c>
      <c r="E918" s="404" t="s">
        <v>5362</v>
      </c>
      <c r="F918" s="405" t="s">
        <v>6105</v>
      </c>
      <c r="G918" s="324" t="s">
        <v>6106</v>
      </c>
      <c r="H918" s="324" t="s">
        <v>6107</v>
      </c>
      <c r="I918" s="326" t="s">
        <v>383</v>
      </c>
      <c r="J918" s="326" t="s">
        <v>399</v>
      </c>
      <c r="K918" s="326" t="s">
        <v>223</v>
      </c>
      <c r="L918" s="392" t="s">
        <v>210</v>
      </c>
      <c r="M918" s="324" t="s">
        <v>10767</v>
      </c>
      <c r="N918" s="444" t="s">
        <v>437</v>
      </c>
      <c r="O918" s="324">
        <v>40</v>
      </c>
      <c r="P918" s="458">
        <v>1003</v>
      </c>
      <c r="Q918" s="459">
        <v>1008</v>
      </c>
      <c r="R918" s="420" t="s">
        <v>4784</v>
      </c>
      <c r="S918" s="394" t="s">
        <v>12425</v>
      </c>
      <c r="T918" s="394" t="s">
        <v>11560</v>
      </c>
      <c r="U918" s="394" t="s">
        <v>11559</v>
      </c>
      <c r="V918" s="394" t="s">
        <v>11561</v>
      </c>
      <c r="W918" s="460" t="s">
        <v>6108</v>
      </c>
      <c r="X918" s="394" t="s">
        <v>11570</v>
      </c>
      <c r="Y918" s="394" t="s">
        <v>11571</v>
      </c>
      <c r="Z918" s="400"/>
      <c r="AA918" s="394" t="s">
        <v>11572</v>
      </c>
      <c r="AB918" s="416"/>
      <c r="AC918" s="416"/>
      <c r="AD918" s="334" t="s">
        <v>2326</v>
      </c>
      <c r="AE918" s="335" t="s">
        <v>210</v>
      </c>
      <c r="AF918" s="462">
        <v>43035</v>
      </c>
      <c r="AG918" s="748">
        <v>43097</v>
      </c>
      <c r="AH918" s="417" t="s">
        <v>210</v>
      </c>
      <c r="AI918" s="392" t="s">
        <v>210</v>
      </c>
      <c r="AJ918" s="392" t="s">
        <v>210</v>
      </c>
      <c r="AK918" s="340" t="s">
        <v>210</v>
      </c>
      <c r="AL918" s="417" t="s">
        <v>210</v>
      </c>
      <c r="AM918" s="392" t="s">
        <v>210</v>
      </c>
      <c r="AN918" s="392" t="s">
        <v>210</v>
      </c>
      <c r="AO918" s="341" t="s">
        <v>210</v>
      </c>
      <c r="AP918" s="342" t="s">
        <v>210</v>
      </c>
      <c r="AQ918" s="433" t="s">
        <v>4547</v>
      </c>
      <c r="AR918" s="452">
        <v>1200</v>
      </c>
      <c r="AS918" s="324">
        <v>120</v>
      </c>
      <c r="AT918" s="432">
        <v>0.8</v>
      </c>
      <c r="AU918" s="432" t="s">
        <v>5246</v>
      </c>
      <c r="AV918" s="432">
        <v>1.2</v>
      </c>
      <c r="AW918" s="490" t="s">
        <v>5246</v>
      </c>
      <c r="AX918" s="417" t="s">
        <v>210</v>
      </c>
      <c r="AY918" s="455" t="s">
        <v>210</v>
      </c>
      <c r="AZ918" s="405" t="s">
        <v>4083</v>
      </c>
      <c r="BA918" s="324" t="s">
        <v>210</v>
      </c>
      <c r="BB918" s="324" t="s">
        <v>210</v>
      </c>
      <c r="BC918" s="324" t="s">
        <v>210</v>
      </c>
      <c r="BD918" s="324" t="s">
        <v>210</v>
      </c>
      <c r="BE918" s="324" t="s">
        <v>210</v>
      </c>
      <c r="BF918" s="324" t="s">
        <v>210</v>
      </c>
      <c r="BG918" s="324" t="s">
        <v>3738</v>
      </c>
      <c r="BH918" s="426" t="s">
        <v>6111</v>
      </c>
      <c r="BI918" s="453">
        <v>1.5</v>
      </c>
      <c r="BJ918" s="427" t="s">
        <v>210</v>
      </c>
      <c r="BK918" s="412"/>
      <c r="BL918" s="413"/>
      <c r="BM918" s="414"/>
      <c r="BN918" s="453" t="s">
        <v>622</v>
      </c>
      <c r="BO918" s="464"/>
      <c r="BP918" s="340" t="s">
        <v>210</v>
      </c>
      <c r="BQ918" s="456" t="s">
        <v>1059</v>
      </c>
      <c r="BR918" s="342" t="s">
        <v>622</v>
      </c>
      <c r="BS918" s="342" t="s">
        <v>622</v>
      </c>
      <c r="BT918" s="342" t="s">
        <v>210</v>
      </c>
      <c r="BU918" s="342" t="s">
        <v>210</v>
      </c>
      <c r="BV918" s="342" t="s">
        <v>210</v>
      </c>
      <c r="BW918" s="341" t="s">
        <v>210</v>
      </c>
      <c r="BX918" s="361"/>
      <c r="BY918" s="457"/>
      <c r="BZ918" s="363"/>
      <c r="CA918" s="363"/>
      <c r="CB918" s="363"/>
      <c r="CC918" s="363"/>
    </row>
    <row r="919" spans="1:82" ht="22.5" customHeight="1">
      <c r="B919" s="442">
        <v>170208</v>
      </c>
      <c r="C919" s="443" t="s">
        <v>12423</v>
      </c>
      <c r="D919" s="439" t="s">
        <v>4849</v>
      </c>
      <c r="E919" s="404" t="s">
        <v>5362</v>
      </c>
      <c r="F919" s="405" t="s">
        <v>6137</v>
      </c>
      <c r="G919" s="324" t="s">
        <v>6138</v>
      </c>
      <c r="H919" s="324" t="s">
        <v>6139</v>
      </c>
      <c r="I919" s="326" t="s">
        <v>383</v>
      </c>
      <c r="J919" s="326" t="s">
        <v>399</v>
      </c>
      <c r="K919" s="326" t="s">
        <v>223</v>
      </c>
      <c r="L919" s="392" t="s">
        <v>210</v>
      </c>
      <c r="M919" s="324" t="s">
        <v>10767</v>
      </c>
      <c r="N919" s="444" t="s">
        <v>437</v>
      </c>
      <c r="O919" s="324">
        <v>40</v>
      </c>
      <c r="P919" s="458">
        <v>1102.8</v>
      </c>
      <c r="Q919" s="459">
        <v>1193.5</v>
      </c>
      <c r="R919" s="329" t="s">
        <v>999</v>
      </c>
      <c r="S919" s="394" t="s">
        <v>12122</v>
      </c>
      <c r="T919" s="394" t="s">
        <v>11262</v>
      </c>
      <c r="U919" s="394" t="s">
        <v>16414</v>
      </c>
      <c r="V919" s="394" t="s">
        <v>11263</v>
      </c>
      <c r="W919" s="332" t="s">
        <v>4603</v>
      </c>
      <c r="X919" s="331" t="s">
        <v>12214</v>
      </c>
      <c r="Y919" s="331" t="s">
        <v>12215</v>
      </c>
      <c r="Z919" s="331" t="s">
        <v>12414</v>
      </c>
      <c r="AA919" s="331" t="s">
        <v>12216</v>
      </c>
      <c r="AB919" s="416"/>
      <c r="AC919" s="416"/>
      <c r="AD919" s="334" t="s">
        <v>2321</v>
      </c>
      <c r="AE919" s="335" t="s">
        <v>210</v>
      </c>
      <c r="AF919" s="462">
        <v>43048</v>
      </c>
      <c r="AG919" s="748">
        <v>43088</v>
      </c>
      <c r="AH919" s="417" t="s">
        <v>210</v>
      </c>
      <c r="AI919" s="392" t="s">
        <v>210</v>
      </c>
      <c r="AJ919" s="392" t="s">
        <v>210</v>
      </c>
      <c r="AK919" s="340" t="s">
        <v>210</v>
      </c>
      <c r="AL919" s="417" t="s">
        <v>210</v>
      </c>
      <c r="AM919" s="392" t="s">
        <v>210</v>
      </c>
      <c r="AN919" s="392" t="s">
        <v>210</v>
      </c>
      <c r="AO919" s="341" t="s">
        <v>210</v>
      </c>
      <c r="AP919" s="342" t="s">
        <v>210</v>
      </c>
      <c r="AQ919" s="433" t="s">
        <v>4547</v>
      </c>
      <c r="AR919" s="452">
        <v>1424</v>
      </c>
      <c r="AS919" s="324">
        <v>100</v>
      </c>
      <c r="AT919" s="432">
        <v>1</v>
      </c>
      <c r="AU919" s="432" t="s">
        <v>5246</v>
      </c>
      <c r="AV919" s="432">
        <v>1.5</v>
      </c>
      <c r="AW919" s="490" t="s">
        <v>3492</v>
      </c>
      <c r="AX919" s="417" t="s">
        <v>210</v>
      </c>
      <c r="AY919" s="455" t="s">
        <v>210</v>
      </c>
      <c r="AZ919" s="405" t="s">
        <v>4083</v>
      </c>
      <c r="BA919" s="324" t="s">
        <v>210</v>
      </c>
      <c r="BB919" s="324" t="s">
        <v>210</v>
      </c>
      <c r="BC919" s="324" t="s">
        <v>3555</v>
      </c>
      <c r="BD919" s="324" t="s">
        <v>3768</v>
      </c>
      <c r="BE919" s="324" t="s">
        <v>6140</v>
      </c>
      <c r="BF919" s="324" t="s">
        <v>3434</v>
      </c>
      <c r="BG919" s="324" t="s">
        <v>3459</v>
      </c>
      <c r="BH919" s="426" t="s">
        <v>3574</v>
      </c>
      <c r="BI919" s="453">
        <v>2.2000000000000002</v>
      </c>
      <c r="BJ919" s="431" t="s">
        <v>210</v>
      </c>
      <c r="BK919" s="412"/>
      <c r="BL919" s="413"/>
      <c r="BM919" s="414"/>
      <c r="BN919" s="453" t="s">
        <v>622</v>
      </c>
      <c r="BO919" s="464"/>
      <c r="BP919" s="455" t="s">
        <v>622</v>
      </c>
      <c r="BQ919" s="456" t="s">
        <v>6160</v>
      </c>
      <c r="BR919" s="342" t="s">
        <v>210</v>
      </c>
      <c r="BS919" s="342" t="s">
        <v>622</v>
      </c>
      <c r="BT919" s="342" t="s">
        <v>210</v>
      </c>
      <c r="BU919" s="342" t="s">
        <v>210</v>
      </c>
      <c r="BV919" s="342" t="s">
        <v>210</v>
      </c>
      <c r="BW919" s="341" t="s">
        <v>210</v>
      </c>
      <c r="BX919" s="361"/>
      <c r="BY919" s="457" t="s">
        <v>6259</v>
      </c>
      <c r="BZ919" s="363"/>
      <c r="CA919" s="363"/>
      <c r="CB919" s="363"/>
      <c r="CC919" s="363"/>
    </row>
    <row r="920" spans="1:82" ht="22.5" customHeight="1">
      <c r="B920" s="442">
        <v>170209</v>
      </c>
      <c r="C920" s="443" t="s">
        <v>6124</v>
      </c>
      <c r="D920" s="467" t="s">
        <v>6135</v>
      </c>
      <c r="E920" s="404" t="s">
        <v>5361</v>
      </c>
      <c r="F920" s="405" t="s">
        <v>6125</v>
      </c>
      <c r="G920" s="324" t="s">
        <v>3112</v>
      </c>
      <c r="H920" s="324" t="s">
        <v>6126</v>
      </c>
      <c r="I920" s="326" t="s">
        <v>383</v>
      </c>
      <c r="J920" s="324" t="s">
        <v>216</v>
      </c>
      <c r="K920" s="324" t="s">
        <v>1059</v>
      </c>
      <c r="L920" s="392" t="s">
        <v>210</v>
      </c>
      <c r="M920" s="324" t="s">
        <v>10767</v>
      </c>
      <c r="N920" s="885"/>
      <c r="O920" s="324">
        <v>30</v>
      </c>
      <c r="P920" s="458">
        <v>270</v>
      </c>
      <c r="Q920" s="459">
        <v>115</v>
      </c>
      <c r="R920" s="420" t="s">
        <v>6130</v>
      </c>
      <c r="S920" s="400"/>
      <c r="T920" s="400"/>
      <c r="U920" s="400"/>
      <c r="V920" s="400"/>
      <c r="W920" s="460" t="s">
        <v>6127</v>
      </c>
      <c r="X920" s="394" t="s">
        <v>12421</v>
      </c>
      <c r="Y920" s="400"/>
      <c r="Z920" s="400"/>
      <c r="AA920" s="394" t="s">
        <v>12422</v>
      </c>
      <c r="AB920" s="416"/>
      <c r="AC920" s="416"/>
      <c r="AD920" s="897"/>
      <c r="AE920" s="898"/>
      <c r="AF920" s="462">
        <v>43047</v>
      </c>
      <c r="AG920" s="748">
        <v>43145</v>
      </c>
      <c r="AH920" s="417" t="s">
        <v>210</v>
      </c>
      <c r="AI920" s="392" t="s">
        <v>210</v>
      </c>
      <c r="AJ920" s="392" t="s">
        <v>210</v>
      </c>
      <c r="AK920" s="340" t="s">
        <v>210</v>
      </c>
      <c r="AL920" s="417" t="s">
        <v>210</v>
      </c>
      <c r="AM920" s="392" t="s">
        <v>210</v>
      </c>
      <c r="AN920" s="392" t="s">
        <v>210</v>
      </c>
      <c r="AO920" s="341" t="s">
        <v>210</v>
      </c>
      <c r="AP920" s="342" t="s">
        <v>210</v>
      </c>
      <c r="AQ920" s="433" t="s">
        <v>6035</v>
      </c>
      <c r="AR920" s="452">
        <v>141</v>
      </c>
      <c r="AS920" s="324">
        <v>80</v>
      </c>
      <c r="AT920" s="432">
        <v>1</v>
      </c>
      <c r="AU920" s="432" t="s">
        <v>6169</v>
      </c>
      <c r="AV920" s="432">
        <v>1</v>
      </c>
      <c r="AW920" s="490" t="s">
        <v>6169</v>
      </c>
      <c r="AX920" s="417" t="s">
        <v>210</v>
      </c>
      <c r="AY920" s="455" t="s">
        <v>210</v>
      </c>
      <c r="AZ920" s="405" t="s">
        <v>4083</v>
      </c>
      <c r="BA920" s="324" t="s">
        <v>210</v>
      </c>
      <c r="BB920" s="324" t="s">
        <v>210</v>
      </c>
      <c r="BC920" s="324" t="s">
        <v>6122</v>
      </c>
      <c r="BD920" s="324" t="s">
        <v>5058</v>
      </c>
      <c r="BE920" s="324" t="s">
        <v>6133</v>
      </c>
      <c r="BF920" s="324" t="s">
        <v>4117</v>
      </c>
      <c r="BG920" s="324" t="s">
        <v>6134</v>
      </c>
      <c r="BH920" s="426" t="s">
        <v>3512</v>
      </c>
      <c r="BI920" s="453">
        <v>0.8</v>
      </c>
      <c r="BJ920" s="431" t="s">
        <v>210</v>
      </c>
      <c r="BK920" s="412"/>
      <c r="BL920" s="413"/>
      <c r="BM920" s="414"/>
      <c r="BN920" s="453" t="s">
        <v>622</v>
      </c>
      <c r="BO920" s="464">
        <v>2.84</v>
      </c>
      <c r="BP920" s="455" t="s">
        <v>622</v>
      </c>
      <c r="BQ920" s="456" t="s">
        <v>1059</v>
      </c>
      <c r="BR920" s="342" t="s">
        <v>210</v>
      </c>
      <c r="BS920" s="342" t="s">
        <v>622</v>
      </c>
      <c r="BT920" s="342" t="s">
        <v>210</v>
      </c>
      <c r="BU920" s="342" t="s">
        <v>210</v>
      </c>
      <c r="BV920" s="342" t="s">
        <v>210</v>
      </c>
      <c r="BW920" s="341" t="s">
        <v>210</v>
      </c>
      <c r="BX920" s="361"/>
      <c r="BY920" s="457"/>
      <c r="BZ920" s="363"/>
      <c r="CA920" s="363"/>
      <c r="CB920" s="363"/>
      <c r="CC920" s="363"/>
    </row>
    <row r="921" spans="1:82" ht="22.5" customHeight="1">
      <c r="B921" s="442">
        <v>170210</v>
      </c>
      <c r="C921" s="443" t="s">
        <v>8852</v>
      </c>
      <c r="D921" s="439" t="s">
        <v>4854</v>
      </c>
      <c r="E921" s="404" t="s">
        <v>5363</v>
      </c>
      <c r="F921" s="405" t="s">
        <v>240</v>
      </c>
      <c r="G921" s="324" t="s">
        <v>2271</v>
      </c>
      <c r="H921" s="324" t="s">
        <v>6120</v>
      </c>
      <c r="I921" s="326" t="s">
        <v>383</v>
      </c>
      <c r="J921" s="326" t="s">
        <v>399</v>
      </c>
      <c r="K921" s="326" t="s">
        <v>223</v>
      </c>
      <c r="L921" s="392" t="s">
        <v>210</v>
      </c>
      <c r="M921" s="324" t="s">
        <v>10767</v>
      </c>
      <c r="N921" s="444" t="s">
        <v>437</v>
      </c>
      <c r="O921" s="324">
        <v>30</v>
      </c>
      <c r="P921" s="458">
        <v>1260.55</v>
      </c>
      <c r="Q921" s="459">
        <v>1269.01</v>
      </c>
      <c r="R921" s="329" t="s">
        <v>615</v>
      </c>
      <c r="S921" s="394" t="s">
        <v>11204</v>
      </c>
      <c r="T921" s="394" t="s">
        <v>11205</v>
      </c>
      <c r="U921" s="394" t="s">
        <v>11207</v>
      </c>
      <c r="V921" s="394" t="s">
        <v>11206</v>
      </c>
      <c r="W921" s="332" t="s">
        <v>432</v>
      </c>
      <c r="X921" s="331" t="s">
        <v>11079</v>
      </c>
      <c r="Y921" s="331" t="s">
        <v>11080</v>
      </c>
      <c r="Z921" s="331" t="s">
        <v>11080</v>
      </c>
      <c r="AA921" s="331" t="s">
        <v>6574</v>
      </c>
      <c r="AB921" s="416"/>
      <c r="AC921" s="416"/>
      <c r="AD921" s="334" t="s">
        <v>2325</v>
      </c>
      <c r="AE921" s="335" t="s">
        <v>210</v>
      </c>
      <c r="AF921" s="462">
        <v>43047</v>
      </c>
      <c r="AG921" s="748">
        <v>43096</v>
      </c>
      <c r="AH921" s="453">
        <v>6</v>
      </c>
      <c r="AI921" s="432">
        <v>13.6</v>
      </c>
      <c r="AJ921" s="432">
        <v>11.1</v>
      </c>
      <c r="AK921" s="455">
        <v>30.7</v>
      </c>
      <c r="AL921" s="417" t="s">
        <v>210</v>
      </c>
      <c r="AM921" s="392" t="s">
        <v>210</v>
      </c>
      <c r="AN921" s="392" t="s">
        <v>210</v>
      </c>
      <c r="AO921" s="341" t="s">
        <v>210</v>
      </c>
      <c r="AP921" s="418" t="s">
        <v>6318</v>
      </c>
      <c r="AQ921" s="433" t="s">
        <v>4547</v>
      </c>
      <c r="AR921" s="452">
        <v>1611</v>
      </c>
      <c r="AS921" s="324">
        <v>80</v>
      </c>
      <c r="AT921" s="432">
        <v>0.8</v>
      </c>
      <c r="AU921" s="432" t="s">
        <v>5246</v>
      </c>
      <c r="AV921" s="432">
        <v>1.5</v>
      </c>
      <c r="AW921" s="490" t="s">
        <v>6317</v>
      </c>
      <c r="AX921" s="417" t="s">
        <v>210</v>
      </c>
      <c r="AY921" s="455" t="s">
        <v>210</v>
      </c>
      <c r="AZ921" s="405" t="s">
        <v>622</v>
      </c>
      <c r="BA921" s="324" t="s">
        <v>6121</v>
      </c>
      <c r="BB921" s="324" t="s">
        <v>5058</v>
      </c>
      <c r="BC921" s="324" t="s">
        <v>210</v>
      </c>
      <c r="BD921" s="324" t="s">
        <v>210</v>
      </c>
      <c r="BE921" s="324" t="s">
        <v>6122</v>
      </c>
      <c r="BF921" s="324" t="s">
        <v>5124</v>
      </c>
      <c r="BG921" s="324" t="s">
        <v>6123</v>
      </c>
      <c r="BH921" s="426" t="s">
        <v>4266</v>
      </c>
      <c r="BI921" s="453">
        <v>3.85</v>
      </c>
      <c r="BJ921" s="427" t="s">
        <v>210</v>
      </c>
      <c r="BK921" s="412"/>
      <c r="BL921" s="413"/>
      <c r="BM921" s="414"/>
      <c r="BN921" s="453" t="s">
        <v>210</v>
      </c>
      <c r="BO921" s="464"/>
      <c r="BP921" s="455" t="s">
        <v>210</v>
      </c>
      <c r="BQ921" s="456" t="s">
        <v>9909</v>
      </c>
      <c r="BR921" s="342" t="s">
        <v>210</v>
      </c>
      <c r="BS921" s="342" t="s">
        <v>6318</v>
      </c>
      <c r="BT921" s="342" t="s">
        <v>210</v>
      </c>
      <c r="BU921" s="342" t="s">
        <v>210</v>
      </c>
      <c r="BV921" s="342" t="s">
        <v>210</v>
      </c>
      <c r="BW921" s="341" t="s">
        <v>210</v>
      </c>
      <c r="BX921" s="361"/>
      <c r="BY921" s="457" t="s">
        <v>6319</v>
      </c>
      <c r="BZ921" s="363"/>
      <c r="CA921" s="363"/>
      <c r="CB921" s="363"/>
      <c r="CC921" s="363"/>
    </row>
    <row r="922" spans="1:82" ht="22.5" customHeight="1">
      <c r="B922" s="442">
        <v>170211</v>
      </c>
      <c r="C922" s="443" t="s">
        <v>6203</v>
      </c>
      <c r="D922" s="439" t="s">
        <v>6217</v>
      </c>
      <c r="E922" s="404" t="s">
        <v>5362</v>
      </c>
      <c r="F922" s="405" t="s">
        <v>6204</v>
      </c>
      <c r="G922" s="324" t="s">
        <v>2027</v>
      </c>
      <c r="H922" s="324" t="s">
        <v>6205</v>
      </c>
      <c r="I922" s="324" t="s">
        <v>766</v>
      </c>
      <c r="J922" s="326" t="s">
        <v>399</v>
      </c>
      <c r="K922" s="326" t="s">
        <v>223</v>
      </c>
      <c r="L922" s="392" t="s">
        <v>210</v>
      </c>
      <c r="M922" s="324" t="s">
        <v>10767</v>
      </c>
      <c r="N922" s="444" t="s">
        <v>6206</v>
      </c>
      <c r="O922" s="324">
        <v>100</v>
      </c>
      <c r="P922" s="458">
        <v>1396</v>
      </c>
      <c r="Q922" s="459">
        <v>1459</v>
      </c>
      <c r="R922" s="420" t="s">
        <v>6207</v>
      </c>
      <c r="S922" s="394" t="s">
        <v>12419</v>
      </c>
      <c r="T922" s="400"/>
      <c r="U922" s="400"/>
      <c r="V922" s="394" t="s">
        <v>12420</v>
      </c>
      <c r="W922" s="460" t="s">
        <v>2845</v>
      </c>
      <c r="X922" s="400"/>
      <c r="Y922" s="400"/>
      <c r="Z922" s="400"/>
      <c r="AA922" s="400"/>
      <c r="AB922" s="416"/>
      <c r="AC922" s="416"/>
      <c r="AD922" s="447" t="s">
        <v>726</v>
      </c>
      <c r="AE922" s="335" t="s">
        <v>210</v>
      </c>
      <c r="AF922" s="462">
        <v>43055</v>
      </c>
      <c r="AG922" s="748">
        <v>43126</v>
      </c>
      <c r="AH922" s="417" t="s">
        <v>210</v>
      </c>
      <c r="AI922" s="392" t="s">
        <v>210</v>
      </c>
      <c r="AJ922" s="392" t="s">
        <v>210</v>
      </c>
      <c r="AK922" s="340" t="s">
        <v>210</v>
      </c>
      <c r="AL922" s="417" t="s">
        <v>210</v>
      </c>
      <c r="AM922" s="392" t="s">
        <v>210</v>
      </c>
      <c r="AN922" s="392" t="s">
        <v>210</v>
      </c>
      <c r="AO922" s="341" t="s">
        <v>210</v>
      </c>
      <c r="AP922" s="342" t="s">
        <v>210</v>
      </c>
      <c r="AQ922" s="433" t="s">
        <v>4547</v>
      </c>
      <c r="AR922" s="452">
        <v>1961</v>
      </c>
      <c r="AS922" s="324">
        <v>80</v>
      </c>
      <c r="AT922" s="432">
        <v>1</v>
      </c>
      <c r="AU922" s="432" t="s">
        <v>3627</v>
      </c>
      <c r="AV922" s="432">
        <v>1.5</v>
      </c>
      <c r="AW922" s="490" t="s">
        <v>4755</v>
      </c>
      <c r="AX922" s="417" t="s">
        <v>210</v>
      </c>
      <c r="AY922" s="455" t="s">
        <v>210</v>
      </c>
      <c r="AZ922" s="405" t="s">
        <v>4083</v>
      </c>
      <c r="BA922" s="324" t="s">
        <v>210</v>
      </c>
      <c r="BB922" s="324" t="s">
        <v>210</v>
      </c>
      <c r="BC922" s="324" t="s">
        <v>6210</v>
      </c>
      <c r="BD922" s="324" t="s">
        <v>3492</v>
      </c>
      <c r="BE922" s="324" t="s">
        <v>6211</v>
      </c>
      <c r="BF922" s="324" t="s">
        <v>4755</v>
      </c>
      <c r="BG922" s="324" t="s">
        <v>3558</v>
      </c>
      <c r="BH922" s="426" t="s">
        <v>3434</v>
      </c>
      <c r="BI922" s="453">
        <v>1.5</v>
      </c>
      <c r="BJ922" s="431" t="s">
        <v>210</v>
      </c>
      <c r="BK922" s="412"/>
      <c r="BL922" s="413"/>
      <c r="BM922" s="414"/>
      <c r="BN922" s="453" t="s">
        <v>622</v>
      </c>
      <c r="BO922" s="464"/>
      <c r="BP922" s="455" t="s">
        <v>622</v>
      </c>
      <c r="BQ922" s="456" t="s">
        <v>1059</v>
      </c>
      <c r="BR922" s="342" t="s">
        <v>210</v>
      </c>
      <c r="BS922" s="342" t="s">
        <v>210</v>
      </c>
      <c r="BT922" s="342" t="s">
        <v>210</v>
      </c>
      <c r="BU922" s="342" t="s">
        <v>210</v>
      </c>
      <c r="BV922" s="342" t="s">
        <v>210</v>
      </c>
      <c r="BW922" s="341" t="s">
        <v>210</v>
      </c>
      <c r="BX922" s="361"/>
      <c r="BY922" s="457"/>
      <c r="BZ922" s="363"/>
      <c r="CA922" s="363"/>
      <c r="CB922" s="363"/>
      <c r="CC922" s="363"/>
    </row>
    <row r="923" spans="1:82" ht="22.5" customHeight="1">
      <c r="B923" s="442">
        <v>170212</v>
      </c>
      <c r="C923" s="443" t="s">
        <v>12415</v>
      </c>
      <c r="D923" s="467" t="s">
        <v>6218</v>
      </c>
      <c r="E923" s="404" t="s">
        <v>5361</v>
      </c>
      <c r="F923" s="405" t="s">
        <v>227</v>
      </c>
      <c r="G923" s="324" t="s">
        <v>6174</v>
      </c>
      <c r="H923" s="324" t="s">
        <v>6175</v>
      </c>
      <c r="I923" s="326" t="s">
        <v>383</v>
      </c>
      <c r="J923" s="326" t="s">
        <v>399</v>
      </c>
      <c r="K923" s="324" t="s">
        <v>6176</v>
      </c>
      <c r="L923" s="342">
        <v>2</v>
      </c>
      <c r="M923" s="324" t="s">
        <v>10767</v>
      </c>
      <c r="N923" s="444" t="s">
        <v>438</v>
      </c>
      <c r="O923" s="324">
        <v>30</v>
      </c>
      <c r="P923" s="458">
        <v>3185</v>
      </c>
      <c r="Q923" s="459">
        <v>2404</v>
      </c>
      <c r="R923" s="420" t="s">
        <v>6182</v>
      </c>
      <c r="S923" s="400"/>
      <c r="T923" s="400"/>
      <c r="U923" s="400"/>
      <c r="V923" s="400"/>
      <c r="W923" s="460" t="s">
        <v>6177</v>
      </c>
      <c r="X923" s="394" t="s">
        <v>12416</v>
      </c>
      <c r="Y923" s="394" t="s">
        <v>12417</v>
      </c>
      <c r="Z923" s="400"/>
      <c r="AA923" s="394" t="s">
        <v>12418</v>
      </c>
      <c r="AB923" s="416" t="s">
        <v>3775</v>
      </c>
      <c r="AC923" s="416"/>
      <c r="AD923" s="447" t="s">
        <v>6422</v>
      </c>
      <c r="AE923" s="499" t="s">
        <v>811</v>
      </c>
      <c r="AF923" s="462">
        <v>43054</v>
      </c>
      <c r="AG923" s="748">
        <v>43091</v>
      </c>
      <c r="AH923" s="417" t="s">
        <v>210</v>
      </c>
      <c r="AI923" s="392" t="s">
        <v>210</v>
      </c>
      <c r="AJ923" s="392" t="s">
        <v>210</v>
      </c>
      <c r="AK923" s="340" t="s">
        <v>210</v>
      </c>
      <c r="AL923" s="417" t="s">
        <v>210</v>
      </c>
      <c r="AM923" s="392" t="s">
        <v>210</v>
      </c>
      <c r="AN923" s="392" t="s">
        <v>210</v>
      </c>
      <c r="AO923" s="341" t="s">
        <v>210</v>
      </c>
      <c r="AP923" s="418" t="s">
        <v>622</v>
      </c>
      <c r="AQ923" s="433" t="s">
        <v>4547</v>
      </c>
      <c r="AR923" s="452">
        <v>1710</v>
      </c>
      <c r="AS923" s="324">
        <v>100</v>
      </c>
      <c r="AT923" s="432">
        <v>1</v>
      </c>
      <c r="AU923" s="432" t="s">
        <v>5902</v>
      </c>
      <c r="AV923" s="432">
        <v>1.5</v>
      </c>
      <c r="AW923" s="490" t="s">
        <v>3754</v>
      </c>
      <c r="AX923" s="417" t="s">
        <v>622</v>
      </c>
      <c r="AY923" s="455" t="s">
        <v>210</v>
      </c>
      <c r="AZ923" s="405" t="s">
        <v>4083</v>
      </c>
      <c r="BA923" s="324" t="s">
        <v>210</v>
      </c>
      <c r="BB923" s="324" t="s">
        <v>210</v>
      </c>
      <c r="BC923" s="324" t="s">
        <v>6180</v>
      </c>
      <c r="BD923" s="324" t="s">
        <v>3754</v>
      </c>
      <c r="BE923" s="324" t="s">
        <v>3459</v>
      </c>
      <c r="BF923" s="324" t="s">
        <v>3627</v>
      </c>
      <c r="BG923" s="324" t="s">
        <v>3555</v>
      </c>
      <c r="BH923" s="426" t="s">
        <v>6000</v>
      </c>
      <c r="BI923" s="453">
        <v>0.8</v>
      </c>
      <c r="BJ923" s="431" t="s">
        <v>210</v>
      </c>
      <c r="BK923" s="412"/>
      <c r="BL923" s="413"/>
      <c r="BM923" s="414"/>
      <c r="BN923" s="453" t="s">
        <v>622</v>
      </c>
      <c r="BO923" s="464"/>
      <c r="BP923" s="340" t="s">
        <v>210</v>
      </c>
      <c r="BQ923" s="456" t="s">
        <v>6240</v>
      </c>
      <c r="BR923" s="342" t="s">
        <v>210</v>
      </c>
      <c r="BS923" s="342" t="s">
        <v>622</v>
      </c>
      <c r="BT923" s="342" t="s">
        <v>210</v>
      </c>
      <c r="BU923" s="342" t="s">
        <v>210</v>
      </c>
      <c r="BV923" s="786">
        <v>-25</v>
      </c>
      <c r="BW923" s="341" t="s">
        <v>210</v>
      </c>
      <c r="BX923" s="361"/>
      <c r="BY923" s="457" t="s">
        <v>6181</v>
      </c>
      <c r="BZ923" s="363"/>
      <c r="CA923" s="363"/>
      <c r="CB923" s="363"/>
      <c r="CC923" s="363"/>
    </row>
    <row r="924" spans="1:82" ht="22.5" customHeight="1">
      <c r="B924" s="442">
        <v>170213</v>
      </c>
      <c r="C924" s="443" t="s">
        <v>6168</v>
      </c>
      <c r="D924" s="439" t="s">
        <v>4849</v>
      </c>
      <c r="E924" s="404" t="s">
        <v>5362</v>
      </c>
      <c r="F924" s="405" t="s">
        <v>6161</v>
      </c>
      <c r="G924" s="324" t="s">
        <v>6162</v>
      </c>
      <c r="H924" s="324" t="s">
        <v>6163</v>
      </c>
      <c r="I924" s="326" t="s">
        <v>383</v>
      </c>
      <c r="J924" s="326" t="s">
        <v>399</v>
      </c>
      <c r="K924" s="326" t="s">
        <v>223</v>
      </c>
      <c r="L924" s="392" t="s">
        <v>210</v>
      </c>
      <c r="M924" s="324" t="s">
        <v>10767</v>
      </c>
      <c r="N924" s="444" t="s">
        <v>437</v>
      </c>
      <c r="O924" s="324">
        <v>40</v>
      </c>
      <c r="P924" s="458">
        <v>1095.4000000000001</v>
      </c>
      <c r="Q924" s="459">
        <v>1189.0999999999999</v>
      </c>
      <c r="R924" s="329" t="s">
        <v>999</v>
      </c>
      <c r="S924" s="394" t="s">
        <v>12122</v>
      </c>
      <c r="T924" s="394" t="s">
        <v>11262</v>
      </c>
      <c r="U924" s="394" t="s">
        <v>16414</v>
      </c>
      <c r="V924" s="394" t="s">
        <v>11263</v>
      </c>
      <c r="W924" s="332" t="s">
        <v>4603</v>
      </c>
      <c r="X924" s="331" t="s">
        <v>12214</v>
      </c>
      <c r="Y924" s="331" t="s">
        <v>12215</v>
      </c>
      <c r="Z924" s="331" t="s">
        <v>12414</v>
      </c>
      <c r="AA924" s="331" t="s">
        <v>12216</v>
      </c>
      <c r="AB924" s="416"/>
      <c r="AC924" s="416"/>
      <c r="AD924" s="334" t="s">
        <v>2321</v>
      </c>
      <c r="AE924" s="335" t="s">
        <v>210</v>
      </c>
      <c r="AF924" s="462">
        <v>43052</v>
      </c>
      <c r="AG924" s="748">
        <v>43080</v>
      </c>
      <c r="AH924" s="417" t="s">
        <v>210</v>
      </c>
      <c r="AI924" s="392" t="s">
        <v>210</v>
      </c>
      <c r="AJ924" s="392" t="s">
        <v>210</v>
      </c>
      <c r="AK924" s="340" t="s">
        <v>210</v>
      </c>
      <c r="AL924" s="417" t="s">
        <v>210</v>
      </c>
      <c r="AM924" s="392" t="s">
        <v>210</v>
      </c>
      <c r="AN924" s="392" t="s">
        <v>210</v>
      </c>
      <c r="AO924" s="341" t="s">
        <v>210</v>
      </c>
      <c r="AP924" s="342" t="s">
        <v>210</v>
      </c>
      <c r="AQ924" s="433" t="s">
        <v>4547</v>
      </c>
      <c r="AR924" s="452">
        <v>1443</v>
      </c>
      <c r="AS924" s="324">
        <v>80</v>
      </c>
      <c r="AT924" s="432">
        <v>1</v>
      </c>
      <c r="AU924" s="432" t="s">
        <v>5246</v>
      </c>
      <c r="AV924" s="432">
        <v>1.5</v>
      </c>
      <c r="AW924" s="490" t="s">
        <v>3492</v>
      </c>
      <c r="AX924" s="417" t="s">
        <v>210</v>
      </c>
      <c r="AY924" s="455" t="s">
        <v>210</v>
      </c>
      <c r="AZ924" s="405" t="s">
        <v>622</v>
      </c>
      <c r="BA924" s="324" t="s">
        <v>6164</v>
      </c>
      <c r="BB924" s="324" t="s">
        <v>3487</v>
      </c>
      <c r="BC924" s="324" t="s">
        <v>3476</v>
      </c>
      <c r="BD924" s="324" t="s">
        <v>3487</v>
      </c>
      <c r="BE924" s="324" t="s">
        <v>6165</v>
      </c>
      <c r="BF924" s="324" t="s">
        <v>3492</v>
      </c>
      <c r="BG924" s="324" t="s">
        <v>6166</v>
      </c>
      <c r="BH924" s="426" t="s">
        <v>3424</v>
      </c>
      <c r="BI924" s="453">
        <v>2.5</v>
      </c>
      <c r="BJ924" s="431" t="s">
        <v>210</v>
      </c>
      <c r="BK924" s="412"/>
      <c r="BL924" s="413"/>
      <c r="BM924" s="414"/>
      <c r="BN924" s="453" t="s">
        <v>622</v>
      </c>
      <c r="BO924" s="464"/>
      <c r="BP924" s="455" t="s">
        <v>622</v>
      </c>
      <c r="BQ924" s="456" t="s">
        <v>6167</v>
      </c>
      <c r="BR924" s="342" t="s">
        <v>210</v>
      </c>
      <c r="BS924" s="342" t="s">
        <v>622</v>
      </c>
      <c r="BT924" s="342" t="s">
        <v>210</v>
      </c>
      <c r="BU924" s="342" t="s">
        <v>210</v>
      </c>
      <c r="BV924" s="342" t="s">
        <v>210</v>
      </c>
      <c r="BW924" s="341" t="s">
        <v>210</v>
      </c>
      <c r="BX924" s="361"/>
      <c r="BY924" s="888" t="s">
        <v>6215</v>
      </c>
      <c r="BZ924" s="889"/>
      <c r="CA924" s="889"/>
      <c r="CB924" s="889"/>
      <c r="CC924" s="889"/>
    </row>
    <row r="925" spans="1:82" ht="22.5" customHeight="1">
      <c r="B925" s="442">
        <v>170214</v>
      </c>
      <c r="C925" s="443" t="s">
        <v>6185</v>
      </c>
      <c r="D925" s="439" t="s">
        <v>6217</v>
      </c>
      <c r="E925" s="404" t="s">
        <v>5363</v>
      </c>
      <c r="F925" s="405" t="s">
        <v>4072</v>
      </c>
      <c r="G925" s="324" t="s">
        <v>6186</v>
      </c>
      <c r="H925" s="324" t="s">
        <v>6187</v>
      </c>
      <c r="I925" s="326" t="s">
        <v>383</v>
      </c>
      <c r="J925" s="326" t="s">
        <v>399</v>
      </c>
      <c r="K925" s="326" t="s">
        <v>223</v>
      </c>
      <c r="L925" s="392" t="s">
        <v>210</v>
      </c>
      <c r="M925" s="324" t="s">
        <v>6509</v>
      </c>
      <c r="N925" s="444" t="s">
        <v>438</v>
      </c>
      <c r="O925" s="324">
        <v>30</v>
      </c>
      <c r="P925" s="816">
        <v>1400</v>
      </c>
      <c r="Q925" s="817">
        <v>1400</v>
      </c>
      <c r="R925" s="420" t="s">
        <v>12410</v>
      </c>
      <c r="S925" s="394" t="s">
        <v>12407</v>
      </c>
      <c r="T925" s="394" t="s">
        <v>12408</v>
      </c>
      <c r="U925" s="394" t="s">
        <v>16411</v>
      </c>
      <c r="V925" s="394" t="s">
        <v>12409</v>
      </c>
      <c r="W925" s="460" t="s">
        <v>5284</v>
      </c>
      <c r="X925" s="394" t="s">
        <v>12412</v>
      </c>
      <c r="Y925" s="400"/>
      <c r="Z925" s="400"/>
      <c r="AA925" s="394" t="s">
        <v>12413</v>
      </c>
      <c r="AB925" s="416"/>
      <c r="AC925" s="416"/>
      <c r="AD925" s="447" t="s">
        <v>6435</v>
      </c>
      <c r="AE925" s="499" t="s">
        <v>245</v>
      </c>
      <c r="AF925" s="462">
        <v>43054</v>
      </c>
      <c r="AG925" s="748">
        <v>43151</v>
      </c>
      <c r="AH925" s="417" t="s">
        <v>210</v>
      </c>
      <c r="AI925" s="392" t="s">
        <v>210</v>
      </c>
      <c r="AJ925" s="392" t="s">
        <v>210</v>
      </c>
      <c r="AK925" s="340" t="s">
        <v>210</v>
      </c>
      <c r="AL925" s="417" t="s">
        <v>210</v>
      </c>
      <c r="AM925" s="392" t="s">
        <v>210</v>
      </c>
      <c r="AN925" s="392" t="s">
        <v>210</v>
      </c>
      <c r="AO925" s="341" t="s">
        <v>210</v>
      </c>
      <c r="AP925" s="342" t="s">
        <v>210</v>
      </c>
      <c r="AQ925" s="433" t="s">
        <v>4547</v>
      </c>
      <c r="AR925" s="452">
        <v>1658</v>
      </c>
      <c r="AS925" s="324">
        <v>150</v>
      </c>
      <c r="AT925" s="432">
        <v>1</v>
      </c>
      <c r="AU925" s="432" t="s">
        <v>5246</v>
      </c>
      <c r="AV925" s="432">
        <v>1.5</v>
      </c>
      <c r="AW925" s="490" t="s">
        <v>3382</v>
      </c>
      <c r="AX925" s="417" t="s">
        <v>210</v>
      </c>
      <c r="AY925" s="455" t="s">
        <v>210</v>
      </c>
      <c r="AZ925" s="405" t="s">
        <v>622</v>
      </c>
      <c r="BA925" s="324" t="s">
        <v>3459</v>
      </c>
      <c r="BB925" s="324" t="s">
        <v>5358</v>
      </c>
      <c r="BC925" s="324" t="s">
        <v>3459</v>
      </c>
      <c r="BD925" s="324" t="s">
        <v>5358</v>
      </c>
      <c r="BE925" s="324" t="s">
        <v>3738</v>
      </c>
      <c r="BF925" s="324" t="s">
        <v>3512</v>
      </c>
      <c r="BG925" s="324" t="s">
        <v>3555</v>
      </c>
      <c r="BH925" s="426" t="s">
        <v>3382</v>
      </c>
      <c r="BI925" s="453">
        <v>1.2</v>
      </c>
      <c r="BJ925" s="427">
        <v>0.8</v>
      </c>
      <c r="BK925" s="412"/>
      <c r="BL925" s="413"/>
      <c r="BM925" s="414"/>
      <c r="BN925" s="453" t="s">
        <v>622</v>
      </c>
      <c r="BO925" s="464"/>
      <c r="BP925" s="455" t="s">
        <v>622</v>
      </c>
      <c r="BQ925" s="456" t="s">
        <v>917</v>
      </c>
      <c r="BR925" s="342" t="s">
        <v>210</v>
      </c>
      <c r="BS925" s="342" t="s">
        <v>622</v>
      </c>
      <c r="BT925" s="342" t="s">
        <v>210</v>
      </c>
      <c r="BU925" s="342" t="s">
        <v>210</v>
      </c>
      <c r="BV925" s="342" t="s">
        <v>210</v>
      </c>
      <c r="BW925" s="341" t="s">
        <v>210</v>
      </c>
      <c r="BX925" s="361"/>
      <c r="BY925" s="888" t="s">
        <v>6780</v>
      </c>
      <c r="BZ925" s="889"/>
      <c r="CA925" s="889"/>
      <c r="CB925" s="889"/>
      <c r="CC925" s="889"/>
    </row>
    <row r="926" spans="1:82" s="287" customFormat="1" ht="22.5" customHeight="1">
      <c r="B926" s="442">
        <v>170215</v>
      </c>
      <c r="C926" s="443" t="s">
        <v>6188</v>
      </c>
      <c r="D926" s="439" t="s">
        <v>4849</v>
      </c>
      <c r="E926" s="404" t="s">
        <v>5362</v>
      </c>
      <c r="F926" s="405" t="s">
        <v>6189</v>
      </c>
      <c r="G926" s="324" t="s">
        <v>6190</v>
      </c>
      <c r="H926" s="324" t="s">
        <v>6191</v>
      </c>
      <c r="I926" s="326" t="s">
        <v>383</v>
      </c>
      <c r="J926" s="326" t="s">
        <v>399</v>
      </c>
      <c r="K926" s="326" t="s">
        <v>223</v>
      </c>
      <c r="L926" s="392" t="s">
        <v>210</v>
      </c>
      <c r="M926" s="324" t="s">
        <v>10767</v>
      </c>
      <c r="N926" s="444" t="s">
        <v>437</v>
      </c>
      <c r="O926" s="324">
        <v>40</v>
      </c>
      <c r="P926" s="458">
        <v>1100</v>
      </c>
      <c r="Q926" s="459">
        <v>1100</v>
      </c>
      <c r="R926" s="420" t="s">
        <v>5212</v>
      </c>
      <c r="S926" s="394" t="s">
        <v>12399</v>
      </c>
      <c r="T926" s="394" t="s">
        <v>12402</v>
      </c>
      <c r="U926" s="394" t="s">
        <v>12401</v>
      </c>
      <c r="V926" s="394" t="s">
        <v>12400</v>
      </c>
      <c r="W926" s="460" t="s">
        <v>5212</v>
      </c>
      <c r="X926" s="394" t="s">
        <v>12403</v>
      </c>
      <c r="Y926" s="394" t="s">
        <v>12402</v>
      </c>
      <c r="Z926" s="394" t="s">
        <v>12401</v>
      </c>
      <c r="AA926" s="394" t="s">
        <v>12404</v>
      </c>
      <c r="AB926" s="416"/>
      <c r="AC926" s="416"/>
      <c r="AD926" s="447" t="s">
        <v>7095</v>
      </c>
      <c r="AE926" s="335" t="s">
        <v>210</v>
      </c>
      <c r="AF926" s="462">
        <v>43054</v>
      </c>
      <c r="AG926" s="748">
        <v>43208</v>
      </c>
      <c r="AH926" s="417" t="s">
        <v>210</v>
      </c>
      <c r="AI926" s="392" t="s">
        <v>210</v>
      </c>
      <c r="AJ926" s="392" t="s">
        <v>210</v>
      </c>
      <c r="AK926" s="340" t="s">
        <v>210</v>
      </c>
      <c r="AL926" s="417" t="s">
        <v>210</v>
      </c>
      <c r="AM926" s="392" t="s">
        <v>210</v>
      </c>
      <c r="AN926" s="392" t="s">
        <v>622</v>
      </c>
      <c r="AO926" s="341" t="s">
        <v>210</v>
      </c>
      <c r="AP926" s="342" t="s">
        <v>210</v>
      </c>
      <c r="AQ926" s="433" t="s">
        <v>4547</v>
      </c>
      <c r="AR926" s="452">
        <v>1396</v>
      </c>
      <c r="AS926" s="324">
        <v>80</v>
      </c>
      <c r="AT926" s="432">
        <v>1</v>
      </c>
      <c r="AU926" s="432" t="s">
        <v>5246</v>
      </c>
      <c r="AV926" s="432">
        <v>1.5</v>
      </c>
      <c r="AW926" s="490" t="s">
        <v>6255</v>
      </c>
      <c r="AX926" s="417" t="s">
        <v>210</v>
      </c>
      <c r="AY926" s="455" t="s">
        <v>210</v>
      </c>
      <c r="AZ926" s="405" t="s">
        <v>622</v>
      </c>
      <c r="BA926" s="324" t="s">
        <v>3738</v>
      </c>
      <c r="BB926" s="324" t="s">
        <v>3434</v>
      </c>
      <c r="BC926" s="324" t="s">
        <v>3558</v>
      </c>
      <c r="BD926" s="324" t="s">
        <v>6192</v>
      </c>
      <c r="BE926" s="324" t="s">
        <v>6193</v>
      </c>
      <c r="BF926" s="324" t="s">
        <v>3372</v>
      </c>
      <c r="BG926" s="324" t="s">
        <v>210</v>
      </c>
      <c r="BH926" s="324" t="s">
        <v>210</v>
      </c>
      <c r="BI926" s="453">
        <v>2</v>
      </c>
      <c r="BJ926" s="427" t="s">
        <v>9793</v>
      </c>
      <c r="BK926" s="412"/>
      <c r="BL926" s="413"/>
      <c r="BM926" s="414"/>
      <c r="BN926" s="453" t="s">
        <v>210</v>
      </c>
      <c r="BO926" s="464"/>
      <c r="BP926" s="455" t="s">
        <v>622</v>
      </c>
      <c r="BQ926" s="456" t="s">
        <v>6167</v>
      </c>
      <c r="BR926" s="342" t="s">
        <v>622</v>
      </c>
      <c r="BS926" s="342" t="s">
        <v>622</v>
      </c>
      <c r="BT926" s="342" t="s">
        <v>210</v>
      </c>
      <c r="BU926" s="342" t="s">
        <v>210</v>
      </c>
      <c r="BV926" s="342" t="s">
        <v>210</v>
      </c>
      <c r="BW926" s="341" t="s">
        <v>210</v>
      </c>
      <c r="BX926" s="361"/>
      <c r="BY926" s="888" t="s">
        <v>6262</v>
      </c>
      <c r="BZ926" s="889"/>
      <c r="CA926" s="889"/>
      <c r="CB926" s="889"/>
      <c r="CC926" s="889"/>
      <c r="CD926" s="887"/>
    </row>
    <row r="927" spans="1:82" s="465" customFormat="1" ht="22.5" customHeight="1">
      <c r="A927" s="287"/>
      <c r="B927" s="749">
        <v>170216</v>
      </c>
      <c r="C927" s="781" t="s">
        <v>7779</v>
      </c>
      <c r="D927" s="751"/>
      <c r="E927" s="752" t="s">
        <v>5362</v>
      </c>
      <c r="F927" s="753" t="s">
        <v>1043</v>
      </c>
      <c r="G927" s="754" t="s">
        <v>3299</v>
      </c>
      <c r="H927" s="754" t="s">
        <v>6157</v>
      </c>
      <c r="I927" s="662" t="s">
        <v>383</v>
      </c>
      <c r="J927" s="662" t="s">
        <v>399</v>
      </c>
      <c r="K927" s="662" t="s">
        <v>223</v>
      </c>
      <c r="L927" s="676" t="s">
        <v>210</v>
      </c>
      <c r="M927" s="754"/>
      <c r="N927" s="755"/>
      <c r="O927" s="754">
        <v>140</v>
      </c>
      <c r="P927" s="782">
        <v>2819.6</v>
      </c>
      <c r="Q927" s="783">
        <v>2808</v>
      </c>
      <c r="R927" s="667" t="s">
        <v>1082</v>
      </c>
      <c r="S927" s="708" t="s">
        <v>12398</v>
      </c>
      <c r="T927" s="708" t="s">
        <v>11219</v>
      </c>
      <c r="U927" s="708" t="s">
        <v>16305</v>
      </c>
      <c r="V927" s="708" t="s">
        <v>11220</v>
      </c>
      <c r="W927" s="757" t="s">
        <v>5153</v>
      </c>
      <c r="X927" s="708" t="s">
        <v>12405</v>
      </c>
      <c r="Y927" s="708"/>
      <c r="Z927" s="708"/>
      <c r="AA927" s="708" t="s">
        <v>12406</v>
      </c>
      <c r="AB927" s="758"/>
      <c r="AC927" s="758"/>
      <c r="AD927" s="759"/>
      <c r="AE927" s="760"/>
      <c r="AF927" s="846">
        <v>43049</v>
      </c>
      <c r="AG927" s="674" t="s">
        <v>10514</v>
      </c>
      <c r="AH927" s="675" t="s">
        <v>210</v>
      </c>
      <c r="AI927" s="676" t="s">
        <v>210</v>
      </c>
      <c r="AJ927" s="676" t="s">
        <v>210</v>
      </c>
      <c r="AK927" s="677" t="s">
        <v>210</v>
      </c>
      <c r="AL927" s="675" t="s">
        <v>210</v>
      </c>
      <c r="AM927" s="676" t="s">
        <v>210</v>
      </c>
      <c r="AN927" s="676" t="s">
        <v>210</v>
      </c>
      <c r="AO927" s="678" t="s">
        <v>210</v>
      </c>
      <c r="AP927" s="784"/>
      <c r="AQ927" s="762" t="s">
        <v>4547</v>
      </c>
      <c r="AR927" s="763"/>
      <c r="AS927" s="754"/>
      <c r="AT927" s="785"/>
      <c r="AU927" s="785"/>
      <c r="AV927" s="785"/>
      <c r="AW927" s="764"/>
      <c r="AX927" s="675" t="s">
        <v>210</v>
      </c>
      <c r="AY927" s="766"/>
      <c r="AZ927" s="753"/>
      <c r="BA927" s="754"/>
      <c r="BB927" s="754"/>
      <c r="BC927" s="754"/>
      <c r="BD927" s="754"/>
      <c r="BE927" s="754"/>
      <c r="BF927" s="754"/>
      <c r="BG927" s="754"/>
      <c r="BH927" s="767"/>
      <c r="BI927" s="765"/>
      <c r="BJ927" s="768"/>
      <c r="BK927" s="769"/>
      <c r="BL927" s="766"/>
      <c r="BM927" s="770"/>
      <c r="BN927" s="765"/>
      <c r="BO927" s="771"/>
      <c r="BP927" s="772"/>
      <c r="BQ927" s="773"/>
      <c r="BR927" s="688"/>
      <c r="BS927" s="688" t="s">
        <v>622</v>
      </c>
      <c r="BT927" s="688" t="s">
        <v>210</v>
      </c>
      <c r="BU927" s="688" t="s">
        <v>210</v>
      </c>
      <c r="BV927" s="688" t="s">
        <v>210</v>
      </c>
      <c r="BW927" s="678" t="s">
        <v>210</v>
      </c>
      <c r="BX927" s="688"/>
      <c r="BY927" s="774" t="s">
        <v>6158</v>
      </c>
      <c r="BZ927" s="483"/>
      <c r="CA927" s="483"/>
      <c r="CB927" s="483"/>
      <c r="CC927" s="483"/>
      <c r="CD927" s="484"/>
    </row>
    <row r="928" spans="1:82" ht="22.5" customHeight="1">
      <c r="B928" s="442">
        <v>170217</v>
      </c>
      <c r="C928" s="443" t="s">
        <v>6144</v>
      </c>
      <c r="D928" s="439" t="s">
        <v>6143</v>
      </c>
      <c r="E928" s="404" t="s">
        <v>5362</v>
      </c>
      <c r="F928" s="405" t="s">
        <v>4072</v>
      </c>
      <c r="G928" s="324" t="s">
        <v>6145</v>
      </c>
      <c r="H928" s="324" t="s">
        <v>6146</v>
      </c>
      <c r="I928" s="326" t="s">
        <v>383</v>
      </c>
      <c r="J928" s="326" t="s">
        <v>399</v>
      </c>
      <c r="K928" s="324" t="s">
        <v>977</v>
      </c>
      <c r="L928" s="361"/>
      <c r="M928" s="324" t="s">
        <v>10767</v>
      </c>
      <c r="N928" s="444" t="s">
        <v>437</v>
      </c>
      <c r="O928" s="324">
        <v>30</v>
      </c>
      <c r="P928" s="458">
        <v>319</v>
      </c>
      <c r="Q928" s="459">
        <v>292</v>
      </c>
      <c r="R928" s="420" t="s">
        <v>6148</v>
      </c>
      <c r="S928" s="394" t="s">
        <v>12393</v>
      </c>
      <c r="T928" s="394" t="s">
        <v>12394</v>
      </c>
      <c r="U928" s="400"/>
      <c r="V928" s="394" t="s">
        <v>12395</v>
      </c>
      <c r="W928" s="460" t="s">
        <v>6150</v>
      </c>
      <c r="X928" s="394" t="s">
        <v>12396</v>
      </c>
      <c r="Y928" s="400"/>
      <c r="Z928" s="400"/>
      <c r="AA928" s="394" t="s">
        <v>12397</v>
      </c>
      <c r="AB928" s="416"/>
      <c r="AC928" s="416"/>
      <c r="AD928" s="447" t="s">
        <v>866</v>
      </c>
      <c r="AE928" s="335" t="s">
        <v>210</v>
      </c>
      <c r="AF928" s="462">
        <v>43049</v>
      </c>
      <c r="AG928" s="748">
        <v>43084</v>
      </c>
      <c r="AH928" s="417" t="s">
        <v>210</v>
      </c>
      <c r="AI928" s="392" t="s">
        <v>210</v>
      </c>
      <c r="AJ928" s="392" t="s">
        <v>210</v>
      </c>
      <c r="AK928" s="340" t="s">
        <v>210</v>
      </c>
      <c r="AL928" s="417" t="s">
        <v>210</v>
      </c>
      <c r="AM928" s="392" t="s">
        <v>210</v>
      </c>
      <c r="AN928" s="392" t="s">
        <v>210</v>
      </c>
      <c r="AO928" s="341" t="s">
        <v>210</v>
      </c>
      <c r="AP928" s="342" t="s">
        <v>210</v>
      </c>
      <c r="AQ928" s="433" t="s">
        <v>4547</v>
      </c>
      <c r="AR928" s="452">
        <v>344</v>
      </c>
      <c r="AS928" s="324">
        <v>130</v>
      </c>
      <c r="AT928" s="432">
        <v>1</v>
      </c>
      <c r="AU928" s="432" t="s">
        <v>6214</v>
      </c>
      <c r="AV928" s="432">
        <v>1.5</v>
      </c>
      <c r="AW928" s="490" t="s">
        <v>6214</v>
      </c>
      <c r="AX928" s="417" t="s">
        <v>210</v>
      </c>
      <c r="AY928" s="455" t="s">
        <v>210</v>
      </c>
      <c r="AZ928" s="405" t="s">
        <v>4083</v>
      </c>
      <c r="BA928" s="324" t="s">
        <v>210</v>
      </c>
      <c r="BB928" s="324" t="s">
        <v>210</v>
      </c>
      <c r="BC928" s="324" t="s">
        <v>210</v>
      </c>
      <c r="BD928" s="324" t="s">
        <v>210</v>
      </c>
      <c r="BE928" s="324" t="s">
        <v>6156</v>
      </c>
      <c r="BF928" s="324" t="s">
        <v>3382</v>
      </c>
      <c r="BG928" s="324" t="s">
        <v>6154</v>
      </c>
      <c r="BH928" s="426" t="s">
        <v>6155</v>
      </c>
      <c r="BI928" s="453">
        <v>1</v>
      </c>
      <c r="BJ928" s="427" t="s">
        <v>210</v>
      </c>
      <c r="BK928" s="412"/>
      <c r="BL928" s="413"/>
      <c r="BM928" s="414"/>
      <c r="BN928" s="453" t="s">
        <v>622</v>
      </c>
      <c r="BO928" s="464">
        <v>1.1299999999999999</v>
      </c>
      <c r="BP928" s="340" t="s">
        <v>210</v>
      </c>
      <c r="BQ928" s="456" t="s">
        <v>6213</v>
      </c>
      <c r="BR928" s="342" t="s">
        <v>210</v>
      </c>
      <c r="BS928" s="342" t="s">
        <v>210</v>
      </c>
      <c r="BT928" s="342" t="s">
        <v>210</v>
      </c>
      <c r="BU928" s="342" t="s">
        <v>210</v>
      </c>
      <c r="BV928" s="342" t="s">
        <v>210</v>
      </c>
      <c r="BW928" s="341" t="s">
        <v>210</v>
      </c>
      <c r="BX928" s="361"/>
      <c r="BY928" s="457" t="s">
        <v>6212</v>
      </c>
      <c r="BZ928" s="363"/>
      <c r="CA928" s="363"/>
      <c r="CB928" s="363"/>
      <c r="CC928" s="363"/>
    </row>
    <row r="929" spans="2:81" ht="22.5" customHeight="1">
      <c r="B929" s="442">
        <v>170218</v>
      </c>
      <c r="C929" s="443" t="s">
        <v>6220</v>
      </c>
      <c r="D929" s="439" t="s">
        <v>4847</v>
      </c>
      <c r="E929" s="404" t="s">
        <v>5362</v>
      </c>
      <c r="F929" s="405" t="s">
        <v>1043</v>
      </c>
      <c r="G929" s="324" t="s">
        <v>3545</v>
      </c>
      <c r="H929" s="324" t="s">
        <v>6221</v>
      </c>
      <c r="I929" s="326" t="s">
        <v>383</v>
      </c>
      <c r="J929" s="326" t="s">
        <v>399</v>
      </c>
      <c r="K929" s="324" t="s">
        <v>6222</v>
      </c>
      <c r="L929" s="342">
        <v>6.5</v>
      </c>
      <c r="M929" s="324" t="s">
        <v>6625</v>
      </c>
      <c r="N929" s="444" t="s">
        <v>437</v>
      </c>
      <c r="O929" s="324">
        <v>70</v>
      </c>
      <c r="P929" s="458">
        <v>314</v>
      </c>
      <c r="Q929" s="459">
        <v>314</v>
      </c>
      <c r="R929" s="329" t="s">
        <v>3550</v>
      </c>
      <c r="S929" s="394" t="s">
        <v>12390</v>
      </c>
      <c r="T929" s="394" t="s">
        <v>12392</v>
      </c>
      <c r="U929" s="394" t="s">
        <v>16264</v>
      </c>
      <c r="V929" s="394" t="s">
        <v>12391</v>
      </c>
      <c r="W929" s="460" t="s">
        <v>6223</v>
      </c>
      <c r="X929" s="394" t="s">
        <v>12387</v>
      </c>
      <c r="Y929" s="394" t="s">
        <v>12388</v>
      </c>
      <c r="Z929" s="394" t="s">
        <v>16266</v>
      </c>
      <c r="AA929" s="394" t="s">
        <v>12389</v>
      </c>
      <c r="AB929" s="416"/>
      <c r="AC929" s="416"/>
      <c r="AD929" s="447" t="s">
        <v>7131</v>
      </c>
      <c r="AE929" s="335" t="s">
        <v>210</v>
      </c>
      <c r="AF929" s="462">
        <v>43056</v>
      </c>
      <c r="AG929" s="748">
        <v>43217</v>
      </c>
      <c r="AH929" s="417" t="s">
        <v>210</v>
      </c>
      <c r="AI929" s="392" t="s">
        <v>210</v>
      </c>
      <c r="AJ929" s="392" t="s">
        <v>210</v>
      </c>
      <c r="AK929" s="340" t="s">
        <v>210</v>
      </c>
      <c r="AL929" s="417" t="s">
        <v>210</v>
      </c>
      <c r="AM929" s="392" t="s">
        <v>210</v>
      </c>
      <c r="AN929" s="392" t="s">
        <v>210</v>
      </c>
      <c r="AO929" s="341" t="s">
        <v>210</v>
      </c>
      <c r="AP929" s="418" t="s">
        <v>622</v>
      </c>
      <c r="AQ929" s="433" t="s">
        <v>4547</v>
      </c>
      <c r="AR929" s="452">
        <v>881</v>
      </c>
      <c r="AS929" s="324">
        <v>100</v>
      </c>
      <c r="AT929" s="432">
        <v>1</v>
      </c>
      <c r="AU929" s="432" t="s">
        <v>5246</v>
      </c>
      <c r="AV929" s="432">
        <v>1.5</v>
      </c>
      <c r="AW929" s="490" t="s">
        <v>3380</v>
      </c>
      <c r="AX929" s="417" t="s">
        <v>210</v>
      </c>
      <c r="AY929" s="455" t="s">
        <v>210</v>
      </c>
      <c r="AZ929" s="405" t="s">
        <v>4083</v>
      </c>
      <c r="BA929" s="324" t="s">
        <v>210</v>
      </c>
      <c r="BB929" s="324" t="s">
        <v>210</v>
      </c>
      <c r="BC929" s="324" t="s">
        <v>210</v>
      </c>
      <c r="BD929" s="324" t="s">
        <v>210</v>
      </c>
      <c r="BE929" s="324" t="s">
        <v>3459</v>
      </c>
      <c r="BF929" s="324" t="s">
        <v>5377</v>
      </c>
      <c r="BG929" s="324" t="s">
        <v>3555</v>
      </c>
      <c r="BH929" s="426" t="s">
        <v>3574</v>
      </c>
      <c r="BI929" s="453">
        <v>4</v>
      </c>
      <c r="BJ929" s="427" t="s">
        <v>9793</v>
      </c>
      <c r="BK929" s="412"/>
      <c r="BL929" s="413"/>
      <c r="BM929" s="414"/>
      <c r="BN929" s="321" t="s">
        <v>622</v>
      </c>
      <c r="BO929" s="372">
        <v>1.03</v>
      </c>
      <c r="BP929" s="340" t="s">
        <v>210</v>
      </c>
      <c r="BQ929" s="456" t="s">
        <v>6213</v>
      </c>
      <c r="BR929" s="342" t="s">
        <v>210</v>
      </c>
      <c r="BS929" s="342" t="s">
        <v>210</v>
      </c>
      <c r="BT929" s="342" t="s">
        <v>210</v>
      </c>
      <c r="BU929" s="342" t="s">
        <v>210</v>
      </c>
      <c r="BV929" s="342" t="s">
        <v>210</v>
      </c>
      <c r="BW929" s="341" t="s">
        <v>210</v>
      </c>
      <c r="BX929" s="361"/>
      <c r="BY929" s="457"/>
      <c r="BZ929" s="363"/>
      <c r="CA929" s="363"/>
      <c r="CB929" s="363"/>
      <c r="CC929" s="363"/>
    </row>
    <row r="930" spans="2:81" ht="22.5" customHeight="1">
      <c r="B930" s="442">
        <v>170219</v>
      </c>
      <c r="C930" s="443" t="s">
        <v>6234</v>
      </c>
      <c r="D930" s="467" t="s">
        <v>6316</v>
      </c>
      <c r="E930" s="899" t="s">
        <v>5362</v>
      </c>
      <c r="F930" s="405" t="s">
        <v>6235</v>
      </c>
      <c r="G930" s="324" t="s">
        <v>2382</v>
      </c>
      <c r="H930" s="324" t="s">
        <v>6236</v>
      </c>
      <c r="I930" s="326" t="s">
        <v>383</v>
      </c>
      <c r="J930" s="326" t="s">
        <v>399</v>
      </c>
      <c r="K930" s="326" t="s">
        <v>223</v>
      </c>
      <c r="L930" s="392" t="s">
        <v>210</v>
      </c>
      <c r="M930" s="324" t="s">
        <v>6509</v>
      </c>
      <c r="N930" s="444" t="s">
        <v>438</v>
      </c>
      <c r="O930" s="324">
        <v>30</v>
      </c>
      <c r="P930" s="816">
        <v>18000</v>
      </c>
      <c r="Q930" s="817">
        <v>18000</v>
      </c>
      <c r="R930" s="329" t="s">
        <v>528</v>
      </c>
      <c r="S930" s="394" t="s">
        <v>12383</v>
      </c>
      <c r="T930" s="394" t="s">
        <v>12385</v>
      </c>
      <c r="U930" s="394" t="s">
        <v>12384</v>
      </c>
      <c r="V930" s="394" t="s">
        <v>12386</v>
      </c>
      <c r="W930" s="332" t="s">
        <v>528</v>
      </c>
      <c r="X930" s="331" t="s">
        <v>11334</v>
      </c>
      <c r="Y930" s="331" t="s">
        <v>11335</v>
      </c>
      <c r="Z930" s="331" t="s">
        <v>16363</v>
      </c>
      <c r="AA930" s="331" t="s">
        <v>11336</v>
      </c>
      <c r="AB930" s="416"/>
      <c r="AC930" s="416"/>
      <c r="AD930" s="447" t="s">
        <v>1410</v>
      </c>
      <c r="AE930" s="499" t="s">
        <v>7117</v>
      </c>
      <c r="AF930" s="462">
        <v>43064</v>
      </c>
      <c r="AG930" s="748">
        <v>43228</v>
      </c>
      <c r="AH930" s="417" t="s">
        <v>210</v>
      </c>
      <c r="AI930" s="392" t="s">
        <v>210</v>
      </c>
      <c r="AJ930" s="392" t="s">
        <v>210</v>
      </c>
      <c r="AK930" s="340" t="s">
        <v>210</v>
      </c>
      <c r="AL930" s="417" t="s">
        <v>210</v>
      </c>
      <c r="AM930" s="392" t="s">
        <v>210</v>
      </c>
      <c r="AN930" s="392" t="s">
        <v>210</v>
      </c>
      <c r="AO930" s="341" t="s">
        <v>210</v>
      </c>
      <c r="AP930" s="418" t="s">
        <v>622</v>
      </c>
      <c r="AQ930" s="433" t="s">
        <v>4547</v>
      </c>
      <c r="AR930" s="452">
        <v>20149</v>
      </c>
      <c r="AS930" s="324">
        <v>120</v>
      </c>
      <c r="AT930" s="432">
        <v>1</v>
      </c>
      <c r="AU930" s="432" t="s">
        <v>6314</v>
      </c>
      <c r="AV930" s="432">
        <v>1.5</v>
      </c>
      <c r="AW930" s="490" t="s">
        <v>6315</v>
      </c>
      <c r="AX930" s="417" t="s">
        <v>210</v>
      </c>
      <c r="AY930" s="455" t="s">
        <v>210</v>
      </c>
      <c r="AZ930" s="405" t="s">
        <v>622</v>
      </c>
      <c r="BA930" s="324" t="s">
        <v>3459</v>
      </c>
      <c r="BB930" s="324" t="s">
        <v>5905</v>
      </c>
      <c r="BC930" s="324" t="s">
        <v>6237</v>
      </c>
      <c r="BD930" s="324" t="s">
        <v>5905</v>
      </c>
      <c r="BE930" s="324" t="s">
        <v>6238</v>
      </c>
      <c r="BF930" s="324" t="s">
        <v>5058</v>
      </c>
      <c r="BG930" s="324" t="s">
        <v>6239</v>
      </c>
      <c r="BH930" s="324" t="s">
        <v>5058</v>
      </c>
      <c r="BI930" s="453">
        <v>0.8</v>
      </c>
      <c r="BJ930" s="427" t="s">
        <v>9793</v>
      </c>
      <c r="BK930" s="412"/>
      <c r="BL930" s="413"/>
      <c r="BM930" s="414"/>
      <c r="BN930" s="453" t="s">
        <v>622</v>
      </c>
      <c r="BO930" s="464"/>
      <c r="BP930" s="455" t="s">
        <v>622</v>
      </c>
      <c r="BQ930" s="456" t="s">
        <v>917</v>
      </c>
      <c r="BR930" s="342" t="s">
        <v>622</v>
      </c>
      <c r="BS930" s="342" t="s">
        <v>622</v>
      </c>
      <c r="BT930" s="342" t="s">
        <v>210</v>
      </c>
      <c r="BU930" s="342" t="s">
        <v>210</v>
      </c>
      <c r="BV930" s="342" t="s">
        <v>210</v>
      </c>
      <c r="BW930" s="341" t="s">
        <v>210</v>
      </c>
      <c r="BX930" s="361"/>
      <c r="BY930" s="457"/>
      <c r="BZ930" s="363"/>
      <c r="CA930" s="363"/>
      <c r="CB930" s="363"/>
      <c r="CC930" s="363"/>
    </row>
    <row r="931" spans="2:81" ht="22.5" customHeight="1">
      <c r="B931" s="442">
        <v>170220</v>
      </c>
      <c r="C931" s="443" t="s">
        <v>6269</v>
      </c>
      <c r="D931" s="467" t="s">
        <v>6218</v>
      </c>
      <c r="E931" s="404" t="s">
        <v>5362</v>
      </c>
      <c r="F931" s="405" t="s">
        <v>6241</v>
      </c>
      <c r="G931" s="324" t="s">
        <v>6242</v>
      </c>
      <c r="H931" s="324" t="s">
        <v>6243</v>
      </c>
      <c r="I931" s="326" t="s">
        <v>383</v>
      </c>
      <c r="J931" s="326" t="s">
        <v>387</v>
      </c>
      <c r="K931" s="326" t="s">
        <v>806</v>
      </c>
      <c r="L931" s="392" t="s">
        <v>210</v>
      </c>
      <c r="M931" s="324" t="s">
        <v>10767</v>
      </c>
      <c r="N931" s="444" t="s">
        <v>6344</v>
      </c>
      <c r="O931" s="324">
        <v>100</v>
      </c>
      <c r="P931" s="816">
        <v>870</v>
      </c>
      <c r="Q931" s="817">
        <v>630</v>
      </c>
      <c r="R931" s="329" t="s">
        <v>6265</v>
      </c>
      <c r="S931" s="400"/>
      <c r="T931" s="331" t="s">
        <v>14113</v>
      </c>
      <c r="U931" s="331" t="s">
        <v>14112</v>
      </c>
      <c r="V931" s="400"/>
      <c r="W931" s="332" t="s">
        <v>12382</v>
      </c>
      <c r="X931" s="331" t="s">
        <v>11801</v>
      </c>
      <c r="Y931" s="330"/>
      <c r="Z931" s="330"/>
      <c r="AA931" s="331" t="s">
        <v>11802</v>
      </c>
      <c r="AB931" s="416"/>
      <c r="AC931" s="416"/>
      <c r="AD931" s="447" t="s">
        <v>1591</v>
      </c>
      <c r="AE931" s="335" t="s">
        <v>210</v>
      </c>
      <c r="AF931" s="462">
        <v>43066</v>
      </c>
      <c r="AG931" s="748">
        <v>43112</v>
      </c>
      <c r="AH931" s="417" t="s">
        <v>210</v>
      </c>
      <c r="AI931" s="392" t="s">
        <v>210</v>
      </c>
      <c r="AJ931" s="392" t="s">
        <v>210</v>
      </c>
      <c r="AK931" s="340" t="s">
        <v>210</v>
      </c>
      <c r="AL931" s="417" t="s">
        <v>210</v>
      </c>
      <c r="AM931" s="392" t="s">
        <v>210</v>
      </c>
      <c r="AN931" s="392" t="s">
        <v>210</v>
      </c>
      <c r="AO931" s="341" t="s">
        <v>210</v>
      </c>
      <c r="AP931" s="418" t="s">
        <v>622</v>
      </c>
      <c r="AQ931" s="433" t="s">
        <v>4547</v>
      </c>
      <c r="AR931" s="452">
        <v>873</v>
      </c>
      <c r="AS931" s="324">
        <v>100</v>
      </c>
      <c r="AT931" s="432">
        <v>1</v>
      </c>
      <c r="AU931" s="432" t="s">
        <v>6244</v>
      </c>
      <c r="AV931" s="432">
        <v>1.8</v>
      </c>
      <c r="AW931" s="490" t="s">
        <v>6244</v>
      </c>
      <c r="AX931" s="417" t="s">
        <v>210</v>
      </c>
      <c r="AY931" s="455" t="s">
        <v>210</v>
      </c>
      <c r="AZ931" s="405" t="s">
        <v>4083</v>
      </c>
      <c r="BA931" s="324" t="s">
        <v>210</v>
      </c>
      <c r="BB931" s="324" t="s">
        <v>210</v>
      </c>
      <c r="BC931" s="324" t="s">
        <v>3459</v>
      </c>
      <c r="BD931" s="324" t="s">
        <v>6244</v>
      </c>
      <c r="BE931" s="324" t="s">
        <v>3555</v>
      </c>
      <c r="BF931" s="324" t="s">
        <v>6244</v>
      </c>
      <c r="BG931" s="324" t="s">
        <v>3557</v>
      </c>
      <c r="BH931" s="426" t="s">
        <v>6245</v>
      </c>
      <c r="BI931" s="453">
        <v>3.577</v>
      </c>
      <c r="BJ931" s="427" t="s">
        <v>6345</v>
      </c>
      <c r="BK931" s="412"/>
      <c r="BL931" s="413"/>
      <c r="BM931" s="414"/>
      <c r="BN931" s="453" t="s">
        <v>622</v>
      </c>
      <c r="BO931" s="464"/>
      <c r="BP931" s="455" t="s">
        <v>622</v>
      </c>
      <c r="BQ931" s="456" t="s">
        <v>917</v>
      </c>
      <c r="BR931" s="342" t="s">
        <v>622</v>
      </c>
      <c r="BS931" s="342" t="s">
        <v>622</v>
      </c>
      <c r="BT931" s="342" t="s">
        <v>210</v>
      </c>
      <c r="BU931" s="342" t="s">
        <v>210</v>
      </c>
      <c r="BV931" s="342" t="s">
        <v>210</v>
      </c>
      <c r="BW931" s="341" t="s">
        <v>210</v>
      </c>
      <c r="BX931" s="361"/>
      <c r="BY931" s="457" t="s">
        <v>6276</v>
      </c>
      <c r="BZ931" s="363"/>
      <c r="CA931" s="363"/>
      <c r="CB931" s="363"/>
      <c r="CC931" s="363"/>
    </row>
    <row r="932" spans="2:81" ht="22.5" customHeight="1">
      <c r="B932" s="442">
        <v>170221</v>
      </c>
      <c r="C932" s="443" t="s">
        <v>6246</v>
      </c>
      <c r="D932" s="439" t="s">
        <v>4847</v>
      </c>
      <c r="E932" s="404" t="s">
        <v>5362</v>
      </c>
      <c r="F932" s="405" t="s">
        <v>264</v>
      </c>
      <c r="G932" s="324" t="s">
        <v>4802</v>
      </c>
      <c r="H932" s="324" t="s">
        <v>6256</v>
      </c>
      <c r="I932" s="326" t="s">
        <v>383</v>
      </c>
      <c r="J932" s="324" t="s">
        <v>6257</v>
      </c>
      <c r="K932" s="324" t="s">
        <v>247</v>
      </c>
      <c r="L932" s="342">
        <v>20</v>
      </c>
      <c r="M932" s="324" t="s">
        <v>10767</v>
      </c>
      <c r="N932" s="444" t="s">
        <v>438</v>
      </c>
      <c r="O932" s="324">
        <v>30</v>
      </c>
      <c r="P932" s="458">
        <v>5356.68</v>
      </c>
      <c r="Q932" s="459">
        <v>2091.3200000000002</v>
      </c>
      <c r="R932" s="420" t="s">
        <v>6247</v>
      </c>
      <c r="S932" s="394" t="s">
        <v>12378</v>
      </c>
      <c r="T932" s="394" t="s">
        <v>12380</v>
      </c>
      <c r="U932" s="394" t="s">
        <v>16258</v>
      </c>
      <c r="V932" s="394" t="s">
        <v>12381</v>
      </c>
      <c r="W932" s="460" t="s">
        <v>6247</v>
      </c>
      <c r="X932" s="394" t="s">
        <v>12378</v>
      </c>
      <c r="Y932" s="394" t="s">
        <v>12380</v>
      </c>
      <c r="Z932" s="394" t="s">
        <v>12379</v>
      </c>
      <c r="AA932" s="394" t="s">
        <v>12381</v>
      </c>
      <c r="AB932" s="416"/>
      <c r="AC932" s="416"/>
      <c r="AD932" s="334" t="s">
        <v>2336</v>
      </c>
      <c r="AE932" s="499" t="s">
        <v>811</v>
      </c>
      <c r="AF932" s="462">
        <v>43066</v>
      </c>
      <c r="AG932" s="748">
        <v>43210</v>
      </c>
      <c r="AH932" s="417" t="s">
        <v>210</v>
      </c>
      <c r="AI932" s="392" t="s">
        <v>210</v>
      </c>
      <c r="AJ932" s="392" t="s">
        <v>210</v>
      </c>
      <c r="AK932" s="340" t="s">
        <v>210</v>
      </c>
      <c r="AL932" s="417" t="s">
        <v>210</v>
      </c>
      <c r="AM932" s="392" t="s">
        <v>210</v>
      </c>
      <c r="AN932" s="392" t="s">
        <v>210</v>
      </c>
      <c r="AO932" s="341" t="s">
        <v>210</v>
      </c>
      <c r="AP932" s="342" t="s">
        <v>210</v>
      </c>
      <c r="AQ932" s="433" t="s">
        <v>4547</v>
      </c>
      <c r="AR932" s="452">
        <v>1425</v>
      </c>
      <c r="AS932" s="324">
        <v>200</v>
      </c>
      <c r="AT932" s="432">
        <v>1</v>
      </c>
      <c r="AU932" s="432" t="s">
        <v>6308</v>
      </c>
      <c r="AV932" s="432">
        <v>1.6</v>
      </c>
      <c r="AW932" s="490" t="s">
        <v>6308</v>
      </c>
      <c r="AX932" s="417" t="s">
        <v>622</v>
      </c>
      <c r="AY932" s="455" t="s">
        <v>210</v>
      </c>
      <c r="AZ932" s="405" t="s">
        <v>4083</v>
      </c>
      <c r="BA932" s="324" t="s">
        <v>210</v>
      </c>
      <c r="BB932" s="324" t="s">
        <v>210</v>
      </c>
      <c r="BC932" s="324" t="s">
        <v>210</v>
      </c>
      <c r="BD932" s="324" t="s">
        <v>210</v>
      </c>
      <c r="BE932" s="324" t="s">
        <v>3555</v>
      </c>
      <c r="BF932" s="324" t="s">
        <v>6258</v>
      </c>
      <c r="BG932" s="324" t="s">
        <v>3555</v>
      </c>
      <c r="BH932" s="324" t="s">
        <v>6258</v>
      </c>
      <c r="BI932" s="453">
        <v>10</v>
      </c>
      <c r="BJ932" s="427" t="s">
        <v>210</v>
      </c>
      <c r="BK932" s="412"/>
      <c r="BL932" s="413"/>
      <c r="BM932" s="414"/>
      <c r="BN932" s="453" t="s">
        <v>210</v>
      </c>
      <c r="BO932" s="464"/>
      <c r="BP932" s="340" t="s">
        <v>210</v>
      </c>
      <c r="BQ932" s="456" t="s">
        <v>6216</v>
      </c>
      <c r="BR932" s="342" t="s">
        <v>210</v>
      </c>
      <c r="BS932" s="342" t="s">
        <v>622</v>
      </c>
      <c r="BT932" s="342" t="s">
        <v>210</v>
      </c>
      <c r="BU932" s="342" t="s">
        <v>210</v>
      </c>
      <c r="BV932" s="342" t="s">
        <v>210</v>
      </c>
      <c r="BW932" s="341" t="s">
        <v>210</v>
      </c>
      <c r="BX932" s="361"/>
      <c r="BY932" s="888" t="s">
        <v>6309</v>
      </c>
      <c r="BZ932" s="889"/>
      <c r="CA932" s="889"/>
      <c r="CB932" s="889"/>
      <c r="CC932" s="889"/>
    </row>
    <row r="933" spans="2:81" ht="22.5" customHeight="1">
      <c r="B933" s="442">
        <v>170222</v>
      </c>
      <c r="C933" s="443" t="s">
        <v>6048</v>
      </c>
      <c r="D933" s="467" t="s">
        <v>6218</v>
      </c>
      <c r="E933" s="404" t="s">
        <v>5361</v>
      </c>
      <c r="F933" s="405" t="s">
        <v>1048</v>
      </c>
      <c r="G933" s="324" t="s">
        <v>3073</v>
      </c>
      <c r="H933" s="324" t="s">
        <v>6049</v>
      </c>
      <c r="I933" s="326" t="s">
        <v>383</v>
      </c>
      <c r="J933" s="326" t="s">
        <v>399</v>
      </c>
      <c r="K933" s="324" t="s">
        <v>247</v>
      </c>
      <c r="L933" s="342">
        <v>8.5</v>
      </c>
      <c r="M933" s="324" t="s">
        <v>10767</v>
      </c>
      <c r="N933" s="444" t="s">
        <v>6346</v>
      </c>
      <c r="O933" s="324">
        <v>52</v>
      </c>
      <c r="P933" s="458">
        <v>2488</v>
      </c>
      <c r="Q933" s="459">
        <v>2280</v>
      </c>
      <c r="R933" s="420" t="s">
        <v>6050</v>
      </c>
      <c r="S933" s="394" t="s">
        <v>12377</v>
      </c>
      <c r="T933" s="400"/>
      <c r="U933" s="400"/>
      <c r="V933" s="394" t="s">
        <v>12376</v>
      </c>
      <c r="W933" s="460" t="s">
        <v>6051</v>
      </c>
      <c r="X933" s="394" t="s">
        <v>12372</v>
      </c>
      <c r="Y933" s="394" t="s">
        <v>12373</v>
      </c>
      <c r="Z933" s="394" t="s">
        <v>12374</v>
      </c>
      <c r="AA933" s="394" t="s">
        <v>12375</v>
      </c>
      <c r="AB933" s="416"/>
      <c r="AC933" s="416"/>
      <c r="AD933" s="334" t="s">
        <v>8768</v>
      </c>
      <c r="AE933" s="499" t="s">
        <v>966</v>
      </c>
      <c r="AF933" s="462">
        <v>43066</v>
      </c>
      <c r="AG933" s="748">
        <v>43248</v>
      </c>
      <c r="AH933" s="417" t="s">
        <v>210</v>
      </c>
      <c r="AI933" s="392" t="s">
        <v>210</v>
      </c>
      <c r="AJ933" s="392" t="s">
        <v>210</v>
      </c>
      <c r="AK933" s="340" t="s">
        <v>210</v>
      </c>
      <c r="AL933" s="417" t="s">
        <v>210</v>
      </c>
      <c r="AM933" s="392" t="s">
        <v>210</v>
      </c>
      <c r="AN933" s="392" t="s">
        <v>210</v>
      </c>
      <c r="AO933" s="341" t="s">
        <v>210</v>
      </c>
      <c r="AP933" s="342" t="s">
        <v>210</v>
      </c>
      <c r="AQ933" s="433" t="s">
        <v>4547</v>
      </c>
      <c r="AR933" s="452">
        <v>2748</v>
      </c>
      <c r="AS933" s="324">
        <v>80</v>
      </c>
      <c r="AT933" s="432">
        <v>1</v>
      </c>
      <c r="AU933" s="432" t="s">
        <v>5246</v>
      </c>
      <c r="AV933" s="432">
        <v>1.5</v>
      </c>
      <c r="AW933" s="490" t="s">
        <v>6310</v>
      </c>
      <c r="AX933" s="453" t="s">
        <v>6311</v>
      </c>
      <c r="AY933" s="429" t="s">
        <v>6311</v>
      </c>
      <c r="AZ933" s="405" t="s">
        <v>622</v>
      </c>
      <c r="BA933" s="324" t="s">
        <v>3459</v>
      </c>
      <c r="BB933" s="324" t="s">
        <v>5358</v>
      </c>
      <c r="BC933" s="324" t="s">
        <v>6251</v>
      </c>
      <c r="BD933" s="324" t="s">
        <v>3512</v>
      </c>
      <c r="BE933" s="324" t="s">
        <v>3565</v>
      </c>
      <c r="BF933" s="324" t="s">
        <v>6252</v>
      </c>
      <c r="BG933" s="324" t="s">
        <v>6253</v>
      </c>
      <c r="BH933" s="426" t="s">
        <v>3512</v>
      </c>
      <c r="BI933" s="453">
        <v>1</v>
      </c>
      <c r="BJ933" s="427" t="s">
        <v>210</v>
      </c>
      <c r="BK933" s="412"/>
      <c r="BL933" s="413"/>
      <c r="BM933" s="414"/>
      <c r="BN933" s="410"/>
      <c r="BO933" s="502"/>
      <c r="BP933" s="492"/>
      <c r="BQ933" s="456" t="s">
        <v>247</v>
      </c>
      <c r="BR933" s="342" t="s">
        <v>622</v>
      </c>
      <c r="BS933" s="342" t="s">
        <v>622</v>
      </c>
      <c r="BT933" s="342" t="s">
        <v>210</v>
      </c>
      <c r="BU933" s="342" t="s">
        <v>210</v>
      </c>
      <c r="BV933" s="342" t="s">
        <v>210</v>
      </c>
      <c r="BW933" s="341" t="s">
        <v>210</v>
      </c>
      <c r="BX933" s="361"/>
      <c r="BY933" s="888" t="s">
        <v>6312</v>
      </c>
      <c r="BZ933" s="889"/>
      <c r="CA933" s="889"/>
      <c r="CB933" s="889"/>
      <c r="CC933" s="889"/>
    </row>
    <row r="934" spans="2:81" ht="22.5" customHeight="1">
      <c r="B934" s="442">
        <v>170223</v>
      </c>
      <c r="C934" s="443" t="s">
        <v>6292</v>
      </c>
      <c r="D934" s="467" t="s">
        <v>6218</v>
      </c>
      <c r="E934" s="404" t="s">
        <v>5362</v>
      </c>
      <c r="F934" s="405" t="s">
        <v>222</v>
      </c>
      <c r="G934" s="324" t="s">
        <v>6293</v>
      </c>
      <c r="H934" s="324" t="s">
        <v>6294</v>
      </c>
      <c r="I934" s="324" t="s">
        <v>6295</v>
      </c>
      <c r="J934" s="324" t="s">
        <v>6296</v>
      </c>
      <c r="K934" s="324" t="s">
        <v>6297</v>
      </c>
      <c r="L934" s="342" t="s">
        <v>210</v>
      </c>
      <c r="M934" s="324" t="s">
        <v>210</v>
      </c>
      <c r="N934" s="444" t="s">
        <v>468</v>
      </c>
      <c r="O934" s="324">
        <v>180</v>
      </c>
      <c r="P934" s="458">
        <v>3415</v>
      </c>
      <c r="Q934" s="459">
        <v>743</v>
      </c>
      <c r="R934" s="420" t="s">
        <v>12371</v>
      </c>
      <c r="S934" s="400"/>
      <c r="T934" s="400"/>
      <c r="U934" s="400"/>
      <c r="V934" s="400"/>
      <c r="W934" s="460" t="s">
        <v>6298</v>
      </c>
      <c r="X934" s="394" t="s">
        <v>12368</v>
      </c>
      <c r="Y934" s="394" t="s">
        <v>12369</v>
      </c>
      <c r="Z934" s="394" t="s">
        <v>16436</v>
      </c>
      <c r="AA934" s="394" t="s">
        <v>12370</v>
      </c>
      <c r="AB934" s="416"/>
      <c r="AC934" s="416"/>
      <c r="AD934" s="334" t="s">
        <v>2321</v>
      </c>
      <c r="AE934" s="898"/>
      <c r="AF934" s="462">
        <v>43070</v>
      </c>
      <c r="AG934" s="748">
        <v>43148</v>
      </c>
      <c r="AH934" s="417" t="s">
        <v>210</v>
      </c>
      <c r="AI934" s="392" t="s">
        <v>210</v>
      </c>
      <c r="AJ934" s="392" t="s">
        <v>210</v>
      </c>
      <c r="AK934" s="340" t="s">
        <v>210</v>
      </c>
      <c r="AL934" s="417" t="s">
        <v>210</v>
      </c>
      <c r="AM934" s="392" t="s">
        <v>210</v>
      </c>
      <c r="AN934" s="392" t="s">
        <v>210</v>
      </c>
      <c r="AO934" s="341" t="s">
        <v>210</v>
      </c>
      <c r="AP934" s="342" t="s">
        <v>210</v>
      </c>
      <c r="AQ934" s="433" t="s">
        <v>4548</v>
      </c>
      <c r="AR934" s="452">
        <v>1724</v>
      </c>
      <c r="AS934" s="324">
        <v>150</v>
      </c>
      <c r="AT934" s="432">
        <v>1</v>
      </c>
      <c r="AU934" s="432" t="s">
        <v>5079</v>
      </c>
      <c r="AV934" s="432">
        <v>1.8</v>
      </c>
      <c r="AW934" s="490" t="s">
        <v>5578</v>
      </c>
      <c r="AX934" s="453" t="s">
        <v>210</v>
      </c>
      <c r="AY934" s="429" t="s">
        <v>210</v>
      </c>
      <c r="AZ934" s="405" t="s">
        <v>4083</v>
      </c>
      <c r="BA934" s="324" t="s">
        <v>6520</v>
      </c>
      <c r="BB934" s="324" t="s">
        <v>6520</v>
      </c>
      <c r="BC934" s="324" t="s">
        <v>3555</v>
      </c>
      <c r="BD934" s="324" t="s">
        <v>5578</v>
      </c>
      <c r="BE934" s="324" t="s">
        <v>4869</v>
      </c>
      <c r="BF934" s="324" t="s">
        <v>6521</v>
      </c>
      <c r="BG934" s="324" t="s">
        <v>6522</v>
      </c>
      <c r="BH934" s="426" t="s">
        <v>5636</v>
      </c>
      <c r="BI934" s="453">
        <v>2.6</v>
      </c>
      <c r="BJ934" s="427" t="s">
        <v>6523</v>
      </c>
      <c r="BK934" s="412"/>
      <c r="BL934" s="413"/>
      <c r="BM934" s="414"/>
      <c r="BN934" s="321" t="s">
        <v>622</v>
      </c>
      <c r="BO934" s="372"/>
      <c r="BP934" s="340" t="s">
        <v>210</v>
      </c>
      <c r="BQ934" s="456" t="s">
        <v>6524</v>
      </c>
      <c r="BR934" s="342" t="s">
        <v>210</v>
      </c>
      <c r="BS934" s="342" t="s">
        <v>622</v>
      </c>
      <c r="BT934" s="342" t="s">
        <v>210</v>
      </c>
      <c r="BU934" s="342" t="s">
        <v>210</v>
      </c>
      <c r="BV934" s="342" t="s">
        <v>210</v>
      </c>
      <c r="BW934" s="341" t="s">
        <v>210</v>
      </c>
      <c r="BX934" s="361"/>
      <c r="BY934" s="888" t="s">
        <v>6525</v>
      </c>
      <c r="BZ934" s="889"/>
      <c r="CA934" s="889"/>
      <c r="CB934" s="889"/>
      <c r="CC934" s="889"/>
    </row>
    <row r="935" spans="2:81" ht="22.5" customHeight="1">
      <c r="B935" s="442">
        <v>170224</v>
      </c>
      <c r="C935" s="443" t="s">
        <v>6277</v>
      </c>
      <c r="D935" s="467" t="s">
        <v>6218</v>
      </c>
      <c r="E935" s="404" t="s">
        <v>5362</v>
      </c>
      <c r="F935" s="405" t="s">
        <v>6278</v>
      </c>
      <c r="G935" s="324" t="s">
        <v>6279</v>
      </c>
      <c r="H935" s="324" t="s">
        <v>6280</v>
      </c>
      <c r="I935" s="326" t="s">
        <v>383</v>
      </c>
      <c r="J935" s="326" t="s">
        <v>387</v>
      </c>
      <c r="K935" s="324" t="s">
        <v>6380</v>
      </c>
      <c r="L935" s="342">
        <v>10</v>
      </c>
      <c r="M935" s="324" t="s">
        <v>10767</v>
      </c>
      <c r="N935" s="444" t="s">
        <v>438</v>
      </c>
      <c r="O935" s="324" t="s">
        <v>6281</v>
      </c>
      <c r="P935" s="458">
        <v>9675.14</v>
      </c>
      <c r="Q935" s="459">
        <v>7261.46</v>
      </c>
      <c r="R935" s="420" t="s">
        <v>6285</v>
      </c>
      <c r="S935" s="394" t="s">
        <v>12364</v>
      </c>
      <c r="T935" s="394" t="s">
        <v>12366</v>
      </c>
      <c r="U935" s="394" t="s">
        <v>12365</v>
      </c>
      <c r="V935" s="394" t="s">
        <v>12367</v>
      </c>
      <c r="W935" s="460" t="s">
        <v>6282</v>
      </c>
      <c r="X935" s="394" t="s">
        <v>12361</v>
      </c>
      <c r="Y935" s="394" t="s">
        <v>12362</v>
      </c>
      <c r="Z935" s="394" t="s">
        <v>16443</v>
      </c>
      <c r="AA935" s="394" t="s">
        <v>12363</v>
      </c>
      <c r="AB935" s="416"/>
      <c r="AC935" s="416"/>
      <c r="AD935" s="447" t="s">
        <v>6631</v>
      </c>
      <c r="AE935" s="499" t="s">
        <v>8610</v>
      </c>
      <c r="AF935" s="462">
        <v>43084</v>
      </c>
      <c r="AG935" s="748">
        <v>43154</v>
      </c>
      <c r="AH935" s="417" t="s">
        <v>210</v>
      </c>
      <c r="AI935" s="392" t="s">
        <v>210</v>
      </c>
      <c r="AJ935" s="392" t="s">
        <v>210</v>
      </c>
      <c r="AK935" s="340" t="s">
        <v>210</v>
      </c>
      <c r="AL935" s="417" t="s">
        <v>210</v>
      </c>
      <c r="AM935" s="392" t="s">
        <v>210</v>
      </c>
      <c r="AN935" s="392" t="s">
        <v>210</v>
      </c>
      <c r="AO935" s="341" t="s">
        <v>210</v>
      </c>
      <c r="AP935" s="418" t="s">
        <v>210</v>
      </c>
      <c r="AQ935" s="433" t="s">
        <v>4547</v>
      </c>
      <c r="AR935" s="452">
        <f>7759+1702</f>
        <v>9461</v>
      </c>
      <c r="AS935" s="324">
        <v>80</v>
      </c>
      <c r="AT935" s="432">
        <v>1</v>
      </c>
      <c r="AU935" s="432" t="s">
        <v>5246</v>
      </c>
      <c r="AV935" s="432">
        <v>1.6</v>
      </c>
      <c r="AW935" s="490" t="s">
        <v>5246</v>
      </c>
      <c r="AX935" s="417" t="s">
        <v>622</v>
      </c>
      <c r="AY935" s="455" t="s">
        <v>210</v>
      </c>
      <c r="AZ935" s="405" t="s">
        <v>622</v>
      </c>
      <c r="BA935" s="324" t="s">
        <v>6288</v>
      </c>
      <c r="BB935" s="324" t="s">
        <v>3845</v>
      </c>
      <c r="BC935" s="324" t="s">
        <v>6289</v>
      </c>
      <c r="BD935" s="324" t="s">
        <v>3372</v>
      </c>
      <c r="BE935" s="324" t="s">
        <v>6290</v>
      </c>
      <c r="BF935" s="324" t="s">
        <v>3372</v>
      </c>
      <c r="BG935" s="324" t="s">
        <v>6291</v>
      </c>
      <c r="BH935" s="324" t="s">
        <v>3372</v>
      </c>
      <c r="BI935" s="453">
        <v>1</v>
      </c>
      <c r="BJ935" s="427" t="s">
        <v>210</v>
      </c>
      <c r="BK935" s="412"/>
      <c r="BL935" s="413"/>
      <c r="BM935" s="414"/>
      <c r="BN935" s="453" t="s">
        <v>622</v>
      </c>
      <c r="BO935" s="464"/>
      <c r="BP935" s="455" t="s">
        <v>622</v>
      </c>
      <c r="BQ935" s="456" t="s">
        <v>6511</v>
      </c>
      <c r="BR935" s="342" t="s">
        <v>622</v>
      </c>
      <c r="BS935" s="342" t="s">
        <v>622</v>
      </c>
      <c r="BT935" s="342" t="s">
        <v>210</v>
      </c>
      <c r="BU935" s="342" t="s">
        <v>210</v>
      </c>
      <c r="BV935" s="342" t="s">
        <v>210</v>
      </c>
      <c r="BW935" s="341" t="s">
        <v>210</v>
      </c>
      <c r="BX935" s="361"/>
      <c r="BY935" s="457" t="s">
        <v>6510</v>
      </c>
      <c r="BZ935" s="363"/>
      <c r="CA935" s="363"/>
      <c r="CB935" s="363"/>
      <c r="CC935" s="363"/>
    </row>
    <row r="936" spans="2:81" ht="22.5" customHeight="1">
      <c r="B936" s="442">
        <v>170227</v>
      </c>
      <c r="C936" s="443" t="s">
        <v>6320</v>
      </c>
      <c r="D936" s="439" t="s">
        <v>5344</v>
      </c>
      <c r="E936" s="404" t="s">
        <v>5363</v>
      </c>
      <c r="F936" s="405" t="s">
        <v>6321</v>
      </c>
      <c r="G936" s="324" t="s">
        <v>1806</v>
      </c>
      <c r="H936" s="324" t="s">
        <v>6322</v>
      </c>
      <c r="I936" s="326" t="s">
        <v>383</v>
      </c>
      <c r="J936" s="326" t="s">
        <v>399</v>
      </c>
      <c r="K936" s="326" t="s">
        <v>223</v>
      </c>
      <c r="L936" s="392" t="s">
        <v>210</v>
      </c>
      <c r="M936" s="324" t="s">
        <v>10767</v>
      </c>
      <c r="N936" s="444" t="s">
        <v>521</v>
      </c>
      <c r="O936" s="324">
        <v>40</v>
      </c>
      <c r="P936" s="458">
        <v>1059</v>
      </c>
      <c r="Q936" s="459">
        <v>1078</v>
      </c>
      <c r="R936" s="420" t="s">
        <v>6326</v>
      </c>
      <c r="S936" s="400"/>
      <c r="T936" s="400"/>
      <c r="U936" s="400"/>
      <c r="V936" s="400"/>
      <c r="W936" s="460" t="s">
        <v>6323</v>
      </c>
      <c r="X936" s="394" t="s">
        <v>12360</v>
      </c>
      <c r="Y936" s="394" t="s">
        <v>12358</v>
      </c>
      <c r="Z936" s="394" t="s">
        <v>16481</v>
      </c>
      <c r="AA936" s="394" t="s">
        <v>12359</v>
      </c>
      <c r="AB936" s="416"/>
      <c r="AC936" s="416"/>
      <c r="AD936" s="447" t="s">
        <v>6609</v>
      </c>
      <c r="AE936" s="335" t="s">
        <v>210</v>
      </c>
      <c r="AF936" s="462">
        <v>43076</v>
      </c>
      <c r="AG936" s="748">
        <v>43119</v>
      </c>
      <c r="AH936" s="417" t="s">
        <v>210</v>
      </c>
      <c r="AI936" s="392" t="s">
        <v>210</v>
      </c>
      <c r="AJ936" s="392" t="s">
        <v>210</v>
      </c>
      <c r="AK936" s="340" t="s">
        <v>210</v>
      </c>
      <c r="AL936" s="417" t="s">
        <v>210</v>
      </c>
      <c r="AM936" s="392" t="s">
        <v>210</v>
      </c>
      <c r="AN936" s="392" t="s">
        <v>210</v>
      </c>
      <c r="AO936" s="341" t="s">
        <v>210</v>
      </c>
      <c r="AP936" s="418" t="s">
        <v>622</v>
      </c>
      <c r="AQ936" s="433" t="s">
        <v>4547</v>
      </c>
      <c r="AR936" s="452">
        <v>1355</v>
      </c>
      <c r="AS936" s="324">
        <v>100</v>
      </c>
      <c r="AT936" s="432">
        <v>1</v>
      </c>
      <c r="AU936" s="432" t="s">
        <v>5246</v>
      </c>
      <c r="AV936" s="432">
        <v>1.5</v>
      </c>
      <c r="AW936" s="490" t="s">
        <v>5246</v>
      </c>
      <c r="AX936" s="417" t="s">
        <v>210</v>
      </c>
      <c r="AY936" s="455" t="s">
        <v>210</v>
      </c>
      <c r="AZ936" s="405" t="s">
        <v>4083</v>
      </c>
      <c r="BA936" s="324" t="s">
        <v>210</v>
      </c>
      <c r="BB936" s="324" t="s">
        <v>210</v>
      </c>
      <c r="BC936" s="324" t="s">
        <v>210</v>
      </c>
      <c r="BD936" s="324" t="s">
        <v>210</v>
      </c>
      <c r="BE936" s="324" t="s">
        <v>6329</v>
      </c>
      <c r="BF936" s="324" t="s">
        <v>5058</v>
      </c>
      <c r="BG936" s="324" t="s">
        <v>3476</v>
      </c>
      <c r="BH936" s="324" t="s">
        <v>5058</v>
      </c>
      <c r="BI936" s="453">
        <v>2.2000000000000002</v>
      </c>
      <c r="BJ936" s="427">
        <v>1.4</v>
      </c>
      <c r="BK936" s="412"/>
      <c r="BL936" s="413"/>
      <c r="BM936" s="414"/>
      <c r="BN936" s="453" t="s">
        <v>622</v>
      </c>
      <c r="BO936" s="464"/>
      <c r="BP936" s="455" t="s">
        <v>622</v>
      </c>
      <c r="BQ936" s="456" t="s">
        <v>5927</v>
      </c>
      <c r="BR936" s="342" t="s">
        <v>210</v>
      </c>
      <c r="BS936" s="342" t="s">
        <v>622</v>
      </c>
      <c r="BT936" s="342" t="s">
        <v>210</v>
      </c>
      <c r="BU936" s="342" t="s">
        <v>210</v>
      </c>
      <c r="BV936" s="342" t="s">
        <v>210</v>
      </c>
      <c r="BW936" s="341" t="s">
        <v>210</v>
      </c>
      <c r="BX936" s="361"/>
      <c r="BY936" s="457" t="s">
        <v>6419</v>
      </c>
      <c r="BZ936" s="363"/>
      <c r="CA936" s="363"/>
      <c r="CB936" s="363"/>
      <c r="CC936" s="363"/>
    </row>
    <row r="937" spans="2:81" ht="22.5" customHeight="1">
      <c r="B937" s="442">
        <v>170228</v>
      </c>
      <c r="C937" s="443" t="s">
        <v>6330</v>
      </c>
      <c r="D937" s="467" t="s">
        <v>4856</v>
      </c>
      <c r="E937" s="404" t="s">
        <v>5361</v>
      </c>
      <c r="F937" s="405" t="s">
        <v>6331</v>
      </c>
      <c r="G937" s="324" t="s">
        <v>6332</v>
      </c>
      <c r="H937" s="324" t="s">
        <v>6333</v>
      </c>
      <c r="I937" s="326" t="s">
        <v>383</v>
      </c>
      <c r="J937" s="326" t="s">
        <v>399</v>
      </c>
      <c r="K937" s="324" t="s">
        <v>6334</v>
      </c>
      <c r="L937" s="342">
        <v>40</v>
      </c>
      <c r="M937" s="324" t="s">
        <v>10767</v>
      </c>
      <c r="N937" s="444" t="s">
        <v>6406</v>
      </c>
      <c r="O937" s="324">
        <v>30</v>
      </c>
      <c r="P937" s="458">
        <v>710</v>
      </c>
      <c r="Q937" s="459">
        <v>781</v>
      </c>
      <c r="R937" s="329" t="s">
        <v>3743</v>
      </c>
      <c r="S937" s="394" t="s">
        <v>12349</v>
      </c>
      <c r="T937" s="394" t="s">
        <v>12350</v>
      </c>
      <c r="U937" s="394" t="s">
        <v>16259</v>
      </c>
      <c r="V937" s="394" t="s">
        <v>12351</v>
      </c>
      <c r="W937" s="332" t="s">
        <v>15054</v>
      </c>
      <c r="X937" s="331" t="s">
        <v>12353</v>
      </c>
      <c r="Y937" s="331" t="s">
        <v>12355</v>
      </c>
      <c r="Z937" s="330"/>
      <c r="AA937" s="331" t="s">
        <v>12354</v>
      </c>
      <c r="AB937" s="416" t="s">
        <v>12352</v>
      </c>
      <c r="AC937" s="416"/>
      <c r="AD937" s="897"/>
      <c r="AE937" s="499" t="s">
        <v>245</v>
      </c>
      <c r="AF937" s="462">
        <v>43077</v>
      </c>
      <c r="AG937" s="748">
        <v>43136</v>
      </c>
      <c r="AH937" s="417" t="s">
        <v>210</v>
      </c>
      <c r="AI937" s="392" t="s">
        <v>210</v>
      </c>
      <c r="AJ937" s="392" t="s">
        <v>210</v>
      </c>
      <c r="AK937" s="340" t="s">
        <v>210</v>
      </c>
      <c r="AL937" s="417" t="s">
        <v>210</v>
      </c>
      <c r="AM937" s="392" t="s">
        <v>210</v>
      </c>
      <c r="AN937" s="392" t="s">
        <v>210</v>
      </c>
      <c r="AO937" s="341" t="s">
        <v>210</v>
      </c>
      <c r="AP937" s="342" t="s">
        <v>210</v>
      </c>
      <c r="AQ937" s="433" t="s">
        <v>6405</v>
      </c>
      <c r="AR937" s="452">
        <v>1268</v>
      </c>
      <c r="AS937" s="324">
        <v>100</v>
      </c>
      <c r="AT937" s="432">
        <v>1</v>
      </c>
      <c r="AU937" s="432" t="s">
        <v>6155</v>
      </c>
      <c r="AV937" s="432">
        <v>1.2</v>
      </c>
      <c r="AW937" s="490" t="s">
        <v>6155</v>
      </c>
      <c r="AX937" s="417" t="s">
        <v>210</v>
      </c>
      <c r="AY937" s="455" t="s">
        <v>210</v>
      </c>
      <c r="AZ937" s="405" t="s">
        <v>4083</v>
      </c>
      <c r="BA937" s="324" t="s">
        <v>210</v>
      </c>
      <c r="BB937" s="324" t="s">
        <v>210</v>
      </c>
      <c r="BC937" s="324" t="s">
        <v>3459</v>
      </c>
      <c r="BD937" s="324" t="s">
        <v>5358</v>
      </c>
      <c r="BE937" s="324" t="s">
        <v>3555</v>
      </c>
      <c r="BF937" s="324" t="s">
        <v>5079</v>
      </c>
      <c r="BG937" s="324" t="s">
        <v>3555</v>
      </c>
      <c r="BH937" s="426" t="s">
        <v>5124</v>
      </c>
      <c r="BI937" s="453">
        <v>6.54</v>
      </c>
      <c r="BJ937" s="427" t="s">
        <v>210</v>
      </c>
      <c r="BK937" s="412"/>
      <c r="BL937" s="413"/>
      <c r="BM937" s="414"/>
      <c r="BN937" s="453" t="s">
        <v>210</v>
      </c>
      <c r="BO937" s="464"/>
      <c r="BP937" s="455" t="s">
        <v>210</v>
      </c>
      <c r="BQ937" s="456" t="s">
        <v>9909</v>
      </c>
      <c r="BR937" s="342" t="s">
        <v>210</v>
      </c>
      <c r="BS937" s="342" t="s">
        <v>622</v>
      </c>
      <c r="BT937" s="342" t="s">
        <v>210</v>
      </c>
      <c r="BU937" s="342" t="s">
        <v>210</v>
      </c>
      <c r="BV937" s="342" t="s">
        <v>210</v>
      </c>
      <c r="BW937" s="341" t="s">
        <v>210</v>
      </c>
      <c r="BX937" s="361"/>
      <c r="BY937" s="457" t="s">
        <v>6519</v>
      </c>
      <c r="BZ937" s="363"/>
      <c r="CA937" s="363"/>
      <c r="CB937" s="363"/>
      <c r="CC937" s="363"/>
    </row>
    <row r="938" spans="2:81" ht="22.5" customHeight="1">
      <c r="B938" s="442">
        <v>170229</v>
      </c>
      <c r="C938" s="443" t="s">
        <v>6335</v>
      </c>
      <c r="D938" s="439" t="s">
        <v>5344</v>
      </c>
      <c r="E938" s="404" t="s">
        <v>5361</v>
      </c>
      <c r="F938" s="405" t="s">
        <v>264</v>
      </c>
      <c r="G938" s="324" t="s">
        <v>4342</v>
      </c>
      <c r="H938" s="324" t="s">
        <v>6336</v>
      </c>
      <c r="I938" s="326" t="s">
        <v>383</v>
      </c>
      <c r="J938" s="326" t="s">
        <v>399</v>
      </c>
      <c r="K938" s="324" t="s">
        <v>6337</v>
      </c>
      <c r="L938" s="342">
        <v>10</v>
      </c>
      <c r="M938" s="324" t="s">
        <v>10767</v>
      </c>
      <c r="N938" s="444" t="s">
        <v>438</v>
      </c>
      <c r="O938" s="324">
        <v>30</v>
      </c>
      <c r="P938" s="458">
        <v>1458.43</v>
      </c>
      <c r="Q938" s="459">
        <v>1467.14</v>
      </c>
      <c r="R938" s="420" t="s">
        <v>6338</v>
      </c>
      <c r="S938" s="394" t="s">
        <v>12346</v>
      </c>
      <c r="T938" s="394" t="s">
        <v>12347</v>
      </c>
      <c r="U938" s="400"/>
      <c r="V938" s="394" t="s">
        <v>12348</v>
      </c>
      <c r="W938" s="332" t="s">
        <v>6365</v>
      </c>
      <c r="X938" s="400"/>
      <c r="Y938" s="400"/>
      <c r="Z938" s="400"/>
      <c r="AA938" s="400"/>
      <c r="AB938" s="333" t="s">
        <v>3725</v>
      </c>
      <c r="AC938" s="416"/>
      <c r="AD938" s="447" t="s">
        <v>1748</v>
      </c>
      <c r="AE938" s="499" t="s">
        <v>6844</v>
      </c>
      <c r="AF938" s="462">
        <v>43077</v>
      </c>
      <c r="AG938" s="748">
        <v>43158</v>
      </c>
      <c r="AH938" s="417" t="s">
        <v>210</v>
      </c>
      <c r="AI938" s="392" t="s">
        <v>210</v>
      </c>
      <c r="AJ938" s="392" t="s">
        <v>210</v>
      </c>
      <c r="AK938" s="340" t="s">
        <v>210</v>
      </c>
      <c r="AL938" s="417" t="s">
        <v>210</v>
      </c>
      <c r="AM938" s="392" t="s">
        <v>210</v>
      </c>
      <c r="AN938" s="392" t="s">
        <v>210</v>
      </c>
      <c r="AO938" s="341" t="s">
        <v>210</v>
      </c>
      <c r="AP938" s="342" t="s">
        <v>210</v>
      </c>
      <c r="AQ938" s="433" t="s">
        <v>4547</v>
      </c>
      <c r="AR938" s="452">
        <v>1618</v>
      </c>
      <c r="AS938" s="324">
        <v>100</v>
      </c>
      <c r="AT938" s="432">
        <v>1</v>
      </c>
      <c r="AU938" s="432" t="s">
        <v>3627</v>
      </c>
      <c r="AV938" s="432">
        <v>1.5</v>
      </c>
      <c r="AW938" s="490" t="s">
        <v>5119</v>
      </c>
      <c r="AX938" s="417" t="s">
        <v>210</v>
      </c>
      <c r="AY938" s="455" t="s">
        <v>210</v>
      </c>
      <c r="AZ938" s="405" t="s">
        <v>622</v>
      </c>
      <c r="BA938" s="324" t="s">
        <v>3459</v>
      </c>
      <c r="BB938" s="324" t="s">
        <v>5058</v>
      </c>
      <c r="BC938" s="324" t="s">
        <v>3558</v>
      </c>
      <c r="BD938" s="324" t="s">
        <v>5058</v>
      </c>
      <c r="BE938" s="324" t="s">
        <v>6341</v>
      </c>
      <c r="BF938" s="324" t="s">
        <v>6342</v>
      </c>
      <c r="BG938" s="324" t="s">
        <v>6343</v>
      </c>
      <c r="BH938" s="324" t="s">
        <v>6342</v>
      </c>
      <c r="BI938" s="453">
        <v>1.8</v>
      </c>
      <c r="BJ938" s="427" t="s">
        <v>9793</v>
      </c>
      <c r="BK938" s="412"/>
      <c r="BL938" s="413"/>
      <c r="BM938" s="414"/>
      <c r="BN938" s="453" t="s">
        <v>210</v>
      </c>
      <c r="BO938" s="464"/>
      <c r="BP938" s="340" t="s">
        <v>210</v>
      </c>
      <c r="BQ938" s="456" t="s">
        <v>6368</v>
      </c>
      <c r="BR938" s="342" t="s">
        <v>6379</v>
      </c>
      <c r="BS938" s="342" t="s">
        <v>622</v>
      </c>
      <c r="BT938" s="342" t="s">
        <v>622</v>
      </c>
      <c r="BU938" s="342" t="s">
        <v>210</v>
      </c>
      <c r="BV938" s="342" t="s">
        <v>210</v>
      </c>
      <c r="BW938" s="341" t="s">
        <v>210</v>
      </c>
      <c r="BX938" s="361"/>
      <c r="BY938" s="457" t="s">
        <v>6369</v>
      </c>
      <c r="BZ938" s="363"/>
      <c r="CA938" s="363"/>
      <c r="CB938" s="363"/>
      <c r="CC938" s="363"/>
    </row>
    <row r="939" spans="2:81" ht="22.5" customHeight="1">
      <c r="B939" s="442">
        <v>170231</v>
      </c>
      <c r="C939" s="443" t="s">
        <v>6618</v>
      </c>
      <c r="D939" s="467" t="s">
        <v>4856</v>
      </c>
      <c r="E939" s="404" t="s">
        <v>5362</v>
      </c>
      <c r="F939" s="405" t="s">
        <v>6619</v>
      </c>
      <c r="G939" s="324" t="s">
        <v>6372</v>
      </c>
      <c r="H939" s="324" t="s">
        <v>6620</v>
      </c>
      <c r="I939" s="326" t="s">
        <v>383</v>
      </c>
      <c r="J939" s="326" t="s">
        <v>399</v>
      </c>
      <c r="K939" s="326" t="s">
        <v>223</v>
      </c>
      <c r="L939" s="392" t="s">
        <v>210</v>
      </c>
      <c r="M939" s="324" t="s">
        <v>10767</v>
      </c>
      <c r="N939" s="444" t="s">
        <v>437</v>
      </c>
      <c r="O939" s="324">
        <v>120</v>
      </c>
      <c r="P939" s="816">
        <v>1000</v>
      </c>
      <c r="Q939" s="817">
        <v>1000</v>
      </c>
      <c r="R939" s="420" t="s">
        <v>6482</v>
      </c>
      <c r="S939" s="394" t="s">
        <v>11970</v>
      </c>
      <c r="T939" s="394" t="s">
        <v>11973</v>
      </c>
      <c r="U939" s="394" t="s">
        <v>11971</v>
      </c>
      <c r="V939" s="394" t="s">
        <v>11972</v>
      </c>
      <c r="W939" s="460" t="s">
        <v>1433</v>
      </c>
      <c r="X939" s="394" t="s">
        <v>12318</v>
      </c>
      <c r="Y939" s="394" t="s">
        <v>12319</v>
      </c>
      <c r="Z939" s="394" t="s">
        <v>12317</v>
      </c>
      <c r="AA939" s="394" t="s">
        <v>12320</v>
      </c>
      <c r="AB939" s="416"/>
      <c r="AC939" s="416"/>
      <c r="AD939" s="447" t="s">
        <v>7970</v>
      </c>
      <c r="AE939" s="335" t="s">
        <v>210</v>
      </c>
      <c r="AF939" s="462">
        <v>43122</v>
      </c>
      <c r="AG939" s="748">
        <v>43147</v>
      </c>
      <c r="AH939" s="417" t="s">
        <v>210</v>
      </c>
      <c r="AI939" s="392" t="s">
        <v>210</v>
      </c>
      <c r="AJ939" s="392" t="s">
        <v>210</v>
      </c>
      <c r="AK939" s="340" t="s">
        <v>210</v>
      </c>
      <c r="AL939" s="417" t="s">
        <v>210</v>
      </c>
      <c r="AM939" s="392" t="s">
        <v>210</v>
      </c>
      <c r="AN939" s="326" t="s">
        <v>14</v>
      </c>
      <c r="AO939" s="341" t="s">
        <v>210</v>
      </c>
      <c r="AP939" s="418" t="s">
        <v>210</v>
      </c>
      <c r="AQ939" s="433" t="s">
        <v>4547</v>
      </c>
      <c r="AR939" s="452">
        <v>1376</v>
      </c>
      <c r="AS939" s="324">
        <v>120</v>
      </c>
      <c r="AT939" s="432">
        <v>1</v>
      </c>
      <c r="AU939" s="432" t="s">
        <v>5246</v>
      </c>
      <c r="AV939" s="432">
        <v>1.5</v>
      </c>
      <c r="AW939" s="490" t="s">
        <v>5578</v>
      </c>
      <c r="AX939" s="417" t="s">
        <v>210</v>
      </c>
      <c r="AY939" s="455" t="s">
        <v>210</v>
      </c>
      <c r="AZ939" s="405" t="s">
        <v>622</v>
      </c>
      <c r="BA939" s="324" t="s">
        <v>6621</v>
      </c>
      <c r="BB939" s="324" t="s">
        <v>3492</v>
      </c>
      <c r="BC939" s="324" t="s">
        <v>3555</v>
      </c>
      <c r="BD939" s="324" t="s">
        <v>6622</v>
      </c>
      <c r="BE939" s="324" t="s">
        <v>3459</v>
      </c>
      <c r="BF939" s="324" t="s">
        <v>3494</v>
      </c>
      <c r="BG939" s="324" t="s">
        <v>210</v>
      </c>
      <c r="BH939" s="426" t="s">
        <v>210</v>
      </c>
      <c r="BI939" s="453">
        <v>0.8</v>
      </c>
      <c r="BJ939" s="427" t="s">
        <v>9793</v>
      </c>
      <c r="BK939" s="412"/>
      <c r="BL939" s="413"/>
      <c r="BM939" s="414"/>
      <c r="BN939" s="453" t="s">
        <v>210</v>
      </c>
      <c r="BO939" s="464"/>
      <c r="BP939" s="455" t="s">
        <v>6649</v>
      </c>
      <c r="BQ939" s="456" t="s">
        <v>1059</v>
      </c>
      <c r="BR939" s="342" t="s">
        <v>622</v>
      </c>
      <c r="BS939" s="342" t="s">
        <v>622</v>
      </c>
      <c r="BT939" s="342" t="s">
        <v>210</v>
      </c>
      <c r="BU939" s="342" t="s">
        <v>210</v>
      </c>
      <c r="BV939" s="342" t="s">
        <v>210</v>
      </c>
      <c r="BW939" s="341" t="s">
        <v>210</v>
      </c>
      <c r="BX939" s="361"/>
      <c r="BY939" s="457" t="s">
        <v>6650</v>
      </c>
      <c r="BZ939" s="363"/>
      <c r="CA939" s="363"/>
      <c r="CB939" s="363"/>
      <c r="CC939" s="363"/>
    </row>
    <row r="940" spans="2:81" ht="22.5" customHeight="1">
      <c r="B940" s="442">
        <v>170232</v>
      </c>
      <c r="C940" s="443" t="s">
        <v>6370</v>
      </c>
      <c r="D940" s="467" t="s">
        <v>4856</v>
      </c>
      <c r="E940" s="404" t="s">
        <v>5362</v>
      </c>
      <c r="F940" s="405" t="s">
        <v>6371</v>
      </c>
      <c r="G940" s="324" t="s">
        <v>6372</v>
      </c>
      <c r="H940" s="324" t="s">
        <v>6373</v>
      </c>
      <c r="I940" s="326" t="s">
        <v>383</v>
      </c>
      <c r="J940" s="326" t="s">
        <v>399</v>
      </c>
      <c r="K940" s="324" t="s">
        <v>6374</v>
      </c>
      <c r="L940" s="342">
        <v>50</v>
      </c>
      <c r="M940" s="324" t="s">
        <v>10767</v>
      </c>
      <c r="N940" s="444" t="s">
        <v>6489</v>
      </c>
      <c r="O940" s="324">
        <v>100</v>
      </c>
      <c r="P940" s="458">
        <f>81.2*11</f>
        <v>893.2</v>
      </c>
      <c r="Q940" s="459">
        <f>P940</f>
        <v>893.2</v>
      </c>
      <c r="R940" s="420" t="s">
        <v>6375</v>
      </c>
      <c r="S940" s="394" t="s">
        <v>12342</v>
      </c>
      <c r="T940" s="394" t="s">
        <v>12343</v>
      </c>
      <c r="U940" s="400"/>
      <c r="V940" s="394" t="s">
        <v>12344</v>
      </c>
      <c r="W940" s="332" t="s">
        <v>592</v>
      </c>
      <c r="X940" s="394" t="s">
        <v>12237</v>
      </c>
      <c r="Y940" s="394" t="s">
        <v>12238</v>
      </c>
      <c r="Z940" s="394" t="s">
        <v>12240</v>
      </c>
      <c r="AA940" s="394" t="s">
        <v>12239</v>
      </c>
      <c r="AB940" s="416"/>
      <c r="AC940" s="416"/>
      <c r="AD940" s="447" t="s">
        <v>6550</v>
      </c>
      <c r="AE940" s="499" t="s">
        <v>6424</v>
      </c>
      <c r="AF940" s="462">
        <v>43084</v>
      </c>
      <c r="AG940" s="748">
        <v>43116</v>
      </c>
      <c r="AH940" s="417" t="s">
        <v>210</v>
      </c>
      <c r="AI940" s="392" t="s">
        <v>210</v>
      </c>
      <c r="AJ940" s="392" t="s">
        <v>210</v>
      </c>
      <c r="AK940" s="340" t="s">
        <v>210</v>
      </c>
      <c r="AL940" s="417" t="s">
        <v>210</v>
      </c>
      <c r="AM940" s="392" t="s">
        <v>210</v>
      </c>
      <c r="AN940" s="392" t="s">
        <v>210</v>
      </c>
      <c r="AO940" s="341" t="s">
        <v>210</v>
      </c>
      <c r="AP940" s="342" t="s">
        <v>210</v>
      </c>
      <c r="AQ940" s="433" t="s">
        <v>4547</v>
      </c>
      <c r="AR940" s="452">
        <v>981</v>
      </c>
      <c r="AS940" s="324">
        <v>120</v>
      </c>
      <c r="AT940" s="432">
        <v>1</v>
      </c>
      <c r="AU940" s="490" t="s">
        <v>6485</v>
      </c>
      <c r="AV940" s="392">
        <v>1.2</v>
      </c>
      <c r="AW940" s="490" t="s">
        <v>6485</v>
      </c>
      <c r="AX940" s="417" t="s">
        <v>210</v>
      </c>
      <c r="AY940" s="455" t="s">
        <v>210</v>
      </c>
      <c r="AZ940" s="405" t="s">
        <v>4083</v>
      </c>
      <c r="BA940" s="324" t="s">
        <v>210</v>
      </c>
      <c r="BB940" s="324" t="s">
        <v>210</v>
      </c>
      <c r="BC940" s="324" t="s">
        <v>3459</v>
      </c>
      <c r="BD940" s="324" t="s">
        <v>6485</v>
      </c>
      <c r="BE940" s="324" t="s">
        <v>3555</v>
      </c>
      <c r="BF940" s="324" t="s">
        <v>6485</v>
      </c>
      <c r="BG940" s="324" t="s">
        <v>3557</v>
      </c>
      <c r="BH940" s="426" t="s">
        <v>6486</v>
      </c>
      <c r="BI940" s="453">
        <v>1.5</v>
      </c>
      <c r="BJ940" s="427" t="s">
        <v>6487</v>
      </c>
      <c r="BK940" s="412"/>
      <c r="BL940" s="413"/>
      <c r="BM940" s="414"/>
      <c r="BN940" s="453" t="s">
        <v>6487</v>
      </c>
      <c r="BO940" s="464"/>
      <c r="BP940" s="455" t="s">
        <v>210</v>
      </c>
      <c r="BQ940" s="456" t="s">
        <v>6488</v>
      </c>
      <c r="BR940" s="342" t="s">
        <v>6487</v>
      </c>
      <c r="BS940" s="342" t="s">
        <v>622</v>
      </c>
      <c r="BT940" s="342" t="s">
        <v>210</v>
      </c>
      <c r="BU940" s="342" t="s">
        <v>210</v>
      </c>
      <c r="BV940" s="342" t="s">
        <v>210</v>
      </c>
      <c r="BW940" s="341" t="s">
        <v>210</v>
      </c>
      <c r="BX940" s="361"/>
      <c r="BY940" s="457" t="s">
        <v>6441</v>
      </c>
      <c r="BZ940" s="363"/>
      <c r="CA940" s="363"/>
      <c r="CB940" s="363"/>
      <c r="CC940" s="363"/>
    </row>
    <row r="941" spans="2:81" ht="22.5" customHeight="1">
      <c r="B941" s="442">
        <v>170234</v>
      </c>
      <c r="C941" s="443" t="s">
        <v>6348</v>
      </c>
      <c r="D941" s="467" t="s">
        <v>5516</v>
      </c>
      <c r="E941" s="404" t="s">
        <v>5363</v>
      </c>
      <c r="F941" s="405" t="s">
        <v>6352</v>
      </c>
      <c r="G941" s="324" t="s">
        <v>4659</v>
      </c>
      <c r="H941" s="324" t="s">
        <v>6353</v>
      </c>
      <c r="I941" s="326" t="s">
        <v>383</v>
      </c>
      <c r="J941" s="326" t="s">
        <v>399</v>
      </c>
      <c r="K941" s="326" t="s">
        <v>223</v>
      </c>
      <c r="L941" s="392" t="s">
        <v>210</v>
      </c>
      <c r="M941" s="324" t="s">
        <v>10767</v>
      </c>
      <c r="N941" s="444" t="s">
        <v>437</v>
      </c>
      <c r="O941" s="324">
        <v>40</v>
      </c>
      <c r="P941" s="816">
        <v>640</v>
      </c>
      <c r="Q941" s="817">
        <v>640</v>
      </c>
      <c r="R941" s="329" t="s">
        <v>6381</v>
      </c>
      <c r="S941" s="400"/>
      <c r="T941" s="400"/>
      <c r="U941" s="400"/>
      <c r="V941" s="400"/>
      <c r="W941" s="332" t="s">
        <v>664</v>
      </c>
      <c r="X941" s="332" t="s">
        <v>12345</v>
      </c>
      <c r="Y941" s="332" t="s">
        <v>11625</v>
      </c>
      <c r="Z941" s="332" t="s">
        <v>16479</v>
      </c>
      <c r="AA941" s="332" t="s">
        <v>11627</v>
      </c>
      <c r="AB941" s="333" t="s">
        <v>3028</v>
      </c>
      <c r="AC941" s="333"/>
      <c r="AD941" s="334" t="s">
        <v>2326</v>
      </c>
      <c r="AE941" s="335" t="s">
        <v>210</v>
      </c>
      <c r="AF941" s="462">
        <v>43082</v>
      </c>
      <c r="AG941" s="748">
        <v>43147</v>
      </c>
      <c r="AH941" s="417" t="s">
        <v>210</v>
      </c>
      <c r="AI941" s="392" t="s">
        <v>210</v>
      </c>
      <c r="AJ941" s="392" t="s">
        <v>210</v>
      </c>
      <c r="AK941" s="340" t="s">
        <v>210</v>
      </c>
      <c r="AL941" s="417" t="s">
        <v>210</v>
      </c>
      <c r="AM941" s="392" t="s">
        <v>210</v>
      </c>
      <c r="AN941" s="392" t="s">
        <v>210</v>
      </c>
      <c r="AO941" s="341" t="s">
        <v>6358</v>
      </c>
      <c r="AP941" s="342" t="s">
        <v>210</v>
      </c>
      <c r="AQ941" s="433" t="s">
        <v>4547</v>
      </c>
      <c r="AR941" s="452">
        <v>960</v>
      </c>
      <c r="AS941" s="324">
        <v>80</v>
      </c>
      <c r="AT941" s="432">
        <v>1</v>
      </c>
      <c r="AU941" s="432" t="s">
        <v>6484</v>
      </c>
      <c r="AV941" s="432">
        <v>1.5</v>
      </c>
      <c r="AW941" s="490" t="s">
        <v>5730</v>
      </c>
      <c r="AX941" s="417" t="s">
        <v>210</v>
      </c>
      <c r="AY941" s="455" t="s">
        <v>210</v>
      </c>
      <c r="AZ941" s="405" t="s">
        <v>4083</v>
      </c>
      <c r="BA941" s="324" t="s">
        <v>210</v>
      </c>
      <c r="BB941" s="324" t="s">
        <v>210</v>
      </c>
      <c r="BC941" s="324" t="s">
        <v>210</v>
      </c>
      <c r="BD941" s="324" t="s">
        <v>210</v>
      </c>
      <c r="BE941" s="324" t="s">
        <v>6354</v>
      </c>
      <c r="BF941" s="324" t="s">
        <v>6355</v>
      </c>
      <c r="BG941" s="324" t="s">
        <v>6356</v>
      </c>
      <c r="BH941" s="426" t="s">
        <v>6357</v>
      </c>
      <c r="BI941" s="453">
        <v>4</v>
      </c>
      <c r="BJ941" s="427" t="s">
        <v>210</v>
      </c>
      <c r="BK941" s="412"/>
      <c r="BL941" s="413"/>
      <c r="BM941" s="414"/>
      <c r="BN941" s="453" t="s">
        <v>622</v>
      </c>
      <c r="BO941" s="464"/>
      <c r="BP941" s="340" t="s">
        <v>210</v>
      </c>
      <c r="BQ941" s="456" t="s">
        <v>6407</v>
      </c>
      <c r="BR941" s="342" t="s">
        <v>622</v>
      </c>
      <c r="BS941" s="342" t="s">
        <v>210</v>
      </c>
      <c r="BT941" s="342" t="s">
        <v>210</v>
      </c>
      <c r="BU941" s="342" t="s">
        <v>210</v>
      </c>
      <c r="BV941" s="342" t="s">
        <v>210</v>
      </c>
      <c r="BW941" s="341" t="s">
        <v>210</v>
      </c>
      <c r="BX941" s="361"/>
      <c r="BY941" s="457" t="s">
        <v>6635</v>
      </c>
      <c r="BZ941" s="363"/>
      <c r="CA941" s="363"/>
      <c r="CB941" s="363"/>
      <c r="CC941" s="363"/>
    </row>
    <row r="942" spans="2:81" ht="22.5" customHeight="1">
      <c r="B942" s="442">
        <v>170235</v>
      </c>
      <c r="C942" s="443" t="s">
        <v>6378</v>
      </c>
      <c r="D942" s="467" t="s">
        <v>5640</v>
      </c>
      <c r="E942" s="404" t="s">
        <v>5361</v>
      </c>
      <c r="F942" s="405" t="s">
        <v>1048</v>
      </c>
      <c r="G942" s="324" t="s">
        <v>3073</v>
      </c>
      <c r="H942" s="324" t="s">
        <v>3074</v>
      </c>
      <c r="I942" s="326" t="s">
        <v>383</v>
      </c>
      <c r="J942" s="326" t="s">
        <v>399</v>
      </c>
      <c r="K942" s="326" t="s">
        <v>223</v>
      </c>
      <c r="L942" s="392" t="s">
        <v>210</v>
      </c>
      <c r="M942" s="324" t="s">
        <v>10767</v>
      </c>
      <c r="N942" s="444" t="s">
        <v>521</v>
      </c>
      <c r="O942" s="324">
        <v>54.5</v>
      </c>
      <c r="P942" s="458">
        <v>3000</v>
      </c>
      <c r="Q942" s="459">
        <v>3000</v>
      </c>
      <c r="R942" s="420" t="s">
        <v>3354</v>
      </c>
      <c r="S942" s="400"/>
      <c r="T942" s="394" t="s">
        <v>11457</v>
      </c>
      <c r="U942" s="394" t="s">
        <v>12067</v>
      </c>
      <c r="V942" s="400"/>
      <c r="W942" s="460" t="s">
        <v>3354</v>
      </c>
      <c r="X942" s="400"/>
      <c r="Y942" s="394" t="s">
        <v>11457</v>
      </c>
      <c r="Z942" s="394" t="s">
        <v>12067</v>
      </c>
      <c r="AA942" s="400"/>
      <c r="AB942" s="416"/>
      <c r="AC942" s="416"/>
      <c r="AD942" s="334" t="s">
        <v>2327</v>
      </c>
      <c r="AE942" s="335" t="s">
        <v>210</v>
      </c>
      <c r="AF942" s="462">
        <v>43078</v>
      </c>
      <c r="AG942" s="748">
        <v>43147</v>
      </c>
      <c r="AH942" s="417" t="s">
        <v>210</v>
      </c>
      <c r="AI942" s="392" t="s">
        <v>210</v>
      </c>
      <c r="AJ942" s="392" t="s">
        <v>210</v>
      </c>
      <c r="AK942" s="340" t="s">
        <v>210</v>
      </c>
      <c r="AL942" s="417" t="s">
        <v>210</v>
      </c>
      <c r="AM942" s="392" t="s">
        <v>210</v>
      </c>
      <c r="AN942" s="392" t="s">
        <v>210</v>
      </c>
      <c r="AO942" s="341" t="s">
        <v>210</v>
      </c>
      <c r="AP942" s="418" t="s">
        <v>6487</v>
      </c>
      <c r="AQ942" s="433" t="s">
        <v>4547</v>
      </c>
      <c r="AR942" s="452">
        <v>3264</v>
      </c>
      <c r="AS942" s="324">
        <v>80</v>
      </c>
      <c r="AT942" s="432">
        <v>1</v>
      </c>
      <c r="AU942" s="432" t="s">
        <v>5246</v>
      </c>
      <c r="AV942" s="432">
        <v>1.5</v>
      </c>
      <c r="AW942" s="490" t="s">
        <v>3574</v>
      </c>
      <c r="AX942" s="417" t="s">
        <v>210</v>
      </c>
      <c r="AY942" s="455" t="s">
        <v>210</v>
      </c>
      <c r="AZ942" s="405" t="s">
        <v>622</v>
      </c>
      <c r="BA942" s="324" t="s">
        <v>6349</v>
      </c>
      <c r="BB942" s="324" t="s">
        <v>5058</v>
      </c>
      <c r="BC942" s="324" t="s">
        <v>3616</v>
      </c>
      <c r="BD942" s="324" t="s">
        <v>3495</v>
      </c>
      <c r="BE942" s="324" t="s">
        <v>6350</v>
      </c>
      <c r="BF942" s="324" t="s">
        <v>3574</v>
      </c>
      <c r="BG942" s="324" t="s">
        <v>6351</v>
      </c>
      <c r="BH942" s="426" t="s">
        <v>3574</v>
      </c>
      <c r="BI942" s="453">
        <v>1.4</v>
      </c>
      <c r="BJ942" s="427" t="s">
        <v>9793</v>
      </c>
      <c r="BK942" s="412"/>
      <c r="BL942" s="413"/>
      <c r="BM942" s="414"/>
      <c r="BN942" s="453" t="s">
        <v>6490</v>
      </c>
      <c r="BO942" s="464"/>
      <c r="BP942" s="455" t="s">
        <v>622</v>
      </c>
      <c r="BQ942" s="456" t="s">
        <v>5698</v>
      </c>
      <c r="BR942" s="342" t="s">
        <v>622</v>
      </c>
      <c r="BS942" s="342" t="s">
        <v>6491</v>
      </c>
      <c r="BT942" s="342" t="s">
        <v>210</v>
      </c>
      <c r="BU942" s="342" t="s">
        <v>210</v>
      </c>
      <c r="BV942" s="342" t="s">
        <v>210</v>
      </c>
      <c r="BW942" s="341" t="s">
        <v>210</v>
      </c>
      <c r="BX942" s="361"/>
      <c r="BY942" s="457" t="s">
        <v>6421</v>
      </c>
      <c r="BZ942" s="363"/>
      <c r="CA942" s="363"/>
      <c r="CB942" s="363"/>
      <c r="CC942" s="363"/>
    </row>
    <row r="943" spans="2:81" ht="22.5" customHeight="1">
      <c r="B943" s="442" t="s">
        <v>6442</v>
      </c>
      <c r="C943" s="443" t="s">
        <v>6359</v>
      </c>
      <c r="D943" s="467" t="s">
        <v>6663</v>
      </c>
      <c r="E943" s="404" t="s">
        <v>5363</v>
      </c>
      <c r="F943" s="405" t="s">
        <v>6362</v>
      </c>
      <c r="G943" s="324" t="s">
        <v>6363</v>
      </c>
      <c r="H943" s="324" t="s">
        <v>6364</v>
      </c>
      <c r="I943" s="326" t="s">
        <v>383</v>
      </c>
      <c r="J943" s="326" t="s">
        <v>399</v>
      </c>
      <c r="K943" s="326" t="s">
        <v>223</v>
      </c>
      <c r="L943" s="392" t="s">
        <v>210</v>
      </c>
      <c r="M943" s="324" t="s">
        <v>10767</v>
      </c>
      <c r="N943" s="444" t="s">
        <v>437</v>
      </c>
      <c r="O943" s="324">
        <v>90</v>
      </c>
      <c r="P943" s="816">
        <v>1050</v>
      </c>
      <c r="Q943" s="817">
        <v>1050</v>
      </c>
      <c r="R943" s="329" t="s">
        <v>530</v>
      </c>
      <c r="S943" s="394" t="s">
        <v>11460</v>
      </c>
      <c r="T943" s="394" t="s">
        <v>11461</v>
      </c>
      <c r="U943" s="394" t="s">
        <v>11462</v>
      </c>
      <c r="V943" s="394" t="s">
        <v>11463</v>
      </c>
      <c r="W943" s="332" t="s">
        <v>432</v>
      </c>
      <c r="X943" s="331" t="s">
        <v>11079</v>
      </c>
      <c r="Y943" s="331" t="s">
        <v>11080</v>
      </c>
      <c r="Z943" s="331" t="s">
        <v>11080</v>
      </c>
      <c r="AA943" s="331" t="s">
        <v>6574</v>
      </c>
      <c r="AB943" s="416"/>
      <c r="AC943" s="416"/>
      <c r="AD943" s="334" t="s">
        <v>2327</v>
      </c>
      <c r="AE943" s="499" t="s">
        <v>231</v>
      </c>
      <c r="AF943" s="462">
        <v>43132</v>
      </c>
      <c r="AG943" s="748">
        <v>43290</v>
      </c>
      <c r="AH943" s="453">
        <v>12.1</v>
      </c>
      <c r="AI943" s="432">
        <v>17.5</v>
      </c>
      <c r="AJ943" s="432">
        <v>14</v>
      </c>
      <c r="AK943" s="455">
        <f>SUM(AH943:AJ943)</f>
        <v>43.6</v>
      </c>
      <c r="AL943" s="417" t="s">
        <v>210</v>
      </c>
      <c r="AM943" s="392" t="s">
        <v>210</v>
      </c>
      <c r="AN943" s="392" t="s">
        <v>210</v>
      </c>
      <c r="AO943" s="341" t="s">
        <v>210</v>
      </c>
      <c r="AP943" s="418" t="s">
        <v>210</v>
      </c>
      <c r="AQ943" s="433" t="s">
        <v>4547</v>
      </c>
      <c r="AR943" s="452">
        <v>1248</v>
      </c>
      <c r="AS943" s="324">
        <v>80</v>
      </c>
      <c r="AT943" s="432">
        <v>1</v>
      </c>
      <c r="AU943" s="432" t="s">
        <v>3983</v>
      </c>
      <c r="AV943" s="432">
        <v>1.5</v>
      </c>
      <c r="AW943" s="490" t="s">
        <v>6794</v>
      </c>
      <c r="AX943" s="417" t="s">
        <v>210</v>
      </c>
      <c r="AY943" s="455" t="s">
        <v>210</v>
      </c>
      <c r="AZ943" s="405" t="s">
        <v>622</v>
      </c>
      <c r="BA943" s="324" t="s">
        <v>6795</v>
      </c>
      <c r="BB943" s="324" t="s">
        <v>3372</v>
      </c>
      <c r="BC943" s="324" t="s">
        <v>210</v>
      </c>
      <c r="BD943" s="324" t="s">
        <v>210</v>
      </c>
      <c r="BE943" s="324" t="s">
        <v>3558</v>
      </c>
      <c r="BF943" s="324" t="s">
        <v>3372</v>
      </c>
      <c r="BG943" s="324" t="s">
        <v>3459</v>
      </c>
      <c r="BH943" s="426" t="s">
        <v>3936</v>
      </c>
      <c r="BI943" s="453">
        <v>0.2</v>
      </c>
      <c r="BJ943" s="427" t="s">
        <v>210</v>
      </c>
      <c r="BK943" s="412"/>
      <c r="BL943" s="413"/>
      <c r="BM943" s="414"/>
      <c r="BN943" s="453" t="s">
        <v>622</v>
      </c>
      <c r="BO943" s="464"/>
      <c r="BP943" s="455" t="s">
        <v>622</v>
      </c>
      <c r="BQ943" s="456" t="s">
        <v>1059</v>
      </c>
      <c r="BR943" s="342" t="s">
        <v>622</v>
      </c>
      <c r="BS943" s="342" t="s">
        <v>622</v>
      </c>
      <c r="BT943" s="342" t="s">
        <v>210</v>
      </c>
      <c r="BU943" s="342" t="s">
        <v>210</v>
      </c>
      <c r="BV943" s="342" t="s">
        <v>210</v>
      </c>
      <c r="BW943" s="341" t="s">
        <v>210</v>
      </c>
      <c r="BX943" s="361"/>
      <c r="BY943" s="457" t="s">
        <v>6818</v>
      </c>
      <c r="BZ943" s="363"/>
      <c r="CA943" s="363"/>
      <c r="CB943" s="363"/>
      <c r="CC943" s="363"/>
    </row>
    <row r="944" spans="2:81" ht="22.5" customHeight="1">
      <c r="B944" s="442" t="s">
        <v>6443</v>
      </c>
      <c r="C944" s="443" t="s">
        <v>6360</v>
      </c>
      <c r="D944" s="467" t="s">
        <v>5640</v>
      </c>
      <c r="E944" s="404" t="s">
        <v>5363</v>
      </c>
      <c r="F944" s="405" t="s">
        <v>6362</v>
      </c>
      <c r="G944" s="324" t="s">
        <v>6363</v>
      </c>
      <c r="H944" s="324" t="s">
        <v>6364</v>
      </c>
      <c r="I944" s="326" t="s">
        <v>383</v>
      </c>
      <c r="J944" s="326" t="s">
        <v>399</v>
      </c>
      <c r="K944" s="326" t="s">
        <v>223</v>
      </c>
      <c r="L944" s="392" t="s">
        <v>210</v>
      </c>
      <c r="M944" s="324" t="s">
        <v>10767</v>
      </c>
      <c r="N944" s="444" t="s">
        <v>438</v>
      </c>
      <c r="O944" s="324">
        <v>90</v>
      </c>
      <c r="P944" s="816">
        <v>1200</v>
      </c>
      <c r="Q944" s="817">
        <v>1200</v>
      </c>
      <c r="R944" s="329" t="s">
        <v>530</v>
      </c>
      <c r="S944" s="394" t="s">
        <v>11460</v>
      </c>
      <c r="T944" s="394" t="s">
        <v>11461</v>
      </c>
      <c r="U944" s="394" t="s">
        <v>11462</v>
      </c>
      <c r="V944" s="394" t="s">
        <v>11463</v>
      </c>
      <c r="W944" s="332" t="s">
        <v>432</v>
      </c>
      <c r="X944" s="331" t="s">
        <v>11079</v>
      </c>
      <c r="Y944" s="331" t="s">
        <v>11080</v>
      </c>
      <c r="Z944" s="331" t="s">
        <v>11080</v>
      </c>
      <c r="AA944" s="331" t="s">
        <v>6574</v>
      </c>
      <c r="AB944" s="416"/>
      <c r="AC944" s="416"/>
      <c r="AD944" s="334" t="s">
        <v>2327</v>
      </c>
      <c r="AE944" s="499" t="s">
        <v>231</v>
      </c>
      <c r="AF944" s="462">
        <v>43132</v>
      </c>
      <c r="AG944" s="748">
        <v>43298</v>
      </c>
      <c r="AH944" s="453">
        <v>16.3</v>
      </c>
      <c r="AI944" s="432">
        <v>39.700000000000003</v>
      </c>
      <c r="AJ944" s="432">
        <v>14.3</v>
      </c>
      <c r="AK944" s="455">
        <f>SUM(AH944:AJ944)</f>
        <v>70.3</v>
      </c>
      <c r="AL944" s="417" t="s">
        <v>210</v>
      </c>
      <c r="AM944" s="392" t="s">
        <v>210</v>
      </c>
      <c r="AN944" s="392" t="s">
        <v>210</v>
      </c>
      <c r="AO944" s="341" t="s">
        <v>210</v>
      </c>
      <c r="AP944" s="418" t="s">
        <v>210</v>
      </c>
      <c r="AQ944" s="433" t="s">
        <v>4547</v>
      </c>
      <c r="AR944" s="452">
        <v>1554</v>
      </c>
      <c r="AS944" s="324">
        <v>80</v>
      </c>
      <c r="AT944" s="432">
        <v>1</v>
      </c>
      <c r="AU944" s="432" t="s">
        <v>3983</v>
      </c>
      <c r="AV944" s="432">
        <v>1.5</v>
      </c>
      <c r="AW944" s="490" t="s">
        <v>6794</v>
      </c>
      <c r="AX944" s="417" t="s">
        <v>210</v>
      </c>
      <c r="AY944" s="455" t="s">
        <v>210</v>
      </c>
      <c r="AZ944" s="405" t="s">
        <v>622</v>
      </c>
      <c r="BA944" s="324" t="s">
        <v>6795</v>
      </c>
      <c r="BB944" s="324" t="s">
        <v>3372</v>
      </c>
      <c r="BC944" s="324" t="s">
        <v>210</v>
      </c>
      <c r="BD944" s="324" t="s">
        <v>210</v>
      </c>
      <c r="BE944" s="324" t="s">
        <v>3558</v>
      </c>
      <c r="BF944" s="324" t="s">
        <v>3372</v>
      </c>
      <c r="BG944" s="324" t="s">
        <v>3459</v>
      </c>
      <c r="BH944" s="426" t="s">
        <v>3936</v>
      </c>
      <c r="BI944" s="453">
        <v>0.2</v>
      </c>
      <c r="BJ944" s="427" t="s">
        <v>210</v>
      </c>
      <c r="BK944" s="412"/>
      <c r="BL944" s="413"/>
      <c r="BM944" s="414"/>
      <c r="BN944" s="453" t="s">
        <v>622</v>
      </c>
      <c r="BO944" s="464"/>
      <c r="BP944" s="455" t="s">
        <v>622</v>
      </c>
      <c r="BQ944" s="456" t="s">
        <v>1059</v>
      </c>
      <c r="BR944" s="342" t="s">
        <v>622</v>
      </c>
      <c r="BS944" s="342" t="s">
        <v>622</v>
      </c>
      <c r="BT944" s="342" t="s">
        <v>210</v>
      </c>
      <c r="BU944" s="342" t="s">
        <v>210</v>
      </c>
      <c r="BV944" s="342" t="s">
        <v>210</v>
      </c>
      <c r="BW944" s="341" t="s">
        <v>210</v>
      </c>
      <c r="BX944" s="361"/>
      <c r="BY944" s="457" t="s">
        <v>6818</v>
      </c>
      <c r="BZ944" s="363"/>
      <c r="CA944" s="363"/>
      <c r="CB944" s="363"/>
      <c r="CC944" s="363"/>
    </row>
    <row r="945" spans="1:82" ht="22.5" customHeight="1">
      <c r="B945" s="442" t="s">
        <v>6444</v>
      </c>
      <c r="C945" s="443" t="s">
        <v>6361</v>
      </c>
      <c r="D945" s="467" t="s">
        <v>6663</v>
      </c>
      <c r="E945" s="404" t="s">
        <v>5363</v>
      </c>
      <c r="F945" s="405" t="s">
        <v>6362</v>
      </c>
      <c r="G945" s="324" t="s">
        <v>6363</v>
      </c>
      <c r="H945" s="324" t="s">
        <v>6364</v>
      </c>
      <c r="I945" s="326" t="s">
        <v>383</v>
      </c>
      <c r="J945" s="326" t="s">
        <v>399</v>
      </c>
      <c r="K945" s="326" t="s">
        <v>223</v>
      </c>
      <c r="L945" s="392" t="s">
        <v>210</v>
      </c>
      <c r="M945" s="324" t="s">
        <v>10767</v>
      </c>
      <c r="N945" s="444" t="s">
        <v>7450</v>
      </c>
      <c r="O945" s="324">
        <v>90</v>
      </c>
      <c r="P945" s="816">
        <v>835</v>
      </c>
      <c r="Q945" s="817">
        <v>835</v>
      </c>
      <c r="R945" s="329" t="s">
        <v>530</v>
      </c>
      <c r="S945" s="394" t="s">
        <v>11460</v>
      </c>
      <c r="T945" s="394" t="s">
        <v>11461</v>
      </c>
      <c r="U945" s="394" t="s">
        <v>11462</v>
      </c>
      <c r="V945" s="394" t="s">
        <v>11463</v>
      </c>
      <c r="W945" s="460" t="s">
        <v>7564</v>
      </c>
      <c r="X945" s="394" t="s">
        <v>12336</v>
      </c>
      <c r="Y945" s="400"/>
      <c r="Z945" s="400"/>
      <c r="AA945" s="394" t="s">
        <v>12335</v>
      </c>
      <c r="AB945" s="416"/>
      <c r="AC945" s="416"/>
      <c r="AD945" s="334" t="s">
        <v>2327</v>
      </c>
      <c r="AE945" s="335" t="s">
        <v>210</v>
      </c>
      <c r="AF945" s="462">
        <v>43132</v>
      </c>
      <c r="AG945" s="748">
        <v>43278</v>
      </c>
      <c r="AH945" s="417" t="s">
        <v>210</v>
      </c>
      <c r="AI945" s="392" t="s">
        <v>210</v>
      </c>
      <c r="AJ945" s="392" t="s">
        <v>210</v>
      </c>
      <c r="AK945" s="340" t="s">
        <v>210</v>
      </c>
      <c r="AL945" s="417" t="s">
        <v>210</v>
      </c>
      <c r="AM945" s="392" t="s">
        <v>210</v>
      </c>
      <c r="AN945" s="392" t="s">
        <v>210</v>
      </c>
      <c r="AO945" s="341" t="s">
        <v>210</v>
      </c>
      <c r="AP945" s="418" t="s">
        <v>210</v>
      </c>
      <c r="AQ945" s="433" t="s">
        <v>4547</v>
      </c>
      <c r="AR945" s="452">
        <v>1038</v>
      </c>
      <c r="AS945" s="324">
        <v>80</v>
      </c>
      <c r="AT945" s="432">
        <v>1</v>
      </c>
      <c r="AU945" s="432" t="s">
        <v>3983</v>
      </c>
      <c r="AV945" s="432">
        <v>1.5</v>
      </c>
      <c r="AW945" s="490" t="s">
        <v>6794</v>
      </c>
      <c r="AX945" s="417" t="s">
        <v>210</v>
      </c>
      <c r="AY945" s="455" t="s">
        <v>210</v>
      </c>
      <c r="AZ945" s="405" t="s">
        <v>622</v>
      </c>
      <c r="BA945" s="324" t="s">
        <v>6795</v>
      </c>
      <c r="BB945" s="324" t="s">
        <v>3372</v>
      </c>
      <c r="BC945" s="324" t="s">
        <v>210</v>
      </c>
      <c r="BD945" s="324" t="s">
        <v>210</v>
      </c>
      <c r="BE945" s="324" t="s">
        <v>3558</v>
      </c>
      <c r="BF945" s="324" t="s">
        <v>3372</v>
      </c>
      <c r="BG945" s="324" t="s">
        <v>3459</v>
      </c>
      <c r="BH945" s="426" t="s">
        <v>3936</v>
      </c>
      <c r="BI945" s="453">
        <v>0.2</v>
      </c>
      <c r="BJ945" s="427" t="s">
        <v>210</v>
      </c>
      <c r="BK945" s="412"/>
      <c r="BL945" s="413"/>
      <c r="BM945" s="414"/>
      <c r="BN945" s="453" t="s">
        <v>622</v>
      </c>
      <c r="BO945" s="464"/>
      <c r="BP945" s="455" t="s">
        <v>622</v>
      </c>
      <c r="BQ945" s="456" t="s">
        <v>1059</v>
      </c>
      <c r="BR945" s="342" t="s">
        <v>622</v>
      </c>
      <c r="BS945" s="342" t="s">
        <v>622</v>
      </c>
      <c r="BT945" s="342" t="s">
        <v>210</v>
      </c>
      <c r="BU945" s="342" t="s">
        <v>210</v>
      </c>
      <c r="BV945" s="342" t="s">
        <v>210</v>
      </c>
      <c r="BW945" s="341" t="s">
        <v>210</v>
      </c>
      <c r="BX945" s="361"/>
      <c r="BY945" s="457" t="s">
        <v>6818</v>
      </c>
      <c r="BZ945" s="363"/>
      <c r="CA945" s="363"/>
      <c r="CB945" s="363"/>
      <c r="CC945" s="363"/>
    </row>
    <row r="946" spans="1:82" ht="22.5" customHeight="1">
      <c r="B946" s="442">
        <v>170238</v>
      </c>
      <c r="C946" s="443" t="s">
        <v>6411</v>
      </c>
      <c r="D946" s="439" t="s">
        <v>5344</v>
      </c>
      <c r="E946" s="404" t="s">
        <v>5361</v>
      </c>
      <c r="F946" s="405" t="s">
        <v>6412</v>
      </c>
      <c r="G946" s="324" t="s">
        <v>6413</v>
      </c>
      <c r="H946" s="324" t="s">
        <v>6414</v>
      </c>
      <c r="I946" s="326" t="s">
        <v>383</v>
      </c>
      <c r="J946" s="326" t="s">
        <v>399</v>
      </c>
      <c r="K946" s="326" t="s">
        <v>223</v>
      </c>
      <c r="L946" s="392" t="s">
        <v>210</v>
      </c>
      <c r="M946" s="324" t="s">
        <v>10767</v>
      </c>
      <c r="N946" s="444" t="s">
        <v>438</v>
      </c>
      <c r="O946" s="853">
        <v>30</v>
      </c>
      <c r="P946" s="857">
        <v>7660</v>
      </c>
      <c r="Q946" s="858">
        <v>7660</v>
      </c>
      <c r="R946" s="420" t="s">
        <v>12337</v>
      </c>
      <c r="S946" s="394" t="s">
        <v>12338</v>
      </c>
      <c r="T946" s="394" t="s">
        <v>12339</v>
      </c>
      <c r="U946" s="394" t="s">
        <v>12340</v>
      </c>
      <c r="V946" s="394" t="s">
        <v>12341</v>
      </c>
      <c r="W946" s="460" t="s">
        <v>6415</v>
      </c>
      <c r="X946" s="394" t="s">
        <v>12332</v>
      </c>
      <c r="Y946" s="394" t="s">
        <v>12333</v>
      </c>
      <c r="Z946" s="394" t="s">
        <v>16392</v>
      </c>
      <c r="AA946" s="394" t="s">
        <v>12334</v>
      </c>
      <c r="AB946" s="416"/>
      <c r="AC946" s="416"/>
      <c r="AD946" s="897"/>
      <c r="AE946" s="499" t="s">
        <v>6819</v>
      </c>
      <c r="AF946" s="462">
        <v>43088</v>
      </c>
      <c r="AG946" s="748">
        <v>43160</v>
      </c>
      <c r="AH946" s="417" t="s">
        <v>210</v>
      </c>
      <c r="AI946" s="392" t="s">
        <v>210</v>
      </c>
      <c r="AJ946" s="392" t="s">
        <v>210</v>
      </c>
      <c r="AK946" s="340" t="s">
        <v>210</v>
      </c>
      <c r="AL946" s="417" t="s">
        <v>210</v>
      </c>
      <c r="AM946" s="392" t="s">
        <v>210</v>
      </c>
      <c r="AN946" s="392" t="s">
        <v>210</v>
      </c>
      <c r="AO946" s="341" t="s">
        <v>210</v>
      </c>
      <c r="AP946" s="342" t="s">
        <v>210</v>
      </c>
      <c r="AQ946" s="433" t="s">
        <v>4547</v>
      </c>
      <c r="AR946" s="870">
        <v>9689</v>
      </c>
      <c r="AS946" s="853">
        <v>100</v>
      </c>
      <c r="AT946" s="871">
        <v>1</v>
      </c>
      <c r="AU946" s="871" t="s">
        <v>5246</v>
      </c>
      <c r="AV946" s="871">
        <v>1.5</v>
      </c>
      <c r="AW946" s="872" t="s">
        <v>6667</v>
      </c>
      <c r="AX946" s="417" t="s">
        <v>210</v>
      </c>
      <c r="AY946" s="455" t="s">
        <v>210</v>
      </c>
      <c r="AZ946" s="405" t="s">
        <v>4083</v>
      </c>
      <c r="BA946" s="324" t="s">
        <v>210</v>
      </c>
      <c r="BB946" s="324" t="s">
        <v>210</v>
      </c>
      <c r="BC946" s="324" t="s">
        <v>3555</v>
      </c>
      <c r="BD946" s="324" t="s">
        <v>3372</v>
      </c>
      <c r="BE946" s="324" t="s">
        <v>3475</v>
      </c>
      <c r="BF946" s="324" t="s">
        <v>3372</v>
      </c>
      <c r="BG946" s="324" t="s">
        <v>6417</v>
      </c>
      <c r="BH946" s="426" t="s">
        <v>3936</v>
      </c>
      <c r="BI946" s="875">
        <v>16.2</v>
      </c>
      <c r="BJ946" s="900" t="s">
        <v>6668</v>
      </c>
      <c r="BK946" s="412"/>
      <c r="BL946" s="413"/>
      <c r="BM946" s="414"/>
      <c r="BN946" s="453" t="s">
        <v>622</v>
      </c>
      <c r="BO946" s="464"/>
      <c r="BP946" s="455" t="s">
        <v>622</v>
      </c>
      <c r="BQ946" s="879" t="s">
        <v>1059</v>
      </c>
      <c r="BR946" s="342" t="s">
        <v>622</v>
      </c>
      <c r="BS946" s="342" t="s">
        <v>622</v>
      </c>
      <c r="BT946" s="342" t="s">
        <v>210</v>
      </c>
      <c r="BU946" s="342" t="s">
        <v>210</v>
      </c>
      <c r="BV946" s="342" t="s">
        <v>210</v>
      </c>
      <c r="BW946" s="341" t="s">
        <v>210</v>
      </c>
      <c r="BX946" s="361"/>
      <c r="BY946" s="457" t="s">
        <v>6593</v>
      </c>
      <c r="BZ946" s="363"/>
      <c r="CA946" s="363"/>
      <c r="CB946" s="363"/>
      <c r="CC946" s="363"/>
    </row>
    <row r="947" spans="1:82" ht="22.5" customHeight="1">
      <c r="B947" s="442">
        <v>170239</v>
      </c>
      <c r="C947" s="443" t="s">
        <v>6483</v>
      </c>
      <c r="D947" s="439" t="s">
        <v>6457</v>
      </c>
      <c r="E947" s="404" t="s">
        <v>5362</v>
      </c>
      <c r="F947" s="405" t="s">
        <v>6425</v>
      </c>
      <c r="G947" s="324" t="s">
        <v>2382</v>
      </c>
      <c r="H947" s="324" t="s">
        <v>2383</v>
      </c>
      <c r="I947" s="326" t="s">
        <v>383</v>
      </c>
      <c r="J947" s="326" t="s">
        <v>6513</v>
      </c>
      <c r="K947" s="324" t="s">
        <v>5225</v>
      </c>
      <c r="L947" s="392" t="s">
        <v>210</v>
      </c>
      <c r="M947" s="324" t="s">
        <v>6509</v>
      </c>
      <c r="N947" s="444" t="s">
        <v>6514</v>
      </c>
      <c r="O947" s="324" t="s">
        <v>6426</v>
      </c>
      <c r="P947" s="816">
        <v>2000</v>
      </c>
      <c r="Q947" s="817">
        <v>2000</v>
      </c>
      <c r="R947" s="420" t="s">
        <v>6427</v>
      </c>
      <c r="S947" s="394" t="s">
        <v>12324</v>
      </c>
      <c r="T947" s="394" t="s">
        <v>12326</v>
      </c>
      <c r="U947" s="394" t="s">
        <v>12325</v>
      </c>
      <c r="V947" s="394" t="s">
        <v>12327</v>
      </c>
      <c r="W947" s="460" t="s">
        <v>6428</v>
      </c>
      <c r="X947" s="394" t="s">
        <v>12328</v>
      </c>
      <c r="Y947" s="394" t="s">
        <v>12330</v>
      </c>
      <c r="Z947" s="394" t="s">
        <v>12329</v>
      </c>
      <c r="AA947" s="394" t="s">
        <v>12331</v>
      </c>
      <c r="AB947" s="416"/>
      <c r="AC947" s="416"/>
      <c r="AD947" s="447" t="s">
        <v>6785</v>
      </c>
      <c r="AE947" s="335" t="s">
        <v>210</v>
      </c>
      <c r="AF947" s="462">
        <v>43090</v>
      </c>
      <c r="AG947" s="748">
        <v>43169</v>
      </c>
      <c r="AH947" s="417" t="s">
        <v>210</v>
      </c>
      <c r="AI947" s="392" t="s">
        <v>210</v>
      </c>
      <c r="AJ947" s="392" t="s">
        <v>210</v>
      </c>
      <c r="AK947" s="340" t="s">
        <v>210</v>
      </c>
      <c r="AL947" s="417" t="s">
        <v>210</v>
      </c>
      <c r="AM947" s="392" t="s">
        <v>210</v>
      </c>
      <c r="AN947" s="392" t="s">
        <v>210</v>
      </c>
      <c r="AO947" s="341" t="s">
        <v>210</v>
      </c>
      <c r="AP947" s="418" t="s">
        <v>210</v>
      </c>
      <c r="AQ947" s="433" t="s">
        <v>4547</v>
      </c>
      <c r="AR947" s="452">
        <v>2389</v>
      </c>
      <c r="AS947" s="324">
        <v>80</v>
      </c>
      <c r="AT947" s="432">
        <v>1</v>
      </c>
      <c r="AU947" s="432" t="s">
        <v>3627</v>
      </c>
      <c r="AV947" s="432">
        <v>1.5</v>
      </c>
      <c r="AW947" s="490" t="s">
        <v>3627</v>
      </c>
      <c r="AX947" s="417" t="s">
        <v>210</v>
      </c>
      <c r="AY947" s="455" t="s">
        <v>210</v>
      </c>
      <c r="AZ947" s="405" t="s">
        <v>4083</v>
      </c>
      <c r="BA947" s="324" t="s">
        <v>210</v>
      </c>
      <c r="BB947" s="324" t="s">
        <v>210</v>
      </c>
      <c r="BC947" s="324" t="s">
        <v>3459</v>
      </c>
      <c r="BD947" s="324" t="s">
        <v>6430</v>
      </c>
      <c r="BE947" s="324" t="s">
        <v>6431</v>
      </c>
      <c r="BF947" s="324" t="s">
        <v>6430</v>
      </c>
      <c r="BG947" s="324" t="s">
        <v>6432</v>
      </c>
      <c r="BH947" s="426" t="s">
        <v>3898</v>
      </c>
      <c r="BI947" s="453">
        <v>0.6</v>
      </c>
      <c r="BJ947" s="427" t="s">
        <v>210</v>
      </c>
      <c r="BK947" s="412"/>
      <c r="BL947" s="413"/>
      <c r="BM947" s="414"/>
      <c r="BN947" s="453" t="s">
        <v>622</v>
      </c>
      <c r="BO947" s="464"/>
      <c r="BP947" s="455" t="s">
        <v>210</v>
      </c>
      <c r="BQ947" s="456" t="s">
        <v>1059</v>
      </c>
      <c r="BR947" s="342" t="s">
        <v>210</v>
      </c>
      <c r="BS947" s="342" t="s">
        <v>622</v>
      </c>
      <c r="BT947" s="342" t="s">
        <v>210</v>
      </c>
      <c r="BU947" s="342" t="s">
        <v>210</v>
      </c>
      <c r="BV947" s="342" t="s">
        <v>210</v>
      </c>
      <c r="BW947" s="341" t="s">
        <v>210</v>
      </c>
      <c r="BX947" s="361"/>
      <c r="BY947" s="457" t="s">
        <v>6433</v>
      </c>
      <c r="BZ947" s="363"/>
      <c r="CA947" s="363"/>
      <c r="CB947" s="363"/>
      <c r="CC947" s="363"/>
    </row>
    <row r="948" spans="1:82" ht="22.5" customHeight="1">
      <c r="B948" s="442">
        <v>170240</v>
      </c>
      <c r="C948" s="443" t="s">
        <v>6418</v>
      </c>
      <c r="D948" s="439" t="s">
        <v>5344</v>
      </c>
      <c r="E948" s="404" t="s">
        <v>5363</v>
      </c>
      <c r="F948" s="405" t="s">
        <v>304</v>
      </c>
      <c r="G948" s="324" t="s">
        <v>1806</v>
      </c>
      <c r="H948" s="324" t="s">
        <v>6322</v>
      </c>
      <c r="I948" s="326" t="s">
        <v>383</v>
      </c>
      <c r="J948" s="326" t="s">
        <v>399</v>
      </c>
      <c r="K948" s="326" t="s">
        <v>223</v>
      </c>
      <c r="L948" s="392" t="s">
        <v>210</v>
      </c>
      <c r="M948" s="324" t="s">
        <v>10767</v>
      </c>
      <c r="N948" s="444" t="s">
        <v>438</v>
      </c>
      <c r="O948" s="324">
        <v>40</v>
      </c>
      <c r="P948" s="458">
        <v>1412.09</v>
      </c>
      <c r="Q948" s="459">
        <v>1303.3399999999999</v>
      </c>
      <c r="R948" s="329" t="s">
        <v>999</v>
      </c>
      <c r="S948" s="400"/>
      <c r="T948" s="394" t="s">
        <v>11262</v>
      </c>
      <c r="U948" s="394" t="s">
        <v>16414</v>
      </c>
      <c r="V948" s="394" t="s">
        <v>11263</v>
      </c>
      <c r="W948" s="332" t="s">
        <v>4603</v>
      </c>
      <c r="X948" s="330"/>
      <c r="Y948" s="331" t="s">
        <v>11906</v>
      </c>
      <c r="Z948" s="331" t="s">
        <v>12414</v>
      </c>
      <c r="AA948" s="330"/>
      <c r="AB948" s="416"/>
      <c r="AC948" s="416"/>
      <c r="AD948" s="334" t="s">
        <v>2321</v>
      </c>
      <c r="AE948" s="499" t="s">
        <v>1038</v>
      </c>
      <c r="AF948" s="462">
        <v>43088</v>
      </c>
      <c r="AG948" s="748">
        <v>43126</v>
      </c>
      <c r="AH948" s="417" t="s">
        <v>210</v>
      </c>
      <c r="AI948" s="392" t="s">
        <v>210</v>
      </c>
      <c r="AJ948" s="392" t="s">
        <v>210</v>
      </c>
      <c r="AK948" s="340" t="s">
        <v>210</v>
      </c>
      <c r="AL948" s="417" t="s">
        <v>210</v>
      </c>
      <c r="AM948" s="392" t="s">
        <v>210</v>
      </c>
      <c r="AN948" s="392" t="s">
        <v>210</v>
      </c>
      <c r="AO948" s="341" t="s">
        <v>210</v>
      </c>
      <c r="AP948" s="418" t="s">
        <v>622</v>
      </c>
      <c r="AQ948" s="433" t="s">
        <v>4547</v>
      </c>
      <c r="AR948" s="452">
        <v>1751</v>
      </c>
      <c r="AS948" s="324">
        <v>100</v>
      </c>
      <c r="AT948" s="432">
        <v>1</v>
      </c>
      <c r="AU948" s="432" t="s">
        <v>5246</v>
      </c>
      <c r="AV948" s="432">
        <v>1.5</v>
      </c>
      <c r="AW948" s="490" t="s">
        <v>5246</v>
      </c>
      <c r="AX948" s="417" t="s">
        <v>210</v>
      </c>
      <c r="AY948" s="455" t="s">
        <v>210</v>
      </c>
      <c r="AZ948" s="405" t="s">
        <v>4083</v>
      </c>
      <c r="BA948" s="324" t="s">
        <v>210</v>
      </c>
      <c r="BB948" s="324" t="s">
        <v>210</v>
      </c>
      <c r="BC948" s="324" t="s">
        <v>210</v>
      </c>
      <c r="BD948" s="324" t="s">
        <v>210</v>
      </c>
      <c r="BE948" s="324" t="s">
        <v>3476</v>
      </c>
      <c r="BF948" s="324" t="s">
        <v>5058</v>
      </c>
      <c r="BG948" s="324" t="s">
        <v>3476</v>
      </c>
      <c r="BH948" s="324" t="s">
        <v>5058</v>
      </c>
      <c r="BI948" s="453">
        <v>2.2000000000000002</v>
      </c>
      <c r="BJ948" s="427" t="s">
        <v>210</v>
      </c>
      <c r="BK948" s="412"/>
      <c r="BL948" s="413"/>
      <c r="BM948" s="414"/>
      <c r="BN948" s="453" t="s">
        <v>622</v>
      </c>
      <c r="BO948" s="464"/>
      <c r="BP948" s="455" t="s">
        <v>622</v>
      </c>
      <c r="BQ948" s="456" t="s">
        <v>5927</v>
      </c>
      <c r="BR948" s="342" t="s">
        <v>210</v>
      </c>
      <c r="BS948" s="342" t="s">
        <v>622</v>
      </c>
      <c r="BT948" s="342" t="s">
        <v>210</v>
      </c>
      <c r="BU948" s="342" t="s">
        <v>210</v>
      </c>
      <c r="BV948" s="342" t="s">
        <v>210</v>
      </c>
      <c r="BW948" s="341" t="s">
        <v>210</v>
      </c>
      <c r="BX948" s="361"/>
      <c r="BY948" s="457" t="s">
        <v>6420</v>
      </c>
      <c r="BZ948" s="363"/>
      <c r="CA948" s="363"/>
      <c r="CB948" s="363"/>
      <c r="CC948" s="363"/>
    </row>
    <row r="949" spans="1:82" ht="22.5" customHeight="1">
      <c r="B949" s="442">
        <v>180002</v>
      </c>
      <c r="C949" s="443" t="s">
        <v>6458</v>
      </c>
      <c r="D949" s="439" t="s">
        <v>4849</v>
      </c>
      <c r="E949" s="404" t="s">
        <v>5361</v>
      </c>
      <c r="F949" s="405" t="s">
        <v>264</v>
      </c>
      <c r="G949" s="324" t="s">
        <v>2427</v>
      </c>
      <c r="H949" s="324" t="s">
        <v>4763</v>
      </c>
      <c r="I949" s="326" t="s">
        <v>383</v>
      </c>
      <c r="J949" s="326" t="s">
        <v>6508</v>
      </c>
      <c r="K949" s="324" t="s">
        <v>6468</v>
      </c>
      <c r="L949" s="342">
        <v>8</v>
      </c>
      <c r="M949" s="324" t="s">
        <v>10767</v>
      </c>
      <c r="N949" s="444" t="s">
        <v>437</v>
      </c>
      <c r="O949" s="324">
        <v>30</v>
      </c>
      <c r="P949" s="458">
        <v>405</v>
      </c>
      <c r="Q949" s="459">
        <v>353.96</v>
      </c>
      <c r="R949" s="420" t="s">
        <v>6465</v>
      </c>
      <c r="S949" s="394" t="s">
        <v>15047</v>
      </c>
      <c r="T949" s="394" t="s">
        <v>15048</v>
      </c>
      <c r="U949" s="394" t="s">
        <v>15049</v>
      </c>
      <c r="V949" s="394" t="s">
        <v>12323</v>
      </c>
      <c r="W949" s="460" t="s">
        <v>6459</v>
      </c>
      <c r="X949" s="394" t="s">
        <v>15050</v>
      </c>
      <c r="Y949" s="394" t="s">
        <v>15051</v>
      </c>
      <c r="Z949" s="394" t="s">
        <v>15052</v>
      </c>
      <c r="AA949" s="394" t="s">
        <v>15053</v>
      </c>
      <c r="AB949" s="416"/>
      <c r="AC949" s="416"/>
      <c r="AD949" s="447" t="s">
        <v>6676</v>
      </c>
      <c r="AE949" s="335" t="s">
        <v>210</v>
      </c>
      <c r="AF949" s="462">
        <v>43094</v>
      </c>
      <c r="AG949" s="748">
        <v>43136</v>
      </c>
      <c r="AH949" s="417" t="s">
        <v>210</v>
      </c>
      <c r="AI949" s="392" t="s">
        <v>210</v>
      </c>
      <c r="AJ949" s="392" t="s">
        <v>210</v>
      </c>
      <c r="AK949" s="340" t="s">
        <v>210</v>
      </c>
      <c r="AL949" s="417" t="s">
        <v>210</v>
      </c>
      <c r="AM949" s="392" t="s">
        <v>210</v>
      </c>
      <c r="AN949" s="392" t="s">
        <v>210</v>
      </c>
      <c r="AO949" s="341" t="s">
        <v>210</v>
      </c>
      <c r="AP949" s="342" t="s">
        <v>210</v>
      </c>
      <c r="AQ949" s="433" t="s">
        <v>4547</v>
      </c>
      <c r="AR949" s="452">
        <v>892</v>
      </c>
      <c r="AS949" s="324">
        <v>150</v>
      </c>
      <c r="AT949" s="432">
        <v>1</v>
      </c>
      <c r="AU949" s="432" t="s">
        <v>5921</v>
      </c>
      <c r="AV949" s="432">
        <v>1.5</v>
      </c>
      <c r="AW949" s="490" t="s">
        <v>5352</v>
      </c>
      <c r="AX949" s="417" t="s">
        <v>210</v>
      </c>
      <c r="AY949" s="455" t="s">
        <v>210</v>
      </c>
      <c r="AZ949" s="405" t="s">
        <v>622</v>
      </c>
      <c r="BA949" s="324" t="s">
        <v>6462</v>
      </c>
      <c r="BB949" s="324" t="s">
        <v>6463</v>
      </c>
      <c r="BC949" s="324" t="s">
        <v>3475</v>
      </c>
      <c r="BD949" s="324" t="s">
        <v>5352</v>
      </c>
      <c r="BE949" s="324" t="s">
        <v>6464</v>
      </c>
      <c r="BF949" s="324" t="s">
        <v>5352</v>
      </c>
      <c r="BG949" s="324" t="s">
        <v>6464</v>
      </c>
      <c r="BH949" s="426" t="s">
        <v>3936</v>
      </c>
      <c r="BI949" s="453">
        <v>1</v>
      </c>
      <c r="BJ949" s="427" t="s">
        <v>9793</v>
      </c>
      <c r="BK949" s="412"/>
      <c r="BL949" s="413"/>
      <c r="BM949" s="414"/>
      <c r="BN949" s="453" t="s">
        <v>622</v>
      </c>
      <c r="BO949" s="464"/>
      <c r="BP949" s="455" t="s">
        <v>622</v>
      </c>
      <c r="BQ949" s="456" t="s">
        <v>6551</v>
      </c>
      <c r="BR949" s="342" t="s">
        <v>622</v>
      </c>
      <c r="BS949" s="342" t="s">
        <v>622</v>
      </c>
      <c r="BT949" s="342" t="s">
        <v>210</v>
      </c>
      <c r="BU949" s="342" t="s">
        <v>210</v>
      </c>
      <c r="BV949" s="342" t="s">
        <v>210</v>
      </c>
      <c r="BW949" s="341" t="s">
        <v>210</v>
      </c>
      <c r="BX949" s="361"/>
      <c r="BY949" s="457" t="s">
        <v>6494</v>
      </c>
      <c r="BZ949" s="363"/>
      <c r="CA949" s="363"/>
      <c r="CB949" s="363"/>
      <c r="CC949" s="363"/>
    </row>
    <row r="950" spans="1:82" ht="22.5" customHeight="1">
      <c r="B950" s="442">
        <v>180003</v>
      </c>
      <c r="C950" s="443" t="s">
        <v>6469</v>
      </c>
      <c r="D950" s="439" t="s">
        <v>4849</v>
      </c>
      <c r="E950" s="404" t="s">
        <v>5362</v>
      </c>
      <c r="F950" s="405" t="s">
        <v>1509</v>
      </c>
      <c r="G950" s="324" t="s">
        <v>6470</v>
      </c>
      <c r="H950" s="324" t="s">
        <v>6471</v>
      </c>
      <c r="I950" s="326" t="s">
        <v>383</v>
      </c>
      <c r="J950" s="326" t="s">
        <v>399</v>
      </c>
      <c r="K950" s="326" t="s">
        <v>223</v>
      </c>
      <c r="L950" s="392" t="s">
        <v>210</v>
      </c>
      <c r="M950" s="324" t="s">
        <v>10767</v>
      </c>
      <c r="N950" s="444" t="s">
        <v>437</v>
      </c>
      <c r="O950" s="324">
        <v>100</v>
      </c>
      <c r="P950" s="816">
        <v>1200</v>
      </c>
      <c r="Q950" s="817">
        <v>1200</v>
      </c>
      <c r="R950" s="420" t="s">
        <v>12322</v>
      </c>
      <c r="S950" s="394" t="s">
        <v>11970</v>
      </c>
      <c r="T950" s="394" t="s">
        <v>11973</v>
      </c>
      <c r="U950" s="394" t="s">
        <v>11971</v>
      </c>
      <c r="V950" s="394" t="s">
        <v>11972</v>
      </c>
      <c r="W950" s="460" t="s">
        <v>12321</v>
      </c>
      <c r="X950" s="394" t="s">
        <v>12318</v>
      </c>
      <c r="Y950" s="394" t="s">
        <v>12319</v>
      </c>
      <c r="Z950" s="394" t="s">
        <v>12317</v>
      </c>
      <c r="AA950" s="394" t="s">
        <v>12320</v>
      </c>
      <c r="AB950" s="416"/>
      <c r="AC950" s="416"/>
      <c r="AD950" s="447" t="s">
        <v>3094</v>
      </c>
      <c r="AE950" s="335" t="s">
        <v>210</v>
      </c>
      <c r="AF950" s="462">
        <v>43096</v>
      </c>
      <c r="AG950" s="748">
        <v>43161</v>
      </c>
      <c r="AH950" s="417" t="s">
        <v>210</v>
      </c>
      <c r="AI950" s="392" t="s">
        <v>210</v>
      </c>
      <c r="AJ950" s="392" t="s">
        <v>210</v>
      </c>
      <c r="AK950" s="340" t="s">
        <v>210</v>
      </c>
      <c r="AL950" s="417" t="s">
        <v>210</v>
      </c>
      <c r="AM950" s="392" t="s">
        <v>210</v>
      </c>
      <c r="AN950" s="326" t="s">
        <v>14</v>
      </c>
      <c r="AO950" s="341" t="s">
        <v>210</v>
      </c>
      <c r="AP950" s="342" t="s">
        <v>210</v>
      </c>
      <c r="AQ950" s="433" t="s">
        <v>4547</v>
      </c>
      <c r="AR950" s="452">
        <v>1624</v>
      </c>
      <c r="AS950" s="324">
        <v>100</v>
      </c>
      <c r="AT950" s="432">
        <v>1</v>
      </c>
      <c r="AU950" s="432" t="s">
        <v>3382</v>
      </c>
      <c r="AV950" s="432">
        <v>1.5</v>
      </c>
      <c r="AW950" s="490" t="s">
        <v>3382</v>
      </c>
      <c r="AX950" s="417" t="s">
        <v>210</v>
      </c>
      <c r="AY950" s="455" t="s">
        <v>210</v>
      </c>
      <c r="AZ950" s="405" t="s">
        <v>622</v>
      </c>
      <c r="BA950" s="324" t="s">
        <v>6472</v>
      </c>
      <c r="BB950" s="324" t="s">
        <v>3382</v>
      </c>
      <c r="BC950" s="324" t="s">
        <v>6473</v>
      </c>
      <c r="BD950" s="324" t="s">
        <v>3382</v>
      </c>
      <c r="BE950" s="324" t="s">
        <v>5350</v>
      </c>
      <c r="BF950" s="324" t="s">
        <v>6474</v>
      </c>
      <c r="BG950" s="324" t="s">
        <v>3558</v>
      </c>
      <c r="BH950" s="426" t="s">
        <v>3996</v>
      </c>
      <c r="BI950" s="453">
        <v>0.5</v>
      </c>
      <c r="BJ950" s="427" t="s">
        <v>210</v>
      </c>
      <c r="BK950" s="412"/>
      <c r="BL950" s="413"/>
      <c r="BM950" s="414"/>
      <c r="BN950" s="453" t="s">
        <v>210</v>
      </c>
      <c r="BO950" s="464"/>
      <c r="BP950" s="455" t="s">
        <v>622</v>
      </c>
      <c r="BQ950" s="456" t="s">
        <v>5608</v>
      </c>
      <c r="BR950" s="342" t="s">
        <v>210</v>
      </c>
      <c r="BS950" s="342" t="s">
        <v>622</v>
      </c>
      <c r="BT950" s="342" t="s">
        <v>210</v>
      </c>
      <c r="BU950" s="342" t="s">
        <v>210</v>
      </c>
      <c r="BV950" s="342" t="s">
        <v>210</v>
      </c>
      <c r="BW950" s="341" t="s">
        <v>210</v>
      </c>
      <c r="BX950" s="361"/>
      <c r="BY950" s="457" t="s">
        <v>6512</v>
      </c>
      <c r="BZ950" s="363"/>
      <c r="CA950" s="363"/>
      <c r="CB950" s="363"/>
      <c r="CC950" s="363"/>
    </row>
    <row r="951" spans="1:82" ht="22.5" customHeight="1">
      <c r="B951" s="442">
        <v>180124</v>
      </c>
      <c r="C951" s="443" t="s">
        <v>7153</v>
      </c>
      <c r="D951" s="467" t="s">
        <v>6135</v>
      </c>
      <c r="E951" s="404" t="s">
        <v>5362</v>
      </c>
      <c r="F951" s="405" t="s">
        <v>222</v>
      </c>
      <c r="G951" s="324" t="s">
        <v>7154</v>
      </c>
      <c r="H951" s="324" t="s">
        <v>7155</v>
      </c>
      <c r="I951" s="326" t="s">
        <v>11</v>
      </c>
      <c r="J951" s="326" t="s">
        <v>12</v>
      </c>
      <c r="K951" s="324" t="s">
        <v>7156</v>
      </c>
      <c r="L951" s="392" t="s">
        <v>210</v>
      </c>
      <c r="M951" s="324" t="s">
        <v>10767</v>
      </c>
      <c r="N951" s="444" t="s">
        <v>437</v>
      </c>
      <c r="O951" s="324">
        <v>160</v>
      </c>
      <c r="P951" s="458">
        <v>584.82000000000005</v>
      </c>
      <c r="Q951" s="459">
        <v>584.82000000000005</v>
      </c>
      <c r="R951" s="420" t="s">
        <v>7157</v>
      </c>
      <c r="S951" s="394" t="s">
        <v>12314</v>
      </c>
      <c r="T951" s="394" t="s">
        <v>12315</v>
      </c>
      <c r="U951" s="394" t="s">
        <v>16423</v>
      </c>
      <c r="V951" s="394" t="s">
        <v>12316</v>
      </c>
      <c r="W951" s="460" t="s">
        <v>7157</v>
      </c>
      <c r="X951" s="394" t="s">
        <v>12314</v>
      </c>
      <c r="Y951" s="394" t="s">
        <v>12315</v>
      </c>
      <c r="Z951" s="394" t="s">
        <v>16423</v>
      </c>
      <c r="AA951" s="394" t="s">
        <v>12316</v>
      </c>
      <c r="AB951" s="416"/>
      <c r="AC951" s="416"/>
      <c r="AD951" s="447" t="s">
        <v>7679</v>
      </c>
      <c r="AE951" s="335" t="s">
        <v>210</v>
      </c>
      <c r="AF951" s="462">
        <v>43232</v>
      </c>
      <c r="AG951" s="748">
        <v>43298</v>
      </c>
      <c r="AH951" s="417" t="s">
        <v>210</v>
      </c>
      <c r="AI951" s="392" t="s">
        <v>210</v>
      </c>
      <c r="AJ951" s="392" t="s">
        <v>210</v>
      </c>
      <c r="AK951" s="340" t="s">
        <v>210</v>
      </c>
      <c r="AL951" s="417" t="s">
        <v>210</v>
      </c>
      <c r="AM951" s="392" t="s">
        <v>210</v>
      </c>
      <c r="AN951" s="392" t="s">
        <v>210</v>
      </c>
      <c r="AO951" s="341" t="s">
        <v>210</v>
      </c>
      <c r="AP951" s="418" t="s">
        <v>210</v>
      </c>
      <c r="AQ951" s="433" t="s">
        <v>4547</v>
      </c>
      <c r="AR951" s="452">
        <v>960</v>
      </c>
      <c r="AS951" s="324">
        <v>130</v>
      </c>
      <c r="AT951" s="432">
        <v>1</v>
      </c>
      <c r="AU951" s="432" t="s">
        <v>6579</v>
      </c>
      <c r="AV951" s="432">
        <v>1.5</v>
      </c>
      <c r="AW951" s="490" t="s">
        <v>6579</v>
      </c>
      <c r="AX951" s="417" t="s">
        <v>210</v>
      </c>
      <c r="AY951" s="455" t="s">
        <v>210</v>
      </c>
      <c r="AZ951" s="405" t="s">
        <v>622</v>
      </c>
      <c r="BA951" s="324" t="s">
        <v>3558</v>
      </c>
      <c r="BB951" s="324" t="s">
        <v>6579</v>
      </c>
      <c r="BC951" s="324" t="s">
        <v>7161</v>
      </c>
      <c r="BD951" s="324" t="s">
        <v>3492</v>
      </c>
      <c r="BE951" s="324" t="s">
        <v>7162</v>
      </c>
      <c r="BF951" s="324" t="s">
        <v>6579</v>
      </c>
      <c r="BG951" s="324" t="s">
        <v>7163</v>
      </c>
      <c r="BH951" s="426" t="s">
        <v>6579</v>
      </c>
      <c r="BI951" s="453">
        <v>1.3</v>
      </c>
      <c r="BJ951" s="427" t="s">
        <v>7243</v>
      </c>
      <c r="BK951" s="412"/>
      <c r="BL951" s="413"/>
      <c r="BM951" s="414"/>
      <c r="BN951" s="453" t="s">
        <v>210</v>
      </c>
      <c r="BO951" s="502"/>
      <c r="BP951" s="340" t="s">
        <v>622</v>
      </c>
      <c r="BQ951" s="456" t="s">
        <v>6407</v>
      </c>
      <c r="BR951" s="342" t="s">
        <v>210</v>
      </c>
      <c r="BS951" s="342" t="s">
        <v>210</v>
      </c>
      <c r="BT951" s="342" t="s">
        <v>210</v>
      </c>
      <c r="BU951" s="342" t="s">
        <v>210</v>
      </c>
      <c r="BV951" s="342" t="s">
        <v>210</v>
      </c>
      <c r="BW951" s="341" t="s">
        <v>210</v>
      </c>
      <c r="BX951" s="361"/>
      <c r="BY951" s="457" t="s">
        <v>7160</v>
      </c>
      <c r="BZ951" s="363"/>
      <c r="CA951" s="363"/>
      <c r="CB951" s="363"/>
      <c r="CC951" s="363"/>
    </row>
    <row r="952" spans="1:82" s="465" customFormat="1" ht="22.5" customHeight="1">
      <c r="A952" s="287"/>
      <c r="B952" s="749">
        <v>180013</v>
      </c>
      <c r="C952" s="781" t="s">
        <v>6475</v>
      </c>
      <c r="D952" s="751" t="s">
        <v>4854</v>
      </c>
      <c r="E952" s="752" t="s">
        <v>5362</v>
      </c>
      <c r="F952" s="753" t="s">
        <v>483</v>
      </c>
      <c r="G952" s="754" t="s">
        <v>6476</v>
      </c>
      <c r="H952" s="754" t="s">
        <v>6477</v>
      </c>
      <c r="I952" s="662" t="s">
        <v>383</v>
      </c>
      <c r="J952" s="662" t="s">
        <v>399</v>
      </c>
      <c r="K952" s="754" t="s">
        <v>6478</v>
      </c>
      <c r="L952" s="676" t="s">
        <v>210</v>
      </c>
      <c r="M952" s="754" t="s">
        <v>10767</v>
      </c>
      <c r="N952" s="755" t="s">
        <v>437</v>
      </c>
      <c r="O952" s="754">
        <v>150</v>
      </c>
      <c r="P952" s="782">
        <v>264</v>
      </c>
      <c r="Q952" s="783">
        <v>264</v>
      </c>
      <c r="R952" s="756" t="s">
        <v>6479</v>
      </c>
      <c r="S952" s="708" t="s">
        <v>12311</v>
      </c>
      <c r="T952" s="708" t="s">
        <v>12312</v>
      </c>
      <c r="U952" s="708"/>
      <c r="V952" s="708" t="s">
        <v>12313</v>
      </c>
      <c r="W952" s="757" t="s">
        <v>6479</v>
      </c>
      <c r="X952" s="708" t="s">
        <v>12311</v>
      </c>
      <c r="Y952" s="708" t="s">
        <v>12312</v>
      </c>
      <c r="Z952" s="708"/>
      <c r="AA952" s="708" t="s">
        <v>12313</v>
      </c>
      <c r="AB952" s="758"/>
      <c r="AC952" s="758"/>
      <c r="AD952" s="756"/>
      <c r="AE952" s="901"/>
      <c r="AF952" s="846">
        <v>43095</v>
      </c>
      <c r="AG952" s="674" t="s">
        <v>10514</v>
      </c>
      <c r="AH952" s="675" t="s">
        <v>210</v>
      </c>
      <c r="AI952" s="676" t="s">
        <v>210</v>
      </c>
      <c r="AJ952" s="676" t="s">
        <v>210</v>
      </c>
      <c r="AK952" s="677" t="s">
        <v>210</v>
      </c>
      <c r="AL952" s="675" t="s">
        <v>210</v>
      </c>
      <c r="AM952" s="676" t="s">
        <v>210</v>
      </c>
      <c r="AN952" s="676" t="s">
        <v>210</v>
      </c>
      <c r="AO952" s="678" t="s">
        <v>210</v>
      </c>
      <c r="AP952" s="688" t="s">
        <v>210</v>
      </c>
      <c r="AQ952" s="762" t="s">
        <v>4547</v>
      </c>
      <c r="AR952" s="763">
        <v>527</v>
      </c>
      <c r="AS952" s="754">
        <v>80</v>
      </c>
      <c r="AT952" s="785">
        <v>1</v>
      </c>
      <c r="AU952" s="785" t="s">
        <v>5246</v>
      </c>
      <c r="AV952" s="785">
        <v>1.5</v>
      </c>
      <c r="AW952" s="764" t="s">
        <v>6530</v>
      </c>
      <c r="AX952" s="765" t="s">
        <v>210</v>
      </c>
      <c r="AY952" s="766" t="s">
        <v>210</v>
      </c>
      <c r="AZ952" s="753" t="s">
        <v>622</v>
      </c>
      <c r="BA952" s="754" t="s">
        <v>3475</v>
      </c>
      <c r="BB952" s="764" t="s">
        <v>6530</v>
      </c>
      <c r="BC952" s="662" t="s">
        <v>6531</v>
      </c>
      <c r="BD952" s="754" t="s">
        <v>6532</v>
      </c>
      <c r="BE952" s="754" t="s">
        <v>6533</v>
      </c>
      <c r="BF952" s="754" t="s">
        <v>3382</v>
      </c>
      <c r="BG952" s="754" t="s">
        <v>3476</v>
      </c>
      <c r="BH952" s="767" t="s">
        <v>5079</v>
      </c>
      <c r="BI952" s="765">
        <v>1.34</v>
      </c>
      <c r="BJ952" s="768" t="s">
        <v>210</v>
      </c>
      <c r="BK952" s="769"/>
      <c r="BL952" s="766"/>
      <c r="BM952" s="770"/>
      <c r="BN952" s="765" t="s">
        <v>622</v>
      </c>
      <c r="BO952" s="771"/>
      <c r="BP952" s="677" t="s">
        <v>210</v>
      </c>
      <c r="BQ952" s="773" t="s">
        <v>247</v>
      </c>
      <c r="BR952" s="688" t="s">
        <v>6534</v>
      </c>
      <c r="BS952" s="688" t="s">
        <v>622</v>
      </c>
      <c r="BT952" s="688" t="s">
        <v>210</v>
      </c>
      <c r="BU952" s="688" t="s">
        <v>210</v>
      </c>
      <c r="BV952" s="688" t="s">
        <v>210</v>
      </c>
      <c r="BW952" s="678" t="s">
        <v>210</v>
      </c>
      <c r="BX952" s="688"/>
      <c r="BY952" s="774"/>
      <c r="BZ952" s="483"/>
      <c r="CA952" s="483"/>
      <c r="CB952" s="483"/>
      <c r="CC952" s="483"/>
      <c r="CD952" s="484"/>
    </row>
    <row r="953" spans="1:82" ht="22.5" customHeight="1">
      <c r="B953" s="442">
        <v>180014</v>
      </c>
      <c r="C953" s="443" t="s">
        <v>6537</v>
      </c>
      <c r="D953" s="439" t="s">
        <v>4847</v>
      </c>
      <c r="E953" s="404" t="s">
        <v>5361</v>
      </c>
      <c r="F953" s="405" t="s">
        <v>709</v>
      </c>
      <c r="G953" s="324" t="s">
        <v>3661</v>
      </c>
      <c r="H953" s="324" t="s">
        <v>6495</v>
      </c>
      <c r="I953" s="326" t="s">
        <v>383</v>
      </c>
      <c r="J953" s="324" t="s">
        <v>216</v>
      </c>
      <c r="K953" s="324" t="s">
        <v>6496</v>
      </c>
      <c r="L953" s="392" t="s">
        <v>210</v>
      </c>
      <c r="M953" s="324" t="s">
        <v>6518</v>
      </c>
      <c r="N953" s="444" t="s">
        <v>6539</v>
      </c>
      <c r="O953" s="324">
        <v>30</v>
      </c>
      <c r="P953" s="816">
        <f>Q953*3</f>
        <v>600</v>
      </c>
      <c r="Q953" s="817">
        <f>25*8</f>
        <v>200</v>
      </c>
      <c r="R953" s="420" t="s">
        <v>6499</v>
      </c>
      <c r="S953" s="400"/>
      <c r="T953" s="400"/>
      <c r="U953" s="400"/>
      <c r="V953" s="400"/>
      <c r="W953" s="460" t="s">
        <v>712</v>
      </c>
      <c r="X953" s="394" t="s">
        <v>12309</v>
      </c>
      <c r="Y953" s="394" t="s">
        <v>12310</v>
      </c>
      <c r="Z953" s="400"/>
      <c r="AA953" s="400"/>
      <c r="AB953" s="416"/>
      <c r="AC953" s="416"/>
      <c r="AD953" s="447" t="s">
        <v>6845</v>
      </c>
      <c r="AE953" s="499" t="s">
        <v>1643</v>
      </c>
      <c r="AF953" s="462">
        <v>43110</v>
      </c>
      <c r="AG953" s="748">
        <v>43193</v>
      </c>
      <c r="AH953" s="417" t="s">
        <v>210</v>
      </c>
      <c r="AI953" s="392" t="s">
        <v>210</v>
      </c>
      <c r="AJ953" s="392" t="s">
        <v>210</v>
      </c>
      <c r="AK953" s="340" t="s">
        <v>210</v>
      </c>
      <c r="AL953" s="417" t="s">
        <v>210</v>
      </c>
      <c r="AM953" s="392" t="s">
        <v>210</v>
      </c>
      <c r="AN953" s="392" t="s">
        <v>210</v>
      </c>
      <c r="AO953" s="341" t="s">
        <v>210</v>
      </c>
      <c r="AP953" s="342" t="s">
        <v>210</v>
      </c>
      <c r="AQ953" s="433" t="s">
        <v>4547</v>
      </c>
      <c r="AR953" s="452">
        <v>292</v>
      </c>
      <c r="AS953" s="324">
        <v>150</v>
      </c>
      <c r="AT953" s="432">
        <v>1</v>
      </c>
      <c r="AU953" s="432" t="s">
        <v>6486</v>
      </c>
      <c r="AV953" s="432">
        <v>1.2</v>
      </c>
      <c r="AW953" s="490" t="s">
        <v>6486</v>
      </c>
      <c r="AX953" s="417" t="s">
        <v>210</v>
      </c>
      <c r="AY953" s="455" t="s">
        <v>210</v>
      </c>
      <c r="AZ953" s="405" t="s">
        <v>4083</v>
      </c>
      <c r="BA953" s="324" t="s">
        <v>210</v>
      </c>
      <c r="BB953" s="324" t="s">
        <v>210</v>
      </c>
      <c r="BC953" s="324" t="s">
        <v>6502</v>
      </c>
      <c r="BD953" s="324" t="s">
        <v>6503</v>
      </c>
      <c r="BE953" s="324" t="s">
        <v>6502</v>
      </c>
      <c r="BF953" s="324" t="s">
        <v>6504</v>
      </c>
      <c r="BG953" s="324" t="s">
        <v>6505</v>
      </c>
      <c r="BH953" s="426" t="s">
        <v>6506</v>
      </c>
      <c r="BI953" s="453">
        <v>2.8</v>
      </c>
      <c r="BJ953" s="427" t="s">
        <v>210</v>
      </c>
      <c r="BK953" s="412"/>
      <c r="BL953" s="413"/>
      <c r="BM953" s="414"/>
      <c r="BN953" s="453" t="s">
        <v>622</v>
      </c>
      <c r="BO953" s="464"/>
      <c r="BP953" s="340" t="s">
        <v>210</v>
      </c>
      <c r="BQ953" s="456" t="s">
        <v>1059</v>
      </c>
      <c r="BR953" s="342" t="s">
        <v>210</v>
      </c>
      <c r="BS953" s="342" t="s">
        <v>622</v>
      </c>
      <c r="BT953" s="342" t="s">
        <v>210</v>
      </c>
      <c r="BU953" s="342" t="s">
        <v>210</v>
      </c>
      <c r="BV953" s="342" t="s">
        <v>210</v>
      </c>
      <c r="BW953" s="341" t="s">
        <v>210</v>
      </c>
      <c r="BX953" s="361"/>
      <c r="BY953" s="457" t="s">
        <v>6538</v>
      </c>
      <c r="BZ953" s="363"/>
      <c r="CA953" s="363"/>
      <c r="CB953" s="363"/>
      <c r="CC953" s="363"/>
    </row>
    <row r="954" spans="1:82" ht="22.5" customHeight="1">
      <c r="B954" s="442">
        <v>180015</v>
      </c>
      <c r="C954" s="443" t="s">
        <v>8853</v>
      </c>
      <c r="D954" s="439" t="s">
        <v>5344</v>
      </c>
      <c r="E954" s="404" t="s">
        <v>5363</v>
      </c>
      <c r="F954" s="405" t="s">
        <v>226</v>
      </c>
      <c r="G954" s="324" t="s">
        <v>6558</v>
      </c>
      <c r="H954" s="324" t="s">
        <v>6568</v>
      </c>
      <c r="I954" s="326" t="s">
        <v>383</v>
      </c>
      <c r="J954" s="326" t="s">
        <v>399</v>
      </c>
      <c r="K954" s="326" t="s">
        <v>223</v>
      </c>
      <c r="L954" s="392" t="s">
        <v>210</v>
      </c>
      <c r="M954" s="324" t="s">
        <v>10767</v>
      </c>
      <c r="N954" s="444" t="s">
        <v>437</v>
      </c>
      <c r="O954" s="324">
        <v>30</v>
      </c>
      <c r="P954" s="458">
        <v>1070</v>
      </c>
      <c r="Q954" s="459">
        <v>1070</v>
      </c>
      <c r="R954" s="329" t="s">
        <v>12308</v>
      </c>
      <c r="S954" s="394" t="s">
        <v>11204</v>
      </c>
      <c r="T954" s="394" t="s">
        <v>11205</v>
      </c>
      <c r="U954" s="394" t="s">
        <v>11207</v>
      </c>
      <c r="V954" s="394" t="s">
        <v>11206</v>
      </c>
      <c r="W954" s="332" t="s">
        <v>432</v>
      </c>
      <c r="X954" s="331" t="s">
        <v>11079</v>
      </c>
      <c r="Y954" s="331" t="s">
        <v>11080</v>
      </c>
      <c r="Z954" s="331" t="s">
        <v>11080</v>
      </c>
      <c r="AA954" s="331" t="s">
        <v>6574</v>
      </c>
      <c r="AB954" s="416"/>
      <c r="AC954" s="416"/>
      <c r="AD954" s="334" t="s">
        <v>2325</v>
      </c>
      <c r="AE954" s="335" t="s">
        <v>210</v>
      </c>
      <c r="AF954" s="462">
        <v>43097</v>
      </c>
      <c r="AG954" s="748">
        <v>43160</v>
      </c>
      <c r="AH954" s="453">
        <v>7.1</v>
      </c>
      <c r="AI954" s="432">
        <v>15.2</v>
      </c>
      <c r="AJ954" s="432">
        <v>10.7</v>
      </c>
      <c r="AK954" s="455">
        <v>33</v>
      </c>
      <c r="AL954" s="417" t="s">
        <v>210</v>
      </c>
      <c r="AM954" s="392" t="s">
        <v>210</v>
      </c>
      <c r="AN954" s="392" t="s">
        <v>210</v>
      </c>
      <c r="AO954" s="341" t="s">
        <v>210</v>
      </c>
      <c r="AP954" s="342" t="s">
        <v>210</v>
      </c>
      <c r="AQ954" s="433" t="s">
        <v>4547</v>
      </c>
      <c r="AR954" s="452">
        <v>1265</v>
      </c>
      <c r="AS954" s="324">
        <v>80</v>
      </c>
      <c r="AT954" s="432">
        <v>0.8</v>
      </c>
      <c r="AU954" s="432" t="s">
        <v>5246</v>
      </c>
      <c r="AV954" s="432">
        <v>1.2</v>
      </c>
      <c r="AW954" s="902" t="s">
        <v>6690</v>
      </c>
      <c r="AX954" s="417" t="s">
        <v>210</v>
      </c>
      <c r="AY954" s="455" t="s">
        <v>210</v>
      </c>
      <c r="AZ954" s="405" t="s">
        <v>622</v>
      </c>
      <c r="BA954" s="324" t="s">
        <v>6569</v>
      </c>
      <c r="BB954" s="324" t="s">
        <v>6570</v>
      </c>
      <c r="BC954" s="324" t="s">
        <v>6572</v>
      </c>
      <c r="BD954" s="324" t="s">
        <v>6571</v>
      </c>
      <c r="BE954" s="324" t="s">
        <v>6573</v>
      </c>
      <c r="BF954" s="324" t="s">
        <v>5487</v>
      </c>
      <c r="BG954" s="324" t="s">
        <v>6574</v>
      </c>
      <c r="BH954" s="426" t="s">
        <v>6574</v>
      </c>
      <c r="BI954" s="453">
        <v>1.75</v>
      </c>
      <c r="BJ954" s="427" t="s">
        <v>210</v>
      </c>
      <c r="BK954" s="412"/>
      <c r="BL954" s="413"/>
      <c r="BM954" s="414"/>
      <c r="BN954" s="453" t="s">
        <v>622</v>
      </c>
      <c r="BO954" s="464"/>
      <c r="BP954" s="455" t="s">
        <v>622</v>
      </c>
      <c r="BQ954" s="456" t="s">
        <v>6575</v>
      </c>
      <c r="BR954" s="342" t="s">
        <v>210</v>
      </c>
      <c r="BS954" s="342" t="s">
        <v>622</v>
      </c>
      <c r="BT954" s="342" t="s">
        <v>210</v>
      </c>
      <c r="BU954" s="342" t="s">
        <v>210</v>
      </c>
      <c r="BV954" s="342" t="s">
        <v>210</v>
      </c>
      <c r="BW954" s="341" t="s">
        <v>210</v>
      </c>
      <c r="BX954" s="361"/>
      <c r="BY954" s="888" t="s">
        <v>6894</v>
      </c>
      <c r="BZ954" s="889"/>
      <c r="CA954" s="889"/>
      <c r="CB954" s="889"/>
      <c r="CC954" s="889"/>
    </row>
    <row r="955" spans="1:82" ht="22.5" customHeight="1">
      <c r="B955" s="442">
        <v>180016</v>
      </c>
      <c r="C955" s="443" t="s">
        <v>6515</v>
      </c>
      <c r="D955" s="439" t="s">
        <v>4849</v>
      </c>
      <c r="E955" s="404" t="s">
        <v>5363</v>
      </c>
      <c r="F955" s="405" t="str">
        <f>F493</f>
        <v>兵庫県</v>
      </c>
      <c r="G955" s="324" t="str">
        <f>G493</f>
        <v>神戸市</v>
      </c>
      <c r="H955" s="324" t="str">
        <f>H493</f>
        <v>須磨区行平町</v>
      </c>
      <c r="I955" s="326" t="s">
        <v>296</v>
      </c>
      <c r="J955" s="326" t="s">
        <v>216</v>
      </c>
      <c r="K955" s="324" t="s">
        <v>1059</v>
      </c>
      <c r="L955" s="392" t="s">
        <v>210</v>
      </c>
      <c r="M955" s="324" t="s">
        <v>6518</v>
      </c>
      <c r="N955" s="325" t="s">
        <v>468</v>
      </c>
      <c r="O955" s="324">
        <v>30</v>
      </c>
      <c r="P955" s="458">
        <v>405</v>
      </c>
      <c r="Q955" s="459">
        <v>140</v>
      </c>
      <c r="R955" s="329" t="s">
        <v>1620</v>
      </c>
      <c r="S955" s="394" t="s">
        <v>12306</v>
      </c>
      <c r="T955" s="394" t="s">
        <v>12304</v>
      </c>
      <c r="U955" s="394" t="s">
        <v>16226</v>
      </c>
      <c r="V955" s="394" t="s">
        <v>12307</v>
      </c>
      <c r="W955" s="332" t="s">
        <v>432</v>
      </c>
      <c r="X955" s="331" t="s">
        <v>11079</v>
      </c>
      <c r="Y955" s="331" t="s">
        <v>11080</v>
      </c>
      <c r="Z955" s="331" t="s">
        <v>11080</v>
      </c>
      <c r="AA955" s="331" t="s">
        <v>6574</v>
      </c>
      <c r="AB955" s="416"/>
      <c r="AC955" s="416"/>
      <c r="AD955" s="447" t="s">
        <v>7648</v>
      </c>
      <c r="AE955" s="335" t="s">
        <v>210</v>
      </c>
      <c r="AF955" s="462">
        <v>42747</v>
      </c>
      <c r="AG955" s="748">
        <v>43434</v>
      </c>
      <c r="AH955" s="417" t="s">
        <v>210</v>
      </c>
      <c r="AI955" s="392" t="s">
        <v>210</v>
      </c>
      <c r="AJ955" s="392" t="s">
        <v>210</v>
      </c>
      <c r="AK955" s="340" t="s">
        <v>210</v>
      </c>
      <c r="AL955" s="417" t="s">
        <v>210</v>
      </c>
      <c r="AM955" s="326" t="s">
        <v>14</v>
      </c>
      <c r="AN955" s="392" t="s">
        <v>210</v>
      </c>
      <c r="AO955" s="341" t="s">
        <v>210</v>
      </c>
      <c r="AP955" s="418" t="s">
        <v>210</v>
      </c>
      <c r="AQ955" s="433" t="s">
        <v>7412</v>
      </c>
      <c r="AR955" s="452">
        <v>193</v>
      </c>
      <c r="AS955" s="324">
        <v>80</v>
      </c>
      <c r="AT955" s="432">
        <v>1</v>
      </c>
      <c r="AU955" s="432" t="s">
        <v>5246</v>
      </c>
      <c r="AV955" s="432">
        <v>1.2</v>
      </c>
      <c r="AW955" s="490" t="s">
        <v>3424</v>
      </c>
      <c r="AX955" s="417" t="s">
        <v>210</v>
      </c>
      <c r="AY955" s="455" t="s">
        <v>210</v>
      </c>
      <c r="AZ955" s="405" t="s">
        <v>4083</v>
      </c>
      <c r="BA955" s="324" t="s">
        <v>210</v>
      </c>
      <c r="BB955" s="324" t="s">
        <v>210</v>
      </c>
      <c r="BC955" s="324" t="s">
        <v>210</v>
      </c>
      <c r="BD955" s="324" t="s">
        <v>210</v>
      </c>
      <c r="BE955" s="324" t="s">
        <v>7447</v>
      </c>
      <c r="BF955" s="324" t="s">
        <v>3382</v>
      </c>
      <c r="BG955" s="324" t="s">
        <v>7448</v>
      </c>
      <c r="BH955" s="426" t="s">
        <v>5079</v>
      </c>
      <c r="BI955" s="453">
        <v>0.6</v>
      </c>
      <c r="BJ955" s="427" t="s">
        <v>210</v>
      </c>
      <c r="BK955" s="412"/>
      <c r="BL955" s="413"/>
      <c r="BM955" s="414"/>
      <c r="BN955" s="453" t="s">
        <v>622</v>
      </c>
      <c r="BO955" s="464">
        <v>1.37</v>
      </c>
      <c r="BP955" s="340" t="s">
        <v>210</v>
      </c>
      <c r="BQ955" s="456" t="s">
        <v>7449</v>
      </c>
      <c r="BR955" s="418" t="s">
        <v>210</v>
      </c>
      <c r="BS955" s="342" t="s">
        <v>6516</v>
      </c>
      <c r="BT955" s="418" t="s">
        <v>210</v>
      </c>
      <c r="BU955" s="418" t="s">
        <v>210</v>
      </c>
      <c r="BV955" s="418" t="s">
        <v>210</v>
      </c>
      <c r="BW955" s="341" t="s">
        <v>15</v>
      </c>
      <c r="BX955" s="361"/>
      <c r="BY955" s="457" t="s">
        <v>6517</v>
      </c>
      <c r="BZ955" s="363"/>
      <c r="CA955" s="363"/>
      <c r="CB955" s="363"/>
      <c r="CC955" s="363"/>
    </row>
    <row r="956" spans="1:82" ht="22.5" customHeight="1">
      <c r="B956" s="442">
        <v>180017</v>
      </c>
      <c r="C956" s="443" t="s">
        <v>6526</v>
      </c>
      <c r="D956" s="439" t="s">
        <v>4847</v>
      </c>
      <c r="E956" s="404" t="s">
        <v>5362</v>
      </c>
      <c r="F956" s="405" t="s">
        <v>1043</v>
      </c>
      <c r="G956" s="324" t="s">
        <v>5249</v>
      </c>
      <c r="H956" s="324" t="s">
        <v>6527</v>
      </c>
      <c r="I956" s="326" t="s">
        <v>296</v>
      </c>
      <c r="J956" s="326" t="s">
        <v>216</v>
      </c>
      <c r="K956" s="324" t="s">
        <v>6297</v>
      </c>
      <c r="L956" s="392" t="s">
        <v>210</v>
      </c>
      <c r="M956" s="324" t="s">
        <v>6518</v>
      </c>
      <c r="N956" s="444" t="s">
        <v>6614</v>
      </c>
      <c r="O956" s="324">
        <v>230</v>
      </c>
      <c r="P956" s="816">
        <f>280*3</f>
        <v>840</v>
      </c>
      <c r="Q956" s="817">
        <v>280</v>
      </c>
      <c r="R956" s="420" t="s">
        <v>6554</v>
      </c>
      <c r="S956" s="400"/>
      <c r="T956" s="400"/>
      <c r="U956" s="400"/>
      <c r="V956" s="400"/>
      <c r="W956" s="332" t="s">
        <v>512</v>
      </c>
      <c r="X956" s="394" t="s">
        <v>12299</v>
      </c>
      <c r="Y956" s="394" t="s">
        <v>12300</v>
      </c>
      <c r="Z956" s="394" t="s">
        <v>12301</v>
      </c>
      <c r="AA956" s="394" t="s">
        <v>12302</v>
      </c>
      <c r="AB956" s="416"/>
      <c r="AC956" s="416"/>
      <c r="AD956" s="897"/>
      <c r="AE956" s="335" t="s">
        <v>210</v>
      </c>
      <c r="AF956" s="462">
        <v>43112</v>
      </c>
      <c r="AG956" s="748">
        <v>43228</v>
      </c>
      <c r="AH956" s="417" t="s">
        <v>210</v>
      </c>
      <c r="AI956" s="392" t="s">
        <v>210</v>
      </c>
      <c r="AJ956" s="392" t="s">
        <v>210</v>
      </c>
      <c r="AK956" s="340" t="s">
        <v>210</v>
      </c>
      <c r="AL956" s="417" t="s">
        <v>210</v>
      </c>
      <c r="AM956" s="392" t="s">
        <v>210</v>
      </c>
      <c r="AN956" s="392" t="s">
        <v>210</v>
      </c>
      <c r="AO956" s="341" t="s">
        <v>210</v>
      </c>
      <c r="AP956" s="418" t="s">
        <v>210</v>
      </c>
      <c r="AQ956" s="433" t="s">
        <v>4548</v>
      </c>
      <c r="AR956" s="452">
        <v>316</v>
      </c>
      <c r="AS956" s="324">
        <v>170</v>
      </c>
      <c r="AT956" s="432">
        <v>1</v>
      </c>
      <c r="AU956" s="432" t="s">
        <v>5246</v>
      </c>
      <c r="AV956" s="432">
        <v>1.5</v>
      </c>
      <c r="AW956" s="490" t="s">
        <v>5234</v>
      </c>
      <c r="AX956" s="417" t="s">
        <v>210</v>
      </c>
      <c r="AY956" s="455" t="s">
        <v>210</v>
      </c>
      <c r="AZ956" s="405" t="s">
        <v>4083</v>
      </c>
      <c r="BA956" s="324" t="s">
        <v>210</v>
      </c>
      <c r="BB956" s="324" t="s">
        <v>210</v>
      </c>
      <c r="BC956" s="324" t="s">
        <v>6528</v>
      </c>
      <c r="BD956" s="324" t="s">
        <v>5234</v>
      </c>
      <c r="BE956" s="324" t="s">
        <v>6529</v>
      </c>
      <c r="BF956" s="324" t="s">
        <v>3372</v>
      </c>
      <c r="BG956" s="324" t="s">
        <v>3475</v>
      </c>
      <c r="BH956" s="324" t="s">
        <v>3372</v>
      </c>
      <c r="BI956" s="453">
        <v>1.4</v>
      </c>
      <c r="BJ956" s="427" t="s">
        <v>210</v>
      </c>
      <c r="BK956" s="412"/>
      <c r="BL956" s="413"/>
      <c r="BM956" s="414"/>
      <c r="BN956" s="453" t="s">
        <v>622</v>
      </c>
      <c r="BO956" s="464"/>
      <c r="BP956" s="426" t="s">
        <v>210</v>
      </c>
      <c r="BQ956" s="456" t="s">
        <v>1059</v>
      </c>
      <c r="BR956" s="418" t="s">
        <v>210</v>
      </c>
      <c r="BS956" s="342" t="s">
        <v>622</v>
      </c>
      <c r="BT956" s="342" t="s">
        <v>210</v>
      </c>
      <c r="BU956" s="342" t="s">
        <v>210</v>
      </c>
      <c r="BV956" s="342" t="s">
        <v>210</v>
      </c>
      <c r="BW956" s="341" t="s">
        <v>210</v>
      </c>
      <c r="BX956" s="361"/>
      <c r="BY956" s="457"/>
      <c r="BZ956" s="363"/>
      <c r="CA956" s="363"/>
      <c r="CB956" s="363"/>
      <c r="CC956" s="363"/>
    </row>
    <row r="957" spans="1:82" ht="22.5" customHeight="1">
      <c r="B957" s="442">
        <v>180018</v>
      </c>
      <c r="C957" s="443" t="s">
        <v>6624</v>
      </c>
      <c r="D957" s="439" t="s">
        <v>4847</v>
      </c>
      <c r="E957" s="899" t="s">
        <v>6927</v>
      </c>
      <c r="F957" s="405" t="s">
        <v>266</v>
      </c>
      <c r="G957" s="324" t="s">
        <v>2546</v>
      </c>
      <c r="H957" s="324" t="s">
        <v>6615</v>
      </c>
      <c r="I957" s="326" t="s">
        <v>383</v>
      </c>
      <c r="J957" s="324" t="s">
        <v>6632</v>
      </c>
      <c r="K957" s="326" t="s">
        <v>223</v>
      </c>
      <c r="L957" s="392" t="s">
        <v>210</v>
      </c>
      <c r="M957" s="324" t="s">
        <v>6509</v>
      </c>
      <c r="N957" s="444" t="s">
        <v>438</v>
      </c>
      <c r="O957" s="324" t="s">
        <v>210</v>
      </c>
      <c r="P957" s="458">
        <v>1894</v>
      </c>
      <c r="Q957" s="459">
        <v>1816</v>
      </c>
      <c r="R957" s="420" t="s">
        <v>645</v>
      </c>
      <c r="S957" s="400"/>
      <c r="T957" s="400"/>
      <c r="U957" s="400"/>
      <c r="V957" s="400"/>
      <c r="W957" s="460" t="s">
        <v>647</v>
      </c>
      <c r="X957" s="394" t="s">
        <v>12298</v>
      </c>
      <c r="Y957" s="394" t="s">
        <v>11486</v>
      </c>
      <c r="Z957" s="394" t="s">
        <v>11487</v>
      </c>
      <c r="AA957" s="394" t="s">
        <v>11488</v>
      </c>
      <c r="AB957" s="416"/>
      <c r="AC957" s="416"/>
      <c r="AD957" s="447" t="s">
        <v>7692</v>
      </c>
      <c r="AE957" s="499" t="s">
        <v>3278</v>
      </c>
      <c r="AF957" s="462">
        <v>43116</v>
      </c>
      <c r="AG957" s="748">
        <v>43312</v>
      </c>
      <c r="AH957" s="417" t="s">
        <v>210</v>
      </c>
      <c r="AI957" s="392" t="s">
        <v>210</v>
      </c>
      <c r="AJ957" s="392" t="s">
        <v>210</v>
      </c>
      <c r="AK957" s="340" t="s">
        <v>210</v>
      </c>
      <c r="AL957" s="417" t="s">
        <v>210</v>
      </c>
      <c r="AM957" s="392" t="s">
        <v>210</v>
      </c>
      <c r="AN957" s="392" t="s">
        <v>210</v>
      </c>
      <c r="AO957" s="341" t="s">
        <v>210</v>
      </c>
      <c r="AP957" s="418" t="s">
        <v>210</v>
      </c>
      <c r="AQ957" s="433" t="s">
        <v>4547</v>
      </c>
      <c r="AR957" s="452">
        <v>2336</v>
      </c>
      <c r="AS957" s="324">
        <v>130</v>
      </c>
      <c r="AT957" s="432">
        <v>0.8</v>
      </c>
      <c r="AU957" s="432" t="s">
        <v>6315</v>
      </c>
      <c r="AV957" s="432">
        <v>1.5</v>
      </c>
      <c r="AW957" s="490" t="s">
        <v>6315</v>
      </c>
      <c r="AX957" s="417" t="s">
        <v>210</v>
      </c>
      <c r="AY957" s="455" t="s">
        <v>210</v>
      </c>
      <c r="AZ957" s="405" t="s">
        <v>622</v>
      </c>
      <c r="BA957" s="324" t="s">
        <v>6580</v>
      </c>
      <c r="BB957" s="324" t="s">
        <v>6581</v>
      </c>
      <c r="BC957" s="324" t="s">
        <v>3558</v>
      </c>
      <c r="BD957" s="324" t="s">
        <v>3627</v>
      </c>
      <c r="BE957" s="324" t="s">
        <v>6582</v>
      </c>
      <c r="BF957" s="324" t="s">
        <v>3482</v>
      </c>
      <c r="BG957" s="324" t="s">
        <v>6583</v>
      </c>
      <c r="BH957" s="324" t="s">
        <v>3482</v>
      </c>
      <c r="BI957" s="453">
        <v>1.4</v>
      </c>
      <c r="BJ957" s="427" t="s">
        <v>210</v>
      </c>
      <c r="BK957" s="412"/>
      <c r="BL957" s="413"/>
      <c r="BM957" s="414"/>
      <c r="BN957" s="453" t="s">
        <v>622</v>
      </c>
      <c r="BO957" s="464"/>
      <c r="BP957" s="455" t="s">
        <v>622</v>
      </c>
      <c r="BQ957" s="456" t="s">
        <v>1059</v>
      </c>
      <c r="BR957" s="418" t="s">
        <v>210</v>
      </c>
      <c r="BS957" s="342" t="s">
        <v>622</v>
      </c>
      <c r="BT957" s="342" t="s">
        <v>210</v>
      </c>
      <c r="BU957" s="342" t="s">
        <v>210</v>
      </c>
      <c r="BV957" s="342" t="s">
        <v>210</v>
      </c>
      <c r="BW957" s="341" t="s">
        <v>210</v>
      </c>
      <c r="BX957" s="361"/>
      <c r="BY957" s="457"/>
      <c r="BZ957" s="363"/>
      <c r="CA957" s="363"/>
      <c r="CB957" s="363"/>
      <c r="CC957" s="363"/>
    </row>
    <row r="958" spans="1:82" ht="22.5" customHeight="1">
      <c r="B958" s="442">
        <v>180019</v>
      </c>
      <c r="C958" s="443" t="s">
        <v>6648</v>
      </c>
      <c r="D958" s="439" t="s">
        <v>4849</v>
      </c>
      <c r="E958" s="404" t="s">
        <v>5361</v>
      </c>
      <c r="F958" s="405" t="s">
        <v>1048</v>
      </c>
      <c r="G958" s="324" t="s">
        <v>2651</v>
      </c>
      <c r="H958" s="324" t="s">
        <v>6584</v>
      </c>
      <c r="I958" s="324" t="s">
        <v>6585</v>
      </c>
      <c r="J958" s="324" t="s">
        <v>216</v>
      </c>
      <c r="K958" s="324" t="s">
        <v>6586</v>
      </c>
      <c r="L958" s="392" t="s">
        <v>210</v>
      </c>
      <c r="M958" s="324" t="s">
        <v>6587</v>
      </c>
      <c r="N958" s="444" t="s">
        <v>468</v>
      </c>
      <c r="O958" s="890">
        <v>60</v>
      </c>
      <c r="P958" s="458">
        <v>789.75</v>
      </c>
      <c r="Q958" s="459">
        <v>297</v>
      </c>
      <c r="R958" s="420" t="s">
        <v>6588</v>
      </c>
      <c r="S958" s="400"/>
      <c r="T958" s="400"/>
      <c r="U958" s="400"/>
      <c r="V958" s="400"/>
      <c r="W958" s="460" t="s">
        <v>1729</v>
      </c>
      <c r="X958" s="394" t="s">
        <v>12295</v>
      </c>
      <c r="Y958" s="394" t="s">
        <v>12296</v>
      </c>
      <c r="Z958" s="400"/>
      <c r="AA958" s="394" t="s">
        <v>12297</v>
      </c>
      <c r="AB958" s="416"/>
      <c r="AC958" s="416"/>
      <c r="AD958" s="447" t="s">
        <v>6849</v>
      </c>
      <c r="AE958" s="335" t="s">
        <v>210</v>
      </c>
      <c r="AF958" s="462">
        <v>43117</v>
      </c>
      <c r="AG958" s="748">
        <v>43165</v>
      </c>
      <c r="AH958" s="417" t="s">
        <v>210</v>
      </c>
      <c r="AI958" s="392" t="s">
        <v>210</v>
      </c>
      <c r="AJ958" s="392" t="s">
        <v>210</v>
      </c>
      <c r="AK958" s="340" t="s">
        <v>210</v>
      </c>
      <c r="AL958" s="417" t="s">
        <v>210</v>
      </c>
      <c r="AM958" s="392" t="s">
        <v>210</v>
      </c>
      <c r="AN958" s="392" t="s">
        <v>210</v>
      </c>
      <c r="AO958" s="341" t="s">
        <v>210</v>
      </c>
      <c r="AP958" s="418" t="s">
        <v>210</v>
      </c>
      <c r="AQ958" s="433" t="s">
        <v>4548</v>
      </c>
      <c r="AR958" s="452">
        <v>375</v>
      </c>
      <c r="AS958" s="324">
        <v>100</v>
      </c>
      <c r="AT958" s="432">
        <v>0.8</v>
      </c>
      <c r="AU958" s="432" t="s">
        <v>3495</v>
      </c>
      <c r="AV958" s="432">
        <v>1.5</v>
      </c>
      <c r="AW958" s="490" t="s">
        <v>3495</v>
      </c>
      <c r="AX958" s="417" t="s">
        <v>210</v>
      </c>
      <c r="AY958" s="455" t="s">
        <v>210</v>
      </c>
      <c r="AZ958" s="405" t="s">
        <v>622</v>
      </c>
      <c r="BA958" s="324" t="s">
        <v>3459</v>
      </c>
      <c r="BB958" s="324" t="s">
        <v>3495</v>
      </c>
      <c r="BC958" s="324" t="s">
        <v>6591</v>
      </c>
      <c r="BD958" s="324" t="s">
        <v>3495</v>
      </c>
      <c r="BE958" s="324" t="s">
        <v>4673</v>
      </c>
      <c r="BF958" s="324" t="s">
        <v>3382</v>
      </c>
      <c r="BG958" s="324" t="s">
        <v>6592</v>
      </c>
      <c r="BH958" s="426" t="s">
        <v>3382</v>
      </c>
      <c r="BI958" s="453">
        <v>0.9</v>
      </c>
      <c r="BJ958" s="427" t="s">
        <v>210</v>
      </c>
      <c r="BK958" s="412"/>
      <c r="BL958" s="413"/>
      <c r="BM958" s="414"/>
      <c r="BN958" s="453" t="s">
        <v>622</v>
      </c>
      <c r="BO958" s="464">
        <v>0.89</v>
      </c>
      <c r="BP958" s="340" t="s">
        <v>210</v>
      </c>
      <c r="BQ958" s="456" t="s">
        <v>6407</v>
      </c>
      <c r="BR958" s="418" t="s">
        <v>210</v>
      </c>
      <c r="BS958" s="342" t="s">
        <v>622</v>
      </c>
      <c r="BT958" s="342" t="s">
        <v>210</v>
      </c>
      <c r="BU958" s="342" t="s">
        <v>210</v>
      </c>
      <c r="BV958" s="342" t="s">
        <v>210</v>
      </c>
      <c r="BW958" s="341" t="s">
        <v>210</v>
      </c>
      <c r="BX958" s="361"/>
      <c r="BY958" s="457"/>
      <c r="BZ958" s="363"/>
      <c r="CA958" s="363"/>
      <c r="CB958" s="363"/>
      <c r="CC958" s="363"/>
    </row>
    <row r="959" spans="1:82" ht="22.5" customHeight="1">
      <c r="B959" s="442" t="s">
        <v>6616</v>
      </c>
      <c r="C959" s="443" t="s">
        <v>6610</v>
      </c>
      <c r="D959" s="439" t="s">
        <v>4849</v>
      </c>
      <c r="E959" s="404" t="s">
        <v>5362</v>
      </c>
      <c r="F959" s="405" t="s">
        <v>228</v>
      </c>
      <c r="G959" s="324" t="s">
        <v>6576</v>
      </c>
      <c r="H959" s="324" t="s">
        <v>6577</v>
      </c>
      <c r="I959" s="326" t="s">
        <v>383</v>
      </c>
      <c r="J959" s="326" t="s">
        <v>399</v>
      </c>
      <c r="K959" s="324" t="s">
        <v>6612</v>
      </c>
      <c r="L959" s="392" t="s">
        <v>210</v>
      </c>
      <c r="M959" s="324" t="s">
        <v>10767</v>
      </c>
      <c r="N959" s="444" t="s">
        <v>6613</v>
      </c>
      <c r="O959" s="324">
        <v>100</v>
      </c>
      <c r="P959" s="458">
        <v>78</v>
      </c>
      <c r="Q959" s="459">
        <v>78</v>
      </c>
      <c r="R959" s="420" t="s">
        <v>6606</v>
      </c>
      <c r="S959" s="394" t="s">
        <v>12291</v>
      </c>
      <c r="T959" s="394" t="s">
        <v>12292</v>
      </c>
      <c r="U959" s="394" t="s">
        <v>16338</v>
      </c>
      <c r="V959" s="394" t="s">
        <v>12293</v>
      </c>
      <c r="W959" s="460" t="s">
        <v>647</v>
      </c>
      <c r="X959" s="394" t="s">
        <v>12294</v>
      </c>
      <c r="Y959" s="394" t="s">
        <v>11486</v>
      </c>
      <c r="Z959" s="394" t="s">
        <v>11487</v>
      </c>
      <c r="AA959" s="394" t="s">
        <v>11488</v>
      </c>
      <c r="AB959" s="416"/>
      <c r="AC959" s="416"/>
      <c r="AD959" s="447" t="s">
        <v>6928</v>
      </c>
      <c r="AE959" s="335" t="s">
        <v>210</v>
      </c>
      <c r="AF959" s="462">
        <v>43119</v>
      </c>
      <c r="AG959" s="748">
        <v>43175</v>
      </c>
      <c r="AH959" s="417" t="s">
        <v>210</v>
      </c>
      <c r="AI959" s="392" t="s">
        <v>210</v>
      </c>
      <c r="AJ959" s="392" t="s">
        <v>210</v>
      </c>
      <c r="AK959" s="340" t="s">
        <v>210</v>
      </c>
      <c r="AL959" s="417" t="s">
        <v>210</v>
      </c>
      <c r="AM959" s="392" t="s">
        <v>210</v>
      </c>
      <c r="AN959" s="392" t="s">
        <v>210</v>
      </c>
      <c r="AO959" s="341" t="s">
        <v>210</v>
      </c>
      <c r="AP959" s="418" t="s">
        <v>210</v>
      </c>
      <c r="AQ959" s="433" t="s">
        <v>4547</v>
      </c>
      <c r="AR959" s="452">
        <v>139</v>
      </c>
      <c r="AS959" s="324">
        <v>150</v>
      </c>
      <c r="AT959" s="432">
        <v>0.8</v>
      </c>
      <c r="AU959" s="432" t="s">
        <v>3494</v>
      </c>
      <c r="AV959" s="432">
        <v>1.5</v>
      </c>
      <c r="AW959" s="490" t="s">
        <v>3494</v>
      </c>
      <c r="AX959" s="417" t="s">
        <v>210</v>
      </c>
      <c r="AY959" s="455" t="s">
        <v>210</v>
      </c>
      <c r="AZ959" s="405" t="s">
        <v>4083</v>
      </c>
      <c r="BA959" s="324" t="s">
        <v>210</v>
      </c>
      <c r="BB959" s="324" t="s">
        <v>210</v>
      </c>
      <c r="BC959" s="324" t="s">
        <v>6578</v>
      </c>
      <c r="BD959" s="324" t="s">
        <v>3494</v>
      </c>
      <c r="BE959" s="324" t="s">
        <v>3555</v>
      </c>
      <c r="BF959" s="324" t="s">
        <v>3494</v>
      </c>
      <c r="BG959" s="324" t="s">
        <v>3476</v>
      </c>
      <c r="BH959" s="426" t="s">
        <v>6579</v>
      </c>
      <c r="BI959" s="453">
        <v>4.5</v>
      </c>
      <c r="BJ959" s="427" t="s">
        <v>210</v>
      </c>
      <c r="BK959" s="412"/>
      <c r="BL959" s="413"/>
      <c r="BM959" s="414"/>
      <c r="BN959" s="453" t="s">
        <v>622</v>
      </c>
      <c r="BO959" s="464"/>
      <c r="BP959" s="426" t="s">
        <v>210</v>
      </c>
      <c r="BQ959" s="456" t="s">
        <v>6623</v>
      </c>
      <c r="BR959" s="418" t="s">
        <v>210</v>
      </c>
      <c r="BS959" s="342" t="s">
        <v>622</v>
      </c>
      <c r="BT959" s="342" t="s">
        <v>210</v>
      </c>
      <c r="BU959" s="342" t="s">
        <v>210</v>
      </c>
      <c r="BV959" s="342" t="s">
        <v>210</v>
      </c>
      <c r="BW959" s="341" t="s">
        <v>210</v>
      </c>
      <c r="BX959" s="361"/>
      <c r="BY959" s="457"/>
      <c r="BZ959" s="363"/>
      <c r="CA959" s="363"/>
      <c r="CB959" s="363"/>
      <c r="CC959" s="363"/>
    </row>
    <row r="960" spans="1:82" ht="22.5" customHeight="1">
      <c r="B960" s="442" t="s">
        <v>6617</v>
      </c>
      <c r="C960" s="443" t="s">
        <v>6611</v>
      </c>
      <c r="D960" s="439" t="s">
        <v>4849</v>
      </c>
      <c r="E960" s="404" t="s">
        <v>5362</v>
      </c>
      <c r="F960" s="405" t="s">
        <v>228</v>
      </c>
      <c r="G960" s="324" t="s">
        <v>1911</v>
      </c>
      <c r="H960" s="324" t="s">
        <v>6577</v>
      </c>
      <c r="I960" s="326" t="s">
        <v>383</v>
      </c>
      <c r="J960" s="326" t="s">
        <v>399</v>
      </c>
      <c r="K960" s="324" t="s">
        <v>247</v>
      </c>
      <c r="L960" s="392" t="s">
        <v>210</v>
      </c>
      <c r="M960" s="324" t="s">
        <v>10767</v>
      </c>
      <c r="N960" s="444" t="s">
        <v>521</v>
      </c>
      <c r="O960" s="324">
        <v>100</v>
      </c>
      <c r="P960" s="458">
        <v>524</v>
      </c>
      <c r="Q960" s="459">
        <v>524</v>
      </c>
      <c r="R960" s="420" t="s">
        <v>6606</v>
      </c>
      <c r="S960" s="394" t="s">
        <v>12291</v>
      </c>
      <c r="T960" s="394" t="s">
        <v>12292</v>
      </c>
      <c r="U960" s="394" t="s">
        <v>16338</v>
      </c>
      <c r="V960" s="394" t="s">
        <v>12293</v>
      </c>
      <c r="W960" s="460" t="s">
        <v>647</v>
      </c>
      <c r="X960" s="394" t="s">
        <v>12294</v>
      </c>
      <c r="Y960" s="394" t="s">
        <v>11486</v>
      </c>
      <c r="Z960" s="394" t="s">
        <v>11487</v>
      </c>
      <c r="AA960" s="394" t="s">
        <v>11488</v>
      </c>
      <c r="AB960" s="416"/>
      <c r="AC960" s="416"/>
      <c r="AD960" s="447" t="s">
        <v>6928</v>
      </c>
      <c r="AE960" s="499" t="s">
        <v>6925</v>
      </c>
      <c r="AF960" s="462">
        <v>43119</v>
      </c>
      <c r="AG960" s="748">
        <v>43175</v>
      </c>
      <c r="AH960" s="417" t="s">
        <v>210</v>
      </c>
      <c r="AI960" s="392" t="s">
        <v>210</v>
      </c>
      <c r="AJ960" s="392" t="s">
        <v>210</v>
      </c>
      <c r="AK960" s="340" t="s">
        <v>210</v>
      </c>
      <c r="AL960" s="417" t="s">
        <v>210</v>
      </c>
      <c r="AM960" s="392" t="s">
        <v>210</v>
      </c>
      <c r="AN960" s="392" t="s">
        <v>210</v>
      </c>
      <c r="AO960" s="341" t="s">
        <v>210</v>
      </c>
      <c r="AP960" s="418" t="s">
        <v>210</v>
      </c>
      <c r="AQ960" s="433" t="s">
        <v>4547</v>
      </c>
      <c r="AR960" s="452">
        <v>679</v>
      </c>
      <c r="AS960" s="324">
        <v>150</v>
      </c>
      <c r="AT960" s="432">
        <v>1.3</v>
      </c>
      <c r="AU960" s="432" t="s">
        <v>3494</v>
      </c>
      <c r="AV960" s="432">
        <v>1.2</v>
      </c>
      <c r="AW960" s="490" t="s">
        <v>3494</v>
      </c>
      <c r="AX960" s="417" t="s">
        <v>210</v>
      </c>
      <c r="AY960" s="429" t="s">
        <v>622</v>
      </c>
      <c r="AZ960" s="405" t="s">
        <v>4083</v>
      </c>
      <c r="BA960" s="324" t="s">
        <v>210</v>
      </c>
      <c r="BB960" s="324" t="s">
        <v>210</v>
      </c>
      <c r="BC960" s="324" t="s">
        <v>3555</v>
      </c>
      <c r="BD960" s="324" t="s">
        <v>3494</v>
      </c>
      <c r="BE960" s="324" t="s">
        <v>3555</v>
      </c>
      <c r="BF960" s="324" t="s">
        <v>3494</v>
      </c>
      <c r="BG960" s="324" t="s">
        <v>3476</v>
      </c>
      <c r="BH960" s="426" t="s">
        <v>6579</v>
      </c>
      <c r="BI960" s="453">
        <v>4.5</v>
      </c>
      <c r="BJ960" s="427" t="s">
        <v>210</v>
      </c>
      <c r="BK960" s="412"/>
      <c r="BL960" s="413"/>
      <c r="BM960" s="414"/>
      <c r="BN960" s="453" t="s">
        <v>622</v>
      </c>
      <c r="BO960" s="464"/>
      <c r="BP960" s="426" t="s">
        <v>210</v>
      </c>
      <c r="BQ960" s="456" t="s">
        <v>6623</v>
      </c>
      <c r="BR960" s="418" t="s">
        <v>210</v>
      </c>
      <c r="BS960" s="342" t="s">
        <v>622</v>
      </c>
      <c r="BT960" s="342" t="s">
        <v>210</v>
      </c>
      <c r="BU960" s="342" t="s">
        <v>210</v>
      </c>
      <c r="BV960" s="342" t="s">
        <v>210</v>
      </c>
      <c r="BW960" s="341" t="s">
        <v>210</v>
      </c>
      <c r="BX960" s="361"/>
      <c r="BY960" s="457"/>
      <c r="BZ960" s="363"/>
      <c r="CA960" s="363"/>
      <c r="CB960" s="363"/>
      <c r="CC960" s="363"/>
    </row>
    <row r="961" spans="1:82" ht="22.5" customHeight="1">
      <c r="B961" s="442" t="s">
        <v>6634</v>
      </c>
      <c r="C961" s="443" t="s">
        <v>6633</v>
      </c>
      <c r="D961" s="439" t="s">
        <v>4849</v>
      </c>
      <c r="E961" s="404" t="s">
        <v>5362</v>
      </c>
      <c r="F961" s="405" t="s">
        <v>228</v>
      </c>
      <c r="G961" s="324" t="s">
        <v>1911</v>
      </c>
      <c r="H961" s="324" t="s">
        <v>6577</v>
      </c>
      <c r="I961" s="326" t="s">
        <v>383</v>
      </c>
      <c r="J961" s="324" t="s">
        <v>6632</v>
      </c>
      <c r="K961" s="326" t="s">
        <v>223</v>
      </c>
      <c r="L961" s="392" t="s">
        <v>210</v>
      </c>
      <c r="M961" s="324" t="s">
        <v>10767</v>
      </c>
      <c r="N961" s="444" t="s">
        <v>6671</v>
      </c>
      <c r="O961" s="324">
        <v>100</v>
      </c>
      <c r="P961" s="816">
        <f>Q961+350</f>
        <v>2550</v>
      </c>
      <c r="Q961" s="817">
        <v>2200</v>
      </c>
      <c r="R961" s="420" t="s">
        <v>6606</v>
      </c>
      <c r="S961" s="394" t="s">
        <v>12291</v>
      </c>
      <c r="T961" s="394" t="s">
        <v>12292</v>
      </c>
      <c r="U961" s="394" t="s">
        <v>16338</v>
      </c>
      <c r="V961" s="394" t="s">
        <v>12293</v>
      </c>
      <c r="W961" s="460" t="s">
        <v>647</v>
      </c>
      <c r="X961" s="394" t="s">
        <v>12294</v>
      </c>
      <c r="Y961" s="394" t="s">
        <v>11486</v>
      </c>
      <c r="Z961" s="394" t="s">
        <v>11487</v>
      </c>
      <c r="AA961" s="394" t="s">
        <v>11488</v>
      </c>
      <c r="AB961" s="416"/>
      <c r="AC961" s="416"/>
      <c r="AD961" s="447" t="s">
        <v>6928</v>
      </c>
      <c r="AE961" s="499" t="s">
        <v>3278</v>
      </c>
      <c r="AF961" s="462">
        <v>43133</v>
      </c>
      <c r="AG961" s="748">
        <v>43202</v>
      </c>
      <c r="AH961" s="417" t="s">
        <v>210</v>
      </c>
      <c r="AI961" s="392" t="s">
        <v>210</v>
      </c>
      <c r="AJ961" s="392" t="s">
        <v>210</v>
      </c>
      <c r="AK961" s="340" t="s">
        <v>210</v>
      </c>
      <c r="AL961" s="417" t="s">
        <v>210</v>
      </c>
      <c r="AM961" s="392" t="s">
        <v>210</v>
      </c>
      <c r="AN961" s="392" t="s">
        <v>210</v>
      </c>
      <c r="AO961" s="341" t="s">
        <v>210</v>
      </c>
      <c r="AP961" s="418" t="s">
        <v>210</v>
      </c>
      <c r="AQ961" s="433" t="s">
        <v>4547</v>
      </c>
      <c r="AR961" s="452">
        <v>1110</v>
      </c>
      <c r="AS961" s="324">
        <v>150</v>
      </c>
      <c r="AT961" s="432">
        <v>1</v>
      </c>
      <c r="AU961" s="432" t="s">
        <v>3494</v>
      </c>
      <c r="AV961" s="432">
        <v>1.5</v>
      </c>
      <c r="AW961" s="490" t="s">
        <v>3494</v>
      </c>
      <c r="AX961" s="417" t="s">
        <v>210</v>
      </c>
      <c r="AY961" s="455" t="s">
        <v>210</v>
      </c>
      <c r="AZ961" s="405" t="s">
        <v>4083</v>
      </c>
      <c r="BA961" s="324" t="s">
        <v>210</v>
      </c>
      <c r="BB961" s="324" t="s">
        <v>210</v>
      </c>
      <c r="BC961" s="324" t="s">
        <v>3555</v>
      </c>
      <c r="BD961" s="324" t="s">
        <v>3494</v>
      </c>
      <c r="BE961" s="324" t="s">
        <v>3555</v>
      </c>
      <c r="BF961" s="324" t="s">
        <v>3494</v>
      </c>
      <c r="BG961" s="324" t="s">
        <v>3476</v>
      </c>
      <c r="BH961" s="426" t="s">
        <v>6579</v>
      </c>
      <c r="BI961" s="453">
        <v>4.5</v>
      </c>
      <c r="BJ961" s="427" t="s">
        <v>210</v>
      </c>
      <c r="BK961" s="412"/>
      <c r="BL961" s="413"/>
      <c r="BM961" s="414"/>
      <c r="BN961" s="453" t="s">
        <v>622</v>
      </c>
      <c r="BO961" s="464"/>
      <c r="BP961" s="426" t="s">
        <v>210</v>
      </c>
      <c r="BQ961" s="456" t="s">
        <v>6623</v>
      </c>
      <c r="BR961" s="418" t="s">
        <v>210</v>
      </c>
      <c r="BS961" s="342" t="s">
        <v>622</v>
      </c>
      <c r="BT961" s="342" t="s">
        <v>210</v>
      </c>
      <c r="BU961" s="342" t="s">
        <v>210</v>
      </c>
      <c r="BV961" s="342" t="s">
        <v>210</v>
      </c>
      <c r="BW961" s="341" t="s">
        <v>210</v>
      </c>
      <c r="BX961" s="361"/>
      <c r="BY961" s="457"/>
      <c r="BZ961" s="363"/>
      <c r="CA961" s="363"/>
      <c r="CB961" s="363"/>
      <c r="CC961" s="363"/>
    </row>
    <row r="962" spans="1:82" ht="22.5" customHeight="1">
      <c r="B962" s="442" t="s">
        <v>6673</v>
      </c>
      <c r="C962" s="443" t="s">
        <v>6672</v>
      </c>
      <c r="D962" s="439" t="s">
        <v>4849</v>
      </c>
      <c r="E962" s="404" t="s">
        <v>5362</v>
      </c>
      <c r="F962" s="405" t="s">
        <v>228</v>
      </c>
      <c r="G962" s="324" t="s">
        <v>1911</v>
      </c>
      <c r="H962" s="324" t="s">
        <v>6577</v>
      </c>
      <c r="I962" s="326" t="s">
        <v>383</v>
      </c>
      <c r="J962" s="324" t="s">
        <v>6632</v>
      </c>
      <c r="K962" s="326" t="s">
        <v>223</v>
      </c>
      <c r="L962" s="392" t="s">
        <v>210</v>
      </c>
      <c r="M962" s="324" t="s">
        <v>10767</v>
      </c>
      <c r="N962" s="444" t="s">
        <v>6671</v>
      </c>
      <c r="O962" s="324">
        <v>100</v>
      </c>
      <c r="P962" s="816">
        <f>Q962+360</f>
        <v>1220</v>
      </c>
      <c r="Q962" s="817">
        <v>860</v>
      </c>
      <c r="R962" s="420" t="s">
        <v>6606</v>
      </c>
      <c r="S962" s="394" t="s">
        <v>12291</v>
      </c>
      <c r="T962" s="394" t="s">
        <v>12292</v>
      </c>
      <c r="U962" s="394" t="s">
        <v>16338</v>
      </c>
      <c r="V962" s="394" t="s">
        <v>12293</v>
      </c>
      <c r="W962" s="460" t="s">
        <v>647</v>
      </c>
      <c r="X962" s="394" t="s">
        <v>12294</v>
      </c>
      <c r="Y962" s="394" t="s">
        <v>11486</v>
      </c>
      <c r="Z962" s="394" t="s">
        <v>11487</v>
      </c>
      <c r="AA962" s="394" t="s">
        <v>11488</v>
      </c>
      <c r="AB962" s="416"/>
      <c r="AC962" s="416"/>
      <c r="AD962" s="447" t="s">
        <v>6928</v>
      </c>
      <c r="AE962" s="499" t="s">
        <v>3278</v>
      </c>
      <c r="AF962" s="462">
        <v>43133</v>
      </c>
      <c r="AG962" s="748">
        <v>43202</v>
      </c>
      <c r="AH962" s="417" t="s">
        <v>210</v>
      </c>
      <c r="AI962" s="392" t="s">
        <v>210</v>
      </c>
      <c r="AJ962" s="392" t="s">
        <v>210</v>
      </c>
      <c r="AK962" s="340" t="s">
        <v>210</v>
      </c>
      <c r="AL962" s="417" t="s">
        <v>210</v>
      </c>
      <c r="AM962" s="392" t="s">
        <v>210</v>
      </c>
      <c r="AN962" s="392" t="s">
        <v>210</v>
      </c>
      <c r="AO962" s="341" t="s">
        <v>210</v>
      </c>
      <c r="AP962" s="418" t="s">
        <v>210</v>
      </c>
      <c r="AQ962" s="433" t="s">
        <v>4547</v>
      </c>
      <c r="AR962" s="452">
        <v>2786</v>
      </c>
      <c r="AS962" s="324">
        <v>150</v>
      </c>
      <c r="AT962" s="432">
        <v>1</v>
      </c>
      <c r="AU962" s="432" t="s">
        <v>3494</v>
      </c>
      <c r="AV962" s="432">
        <v>1.5</v>
      </c>
      <c r="AW962" s="490" t="s">
        <v>3494</v>
      </c>
      <c r="AX962" s="417" t="s">
        <v>210</v>
      </c>
      <c r="AY962" s="455" t="s">
        <v>210</v>
      </c>
      <c r="AZ962" s="405" t="s">
        <v>4083</v>
      </c>
      <c r="BA962" s="324" t="s">
        <v>210</v>
      </c>
      <c r="BB962" s="324" t="s">
        <v>210</v>
      </c>
      <c r="BC962" s="324" t="s">
        <v>3555</v>
      </c>
      <c r="BD962" s="324" t="s">
        <v>3494</v>
      </c>
      <c r="BE962" s="324" t="s">
        <v>3555</v>
      </c>
      <c r="BF962" s="324" t="s">
        <v>3494</v>
      </c>
      <c r="BG962" s="324" t="s">
        <v>3476</v>
      </c>
      <c r="BH962" s="426" t="s">
        <v>6579</v>
      </c>
      <c r="BI962" s="453">
        <v>4.5</v>
      </c>
      <c r="BJ962" s="427" t="s">
        <v>210</v>
      </c>
      <c r="BK962" s="412"/>
      <c r="BL962" s="413"/>
      <c r="BM962" s="414"/>
      <c r="BN962" s="453" t="s">
        <v>622</v>
      </c>
      <c r="BO962" s="464"/>
      <c r="BP962" s="426" t="s">
        <v>210</v>
      </c>
      <c r="BQ962" s="456" t="s">
        <v>6623</v>
      </c>
      <c r="BR962" s="418" t="s">
        <v>210</v>
      </c>
      <c r="BS962" s="342" t="s">
        <v>622</v>
      </c>
      <c r="BT962" s="342" t="s">
        <v>210</v>
      </c>
      <c r="BU962" s="342" t="s">
        <v>210</v>
      </c>
      <c r="BV962" s="342" t="s">
        <v>210</v>
      </c>
      <c r="BW962" s="341" t="s">
        <v>210</v>
      </c>
      <c r="BX962" s="361"/>
      <c r="BY962" s="457"/>
      <c r="BZ962" s="363"/>
      <c r="CA962" s="363"/>
      <c r="CB962" s="363"/>
      <c r="CC962" s="363"/>
    </row>
    <row r="963" spans="1:82" ht="22.5" customHeight="1">
      <c r="B963" s="442" t="s">
        <v>6933</v>
      </c>
      <c r="C963" s="443" t="s">
        <v>6674</v>
      </c>
      <c r="D963" s="439" t="s">
        <v>4849</v>
      </c>
      <c r="E963" s="404" t="s">
        <v>5362</v>
      </c>
      <c r="F963" s="405" t="s">
        <v>228</v>
      </c>
      <c r="G963" s="324" t="s">
        <v>1911</v>
      </c>
      <c r="H963" s="324" t="s">
        <v>6577</v>
      </c>
      <c r="I963" s="326" t="s">
        <v>383</v>
      </c>
      <c r="J963" s="326" t="s">
        <v>399</v>
      </c>
      <c r="K963" s="324" t="s">
        <v>6984</v>
      </c>
      <c r="L963" s="392" t="s">
        <v>210</v>
      </c>
      <c r="M963" s="324" t="s">
        <v>10767</v>
      </c>
      <c r="N963" s="444" t="s">
        <v>438</v>
      </c>
      <c r="O963" s="324">
        <v>100</v>
      </c>
      <c r="P963" s="816">
        <v>300</v>
      </c>
      <c r="Q963" s="817">
        <v>300</v>
      </c>
      <c r="R963" s="420" t="s">
        <v>6606</v>
      </c>
      <c r="S963" s="394" t="s">
        <v>12291</v>
      </c>
      <c r="T963" s="394" t="s">
        <v>12292</v>
      </c>
      <c r="U963" s="394" t="s">
        <v>16338</v>
      </c>
      <c r="V963" s="394" t="s">
        <v>12293</v>
      </c>
      <c r="W963" s="460" t="s">
        <v>647</v>
      </c>
      <c r="X963" s="394" t="s">
        <v>12294</v>
      </c>
      <c r="Y963" s="394" t="s">
        <v>11486</v>
      </c>
      <c r="Z963" s="394" t="s">
        <v>11487</v>
      </c>
      <c r="AA963" s="394" t="s">
        <v>11488</v>
      </c>
      <c r="AB963" s="416"/>
      <c r="AC963" s="416"/>
      <c r="AD963" s="447" t="s">
        <v>6928</v>
      </c>
      <c r="AE963" s="499" t="s">
        <v>3278</v>
      </c>
      <c r="AF963" s="462">
        <v>43178</v>
      </c>
      <c r="AG963" s="748">
        <v>43194</v>
      </c>
      <c r="AH963" s="417" t="s">
        <v>210</v>
      </c>
      <c r="AI963" s="392" t="s">
        <v>210</v>
      </c>
      <c r="AJ963" s="392" t="s">
        <v>210</v>
      </c>
      <c r="AK963" s="340" t="s">
        <v>210</v>
      </c>
      <c r="AL963" s="417" t="s">
        <v>210</v>
      </c>
      <c r="AM963" s="392" t="s">
        <v>210</v>
      </c>
      <c r="AN963" s="392" t="s">
        <v>210</v>
      </c>
      <c r="AO963" s="341" t="s">
        <v>210</v>
      </c>
      <c r="AP963" s="418" t="s">
        <v>210</v>
      </c>
      <c r="AQ963" s="433" t="s">
        <v>4547</v>
      </c>
      <c r="AR963" s="452">
        <v>470</v>
      </c>
      <c r="AS963" s="324">
        <v>150</v>
      </c>
      <c r="AT963" s="432">
        <v>1</v>
      </c>
      <c r="AU963" s="432" t="s">
        <v>3494</v>
      </c>
      <c r="AV963" s="432">
        <v>1.3</v>
      </c>
      <c r="AW963" s="490" t="s">
        <v>3494</v>
      </c>
      <c r="AX963" s="417" t="s">
        <v>210</v>
      </c>
      <c r="AY963" s="455" t="s">
        <v>210</v>
      </c>
      <c r="AZ963" s="405" t="s">
        <v>4083</v>
      </c>
      <c r="BA963" s="324" t="s">
        <v>210</v>
      </c>
      <c r="BB963" s="324" t="s">
        <v>210</v>
      </c>
      <c r="BC963" s="324" t="s">
        <v>3555</v>
      </c>
      <c r="BD963" s="324" t="s">
        <v>3494</v>
      </c>
      <c r="BE963" s="324" t="s">
        <v>3555</v>
      </c>
      <c r="BF963" s="324" t="s">
        <v>3494</v>
      </c>
      <c r="BG963" s="324" t="s">
        <v>3476</v>
      </c>
      <c r="BH963" s="426" t="s">
        <v>6579</v>
      </c>
      <c r="BI963" s="453">
        <v>4.5</v>
      </c>
      <c r="BJ963" s="427" t="s">
        <v>210</v>
      </c>
      <c r="BK963" s="412"/>
      <c r="BL963" s="413"/>
      <c r="BM963" s="414"/>
      <c r="BN963" s="453" t="s">
        <v>622</v>
      </c>
      <c r="BO963" s="464"/>
      <c r="BP963" s="426" t="s">
        <v>210</v>
      </c>
      <c r="BQ963" s="456" t="s">
        <v>6623</v>
      </c>
      <c r="BR963" s="418" t="s">
        <v>210</v>
      </c>
      <c r="BS963" s="342" t="s">
        <v>622</v>
      </c>
      <c r="BT963" s="342" t="s">
        <v>210</v>
      </c>
      <c r="BU963" s="342" t="s">
        <v>210</v>
      </c>
      <c r="BV963" s="342" t="s">
        <v>210</v>
      </c>
      <c r="BW963" s="341" t="s">
        <v>210</v>
      </c>
      <c r="BX963" s="361"/>
      <c r="BY963" s="457"/>
      <c r="BZ963" s="363"/>
      <c r="CA963" s="363"/>
      <c r="CB963" s="363"/>
      <c r="CC963" s="363"/>
    </row>
    <row r="964" spans="1:82" s="465" customFormat="1" ht="22.5" customHeight="1">
      <c r="A964" s="287"/>
      <c r="B964" s="749">
        <v>180021</v>
      </c>
      <c r="C964" s="781" t="s">
        <v>6602</v>
      </c>
      <c r="D964" s="751" t="s">
        <v>6779</v>
      </c>
      <c r="E964" s="752" t="s">
        <v>5363</v>
      </c>
      <c r="F964" s="753" t="s">
        <v>1509</v>
      </c>
      <c r="G964" s="754" t="s">
        <v>6603</v>
      </c>
      <c r="H964" s="754" t="s">
        <v>6691</v>
      </c>
      <c r="I964" s="754" t="s">
        <v>6604</v>
      </c>
      <c r="J964" s="662" t="s">
        <v>399</v>
      </c>
      <c r="K964" s="754" t="s">
        <v>247</v>
      </c>
      <c r="L964" s="676" t="s">
        <v>210</v>
      </c>
      <c r="M964" s="754"/>
      <c r="N964" s="755"/>
      <c r="O964" s="754"/>
      <c r="P964" s="782"/>
      <c r="Q964" s="783"/>
      <c r="R964" s="756" t="s">
        <v>6605</v>
      </c>
      <c r="S964" s="708" t="s">
        <v>12289</v>
      </c>
      <c r="T964" s="708"/>
      <c r="U964" s="708"/>
      <c r="V964" s="708" t="s">
        <v>12290</v>
      </c>
      <c r="W964" s="757" t="s">
        <v>6605</v>
      </c>
      <c r="X964" s="708" t="s">
        <v>12289</v>
      </c>
      <c r="Y964" s="708"/>
      <c r="Z964" s="708"/>
      <c r="AA964" s="708" t="s">
        <v>12290</v>
      </c>
      <c r="AB964" s="758"/>
      <c r="AC964" s="758"/>
      <c r="AD964" s="759"/>
      <c r="AE964" s="760"/>
      <c r="AF964" s="846">
        <v>43140</v>
      </c>
      <c r="AG964" s="674" t="s">
        <v>10514</v>
      </c>
      <c r="AH964" s="675" t="s">
        <v>210</v>
      </c>
      <c r="AI964" s="676" t="s">
        <v>210</v>
      </c>
      <c r="AJ964" s="676" t="s">
        <v>210</v>
      </c>
      <c r="AK964" s="677" t="s">
        <v>210</v>
      </c>
      <c r="AL964" s="675" t="s">
        <v>210</v>
      </c>
      <c r="AM964" s="676" t="s">
        <v>210</v>
      </c>
      <c r="AN964" s="676" t="s">
        <v>210</v>
      </c>
      <c r="AO964" s="678" t="s">
        <v>210</v>
      </c>
      <c r="AP964" s="784" t="s">
        <v>210</v>
      </c>
      <c r="AQ964" s="762" t="s">
        <v>4547</v>
      </c>
      <c r="AR964" s="763"/>
      <c r="AS964" s="754">
        <v>130</v>
      </c>
      <c r="AT964" s="785"/>
      <c r="AU964" s="785" t="s">
        <v>5246</v>
      </c>
      <c r="AV964" s="785"/>
      <c r="AW964" s="764" t="s">
        <v>6782</v>
      </c>
      <c r="AX964" s="675" t="s">
        <v>210</v>
      </c>
      <c r="AY964" s="772" t="s">
        <v>210</v>
      </c>
      <c r="AZ964" s="753" t="s">
        <v>4083</v>
      </c>
      <c r="BA964" s="754" t="s">
        <v>210</v>
      </c>
      <c r="BB964" s="754" t="s">
        <v>210</v>
      </c>
      <c r="BC964" s="754" t="s">
        <v>6692</v>
      </c>
      <c r="BD964" s="754" t="s">
        <v>3482</v>
      </c>
      <c r="BE964" s="754" t="s">
        <v>6693</v>
      </c>
      <c r="BF964" s="754" t="s">
        <v>5246</v>
      </c>
      <c r="BG964" s="754" t="s">
        <v>6694</v>
      </c>
      <c r="BH964" s="767" t="s">
        <v>5079</v>
      </c>
      <c r="BI964" s="765">
        <v>5</v>
      </c>
      <c r="BJ964" s="768" t="s">
        <v>210</v>
      </c>
      <c r="BK964" s="769"/>
      <c r="BL964" s="766"/>
      <c r="BM964" s="770"/>
      <c r="BN964" s="765"/>
      <c r="BO964" s="771"/>
      <c r="BP964" s="767" t="s">
        <v>210</v>
      </c>
      <c r="BQ964" s="773" t="s">
        <v>917</v>
      </c>
      <c r="BR964" s="784" t="s">
        <v>210</v>
      </c>
      <c r="BS964" s="688" t="s">
        <v>622</v>
      </c>
      <c r="BT964" s="688" t="s">
        <v>210</v>
      </c>
      <c r="BU964" s="688" t="s">
        <v>210</v>
      </c>
      <c r="BV964" s="688" t="s">
        <v>210</v>
      </c>
      <c r="BW964" s="678" t="s">
        <v>210</v>
      </c>
      <c r="BX964" s="688"/>
      <c r="BY964" s="774" t="s">
        <v>6783</v>
      </c>
      <c r="BZ964" s="483"/>
      <c r="CA964" s="483"/>
      <c r="CB964" s="483"/>
      <c r="CC964" s="483"/>
      <c r="CD964" s="484"/>
    </row>
    <row r="965" spans="1:82" ht="22.5" customHeight="1">
      <c r="B965" s="442">
        <v>180022</v>
      </c>
      <c r="C965" s="443" t="s">
        <v>6595</v>
      </c>
      <c r="D965" s="467" t="s">
        <v>6218</v>
      </c>
      <c r="E965" s="404" t="s">
        <v>5362</v>
      </c>
      <c r="F965" s="405" t="s">
        <v>6596</v>
      </c>
      <c r="G965" s="324" t="s">
        <v>5089</v>
      </c>
      <c r="H965" s="324" t="s">
        <v>6597</v>
      </c>
      <c r="I965" s="326" t="s">
        <v>383</v>
      </c>
      <c r="J965" s="326" t="s">
        <v>399</v>
      </c>
      <c r="K965" s="324" t="s">
        <v>9173</v>
      </c>
      <c r="L965" s="342">
        <v>30</v>
      </c>
      <c r="M965" s="324" t="s">
        <v>10767</v>
      </c>
      <c r="N965" s="444" t="s">
        <v>438</v>
      </c>
      <c r="O965" s="324">
        <v>150</v>
      </c>
      <c r="P965" s="458">
        <v>3220</v>
      </c>
      <c r="Q965" s="459">
        <v>3220</v>
      </c>
      <c r="R965" s="420" t="s">
        <v>4032</v>
      </c>
      <c r="S965" s="394" t="s">
        <v>12286</v>
      </c>
      <c r="T965" s="394" t="s">
        <v>12288</v>
      </c>
      <c r="U965" s="394" t="s">
        <v>16317</v>
      </c>
      <c r="V965" s="394" t="s">
        <v>12287</v>
      </c>
      <c r="W965" s="460" t="s">
        <v>6598</v>
      </c>
      <c r="X965" s="394" t="s">
        <v>12283</v>
      </c>
      <c r="Y965" s="394" t="s">
        <v>12284</v>
      </c>
      <c r="Z965" s="394" t="s">
        <v>16320</v>
      </c>
      <c r="AA965" s="394" t="s">
        <v>12285</v>
      </c>
      <c r="AB965" s="416"/>
      <c r="AC965" s="416"/>
      <c r="AD965" s="334" t="s">
        <v>2326</v>
      </c>
      <c r="AE965" s="499" t="s">
        <v>6920</v>
      </c>
      <c r="AF965" s="462">
        <v>43119</v>
      </c>
      <c r="AG965" s="748">
        <v>43186</v>
      </c>
      <c r="AH965" s="417" t="s">
        <v>210</v>
      </c>
      <c r="AI965" s="392" t="s">
        <v>210</v>
      </c>
      <c r="AJ965" s="392" t="s">
        <v>210</v>
      </c>
      <c r="AK965" s="340" t="s">
        <v>210</v>
      </c>
      <c r="AL965" s="417" t="s">
        <v>210</v>
      </c>
      <c r="AM965" s="392" t="s">
        <v>210</v>
      </c>
      <c r="AN965" s="392" t="s">
        <v>210</v>
      </c>
      <c r="AO965" s="341" t="s">
        <v>210</v>
      </c>
      <c r="AP965" s="418" t="s">
        <v>210</v>
      </c>
      <c r="AQ965" s="433" t="s">
        <v>4547</v>
      </c>
      <c r="AR965" s="452">
        <v>4178</v>
      </c>
      <c r="AS965" s="324">
        <v>100</v>
      </c>
      <c r="AT965" s="432">
        <v>1</v>
      </c>
      <c r="AU965" s="432" t="s">
        <v>5246</v>
      </c>
      <c r="AV965" s="432">
        <v>1.5</v>
      </c>
      <c r="AW965" s="490" t="s">
        <v>5487</v>
      </c>
      <c r="AX965" s="417" t="s">
        <v>210</v>
      </c>
      <c r="AY965" s="455" t="s">
        <v>210</v>
      </c>
      <c r="AZ965" s="405" t="s">
        <v>622</v>
      </c>
      <c r="BA965" s="324" t="s">
        <v>6599</v>
      </c>
      <c r="BB965" s="324" t="s">
        <v>5246</v>
      </c>
      <c r="BC965" s="324" t="s">
        <v>6600</v>
      </c>
      <c r="BD965" s="324" t="s">
        <v>3372</v>
      </c>
      <c r="BE965" s="324" t="s">
        <v>6601</v>
      </c>
      <c r="BF965" s="324" t="s">
        <v>6579</v>
      </c>
      <c r="BG965" s="324" t="s">
        <v>3558</v>
      </c>
      <c r="BH965" s="426" t="s">
        <v>5905</v>
      </c>
      <c r="BI965" s="453">
        <v>0.7</v>
      </c>
      <c r="BJ965" s="427" t="s">
        <v>6669</v>
      </c>
      <c r="BK965" s="412"/>
      <c r="BL965" s="413"/>
      <c r="BM965" s="414"/>
      <c r="BN965" s="453" t="s">
        <v>622</v>
      </c>
      <c r="BO965" s="464"/>
      <c r="BP965" s="455" t="s">
        <v>622</v>
      </c>
      <c r="BQ965" s="456" t="s">
        <v>5862</v>
      </c>
      <c r="BR965" s="342" t="s">
        <v>210</v>
      </c>
      <c r="BS965" s="342" t="s">
        <v>6670</v>
      </c>
      <c r="BT965" s="342" t="s">
        <v>210</v>
      </c>
      <c r="BU965" s="342" t="s">
        <v>210</v>
      </c>
      <c r="BV965" s="342" t="s">
        <v>210</v>
      </c>
      <c r="BW965" s="341" t="s">
        <v>210</v>
      </c>
      <c r="BX965" s="361"/>
      <c r="BY965" s="888" t="s">
        <v>7147</v>
      </c>
      <c r="BZ965" s="889"/>
      <c r="CA965" s="889"/>
      <c r="CB965" s="889"/>
      <c r="CC965" s="889"/>
    </row>
    <row r="966" spans="1:82" ht="22.5" customHeight="1">
      <c r="B966" s="903" t="s">
        <v>10836</v>
      </c>
      <c r="C966" s="443" t="s">
        <v>6557</v>
      </c>
      <c r="D966" s="467" t="s">
        <v>4853</v>
      </c>
      <c r="E966" s="404" t="s">
        <v>6974</v>
      </c>
      <c r="F966" s="405" t="s">
        <v>226</v>
      </c>
      <c r="G966" s="324" t="s">
        <v>6558</v>
      </c>
      <c r="H966" s="324" t="s">
        <v>6559</v>
      </c>
      <c r="I966" s="326" t="s">
        <v>383</v>
      </c>
      <c r="J966" s="324" t="s">
        <v>6560</v>
      </c>
      <c r="K966" s="324" t="s">
        <v>6561</v>
      </c>
      <c r="L966" s="342">
        <v>36.9</v>
      </c>
      <c r="M966" s="324" t="s">
        <v>10778</v>
      </c>
      <c r="N966" s="444" t="s">
        <v>438</v>
      </c>
      <c r="O966" s="324">
        <v>30</v>
      </c>
      <c r="P966" s="458">
        <v>6974.7</v>
      </c>
      <c r="Q966" s="459">
        <v>3151.2</v>
      </c>
      <c r="R966" s="420" t="s">
        <v>5794</v>
      </c>
      <c r="S966" s="394" t="s">
        <v>12279</v>
      </c>
      <c r="T966" s="394" t="s">
        <v>12281</v>
      </c>
      <c r="U966" s="394" t="s">
        <v>12280</v>
      </c>
      <c r="V966" s="394" t="s">
        <v>12282</v>
      </c>
      <c r="W966" s="332" t="s">
        <v>432</v>
      </c>
      <c r="X966" s="331" t="s">
        <v>11079</v>
      </c>
      <c r="Y966" s="331" t="s">
        <v>11080</v>
      </c>
      <c r="Z966" s="331" t="s">
        <v>11080</v>
      </c>
      <c r="AA966" s="331" t="s">
        <v>6574</v>
      </c>
      <c r="AB966" s="416"/>
      <c r="AC966" s="416"/>
      <c r="AD966" s="334" t="s">
        <v>4294</v>
      </c>
      <c r="AE966" s="499" t="s">
        <v>6202</v>
      </c>
      <c r="AF966" s="462">
        <v>43116</v>
      </c>
      <c r="AG966" s="748">
        <v>43238</v>
      </c>
      <c r="AH966" s="453">
        <v>47.4</v>
      </c>
      <c r="AI966" s="432">
        <v>48.5</v>
      </c>
      <c r="AJ966" s="432">
        <v>27.5</v>
      </c>
      <c r="AK966" s="455">
        <v>123.4</v>
      </c>
      <c r="AL966" s="417" t="s">
        <v>210</v>
      </c>
      <c r="AM966" s="392" t="s">
        <v>210</v>
      </c>
      <c r="AN966" s="392" t="s">
        <v>210</v>
      </c>
      <c r="AO966" s="341" t="s">
        <v>210</v>
      </c>
      <c r="AP966" s="418" t="s">
        <v>210</v>
      </c>
      <c r="AQ966" s="433" t="s">
        <v>4547</v>
      </c>
      <c r="AR966" s="452">
        <v>4272.6899999999996</v>
      </c>
      <c r="AS966" s="324">
        <v>200</v>
      </c>
      <c r="AT966" s="432">
        <v>1.5</v>
      </c>
      <c r="AU966" s="432" t="s">
        <v>5246</v>
      </c>
      <c r="AV966" s="432">
        <v>1.4</v>
      </c>
      <c r="AW966" s="490" t="s">
        <v>7219</v>
      </c>
      <c r="AX966" s="453" t="s">
        <v>622</v>
      </c>
      <c r="AY966" s="455" t="s">
        <v>210</v>
      </c>
      <c r="AZ966" s="405" t="s">
        <v>4083</v>
      </c>
      <c r="BA966" s="324" t="s">
        <v>3458</v>
      </c>
      <c r="BB966" s="324" t="s">
        <v>3372</v>
      </c>
      <c r="BC966" s="324" t="s">
        <v>3555</v>
      </c>
      <c r="BD966" s="324" t="s">
        <v>7220</v>
      </c>
      <c r="BE966" s="324" t="s">
        <v>3475</v>
      </c>
      <c r="BF966" s="324" t="s">
        <v>7220</v>
      </c>
      <c r="BG966" s="324" t="s">
        <v>3558</v>
      </c>
      <c r="BH966" s="426" t="s">
        <v>7221</v>
      </c>
      <c r="BI966" s="453">
        <v>1.5</v>
      </c>
      <c r="BJ966" s="427" t="s">
        <v>210</v>
      </c>
      <c r="BK966" s="412"/>
      <c r="BL966" s="413"/>
      <c r="BM966" s="414"/>
      <c r="BN966" s="453" t="s">
        <v>622</v>
      </c>
      <c r="BO966" s="464"/>
      <c r="BP966" s="455" t="s">
        <v>622</v>
      </c>
      <c r="BQ966" s="456" t="s">
        <v>5862</v>
      </c>
      <c r="BR966" s="342" t="s">
        <v>210</v>
      </c>
      <c r="BS966" s="342" t="s">
        <v>210</v>
      </c>
      <c r="BT966" s="342" t="s">
        <v>210</v>
      </c>
      <c r="BU966" s="342" t="s">
        <v>210</v>
      </c>
      <c r="BV966" s="786">
        <v>-20</v>
      </c>
      <c r="BW966" s="341" t="s">
        <v>210</v>
      </c>
      <c r="BX966" s="904" t="s">
        <v>622</v>
      </c>
      <c r="BY966" s="457" t="s">
        <v>7317</v>
      </c>
      <c r="BZ966" s="363"/>
      <c r="CA966" s="363"/>
      <c r="CB966" s="363"/>
      <c r="CC966" s="363"/>
    </row>
    <row r="967" spans="1:82" ht="22.5" customHeight="1">
      <c r="B967" s="442">
        <v>180024</v>
      </c>
      <c r="C967" s="443" t="s">
        <v>6562</v>
      </c>
      <c r="D967" s="467" t="s">
        <v>5640</v>
      </c>
      <c r="E967" s="899" t="s">
        <v>6974</v>
      </c>
      <c r="F967" s="405" t="s">
        <v>6563</v>
      </c>
      <c r="G967" s="324" t="s">
        <v>6564</v>
      </c>
      <c r="H967" s="324" t="s">
        <v>6565</v>
      </c>
      <c r="I967" s="326" t="s">
        <v>383</v>
      </c>
      <c r="J967" s="326" t="s">
        <v>399</v>
      </c>
      <c r="K967" s="324" t="s">
        <v>247</v>
      </c>
      <c r="L967" s="392" t="s">
        <v>210</v>
      </c>
      <c r="M967" s="324" t="s">
        <v>10767</v>
      </c>
      <c r="N967" s="444" t="s">
        <v>438</v>
      </c>
      <c r="O967" s="324">
        <v>30</v>
      </c>
      <c r="P967" s="458">
        <v>1774.99</v>
      </c>
      <c r="Q967" s="459">
        <v>1664.87</v>
      </c>
      <c r="R967" s="420" t="s">
        <v>5794</v>
      </c>
      <c r="S967" s="394" t="s">
        <v>12279</v>
      </c>
      <c r="T967" s="394" t="s">
        <v>12281</v>
      </c>
      <c r="U967" s="394" t="s">
        <v>12280</v>
      </c>
      <c r="V967" s="394" t="s">
        <v>12282</v>
      </c>
      <c r="W967" s="332" t="s">
        <v>432</v>
      </c>
      <c r="X967" s="331" t="s">
        <v>11079</v>
      </c>
      <c r="Y967" s="331" t="s">
        <v>11080</v>
      </c>
      <c r="Z967" s="331" t="s">
        <v>11080</v>
      </c>
      <c r="AA967" s="331" t="s">
        <v>6574</v>
      </c>
      <c r="AB967" s="416"/>
      <c r="AC967" s="416"/>
      <c r="AD967" s="334" t="s">
        <v>4294</v>
      </c>
      <c r="AE967" s="499" t="s">
        <v>16</v>
      </c>
      <c r="AF967" s="462">
        <v>43119</v>
      </c>
      <c r="AG967" s="748">
        <v>43337</v>
      </c>
      <c r="AH967" s="453">
        <v>10.1</v>
      </c>
      <c r="AI967" s="432">
        <v>14.7</v>
      </c>
      <c r="AJ967" s="432">
        <v>11.2</v>
      </c>
      <c r="AK967" s="455">
        <v>36</v>
      </c>
      <c r="AL967" s="417" t="s">
        <v>210</v>
      </c>
      <c r="AM967" s="392" t="s">
        <v>210</v>
      </c>
      <c r="AN967" s="392" t="s">
        <v>210</v>
      </c>
      <c r="AO967" s="341" t="s">
        <v>210</v>
      </c>
      <c r="AP967" s="418" t="s">
        <v>210</v>
      </c>
      <c r="AQ967" s="433" t="s">
        <v>4547</v>
      </c>
      <c r="AR967" s="452">
        <v>1960</v>
      </c>
      <c r="AS967" s="324">
        <v>100</v>
      </c>
      <c r="AT967" s="432">
        <v>1.5</v>
      </c>
      <c r="AU967" s="432" t="s">
        <v>5246</v>
      </c>
      <c r="AV967" s="432">
        <v>1</v>
      </c>
      <c r="AW967" s="490" t="s">
        <v>7479</v>
      </c>
      <c r="AX967" s="453" t="s">
        <v>622</v>
      </c>
      <c r="AY967" s="455" t="s">
        <v>210</v>
      </c>
      <c r="AZ967" s="405" t="s">
        <v>4083</v>
      </c>
      <c r="BA967" s="324" t="s">
        <v>210</v>
      </c>
      <c r="BB967" s="324" t="s">
        <v>210</v>
      </c>
      <c r="BC967" s="324" t="s">
        <v>210</v>
      </c>
      <c r="BD967" s="324" t="s">
        <v>210</v>
      </c>
      <c r="BE967" s="324" t="s">
        <v>6566</v>
      </c>
      <c r="BF967" s="324" t="s">
        <v>5246</v>
      </c>
      <c r="BG967" s="324" t="s">
        <v>6567</v>
      </c>
      <c r="BH967" s="324" t="s">
        <v>5246</v>
      </c>
      <c r="BI967" s="453">
        <v>13</v>
      </c>
      <c r="BJ967" s="427" t="s">
        <v>210</v>
      </c>
      <c r="BK967" s="412"/>
      <c r="BL967" s="413"/>
      <c r="BM967" s="414"/>
      <c r="BN967" s="453" t="s">
        <v>7522</v>
      </c>
      <c r="BO967" s="464"/>
      <c r="BP967" s="455" t="s">
        <v>210</v>
      </c>
      <c r="BQ967" s="456" t="s">
        <v>5862</v>
      </c>
      <c r="BR967" s="342" t="s">
        <v>622</v>
      </c>
      <c r="BS967" s="342" t="s">
        <v>210</v>
      </c>
      <c r="BT967" s="342" t="s">
        <v>210</v>
      </c>
      <c r="BU967" s="342" t="s">
        <v>210</v>
      </c>
      <c r="BV967" s="342" t="s">
        <v>210</v>
      </c>
      <c r="BW967" s="341" t="s">
        <v>210</v>
      </c>
      <c r="BX967" s="342" t="s">
        <v>210</v>
      </c>
      <c r="BY967" s="457" t="s">
        <v>15572</v>
      </c>
      <c r="BZ967" s="363"/>
      <c r="CA967" s="363"/>
      <c r="CB967" s="363"/>
      <c r="CC967" s="363"/>
    </row>
    <row r="968" spans="1:82" ht="22.5" customHeight="1">
      <c r="B968" s="442">
        <v>180025</v>
      </c>
      <c r="C968" s="443" t="s">
        <v>6540</v>
      </c>
      <c r="D968" s="467" t="s">
        <v>5640</v>
      </c>
      <c r="E968" s="404" t="s">
        <v>6974</v>
      </c>
      <c r="F968" s="405" t="s">
        <v>6546</v>
      </c>
      <c r="G968" s="324" t="s">
        <v>6547</v>
      </c>
      <c r="H968" s="324" t="s">
        <v>6548</v>
      </c>
      <c r="I968" s="326" t="s">
        <v>383</v>
      </c>
      <c r="J968" s="326" t="s">
        <v>6508</v>
      </c>
      <c r="K968" s="326" t="s">
        <v>223</v>
      </c>
      <c r="L968" s="342">
        <v>4</v>
      </c>
      <c r="M968" s="324" t="s">
        <v>10767</v>
      </c>
      <c r="N968" s="444" t="s">
        <v>6539</v>
      </c>
      <c r="O968" s="324">
        <v>50</v>
      </c>
      <c r="P968" s="458">
        <v>5063</v>
      </c>
      <c r="Q968" s="459">
        <v>4205</v>
      </c>
      <c r="R968" s="329" t="s">
        <v>636</v>
      </c>
      <c r="S968" s="394" t="s">
        <v>12275</v>
      </c>
      <c r="T968" s="394" t="s">
        <v>12276</v>
      </c>
      <c r="U968" s="394" t="s">
        <v>12277</v>
      </c>
      <c r="V968" s="394" t="s">
        <v>12278</v>
      </c>
      <c r="W968" s="332" t="s">
        <v>432</v>
      </c>
      <c r="X968" s="331" t="s">
        <v>11079</v>
      </c>
      <c r="Y968" s="331" t="s">
        <v>11080</v>
      </c>
      <c r="Z968" s="331" t="s">
        <v>11080</v>
      </c>
      <c r="AA968" s="331" t="s">
        <v>6574</v>
      </c>
      <c r="AB968" s="416"/>
      <c r="AC968" s="416"/>
      <c r="AD968" s="447" t="s">
        <v>7332</v>
      </c>
      <c r="AE968" s="499" t="s">
        <v>7222</v>
      </c>
      <c r="AF968" s="462">
        <v>43068</v>
      </c>
      <c r="AG968" s="748">
        <v>43244</v>
      </c>
      <c r="AH968" s="453">
        <v>9.1</v>
      </c>
      <c r="AI968" s="432">
        <v>14.4</v>
      </c>
      <c r="AJ968" s="432">
        <v>9.5</v>
      </c>
      <c r="AK968" s="455">
        <f>SUM(AH968:AJ968)</f>
        <v>33</v>
      </c>
      <c r="AL968" s="417" t="s">
        <v>210</v>
      </c>
      <c r="AM968" s="392" t="s">
        <v>210</v>
      </c>
      <c r="AN968" s="392" t="s">
        <v>210</v>
      </c>
      <c r="AO968" s="341" t="s">
        <v>210</v>
      </c>
      <c r="AP968" s="418" t="s">
        <v>210</v>
      </c>
      <c r="AQ968" s="433" t="s">
        <v>4547</v>
      </c>
      <c r="AR968" s="452">
        <v>4669</v>
      </c>
      <c r="AS968" s="324">
        <v>100</v>
      </c>
      <c r="AT968" s="432">
        <v>0.8</v>
      </c>
      <c r="AU968" s="432" t="s">
        <v>3627</v>
      </c>
      <c r="AV968" s="432">
        <v>1.5</v>
      </c>
      <c r="AW968" s="490" t="s">
        <v>3627</v>
      </c>
      <c r="AX968" s="453" t="s">
        <v>7223</v>
      </c>
      <c r="AY968" s="429" t="s">
        <v>210</v>
      </c>
      <c r="AZ968" s="405" t="s">
        <v>3367</v>
      </c>
      <c r="BA968" s="324" t="s">
        <v>7223</v>
      </c>
      <c r="BB968" s="324" t="s">
        <v>7223</v>
      </c>
      <c r="BC968" s="324" t="s">
        <v>210</v>
      </c>
      <c r="BD968" s="324" t="s">
        <v>210</v>
      </c>
      <c r="BE968" s="324" t="s">
        <v>7224</v>
      </c>
      <c r="BF968" s="324" t="s">
        <v>3627</v>
      </c>
      <c r="BG968" s="324" t="s">
        <v>7225</v>
      </c>
      <c r="BH968" s="426" t="s">
        <v>3627</v>
      </c>
      <c r="BI968" s="453">
        <v>2</v>
      </c>
      <c r="BJ968" s="427" t="s">
        <v>7223</v>
      </c>
      <c r="BK968" s="412"/>
      <c r="BL968" s="413"/>
      <c r="BM968" s="414"/>
      <c r="BN968" s="453" t="s">
        <v>210</v>
      </c>
      <c r="BO968" s="464"/>
      <c r="BP968" s="455" t="s">
        <v>210</v>
      </c>
      <c r="BQ968" s="456" t="s">
        <v>5610</v>
      </c>
      <c r="BR968" s="342" t="s">
        <v>210</v>
      </c>
      <c r="BS968" s="342" t="s">
        <v>7226</v>
      </c>
      <c r="BT968" s="342" t="s">
        <v>210</v>
      </c>
      <c r="BU968" s="342" t="s">
        <v>210</v>
      </c>
      <c r="BV968" s="342" t="s">
        <v>210</v>
      </c>
      <c r="BW968" s="341" t="s">
        <v>210</v>
      </c>
      <c r="BX968" s="342" t="s">
        <v>210</v>
      </c>
      <c r="BY968" s="905" t="s">
        <v>7229</v>
      </c>
      <c r="BZ968" s="906"/>
      <c r="CA968" s="906"/>
      <c r="CB968" s="906"/>
      <c r="CC968" s="906"/>
    </row>
    <row r="969" spans="1:82" ht="22.5" customHeight="1">
      <c r="B969" s="442">
        <v>180026</v>
      </c>
      <c r="C969" s="443" t="s">
        <v>6541</v>
      </c>
      <c r="D969" s="439" t="s">
        <v>4849</v>
      </c>
      <c r="E969" s="404" t="s">
        <v>5362</v>
      </c>
      <c r="F969" s="405" t="s">
        <v>6542</v>
      </c>
      <c r="G969" s="324" t="s">
        <v>6543</v>
      </c>
      <c r="H969" s="324" t="s">
        <v>6544</v>
      </c>
      <c r="I969" s="326" t="s">
        <v>383</v>
      </c>
      <c r="J969" s="326" t="s">
        <v>6545</v>
      </c>
      <c r="K969" s="324" t="s">
        <v>247</v>
      </c>
      <c r="L969" s="361"/>
      <c r="M969" s="324" t="s">
        <v>10767</v>
      </c>
      <c r="N969" s="444" t="s">
        <v>6993</v>
      </c>
      <c r="O969" s="324">
        <v>30</v>
      </c>
      <c r="P969" s="816">
        <f>18*15</f>
        <v>270</v>
      </c>
      <c r="Q969" s="817">
        <f>P969</f>
        <v>270</v>
      </c>
      <c r="R969" s="329" t="s">
        <v>1437</v>
      </c>
      <c r="S969" s="394" t="s">
        <v>11735</v>
      </c>
      <c r="T969" s="394" t="s">
        <v>11151</v>
      </c>
      <c r="U969" s="394" t="s">
        <v>11737</v>
      </c>
      <c r="V969" s="394" t="s">
        <v>11738</v>
      </c>
      <c r="W969" s="332" t="s">
        <v>432</v>
      </c>
      <c r="X969" s="331" t="s">
        <v>11079</v>
      </c>
      <c r="Y969" s="331" t="s">
        <v>11080</v>
      </c>
      <c r="Z969" s="331" t="s">
        <v>11080</v>
      </c>
      <c r="AA969" s="331" t="s">
        <v>6574</v>
      </c>
      <c r="AB969" s="416"/>
      <c r="AC969" s="416"/>
      <c r="AD969" s="447" t="s">
        <v>3807</v>
      </c>
      <c r="AE969" s="499" t="s">
        <v>7165</v>
      </c>
      <c r="AF969" s="462">
        <v>43150</v>
      </c>
      <c r="AG969" s="748">
        <v>43265</v>
      </c>
      <c r="AH969" s="453">
        <v>20.3</v>
      </c>
      <c r="AI969" s="432">
        <v>14.4</v>
      </c>
      <c r="AJ969" s="432">
        <v>13.1</v>
      </c>
      <c r="AK969" s="455">
        <f>SUM(AH969:AJ969)</f>
        <v>47.800000000000004</v>
      </c>
      <c r="AL969" s="417" t="s">
        <v>210</v>
      </c>
      <c r="AM969" s="392" t="s">
        <v>210</v>
      </c>
      <c r="AN969" s="392" t="s">
        <v>210</v>
      </c>
      <c r="AO969" s="341" t="s">
        <v>210</v>
      </c>
      <c r="AP969" s="342" t="s">
        <v>622</v>
      </c>
      <c r="AQ969" s="433" t="s">
        <v>4547</v>
      </c>
      <c r="AR969" s="452">
        <v>363</v>
      </c>
      <c r="AS969" s="324">
        <v>80</v>
      </c>
      <c r="AT969" s="432">
        <v>0.6</v>
      </c>
      <c r="AU969" s="432" t="s">
        <v>5246</v>
      </c>
      <c r="AV969" s="432">
        <v>0.6</v>
      </c>
      <c r="AW969" s="490" t="s">
        <v>5246</v>
      </c>
      <c r="AX969" s="417" t="s">
        <v>210</v>
      </c>
      <c r="AY969" s="455" t="s">
        <v>210</v>
      </c>
      <c r="AZ969" s="405" t="s">
        <v>4083</v>
      </c>
      <c r="BA969" s="324" t="s">
        <v>210</v>
      </c>
      <c r="BB969" s="324" t="s">
        <v>210</v>
      </c>
      <c r="BC969" s="324" t="s">
        <v>6765</v>
      </c>
      <c r="BD969" s="324" t="s">
        <v>5246</v>
      </c>
      <c r="BE969" s="324" t="s">
        <v>210</v>
      </c>
      <c r="BF969" s="324" t="s">
        <v>210</v>
      </c>
      <c r="BG969" s="324" t="s">
        <v>6766</v>
      </c>
      <c r="BH969" s="426" t="s">
        <v>6767</v>
      </c>
      <c r="BI969" s="453">
        <v>10</v>
      </c>
      <c r="BJ969" s="427" t="s">
        <v>210</v>
      </c>
      <c r="BK969" s="412"/>
      <c r="BL969" s="413"/>
      <c r="BM969" s="414"/>
      <c r="BN969" s="321" t="s">
        <v>210</v>
      </c>
      <c r="BO969" s="464"/>
      <c r="BP969" s="426" t="s">
        <v>210</v>
      </c>
      <c r="BQ969" s="456" t="s">
        <v>5235</v>
      </c>
      <c r="BR969" s="418" t="s">
        <v>210</v>
      </c>
      <c r="BS969" s="342" t="s">
        <v>622</v>
      </c>
      <c r="BT969" s="342" t="s">
        <v>210</v>
      </c>
      <c r="BU969" s="342" t="s">
        <v>210</v>
      </c>
      <c r="BV969" s="342" t="s">
        <v>210</v>
      </c>
      <c r="BW969" s="341" t="s">
        <v>210</v>
      </c>
      <c r="BX969" s="361"/>
      <c r="BY969" s="457" t="s">
        <v>7053</v>
      </c>
      <c r="BZ969" s="363"/>
      <c r="CA969" s="363"/>
      <c r="CB969" s="363"/>
      <c r="CC969" s="363"/>
    </row>
    <row r="970" spans="1:82" ht="22.5" customHeight="1">
      <c r="B970" s="442">
        <v>180028</v>
      </c>
      <c r="C970" s="443" t="s">
        <v>6629</v>
      </c>
      <c r="D970" s="467" t="s">
        <v>6636</v>
      </c>
      <c r="E970" s="404" t="s">
        <v>5362</v>
      </c>
      <c r="F970" s="405" t="s">
        <v>222</v>
      </c>
      <c r="G970" s="324" t="s">
        <v>6627</v>
      </c>
      <c r="H970" s="324" t="s">
        <v>6628</v>
      </c>
      <c r="I970" s="326" t="s">
        <v>383</v>
      </c>
      <c r="J970" s="326" t="s">
        <v>399</v>
      </c>
      <c r="K970" s="326" t="s">
        <v>223</v>
      </c>
      <c r="L970" s="392" t="s">
        <v>210</v>
      </c>
      <c r="M970" s="324" t="s">
        <v>10767</v>
      </c>
      <c r="N970" s="444" t="s">
        <v>437</v>
      </c>
      <c r="O970" s="324">
        <v>180</v>
      </c>
      <c r="P970" s="816">
        <v>1180</v>
      </c>
      <c r="Q970" s="817">
        <v>1180</v>
      </c>
      <c r="R970" s="329" t="s">
        <v>999</v>
      </c>
      <c r="S970" s="394" t="s">
        <v>12242</v>
      </c>
      <c r="T970" s="394" t="s">
        <v>11262</v>
      </c>
      <c r="U970" s="394" t="s">
        <v>16414</v>
      </c>
      <c r="V970" s="394" t="s">
        <v>11263</v>
      </c>
      <c r="W970" s="332" t="s">
        <v>1096</v>
      </c>
      <c r="X970" s="331" t="s">
        <v>12123</v>
      </c>
      <c r="Y970" s="331" t="s">
        <v>11249</v>
      </c>
      <c r="Z970" s="331" t="s">
        <v>16437</v>
      </c>
      <c r="AA970" s="331" t="s">
        <v>12124</v>
      </c>
      <c r="AB970" s="416"/>
      <c r="AC970" s="416"/>
      <c r="AD970" s="334" t="s">
        <v>2321</v>
      </c>
      <c r="AE970" s="335" t="s">
        <v>210</v>
      </c>
      <c r="AF970" s="462">
        <v>43123</v>
      </c>
      <c r="AG970" s="748">
        <v>43179</v>
      </c>
      <c r="AH970" s="417" t="s">
        <v>210</v>
      </c>
      <c r="AI970" s="392" t="s">
        <v>210</v>
      </c>
      <c r="AJ970" s="392" t="s">
        <v>210</v>
      </c>
      <c r="AK970" s="340" t="s">
        <v>210</v>
      </c>
      <c r="AL970" s="417" t="s">
        <v>210</v>
      </c>
      <c r="AM970" s="392" t="s">
        <v>210</v>
      </c>
      <c r="AN970" s="392" t="s">
        <v>210</v>
      </c>
      <c r="AO970" s="341" t="s">
        <v>210</v>
      </c>
      <c r="AP970" s="418" t="s">
        <v>210</v>
      </c>
      <c r="AQ970" s="433" t="s">
        <v>4547</v>
      </c>
      <c r="AR970" s="452">
        <v>1426</v>
      </c>
      <c r="AS970" s="324">
        <v>150</v>
      </c>
      <c r="AT970" s="432">
        <v>1</v>
      </c>
      <c r="AU970" s="432" t="s">
        <v>5246</v>
      </c>
      <c r="AV970" s="432">
        <v>1.5</v>
      </c>
      <c r="AW970" s="490" t="s">
        <v>5246</v>
      </c>
      <c r="AX970" s="417" t="s">
        <v>210</v>
      </c>
      <c r="AY970" s="455" t="s">
        <v>210</v>
      </c>
      <c r="AZ970" s="405" t="s">
        <v>4083</v>
      </c>
      <c r="BA970" s="324" t="s">
        <v>210</v>
      </c>
      <c r="BB970" s="324" t="s">
        <v>210</v>
      </c>
      <c r="BC970" s="324" t="s">
        <v>6664</v>
      </c>
      <c r="BD970" s="324" t="s">
        <v>5246</v>
      </c>
      <c r="BE970" s="324" t="s">
        <v>6665</v>
      </c>
      <c r="BF970" s="324" t="s">
        <v>6579</v>
      </c>
      <c r="BG970" s="324" t="s">
        <v>6666</v>
      </c>
      <c r="BH970" s="426" t="s">
        <v>3512</v>
      </c>
      <c r="BI970" s="453">
        <v>2</v>
      </c>
      <c r="BJ970" s="427" t="s">
        <v>6686</v>
      </c>
      <c r="BK970" s="412"/>
      <c r="BL970" s="413"/>
      <c r="BM970" s="414"/>
      <c r="BN970" s="453" t="s">
        <v>622</v>
      </c>
      <c r="BO970" s="464"/>
      <c r="BP970" s="455" t="s">
        <v>622</v>
      </c>
      <c r="BQ970" s="456" t="s">
        <v>1059</v>
      </c>
      <c r="BR970" s="418" t="s">
        <v>210</v>
      </c>
      <c r="BS970" s="342" t="s">
        <v>622</v>
      </c>
      <c r="BT970" s="342" t="s">
        <v>210</v>
      </c>
      <c r="BU970" s="342" t="s">
        <v>210</v>
      </c>
      <c r="BV970" s="342" t="s">
        <v>210</v>
      </c>
      <c r="BW970" s="341" t="s">
        <v>210</v>
      </c>
      <c r="BX970" s="361"/>
      <c r="BY970" s="888" t="s">
        <v>6722</v>
      </c>
      <c r="BZ970" s="889"/>
      <c r="CA970" s="889"/>
      <c r="CB970" s="889"/>
      <c r="CC970" s="889"/>
    </row>
    <row r="971" spans="1:82" ht="22.5" customHeight="1">
      <c r="B971" s="442">
        <v>180029</v>
      </c>
      <c r="C971" s="443" t="s">
        <v>12270</v>
      </c>
      <c r="D971" s="439" t="s">
        <v>4849</v>
      </c>
      <c r="E971" s="404" t="s">
        <v>5361</v>
      </c>
      <c r="F971" s="405" t="s">
        <v>1048</v>
      </c>
      <c r="G971" s="324" t="s">
        <v>2651</v>
      </c>
      <c r="H971" s="324" t="s">
        <v>6639</v>
      </c>
      <c r="I971" s="324" t="s">
        <v>296</v>
      </c>
      <c r="J971" s="324" t="s">
        <v>216</v>
      </c>
      <c r="K971" s="324" t="s">
        <v>6586</v>
      </c>
      <c r="L971" s="392" t="s">
        <v>210</v>
      </c>
      <c r="M971" s="324" t="s">
        <v>6518</v>
      </c>
      <c r="N971" s="444" t="s">
        <v>468</v>
      </c>
      <c r="O971" s="324" t="s">
        <v>210</v>
      </c>
      <c r="P971" s="458">
        <v>1018</v>
      </c>
      <c r="Q971" s="459">
        <v>382</v>
      </c>
      <c r="R971" s="420" t="s">
        <v>6588</v>
      </c>
      <c r="S971" s="394" t="s">
        <v>12273</v>
      </c>
      <c r="T971" s="394" t="s">
        <v>12272</v>
      </c>
      <c r="U971" s="394" t="s">
        <v>12271</v>
      </c>
      <c r="V971" s="394" t="s">
        <v>12274</v>
      </c>
      <c r="W971" s="460" t="s">
        <v>6638</v>
      </c>
      <c r="X971" s="394" t="s">
        <v>12145</v>
      </c>
      <c r="Y971" s="394" t="s">
        <v>12147</v>
      </c>
      <c r="Z971" s="394" t="s">
        <v>12146</v>
      </c>
      <c r="AA971" s="394" t="s">
        <v>12148</v>
      </c>
      <c r="AB971" s="416"/>
      <c r="AC971" s="416"/>
      <c r="AD971" s="447" t="s">
        <v>2922</v>
      </c>
      <c r="AE971" s="335" t="s">
        <v>210</v>
      </c>
      <c r="AF971" s="462">
        <v>43131</v>
      </c>
      <c r="AG971" s="748">
        <v>43183</v>
      </c>
      <c r="AH971" s="417" t="s">
        <v>210</v>
      </c>
      <c r="AI971" s="392" t="s">
        <v>210</v>
      </c>
      <c r="AJ971" s="392" t="s">
        <v>210</v>
      </c>
      <c r="AK971" s="340" t="s">
        <v>210</v>
      </c>
      <c r="AL971" s="417" t="s">
        <v>210</v>
      </c>
      <c r="AM971" s="392" t="s">
        <v>210</v>
      </c>
      <c r="AN971" s="392" t="s">
        <v>210</v>
      </c>
      <c r="AO971" s="341" t="s">
        <v>210</v>
      </c>
      <c r="AP971" s="418" t="s">
        <v>210</v>
      </c>
      <c r="AQ971" s="433" t="s">
        <v>4548</v>
      </c>
      <c r="AR971" s="452">
        <v>512</v>
      </c>
      <c r="AS971" s="324">
        <v>150</v>
      </c>
      <c r="AT971" s="432">
        <v>0.8</v>
      </c>
      <c r="AU971" s="432" t="s">
        <v>3574</v>
      </c>
      <c r="AV971" s="432">
        <v>1.7</v>
      </c>
      <c r="AW971" s="490" t="s">
        <v>3574</v>
      </c>
      <c r="AX971" s="417" t="s">
        <v>210</v>
      </c>
      <c r="AY971" s="455" t="s">
        <v>210</v>
      </c>
      <c r="AZ971" s="405" t="s">
        <v>4083</v>
      </c>
      <c r="BA971" s="324" t="s">
        <v>210</v>
      </c>
      <c r="BB971" s="324" t="s">
        <v>210</v>
      </c>
      <c r="BC971" s="324" t="s">
        <v>210</v>
      </c>
      <c r="BD971" s="324" t="s">
        <v>210</v>
      </c>
      <c r="BE971" s="324" t="s">
        <v>6640</v>
      </c>
      <c r="BF971" s="324" t="s">
        <v>3625</v>
      </c>
      <c r="BG971" s="324" t="s">
        <v>6641</v>
      </c>
      <c r="BH971" s="426" t="s">
        <v>3574</v>
      </c>
      <c r="BI971" s="453">
        <v>1.8</v>
      </c>
      <c r="BJ971" s="427" t="s">
        <v>210</v>
      </c>
      <c r="BK971" s="412"/>
      <c r="BL971" s="413"/>
      <c r="BM971" s="414"/>
      <c r="BN971" s="453" t="s">
        <v>622</v>
      </c>
      <c r="BO971" s="464"/>
      <c r="BP971" s="426" t="s">
        <v>210</v>
      </c>
      <c r="BQ971" s="456" t="s">
        <v>6407</v>
      </c>
      <c r="BR971" s="342" t="s">
        <v>622</v>
      </c>
      <c r="BS971" s="342" t="s">
        <v>622</v>
      </c>
      <c r="BT971" s="342" t="s">
        <v>210</v>
      </c>
      <c r="BU971" s="342" t="s">
        <v>210</v>
      </c>
      <c r="BV971" s="342" t="s">
        <v>210</v>
      </c>
      <c r="BW971" s="341" t="s">
        <v>210</v>
      </c>
      <c r="BX971" s="361"/>
      <c r="BY971" s="457"/>
      <c r="BZ971" s="363"/>
      <c r="CA971" s="363"/>
      <c r="CB971" s="363"/>
      <c r="CC971" s="363"/>
    </row>
    <row r="972" spans="1:82" ht="22.5" customHeight="1">
      <c r="B972" s="442">
        <v>180030</v>
      </c>
      <c r="C972" s="443" t="s">
        <v>6652</v>
      </c>
      <c r="D972" s="439" t="s">
        <v>4854</v>
      </c>
      <c r="E972" s="404" t="s">
        <v>5362</v>
      </c>
      <c r="F972" s="405" t="s">
        <v>227</v>
      </c>
      <c r="G972" s="324" t="s">
        <v>6653</v>
      </c>
      <c r="H972" s="324" t="s">
        <v>6654</v>
      </c>
      <c r="I972" s="326" t="s">
        <v>383</v>
      </c>
      <c r="J972" s="326" t="s">
        <v>399</v>
      </c>
      <c r="K972" s="326" t="s">
        <v>223</v>
      </c>
      <c r="L972" s="392" t="s">
        <v>210</v>
      </c>
      <c r="M972" s="324" t="s">
        <v>10767</v>
      </c>
      <c r="N972" s="444" t="s">
        <v>437</v>
      </c>
      <c r="O972" s="324">
        <v>30</v>
      </c>
      <c r="P972" s="458">
        <v>950</v>
      </c>
      <c r="Q972" s="459">
        <v>950</v>
      </c>
      <c r="R972" s="420" t="s">
        <v>6655</v>
      </c>
      <c r="S972" s="394" t="s">
        <v>12222</v>
      </c>
      <c r="T972" s="394" t="s">
        <v>12191</v>
      </c>
      <c r="U972" s="394" t="s">
        <v>16246</v>
      </c>
      <c r="V972" s="394" t="s">
        <v>12223</v>
      </c>
      <c r="W972" s="460" t="s">
        <v>6768</v>
      </c>
      <c r="X972" s="394" t="s">
        <v>12188</v>
      </c>
      <c r="Y972" s="394" t="s">
        <v>12190</v>
      </c>
      <c r="Z972" s="394" t="s">
        <v>16248</v>
      </c>
      <c r="AA972" s="394" t="s">
        <v>12189</v>
      </c>
      <c r="AB972" s="416" t="s">
        <v>6769</v>
      </c>
      <c r="AC972" s="416"/>
      <c r="AD972" s="447" t="s">
        <v>1422</v>
      </c>
      <c r="AE972" s="335" t="s">
        <v>210</v>
      </c>
      <c r="AF972" s="462">
        <v>43132</v>
      </c>
      <c r="AG972" s="748">
        <v>43158</v>
      </c>
      <c r="AH972" s="417" t="s">
        <v>210</v>
      </c>
      <c r="AI972" s="392" t="s">
        <v>210</v>
      </c>
      <c r="AJ972" s="392" t="s">
        <v>210</v>
      </c>
      <c r="AK972" s="340" t="s">
        <v>210</v>
      </c>
      <c r="AL972" s="417" t="s">
        <v>210</v>
      </c>
      <c r="AM972" s="392" t="s">
        <v>210</v>
      </c>
      <c r="AN972" s="392" t="s">
        <v>210</v>
      </c>
      <c r="AO972" s="341" t="s">
        <v>210</v>
      </c>
      <c r="AP972" s="418" t="s">
        <v>210</v>
      </c>
      <c r="AQ972" s="433" t="s">
        <v>4547</v>
      </c>
      <c r="AR972" s="452">
        <v>1070</v>
      </c>
      <c r="AS972" s="324">
        <v>80</v>
      </c>
      <c r="AT972" s="432">
        <v>0.8</v>
      </c>
      <c r="AU972" s="432" t="s">
        <v>5578</v>
      </c>
      <c r="AV972" s="432">
        <v>1.2</v>
      </c>
      <c r="AW972" s="490" t="s">
        <v>5578</v>
      </c>
      <c r="AX972" s="417" t="s">
        <v>210</v>
      </c>
      <c r="AY972" s="455" t="s">
        <v>210</v>
      </c>
      <c r="AZ972" s="405" t="s">
        <v>4083</v>
      </c>
      <c r="BA972" s="324" t="s">
        <v>210</v>
      </c>
      <c r="BB972" s="324" t="s">
        <v>210</v>
      </c>
      <c r="BC972" s="324" t="s">
        <v>3555</v>
      </c>
      <c r="BD972" s="324" t="s">
        <v>5578</v>
      </c>
      <c r="BE972" s="324" t="s">
        <v>210</v>
      </c>
      <c r="BF972" s="324" t="s">
        <v>210</v>
      </c>
      <c r="BG972" s="324" t="s">
        <v>6770</v>
      </c>
      <c r="BH972" s="426" t="s">
        <v>6771</v>
      </c>
      <c r="BI972" s="453">
        <v>2</v>
      </c>
      <c r="BJ972" s="427" t="s">
        <v>210</v>
      </c>
      <c r="BK972" s="412"/>
      <c r="BL972" s="413"/>
      <c r="BM972" s="414"/>
      <c r="BN972" s="405" t="s">
        <v>210</v>
      </c>
      <c r="BO972" s="464"/>
      <c r="BP972" s="426" t="s">
        <v>210</v>
      </c>
      <c r="BQ972" s="456" t="s">
        <v>6407</v>
      </c>
      <c r="BR972" s="418" t="s">
        <v>210</v>
      </c>
      <c r="BS972" s="342" t="s">
        <v>622</v>
      </c>
      <c r="BT972" s="342" t="s">
        <v>210</v>
      </c>
      <c r="BU972" s="342" t="s">
        <v>210</v>
      </c>
      <c r="BV972" s="342" t="s">
        <v>210</v>
      </c>
      <c r="BW972" s="341" t="s">
        <v>210</v>
      </c>
      <c r="BX972" s="342" t="s">
        <v>210</v>
      </c>
      <c r="BY972" s="457" t="s">
        <v>6687</v>
      </c>
      <c r="BZ972" s="363"/>
      <c r="CA972" s="363"/>
      <c r="CB972" s="363"/>
      <c r="CC972" s="363"/>
    </row>
    <row r="973" spans="1:82" ht="22.5" customHeight="1">
      <c r="B973" s="442">
        <v>180031</v>
      </c>
      <c r="C973" s="443" t="s">
        <v>6642</v>
      </c>
      <c r="D973" s="439" t="s">
        <v>4847</v>
      </c>
      <c r="E973" s="404" t="s">
        <v>5361</v>
      </c>
      <c r="F973" s="405" t="s">
        <v>225</v>
      </c>
      <c r="G973" s="324" t="s">
        <v>6643</v>
      </c>
      <c r="H973" s="324" t="s">
        <v>6644</v>
      </c>
      <c r="I973" s="326" t="s">
        <v>383</v>
      </c>
      <c r="J973" s="326" t="s">
        <v>6508</v>
      </c>
      <c r="K973" s="324" t="s">
        <v>6645</v>
      </c>
      <c r="L973" s="361"/>
      <c r="M973" s="324" t="s">
        <v>10767</v>
      </c>
      <c r="N973" s="444" t="s">
        <v>438</v>
      </c>
      <c r="O973" s="324">
        <v>30</v>
      </c>
      <c r="P973" s="458">
        <v>2224</v>
      </c>
      <c r="Q973" s="459">
        <v>2294</v>
      </c>
      <c r="R973" s="420" t="s">
        <v>6646</v>
      </c>
      <c r="S973" s="400"/>
      <c r="T973" s="400"/>
      <c r="U973" s="400"/>
      <c r="V973" s="400"/>
      <c r="W973" s="332" t="s">
        <v>751</v>
      </c>
      <c r="X973" s="394" t="s">
        <v>12266</v>
      </c>
      <c r="Y973" s="394" t="s">
        <v>12268</v>
      </c>
      <c r="Z973" s="394" t="s">
        <v>12267</v>
      </c>
      <c r="AA973" s="394" t="s">
        <v>12269</v>
      </c>
      <c r="AB973" s="416"/>
      <c r="AC973" s="416"/>
      <c r="AD973" s="447" t="s">
        <v>6865</v>
      </c>
      <c r="AE973" s="499" t="s">
        <v>245</v>
      </c>
      <c r="AF973" s="462">
        <v>43131</v>
      </c>
      <c r="AG973" s="748">
        <v>43165</v>
      </c>
      <c r="AH973" s="417" t="s">
        <v>210</v>
      </c>
      <c r="AI973" s="392" t="s">
        <v>210</v>
      </c>
      <c r="AJ973" s="392" t="s">
        <v>210</v>
      </c>
      <c r="AK973" s="340" t="s">
        <v>210</v>
      </c>
      <c r="AL973" s="417" t="s">
        <v>210</v>
      </c>
      <c r="AM973" s="392" t="s">
        <v>210</v>
      </c>
      <c r="AN973" s="392" t="s">
        <v>210</v>
      </c>
      <c r="AO973" s="341" t="s">
        <v>210</v>
      </c>
      <c r="AP973" s="418" t="s">
        <v>210</v>
      </c>
      <c r="AQ973" s="433" t="s">
        <v>4547</v>
      </c>
      <c r="AR973" s="452">
        <f>2309+547</f>
        <v>2856</v>
      </c>
      <c r="AS973" s="324">
        <v>130</v>
      </c>
      <c r="AT973" s="432">
        <v>1</v>
      </c>
      <c r="AU973" s="432" t="s">
        <v>6716</v>
      </c>
      <c r="AV973" s="432">
        <v>1.5</v>
      </c>
      <c r="AW973" s="490" t="s">
        <v>6716</v>
      </c>
      <c r="AX973" s="453" t="s">
        <v>622</v>
      </c>
      <c r="AY973" s="429" t="s">
        <v>6717</v>
      </c>
      <c r="AZ973" s="405" t="s">
        <v>4083</v>
      </c>
      <c r="BA973" s="324" t="s">
        <v>210</v>
      </c>
      <c r="BB973" s="324" t="s">
        <v>210</v>
      </c>
      <c r="BC973" s="324" t="s">
        <v>3458</v>
      </c>
      <c r="BD973" s="324" t="s">
        <v>6579</v>
      </c>
      <c r="BE973" s="324" t="s">
        <v>6647</v>
      </c>
      <c r="BF973" s="324" t="s">
        <v>6579</v>
      </c>
      <c r="BG973" s="324" t="s">
        <v>3558</v>
      </c>
      <c r="BH973" s="426" t="s">
        <v>3424</v>
      </c>
      <c r="BI973" s="453">
        <v>1.3</v>
      </c>
      <c r="BJ973" s="427">
        <v>2.36</v>
      </c>
      <c r="BK973" s="412"/>
      <c r="BL973" s="413"/>
      <c r="BM973" s="414"/>
      <c r="BN973" s="405" t="s">
        <v>6744</v>
      </c>
      <c r="BO973" s="464"/>
      <c r="BP973" s="492"/>
      <c r="BQ973" s="456" t="s">
        <v>6718</v>
      </c>
      <c r="BR973" s="418" t="s">
        <v>210</v>
      </c>
      <c r="BS973" s="342" t="s">
        <v>622</v>
      </c>
      <c r="BT973" s="342" t="s">
        <v>210</v>
      </c>
      <c r="BU973" s="342" t="s">
        <v>210</v>
      </c>
      <c r="BV973" s="786" t="s">
        <v>9797</v>
      </c>
      <c r="BW973" s="341" t="s">
        <v>210</v>
      </c>
      <c r="BX973" s="361"/>
      <c r="BY973" s="457" t="s">
        <v>6276</v>
      </c>
      <c r="BZ973" s="363"/>
      <c r="CA973" s="363"/>
      <c r="CB973" s="363"/>
      <c r="CC973" s="363"/>
    </row>
    <row r="974" spans="1:82" ht="22.5" customHeight="1">
      <c r="B974" s="442">
        <v>180032</v>
      </c>
      <c r="C974" s="443" t="s">
        <v>6659</v>
      </c>
      <c r="D974" s="439" t="s">
        <v>4849</v>
      </c>
      <c r="E974" s="404" t="s">
        <v>5362</v>
      </c>
      <c r="F974" s="405" t="s">
        <v>1058</v>
      </c>
      <c r="G974" s="324" t="s">
        <v>6660</v>
      </c>
      <c r="H974" s="324" t="s">
        <v>6661</v>
      </c>
      <c r="I974" s="326" t="s">
        <v>383</v>
      </c>
      <c r="J974" s="326" t="s">
        <v>399</v>
      </c>
      <c r="K974" s="324" t="s">
        <v>247</v>
      </c>
      <c r="L974" s="361"/>
      <c r="M974" s="324" t="s">
        <v>10767</v>
      </c>
      <c r="N974" s="444" t="s">
        <v>437</v>
      </c>
      <c r="O974" s="324">
        <v>40</v>
      </c>
      <c r="P974" s="458">
        <v>5178</v>
      </c>
      <c r="Q974" s="459">
        <v>5088</v>
      </c>
      <c r="R974" s="420" t="s">
        <v>4661</v>
      </c>
      <c r="S974" s="394" t="s">
        <v>11528</v>
      </c>
      <c r="T974" s="394" t="s">
        <v>11529</v>
      </c>
      <c r="U974" s="394" t="s">
        <v>16415</v>
      </c>
      <c r="V974" s="394" t="s">
        <v>11531</v>
      </c>
      <c r="W974" s="460" t="s">
        <v>4661</v>
      </c>
      <c r="X974" s="394" t="s">
        <v>11528</v>
      </c>
      <c r="Y974" s="394" t="s">
        <v>11529</v>
      </c>
      <c r="Z974" s="394" t="s">
        <v>11530</v>
      </c>
      <c r="AA974" s="394" t="s">
        <v>11531</v>
      </c>
      <c r="AB974" s="416"/>
      <c r="AC974" s="416"/>
      <c r="AD974" s="447" t="s">
        <v>3094</v>
      </c>
      <c r="AE974" s="335" t="s">
        <v>210</v>
      </c>
      <c r="AF974" s="462">
        <v>43133</v>
      </c>
      <c r="AG974" s="748">
        <v>43165</v>
      </c>
      <c r="AH974" s="417" t="s">
        <v>210</v>
      </c>
      <c r="AI974" s="392" t="s">
        <v>210</v>
      </c>
      <c r="AJ974" s="392" t="s">
        <v>210</v>
      </c>
      <c r="AK974" s="340" t="s">
        <v>210</v>
      </c>
      <c r="AL974" s="417" t="s">
        <v>210</v>
      </c>
      <c r="AM974" s="392" t="s">
        <v>210</v>
      </c>
      <c r="AN974" s="392" t="s">
        <v>210</v>
      </c>
      <c r="AO974" s="341" t="s">
        <v>210</v>
      </c>
      <c r="AP974" s="418" t="s">
        <v>210</v>
      </c>
      <c r="AQ974" s="433" t="s">
        <v>4547</v>
      </c>
      <c r="AR974" s="452">
        <v>2530</v>
      </c>
      <c r="AS974" s="324">
        <v>100</v>
      </c>
      <c r="AT974" s="432">
        <v>1</v>
      </c>
      <c r="AU974" s="432" t="s">
        <v>5246</v>
      </c>
      <c r="AV974" s="432">
        <v>1</v>
      </c>
      <c r="AW974" s="490" t="s">
        <v>3422</v>
      </c>
      <c r="AX974" s="417" t="s">
        <v>210</v>
      </c>
      <c r="AY974" s="455" t="s">
        <v>210</v>
      </c>
      <c r="AZ974" s="405" t="s">
        <v>4083</v>
      </c>
      <c r="BA974" s="324" t="s">
        <v>210</v>
      </c>
      <c r="BB974" s="324" t="s">
        <v>210</v>
      </c>
      <c r="BC974" s="408"/>
      <c r="BD974" s="408"/>
      <c r="BE974" s="408"/>
      <c r="BF974" s="408"/>
      <c r="BG974" s="408"/>
      <c r="BH974" s="409"/>
      <c r="BI974" s="453">
        <v>9.5</v>
      </c>
      <c r="BJ974" s="427" t="s">
        <v>6719</v>
      </c>
      <c r="BK974" s="412"/>
      <c r="BL974" s="413"/>
      <c r="BM974" s="414"/>
      <c r="BN974" s="321" t="s">
        <v>210</v>
      </c>
      <c r="BO974" s="464"/>
      <c r="BP974" s="426" t="s">
        <v>210</v>
      </c>
      <c r="BQ974" s="456" t="s">
        <v>5235</v>
      </c>
      <c r="BR974" s="418" t="s">
        <v>210</v>
      </c>
      <c r="BS974" s="342" t="s">
        <v>210</v>
      </c>
      <c r="BT974" s="342" t="s">
        <v>210</v>
      </c>
      <c r="BU974" s="342" t="s">
        <v>210</v>
      </c>
      <c r="BV974" s="342" t="s">
        <v>210</v>
      </c>
      <c r="BW974" s="341" t="s">
        <v>210</v>
      </c>
      <c r="BX974" s="361"/>
      <c r="BY974" s="457" t="s">
        <v>6662</v>
      </c>
      <c r="BZ974" s="363"/>
      <c r="CA974" s="363"/>
      <c r="CB974" s="363"/>
      <c r="CC974" s="363"/>
    </row>
    <row r="975" spans="1:82" ht="22.5" customHeight="1">
      <c r="B975" s="442">
        <v>180033</v>
      </c>
      <c r="C975" s="443" t="s">
        <v>12264</v>
      </c>
      <c r="D975" s="439" t="s">
        <v>4849</v>
      </c>
      <c r="E975" s="404" t="s">
        <v>5362</v>
      </c>
      <c r="F975" s="405" t="s">
        <v>308</v>
      </c>
      <c r="G975" s="324" t="s">
        <v>5089</v>
      </c>
      <c r="H975" s="324" t="s">
        <v>6651</v>
      </c>
      <c r="I975" s="326" t="s">
        <v>383</v>
      </c>
      <c r="J975" s="326" t="s">
        <v>399</v>
      </c>
      <c r="K975" s="326" t="s">
        <v>223</v>
      </c>
      <c r="L975" s="392" t="s">
        <v>210</v>
      </c>
      <c r="M975" s="324" t="s">
        <v>10767</v>
      </c>
      <c r="N975" s="444" t="s">
        <v>437</v>
      </c>
      <c r="O975" s="324">
        <v>100</v>
      </c>
      <c r="P975" s="458">
        <v>1150</v>
      </c>
      <c r="Q975" s="459">
        <v>1150</v>
      </c>
      <c r="R975" s="420" t="s">
        <v>4784</v>
      </c>
      <c r="S975" s="394" t="s">
        <v>12265</v>
      </c>
      <c r="T975" s="394" t="s">
        <v>11560</v>
      </c>
      <c r="U975" s="394" t="s">
        <v>11559</v>
      </c>
      <c r="V975" s="394" t="s">
        <v>11561</v>
      </c>
      <c r="W975" s="460" t="s">
        <v>6108</v>
      </c>
      <c r="X975" s="394" t="s">
        <v>11570</v>
      </c>
      <c r="Y975" s="394" t="s">
        <v>11571</v>
      </c>
      <c r="Z975" s="400"/>
      <c r="AA975" s="394" t="s">
        <v>11572</v>
      </c>
      <c r="AB975" s="416"/>
      <c r="AC975" s="416"/>
      <c r="AD975" s="334" t="s">
        <v>2326</v>
      </c>
      <c r="AE975" s="335" t="s">
        <v>210</v>
      </c>
      <c r="AF975" s="462">
        <v>43132</v>
      </c>
      <c r="AG975" s="748">
        <v>43251</v>
      </c>
      <c r="AH975" s="417" t="s">
        <v>210</v>
      </c>
      <c r="AI975" s="392" t="s">
        <v>210</v>
      </c>
      <c r="AJ975" s="392" t="s">
        <v>210</v>
      </c>
      <c r="AK975" s="340" t="s">
        <v>210</v>
      </c>
      <c r="AL975" s="417" t="s">
        <v>210</v>
      </c>
      <c r="AM975" s="392" t="s">
        <v>210</v>
      </c>
      <c r="AN975" s="392" t="s">
        <v>210</v>
      </c>
      <c r="AO975" s="341" t="s">
        <v>210</v>
      </c>
      <c r="AP975" s="418" t="s">
        <v>210</v>
      </c>
      <c r="AQ975" s="433" t="s">
        <v>4547</v>
      </c>
      <c r="AR975" s="452">
        <v>1389</v>
      </c>
      <c r="AS975" s="324">
        <v>150</v>
      </c>
      <c r="AT975" s="432">
        <v>1</v>
      </c>
      <c r="AU975" s="432" t="s">
        <v>4813</v>
      </c>
      <c r="AV975" s="432">
        <v>1.5</v>
      </c>
      <c r="AW975" s="490" t="s">
        <v>5358</v>
      </c>
      <c r="AX975" s="417" t="s">
        <v>210</v>
      </c>
      <c r="AY975" s="455" t="s">
        <v>210</v>
      </c>
      <c r="AZ975" s="405" t="s">
        <v>4083</v>
      </c>
      <c r="BA975" s="324" t="s">
        <v>210</v>
      </c>
      <c r="BB975" s="324" t="s">
        <v>210</v>
      </c>
      <c r="BC975" s="324" t="s">
        <v>6858</v>
      </c>
      <c r="BD975" s="324" t="s">
        <v>6859</v>
      </c>
      <c r="BE975" s="324" t="s">
        <v>6860</v>
      </c>
      <c r="BF975" s="324" t="s">
        <v>6861</v>
      </c>
      <c r="BG975" s="324" t="s">
        <v>3458</v>
      </c>
      <c r="BH975" s="426" t="s">
        <v>4813</v>
      </c>
      <c r="BI975" s="453">
        <v>2</v>
      </c>
      <c r="BJ975" s="427" t="s">
        <v>9793</v>
      </c>
      <c r="BK975" s="412"/>
      <c r="BL975" s="413"/>
      <c r="BM975" s="414"/>
      <c r="BN975" s="453" t="s">
        <v>622</v>
      </c>
      <c r="BO975" s="464"/>
      <c r="BP975" s="455" t="s">
        <v>622</v>
      </c>
      <c r="BQ975" s="456" t="s">
        <v>6407</v>
      </c>
      <c r="BR975" s="342" t="s">
        <v>622</v>
      </c>
      <c r="BS975" s="342" t="s">
        <v>622</v>
      </c>
      <c r="BT975" s="342" t="s">
        <v>210</v>
      </c>
      <c r="BU975" s="342" t="s">
        <v>210</v>
      </c>
      <c r="BV975" s="342" t="s">
        <v>210</v>
      </c>
      <c r="BW975" s="341" t="s">
        <v>210</v>
      </c>
      <c r="BX975" s="361"/>
      <c r="BY975" s="457"/>
      <c r="BZ975" s="363"/>
      <c r="CA975" s="363"/>
      <c r="CB975" s="363"/>
      <c r="CC975" s="363"/>
    </row>
    <row r="976" spans="1:82" ht="22.5" customHeight="1">
      <c r="B976" s="442">
        <v>180034</v>
      </c>
      <c r="C976" s="443" t="s">
        <v>6711</v>
      </c>
      <c r="D976" s="467" t="s">
        <v>6636</v>
      </c>
      <c r="E976" s="404" t="s">
        <v>5362</v>
      </c>
      <c r="F976" s="405" t="s">
        <v>1043</v>
      </c>
      <c r="G976" s="324" t="s">
        <v>16324</v>
      </c>
      <c r="H976" s="324" t="s">
        <v>6712</v>
      </c>
      <c r="I976" s="326" t="s">
        <v>383</v>
      </c>
      <c r="J976" s="326" t="s">
        <v>399</v>
      </c>
      <c r="K976" s="326" t="s">
        <v>223</v>
      </c>
      <c r="L976" s="392" t="s">
        <v>210</v>
      </c>
      <c r="M976" s="324" t="s">
        <v>10767</v>
      </c>
      <c r="N976" s="444" t="s">
        <v>437</v>
      </c>
      <c r="O976" s="324">
        <v>140</v>
      </c>
      <c r="P976" s="458">
        <v>1160</v>
      </c>
      <c r="Q976" s="459">
        <v>1198</v>
      </c>
      <c r="R976" s="420" t="s">
        <v>8664</v>
      </c>
      <c r="S976" s="394" t="s">
        <v>12260</v>
      </c>
      <c r="T976" s="394" t="s">
        <v>11603</v>
      </c>
      <c r="U976" s="394" t="s">
        <v>16297</v>
      </c>
      <c r="V976" s="400"/>
      <c r="W976" s="460" t="s">
        <v>4223</v>
      </c>
      <c r="X976" s="394" t="s">
        <v>12261</v>
      </c>
      <c r="Y976" s="394" t="s">
        <v>12262</v>
      </c>
      <c r="Z976" s="394" t="s">
        <v>16334</v>
      </c>
      <c r="AA976" s="394" t="s">
        <v>12263</v>
      </c>
      <c r="AB976" s="333"/>
      <c r="AC976" s="333"/>
      <c r="AD976" s="334" t="s">
        <v>2337</v>
      </c>
      <c r="AE976" s="335" t="s">
        <v>210</v>
      </c>
      <c r="AF976" s="462">
        <v>43136</v>
      </c>
      <c r="AG976" s="748">
        <v>43188</v>
      </c>
      <c r="AH976" s="417" t="s">
        <v>210</v>
      </c>
      <c r="AI976" s="392" t="s">
        <v>210</v>
      </c>
      <c r="AJ976" s="392" t="s">
        <v>210</v>
      </c>
      <c r="AK976" s="340" t="s">
        <v>210</v>
      </c>
      <c r="AL976" s="417" t="s">
        <v>210</v>
      </c>
      <c r="AM976" s="392" t="s">
        <v>210</v>
      </c>
      <c r="AN976" s="392" t="s">
        <v>210</v>
      </c>
      <c r="AO976" s="341" t="s">
        <v>210</v>
      </c>
      <c r="AP976" s="418" t="s">
        <v>210</v>
      </c>
      <c r="AQ976" s="433" t="s">
        <v>4547</v>
      </c>
      <c r="AR976" s="452">
        <v>1640</v>
      </c>
      <c r="AS976" s="324">
        <v>100</v>
      </c>
      <c r="AT976" s="432">
        <v>1</v>
      </c>
      <c r="AU976" s="432" t="s">
        <v>5246</v>
      </c>
      <c r="AV976" s="432">
        <v>1.5</v>
      </c>
      <c r="AW976" s="490" t="s">
        <v>3494</v>
      </c>
      <c r="AX976" s="417" t="s">
        <v>210</v>
      </c>
      <c r="AY976" s="455" t="s">
        <v>210</v>
      </c>
      <c r="AZ976" s="405" t="s">
        <v>622</v>
      </c>
      <c r="BA976" s="324" t="s">
        <v>3459</v>
      </c>
      <c r="BB976" s="324" t="s">
        <v>6713</v>
      </c>
      <c r="BC976" s="324" t="s">
        <v>6714</v>
      </c>
      <c r="BD976" s="324" t="s">
        <v>6713</v>
      </c>
      <c r="BE976" s="324" t="s">
        <v>6715</v>
      </c>
      <c r="BF976" s="324" t="s">
        <v>3380</v>
      </c>
      <c r="BG976" s="324" t="s">
        <v>3459</v>
      </c>
      <c r="BH976" s="426" t="s">
        <v>6579</v>
      </c>
      <c r="BI976" s="453">
        <v>1.1000000000000001</v>
      </c>
      <c r="BJ976" s="427">
        <v>1.94</v>
      </c>
      <c r="BK976" s="412"/>
      <c r="BL976" s="413"/>
      <c r="BM976" s="414"/>
      <c r="BN976" s="453" t="s">
        <v>622</v>
      </c>
      <c r="BO976" s="464">
        <v>1.1299999999999999</v>
      </c>
      <c r="BP976" s="492"/>
      <c r="BQ976" s="456" t="s">
        <v>1059</v>
      </c>
      <c r="BR976" s="342" t="s">
        <v>210</v>
      </c>
      <c r="BS976" s="342" t="s">
        <v>210</v>
      </c>
      <c r="BT976" s="342" t="s">
        <v>210</v>
      </c>
      <c r="BU976" s="342" t="s">
        <v>210</v>
      </c>
      <c r="BV976" s="342" t="s">
        <v>210</v>
      </c>
      <c r="BW976" s="341" t="s">
        <v>210</v>
      </c>
      <c r="BX976" s="361"/>
      <c r="BY976" s="457"/>
      <c r="BZ976" s="363"/>
      <c r="CA976" s="363"/>
      <c r="CB976" s="363"/>
      <c r="CC976" s="363"/>
    </row>
    <row r="977" spans="1:82" s="465" customFormat="1" ht="22.5" customHeight="1">
      <c r="A977" s="287"/>
      <c r="B977" s="749"/>
      <c r="C977" s="781" t="s">
        <v>6303</v>
      </c>
      <c r="D977" s="829" t="s">
        <v>6304</v>
      </c>
      <c r="E977" s="752" t="s">
        <v>6305</v>
      </c>
      <c r="F977" s="753" t="s">
        <v>264</v>
      </c>
      <c r="G977" s="754" t="s">
        <v>3860</v>
      </c>
      <c r="H977" s="754" t="s">
        <v>6306</v>
      </c>
      <c r="I977" s="754" t="s">
        <v>296</v>
      </c>
      <c r="J977" s="754"/>
      <c r="K977" s="754" t="s">
        <v>1059</v>
      </c>
      <c r="L977" s="688"/>
      <c r="M977" s="754"/>
      <c r="N977" s="755" t="s">
        <v>468</v>
      </c>
      <c r="O977" s="754"/>
      <c r="P977" s="782"/>
      <c r="Q977" s="783"/>
      <c r="R977" s="667" t="s">
        <v>432</v>
      </c>
      <c r="S977" s="668" t="s">
        <v>11082</v>
      </c>
      <c r="T977" s="668" t="s">
        <v>11082</v>
      </c>
      <c r="U977" s="668" t="s">
        <v>11082</v>
      </c>
      <c r="V977" s="668"/>
      <c r="W977" s="669" t="s">
        <v>432</v>
      </c>
      <c r="X977" s="668" t="s">
        <v>11082</v>
      </c>
      <c r="Y977" s="668" t="s">
        <v>11082</v>
      </c>
      <c r="Z977" s="668" t="s">
        <v>11082</v>
      </c>
      <c r="AA977" s="668" t="s">
        <v>210</v>
      </c>
      <c r="AB977" s="758"/>
      <c r="AC977" s="758"/>
      <c r="AD977" s="759"/>
      <c r="AE977" s="760"/>
      <c r="AF977" s="846">
        <v>43070</v>
      </c>
      <c r="AG977" s="674" t="s">
        <v>10514</v>
      </c>
      <c r="AH977" s="765"/>
      <c r="AI977" s="785"/>
      <c r="AJ977" s="785"/>
      <c r="AK977" s="772"/>
      <c r="AL977" s="765"/>
      <c r="AM977" s="785"/>
      <c r="AN977" s="785"/>
      <c r="AO977" s="764"/>
      <c r="AP977" s="688" t="s">
        <v>210</v>
      </c>
      <c r="AQ977" s="762"/>
      <c r="AR977" s="763"/>
      <c r="AS977" s="754"/>
      <c r="AT977" s="785"/>
      <c r="AU977" s="785"/>
      <c r="AV977" s="785"/>
      <c r="AW977" s="764"/>
      <c r="AX977" s="765"/>
      <c r="AY977" s="766"/>
      <c r="AZ977" s="753"/>
      <c r="BA977" s="754"/>
      <c r="BB977" s="754"/>
      <c r="BC977" s="754"/>
      <c r="BD977" s="754"/>
      <c r="BE977" s="754"/>
      <c r="BF977" s="754"/>
      <c r="BG977" s="754"/>
      <c r="BH977" s="767"/>
      <c r="BI977" s="765"/>
      <c r="BJ977" s="768"/>
      <c r="BK977" s="769"/>
      <c r="BL977" s="766"/>
      <c r="BM977" s="770"/>
      <c r="BN977" s="765"/>
      <c r="BO977" s="771"/>
      <c r="BP977" s="772"/>
      <c r="BQ977" s="773"/>
      <c r="BR977" s="688"/>
      <c r="BS977" s="688"/>
      <c r="BT977" s="688" t="s">
        <v>210</v>
      </c>
      <c r="BU977" s="688" t="s">
        <v>210</v>
      </c>
      <c r="BV977" s="688" t="s">
        <v>210</v>
      </c>
      <c r="BW977" s="678" t="s">
        <v>210</v>
      </c>
      <c r="BX977" s="688"/>
      <c r="BY977" s="774" t="s">
        <v>6307</v>
      </c>
      <c r="BZ977" s="483"/>
      <c r="CA977" s="483"/>
      <c r="CB977" s="483"/>
      <c r="CC977" s="483"/>
      <c r="CD977" s="484"/>
    </row>
    <row r="978" spans="1:82" ht="22.5" customHeight="1">
      <c r="B978" s="442">
        <v>180035</v>
      </c>
      <c r="C978" s="443" t="s">
        <v>6688</v>
      </c>
      <c r="D978" s="467" t="s">
        <v>6793</v>
      </c>
      <c r="E978" s="404" t="s">
        <v>5362</v>
      </c>
      <c r="F978" s="405" t="s">
        <v>1043</v>
      </c>
      <c r="G978" s="324" t="s">
        <v>1770</v>
      </c>
      <c r="H978" s="324" t="s">
        <v>6689</v>
      </c>
      <c r="I978" s="326" t="s">
        <v>383</v>
      </c>
      <c r="J978" s="326" t="s">
        <v>399</v>
      </c>
      <c r="K978" s="326" t="s">
        <v>223</v>
      </c>
      <c r="L978" s="392" t="s">
        <v>210</v>
      </c>
      <c r="M978" s="324" t="s">
        <v>10767</v>
      </c>
      <c r="N978" s="444" t="s">
        <v>437</v>
      </c>
      <c r="O978" s="324">
        <v>70</v>
      </c>
      <c r="P978" s="458">
        <v>1077.19</v>
      </c>
      <c r="Q978" s="459">
        <v>1160.1600000000001</v>
      </c>
      <c r="R978" s="329" t="s">
        <v>999</v>
      </c>
      <c r="S978" s="394" t="s">
        <v>12122</v>
      </c>
      <c r="T978" s="394" t="s">
        <v>11262</v>
      </c>
      <c r="U978" s="394" t="s">
        <v>16414</v>
      </c>
      <c r="V978" s="394" t="s">
        <v>11263</v>
      </c>
      <c r="W978" s="460" t="s">
        <v>647</v>
      </c>
      <c r="X978" s="400"/>
      <c r="Y978" s="394" t="s">
        <v>11486</v>
      </c>
      <c r="Z978" s="394" t="s">
        <v>11487</v>
      </c>
      <c r="AA978" s="394" t="s">
        <v>11488</v>
      </c>
      <c r="AB978" s="416"/>
      <c r="AC978" s="416"/>
      <c r="AD978" s="334" t="s">
        <v>2321</v>
      </c>
      <c r="AE978" s="335" t="s">
        <v>210</v>
      </c>
      <c r="AF978" s="462">
        <v>43144</v>
      </c>
      <c r="AG978" s="748">
        <v>43308</v>
      </c>
      <c r="AH978" s="417" t="s">
        <v>210</v>
      </c>
      <c r="AI978" s="392" t="s">
        <v>210</v>
      </c>
      <c r="AJ978" s="392" t="s">
        <v>210</v>
      </c>
      <c r="AK978" s="340" t="s">
        <v>210</v>
      </c>
      <c r="AL978" s="417" t="s">
        <v>210</v>
      </c>
      <c r="AM978" s="392" t="s">
        <v>210</v>
      </c>
      <c r="AN978" s="392" t="s">
        <v>210</v>
      </c>
      <c r="AO978" s="341" t="s">
        <v>210</v>
      </c>
      <c r="AP978" s="418" t="s">
        <v>210</v>
      </c>
      <c r="AQ978" s="433" t="s">
        <v>4547</v>
      </c>
      <c r="AR978" s="452">
        <v>1424</v>
      </c>
      <c r="AS978" s="324">
        <v>100</v>
      </c>
      <c r="AT978" s="432">
        <v>1</v>
      </c>
      <c r="AU978" s="432" t="s">
        <v>5745</v>
      </c>
      <c r="AV978" s="432">
        <v>1.5</v>
      </c>
      <c r="AW978" s="490" t="s">
        <v>5636</v>
      </c>
      <c r="AX978" s="417" t="s">
        <v>210</v>
      </c>
      <c r="AY978" s="455" t="s">
        <v>210</v>
      </c>
      <c r="AZ978" s="405" t="s">
        <v>622</v>
      </c>
      <c r="BA978" s="324" t="s">
        <v>3555</v>
      </c>
      <c r="BB978" s="324" t="s">
        <v>5636</v>
      </c>
      <c r="BC978" s="324">
        <v>5</v>
      </c>
      <c r="BD978" s="324" t="s">
        <v>5636</v>
      </c>
      <c r="BE978" s="324">
        <v>10</v>
      </c>
      <c r="BF978" s="324" t="s">
        <v>6796</v>
      </c>
      <c r="BG978" s="324" t="s">
        <v>6797</v>
      </c>
      <c r="BH978" s="426" t="s">
        <v>6798</v>
      </c>
      <c r="BI978" s="453">
        <v>1.65</v>
      </c>
      <c r="BJ978" s="427" t="s">
        <v>6798</v>
      </c>
      <c r="BK978" s="412"/>
      <c r="BL978" s="413"/>
      <c r="BM978" s="414"/>
      <c r="BN978" s="453" t="s">
        <v>622</v>
      </c>
      <c r="BO978" s="464">
        <v>0.91</v>
      </c>
      <c r="BP978" s="455" t="s">
        <v>622</v>
      </c>
      <c r="BQ978" s="456" t="s">
        <v>1059</v>
      </c>
      <c r="BR978" s="342" t="s">
        <v>210</v>
      </c>
      <c r="BS978" s="342" t="s">
        <v>210</v>
      </c>
      <c r="BT978" s="342" t="s">
        <v>210</v>
      </c>
      <c r="BU978" s="342" t="s">
        <v>622</v>
      </c>
      <c r="BV978" s="342" t="s">
        <v>210</v>
      </c>
      <c r="BW978" s="341" t="s">
        <v>210</v>
      </c>
      <c r="BX978" s="361"/>
      <c r="BY978" s="457" t="s">
        <v>6784</v>
      </c>
      <c r="BZ978" s="363"/>
      <c r="CA978" s="363"/>
      <c r="CB978" s="363"/>
      <c r="CC978" s="363"/>
    </row>
    <row r="979" spans="1:82" ht="22.5" customHeight="1">
      <c r="B979" s="442">
        <v>180036</v>
      </c>
      <c r="C979" s="443" t="s">
        <v>6684</v>
      </c>
      <c r="D979" s="467" t="s">
        <v>6218</v>
      </c>
      <c r="E979" s="404" t="s">
        <v>5362</v>
      </c>
      <c r="F979" s="405" t="s">
        <v>1058</v>
      </c>
      <c r="G979" s="324" t="s">
        <v>3224</v>
      </c>
      <c r="H979" s="324" t="s">
        <v>6685</v>
      </c>
      <c r="I979" s="326" t="s">
        <v>383</v>
      </c>
      <c r="J979" s="326" t="s">
        <v>399</v>
      </c>
      <c r="K979" s="324" t="s">
        <v>247</v>
      </c>
      <c r="L979" s="342">
        <v>12</v>
      </c>
      <c r="M979" s="324" t="s">
        <v>10767</v>
      </c>
      <c r="N979" s="444" t="s">
        <v>438</v>
      </c>
      <c r="O979" s="324">
        <v>30</v>
      </c>
      <c r="P979" s="458">
        <v>2553.12</v>
      </c>
      <c r="Q979" s="459">
        <v>2229.12</v>
      </c>
      <c r="R979" s="420" t="s">
        <v>6799</v>
      </c>
      <c r="S979" s="394" t="s">
        <v>12256</v>
      </c>
      <c r="T979" s="394" t="s">
        <v>12257</v>
      </c>
      <c r="U979" s="394" t="s">
        <v>12259</v>
      </c>
      <c r="V979" s="394" t="s">
        <v>12258</v>
      </c>
      <c r="W979" s="332" t="s">
        <v>644</v>
      </c>
      <c r="X979" s="331" t="s">
        <v>12104</v>
      </c>
      <c r="Y979" s="331" t="s">
        <v>12105</v>
      </c>
      <c r="Z979" s="394" t="s">
        <v>11200</v>
      </c>
      <c r="AA979" s="331" t="s">
        <v>12106</v>
      </c>
      <c r="AB979" s="416"/>
      <c r="AC979" s="416"/>
      <c r="AD979" s="447" t="s">
        <v>7037</v>
      </c>
      <c r="AE979" s="499" t="s">
        <v>1720</v>
      </c>
      <c r="AF979" s="462">
        <v>43136</v>
      </c>
      <c r="AG979" s="748">
        <v>43203</v>
      </c>
      <c r="AH979" s="417" t="s">
        <v>210</v>
      </c>
      <c r="AI979" s="392" t="s">
        <v>210</v>
      </c>
      <c r="AJ979" s="392" t="s">
        <v>210</v>
      </c>
      <c r="AK979" s="340" t="s">
        <v>210</v>
      </c>
      <c r="AL979" s="417" t="s">
        <v>210</v>
      </c>
      <c r="AM979" s="392" t="s">
        <v>210</v>
      </c>
      <c r="AN979" s="392" t="s">
        <v>210</v>
      </c>
      <c r="AO979" s="341" t="s">
        <v>210</v>
      </c>
      <c r="AP979" s="418" t="s">
        <v>622</v>
      </c>
      <c r="AQ979" s="433" t="s">
        <v>4547</v>
      </c>
      <c r="AR979" s="452">
        <v>3770</v>
      </c>
      <c r="AS979" s="324">
        <v>80</v>
      </c>
      <c r="AT979" s="432">
        <v>1</v>
      </c>
      <c r="AU979" s="432" t="s">
        <v>5246</v>
      </c>
      <c r="AV979" s="432">
        <v>1.5</v>
      </c>
      <c r="AW979" s="490" t="s">
        <v>5246</v>
      </c>
      <c r="AX979" s="453" t="s">
        <v>6903</v>
      </c>
      <c r="AY979" s="429" t="s">
        <v>6903</v>
      </c>
      <c r="AZ979" s="405" t="s">
        <v>6904</v>
      </c>
      <c r="BA979" s="324" t="s">
        <v>210</v>
      </c>
      <c r="BB979" s="324" t="s">
        <v>210</v>
      </c>
      <c r="BC979" s="324" t="s">
        <v>6903</v>
      </c>
      <c r="BD979" s="324" t="s">
        <v>6903</v>
      </c>
      <c r="BE979" s="324" t="s">
        <v>3565</v>
      </c>
      <c r="BF979" s="324" t="s">
        <v>5246</v>
      </c>
      <c r="BG979" s="324" t="s">
        <v>6905</v>
      </c>
      <c r="BH979" s="426" t="s">
        <v>5246</v>
      </c>
      <c r="BI979" s="453">
        <v>3</v>
      </c>
      <c r="BJ979" s="427" t="s">
        <v>210</v>
      </c>
      <c r="BK979" s="412"/>
      <c r="BL979" s="413"/>
      <c r="BM979" s="414"/>
      <c r="BN979" s="453" t="s">
        <v>622</v>
      </c>
      <c r="BO979" s="464"/>
      <c r="BP979" s="455" t="s">
        <v>210</v>
      </c>
      <c r="BQ979" s="456" t="s">
        <v>247</v>
      </c>
      <c r="BR979" s="342" t="s">
        <v>6906</v>
      </c>
      <c r="BS979" s="342" t="s">
        <v>6906</v>
      </c>
      <c r="BT979" s="342" t="s">
        <v>210</v>
      </c>
      <c r="BU979" s="342" t="s">
        <v>210</v>
      </c>
      <c r="BV979" s="342" t="s">
        <v>210</v>
      </c>
      <c r="BW979" s="341" t="s">
        <v>210</v>
      </c>
      <c r="BX979" s="361"/>
      <c r="BY979" s="888" t="s">
        <v>6876</v>
      </c>
      <c r="BZ979" s="889"/>
      <c r="CA979" s="889"/>
      <c r="CB979" s="889"/>
      <c r="CC979" s="889"/>
    </row>
    <row r="980" spans="1:82" ht="22.5" customHeight="1">
      <c r="B980" s="442">
        <v>180037</v>
      </c>
      <c r="C980" s="443" t="s">
        <v>6699</v>
      </c>
      <c r="D980" s="439" t="s">
        <v>4849</v>
      </c>
      <c r="E980" s="404" t="s">
        <v>5362</v>
      </c>
      <c r="F980" s="405" t="s">
        <v>6700</v>
      </c>
      <c r="G980" s="324" t="s">
        <v>5089</v>
      </c>
      <c r="H980" s="324" t="s">
        <v>6701</v>
      </c>
      <c r="I980" s="324" t="s">
        <v>6702</v>
      </c>
      <c r="J980" s="326" t="s">
        <v>399</v>
      </c>
      <c r="K980" s="324" t="s">
        <v>6703</v>
      </c>
      <c r="L980" s="392" t="s">
        <v>210</v>
      </c>
      <c r="M980" s="324" t="s">
        <v>10767</v>
      </c>
      <c r="N980" s="444" t="s">
        <v>6704</v>
      </c>
      <c r="O980" s="324">
        <v>200</v>
      </c>
      <c r="P980" s="458">
        <v>1382</v>
      </c>
      <c r="Q980" s="459">
        <v>1540</v>
      </c>
      <c r="R980" s="420" t="s">
        <v>6705</v>
      </c>
      <c r="S980" s="400"/>
      <c r="T980" s="400"/>
      <c r="U980" s="400"/>
      <c r="V980" s="400"/>
      <c r="W980" s="460" t="s">
        <v>15046</v>
      </c>
      <c r="X980" s="394" t="s">
        <v>12253</v>
      </c>
      <c r="Y980" s="394" t="s">
        <v>12255</v>
      </c>
      <c r="Z980" s="400"/>
      <c r="AA980" s="394" t="s">
        <v>12254</v>
      </c>
      <c r="AB980" s="416"/>
      <c r="AC980" s="416"/>
      <c r="AD980" s="897"/>
      <c r="AE980" s="898"/>
      <c r="AF980" s="462">
        <v>43140</v>
      </c>
      <c r="AG980" s="748">
        <v>43238</v>
      </c>
      <c r="AH980" s="417" t="s">
        <v>210</v>
      </c>
      <c r="AI980" s="392" t="s">
        <v>210</v>
      </c>
      <c r="AJ980" s="392" t="s">
        <v>210</v>
      </c>
      <c r="AK980" s="340" t="s">
        <v>210</v>
      </c>
      <c r="AL980" s="417" t="s">
        <v>210</v>
      </c>
      <c r="AM980" s="392" t="s">
        <v>210</v>
      </c>
      <c r="AN980" s="392" t="s">
        <v>210</v>
      </c>
      <c r="AO980" s="341" t="s">
        <v>210</v>
      </c>
      <c r="AP980" s="418" t="s">
        <v>210</v>
      </c>
      <c r="AQ980" s="433" t="s">
        <v>4550</v>
      </c>
      <c r="AR980" s="452">
        <v>1924</v>
      </c>
      <c r="AS980" s="324">
        <v>80</v>
      </c>
      <c r="AT980" s="432">
        <v>1.4</v>
      </c>
      <c r="AU980" s="432" t="s">
        <v>5246</v>
      </c>
      <c r="AV980" s="432">
        <v>1</v>
      </c>
      <c r="AW980" s="490" t="s">
        <v>3512</v>
      </c>
      <c r="AX980" s="417" t="s">
        <v>210</v>
      </c>
      <c r="AY980" s="455" t="s">
        <v>210</v>
      </c>
      <c r="AZ980" s="405" t="s">
        <v>4083</v>
      </c>
      <c r="BA980" s="324" t="s">
        <v>210</v>
      </c>
      <c r="BB980" s="324" t="s">
        <v>210</v>
      </c>
      <c r="BC980" s="324" t="s">
        <v>210</v>
      </c>
      <c r="BD980" s="324" t="s">
        <v>210</v>
      </c>
      <c r="BE980" s="324" t="s">
        <v>6708</v>
      </c>
      <c r="BF980" s="324" t="s">
        <v>6579</v>
      </c>
      <c r="BG980" s="324" t="s">
        <v>6709</v>
      </c>
      <c r="BH980" s="426" t="s">
        <v>3512</v>
      </c>
      <c r="BI980" s="453">
        <v>2.5</v>
      </c>
      <c r="BJ980" s="411"/>
      <c r="BK980" s="412"/>
      <c r="BL980" s="413"/>
      <c r="BM980" s="414"/>
      <c r="BN980" s="410"/>
      <c r="BO980" s="502"/>
      <c r="BP980" s="492"/>
      <c r="BQ980" s="456" t="s">
        <v>6724</v>
      </c>
      <c r="BR980" s="418" t="s">
        <v>210</v>
      </c>
      <c r="BS980" s="342" t="s">
        <v>622</v>
      </c>
      <c r="BT980" s="342" t="s">
        <v>210</v>
      </c>
      <c r="BU980" s="342" t="s">
        <v>210</v>
      </c>
      <c r="BV980" s="342" t="s">
        <v>210</v>
      </c>
      <c r="BW980" s="341" t="s">
        <v>622</v>
      </c>
      <c r="BX980" s="361"/>
      <c r="BY980" s="888" t="s">
        <v>6893</v>
      </c>
      <c r="BZ980" s="889"/>
      <c r="CA980" s="889"/>
      <c r="CB980" s="889"/>
      <c r="CC980" s="889"/>
    </row>
    <row r="981" spans="1:82" ht="22.5" customHeight="1">
      <c r="B981" s="442">
        <v>180038</v>
      </c>
      <c r="C981" s="443" t="s">
        <v>6723</v>
      </c>
      <c r="D981" s="467" t="s">
        <v>4853</v>
      </c>
      <c r="E981" s="404" t="s">
        <v>5363</v>
      </c>
      <c r="F981" s="405" t="s">
        <v>6909</v>
      </c>
      <c r="G981" s="324" t="s">
        <v>1897</v>
      </c>
      <c r="H981" s="324" t="s">
        <v>6910</v>
      </c>
      <c r="I981" s="326" t="s">
        <v>383</v>
      </c>
      <c r="J981" s="326" t="s">
        <v>387</v>
      </c>
      <c r="K981" s="324" t="s">
        <v>3400</v>
      </c>
      <c r="L981" s="342" t="s">
        <v>6912</v>
      </c>
      <c r="M981" s="324" t="s">
        <v>10767</v>
      </c>
      <c r="N981" s="444" t="s">
        <v>6911</v>
      </c>
      <c r="O981" s="324">
        <v>30</v>
      </c>
      <c r="P981" s="458">
        <v>1791.93</v>
      </c>
      <c r="Q981" s="459">
        <v>962.94</v>
      </c>
      <c r="R981" s="329" t="s">
        <v>1094</v>
      </c>
      <c r="S981" s="394" t="s">
        <v>12252</v>
      </c>
      <c r="T981" s="331" t="s">
        <v>11123</v>
      </c>
      <c r="U981" s="331" t="s">
        <v>16209</v>
      </c>
      <c r="V981" s="331" t="s">
        <v>11124</v>
      </c>
      <c r="W981" s="332" t="s">
        <v>432</v>
      </c>
      <c r="X981" s="331" t="s">
        <v>11079</v>
      </c>
      <c r="Y981" s="331" t="s">
        <v>11080</v>
      </c>
      <c r="Z981" s="331" t="s">
        <v>11080</v>
      </c>
      <c r="AA981" s="331" t="s">
        <v>6574</v>
      </c>
      <c r="AB981" s="416" t="s">
        <v>16099</v>
      </c>
      <c r="AC981" s="416"/>
      <c r="AD981" s="334" t="s">
        <v>2329</v>
      </c>
      <c r="AE981" s="499" t="s">
        <v>245</v>
      </c>
      <c r="AF981" s="462">
        <v>43152</v>
      </c>
      <c r="AG981" s="748">
        <v>43238</v>
      </c>
      <c r="AH981" s="486" t="s">
        <v>16102</v>
      </c>
      <c r="AI981" s="487" t="s">
        <v>16103</v>
      </c>
      <c r="AJ981" s="487" t="s">
        <v>16104</v>
      </c>
      <c r="AK981" s="895" t="s">
        <v>16105</v>
      </c>
      <c r="AL981" s="453" t="s">
        <v>210</v>
      </c>
      <c r="AM981" s="432" t="s">
        <v>210</v>
      </c>
      <c r="AN981" s="432" t="s">
        <v>210</v>
      </c>
      <c r="AO981" s="490" t="s">
        <v>210</v>
      </c>
      <c r="AP981" s="418" t="s">
        <v>210</v>
      </c>
      <c r="AQ981" s="433" t="s">
        <v>4547</v>
      </c>
      <c r="AR981" s="452">
        <v>1378.3</v>
      </c>
      <c r="AS981" s="324">
        <v>120</v>
      </c>
      <c r="AT981" s="432">
        <v>0.8</v>
      </c>
      <c r="AU981" s="432" t="s">
        <v>5246</v>
      </c>
      <c r="AV981" s="432">
        <v>0.4</v>
      </c>
      <c r="AW981" s="490" t="s">
        <v>5246</v>
      </c>
      <c r="AX981" s="453" t="s">
        <v>6913</v>
      </c>
      <c r="AY981" s="455" t="s">
        <v>622</v>
      </c>
      <c r="AZ981" s="405" t="s">
        <v>4083</v>
      </c>
      <c r="BA981" s="324" t="s">
        <v>6914</v>
      </c>
      <c r="BB981" s="324" t="s">
        <v>6914</v>
      </c>
      <c r="BC981" s="324" t="s">
        <v>3475</v>
      </c>
      <c r="BD981" s="324" t="s">
        <v>5636</v>
      </c>
      <c r="BE981" s="324" t="s">
        <v>4206</v>
      </c>
      <c r="BF981" s="324" t="s">
        <v>4813</v>
      </c>
      <c r="BG981" s="324" t="s">
        <v>6915</v>
      </c>
      <c r="BH981" s="426" t="s">
        <v>5246</v>
      </c>
      <c r="BI981" s="453">
        <v>1</v>
      </c>
      <c r="BJ981" s="427" t="s">
        <v>210</v>
      </c>
      <c r="BK981" s="412"/>
      <c r="BL981" s="413"/>
      <c r="BM981" s="414"/>
      <c r="BN981" s="405" t="s">
        <v>210</v>
      </c>
      <c r="BO981" s="464"/>
      <c r="BP981" s="426" t="s">
        <v>210</v>
      </c>
      <c r="BQ981" s="456" t="s">
        <v>6916</v>
      </c>
      <c r="BR981" s="342" t="s">
        <v>6914</v>
      </c>
      <c r="BS981" s="342" t="s">
        <v>622</v>
      </c>
      <c r="BT981" s="342" t="s">
        <v>210</v>
      </c>
      <c r="BU981" s="342" t="s">
        <v>622</v>
      </c>
      <c r="BV981" s="342" t="s">
        <v>210</v>
      </c>
      <c r="BW981" s="341" t="s">
        <v>210</v>
      </c>
      <c r="BX981" s="342" t="s">
        <v>210</v>
      </c>
      <c r="BY981" s="457" t="s">
        <v>6917</v>
      </c>
      <c r="BZ981" s="363"/>
      <c r="CA981" s="363"/>
      <c r="CB981" s="363"/>
      <c r="CC981" s="363"/>
    </row>
    <row r="982" spans="1:82" ht="22.5" customHeight="1">
      <c r="B982" s="442">
        <v>180039</v>
      </c>
      <c r="C982" s="443" t="s">
        <v>6677</v>
      </c>
      <c r="D982" s="439" t="s">
        <v>4854</v>
      </c>
      <c r="E982" s="404" t="s">
        <v>5363</v>
      </c>
      <c r="F982" s="405" t="s">
        <v>6678</v>
      </c>
      <c r="G982" s="324" t="s">
        <v>1963</v>
      </c>
      <c r="H982" s="324" t="s">
        <v>6679</v>
      </c>
      <c r="I982" s="326" t="s">
        <v>383</v>
      </c>
      <c r="J982" s="326" t="s">
        <v>399</v>
      </c>
      <c r="K982" s="324" t="s">
        <v>3400</v>
      </c>
      <c r="L982" s="392" t="s">
        <v>210</v>
      </c>
      <c r="M982" s="324" t="s">
        <v>10767</v>
      </c>
      <c r="N982" s="444" t="s">
        <v>6772</v>
      </c>
      <c r="O982" s="324">
        <v>120</v>
      </c>
      <c r="P982" s="458">
        <v>1560</v>
      </c>
      <c r="Q982" s="459">
        <v>1560</v>
      </c>
      <c r="R982" s="420" t="s">
        <v>6680</v>
      </c>
      <c r="S982" s="394" t="s">
        <v>12247</v>
      </c>
      <c r="T982" s="394" t="s">
        <v>12246</v>
      </c>
      <c r="U982" s="394" t="s">
        <v>16447</v>
      </c>
      <c r="V982" s="394" t="s">
        <v>12248</v>
      </c>
      <c r="W982" s="460" t="s">
        <v>5202</v>
      </c>
      <c r="X982" s="394" t="s">
        <v>12250</v>
      </c>
      <c r="Y982" s="394" t="s">
        <v>12251</v>
      </c>
      <c r="Z982" s="394" t="s">
        <v>16428</v>
      </c>
      <c r="AA982" s="394" t="s">
        <v>12249</v>
      </c>
      <c r="AB982" s="416"/>
      <c r="AC982" s="416"/>
      <c r="AD982" s="334" t="s">
        <v>2322</v>
      </c>
      <c r="AE982" s="335" t="s">
        <v>1449</v>
      </c>
      <c r="AF982" s="462">
        <v>43136</v>
      </c>
      <c r="AG982" s="748">
        <v>43188</v>
      </c>
      <c r="AH982" s="417" t="s">
        <v>210</v>
      </c>
      <c r="AI982" s="392" t="s">
        <v>210</v>
      </c>
      <c r="AJ982" s="392" t="s">
        <v>210</v>
      </c>
      <c r="AK982" s="340" t="s">
        <v>210</v>
      </c>
      <c r="AL982" s="417" t="s">
        <v>210</v>
      </c>
      <c r="AM982" s="392" t="s">
        <v>210</v>
      </c>
      <c r="AN982" s="392" t="s">
        <v>210</v>
      </c>
      <c r="AO982" s="341" t="s">
        <v>210</v>
      </c>
      <c r="AP982" s="418" t="s">
        <v>210</v>
      </c>
      <c r="AQ982" s="433" t="s">
        <v>4547</v>
      </c>
      <c r="AR982" s="452">
        <v>2523</v>
      </c>
      <c r="AS982" s="324">
        <v>100</v>
      </c>
      <c r="AT982" s="432">
        <v>1</v>
      </c>
      <c r="AU982" s="432" t="s">
        <v>5358</v>
      </c>
      <c r="AV982" s="432">
        <v>1.5</v>
      </c>
      <c r="AW982" s="490" t="s">
        <v>5487</v>
      </c>
      <c r="AX982" s="417" t="s">
        <v>210</v>
      </c>
      <c r="AY982" s="455" t="s">
        <v>622</v>
      </c>
      <c r="AZ982" s="405" t="s">
        <v>4083</v>
      </c>
      <c r="BA982" s="324" t="s">
        <v>210</v>
      </c>
      <c r="BB982" s="324" t="s">
        <v>210</v>
      </c>
      <c r="BC982" s="324" t="s">
        <v>3558</v>
      </c>
      <c r="BD982" s="324" t="s">
        <v>4065</v>
      </c>
      <c r="BE982" s="324" t="s">
        <v>6773</v>
      </c>
      <c r="BF982" s="324" t="s">
        <v>6774</v>
      </c>
      <c r="BG982" s="324" t="s">
        <v>3557</v>
      </c>
      <c r="BH982" s="426" t="s">
        <v>6775</v>
      </c>
      <c r="BI982" s="453">
        <v>0.9</v>
      </c>
      <c r="BJ982" s="427" t="s">
        <v>210</v>
      </c>
      <c r="BK982" s="412"/>
      <c r="BL982" s="413"/>
      <c r="BM982" s="414"/>
      <c r="BN982" s="321" t="s">
        <v>210</v>
      </c>
      <c r="BO982" s="464"/>
      <c r="BP982" s="426" t="s">
        <v>210</v>
      </c>
      <c r="BQ982" s="456" t="s">
        <v>1059</v>
      </c>
      <c r="BR982" s="418" t="s">
        <v>210</v>
      </c>
      <c r="BS982" s="342" t="s">
        <v>622</v>
      </c>
      <c r="BT982" s="342" t="s">
        <v>210</v>
      </c>
      <c r="BU982" s="342" t="s">
        <v>210</v>
      </c>
      <c r="BV982" s="342" t="s">
        <v>210</v>
      </c>
      <c r="BW982" s="341" t="s">
        <v>210</v>
      </c>
      <c r="BX982" s="342" t="s">
        <v>210</v>
      </c>
      <c r="BY982" s="457" t="s">
        <v>6683</v>
      </c>
      <c r="BZ982" s="363"/>
      <c r="CA982" s="363"/>
      <c r="CB982" s="363"/>
      <c r="CC982" s="363"/>
    </row>
    <row r="983" spans="1:82" ht="22.5" customHeight="1">
      <c r="B983" s="442">
        <v>180041</v>
      </c>
      <c r="C983" s="443" t="s">
        <v>6725</v>
      </c>
      <c r="D983" s="439" t="s">
        <v>4849</v>
      </c>
      <c r="E983" s="404" t="s">
        <v>5361</v>
      </c>
      <c r="F983" s="405" t="s">
        <v>6726</v>
      </c>
      <c r="G983" s="324" t="s">
        <v>6727</v>
      </c>
      <c r="H983" s="324" t="s">
        <v>6728</v>
      </c>
      <c r="I983" s="326" t="s">
        <v>383</v>
      </c>
      <c r="J983" s="326" t="s">
        <v>387</v>
      </c>
      <c r="K983" s="324" t="s">
        <v>363</v>
      </c>
      <c r="L983" s="342">
        <v>7.8</v>
      </c>
      <c r="M983" s="324" t="s">
        <v>10767</v>
      </c>
      <c r="N983" s="444" t="s">
        <v>438</v>
      </c>
      <c r="O983" s="324">
        <v>30</v>
      </c>
      <c r="P983" s="816">
        <f>Q983*2</f>
        <v>740</v>
      </c>
      <c r="Q983" s="817">
        <v>370</v>
      </c>
      <c r="R983" s="420" t="s">
        <v>691</v>
      </c>
      <c r="S983" s="394" t="s">
        <v>12243</v>
      </c>
      <c r="T983" s="394" t="s">
        <v>12244</v>
      </c>
      <c r="U983" s="394" t="s">
        <v>16219</v>
      </c>
      <c r="V983" s="394" t="s">
        <v>12245</v>
      </c>
      <c r="W983" s="460" t="s">
        <v>6731</v>
      </c>
      <c r="X983" s="400"/>
      <c r="Y983" s="400"/>
      <c r="Z983" s="400"/>
      <c r="AA983" s="400"/>
      <c r="AB983" s="416"/>
      <c r="AC983" s="416"/>
      <c r="AD983" s="447" t="s">
        <v>321</v>
      </c>
      <c r="AE983" s="499" t="s">
        <v>245</v>
      </c>
      <c r="AF983" s="462">
        <v>43136</v>
      </c>
      <c r="AG983" s="748">
        <v>43192</v>
      </c>
      <c r="AH983" s="417" t="s">
        <v>210</v>
      </c>
      <c r="AI983" s="392" t="s">
        <v>210</v>
      </c>
      <c r="AJ983" s="392" t="s">
        <v>210</v>
      </c>
      <c r="AK983" s="340" t="s">
        <v>210</v>
      </c>
      <c r="AL983" s="417" t="s">
        <v>210</v>
      </c>
      <c r="AM983" s="392" t="s">
        <v>210</v>
      </c>
      <c r="AN983" s="392" t="s">
        <v>210</v>
      </c>
      <c r="AO983" s="341" t="s">
        <v>210</v>
      </c>
      <c r="AP983" s="418" t="s">
        <v>210</v>
      </c>
      <c r="AQ983" s="433" t="s">
        <v>4547</v>
      </c>
      <c r="AR983" s="452">
        <v>382</v>
      </c>
      <c r="AS983" s="324">
        <v>150</v>
      </c>
      <c r="AT983" s="432">
        <v>1</v>
      </c>
      <c r="AU983" s="432" t="s">
        <v>4864</v>
      </c>
      <c r="AV983" s="432">
        <v>1.5</v>
      </c>
      <c r="AW983" s="490" t="s">
        <v>3512</v>
      </c>
      <c r="AX983" s="417" t="s">
        <v>210</v>
      </c>
      <c r="AY983" s="455" t="s">
        <v>210</v>
      </c>
      <c r="AZ983" s="405" t="s">
        <v>4083</v>
      </c>
      <c r="BA983" s="324" t="s">
        <v>210</v>
      </c>
      <c r="BB983" s="324" t="s">
        <v>210</v>
      </c>
      <c r="BC983" s="324" t="s">
        <v>6729</v>
      </c>
      <c r="BD983" s="324" t="s">
        <v>3382</v>
      </c>
      <c r="BE983" s="324" t="s">
        <v>3565</v>
      </c>
      <c r="BF983" s="324" t="s">
        <v>3434</v>
      </c>
      <c r="BG983" s="324" t="s">
        <v>6730</v>
      </c>
      <c r="BH983" s="426" t="s">
        <v>5058</v>
      </c>
      <c r="BI983" s="453">
        <v>1.7</v>
      </c>
      <c r="BJ983" s="427" t="s">
        <v>210</v>
      </c>
      <c r="BK983" s="412"/>
      <c r="BL983" s="413"/>
      <c r="BM983" s="414"/>
      <c r="BN983" s="410"/>
      <c r="BO983" s="502">
        <v>1.2370000000000001</v>
      </c>
      <c r="BP983" s="492"/>
      <c r="BQ983" s="456" t="s">
        <v>6745</v>
      </c>
      <c r="BR983" s="418" t="s">
        <v>210</v>
      </c>
      <c r="BS983" s="342" t="s">
        <v>622</v>
      </c>
      <c r="BT983" s="342" t="s">
        <v>210</v>
      </c>
      <c r="BU983" s="342" t="s">
        <v>210</v>
      </c>
      <c r="BV983" s="342" t="s">
        <v>210</v>
      </c>
      <c r="BW983" s="341" t="s">
        <v>210</v>
      </c>
      <c r="BX983" s="361"/>
      <c r="BY983" s="457" t="s">
        <v>6762</v>
      </c>
      <c r="BZ983" s="363"/>
      <c r="CA983" s="363"/>
      <c r="CB983" s="363"/>
      <c r="CC983" s="363"/>
    </row>
    <row r="984" spans="1:82" ht="22.5" customHeight="1">
      <c r="B984" s="442">
        <v>180042</v>
      </c>
      <c r="C984" s="443" t="s">
        <v>6720</v>
      </c>
      <c r="D984" s="439" t="s">
        <v>4854</v>
      </c>
      <c r="E984" s="404" t="s">
        <v>5362</v>
      </c>
      <c r="F984" s="405" t="s">
        <v>222</v>
      </c>
      <c r="G984" s="324" t="s">
        <v>1860</v>
      </c>
      <c r="H984" s="324" t="s">
        <v>6628</v>
      </c>
      <c r="I984" s="326" t="s">
        <v>383</v>
      </c>
      <c r="J984" s="326" t="s">
        <v>399</v>
      </c>
      <c r="K984" s="326" t="s">
        <v>223</v>
      </c>
      <c r="L984" s="392" t="s">
        <v>210</v>
      </c>
      <c r="M984" s="324" t="s">
        <v>10767</v>
      </c>
      <c r="N984" s="444" t="s">
        <v>437</v>
      </c>
      <c r="O984" s="324">
        <v>180</v>
      </c>
      <c r="P984" s="816">
        <v>1551.66</v>
      </c>
      <c r="Q984" s="817">
        <v>1603.54</v>
      </c>
      <c r="R984" s="329" t="s">
        <v>999</v>
      </c>
      <c r="S984" s="394" t="s">
        <v>12242</v>
      </c>
      <c r="T984" s="394" t="s">
        <v>11262</v>
      </c>
      <c r="U984" s="394" t="s">
        <v>16414</v>
      </c>
      <c r="V984" s="394" t="s">
        <v>11263</v>
      </c>
      <c r="W984" s="460" t="s">
        <v>647</v>
      </c>
      <c r="X984" s="394" t="s">
        <v>11485</v>
      </c>
      <c r="Y984" s="394" t="s">
        <v>11486</v>
      </c>
      <c r="Z984" s="394" t="s">
        <v>11487</v>
      </c>
      <c r="AA984" s="394" t="s">
        <v>11488</v>
      </c>
      <c r="AB984" s="416"/>
      <c r="AC984" s="416"/>
      <c r="AD984" s="334" t="s">
        <v>2321</v>
      </c>
      <c r="AE984" s="335" t="s">
        <v>210</v>
      </c>
      <c r="AF984" s="462">
        <v>43144</v>
      </c>
      <c r="AG984" s="748">
        <v>43216</v>
      </c>
      <c r="AH984" s="417" t="s">
        <v>210</v>
      </c>
      <c r="AI984" s="392" t="s">
        <v>210</v>
      </c>
      <c r="AJ984" s="392" t="s">
        <v>210</v>
      </c>
      <c r="AK984" s="340" t="s">
        <v>210</v>
      </c>
      <c r="AL984" s="417" t="s">
        <v>210</v>
      </c>
      <c r="AM984" s="392" t="s">
        <v>210</v>
      </c>
      <c r="AN984" s="392" t="s">
        <v>210</v>
      </c>
      <c r="AO984" s="341" t="s">
        <v>210</v>
      </c>
      <c r="AP984" s="418" t="s">
        <v>210</v>
      </c>
      <c r="AQ984" s="433" t="s">
        <v>4547</v>
      </c>
      <c r="AR984" s="452">
        <v>1426</v>
      </c>
      <c r="AS984" s="324">
        <v>150</v>
      </c>
      <c r="AT984" s="432">
        <v>1</v>
      </c>
      <c r="AU984" s="432" t="s">
        <v>5246</v>
      </c>
      <c r="AV984" s="432">
        <v>1.5</v>
      </c>
      <c r="AW984" s="490" t="s">
        <v>5246</v>
      </c>
      <c r="AX984" s="417" t="s">
        <v>210</v>
      </c>
      <c r="AY984" s="455" t="s">
        <v>210</v>
      </c>
      <c r="AZ984" s="405" t="s">
        <v>4083</v>
      </c>
      <c r="BA984" s="324" t="s">
        <v>210</v>
      </c>
      <c r="BB984" s="324" t="s">
        <v>210</v>
      </c>
      <c r="BC984" s="324" t="s">
        <v>3475</v>
      </c>
      <c r="BD984" s="324" t="s">
        <v>5246</v>
      </c>
      <c r="BE984" s="324" t="s">
        <v>3555</v>
      </c>
      <c r="BF984" s="324" t="s">
        <v>6579</v>
      </c>
      <c r="BG984" s="324" t="s">
        <v>3557</v>
      </c>
      <c r="BH984" s="426" t="s">
        <v>3512</v>
      </c>
      <c r="BI984" s="453">
        <v>2</v>
      </c>
      <c r="BJ984" s="427" t="s">
        <v>210</v>
      </c>
      <c r="BK984" s="412"/>
      <c r="BL984" s="413"/>
      <c r="BM984" s="414"/>
      <c r="BN984" s="453" t="s">
        <v>622</v>
      </c>
      <c r="BO984" s="502"/>
      <c r="BP984" s="455" t="s">
        <v>622</v>
      </c>
      <c r="BQ984" s="456" t="s">
        <v>1059</v>
      </c>
      <c r="BR984" s="418" t="s">
        <v>210</v>
      </c>
      <c r="BS984" s="342" t="s">
        <v>622</v>
      </c>
      <c r="BT984" s="342" t="s">
        <v>210</v>
      </c>
      <c r="BU984" s="342" t="s">
        <v>210</v>
      </c>
      <c r="BV984" s="342" t="s">
        <v>210</v>
      </c>
      <c r="BW984" s="341" t="s">
        <v>210</v>
      </c>
      <c r="BX984" s="342" t="s">
        <v>210</v>
      </c>
      <c r="BY984" s="457" t="s">
        <v>6721</v>
      </c>
      <c r="BZ984" s="363"/>
      <c r="CA984" s="363"/>
      <c r="CB984" s="363"/>
      <c r="CC984" s="363"/>
    </row>
    <row r="985" spans="1:82" ht="22.5" customHeight="1">
      <c r="B985" s="442">
        <v>180043</v>
      </c>
      <c r="C985" s="443" t="s">
        <v>6811</v>
      </c>
      <c r="D985" s="467" t="s">
        <v>6763</v>
      </c>
      <c r="E985" s="404" t="s">
        <v>5362</v>
      </c>
      <c r="F985" s="405" t="s">
        <v>1043</v>
      </c>
      <c r="G985" s="324" t="s">
        <v>4989</v>
      </c>
      <c r="H985" s="324" t="s">
        <v>6743</v>
      </c>
      <c r="I985" s="326" t="s">
        <v>383</v>
      </c>
      <c r="J985" s="326" t="s">
        <v>399</v>
      </c>
      <c r="K985" s="324" t="s">
        <v>363</v>
      </c>
      <c r="L985" s="342">
        <v>25</v>
      </c>
      <c r="M985" s="324" t="s">
        <v>10767</v>
      </c>
      <c r="N985" s="444" t="s">
        <v>438</v>
      </c>
      <c r="O985" s="324">
        <v>100</v>
      </c>
      <c r="P985" s="816">
        <f>1280+1392+300</f>
        <v>2972</v>
      </c>
      <c r="Q985" s="817">
        <f>P985</f>
        <v>2972</v>
      </c>
      <c r="R985" s="420" t="s">
        <v>4533</v>
      </c>
      <c r="S985" s="394" t="s">
        <v>12234</v>
      </c>
      <c r="T985" s="394" t="s">
        <v>12235</v>
      </c>
      <c r="U985" s="400"/>
      <c r="V985" s="394" t="s">
        <v>12236</v>
      </c>
      <c r="W985" s="332" t="s">
        <v>592</v>
      </c>
      <c r="X985" s="394" t="s">
        <v>12237</v>
      </c>
      <c r="Y985" s="394" t="s">
        <v>12238</v>
      </c>
      <c r="Z985" s="394" t="s">
        <v>12240</v>
      </c>
      <c r="AA985" s="394" t="s">
        <v>12239</v>
      </c>
      <c r="AB985" s="416"/>
      <c r="AC985" s="416"/>
      <c r="AD985" s="447" t="s">
        <v>1591</v>
      </c>
      <c r="AE985" s="499" t="s">
        <v>6921</v>
      </c>
      <c r="AF985" s="462">
        <v>43145</v>
      </c>
      <c r="AG985" s="748">
        <v>43215</v>
      </c>
      <c r="AH985" s="417" t="s">
        <v>210</v>
      </c>
      <c r="AI985" s="392" t="s">
        <v>210</v>
      </c>
      <c r="AJ985" s="392" t="s">
        <v>210</v>
      </c>
      <c r="AK985" s="340" t="s">
        <v>210</v>
      </c>
      <c r="AL985" s="417" t="s">
        <v>210</v>
      </c>
      <c r="AM985" s="392" t="s">
        <v>210</v>
      </c>
      <c r="AN985" s="392" t="s">
        <v>210</v>
      </c>
      <c r="AO985" s="341" t="s">
        <v>210</v>
      </c>
      <c r="AP985" s="418" t="s">
        <v>210</v>
      </c>
      <c r="AQ985" s="433" t="s">
        <v>4547</v>
      </c>
      <c r="AR985" s="452">
        <f>1702+2026+400</f>
        <v>4128</v>
      </c>
      <c r="AS985" s="324">
        <v>100</v>
      </c>
      <c r="AT985" s="432">
        <v>1</v>
      </c>
      <c r="AU985" s="432" t="s">
        <v>5578</v>
      </c>
      <c r="AV985" s="432">
        <v>1.5</v>
      </c>
      <c r="AW985" s="490" t="s">
        <v>3380</v>
      </c>
      <c r="AX985" s="417" t="s">
        <v>6862</v>
      </c>
      <c r="AY985" s="455" t="s">
        <v>210</v>
      </c>
      <c r="AZ985" s="405" t="s">
        <v>622</v>
      </c>
      <c r="BA985" s="324" t="s">
        <v>6812</v>
      </c>
      <c r="BB985" s="324" t="s">
        <v>3380</v>
      </c>
      <c r="BC985" s="324" t="s">
        <v>3565</v>
      </c>
      <c r="BD985" s="324" t="s">
        <v>6813</v>
      </c>
      <c r="BE985" s="324" t="s">
        <v>6814</v>
      </c>
      <c r="BF985" s="324" t="s">
        <v>6815</v>
      </c>
      <c r="BG985" s="324" t="s">
        <v>6816</v>
      </c>
      <c r="BH985" s="426" t="s">
        <v>3574</v>
      </c>
      <c r="BI985" s="453">
        <v>0.6</v>
      </c>
      <c r="BJ985" s="427" t="s">
        <v>210</v>
      </c>
      <c r="BK985" s="412"/>
      <c r="BL985" s="413"/>
      <c r="BM985" s="414"/>
      <c r="BN985" s="321" t="s">
        <v>210</v>
      </c>
      <c r="BO985" s="502"/>
      <c r="BP985" s="455" t="s">
        <v>622</v>
      </c>
      <c r="BQ985" s="456" t="s">
        <v>6817</v>
      </c>
      <c r="BR985" s="342" t="s">
        <v>622</v>
      </c>
      <c r="BS985" s="342" t="s">
        <v>622</v>
      </c>
      <c r="BT985" s="342" t="s">
        <v>210</v>
      </c>
      <c r="BU985" s="342" t="s">
        <v>210</v>
      </c>
      <c r="BV985" s="342" t="s">
        <v>210</v>
      </c>
      <c r="BW985" s="341" t="s">
        <v>210</v>
      </c>
      <c r="BX985" s="361"/>
      <c r="BY985" s="457" t="s">
        <v>6758</v>
      </c>
      <c r="BZ985" s="363"/>
      <c r="CA985" s="363"/>
      <c r="CB985" s="363"/>
      <c r="CC985" s="363"/>
    </row>
    <row r="986" spans="1:82" ht="22.5" customHeight="1">
      <c r="B986" s="442">
        <v>180044</v>
      </c>
      <c r="C986" s="443" t="s">
        <v>6734</v>
      </c>
      <c r="D986" s="467" t="s">
        <v>6135</v>
      </c>
      <c r="E986" s="404" t="s">
        <v>5362</v>
      </c>
      <c r="F986" s="405" t="s">
        <v>222</v>
      </c>
      <c r="G986" s="324" t="s">
        <v>6735</v>
      </c>
      <c r="H986" s="324" t="s">
        <v>6863</v>
      </c>
      <c r="I986" s="326" t="s">
        <v>383</v>
      </c>
      <c r="J986" s="324" t="s">
        <v>6632</v>
      </c>
      <c r="K986" s="326" t="s">
        <v>993</v>
      </c>
      <c r="L986" s="392" t="s">
        <v>210</v>
      </c>
      <c r="M986" s="324" t="s">
        <v>10767</v>
      </c>
      <c r="N986" s="444" t="s">
        <v>437</v>
      </c>
      <c r="O986" s="324">
        <v>110</v>
      </c>
      <c r="P986" s="458">
        <v>567</v>
      </c>
      <c r="Q986" s="459">
        <v>563</v>
      </c>
      <c r="R986" s="420" t="s">
        <v>6736</v>
      </c>
      <c r="S986" s="394" t="s">
        <v>12230</v>
      </c>
      <c r="T986" s="394" t="s">
        <v>12231</v>
      </c>
      <c r="U986" s="394" t="s">
        <v>12232</v>
      </c>
      <c r="V986" s="394" t="s">
        <v>12233</v>
      </c>
      <c r="W986" s="460" t="s">
        <v>9254</v>
      </c>
      <c r="X986" s="400"/>
      <c r="Y986" s="400"/>
      <c r="Z986" s="400"/>
      <c r="AA986" s="400"/>
      <c r="AB986" s="416"/>
      <c r="AC986" s="416"/>
      <c r="AD986" s="334" t="s">
        <v>7086</v>
      </c>
      <c r="AE986" s="335" t="s">
        <v>210</v>
      </c>
      <c r="AF986" s="462">
        <v>43145</v>
      </c>
      <c r="AG986" s="748">
        <v>43216</v>
      </c>
      <c r="AH986" s="417" t="s">
        <v>210</v>
      </c>
      <c r="AI986" s="392" t="s">
        <v>210</v>
      </c>
      <c r="AJ986" s="392" t="s">
        <v>210</v>
      </c>
      <c r="AK986" s="340" t="s">
        <v>210</v>
      </c>
      <c r="AL986" s="417" t="s">
        <v>210</v>
      </c>
      <c r="AM986" s="392" t="s">
        <v>210</v>
      </c>
      <c r="AN986" s="392" t="s">
        <v>210</v>
      </c>
      <c r="AO986" s="341" t="s">
        <v>210</v>
      </c>
      <c r="AP986" s="418" t="s">
        <v>210</v>
      </c>
      <c r="AQ986" s="433" t="s">
        <v>4547</v>
      </c>
      <c r="AR986" s="452">
        <v>739</v>
      </c>
      <c r="AS986" s="324">
        <v>100</v>
      </c>
      <c r="AT986" s="432">
        <v>1</v>
      </c>
      <c r="AU986" s="432" t="s">
        <v>5246</v>
      </c>
      <c r="AV986" s="432">
        <v>1.5</v>
      </c>
      <c r="AW986" s="490" t="s">
        <v>3492</v>
      </c>
      <c r="AX986" s="417" t="s">
        <v>210</v>
      </c>
      <c r="AY986" s="455" t="s">
        <v>210</v>
      </c>
      <c r="AZ986" s="405" t="s">
        <v>622</v>
      </c>
      <c r="BA986" s="324" t="s">
        <v>6739</v>
      </c>
      <c r="BB986" s="324" t="s">
        <v>6740</v>
      </c>
      <c r="BC986" s="324" t="s">
        <v>6739</v>
      </c>
      <c r="BD986" s="324" t="s">
        <v>6740</v>
      </c>
      <c r="BE986" s="324" t="s">
        <v>6741</v>
      </c>
      <c r="BF986" s="324" t="s">
        <v>6742</v>
      </c>
      <c r="BG986" s="324" t="s">
        <v>3475</v>
      </c>
      <c r="BH986" s="426" t="s">
        <v>3512</v>
      </c>
      <c r="BI986" s="453">
        <v>1.3</v>
      </c>
      <c r="BJ986" s="427" t="s">
        <v>210</v>
      </c>
      <c r="BK986" s="412"/>
      <c r="BL986" s="413"/>
      <c r="BM986" s="414"/>
      <c r="BN986" s="453" t="s">
        <v>622</v>
      </c>
      <c r="BO986" s="502"/>
      <c r="BP986" s="455" t="s">
        <v>622</v>
      </c>
      <c r="BQ986" s="456" t="s">
        <v>1059</v>
      </c>
      <c r="BR986" s="418" t="s">
        <v>210</v>
      </c>
      <c r="BS986" s="342" t="s">
        <v>622</v>
      </c>
      <c r="BT986" s="342" t="s">
        <v>210</v>
      </c>
      <c r="BU986" s="342" t="s">
        <v>210</v>
      </c>
      <c r="BV986" s="342" t="s">
        <v>210</v>
      </c>
      <c r="BW986" s="341" t="s">
        <v>210</v>
      </c>
      <c r="BX986" s="361"/>
      <c r="BY986" s="457"/>
      <c r="BZ986" s="363"/>
      <c r="CA986" s="363"/>
      <c r="CB986" s="363"/>
      <c r="CC986" s="363"/>
    </row>
    <row r="987" spans="1:82" ht="22.5" customHeight="1">
      <c r="B987" s="442">
        <v>180045</v>
      </c>
      <c r="C987" s="443" t="s">
        <v>6746</v>
      </c>
      <c r="D987" s="467" t="s">
        <v>6636</v>
      </c>
      <c r="E987" s="899" t="s">
        <v>6927</v>
      </c>
      <c r="F987" s="405" t="s">
        <v>266</v>
      </c>
      <c r="G987" s="324" t="s">
        <v>6747</v>
      </c>
      <c r="H987" s="324" t="s">
        <v>6748</v>
      </c>
      <c r="I987" s="326" t="s">
        <v>383</v>
      </c>
      <c r="J987" s="324" t="s">
        <v>216</v>
      </c>
      <c r="K987" s="324" t="s">
        <v>363</v>
      </c>
      <c r="L987" s="361"/>
      <c r="M987" s="324" t="s">
        <v>6852</v>
      </c>
      <c r="N987" s="444" t="s">
        <v>6851</v>
      </c>
      <c r="O987" s="324" t="s">
        <v>6850</v>
      </c>
      <c r="P987" s="816">
        <f>Q987*3</f>
        <v>909</v>
      </c>
      <c r="Q987" s="817">
        <v>303</v>
      </c>
      <c r="R987" s="420" t="s">
        <v>6749</v>
      </c>
      <c r="S987" s="394" t="s">
        <v>12224</v>
      </c>
      <c r="T987" s="394" t="s">
        <v>12225</v>
      </c>
      <c r="U987" s="394" t="s">
        <v>16417</v>
      </c>
      <c r="V987" s="394" t="s">
        <v>12226</v>
      </c>
      <c r="W987" s="460" t="s">
        <v>6750</v>
      </c>
      <c r="X987" s="394" t="s">
        <v>12227</v>
      </c>
      <c r="Y987" s="394" t="s">
        <v>12228</v>
      </c>
      <c r="Z987" s="394" t="s">
        <v>16418</v>
      </c>
      <c r="AA987" s="394" t="s">
        <v>12229</v>
      </c>
      <c r="AB987" s="416"/>
      <c r="AC987" s="416"/>
      <c r="AD987" s="447" t="s">
        <v>7768</v>
      </c>
      <c r="AE987" s="335" t="s">
        <v>210</v>
      </c>
      <c r="AF987" s="462">
        <v>43147</v>
      </c>
      <c r="AG987" s="748">
        <v>43318</v>
      </c>
      <c r="AH987" s="417" t="s">
        <v>210</v>
      </c>
      <c r="AI987" s="392" t="s">
        <v>210</v>
      </c>
      <c r="AJ987" s="392" t="s">
        <v>210</v>
      </c>
      <c r="AK987" s="340" t="s">
        <v>210</v>
      </c>
      <c r="AL987" s="417" t="s">
        <v>210</v>
      </c>
      <c r="AM987" s="392" t="s">
        <v>210</v>
      </c>
      <c r="AN987" s="392" t="s">
        <v>210</v>
      </c>
      <c r="AO987" s="341" t="s">
        <v>210</v>
      </c>
      <c r="AP987" s="418" t="s">
        <v>210</v>
      </c>
      <c r="AQ987" s="433" t="s">
        <v>4547</v>
      </c>
      <c r="AR987" s="452">
        <v>460</v>
      </c>
      <c r="AS987" s="324">
        <v>150</v>
      </c>
      <c r="AT987" s="432">
        <v>1</v>
      </c>
      <c r="AU987" s="432" t="s">
        <v>3627</v>
      </c>
      <c r="AV987" s="432">
        <v>1.8</v>
      </c>
      <c r="AW987" s="490" t="s">
        <v>3434</v>
      </c>
      <c r="AX987" s="453" t="s">
        <v>622</v>
      </c>
      <c r="AY987" s="455" t="s">
        <v>210</v>
      </c>
      <c r="AZ987" s="405" t="s">
        <v>622</v>
      </c>
      <c r="BA987" s="324" t="s">
        <v>6755</v>
      </c>
      <c r="BB987" s="324" t="s">
        <v>3372</v>
      </c>
      <c r="BC987" s="324" t="s">
        <v>6756</v>
      </c>
      <c r="BD987" s="324" t="s">
        <v>5905</v>
      </c>
      <c r="BE987" s="324" t="s">
        <v>3475</v>
      </c>
      <c r="BF987" s="324" t="s">
        <v>5671</v>
      </c>
      <c r="BG987" s="324" t="s">
        <v>3555</v>
      </c>
      <c r="BH987" s="426" t="s">
        <v>6757</v>
      </c>
      <c r="BI987" s="453">
        <v>1.8</v>
      </c>
      <c r="BJ987" s="427" t="s">
        <v>210</v>
      </c>
      <c r="BK987" s="428" t="s">
        <v>8809</v>
      </c>
      <c r="BL987" s="429">
        <v>4.8</v>
      </c>
      <c r="BM987" s="414"/>
      <c r="BN987" s="453" t="s">
        <v>622</v>
      </c>
      <c r="BO987" s="502"/>
      <c r="BP987" s="492"/>
      <c r="BQ987" s="456" t="s">
        <v>1059</v>
      </c>
      <c r="BR987" s="342" t="s">
        <v>622</v>
      </c>
      <c r="BS987" s="342" t="s">
        <v>622</v>
      </c>
      <c r="BT987" s="342" t="s">
        <v>210</v>
      </c>
      <c r="BU987" s="342" t="s">
        <v>210</v>
      </c>
      <c r="BV987" s="342" t="s">
        <v>210</v>
      </c>
      <c r="BW987" s="341" t="s">
        <v>210</v>
      </c>
      <c r="BX987" s="361"/>
      <c r="BY987" s="457" t="s">
        <v>6764</v>
      </c>
      <c r="BZ987" s="363"/>
      <c r="CA987" s="363"/>
      <c r="CB987" s="363"/>
      <c r="CC987" s="363"/>
    </row>
    <row r="988" spans="1:82" ht="22.5" customHeight="1">
      <c r="B988" s="442">
        <v>180047</v>
      </c>
      <c r="C988" s="443" t="s">
        <v>6788</v>
      </c>
      <c r="D988" s="467" t="s">
        <v>4847</v>
      </c>
      <c r="E988" s="404" t="s">
        <v>5362</v>
      </c>
      <c r="F988" s="405" t="s">
        <v>227</v>
      </c>
      <c r="G988" s="324" t="s">
        <v>6789</v>
      </c>
      <c r="H988" s="324" t="s">
        <v>6790</v>
      </c>
      <c r="I988" s="326" t="s">
        <v>11</v>
      </c>
      <c r="J988" s="326" t="s">
        <v>12</v>
      </c>
      <c r="K988" s="326" t="s">
        <v>10</v>
      </c>
      <c r="L988" s="392" t="s">
        <v>210</v>
      </c>
      <c r="M988" s="324" t="s">
        <v>10767</v>
      </c>
      <c r="N988" s="444" t="s">
        <v>6871</v>
      </c>
      <c r="O988" s="324">
        <v>30</v>
      </c>
      <c r="P988" s="816">
        <v>785</v>
      </c>
      <c r="Q988" s="817">
        <v>785</v>
      </c>
      <c r="R988" s="420" t="s">
        <v>6655</v>
      </c>
      <c r="S988" s="394" t="s">
        <v>12222</v>
      </c>
      <c r="T988" s="394" t="s">
        <v>12191</v>
      </c>
      <c r="U988" s="394" t="s">
        <v>16247</v>
      </c>
      <c r="V988" s="394" t="s">
        <v>12223</v>
      </c>
      <c r="W988" s="460" t="s">
        <v>6768</v>
      </c>
      <c r="X988" s="394" t="s">
        <v>12188</v>
      </c>
      <c r="Y988" s="394" t="s">
        <v>12190</v>
      </c>
      <c r="Z988" s="394" t="s">
        <v>16248</v>
      </c>
      <c r="AA988" s="394" t="s">
        <v>12189</v>
      </c>
      <c r="AB988" s="416" t="s">
        <v>6769</v>
      </c>
      <c r="AC988" s="416"/>
      <c r="AD988" s="447" t="s">
        <v>1422</v>
      </c>
      <c r="AE988" s="335" t="s">
        <v>210</v>
      </c>
      <c r="AF988" s="462">
        <v>43153</v>
      </c>
      <c r="AG988" s="748">
        <v>43175</v>
      </c>
      <c r="AH988" s="417" t="s">
        <v>210</v>
      </c>
      <c r="AI988" s="392" t="s">
        <v>210</v>
      </c>
      <c r="AJ988" s="392" t="s">
        <v>210</v>
      </c>
      <c r="AK988" s="340" t="s">
        <v>210</v>
      </c>
      <c r="AL988" s="417" t="s">
        <v>210</v>
      </c>
      <c r="AM988" s="392" t="s">
        <v>210</v>
      </c>
      <c r="AN988" s="392" t="s">
        <v>210</v>
      </c>
      <c r="AO988" s="341" t="s">
        <v>210</v>
      </c>
      <c r="AP988" s="418" t="s">
        <v>210</v>
      </c>
      <c r="AQ988" s="433" t="s">
        <v>4547</v>
      </c>
      <c r="AR988" s="452">
        <v>1111</v>
      </c>
      <c r="AS988" s="324">
        <v>100</v>
      </c>
      <c r="AT988" s="432">
        <v>1</v>
      </c>
      <c r="AU988" s="432" t="s">
        <v>5246</v>
      </c>
      <c r="AV988" s="432">
        <v>1.5</v>
      </c>
      <c r="AW988" s="490" t="s">
        <v>3494</v>
      </c>
      <c r="AX988" s="417" t="s">
        <v>6862</v>
      </c>
      <c r="AY988" s="455" t="s">
        <v>210</v>
      </c>
      <c r="AZ988" s="405" t="s">
        <v>4083</v>
      </c>
      <c r="BA988" s="324" t="s">
        <v>210</v>
      </c>
      <c r="BB988" s="324" t="s">
        <v>210</v>
      </c>
      <c r="BC988" s="324" t="s">
        <v>210</v>
      </c>
      <c r="BD988" s="324" t="s">
        <v>210</v>
      </c>
      <c r="BE988" s="324" t="s">
        <v>6791</v>
      </c>
      <c r="BF988" s="324" t="s">
        <v>5246</v>
      </c>
      <c r="BG988" s="324" t="s">
        <v>6792</v>
      </c>
      <c r="BH988" s="426" t="s">
        <v>5528</v>
      </c>
      <c r="BI988" s="453">
        <v>2</v>
      </c>
      <c r="BJ988" s="427" t="s">
        <v>210</v>
      </c>
      <c r="BK988" s="412"/>
      <c r="BL988" s="413"/>
      <c r="BM988" s="414"/>
      <c r="BN988" s="453" t="s">
        <v>622</v>
      </c>
      <c r="BO988" s="502"/>
      <c r="BP988" s="426" t="s">
        <v>210</v>
      </c>
      <c r="BQ988" s="456" t="s">
        <v>1059</v>
      </c>
      <c r="BR988" s="418" t="s">
        <v>210</v>
      </c>
      <c r="BS988" s="342" t="s">
        <v>622</v>
      </c>
      <c r="BT988" s="342" t="s">
        <v>210</v>
      </c>
      <c r="BU988" s="342" t="s">
        <v>210</v>
      </c>
      <c r="BV988" s="342" t="s">
        <v>210</v>
      </c>
      <c r="BW988" s="341" t="s">
        <v>210</v>
      </c>
      <c r="BX988" s="361"/>
      <c r="BY988" s="457" t="s">
        <v>6953</v>
      </c>
      <c r="BZ988" s="363"/>
      <c r="CA988" s="363"/>
      <c r="CB988" s="363"/>
      <c r="CC988" s="363"/>
    </row>
    <row r="989" spans="1:82" ht="22.5" customHeight="1">
      <c r="B989" s="442">
        <v>180048</v>
      </c>
      <c r="C989" s="443" t="s">
        <v>6800</v>
      </c>
      <c r="D989" s="467" t="s">
        <v>6135</v>
      </c>
      <c r="E989" s="404" t="s">
        <v>6974</v>
      </c>
      <c r="F989" s="405" t="s">
        <v>6801</v>
      </c>
      <c r="G989" s="324" t="s">
        <v>6802</v>
      </c>
      <c r="H989" s="324" t="s">
        <v>6803</v>
      </c>
      <c r="I989" s="326" t="s">
        <v>11</v>
      </c>
      <c r="J989" s="326" t="s">
        <v>12</v>
      </c>
      <c r="K989" s="326" t="s">
        <v>10</v>
      </c>
      <c r="L989" s="392" t="s">
        <v>210</v>
      </c>
      <c r="M989" s="324" t="s">
        <v>6509</v>
      </c>
      <c r="N989" s="444" t="s">
        <v>6875</v>
      </c>
      <c r="O989" s="324">
        <v>20</v>
      </c>
      <c r="P989" s="458">
        <v>2413.5</v>
      </c>
      <c r="Q989" s="459">
        <v>2514.6999999999998</v>
      </c>
      <c r="R989" s="420" t="s">
        <v>6804</v>
      </c>
      <c r="S989" s="394" t="s">
        <v>12221</v>
      </c>
      <c r="T989" s="400"/>
      <c r="U989" s="400"/>
      <c r="V989" s="394" t="s">
        <v>12220</v>
      </c>
      <c r="W989" s="460" t="s">
        <v>6805</v>
      </c>
      <c r="X989" s="394" t="s">
        <v>12217</v>
      </c>
      <c r="Y989" s="394" t="s">
        <v>12218</v>
      </c>
      <c r="Z989" s="394" t="s">
        <v>16393</v>
      </c>
      <c r="AA989" s="394" t="s">
        <v>12219</v>
      </c>
      <c r="AB989" s="416"/>
      <c r="AC989" s="416"/>
      <c r="AD989" s="334" t="s">
        <v>2338</v>
      </c>
      <c r="AE989" s="499" t="s">
        <v>7971</v>
      </c>
      <c r="AF989" s="462">
        <v>43154</v>
      </c>
      <c r="AG989" s="748">
        <v>43201</v>
      </c>
      <c r="AH989" s="417" t="s">
        <v>210</v>
      </c>
      <c r="AI989" s="392" t="s">
        <v>210</v>
      </c>
      <c r="AJ989" s="392" t="s">
        <v>210</v>
      </c>
      <c r="AK989" s="340" t="s">
        <v>210</v>
      </c>
      <c r="AL989" s="417" t="s">
        <v>210</v>
      </c>
      <c r="AM989" s="392" t="s">
        <v>210</v>
      </c>
      <c r="AN989" s="392" t="s">
        <v>210</v>
      </c>
      <c r="AO989" s="341" t="s">
        <v>210</v>
      </c>
      <c r="AP989" s="418" t="s">
        <v>210</v>
      </c>
      <c r="AQ989" s="433" t="s">
        <v>4547</v>
      </c>
      <c r="AR989" s="452">
        <v>3274</v>
      </c>
      <c r="AS989" s="324">
        <v>150</v>
      </c>
      <c r="AT989" s="432">
        <v>0.6</v>
      </c>
      <c r="AU989" s="432" t="s">
        <v>5605</v>
      </c>
      <c r="AV989" s="432">
        <v>0.6</v>
      </c>
      <c r="AW989" s="490" t="s">
        <v>5605</v>
      </c>
      <c r="AX989" s="417" t="s">
        <v>210</v>
      </c>
      <c r="AY989" s="455" t="s">
        <v>210</v>
      </c>
      <c r="AZ989" s="405" t="s">
        <v>4083</v>
      </c>
      <c r="BA989" s="324" t="s">
        <v>210</v>
      </c>
      <c r="BB989" s="324" t="s">
        <v>210</v>
      </c>
      <c r="BC989" s="324" t="s">
        <v>210</v>
      </c>
      <c r="BD989" s="324" t="s">
        <v>210</v>
      </c>
      <c r="BE989" s="324" t="s">
        <v>210</v>
      </c>
      <c r="BF989" s="324" t="s">
        <v>210</v>
      </c>
      <c r="BG989" s="324" t="s">
        <v>6810</v>
      </c>
      <c r="BH989" s="426" t="s">
        <v>3936</v>
      </c>
      <c r="BI989" s="453">
        <v>0.5</v>
      </c>
      <c r="BJ989" s="427" t="s">
        <v>210</v>
      </c>
      <c r="BK989" s="412"/>
      <c r="BL989" s="413"/>
      <c r="BM989" s="414"/>
      <c r="BN989" s="453" t="s">
        <v>622</v>
      </c>
      <c r="BO989" s="502"/>
      <c r="BP989" s="426" t="s">
        <v>210</v>
      </c>
      <c r="BQ989" s="456" t="s">
        <v>6623</v>
      </c>
      <c r="BR989" s="418" t="s">
        <v>210</v>
      </c>
      <c r="BS989" s="342" t="s">
        <v>622</v>
      </c>
      <c r="BT989" s="342" t="s">
        <v>210</v>
      </c>
      <c r="BU989" s="342" t="s">
        <v>210</v>
      </c>
      <c r="BV989" s="342" t="s">
        <v>210</v>
      </c>
      <c r="BW989" s="341" t="s">
        <v>210</v>
      </c>
      <c r="BX989" s="361"/>
      <c r="BY989" s="888" t="s">
        <v>7027</v>
      </c>
      <c r="BZ989" s="889"/>
      <c r="CA989" s="889"/>
      <c r="CB989" s="889"/>
      <c r="CC989" s="889"/>
    </row>
    <row r="990" spans="1:82" ht="22.5" customHeight="1">
      <c r="B990" s="442">
        <v>180049</v>
      </c>
      <c r="C990" s="443" t="s">
        <v>6759</v>
      </c>
      <c r="D990" s="439" t="s">
        <v>5344</v>
      </c>
      <c r="E990" s="404" t="s">
        <v>5362</v>
      </c>
      <c r="F990" s="405" t="s">
        <v>1390</v>
      </c>
      <c r="G990" s="324" t="s">
        <v>6760</v>
      </c>
      <c r="H990" s="324" t="s">
        <v>6761</v>
      </c>
      <c r="I990" s="326" t="s">
        <v>383</v>
      </c>
      <c r="J990" s="326" t="s">
        <v>399</v>
      </c>
      <c r="K990" s="324" t="s">
        <v>363</v>
      </c>
      <c r="L990" s="342">
        <v>15</v>
      </c>
      <c r="M990" s="324" t="s">
        <v>10767</v>
      </c>
      <c r="N990" s="444" t="s">
        <v>438</v>
      </c>
      <c r="O990" s="324">
        <v>70</v>
      </c>
      <c r="P990" s="458">
        <v>1872</v>
      </c>
      <c r="Q990" s="459">
        <v>2081</v>
      </c>
      <c r="R990" s="329" t="s">
        <v>1484</v>
      </c>
      <c r="S990" s="394" t="s">
        <v>11273</v>
      </c>
      <c r="T990" s="394" t="s">
        <v>11275</v>
      </c>
      <c r="U990" s="394" t="s">
        <v>11274</v>
      </c>
      <c r="V990" s="394" t="s">
        <v>11276</v>
      </c>
      <c r="W990" s="332" t="s">
        <v>432</v>
      </c>
      <c r="X990" s="331" t="s">
        <v>11079</v>
      </c>
      <c r="Y990" s="331" t="s">
        <v>11080</v>
      </c>
      <c r="Z990" s="331" t="s">
        <v>11080</v>
      </c>
      <c r="AA990" s="331" t="s">
        <v>6574</v>
      </c>
      <c r="AB990" s="416"/>
      <c r="AC990" s="416"/>
      <c r="AD990" s="334" t="s">
        <v>2321</v>
      </c>
      <c r="AE990" s="499" t="s">
        <v>7167</v>
      </c>
      <c r="AF990" s="462">
        <v>43185</v>
      </c>
      <c r="AG990" s="748">
        <v>43266</v>
      </c>
      <c r="AH990" s="453">
        <v>16.7</v>
      </c>
      <c r="AI990" s="432">
        <v>34.200000000000003</v>
      </c>
      <c r="AJ990" s="432">
        <v>8.6999999999999993</v>
      </c>
      <c r="AK990" s="340">
        <f>SUM(AH990:AJ990)</f>
        <v>59.600000000000009</v>
      </c>
      <c r="AL990" s="417" t="s">
        <v>210</v>
      </c>
      <c r="AM990" s="392" t="s">
        <v>210</v>
      </c>
      <c r="AN990" s="392" t="s">
        <v>210</v>
      </c>
      <c r="AO990" s="341" t="s">
        <v>210</v>
      </c>
      <c r="AP990" s="418" t="s">
        <v>210</v>
      </c>
      <c r="AQ990" s="433" t="s">
        <v>4547</v>
      </c>
      <c r="AR990" s="452">
        <v>2165</v>
      </c>
      <c r="AS990" s="324">
        <v>80</v>
      </c>
      <c r="AT990" s="432">
        <v>1</v>
      </c>
      <c r="AU990" s="432" t="s">
        <v>3434</v>
      </c>
      <c r="AV990" s="432">
        <v>1.5</v>
      </c>
      <c r="AW990" s="490" t="s">
        <v>7214</v>
      </c>
      <c r="AX990" s="453" t="s">
        <v>622</v>
      </c>
      <c r="AY990" s="455" t="s">
        <v>622</v>
      </c>
      <c r="AZ990" s="405" t="s">
        <v>4083</v>
      </c>
      <c r="BA990" s="324" t="s">
        <v>210</v>
      </c>
      <c r="BB990" s="324" t="s">
        <v>210</v>
      </c>
      <c r="BC990" s="324" t="s">
        <v>3459</v>
      </c>
      <c r="BD990" s="324" t="s">
        <v>7215</v>
      </c>
      <c r="BE990" s="324" t="s">
        <v>7216</v>
      </c>
      <c r="BF990" s="324" t="s">
        <v>3434</v>
      </c>
      <c r="BG990" s="324" t="s">
        <v>210</v>
      </c>
      <c r="BH990" s="426" t="s">
        <v>210</v>
      </c>
      <c r="BI990" s="453">
        <v>1.5</v>
      </c>
      <c r="BJ990" s="427" t="s">
        <v>210</v>
      </c>
      <c r="BK990" s="412"/>
      <c r="BL990" s="413"/>
      <c r="BM990" s="414"/>
      <c r="BN990" s="321" t="s">
        <v>210</v>
      </c>
      <c r="BO990" s="502"/>
      <c r="BP990" s="426" t="s">
        <v>210</v>
      </c>
      <c r="BQ990" s="456" t="s">
        <v>7076</v>
      </c>
      <c r="BR990" s="342" t="s">
        <v>622</v>
      </c>
      <c r="BS990" s="342" t="s">
        <v>622</v>
      </c>
      <c r="BT990" s="342" t="s">
        <v>210</v>
      </c>
      <c r="BU990" s="342" t="s">
        <v>210</v>
      </c>
      <c r="BV990" s="786" t="s">
        <v>9798</v>
      </c>
      <c r="BW990" s="341" t="s">
        <v>210</v>
      </c>
      <c r="BX990" s="361"/>
      <c r="BY990" s="457" t="s">
        <v>7146</v>
      </c>
      <c r="BZ990" s="363"/>
      <c r="CA990" s="363"/>
      <c r="CB990" s="363"/>
      <c r="CC990" s="363"/>
    </row>
    <row r="991" spans="1:82" ht="22.5" customHeight="1">
      <c r="B991" s="442">
        <v>180050</v>
      </c>
      <c r="C991" s="443" t="s">
        <v>6776</v>
      </c>
      <c r="D991" s="439" t="s">
        <v>4849</v>
      </c>
      <c r="E991" s="404" t="s">
        <v>6777</v>
      </c>
      <c r="F991" s="405" t="s">
        <v>83</v>
      </c>
      <c r="G991" s="324" t="s">
        <v>1993</v>
      </c>
      <c r="H991" s="324" t="s">
        <v>1994</v>
      </c>
      <c r="I991" s="326" t="s">
        <v>11</v>
      </c>
      <c r="J991" s="326" t="s">
        <v>12</v>
      </c>
      <c r="K991" s="326" t="s">
        <v>10</v>
      </c>
      <c r="L991" s="392" t="s">
        <v>210</v>
      </c>
      <c r="M991" s="324" t="s">
        <v>10767</v>
      </c>
      <c r="N991" s="444" t="s">
        <v>437</v>
      </c>
      <c r="O991" s="326">
        <v>30</v>
      </c>
      <c r="P991" s="816">
        <v>300</v>
      </c>
      <c r="Q991" s="817">
        <v>300</v>
      </c>
      <c r="R991" s="329" t="s">
        <v>447</v>
      </c>
      <c r="S991" s="394" t="s">
        <v>11188</v>
      </c>
      <c r="T991" s="331" t="s">
        <v>11078</v>
      </c>
      <c r="U991" s="331" t="s">
        <v>16355</v>
      </c>
      <c r="V991" s="394" t="s">
        <v>12158</v>
      </c>
      <c r="W991" s="332" t="s">
        <v>432</v>
      </c>
      <c r="X991" s="331" t="s">
        <v>11079</v>
      </c>
      <c r="Y991" s="331" t="s">
        <v>11080</v>
      </c>
      <c r="Z991" s="331" t="s">
        <v>11080</v>
      </c>
      <c r="AA991" s="331" t="s">
        <v>6574</v>
      </c>
      <c r="AB991" s="416"/>
      <c r="AC991" s="416"/>
      <c r="AD991" s="447" t="s">
        <v>7208</v>
      </c>
      <c r="AE991" s="335" t="s">
        <v>210</v>
      </c>
      <c r="AF991" s="462">
        <v>43150</v>
      </c>
      <c r="AG991" s="748">
        <v>43243</v>
      </c>
      <c r="AH991" s="453">
        <v>12.4</v>
      </c>
      <c r="AI991" s="432">
        <v>17.5</v>
      </c>
      <c r="AJ991" s="432">
        <v>7.8</v>
      </c>
      <c r="AK991" s="455">
        <f>SUM(AH991:AJ991)</f>
        <v>37.699999999999996</v>
      </c>
      <c r="AL991" s="417" t="s">
        <v>210</v>
      </c>
      <c r="AM991" s="392" t="s">
        <v>210</v>
      </c>
      <c r="AN991" s="392" t="s">
        <v>210</v>
      </c>
      <c r="AO991" s="341" t="s">
        <v>210</v>
      </c>
      <c r="AP991" s="418" t="s">
        <v>210</v>
      </c>
      <c r="AQ991" s="433" t="s">
        <v>4547</v>
      </c>
      <c r="AR991" s="452">
        <f>260+115</f>
        <v>375</v>
      </c>
      <c r="AS991" s="324">
        <v>100</v>
      </c>
      <c r="AT991" s="432">
        <v>0.8</v>
      </c>
      <c r="AU991" s="432" t="s">
        <v>3512</v>
      </c>
      <c r="AV991" s="432">
        <v>1.3</v>
      </c>
      <c r="AW991" s="490" t="s">
        <v>3512</v>
      </c>
      <c r="AX991" s="417" t="s">
        <v>210</v>
      </c>
      <c r="AY991" s="455" t="s">
        <v>622</v>
      </c>
      <c r="AZ991" s="405" t="s">
        <v>4083</v>
      </c>
      <c r="BA991" s="324" t="s">
        <v>210</v>
      </c>
      <c r="BB991" s="324" t="s">
        <v>210</v>
      </c>
      <c r="BC991" s="324" t="s">
        <v>210</v>
      </c>
      <c r="BD991" s="324" t="s">
        <v>210</v>
      </c>
      <c r="BE991" s="324" t="s">
        <v>210</v>
      </c>
      <c r="BF991" s="324" t="s">
        <v>210</v>
      </c>
      <c r="BG991" s="324" t="s">
        <v>6846</v>
      </c>
      <c r="BH991" s="426" t="s">
        <v>5352</v>
      </c>
      <c r="BI991" s="453" t="s">
        <v>4083</v>
      </c>
      <c r="BJ991" s="427" t="s">
        <v>210</v>
      </c>
      <c r="BK991" s="412"/>
      <c r="BL991" s="413"/>
      <c r="BM991" s="414"/>
      <c r="BN991" s="453" t="s">
        <v>622</v>
      </c>
      <c r="BO991" s="502"/>
      <c r="BP991" s="426" t="s">
        <v>210</v>
      </c>
      <c r="BQ991" s="456" t="s">
        <v>6623</v>
      </c>
      <c r="BR991" s="418" t="s">
        <v>210</v>
      </c>
      <c r="BS991" s="342" t="s">
        <v>622</v>
      </c>
      <c r="BT991" s="342" t="s">
        <v>210</v>
      </c>
      <c r="BU991" s="342" t="s">
        <v>210</v>
      </c>
      <c r="BV991" s="342" t="s">
        <v>210</v>
      </c>
      <c r="BW991" s="341" t="s">
        <v>210</v>
      </c>
      <c r="BX991" s="361"/>
      <c r="BY991" s="457" t="s">
        <v>6778</v>
      </c>
      <c r="BZ991" s="363"/>
      <c r="CA991" s="363"/>
      <c r="CB991" s="363"/>
      <c r="CC991" s="363"/>
    </row>
    <row r="992" spans="1:82" ht="22.5" customHeight="1">
      <c r="B992" s="442">
        <v>180051</v>
      </c>
      <c r="C992" s="443" t="s">
        <v>6786</v>
      </c>
      <c r="D992" s="439" t="s">
        <v>4849</v>
      </c>
      <c r="E992" s="404" t="s">
        <v>6777</v>
      </c>
      <c r="F992" s="405" t="s">
        <v>1048</v>
      </c>
      <c r="G992" s="324" t="s">
        <v>6787</v>
      </c>
      <c r="H992" s="324" t="s">
        <v>7060</v>
      </c>
      <c r="I992" s="326" t="s">
        <v>383</v>
      </c>
      <c r="J992" s="326" t="s">
        <v>12</v>
      </c>
      <c r="K992" s="324" t="s">
        <v>363</v>
      </c>
      <c r="L992" s="361"/>
      <c r="M992" s="324" t="s">
        <v>10767</v>
      </c>
      <c r="N992" s="444" t="s">
        <v>438</v>
      </c>
      <c r="O992" s="324">
        <v>63</v>
      </c>
      <c r="P992" s="816">
        <v>580</v>
      </c>
      <c r="Q992" s="817">
        <v>580</v>
      </c>
      <c r="R992" s="329" t="s">
        <v>458</v>
      </c>
      <c r="S992" s="394" t="s">
        <v>12115</v>
      </c>
      <c r="T992" s="331" t="s">
        <v>11187</v>
      </c>
      <c r="U992" s="331" t="s">
        <v>11186</v>
      </c>
      <c r="V992" s="331" t="s">
        <v>11184</v>
      </c>
      <c r="W992" s="332" t="s">
        <v>432</v>
      </c>
      <c r="X992" s="331" t="s">
        <v>11079</v>
      </c>
      <c r="Y992" s="331" t="s">
        <v>11080</v>
      </c>
      <c r="Z992" s="331" t="s">
        <v>11080</v>
      </c>
      <c r="AA992" s="331" t="s">
        <v>6574</v>
      </c>
      <c r="AB992" s="416"/>
      <c r="AC992" s="416"/>
      <c r="AD992" s="447" t="s">
        <v>8021</v>
      </c>
      <c r="AE992" s="499" t="s">
        <v>966</v>
      </c>
      <c r="AF992" s="462">
        <v>43152</v>
      </c>
      <c r="AG992" s="748">
        <v>43363</v>
      </c>
      <c r="AH992" s="453">
        <v>13.5</v>
      </c>
      <c r="AI992" s="432">
        <v>14.3</v>
      </c>
      <c r="AJ992" s="432">
        <v>5.6</v>
      </c>
      <c r="AK992" s="455">
        <f>SUM(AH992:AJ992)</f>
        <v>33.4</v>
      </c>
      <c r="AL992" s="417" t="s">
        <v>210</v>
      </c>
      <c r="AM992" s="392" t="s">
        <v>210</v>
      </c>
      <c r="AN992" s="392" t="s">
        <v>210</v>
      </c>
      <c r="AO992" s="341" t="s">
        <v>210</v>
      </c>
      <c r="AP992" s="418" t="s">
        <v>210</v>
      </c>
      <c r="AQ992" s="433" t="s">
        <v>4547</v>
      </c>
      <c r="AR992" s="452">
        <v>897</v>
      </c>
      <c r="AS992" s="324">
        <v>80</v>
      </c>
      <c r="AT992" s="432">
        <v>1</v>
      </c>
      <c r="AU992" s="432" t="s">
        <v>7061</v>
      </c>
      <c r="AV992" s="432">
        <v>1.5</v>
      </c>
      <c r="AW992" s="490" t="s">
        <v>7061</v>
      </c>
      <c r="AX992" s="453" t="s">
        <v>622</v>
      </c>
      <c r="AY992" s="455" t="s">
        <v>622</v>
      </c>
      <c r="AZ992" s="405" t="s">
        <v>4083</v>
      </c>
      <c r="BA992" s="324" t="s">
        <v>210</v>
      </c>
      <c r="BB992" s="324" t="s">
        <v>210</v>
      </c>
      <c r="BC992" s="324" t="s">
        <v>210</v>
      </c>
      <c r="BD992" s="324" t="s">
        <v>210</v>
      </c>
      <c r="BE992" s="324" t="s">
        <v>7062</v>
      </c>
      <c r="BF992" s="432" t="s">
        <v>7061</v>
      </c>
      <c r="BG992" s="324" t="s">
        <v>7062</v>
      </c>
      <c r="BH992" s="432" t="s">
        <v>7061</v>
      </c>
      <c r="BI992" s="453">
        <v>1.6</v>
      </c>
      <c r="BJ992" s="427" t="s">
        <v>210</v>
      </c>
      <c r="BK992" s="412"/>
      <c r="BL992" s="413"/>
      <c r="BM992" s="414"/>
      <c r="BN992" s="453" t="s">
        <v>622</v>
      </c>
      <c r="BO992" s="502"/>
      <c r="BP992" s="426" t="s">
        <v>210</v>
      </c>
      <c r="BQ992" s="456" t="s">
        <v>7063</v>
      </c>
      <c r="BR992" s="418" t="s">
        <v>210</v>
      </c>
      <c r="BS992" s="342" t="s">
        <v>622</v>
      </c>
      <c r="BT992" s="342" t="s">
        <v>210</v>
      </c>
      <c r="BU992" s="342" t="s">
        <v>210</v>
      </c>
      <c r="BV992" s="786">
        <v>-25</v>
      </c>
      <c r="BW992" s="341" t="s">
        <v>210</v>
      </c>
      <c r="BX992" s="361"/>
      <c r="BY992" s="457"/>
      <c r="BZ992" s="363"/>
      <c r="CA992" s="363"/>
      <c r="CB992" s="363"/>
      <c r="CC992" s="363"/>
    </row>
    <row r="993" spans="1:82" ht="22.5" customHeight="1">
      <c r="B993" s="442">
        <v>180055</v>
      </c>
      <c r="C993" s="443" t="s">
        <v>6823</v>
      </c>
      <c r="D993" s="439" t="s">
        <v>4849</v>
      </c>
      <c r="E993" s="404" t="s">
        <v>5362</v>
      </c>
      <c r="F993" s="405" t="s">
        <v>6824</v>
      </c>
      <c r="G993" s="324" t="s">
        <v>6825</v>
      </c>
      <c r="H993" s="324" t="s">
        <v>6826</v>
      </c>
      <c r="I993" s="326" t="s">
        <v>11</v>
      </c>
      <c r="J993" s="326" t="s">
        <v>387</v>
      </c>
      <c r="K993" s="324" t="s">
        <v>6827</v>
      </c>
      <c r="L993" s="392">
        <v>10</v>
      </c>
      <c r="M993" s="324" t="s">
        <v>10767</v>
      </c>
      <c r="N993" s="444" t="s">
        <v>438</v>
      </c>
      <c r="O993" s="324">
        <v>30</v>
      </c>
      <c r="P993" s="458">
        <v>868.4</v>
      </c>
      <c r="Q993" s="459">
        <v>507.7</v>
      </c>
      <c r="R993" s="420" t="s">
        <v>4661</v>
      </c>
      <c r="S993" s="394" t="s">
        <v>11528</v>
      </c>
      <c r="T993" s="394" t="s">
        <v>11529</v>
      </c>
      <c r="U993" s="394" t="s">
        <v>16415</v>
      </c>
      <c r="V993" s="394" t="s">
        <v>11531</v>
      </c>
      <c r="W993" s="460" t="s">
        <v>4661</v>
      </c>
      <c r="X993" s="394" t="s">
        <v>11528</v>
      </c>
      <c r="Y993" s="394" t="s">
        <v>11529</v>
      </c>
      <c r="Z993" s="394" t="s">
        <v>11530</v>
      </c>
      <c r="AA993" s="394" t="s">
        <v>11531</v>
      </c>
      <c r="AB993" s="416"/>
      <c r="AC993" s="416"/>
      <c r="AD993" s="334" t="s">
        <v>2321</v>
      </c>
      <c r="AE993" s="499" t="s">
        <v>1038</v>
      </c>
      <c r="AF993" s="462">
        <v>43157</v>
      </c>
      <c r="AG993" s="748">
        <v>43216</v>
      </c>
      <c r="AH993" s="417" t="s">
        <v>210</v>
      </c>
      <c r="AI993" s="392" t="s">
        <v>210</v>
      </c>
      <c r="AJ993" s="392" t="s">
        <v>210</v>
      </c>
      <c r="AK993" s="340" t="s">
        <v>210</v>
      </c>
      <c r="AL993" s="417" t="s">
        <v>210</v>
      </c>
      <c r="AM993" s="392" t="s">
        <v>210</v>
      </c>
      <c r="AN993" s="392" t="s">
        <v>210</v>
      </c>
      <c r="AO993" s="341" t="s">
        <v>210</v>
      </c>
      <c r="AP993" s="342" t="s">
        <v>210</v>
      </c>
      <c r="AQ993" s="433" t="s">
        <v>4547</v>
      </c>
      <c r="AR993" s="452">
        <v>957</v>
      </c>
      <c r="AS993" s="324">
        <v>120</v>
      </c>
      <c r="AT993" s="432">
        <v>1</v>
      </c>
      <c r="AU993" s="432" t="s">
        <v>5058</v>
      </c>
      <c r="AV993" s="432">
        <v>1.5</v>
      </c>
      <c r="AW993" s="490" t="s">
        <v>5058</v>
      </c>
      <c r="AX993" s="417" t="s">
        <v>210</v>
      </c>
      <c r="AY993" s="455" t="s">
        <v>210</v>
      </c>
      <c r="AZ993" s="405" t="s">
        <v>4083</v>
      </c>
      <c r="BA993" s="324" t="s">
        <v>210</v>
      </c>
      <c r="BB993" s="324" t="s">
        <v>210</v>
      </c>
      <c r="BC993" s="324" t="s">
        <v>3475</v>
      </c>
      <c r="BD993" s="324" t="s">
        <v>5058</v>
      </c>
      <c r="BE993" s="324" t="s">
        <v>6828</v>
      </c>
      <c r="BF993" s="324" t="s">
        <v>5058</v>
      </c>
      <c r="BG993" s="324" t="s">
        <v>3475</v>
      </c>
      <c r="BH993" s="324" t="s">
        <v>5058</v>
      </c>
      <c r="BI993" s="453">
        <v>3.6</v>
      </c>
      <c r="BJ993" s="427" t="s">
        <v>210</v>
      </c>
      <c r="BK993" s="412"/>
      <c r="BL993" s="413"/>
      <c r="BM993" s="414"/>
      <c r="BN993" s="453" t="s">
        <v>622</v>
      </c>
      <c r="BO993" s="502"/>
      <c r="BP993" s="426" t="s">
        <v>210</v>
      </c>
      <c r="BQ993" s="456" t="s">
        <v>1059</v>
      </c>
      <c r="BR993" s="418" t="s">
        <v>210</v>
      </c>
      <c r="BS993" s="342" t="s">
        <v>210</v>
      </c>
      <c r="BT993" s="342" t="s">
        <v>210</v>
      </c>
      <c r="BU993" s="342" t="s">
        <v>210</v>
      </c>
      <c r="BV993" s="342" t="s">
        <v>210</v>
      </c>
      <c r="BW993" s="341" t="s">
        <v>210</v>
      </c>
      <c r="BX993" s="361"/>
      <c r="BY993" s="457"/>
      <c r="BZ993" s="363"/>
      <c r="CA993" s="363"/>
      <c r="CB993" s="363"/>
      <c r="CC993" s="363"/>
    </row>
    <row r="994" spans="1:82" ht="22.5" customHeight="1">
      <c r="B994" s="442">
        <v>180056</v>
      </c>
      <c r="C994" s="443" t="s">
        <v>6829</v>
      </c>
      <c r="D994" s="467" t="s">
        <v>5640</v>
      </c>
      <c r="E994" s="404" t="s">
        <v>6777</v>
      </c>
      <c r="F994" s="405" t="s">
        <v>6830</v>
      </c>
      <c r="G994" s="324" t="s">
        <v>2943</v>
      </c>
      <c r="H994" s="324" t="s">
        <v>6831</v>
      </c>
      <c r="I994" s="326" t="s">
        <v>11</v>
      </c>
      <c r="J994" s="326" t="s">
        <v>12</v>
      </c>
      <c r="K994" s="326" t="s">
        <v>10</v>
      </c>
      <c r="L994" s="392" t="s">
        <v>210</v>
      </c>
      <c r="M994" s="324" t="s">
        <v>10767</v>
      </c>
      <c r="N994" s="444" t="s">
        <v>6936</v>
      </c>
      <c r="O994" s="324">
        <v>54.5</v>
      </c>
      <c r="P994" s="458">
        <v>1090</v>
      </c>
      <c r="Q994" s="459">
        <v>1163</v>
      </c>
      <c r="R994" s="329" t="s">
        <v>999</v>
      </c>
      <c r="S994" s="400"/>
      <c r="T994" s="394" t="s">
        <v>11262</v>
      </c>
      <c r="U994" s="394" t="s">
        <v>16414</v>
      </c>
      <c r="V994" s="394" t="s">
        <v>11263</v>
      </c>
      <c r="W994" s="332" t="s">
        <v>4603</v>
      </c>
      <c r="X994" s="331" t="s">
        <v>12214</v>
      </c>
      <c r="Y994" s="331" t="s">
        <v>11906</v>
      </c>
      <c r="Z994" s="331" t="s">
        <v>12414</v>
      </c>
      <c r="AA994" s="331" t="s">
        <v>12216</v>
      </c>
      <c r="AB994" s="416"/>
      <c r="AC994" s="416"/>
      <c r="AD994" s="334" t="s">
        <v>2321</v>
      </c>
      <c r="AE994" s="335" t="s">
        <v>210</v>
      </c>
      <c r="AF994" s="462">
        <v>43157</v>
      </c>
      <c r="AG994" s="748">
        <v>43228</v>
      </c>
      <c r="AH994" s="417" t="s">
        <v>210</v>
      </c>
      <c r="AI994" s="392" t="s">
        <v>210</v>
      </c>
      <c r="AJ994" s="392" t="s">
        <v>210</v>
      </c>
      <c r="AK994" s="340" t="s">
        <v>210</v>
      </c>
      <c r="AL994" s="417" t="s">
        <v>210</v>
      </c>
      <c r="AM994" s="392" t="s">
        <v>210</v>
      </c>
      <c r="AN994" s="392" t="s">
        <v>210</v>
      </c>
      <c r="AO994" s="341" t="s">
        <v>210</v>
      </c>
      <c r="AP994" s="342" t="s">
        <v>210</v>
      </c>
      <c r="AQ994" s="433" t="s">
        <v>4547</v>
      </c>
      <c r="AR994" s="452">
        <v>1483</v>
      </c>
      <c r="AS994" s="324">
        <v>100</v>
      </c>
      <c r="AT994" s="432">
        <v>0.8</v>
      </c>
      <c r="AU994" s="432" t="s">
        <v>5833</v>
      </c>
      <c r="AV994" s="432">
        <v>1</v>
      </c>
      <c r="AW994" s="490" t="s">
        <v>5833</v>
      </c>
      <c r="AX994" s="417" t="s">
        <v>210</v>
      </c>
      <c r="AY994" s="455" t="s">
        <v>210</v>
      </c>
      <c r="AZ994" s="405" t="s">
        <v>622</v>
      </c>
      <c r="BA994" s="324" t="s">
        <v>6832</v>
      </c>
      <c r="BB994" s="324" t="s">
        <v>5280</v>
      </c>
      <c r="BC994" s="324" t="s">
        <v>6833</v>
      </c>
      <c r="BD994" s="324" t="s">
        <v>5280</v>
      </c>
      <c r="BE994" s="324" t="s">
        <v>6834</v>
      </c>
      <c r="BF994" s="324" t="s">
        <v>5058</v>
      </c>
      <c r="BG994" s="324" t="s">
        <v>210</v>
      </c>
      <c r="BH994" s="426" t="s">
        <v>6835</v>
      </c>
      <c r="BI994" s="453">
        <v>2</v>
      </c>
      <c r="BJ994" s="427" t="s">
        <v>210</v>
      </c>
      <c r="BK994" s="412"/>
      <c r="BL994" s="413"/>
      <c r="BM994" s="414"/>
      <c r="BN994" s="453" t="s">
        <v>210</v>
      </c>
      <c r="BO994" s="502"/>
      <c r="BP994" s="455" t="s">
        <v>6935</v>
      </c>
      <c r="BQ994" s="456" t="s">
        <v>6216</v>
      </c>
      <c r="BR994" s="342" t="s">
        <v>210</v>
      </c>
      <c r="BS994" s="342" t="s">
        <v>622</v>
      </c>
      <c r="BT994" s="342" t="s">
        <v>210</v>
      </c>
      <c r="BU994" s="342" t="s">
        <v>210</v>
      </c>
      <c r="BV994" s="342" t="s">
        <v>210</v>
      </c>
      <c r="BW994" s="341" t="s">
        <v>210</v>
      </c>
      <c r="BX994" s="342" t="s">
        <v>210</v>
      </c>
      <c r="BY994" s="457"/>
      <c r="BZ994" s="363"/>
      <c r="CA994" s="363"/>
      <c r="CB994" s="363"/>
      <c r="CC994" s="363"/>
    </row>
    <row r="995" spans="1:82" ht="22.5" customHeight="1">
      <c r="B995" s="442">
        <v>180057</v>
      </c>
      <c r="C995" s="443" t="s">
        <v>6872</v>
      </c>
      <c r="D995" s="439" t="s">
        <v>4847</v>
      </c>
      <c r="E995" s="404" t="s">
        <v>5362</v>
      </c>
      <c r="F995" s="405" t="s">
        <v>6836</v>
      </c>
      <c r="G995" s="324" t="s">
        <v>2027</v>
      </c>
      <c r="H995" s="324" t="s">
        <v>6837</v>
      </c>
      <c r="I995" s="326" t="s">
        <v>11</v>
      </c>
      <c r="J995" s="324" t="s">
        <v>6632</v>
      </c>
      <c r="K995" s="324" t="s">
        <v>363</v>
      </c>
      <c r="L995" s="342">
        <v>15</v>
      </c>
      <c r="M995" s="324" t="s">
        <v>10767</v>
      </c>
      <c r="N995" s="444" t="s">
        <v>6873</v>
      </c>
      <c r="O995" s="324">
        <v>100</v>
      </c>
      <c r="P995" s="458">
        <v>4015</v>
      </c>
      <c r="Q995" s="459">
        <v>3803</v>
      </c>
      <c r="R995" s="420" t="s">
        <v>6838</v>
      </c>
      <c r="S995" s="394" t="s">
        <v>12211</v>
      </c>
      <c r="T995" s="394" t="s">
        <v>12212</v>
      </c>
      <c r="U995" s="394" t="s">
        <v>16313</v>
      </c>
      <c r="V995" s="394" t="s">
        <v>12213</v>
      </c>
      <c r="W995" s="332" t="s">
        <v>592</v>
      </c>
      <c r="X995" s="331" t="s">
        <v>11927</v>
      </c>
      <c r="Y995" s="331" t="s">
        <v>11929</v>
      </c>
      <c r="Z995" s="331" t="s">
        <v>11346</v>
      </c>
      <c r="AA995" s="331" t="s">
        <v>11928</v>
      </c>
      <c r="AB995" s="416"/>
      <c r="AC995" s="416"/>
      <c r="AD995" s="447" t="s">
        <v>7110</v>
      </c>
      <c r="AE995" s="499" t="s">
        <v>1747</v>
      </c>
      <c r="AF995" s="462">
        <v>43157</v>
      </c>
      <c r="AG995" s="748">
        <v>43228</v>
      </c>
      <c r="AH995" s="417" t="s">
        <v>210</v>
      </c>
      <c r="AI995" s="392" t="s">
        <v>210</v>
      </c>
      <c r="AJ995" s="392" t="s">
        <v>210</v>
      </c>
      <c r="AK995" s="340" t="s">
        <v>210</v>
      </c>
      <c r="AL995" s="417" t="s">
        <v>210</v>
      </c>
      <c r="AM995" s="392" t="s">
        <v>210</v>
      </c>
      <c r="AN995" s="392" t="s">
        <v>210</v>
      </c>
      <c r="AO995" s="341" t="s">
        <v>210</v>
      </c>
      <c r="AP995" s="342" t="s">
        <v>210</v>
      </c>
      <c r="AQ995" s="433" t="s">
        <v>4547</v>
      </c>
      <c r="AR995" s="452">
        <f>4141+904+258</f>
        <v>5303</v>
      </c>
      <c r="AS995" s="324">
        <v>150</v>
      </c>
      <c r="AT995" s="432">
        <v>1</v>
      </c>
      <c r="AU995" s="432" t="s">
        <v>5246</v>
      </c>
      <c r="AV995" s="432">
        <v>1.5</v>
      </c>
      <c r="AW995" s="490" t="s">
        <v>6922</v>
      </c>
      <c r="AX995" s="453" t="s">
        <v>622</v>
      </c>
      <c r="AY995" s="455" t="s">
        <v>622</v>
      </c>
      <c r="AZ995" s="405" t="s">
        <v>4083</v>
      </c>
      <c r="BA995" s="324" t="s">
        <v>210</v>
      </c>
      <c r="BB995" s="324" t="s">
        <v>210</v>
      </c>
      <c r="BC995" s="324" t="s">
        <v>210</v>
      </c>
      <c r="BD995" s="324" t="s">
        <v>210</v>
      </c>
      <c r="BE995" s="324" t="s">
        <v>6841</v>
      </c>
      <c r="BF995" s="324" t="s">
        <v>6842</v>
      </c>
      <c r="BG995" s="324" t="s">
        <v>6843</v>
      </c>
      <c r="BH995" s="426" t="s">
        <v>6842</v>
      </c>
      <c r="BI995" s="453">
        <v>0.6</v>
      </c>
      <c r="BJ995" s="427" t="s">
        <v>210</v>
      </c>
      <c r="BK995" s="412"/>
      <c r="BL995" s="413"/>
      <c r="BM995" s="414"/>
      <c r="BN995" s="453" t="s">
        <v>622</v>
      </c>
      <c r="BO995" s="502"/>
      <c r="BP995" s="455" t="s">
        <v>622</v>
      </c>
      <c r="BQ995" s="456" t="s">
        <v>6874</v>
      </c>
      <c r="BR995" s="418" t="s">
        <v>210</v>
      </c>
      <c r="BS995" s="342" t="s">
        <v>622</v>
      </c>
      <c r="BT995" s="342" t="s">
        <v>210</v>
      </c>
      <c r="BU995" s="342" t="s">
        <v>210</v>
      </c>
      <c r="BV995" s="786">
        <v>-25</v>
      </c>
      <c r="BW995" s="341" t="s">
        <v>210</v>
      </c>
      <c r="BX995" s="361"/>
      <c r="BY995" s="457" t="s">
        <v>6923</v>
      </c>
      <c r="BZ995" s="363"/>
      <c r="CA995" s="363"/>
      <c r="CB995" s="363"/>
      <c r="CC995" s="363"/>
    </row>
    <row r="996" spans="1:82" ht="22.5" customHeight="1">
      <c r="B996" s="442">
        <v>180058</v>
      </c>
      <c r="C996" s="443" t="s">
        <v>6847</v>
      </c>
      <c r="D996" s="467" t="s">
        <v>6918</v>
      </c>
      <c r="E996" s="404" t="s">
        <v>5362</v>
      </c>
      <c r="F996" s="321" t="s">
        <v>308</v>
      </c>
      <c r="G996" s="326" t="s">
        <v>1826</v>
      </c>
      <c r="H996" s="326" t="s">
        <v>1827</v>
      </c>
      <c r="I996" s="326" t="s">
        <v>383</v>
      </c>
      <c r="J996" s="326" t="s">
        <v>387</v>
      </c>
      <c r="K996" s="326" t="s">
        <v>247</v>
      </c>
      <c r="L996" s="342" t="s">
        <v>7218</v>
      </c>
      <c r="M996" s="324" t="s">
        <v>10767</v>
      </c>
      <c r="N996" s="444" t="s">
        <v>438</v>
      </c>
      <c r="O996" s="324">
        <v>120</v>
      </c>
      <c r="P996" s="816">
        <f>Q996*3</f>
        <v>7590</v>
      </c>
      <c r="Q996" s="817">
        <f>1480+1050</f>
        <v>2530</v>
      </c>
      <c r="R996" s="329" t="s">
        <v>6938</v>
      </c>
      <c r="S996" s="400"/>
      <c r="T996" s="400"/>
      <c r="U996" s="400"/>
      <c r="V996" s="400"/>
      <c r="W996" s="332" t="s">
        <v>1562</v>
      </c>
      <c r="X996" s="331" t="s">
        <v>12209</v>
      </c>
      <c r="Y996" s="330"/>
      <c r="Z996" s="330"/>
      <c r="AA996" s="331" t="s">
        <v>12210</v>
      </c>
      <c r="AB996" s="416" t="s">
        <v>6937</v>
      </c>
      <c r="AC996" s="416"/>
      <c r="AD996" s="334" t="s">
        <v>2326</v>
      </c>
      <c r="AE996" s="499" t="s">
        <v>1747</v>
      </c>
      <c r="AF996" s="462">
        <v>43174</v>
      </c>
      <c r="AG996" s="748">
        <v>43308</v>
      </c>
      <c r="AH996" s="417" t="s">
        <v>210</v>
      </c>
      <c r="AI996" s="392" t="s">
        <v>210</v>
      </c>
      <c r="AJ996" s="392" t="s">
        <v>210</v>
      </c>
      <c r="AK996" s="340" t="s">
        <v>210</v>
      </c>
      <c r="AL996" s="417" t="s">
        <v>210</v>
      </c>
      <c r="AM996" s="392" t="s">
        <v>210</v>
      </c>
      <c r="AN996" s="392" t="s">
        <v>210</v>
      </c>
      <c r="AO996" s="341" t="s">
        <v>210</v>
      </c>
      <c r="AP996" s="342" t="s">
        <v>210</v>
      </c>
      <c r="AQ996" s="433" t="s">
        <v>4547</v>
      </c>
      <c r="AR996" s="452">
        <f>2149+1376</f>
        <v>3525</v>
      </c>
      <c r="AS996" s="324">
        <v>150</v>
      </c>
      <c r="AT996" s="432" t="s">
        <v>7217</v>
      </c>
      <c r="AU996" s="432" t="s">
        <v>3627</v>
      </c>
      <c r="AV996" s="432">
        <v>1.2</v>
      </c>
      <c r="AW996" s="490" t="s">
        <v>3627</v>
      </c>
      <c r="AX996" s="453" t="s">
        <v>622</v>
      </c>
      <c r="AY996" s="455" t="s">
        <v>622</v>
      </c>
      <c r="AZ996" s="405" t="s">
        <v>4083</v>
      </c>
      <c r="BA996" s="324" t="s">
        <v>210</v>
      </c>
      <c r="BB996" s="324" t="s">
        <v>210</v>
      </c>
      <c r="BC996" s="324" t="s">
        <v>3459</v>
      </c>
      <c r="BD996" s="324" t="s">
        <v>5246</v>
      </c>
      <c r="BE996" s="324" t="s">
        <v>6942</v>
      </c>
      <c r="BF996" s="324" t="s">
        <v>5246</v>
      </c>
      <c r="BG996" s="324" t="s">
        <v>6943</v>
      </c>
      <c r="BH996" s="426" t="s">
        <v>6944</v>
      </c>
      <c r="BI996" s="453">
        <v>2.6</v>
      </c>
      <c r="BJ996" s="427" t="s">
        <v>210</v>
      </c>
      <c r="BK996" s="412"/>
      <c r="BL996" s="413"/>
      <c r="BM996" s="414"/>
      <c r="BN996" s="453" t="s">
        <v>210</v>
      </c>
      <c r="BO996" s="502"/>
      <c r="BP996" s="455" t="s">
        <v>210</v>
      </c>
      <c r="BQ996" s="456" t="s">
        <v>247</v>
      </c>
      <c r="BR996" s="418" t="s">
        <v>210</v>
      </c>
      <c r="BS996" s="342" t="s">
        <v>622</v>
      </c>
      <c r="BT996" s="342" t="s">
        <v>210</v>
      </c>
      <c r="BU996" s="342" t="s">
        <v>210</v>
      </c>
      <c r="BV996" s="418" t="s">
        <v>210</v>
      </c>
      <c r="BW996" s="341" t="s">
        <v>210</v>
      </c>
      <c r="BX996" s="361"/>
      <c r="BY996" s="457" t="s">
        <v>7754</v>
      </c>
      <c r="BZ996" s="363"/>
      <c r="CA996" s="363"/>
      <c r="CB996" s="363"/>
      <c r="CC996" s="363"/>
    </row>
    <row r="997" spans="1:82" ht="22.5" customHeight="1">
      <c r="B997" s="442">
        <v>180059</v>
      </c>
      <c r="C997" s="443" t="s">
        <v>6853</v>
      </c>
      <c r="D997" s="467" t="s">
        <v>5516</v>
      </c>
      <c r="E997" s="404" t="s">
        <v>6777</v>
      </c>
      <c r="F997" s="405" t="s">
        <v>5193</v>
      </c>
      <c r="G997" s="324" t="s">
        <v>2188</v>
      </c>
      <c r="H997" s="324" t="s">
        <v>6854</v>
      </c>
      <c r="I997" s="326" t="s">
        <v>11</v>
      </c>
      <c r="J997" s="326" t="s">
        <v>12</v>
      </c>
      <c r="K997" s="326" t="s">
        <v>223</v>
      </c>
      <c r="L997" s="392" t="s">
        <v>210</v>
      </c>
      <c r="M997" s="324" t="s">
        <v>10767</v>
      </c>
      <c r="N997" s="444" t="s">
        <v>437</v>
      </c>
      <c r="O997" s="326">
        <v>30</v>
      </c>
      <c r="P997" s="816">
        <v>640</v>
      </c>
      <c r="Q997" s="817">
        <v>640</v>
      </c>
      <c r="R997" s="329" t="s">
        <v>663</v>
      </c>
      <c r="S997" s="400"/>
      <c r="T997" s="400"/>
      <c r="U997" s="400"/>
      <c r="V997" s="400"/>
      <c r="W997" s="332" t="s">
        <v>664</v>
      </c>
      <c r="X997" s="332" t="s">
        <v>11626</v>
      </c>
      <c r="Y997" s="332" t="s">
        <v>11625</v>
      </c>
      <c r="Z997" s="332" t="s">
        <v>16479</v>
      </c>
      <c r="AA997" s="332" t="s">
        <v>11627</v>
      </c>
      <c r="AB997" s="333" t="s">
        <v>3028</v>
      </c>
      <c r="AC997" s="333"/>
      <c r="AD997" s="334" t="s">
        <v>2326</v>
      </c>
      <c r="AE997" s="335" t="s">
        <v>210</v>
      </c>
      <c r="AF997" s="462">
        <v>43167</v>
      </c>
      <c r="AG997" s="748">
        <v>43235</v>
      </c>
      <c r="AH997" s="417" t="s">
        <v>210</v>
      </c>
      <c r="AI997" s="392" t="s">
        <v>210</v>
      </c>
      <c r="AJ997" s="392" t="s">
        <v>210</v>
      </c>
      <c r="AK997" s="340" t="s">
        <v>210</v>
      </c>
      <c r="AL997" s="417" t="s">
        <v>210</v>
      </c>
      <c r="AM997" s="392" t="s">
        <v>210</v>
      </c>
      <c r="AN997" s="392" t="s">
        <v>210</v>
      </c>
      <c r="AO997" s="341" t="s">
        <v>210</v>
      </c>
      <c r="AP997" s="418" t="s">
        <v>210</v>
      </c>
      <c r="AQ997" s="433" t="s">
        <v>4547</v>
      </c>
      <c r="AR997" s="452">
        <v>960</v>
      </c>
      <c r="AS997" s="324">
        <v>80</v>
      </c>
      <c r="AT997" s="432">
        <v>1</v>
      </c>
      <c r="AU997" s="432" t="s">
        <v>5246</v>
      </c>
      <c r="AV997" s="432">
        <v>1.5</v>
      </c>
      <c r="AW997" s="490" t="s">
        <v>6985</v>
      </c>
      <c r="AX997" s="417" t="s">
        <v>210</v>
      </c>
      <c r="AY997" s="455" t="s">
        <v>210</v>
      </c>
      <c r="AZ997" s="405" t="s">
        <v>622</v>
      </c>
      <c r="BA997" s="324" t="s">
        <v>3459</v>
      </c>
      <c r="BB997" s="324" t="s">
        <v>3372</v>
      </c>
      <c r="BC997" s="324" t="s">
        <v>6855</v>
      </c>
      <c r="BD997" s="324" t="s">
        <v>3372</v>
      </c>
      <c r="BE997" s="324" t="s">
        <v>6856</v>
      </c>
      <c r="BF997" s="324" t="s">
        <v>3372</v>
      </c>
      <c r="BG997" s="324" t="s">
        <v>6857</v>
      </c>
      <c r="BH997" s="426" t="s">
        <v>5079</v>
      </c>
      <c r="BI997" s="453">
        <v>1.7</v>
      </c>
      <c r="BJ997" s="427" t="s">
        <v>210</v>
      </c>
      <c r="BK997" s="412"/>
      <c r="BL997" s="413"/>
      <c r="BM997" s="414"/>
      <c r="BN997" s="453" t="s">
        <v>622</v>
      </c>
      <c r="BO997" s="502"/>
      <c r="BP997" s="426" t="s">
        <v>210</v>
      </c>
      <c r="BQ997" s="456" t="s">
        <v>5608</v>
      </c>
      <c r="BR997" s="342" t="s">
        <v>622</v>
      </c>
      <c r="BS997" s="342" t="s">
        <v>622</v>
      </c>
      <c r="BT997" s="342" t="s">
        <v>210</v>
      </c>
      <c r="BU997" s="342" t="s">
        <v>210</v>
      </c>
      <c r="BV997" s="342" t="s">
        <v>210</v>
      </c>
      <c r="BW997" s="341" t="s">
        <v>210</v>
      </c>
      <c r="BX997" s="361"/>
      <c r="BY997" s="457" t="s">
        <v>6986</v>
      </c>
      <c r="BZ997" s="363"/>
      <c r="CA997" s="363"/>
      <c r="CB997" s="363"/>
      <c r="CC997" s="363"/>
    </row>
    <row r="998" spans="1:82" ht="22.5" customHeight="1">
      <c r="B998" s="442">
        <v>180063</v>
      </c>
      <c r="C998" s="443" t="s">
        <v>12204</v>
      </c>
      <c r="D998" s="467" t="s">
        <v>7070</v>
      </c>
      <c r="E998" s="404" t="s">
        <v>5362</v>
      </c>
      <c r="F998" s="405" t="s">
        <v>1043</v>
      </c>
      <c r="G998" s="324" t="s">
        <v>7333</v>
      </c>
      <c r="H998" s="324" t="s">
        <v>7334</v>
      </c>
      <c r="I998" s="326" t="s">
        <v>10779</v>
      </c>
      <c r="J998" s="326" t="s">
        <v>7171</v>
      </c>
      <c r="K998" s="326" t="s">
        <v>7335</v>
      </c>
      <c r="L998" s="342">
        <v>50</v>
      </c>
      <c r="M998" s="324" t="s">
        <v>10767</v>
      </c>
      <c r="N998" s="444" t="s">
        <v>437</v>
      </c>
      <c r="O998" s="324">
        <v>90</v>
      </c>
      <c r="P998" s="458">
        <v>141.1</v>
      </c>
      <c r="Q998" s="459">
        <v>95.2</v>
      </c>
      <c r="R998" s="420" t="s">
        <v>4947</v>
      </c>
      <c r="S998" s="394" t="s">
        <v>12205</v>
      </c>
      <c r="T998" s="394" t="s">
        <v>12206</v>
      </c>
      <c r="U998" s="394" t="s">
        <v>12207</v>
      </c>
      <c r="V998" s="394" t="s">
        <v>12208</v>
      </c>
      <c r="W998" s="460" t="s">
        <v>4947</v>
      </c>
      <c r="X998" s="394" t="s">
        <v>12205</v>
      </c>
      <c r="Y998" s="394" t="s">
        <v>12206</v>
      </c>
      <c r="Z998" s="394" t="s">
        <v>12207</v>
      </c>
      <c r="AA998" s="394" t="s">
        <v>12208</v>
      </c>
      <c r="AB998" s="416"/>
      <c r="AC998" s="416"/>
      <c r="AD998" s="897"/>
      <c r="AE998" s="335" t="s">
        <v>210</v>
      </c>
      <c r="AF998" s="462">
        <v>43248</v>
      </c>
      <c r="AG998" s="748">
        <v>43276</v>
      </c>
      <c r="AH998" s="417" t="s">
        <v>210</v>
      </c>
      <c r="AI998" s="392" t="s">
        <v>210</v>
      </c>
      <c r="AJ998" s="392" t="s">
        <v>210</v>
      </c>
      <c r="AK998" s="340" t="s">
        <v>210</v>
      </c>
      <c r="AL998" s="417" t="s">
        <v>210</v>
      </c>
      <c r="AM998" s="392" t="s">
        <v>210</v>
      </c>
      <c r="AN998" s="392" t="s">
        <v>210</v>
      </c>
      <c r="AO998" s="341" t="s">
        <v>210</v>
      </c>
      <c r="AP998" s="418" t="s">
        <v>210</v>
      </c>
      <c r="AQ998" s="433" t="s">
        <v>4548</v>
      </c>
      <c r="AR998" s="452">
        <v>169.3</v>
      </c>
      <c r="AS998" s="324">
        <v>100</v>
      </c>
      <c r="AT998" s="432">
        <v>1</v>
      </c>
      <c r="AU998" s="432" t="s">
        <v>5246</v>
      </c>
      <c r="AV998" s="432">
        <v>1</v>
      </c>
      <c r="AW998" s="490" t="s">
        <v>5246</v>
      </c>
      <c r="AX998" s="417" t="s">
        <v>210</v>
      </c>
      <c r="AY998" s="455" t="s">
        <v>210</v>
      </c>
      <c r="AZ998" s="405" t="s">
        <v>4083</v>
      </c>
      <c r="BA998" s="324" t="s">
        <v>210</v>
      </c>
      <c r="BB998" s="324" t="s">
        <v>210</v>
      </c>
      <c r="BC998" s="324" t="s">
        <v>210</v>
      </c>
      <c r="BD998" s="324" t="s">
        <v>210</v>
      </c>
      <c r="BE998" s="324" t="s">
        <v>3459</v>
      </c>
      <c r="BF998" s="324" t="s">
        <v>5352</v>
      </c>
      <c r="BG998" s="324" t="s">
        <v>7336</v>
      </c>
      <c r="BH998" s="324" t="s">
        <v>5352</v>
      </c>
      <c r="BI998" s="453">
        <v>3</v>
      </c>
      <c r="BJ998" s="427" t="s">
        <v>210</v>
      </c>
      <c r="BK998" s="412"/>
      <c r="BL998" s="413"/>
      <c r="BM998" s="414"/>
      <c r="BN998" s="453" t="s">
        <v>622</v>
      </c>
      <c r="BO998" s="464">
        <v>1.2150000000000001</v>
      </c>
      <c r="BP998" s="426" t="s">
        <v>210</v>
      </c>
      <c r="BQ998" s="456" t="s">
        <v>247</v>
      </c>
      <c r="BR998" s="418" t="s">
        <v>210</v>
      </c>
      <c r="BS998" s="418" t="s">
        <v>210</v>
      </c>
      <c r="BT998" s="342" t="s">
        <v>210</v>
      </c>
      <c r="BU998" s="342" t="s">
        <v>210</v>
      </c>
      <c r="BV998" s="342" t="s">
        <v>210</v>
      </c>
      <c r="BW998" s="341" t="s">
        <v>210</v>
      </c>
      <c r="BX998" s="361"/>
      <c r="BY998" s="888" t="s">
        <v>7393</v>
      </c>
      <c r="BZ998" s="889"/>
      <c r="CA998" s="889"/>
      <c r="CB998" s="889"/>
      <c r="CC998" s="889"/>
    </row>
    <row r="999" spans="1:82" ht="22.5" customHeight="1">
      <c r="B999" s="442">
        <v>180064</v>
      </c>
      <c r="C999" s="443" t="s">
        <v>6878</v>
      </c>
      <c r="D999" s="439" t="s">
        <v>4849</v>
      </c>
      <c r="E999" s="404" t="s">
        <v>6879</v>
      </c>
      <c r="F999" s="405" t="s">
        <v>227</v>
      </c>
      <c r="G999" s="324" t="s">
        <v>6880</v>
      </c>
      <c r="H999" s="324" t="s">
        <v>6881</v>
      </c>
      <c r="I999" s="326" t="s">
        <v>11</v>
      </c>
      <c r="J999" s="324" t="s">
        <v>6882</v>
      </c>
      <c r="K999" s="324" t="s">
        <v>247</v>
      </c>
      <c r="L999" s="342">
        <v>0.5</v>
      </c>
      <c r="M999" s="324" t="s">
        <v>10767</v>
      </c>
      <c r="N999" s="444" t="s">
        <v>8044</v>
      </c>
      <c r="O999" s="326">
        <v>30</v>
      </c>
      <c r="P999" s="458">
        <v>382</v>
      </c>
      <c r="Q999" s="459">
        <v>190</v>
      </c>
      <c r="R999" s="420" t="s">
        <v>6883</v>
      </c>
      <c r="S999" s="394" t="s">
        <v>12200</v>
      </c>
      <c r="T999" s="400"/>
      <c r="U999" s="400"/>
      <c r="V999" s="394" t="s">
        <v>12201</v>
      </c>
      <c r="W999" s="460" t="s">
        <v>6886</v>
      </c>
      <c r="X999" s="394" t="s">
        <v>12202</v>
      </c>
      <c r="Y999" s="400"/>
      <c r="Z999" s="400"/>
      <c r="AA999" s="394" t="s">
        <v>12203</v>
      </c>
      <c r="AB999" s="416"/>
      <c r="AC999" s="416"/>
      <c r="AD999" s="447" t="s">
        <v>7025</v>
      </c>
      <c r="AE999" s="499" t="s">
        <v>7026</v>
      </c>
      <c r="AF999" s="462">
        <v>43174</v>
      </c>
      <c r="AG999" s="748">
        <v>43235</v>
      </c>
      <c r="AH999" s="417" t="s">
        <v>210</v>
      </c>
      <c r="AI999" s="392" t="s">
        <v>210</v>
      </c>
      <c r="AJ999" s="392" t="s">
        <v>210</v>
      </c>
      <c r="AK999" s="340" t="s">
        <v>210</v>
      </c>
      <c r="AL999" s="417" t="s">
        <v>210</v>
      </c>
      <c r="AM999" s="392" t="s">
        <v>210</v>
      </c>
      <c r="AN999" s="392" t="s">
        <v>210</v>
      </c>
      <c r="AO999" s="341" t="s">
        <v>210</v>
      </c>
      <c r="AP999" s="418" t="s">
        <v>210</v>
      </c>
      <c r="AQ999" s="433" t="s">
        <v>4548</v>
      </c>
      <c r="AR999" s="452">
        <f>225.9+110.9</f>
        <v>336.8</v>
      </c>
      <c r="AS999" s="324">
        <v>150</v>
      </c>
      <c r="AT999" s="432">
        <v>1.5</v>
      </c>
      <c r="AU999" s="432" t="s">
        <v>3627</v>
      </c>
      <c r="AV999" s="432">
        <v>1</v>
      </c>
      <c r="AW999" s="490" t="s">
        <v>3627</v>
      </c>
      <c r="AX999" s="453" t="s">
        <v>6926</v>
      </c>
      <c r="AY999" s="455" t="s">
        <v>210</v>
      </c>
      <c r="AZ999" s="405" t="s">
        <v>622</v>
      </c>
      <c r="BA999" s="324" t="s">
        <v>3459</v>
      </c>
      <c r="BB999" s="324" t="s">
        <v>3627</v>
      </c>
      <c r="BC999" s="324" t="s">
        <v>210</v>
      </c>
      <c r="BD999" s="324" t="s">
        <v>210</v>
      </c>
      <c r="BE999" s="324" t="s">
        <v>6889</v>
      </c>
      <c r="BF999" s="324" t="s">
        <v>6890</v>
      </c>
      <c r="BG999" s="324" t="s">
        <v>6891</v>
      </c>
      <c r="BH999" s="324" t="s">
        <v>6892</v>
      </c>
      <c r="BI999" s="453">
        <v>2.2000000000000002</v>
      </c>
      <c r="BJ999" s="427" t="s">
        <v>210</v>
      </c>
      <c r="BK999" s="412"/>
      <c r="BL999" s="413"/>
      <c r="BM999" s="414"/>
      <c r="BN999" s="453" t="s">
        <v>622</v>
      </c>
      <c r="BO999" s="502"/>
      <c r="BP999" s="426" t="s">
        <v>210</v>
      </c>
      <c r="BQ999" s="456" t="s">
        <v>7862</v>
      </c>
      <c r="BR999" s="418" t="s">
        <v>210</v>
      </c>
      <c r="BS999" s="342" t="s">
        <v>622</v>
      </c>
      <c r="BT999" s="342" t="s">
        <v>210</v>
      </c>
      <c r="BU999" s="342" t="s">
        <v>210</v>
      </c>
      <c r="BV999" s="342" t="s">
        <v>210</v>
      </c>
      <c r="BW999" s="341" t="s">
        <v>210</v>
      </c>
      <c r="BX999" s="361"/>
      <c r="BY999" s="888" t="s">
        <v>6934</v>
      </c>
      <c r="BZ999" s="889"/>
      <c r="CA999" s="889"/>
      <c r="CB999" s="889"/>
      <c r="CC999" s="889"/>
    </row>
    <row r="1000" spans="1:82" s="465" customFormat="1" ht="22.5" customHeight="1">
      <c r="A1000" s="287"/>
      <c r="B1000" s="749">
        <v>180065</v>
      </c>
      <c r="C1000" s="781" t="s">
        <v>6895</v>
      </c>
      <c r="D1000" s="751"/>
      <c r="E1000" s="752" t="s">
        <v>5362</v>
      </c>
      <c r="F1000" s="753" t="s">
        <v>1509</v>
      </c>
      <c r="G1000" s="754" t="s">
        <v>6896</v>
      </c>
      <c r="H1000" s="754" t="s">
        <v>6897</v>
      </c>
      <c r="I1000" s="754" t="s">
        <v>766</v>
      </c>
      <c r="J1000" s="754" t="s">
        <v>6632</v>
      </c>
      <c r="K1000" s="754" t="s">
        <v>767</v>
      </c>
      <c r="L1000" s="676" t="s">
        <v>210</v>
      </c>
      <c r="M1000" s="754" t="s">
        <v>10767</v>
      </c>
      <c r="N1000" s="755" t="s">
        <v>6898</v>
      </c>
      <c r="O1000" s="754"/>
      <c r="P1000" s="782">
        <v>211</v>
      </c>
      <c r="Q1000" s="783">
        <v>175</v>
      </c>
      <c r="R1000" s="756" t="s">
        <v>6900</v>
      </c>
      <c r="S1000" s="708" t="s">
        <v>12198</v>
      </c>
      <c r="T1000" s="708"/>
      <c r="U1000" s="708"/>
      <c r="V1000" s="708" t="s">
        <v>12199</v>
      </c>
      <c r="W1000" s="757" t="s">
        <v>210</v>
      </c>
      <c r="X1000" s="708"/>
      <c r="Y1000" s="708"/>
      <c r="Z1000" s="708"/>
      <c r="AA1000" s="708"/>
      <c r="AB1000" s="758"/>
      <c r="AC1000" s="758"/>
      <c r="AD1000" s="759"/>
      <c r="AE1000" s="672" t="s">
        <v>210</v>
      </c>
      <c r="AF1000" s="846"/>
      <c r="AG1000" s="674" t="s">
        <v>10514</v>
      </c>
      <c r="AH1000" s="675" t="s">
        <v>210</v>
      </c>
      <c r="AI1000" s="676" t="s">
        <v>210</v>
      </c>
      <c r="AJ1000" s="676" t="s">
        <v>210</v>
      </c>
      <c r="AK1000" s="677" t="s">
        <v>210</v>
      </c>
      <c r="AL1000" s="675" t="s">
        <v>210</v>
      </c>
      <c r="AM1000" s="676" t="s">
        <v>210</v>
      </c>
      <c r="AN1000" s="676" t="s">
        <v>210</v>
      </c>
      <c r="AO1000" s="678" t="s">
        <v>210</v>
      </c>
      <c r="AP1000" s="784" t="s">
        <v>210</v>
      </c>
      <c r="AQ1000" s="762" t="s">
        <v>6902</v>
      </c>
      <c r="AR1000" s="763"/>
      <c r="AS1000" s="754"/>
      <c r="AT1000" s="785"/>
      <c r="AU1000" s="785"/>
      <c r="AV1000" s="785"/>
      <c r="AW1000" s="764"/>
      <c r="AX1000" s="675" t="s">
        <v>210</v>
      </c>
      <c r="AY1000" s="772" t="s">
        <v>210</v>
      </c>
      <c r="AZ1000" s="753"/>
      <c r="BA1000" s="754"/>
      <c r="BB1000" s="754"/>
      <c r="BC1000" s="754"/>
      <c r="BD1000" s="754"/>
      <c r="BE1000" s="754"/>
      <c r="BF1000" s="754"/>
      <c r="BG1000" s="754"/>
      <c r="BH1000" s="767"/>
      <c r="BI1000" s="765"/>
      <c r="BJ1000" s="768"/>
      <c r="BK1000" s="769"/>
      <c r="BL1000" s="766"/>
      <c r="BM1000" s="770"/>
      <c r="BN1000" s="765"/>
      <c r="BO1000" s="771"/>
      <c r="BP1000" s="772"/>
      <c r="BQ1000" s="773"/>
      <c r="BR1000" s="688"/>
      <c r="BS1000" s="688" t="s">
        <v>622</v>
      </c>
      <c r="BT1000" s="688" t="s">
        <v>210</v>
      </c>
      <c r="BU1000" s="688" t="s">
        <v>210</v>
      </c>
      <c r="BV1000" s="688" t="s">
        <v>210</v>
      </c>
      <c r="BW1000" s="678" t="s">
        <v>210</v>
      </c>
      <c r="BX1000" s="688"/>
      <c r="BY1000" s="774"/>
      <c r="BZ1000" s="483"/>
      <c r="CA1000" s="483"/>
      <c r="CB1000" s="483"/>
      <c r="CC1000" s="483"/>
      <c r="CD1000" s="484"/>
    </row>
    <row r="1001" spans="1:82" ht="22.5" customHeight="1">
      <c r="B1001" s="442">
        <v>180066</v>
      </c>
      <c r="C1001" s="443" t="s">
        <v>6781</v>
      </c>
      <c r="D1001" s="439" t="s">
        <v>5344</v>
      </c>
      <c r="E1001" s="404" t="s">
        <v>6777</v>
      </c>
      <c r="F1001" s="405" t="s">
        <v>4956</v>
      </c>
      <c r="G1001" s="324" t="s">
        <v>2271</v>
      </c>
      <c r="H1001" s="324" t="s">
        <v>7122</v>
      </c>
      <c r="I1001" s="326" t="s">
        <v>383</v>
      </c>
      <c r="J1001" s="326" t="s">
        <v>12</v>
      </c>
      <c r="K1001" s="324" t="s">
        <v>247</v>
      </c>
      <c r="L1001" s="342" t="s">
        <v>210</v>
      </c>
      <c r="M1001" s="324" t="s">
        <v>10767</v>
      </c>
      <c r="N1001" s="444" t="s">
        <v>438</v>
      </c>
      <c r="O1001" s="326">
        <v>30</v>
      </c>
      <c r="P1001" s="458">
        <v>39.06</v>
      </c>
      <c r="Q1001" s="459">
        <v>39</v>
      </c>
      <c r="R1001" s="420" t="s">
        <v>12196</v>
      </c>
      <c r="S1001" s="394" t="s">
        <v>12197</v>
      </c>
      <c r="T1001" s="331" t="s">
        <v>11123</v>
      </c>
      <c r="U1001" s="331" t="s">
        <v>16209</v>
      </c>
      <c r="V1001" s="331" t="s">
        <v>11124</v>
      </c>
      <c r="W1001" s="332" t="s">
        <v>432</v>
      </c>
      <c r="X1001" s="331" t="s">
        <v>11079</v>
      </c>
      <c r="Y1001" s="331" t="s">
        <v>11080</v>
      </c>
      <c r="Z1001" s="331" t="s">
        <v>11080</v>
      </c>
      <c r="AA1001" s="331" t="s">
        <v>6574</v>
      </c>
      <c r="AB1001" s="416" t="s">
        <v>16099</v>
      </c>
      <c r="AC1001" s="416"/>
      <c r="AD1001" s="897"/>
      <c r="AE1001" s="335" t="s">
        <v>210</v>
      </c>
      <c r="AF1001" s="462">
        <v>43178</v>
      </c>
      <c r="AG1001" s="748">
        <v>43210</v>
      </c>
      <c r="AH1001" s="417" t="s">
        <v>210</v>
      </c>
      <c r="AI1001" s="392" t="s">
        <v>210</v>
      </c>
      <c r="AJ1001" s="392" t="s">
        <v>210</v>
      </c>
      <c r="AK1001" s="340" t="s">
        <v>210</v>
      </c>
      <c r="AL1001" s="417" t="s">
        <v>210</v>
      </c>
      <c r="AM1001" s="392" t="s">
        <v>210</v>
      </c>
      <c r="AN1001" s="392" t="s">
        <v>210</v>
      </c>
      <c r="AO1001" s="341" t="s">
        <v>210</v>
      </c>
      <c r="AP1001" s="418" t="s">
        <v>210</v>
      </c>
      <c r="AQ1001" s="433" t="s">
        <v>4547</v>
      </c>
      <c r="AR1001" s="452">
        <v>78.2</v>
      </c>
      <c r="AS1001" s="324">
        <v>80</v>
      </c>
      <c r="AT1001" s="432">
        <v>1</v>
      </c>
      <c r="AU1001" s="432" t="s">
        <v>5246</v>
      </c>
      <c r="AV1001" s="432">
        <v>1</v>
      </c>
      <c r="AW1001" s="490" t="s">
        <v>5246</v>
      </c>
      <c r="AX1001" s="453" t="s">
        <v>210</v>
      </c>
      <c r="AY1001" s="429" t="s">
        <v>210</v>
      </c>
      <c r="AZ1001" s="405" t="s">
        <v>4083</v>
      </c>
      <c r="BA1001" s="324" t="s">
        <v>210</v>
      </c>
      <c r="BB1001" s="324" t="s">
        <v>210</v>
      </c>
      <c r="BC1001" s="324" t="s">
        <v>210</v>
      </c>
      <c r="BD1001" s="324" t="s">
        <v>210</v>
      </c>
      <c r="BE1001" s="324" t="s">
        <v>3459</v>
      </c>
      <c r="BF1001" s="324" t="s">
        <v>5058</v>
      </c>
      <c r="BG1001" s="324" t="s">
        <v>3555</v>
      </c>
      <c r="BH1001" s="426" t="s">
        <v>5106</v>
      </c>
      <c r="BI1001" s="453">
        <v>2.65</v>
      </c>
      <c r="BJ1001" s="427" t="s">
        <v>7123</v>
      </c>
      <c r="BK1001" s="412"/>
      <c r="BL1001" s="413"/>
      <c r="BM1001" s="414"/>
      <c r="BN1001" s="453" t="s">
        <v>210</v>
      </c>
      <c r="BO1001" s="502"/>
      <c r="BP1001" s="455" t="s">
        <v>210</v>
      </c>
      <c r="BQ1001" s="456" t="s">
        <v>247</v>
      </c>
      <c r="BR1001" s="342" t="s">
        <v>7124</v>
      </c>
      <c r="BS1001" s="342" t="s">
        <v>622</v>
      </c>
      <c r="BT1001" s="342" t="s">
        <v>210</v>
      </c>
      <c r="BU1001" s="342" t="s">
        <v>210</v>
      </c>
      <c r="BV1001" s="342" t="s">
        <v>210</v>
      </c>
      <c r="BW1001" s="341" t="s">
        <v>210</v>
      </c>
      <c r="BX1001" s="361"/>
      <c r="BY1001" s="888" t="s">
        <v>7036</v>
      </c>
      <c r="BZ1001" s="889"/>
      <c r="CA1001" s="889"/>
      <c r="CB1001" s="889"/>
      <c r="CC1001" s="889"/>
    </row>
    <row r="1002" spans="1:82" ht="22.5" customHeight="1">
      <c r="B1002" s="442">
        <v>180067</v>
      </c>
      <c r="C1002" s="443" t="s">
        <v>12194</v>
      </c>
      <c r="D1002" s="467" t="s">
        <v>6950</v>
      </c>
      <c r="E1002" s="404" t="s">
        <v>5362</v>
      </c>
      <c r="F1002" s="405" t="s">
        <v>6929</v>
      </c>
      <c r="G1002" s="324" t="s">
        <v>5089</v>
      </c>
      <c r="H1002" s="324" t="s">
        <v>6930</v>
      </c>
      <c r="I1002" s="326" t="s">
        <v>383</v>
      </c>
      <c r="J1002" s="324" t="s">
        <v>6632</v>
      </c>
      <c r="K1002" s="324" t="s">
        <v>247</v>
      </c>
      <c r="L1002" s="361"/>
      <c r="M1002" s="324" t="s">
        <v>10767</v>
      </c>
      <c r="N1002" s="444" t="s">
        <v>438</v>
      </c>
      <c r="O1002" s="324">
        <v>250</v>
      </c>
      <c r="P1002" s="458">
        <v>5500</v>
      </c>
      <c r="Q1002" s="459">
        <v>5500</v>
      </c>
      <c r="R1002" s="329" t="s">
        <v>1098</v>
      </c>
      <c r="S1002" s="400"/>
      <c r="T1002" s="394" t="s">
        <v>12439</v>
      </c>
      <c r="U1002" s="394" t="s">
        <v>16310</v>
      </c>
      <c r="V1002" s="400"/>
      <c r="W1002" s="460" t="s">
        <v>3800</v>
      </c>
      <c r="X1002" s="394" t="s">
        <v>12195</v>
      </c>
      <c r="Y1002" s="394" t="s">
        <v>11417</v>
      </c>
      <c r="Z1002" s="394" t="s">
        <v>11418</v>
      </c>
      <c r="AA1002" s="394" t="s">
        <v>11419</v>
      </c>
      <c r="AB1002" s="416"/>
      <c r="AC1002" s="416"/>
      <c r="AD1002" s="334" t="s">
        <v>2326</v>
      </c>
      <c r="AE1002" s="499" t="s">
        <v>1747</v>
      </c>
      <c r="AF1002" s="462">
        <v>43178</v>
      </c>
      <c r="AG1002" s="748">
        <v>43295</v>
      </c>
      <c r="AH1002" s="417" t="s">
        <v>210</v>
      </c>
      <c r="AI1002" s="392" t="s">
        <v>210</v>
      </c>
      <c r="AJ1002" s="392" t="s">
        <v>210</v>
      </c>
      <c r="AK1002" s="340" t="s">
        <v>210</v>
      </c>
      <c r="AL1002" s="417" t="s">
        <v>210</v>
      </c>
      <c r="AM1002" s="392" t="s">
        <v>210</v>
      </c>
      <c r="AN1002" s="392" t="s">
        <v>210</v>
      </c>
      <c r="AO1002" s="341" t="s">
        <v>210</v>
      </c>
      <c r="AP1002" s="418" t="s">
        <v>210</v>
      </c>
      <c r="AQ1002" s="433" t="s">
        <v>4547</v>
      </c>
      <c r="AR1002" s="452">
        <v>6447</v>
      </c>
      <c r="AS1002" s="324">
        <v>120</v>
      </c>
      <c r="AT1002" s="432">
        <v>1</v>
      </c>
      <c r="AU1002" s="432" t="s">
        <v>5246</v>
      </c>
      <c r="AV1002" s="432">
        <v>1.5</v>
      </c>
      <c r="AW1002" s="490" t="s">
        <v>6579</v>
      </c>
      <c r="AX1002" s="417" t="s">
        <v>210</v>
      </c>
      <c r="AY1002" s="455" t="s">
        <v>210</v>
      </c>
      <c r="AZ1002" s="405" t="s">
        <v>622</v>
      </c>
      <c r="BA1002" s="324" t="s">
        <v>3459</v>
      </c>
      <c r="BB1002" s="324" t="s">
        <v>5058</v>
      </c>
      <c r="BC1002" s="324" t="s">
        <v>210</v>
      </c>
      <c r="BD1002" s="324" t="s">
        <v>210</v>
      </c>
      <c r="BE1002" s="324" t="s">
        <v>6931</v>
      </c>
      <c r="BF1002" s="324" t="s">
        <v>210</v>
      </c>
      <c r="BG1002" s="324" t="s">
        <v>3738</v>
      </c>
      <c r="BH1002" s="426" t="s">
        <v>6579</v>
      </c>
      <c r="BI1002" s="453">
        <v>1.2</v>
      </c>
      <c r="BJ1002" s="427" t="s">
        <v>210</v>
      </c>
      <c r="BK1002" s="412"/>
      <c r="BL1002" s="413"/>
      <c r="BM1002" s="414"/>
      <c r="BN1002" s="453" t="s">
        <v>622</v>
      </c>
      <c r="BO1002" s="464">
        <v>1.89</v>
      </c>
      <c r="BP1002" s="455" t="s">
        <v>622</v>
      </c>
      <c r="BQ1002" s="456" t="s">
        <v>6874</v>
      </c>
      <c r="BR1002" s="342" t="s">
        <v>622</v>
      </c>
      <c r="BS1002" s="342" t="s">
        <v>622</v>
      </c>
      <c r="BT1002" s="342" t="s">
        <v>622</v>
      </c>
      <c r="BU1002" s="342" t="s">
        <v>210</v>
      </c>
      <c r="BV1002" s="342" t="s">
        <v>210</v>
      </c>
      <c r="BW1002" s="341" t="s">
        <v>210</v>
      </c>
      <c r="BX1002" s="361"/>
      <c r="BY1002" s="457" t="s">
        <v>6932</v>
      </c>
      <c r="BZ1002" s="363"/>
      <c r="CA1002" s="363"/>
      <c r="CB1002" s="363"/>
      <c r="CC1002" s="363"/>
    </row>
    <row r="1003" spans="1:82" ht="22.5" customHeight="1">
      <c r="B1003" s="442">
        <v>180068</v>
      </c>
      <c r="C1003" s="443" t="s">
        <v>7021</v>
      </c>
      <c r="D1003" s="467" t="s">
        <v>6793</v>
      </c>
      <c r="E1003" s="404" t="s">
        <v>5362</v>
      </c>
      <c r="F1003" s="405" t="s">
        <v>308</v>
      </c>
      <c r="G1003" s="324" t="s">
        <v>6945</v>
      </c>
      <c r="H1003" s="324" t="s">
        <v>6946</v>
      </c>
      <c r="I1003" s="326" t="s">
        <v>383</v>
      </c>
      <c r="J1003" s="326" t="s">
        <v>12</v>
      </c>
      <c r="K1003" s="326" t="s">
        <v>223</v>
      </c>
      <c r="L1003" s="392" t="s">
        <v>210</v>
      </c>
      <c r="M1003" s="324" t="s">
        <v>10767</v>
      </c>
      <c r="N1003" s="444" t="s">
        <v>437</v>
      </c>
      <c r="O1003" s="324">
        <v>100</v>
      </c>
      <c r="P1003" s="816">
        <v>1800</v>
      </c>
      <c r="Q1003" s="817">
        <v>1800</v>
      </c>
      <c r="R1003" s="420" t="s">
        <v>6947</v>
      </c>
      <c r="S1003" s="400"/>
      <c r="T1003" s="400"/>
      <c r="U1003" s="400"/>
      <c r="V1003" s="400"/>
      <c r="W1003" s="332" t="s">
        <v>5517</v>
      </c>
      <c r="X1003" s="331" t="s">
        <v>11801</v>
      </c>
      <c r="Y1003" s="330"/>
      <c r="Z1003" s="330"/>
      <c r="AA1003" s="331" t="s">
        <v>11802</v>
      </c>
      <c r="AB1003" s="416"/>
      <c r="AC1003" s="416"/>
      <c r="AD1003" s="447" t="s">
        <v>7540</v>
      </c>
      <c r="AE1003" s="499" t="s">
        <v>7445</v>
      </c>
      <c r="AF1003" s="462">
        <v>43192</v>
      </c>
      <c r="AG1003" s="748">
        <v>43276</v>
      </c>
      <c r="AH1003" s="417" t="s">
        <v>210</v>
      </c>
      <c r="AI1003" s="392" t="s">
        <v>210</v>
      </c>
      <c r="AJ1003" s="392" t="s">
        <v>210</v>
      </c>
      <c r="AK1003" s="340" t="s">
        <v>210</v>
      </c>
      <c r="AL1003" s="417" t="s">
        <v>210</v>
      </c>
      <c r="AM1003" s="392" t="s">
        <v>210</v>
      </c>
      <c r="AN1003" s="392" t="s">
        <v>210</v>
      </c>
      <c r="AO1003" s="341" t="s">
        <v>210</v>
      </c>
      <c r="AP1003" s="418" t="s">
        <v>210</v>
      </c>
      <c r="AQ1003" s="433" t="s">
        <v>4547</v>
      </c>
      <c r="AR1003" s="452">
        <v>2550</v>
      </c>
      <c r="AS1003" s="324">
        <v>80</v>
      </c>
      <c r="AT1003" s="432">
        <v>1</v>
      </c>
      <c r="AU1003" s="432" t="s">
        <v>6245</v>
      </c>
      <c r="AV1003" s="432">
        <v>1.5</v>
      </c>
      <c r="AW1003" s="490" t="s">
        <v>3494</v>
      </c>
      <c r="AX1003" s="417" t="s">
        <v>210</v>
      </c>
      <c r="AY1003" s="455" t="s">
        <v>210</v>
      </c>
      <c r="AZ1003" s="405" t="s">
        <v>622</v>
      </c>
      <c r="BA1003" s="324" t="s">
        <v>7185</v>
      </c>
      <c r="BB1003" s="324" t="s">
        <v>3434</v>
      </c>
      <c r="BC1003" s="324" t="s">
        <v>7186</v>
      </c>
      <c r="BD1003" s="324" t="s">
        <v>3434</v>
      </c>
      <c r="BE1003" s="324" t="s">
        <v>3475</v>
      </c>
      <c r="BF1003" s="324" t="s">
        <v>3434</v>
      </c>
      <c r="BG1003" s="324" t="s">
        <v>7187</v>
      </c>
      <c r="BH1003" s="426" t="s">
        <v>3494</v>
      </c>
      <c r="BI1003" s="453">
        <v>0.8</v>
      </c>
      <c r="BJ1003" s="427" t="s">
        <v>210</v>
      </c>
      <c r="BK1003" s="412"/>
      <c r="BL1003" s="413"/>
      <c r="BM1003" s="414"/>
      <c r="BN1003" s="453" t="s">
        <v>622</v>
      </c>
      <c r="BO1003" s="502"/>
      <c r="BP1003" s="455" t="s">
        <v>622</v>
      </c>
      <c r="BQ1003" s="456" t="s">
        <v>6623</v>
      </c>
      <c r="BR1003" s="342" t="s">
        <v>210</v>
      </c>
      <c r="BS1003" s="342" t="s">
        <v>210</v>
      </c>
      <c r="BT1003" s="342" t="s">
        <v>210</v>
      </c>
      <c r="BU1003" s="342" t="s">
        <v>210</v>
      </c>
      <c r="BV1003" s="342" t="s">
        <v>210</v>
      </c>
      <c r="BW1003" s="341" t="s">
        <v>210</v>
      </c>
      <c r="BX1003" s="361"/>
      <c r="BY1003" s="888" t="s">
        <v>7188</v>
      </c>
      <c r="BZ1003" s="889"/>
      <c r="CA1003" s="889"/>
      <c r="CB1003" s="889"/>
      <c r="CC1003" s="889"/>
    </row>
    <row r="1004" spans="1:82" ht="22.5" customHeight="1">
      <c r="B1004" s="442">
        <v>180069</v>
      </c>
      <c r="C1004" s="443" t="s">
        <v>6951</v>
      </c>
      <c r="D1004" s="467" t="s">
        <v>7077</v>
      </c>
      <c r="E1004" s="404" t="s">
        <v>5363</v>
      </c>
      <c r="F1004" s="405" t="s">
        <v>359</v>
      </c>
      <c r="G1004" s="324" t="s">
        <v>6952</v>
      </c>
      <c r="H1004" s="326" t="s">
        <v>1818</v>
      </c>
      <c r="I1004" s="326" t="s">
        <v>383</v>
      </c>
      <c r="J1004" s="326" t="s">
        <v>387</v>
      </c>
      <c r="K1004" s="324" t="s">
        <v>247</v>
      </c>
      <c r="L1004" s="342">
        <v>5</v>
      </c>
      <c r="M1004" s="324" t="s">
        <v>10767</v>
      </c>
      <c r="N1004" s="444" t="s">
        <v>7227</v>
      </c>
      <c r="O1004" s="324">
        <v>30</v>
      </c>
      <c r="P1004" s="458">
        <v>2304</v>
      </c>
      <c r="Q1004" s="459">
        <v>1275</v>
      </c>
      <c r="R1004" s="329" t="s">
        <v>432</v>
      </c>
      <c r="S1004" s="331" t="s">
        <v>11079</v>
      </c>
      <c r="T1004" s="331" t="s">
        <v>11079</v>
      </c>
      <c r="U1004" s="331" t="s">
        <v>11079</v>
      </c>
      <c r="V1004" s="331" t="s">
        <v>295</v>
      </c>
      <c r="W1004" s="332" t="s">
        <v>432</v>
      </c>
      <c r="X1004" s="331" t="s">
        <v>11079</v>
      </c>
      <c r="Y1004" s="331" t="s">
        <v>11080</v>
      </c>
      <c r="Z1004" s="331" t="s">
        <v>11080</v>
      </c>
      <c r="AA1004" s="331" t="s">
        <v>6574</v>
      </c>
      <c r="AB1004" s="416"/>
      <c r="AC1004" s="416"/>
      <c r="AD1004" s="334" t="s">
        <v>2333</v>
      </c>
      <c r="AE1004" s="499" t="s">
        <v>7230</v>
      </c>
      <c r="AF1004" s="462">
        <v>43209</v>
      </c>
      <c r="AG1004" s="748">
        <v>43264</v>
      </c>
      <c r="AH1004" s="453">
        <v>21.8</v>
      </c>
      <c r="AI1004" s="432">
        <v>12.5</v>
      </c>
      <c r="AJ1004" s="432">
        <v>11.1</v>
      </c>
      <c r="AK1004" s="455">
        <f>SUM(AH1004:AJ1004)</f>
        <v>45.4</v>
      </c>
      <c r="AL1004" s="453" t="s">
        <v>210</v>
      </c>
      <c r="AM1004" s="432" t="s">
        <v>210</v>
      </c>
      <c r="AN1004" s="432" t="s">
        <v>210</v>
      </c>
      <c r="AO1004" s="490" t="s">
        <v>7231</v>
      </c>
      <c r="AP1004" s="418" t="s">
        <v>210</v>
      </c>
      <c r="AQ1004" s="433" t="s">
        <v>4547</v>
      </c>
      <c r="AR1004" s="452">
        <v>1568</v>
      </c>
      <c r="AS1004" s="324">
        <v>150</v>
      </c>
      <c r="AT1004" s="432">
        <v>1</v>
      </c>
      <c r="AU1004" s="432" t="s">
        <v>5246</v>
      </c>
      <c r="AV1004" s="432">
        <v>1.2</v>
      </c>
      <c r="AW1004" s="490" t="s">
        <v>5246</v>
      </c>
      <c r="AX1004" s="453" t="s">
        <v>210</v>
      </c>
      <c r="AY1004" s="429" t="s">
        <v>210</v>
      </c>
      <c r="AZ1004" s="405" t="s">
        <v>210</v>
      </c>
      <c r="BA1004" s="324" t="s">
        <v>7232</v>
      </c>
      <c r="BB1004" s="324" t="s">
        <v>210</v>
      </c>
      <c r="BC1004" s="324" t="s">
        <v>3475</v>
      </c>
      <c r="BD1004" s="324" t="s">
        <v>5246</v>
      </c>
      <c r="BE1004" s="324" t="s">
        <v>3555</v>
      </c>
      <c r="BF1004" s="324" t="s">
        <v>5246</v>
      </c>
      <c r="BG1004" s="324" t="s">
        <v>7233</v>
      </c>
      <c r="BH1004" s="426" t="s">
        <v>5246</v>
      </c>
      <c r="BI1004" s="453">
        <v>8</v>
      </c>
      <c r="BJ1004" s="427" t="s">
        <v>7223</v>
      </c>
      <c r="BK1004" s="412"/>
      <c r="BL1004" s="413"/>
      <c r="BM1004" s="414"/>
      <c r="BN1004" s="453" t="s">
        <v>210</v>
      </c>
      <c r="BO1004" s="502"/>
      <c r="BP1004" s="455" t="s">
        <v>7234</v>
      </c>
      <c r="BQ1004" s="456" t="s">
        <v>6216</v>
      </c>
      <c r="BR1004" s="342" t="s">
        <v>7236</v>
      </c>
      <c r="BS1004" s="342" t="s">
        <v>210</v>
      </c>
      <c r="BT1004" s="342" t="s">
        <v>622</v>
      </c>
      <c r="BU1004" s="342" t="s">
        <v>7232</v>
      </c>
      <c r="BV1004" s="418" t="s">
        <v>7235</v>
      </c>
      <c r="BW1004" s="490" t="s">
        <v>210</v>
      </c>
      <c r="BX1004" s="342" t="s">
        <v>210</v>
      </c>
      <c r="BY1004" s="888" t="s">
        <v>7228</v>
      </c>
      <c r="BZ1004" s="889"/>
      <c r="CA1004" s="889"/>
      <c r="CB1004" s="889"/>
      <c r="CC1004" s="889"/>
    </row>
    <row r="1005" spans="1:82" ht="22.5" customHeight="1">
      <c r="B1005" s="442">
        <v>180071</v>
      </c>
      <c r="C1005" s="443" t="s">
        <v>6877</v>
      </c>
      <c r="D1005" s="439" t="s">
        <v>4854</v>
      </c>
      <c r="E1005" s="404" t="s">
        <v>5362</v>
      </c>
      <c r="F1005" s="405" t="s">
        <v>227</v>
      </c>
      <c r="G1005" s="324" t="s">
        <v>2011</v>
      </c>
      <c r="H1005" s="324" t="s">
        <v>7478</v>
      </c>
      <c r="I1005" s="326" t="s">
        <v>11</v>
      </c>
      <c r="J1005" s="326" t="s">
        <v>12</v>
      </c>
      <c r="K1005" s="326" t="s">
        <v>223</v>
      </c>
      <c r="L1005" s="392" t="s">
        <v>210</v>
      </c>
      <c r="M1005" s="324" t="s">
        <v>10767</v>
      </c>
      <c r="N1005" s="444" t="s">
        <v>438</v>
      </c>
      <c r="O1005" s="324">
        <v>30</v>
      </c>
      <c r="P1005" s="458">
        <v>1695</v>
      </c>
      <c r="Q1005" s="459">
        <v>870</v>
      </c>
      <c r="R1005" s="420" t="s">
        <v>6655</v>
      </c>
      <c r="S1005" s="394" t="s">
        <v>12192</v>
      </c>
      <c r="T1005" s="394" t="s">
        <v>12191</v>
      </c>
      <c r="U1005" s="394" t="s">
        <v>16247</v>
      </c>
      <c r="V1005" s="394" t="s">
        <v>12193</v>
      </c>
      <c r="W1005" s="460" t="s">
        <v>6768</v>
      </c>
      <c r="X1005" s="394" t="s">
        <v>12188</v>
      </c>
      <c r="Y1005" s="394" t="s">
        <v>12190</v>
      </c>
      <c r="Z1005" s="394" t="s">
        <v>16248</v>
      </c>
      <c r="AA1005" s="394" t="s">
        <v>12189</v>
      </c>
      <c r="AB1005" s="416" t="s">
        <v>6769</v>
      </c>
      <c r="AC1005" s="416"/>
      <c r="AD1005" s="447" t="s">
        <v>1422</v>
      </c>
      <c r="AE1005" s="499" t="s">
        <v>947</v>
      </c>
      <c r="AF1005" s="462">
        <v>43181</v>
      </c>
      <c r="AG1005" s="748">
        <v>43304</v>
      </c>
      <c r="AH1005" s="417" t="s">
        <v>210</v>
      </c>
      <c r="AI1005" s="392" t="s">
        <v>210</v>
      </c>
      <c r="AJ1005" s="392" t="s">
        <v>210</v>
      </c>
      <c r="AK1005" s="340" t="s">
        <v>210</v>
      </c>
      <c r="AL1005" s="417" t="s">
        <v>210</v>
      </c>
      <c r="AM1005" s="392" t="s">
        <v>210</v>
      </c>
      <c r="AN1005" s="392" t="s">
        <v>210</v>
      </c>
      <c r="AO1005" s="341" t="s">
        <v>210</v>
      </c>
      <c r="AP1005" s="418" t="s">
        <v>210</v>
      </c>
      <c r="AQ1005" s="433" t="s">
        <v>4547</v>
      </c>
      <c r="AR1005" s="452">
        <v>1138.5</v>
      </c>
      <c r="AS1005" s="324">
        <v>100</v>
      </c>
      <c r="AT1005" s="432">
        <v>1</v>
      </c>
      <c r="AU1005" s="432" t="s">
        <v>5487</v>
      </c>
      <c r="AV1005" s="432">
        <v>1.5</v>
      </c>
      <c r="AW1005" s="490" t="s">
        <v>5578</v>
      </c>
      <c r="AX1005" s="417" t="s">
        <v>210</v>
      </c>
      <c r="AY1005" s="455" t="s">
        <v>210</v>
      </c>
      <c r="AZ1005" s="405" t="s">
        <v>4083</v>
      </c>
      <c r="BA1005" s="324" t="s">
        <v>3459</v>
      </c>
      <c r="BB1005" s="324" t="s">
        <v>5578</v>
      </c>
      <c r="BC1005" s="324" t="s">
        <v>3475</v>
      </c>
      <c r="BD1005" s="324" t="s">
        <v>5578</v>
      </c>
      <c r="BE1005" s="324" t="s">
        <v>7480</v>
      </c>
      <c r="BF1005" s="324" t="s">
        <v>7481</v>
      </c>
      <c r="BG1005" s="324" t="s">
        <v>7482</v>
      </c>
      <c r="BH1005" s="426" t="s">
        <v>3898</v>
      </c>
      <c r="BI1005" s="453">
        <v>0.5</v>
      </c>
      <c r="BJ1005" s="427" t="s">
        <v>210</v>
      </c>
      <c r="BK1005" s="412"/>
      <c r="BL1005" s="413"/>
      <c r="BM1005" s="414"/>
      <c r="BN1005" s="453" t="s">
        <v>622</v>
      </c>
      <c r="BO1005" s="464"/>
      <c r="BP1005" s="426" t="s">
        <v>210</v>
      </c>
      <c r="BQ1005" s="456" t="s">
        <v>1059</v>
      </c>
      <c r="BR1005" s="342" t="s">
        <v>210</v>
      </c>
      <c r="BS1005" s="342" t="s">
        <v>622</v>
      </c>
      <c r="BT1005" s="342" t="s">
        <v>210</v>
      </c>
      <c r="BU1005" s="342" t="s">
        <v>210</v>
      </c>
      <c r="BV1005" s="342" t="s">
        <v>210</v>
      </c>
      <c r="BW1005" s="341" t="s">
        <v>210</v>
      </c>
      <c r="BX1005" s="342" t="s">
        <v>210</v>
      </c>
      <c r="BY1005" s="888" t="s">
        <v>7052</v>
      </c>
      <c r="BZ1005" s="889"/>
      <c r="CA1005" s="889"/>
      <c r="CB1005" s="889"/>
      <c r="CC1005" s="889"/>
    </row>
    <row r="1006" spans="1:82" ht="22.5" customHeight="1">
      <c r="B1006" s="442">
        <v>180100</v>
      </c>
      <c r="C1006" s="443" t="s">
        <v>6964</v>
      </c>
      <c r="D1006" s="439" t="s">
        <v>4847</v>
      </c>
      <c r="E1006" s="404" t="s">
        <v>5362</v>
      </c>
      <c r="F1006" s="405" t="s">
        <v>6961</v>
      </c>
      <c r="G1006" s="324" t="s">
        <v>6962</v>
      </c>
      <c r="H1006" s="324" t="s">
        <v>6963</v>
      </c>
      <c r="I1006" s="326" t="s">
        <v>383</v>
      </c>
      <c r="J1006" s="324" t="s">
        <v>6632</v>
      </c>
      <c r="K1006" s="324" t="s">
        <v>307</v>
      </c>
      <c r="L1006" s="342">
        <v>9.8000000000000007</v>
      </c>
      <c r="M1006" s="324" t="s">
        <v>10767</v>
      </c>
      <c r="N1006" s="444" t="s">
        <v>438</v>
      </c>
      <c r="O1006" s="324">
        <v>20</v>
      </c>
      <c r="P1006" s="816">
        <f>39.3*21</f>
        <v>825.3</v>
      </c>
      <c r="Q1006" s="817">
        <f>P1006</f>
        <v>825.3</v>
      </c>
      <c r="R1006" s="420" t="s">
        <v>6966</v>
      </c>
      <c r="S1006" s="394" t="s">
        <v>12185</v>
      </c>
      <c r="T1006" s="394" t="s">
        <v>12186</v>
      </c>
      <c r="U1006" s="394" t="s">
        <v>16376</v>
      </c>
      <c r="V1006" s="394" t="s">
        <v>12187</v>
      </c>
      <c r="W1006" s="460" t="s">
        <v>6968</v>
      </c>
      <c r="X1006" s="400"/>
      <c r="Y1006" s="400"/>
      <c r="Z1006" s="400"/>
      <c r="AA1006" s="400"/>
      <c r="AB1006" s="416"/>
      <c r="AC1006" s="416"/>
      <c r="AD1006" s="447" t="s">
        <v>7822</v>
      </c>
      <c r="AE1006" s="499" t="s">
        <v>8004</v>
      </c>
      <c r="AF1006" s="462">
        <v>43194</v>
      </c>
      <c r="AG1006" s="748">
        <v>43353</v>
      </c>
      <c r="AH1006" s="417" t="s">
        <v>210</v>
      </c>
      <c r="AI1006" s="392" t="s">
        <v>210</v>
      </c>
      <c r="AJ1006" s="392" t="s">
        <v>210</v>
      </c>
      <c r="AK1006" s="340" t="s">
        <v>210</v>
      </c>
      <c r="AL1006" s="417" t="s">
        <v>210</v>
      </c>
      <c r="AM1006" s="392" t="s">
        <v>210</v>
      </c>
      <c r="AN1006" s="392" t="s">
        <v>210</v>
      </c>
      <c r="AO1006" s="341" t="s">
        <v>210</v>
      </c>
      <c r="AP1006" s="418" t="s">
        <v>210</v>
      </c>
      <c r="AQ1006" s="433" t="s">
        <v>4547</v>
      </c>
      <c r="AR1006" s="452">
        <v>1000</v>
      </c>
      <c r="AS1006" s="324">
        <v>120</v>
      </c>
      <c r="AT1006" s="432">
        <v>1.2</v>
      </c>
      <c r="AU1006" s="432" t="s">
        <v>3574</v>
      </c>
      <c r="AV1006" s="432">
        <v>1</v>
      </c>
      <c r="AW1006" s="490" t="s">
        <v>3574</v>
      </c>
      <c r="AX1006" s="417" t="s">
        <v>210</v>
      </c>
      <c r="AY1006" s="455" t="s">
        <v>622</v>
      </c>
      <c r="AZ1006" s="405" t="s">
        <v>4083</v>
      </c>
      <c r="BA1006" s="324" t="s">
        <v>210</v>
      </c>
      <c r="BB1006" s="324" t="s">
        <v>210</v>
      </c>
      <c r="BC1006" s="324" t="s">
        <v>210</v>
      </c>
      <c r="BD1006" s="324" t="s">
        <v>210</v>
      </c>
      <c r="BE1006" s="324" t="s">
        <v>6972</v>
      </c>
      <c r="BF1006" s="324" t="s">
        <v>6973</v>
      </c>
      <c r="BG1006" s="324" t="s">
        <v>4673</v>
      </c>
      <c r="BH1006" s="426" t="s">
        <v>3382</v>
      </c>
      <c r="BI1006" s="453">
        <v>1.3</v>
      </c>
      <c r="BJ1006" s="427">
        <v>2.2999999999999998</v>
      </c>
      <c r="BK1006" s="428" t="s">
        <v>8804</v>
      </c>
      <c r="BL1006" s="429" t="s">
        <v>8805</v>
      </c>
      <c r="BM1006" s="414"/>
      <c r="BN1006" s="453" t="s">
        <v>622</v>
      </c>
      <c r="BO1006" s="464">
        <v>1.17</v>
      </c>
      <c r="BP1006" s="455" t="s">
        <v>622</v>
      </c>
      <c r="BQ1006" s="456" t="s">
        <v>5235</v>
      </c>
      <c r="BR1006" s="418" t="s">
        <v>210</v>
      </c>
      <c r="BS1006" s="342" t="s">
        <v>622</v>
      </c>
      <c r="BT1006" s="342" t="s">
        <v>210</v>
      </c>
      <c r="BU1006" s="342" t="s">
        <v>210</v>
      </c>
      <c r="BV1006" s="342" t="s">
        <v>210</v>
      </c>
      <c r="BW1006" s="341" t="s">
        <v>622</v>
      </c>
      <c r="BX1006" s="342" t="s">
        <v>210</v>
      </c>
      <c r="BY1006" s="457" t="s">
        <v>8129</v>
      </c>
      <c r="BZ1006" s="363"/>
      <c r="CA1006" s="363"/>
      <c r="CB1006" s="363"/>
      <c r="CC1006" s="363"/>
    </row>
    <row r="1007" spans="1:82" ht="22.5" customHeight="1">
      <c r="B1007" s="442" t="s">
        <v>7020</v>
      </c>
      <c r="C1007" s="443" t="s">
        <v>6965</v>
      </c>
      <c r="D1007" s="439" t="s">
        <v>4847</v>
      </c>
      <c r="E1007" s="404" t="s">
        <v>5362</v>
      </c>
      <c r="F1007" s="405" t="s">
        <v>6961</v>
      </c>
      <c r="G1007" s="324" t="s">
        <v>6962</v>
      </c>
      <c r="H1007" s="324" t="s">
        <v>6963</v>
      </c>
      <c r="I1007" s="326" t="s">
        <v>383</v>
      </c>
      <c r="J1007" s="326" t="s">
        <v>387</v>
      </c>
      <c r="K1007" s="324" t="s">
        <v>307</v>
      </c>
      <c r="L1007" s="392" t="s">
        <v>210</v>
      </c>
      <c r="M1007" s="324" t="s">
        <v>7064</v>
      </c>
      <c r="N1007" s="444" t="s">
        <v>438</v>
      </c>
      <c r="O1007" s="324">
        <v>20</v>
      </c>
      <c r="P1007" s="816">
        <v>400</v>
      </c>
      <c r="Q1007" s="817">
        <v>200</v>
      </c>
      <c r="R1007" s="420" t="s">
        <v>6966</v>
      </c>
      <c r="S1007" s="394" t="s">
        <v>12185</v>
      </c>
      <c r="T1007" s="394" t="s">
        <v>12186</v>
      </c>
      <c r="U1007" s="394" t="s">
        <v>16376</v>
      </c>
      <c r="V1007" s="394" t="s">
        <v>12187</v>
      </c>
      <c r="W1007" s="460" t="s">
        <v>6966</v>
      </c>
      <c r="X1007" s="394" t="s">
        <v>12185</v>
      </c>
      <c r="Y1007" s="394" t="s">
        <v>12186</v>
      </c>
      <c r="Z1007" s="394" t="s">
        <v>16376</v>
      </c>
      <c r="AA1007" s="394" t="s">
        <v>12187</v>
      </c>
      <c r="AB1007" s="416"/>
      <c r="AC1007" s="416"/>
      <c r="AD1007" s="447" t="s">
        <v>7822</v>
      </c>
      <c r="AE1007" s="499" t="s">
        <v>810</v>
      </c>
      <c r="AF1007" s="462">
        <v>43194</v>
      </c>
      <c r="AG1007" s="748">
        <v>43353</v>
      </c>
      <c r="AH1007" s="417" t="s">
        <v>210</v>
      </c>
      <c r="AI1007" s="392" t="s">
        <v>210</v>
      </c>
      <c r="AJ1007" s="392" t="s">
        <v>210</v>
      </c>
      <c r="AK1007" s="340" t="s">
        <v>210</v>
      </c>
      <c r="AL1007" s="417" t="s">
        <v>210</v>
      </c>
      <c r="AM1007" s="392" t="s">
        <v>210</v>
      </c>
      <c r="AN1007" s="392" t="s">
        <v>210</v>
      </c>
      <c r="AO1007" s="341" t="s">
        <v>210</v>
      </c>
      <c r="AP1007" s="418" t="s">
        <v>210</v>
      </c>
      <c r="AQ1007" s="433" t="s">
        <v>4547</v>
      </c>
      <c r="AR1007" s="452">
        <v>800</v>
      </c>
      <c r="AS1007" s="324">
        <v>120</v>
      </c>
      <c r="AT1007" s="432">
        <v>1.2</v>
      </c>
      <c r="AU1007" s="432" t="s">
        <v>3574</v>
      </c>
      <c r="AV1007" s="432">
        <v>1</v>
      </c>
      <c r="AW1007" s="490" t="s">
        <v>3574</v>
      </c>
      <c r="AX1007" s="417" t="s">
        <v>210</v>
      </c>
      <c r="AY1007" s="455" t="s">
        <v>622</v>
      </c>
      <c r="AZ1007" s="405" t="s">
        <v>4083</v>
      </c>
      <c r="BA1007" s="324" t="s">
        <v>210</v>
      </c>
      <c r="BB1007" s="324" t="s">
        <v>210</v>
      </c>
      <c r="BC1007" s="324" t="s">
        <v>210</v>
      </c>
      <c r="BD1007" s="324" t="s">
        <v>210</v>
      </c>
      <c r="BE1007" s="324" t="s">
        <v>6972</v>
      </c>
      <c r="BF1007" s="324" t="s">
        <v>6973</v>
      </c>
      <c r="BG1007" s="324" t="s">
        <v>4673</v>
      </c>
      <c r="BH1007" s="426" t="s">
        <v>3382</v>
      </c>
      <c r="BI1007" s="453">
        <v>1.3</v>
      </c>
      <c r="BJ1007" s="427">
        <v>2.2999999999999998</v>
      </c>
      <c r="BK1007" s="428" t="s">
        <v>8804</v>
      </c>
      <c r="BL1007" s="429" t="s">
        <v>8805</v>
      </c>
      <c r="BM1007" s="414"/>
      <c r="BN1007" s="453" t="s">
        <v>622</v>
      </c>
      <c r="BO1007" s="464">
        <v>1.17</v>
      </c>
      <c r="BP1007" s="455" t="s">
        <v>622</v>
      </c>
      <c r="BQ1007" s="456" t="s">
        <v>5235</v>
      </c>
      <c r="BR1007" s="418" t="s">
        <v>210</v>
      </c>
      <c r="BS1007" s="342" t="s">
        <v>622</v>
      </c>
      <c r="BT1007" s="342" t="s">
        <v>210</v>
      </c>
      <c r="BU1007" s="342" t="s">
        <v>210</v>
      </c>
      <c r="BV1007" s="342" t="s">
        <v>210</v>
      </c>
      <c r="BW1007" s="341" t="s">
        <v>622</v>
      </c>
      <c r="BX1007" s="342" t="s">
        <v>210</v>
      </c>
      <c r="BY1007" s="457" t="s">
        <v>8129</v>
      </c>
      <c r="BZ1007" s="363"/>
      <c r="CA1007" s="363"/>
      <c r="CB1007" s="363"/>
      <c r="CC1007" s="363"/>
    </row>
    <row r="1008" spans="1:82" ht="22.5" customHeight="1">
      <c r="B1008" s="442" t="s">
        <v>7999</v>
      </c>
      <c r="C1008" s="443" t="s">
        <v>7998</v>
      </c>
      <c r="D1008" s="439" t="s">
        <v>4847</v>
      </c>
      <c r="E1008" s="404" t="s">
        <v>5362</v>
      </c>
      <c r="F1008" s="405" t="s">
        <v>400</v>
      </c>
      <c r="G1008" s="324" t="s">
        <v>6962</v>
      </c>
      <c r="H1008" s="324" t="s">
        <v>6963</v>
      </c>
      <c r="I1008" s="326" t="s">
        <v>383</v>
      </c>
      <c r="J1008" s="326" t="s">
        <v>399</v>
      </c>
      <c r="K1008" s="324" t="s">
        <v>8128</v>
      </c>
      <c r="L1008" s="342">
        <v>9.8000000000000007</v>
      </c>
      <c r="M1008" s="324" t="s">
        <v>10767</v>
      </c>
      <c r="N1008" s="444" t="s">
        <v>438</v>
      </c>
      <c r="O1008" s="324">
        <v>20</v>
      </c>
      <c r="P1008" s="816">
        <v>440</v>
      </c>
      <c r="Q1008" s="817">
        <v>440</v>
      </c>
      <c r="R1008" s="420" t="s">
        <v>6966</v>
      </c>
      <c r="S1008" s="394" t="s">
        <v>12185</v>
      </c>
      <c r="T1008" s="394" t="s">
        <v>12186</v>
      </c>
      <c r="U1008" s="394" t="s">
        <v>16376</v>
      </c>
      <c r="V1008" s="394" t="s">
        <v>12187</v>
      </c>
      <c r="W1008" s="460" t="s">
        <v>6966</v>
      </c>
      <c r="X1008" s="394" t="s">
        <v>12185</v>
      </c>
      <c r="Y1008" s="394" t="s">
        <v>12186</v>
      </c>
      <c r="Z1008" s="394" t="s">
        <v>16376</v>
      </c>
      <c r="AA1008" s="394" t="s">
        <v>12187</v>
      </c>
      <c r="AB1008" s="416"/>
      <c r="AC1008" s="416"/>
      <c r="AD1008" s="447" t="s">
        <v>7822</v>
      </c>
      <c r="AE1008" s="499" t="s">
        <v>810</v>
      </c>
      <c r="AF1008" s="462">
        <v>43341</v>
      </c>
      <c r="AG1008" s="748">
        <v>43570</v>
      </c>
      <c r="AH1008" s="417" t="s">
        <v>210</v>
      </c>
      <c r="AI1008" s="392" t="s">
        <v>210</v>
      </c>
      <c r="AJ1008" s="392" t="s">
        <v>210</v>
      </c>
      <c r="AK1008" s="340" t="s">
        <v>210</v>
      </c>
      <c r="AL1008" s="417" t="s">
        <v>210</v>
      </c>
      <c r="AM1008" s="392" t="s">
        <v>210</v>
      </c>
      <c r="AN1008" s="392" t="s">
        <v>210</v>
      </c>
      <c r="AO1008" s="341" t="s">
        <v>210</v>
      </c>
      <c r="AP1008" s="418" t="s">
        <v>210</v>
      </c>
      <c r="AQ1008" s="433" t="s">
        <v>4547</v>
      </c>
      <c r="AR1008" s="452">
        <v>832</v>
      </c>
      <c r="AS1008" s="324">
        <v>120</v>
      </c>
      <c r="AT1008" s="432">
        <v>1.2</v>
      </c>
      <c r="AU1008" s="432" t="s">
        <v>3574</v>
      </c>
      <c r="AV1008" s="432">
        <v>1</v>
      </c>
      <c r="AW1008" s="490" t="s">
        <v>3574</v>
      </c>
      <c r="AX1008" s="417" t="s">
        <v>210</v>
      </c>
      <c r="AY1008" s="455" t="s">
        <v>210</v>
      </c>
      <c r="AZ1008" s="405" t="s">
        <v>4083</v>
      </c>
      <c r="BA1008" s="324" t="s">
        <v>210</v>
      </c>
      <c r="BB1008" s="324" t="s">
        <v>210</v>
      </c>
      <c r="BC1008" s="324" t="s">
        <v>210</v>
      </c>
      <c r="BD1008" s="324" t="s">
        <v>210</v>
      </c>
      <c r="BE1008" s="324" t="s">
        <v>3459</v>
      </c>
      <c r="BF1008" s="324" t="s">
        <v>6973</v>
      </c>
      <c r="BG1008" s="324" t="s">
        <v>4673</v>
      </c>
      <c r="BH1008" s="426" t="s">
        <v>3382</v>
      </c>
      <c r="BI1008" s="453">
        <v>1.3</v>
      </c>
      <c r="BJ1008" s="427">
        <v>2.2999999999999998</v>
      </c>
      <c r="BK1008" s="428" t="s">
        <v>8804</v>
      </c>
      <c r="BL1008" s="429" t="s">
        <v>8805</v>
      </c>
      <c r="BM1008" s="414"/>
      <c r="BN1008" s="453" t="s">
        <v>622</v>
      </c>
      <c r="BO1008" s="464">
        <v>1.17</v>
      </c>
      <c r="BP1008" s="455" t="s">
        <v>622</v>
      </c>
      <c r="BQ1008" s="456" t="s">
        <v>5235</v>
      </c>
      <c r="BR1008" s="418" t="s">
        <v>210</v>
      </c>
      <c r="BS1008" s="342" t="s">
        <v>622</v>
      </c>
      <c r="BT1008" s="342" t="s">
        <v>210</v>
      </c>
      <c r="BU1008" s="342" t="s">
        <v>210</v>
      </c>
      <c r="BV1008" s="342" t="s">
        <v>210</v>
      </c>
      <c r="BW1008" s="341" t="s">
        <v>622</v>
      </c>
      <c r="BX1008" s="342" t="s">
        <v>210</v>
      </c>
      <c r="BY1008" s="457" t="s">
        <v>8129</v>
      </c>
      <c r="BZ1008" s="363"/>
      <c r="CA1008" s="363"/>
      <c r="CB1008" s="363"/>
      <c r="CC1008" s="363"/>
    </row>
    <row r="1009" spans="1:82" s="907" customFormat="1" ht="22.5" customHeight="1">
      <c r="B1009" s="466">
        <v>180101</v>
      </c>
      <c r="C1009" s="908" t="s">
        <v>6987</v>
      </c>
      <c r="D1009" s="909" t="s">
        <v>6135</v>
      </c>
      <c r="E1009" s="910" t="s">
        <v>6974</v>
      </c>
      <c r="F1009" s="911" t="s">
        <v>709</v>
      </c>
      <c r="G1009" s="912" t="s">
        <v>3860</v>
      </c>
      <c r="H1009" s="912" t="s">
        <v>6988</v>
      </c>
      <c r="I1009" s="913" t="s">
        <v>383</v>
      </c>
      <c r="J1009" s="913" t="s">
        <v>387</v>
      </c>
      <c r="K1009" s="912" t="s">
        <v>251</v>
      </c>
      <c r="L1009" s="914" t="s">
        <v>210</v>
      </c>
      <c r="M1009" s="912" t="s">
        <v>10767</v>
      </c>
      <c r="N1009" s="915" t="s">
        <v>437</v>
      </c>
      <c r="O1009" s="912">
        <v>30</v>
      </c>
      <c r="P1009" s="916">
        <v>310</v>
      </c>
      <c r="Q1009" s="917">
        <v>310</v>
      </c>
      <c r="R1009" s="918" t="s">
        <v>6992</v>
      </c>
      <c r="S1009" s="919" t="s">
        <v>12183</v>
      </c>
      <c r="T1009" s="919"/>
      <c r="U1009" s="919"/>
      <c r="V1009" s="919" t="s">
        <v>12184</v>
      </c>
      <c r="W1009" s="920" t="s">
        <v>6989</v>
      </c>
      <c r="X1009" s="919"/>
      <c r="Y1009" s="919" t="s">
        <v>12181</v>
      </c>
      <c r="Z1009" s="919" t="s">
        <v>16249</v>
      </c>
      <c r="AA1009" s="919" t="s">
        <v>12182</v>
      </c>
      <c r="AB1009" s="921"/>
      <c r="AC1009" s="921"/>
      <c r="AD1009" s="922" t="s">
        <v>5522</v>
      </c>
      <c r="AE1009" s="923" t="s">
        <v>210</v>
      </c>
      <c r="AF1009" s="924">
        <v>43189</v>
      </c>
      <c r="AG1009" s="925">
        <v>43340</v>
      </c>
      <c r="AH1009" s="926" t="s">
        <v>210</v>
      </c>
      <c r="AI1009" s="914" t="s">
        <v>210</v>
      </c>
      <c r="AJ1009" s="914" t="s">
        <v>210</v>
      </c>
      <c r="AK1009" s="927" t="s">
        <v>210</v>
      </c>
      <c r="AL1009" s="926" t="s">
        <v>210</v>
      </c>
      <c r="AM1009" s="914" t="s">
        <v>210</v>
      </c>
      <c r="AN1009" s="914" t="s">
        <v>210</v>
      </c>
      <c r="AO1009" s="928" t="s">
        <v>210</v>
      </c>
      <c r="AP1009" s="929" t="s">
        <v>622</v>
      </c>
      <c r="AQ1009" s="930" t="s">
        <v>4547</v>
      </c>
      <c r="AR1009" s="931">
        <v>511</v>
      </c>
      <c r="AS1009" s="912">
        <v>80</v>
      </c>
      <c r="AT1009" s="932">
        <v>1</v>
      </c>
      <c r="AU1009" s="932" t="s">
        <v>7012</v>
      </c>
      <c r="AV1009" s="932">
        <v>1.5</v>
      </c>
      <c r="AW1009" s="933" t="s">
        <v>7012</v>
      </c>
      <c r="AX1009" s="926" t="s">
        <v>210</v>
      </c>
      <c r="AY1009" s="934" t="s">
        <v>210</v>
      </c>
      <c r="AZ1009" s="911" t="s">
        <v>622</v>
      </c>
      <c r="BA1009" s="912" t="s">
        <v>6990</v>
      </c>
      <c r="BB1009" s="912" t="s">
        <v>3495</v>
      </c>
      <c r="BC1009" s="912" t="s">
        <v>3555</v>
      </c>
      <c r="BD1009" s="912" t="s">
        <v>3495</v>
      </c>
      <c r="BE1009" s="912" t="s">
        <v>3565</v>
      </c>
      <c r="BF1009" s="912" t="s">
        <v>3495</v>
      </c>
      <c r="BG1009" s="912" t="s">
        <v>3459</v>
      </c>
      <c r="BH1009" s="912" t="s">
        <v>3495</v>
      </c>
      <c r="BI1009" s="935">
        <v>1.5</v>
      </c>
      <c r="BJ1009" s="936">
        <v>1.44</v>
      </c>
      <c r="BK1009" s="937" t="s">
        <v>8820</v>
      </c>
      <c r="BL1009" s="938">
        <v>7.25</v>
      </c>
      <c r="BM1009" s="939"/>
      <c r="BN1009" s="935" t="s">
        <v>622</v>
      </c>
      <c r="BO1009" s="940"/>
      <c r="BP1009" s="934" t="s">
        <v>622</v>
      </c>
      <c r="BQ1009" s="941" t="s">
        <v>6623</v>
      </c>
      <c r="BR1009" s="942" t="s">
        <v>210</v>
      </c>
      <c r="BS1009" s="929" t="s">
        <v>622</v>
      </c>
      <c r="BT1009" s="929" t="s">
        <v>210</v>
      </c>
      <c r="BU1009" s="929" t="s">
        <v>210</v>
      </c>
      <c r="BV1009" s="929" t="s">
        <v>210</v>
      </c>
      <c r="BW1009" s="928" t="s">
        <v>210</v>
      </c>
      <c r="BX1009" s="929" t="s">
        <v>210</v>
      </c>
      <c r="BY1009" s="943"/>
      <c r="BZ1009" s="944"/>
      <c r="CA1009" s="944"/>
      <c r="CB1009" s="944"/>
      <c r="CC1009" s="944"/>
      <c r="CD1009" s="945"/>
    </row>
    <row r="1010" spans="1:82" ht="22.5" customHeight="1">
      <c r="B1010" s="442">
        <v>180102</v>
      </c>
      <c r="C1010" s="443" t="s">
        <v>12177</v>
      </c>
      <c r="D1010" s="467" t="s">
        <v>6135</v>
      </c>
      <c r="E1010" s="404" t="s">
        <v>6974</v>
      </c>
      <c r="F1010" s="405" t="s">
        <v>709</v>
      </c>
      <c r="G1010" s="324" t="s">
        <v>6975</v>
      </c>
      <c r="H1010" s="324" t="s">
        <v>6976</v>
      </c>
      <c r="I1010" s="326" t="s">
        <v>383</v>
      </c>
      <c r="J1010" s="324" t="s">
        <v>6632</v>
      </c>
      <c r="K1010" s="324" t="s">
        <v>917</v>
      </c>
      <c r="L1010" s="392" t="s">
        <v>210</v>
      </c>
      <c r="M1010" s="324" t="s">
        <v>6509</v>
      </c>
      <c r="N1010" s="444" t="s">
        <v>438</v>
      </c>
      <c r="O1010" s="324">
        <v>30</v>
      </c>
      <c r="P1010" s="458">
        <v>4729</v>
      </c>
      <c r="Q1010" s="459">
        <v>5662</v>
      </c>
      <c r="R1010" s="420" t="s">
        <v>6977</v>
      </c>
      <c r="S1010" s="394" t="s">
        <v>12178</v>
      </c>
      <c r="T1010" s="394" t="s">
        <v>12180</v>
      </c>
      <c r="U1010" s="394" t="s">
        <v>16277</v>
      </c>
      <c r="V1010" s="394" t="s">
        <v>12179</v>
      </c>
      <c r="W1010" s="460" t="s">
        <v>6977</v>
      </c>
      <c r="X1010" s="394" t="s">
        <v>12178</v>
      </c>
      <c r="Y1010" s="394" t="s">
        <v>12180</v>
      </c>
      <c r="Z1010" s="394" t="s">
        <v>16277</v>
      </c>
      <c r="AA1010" s="394" t="s">
        <v>12179</v>
      </c>
      <c r="AB1010" s="416"/>
      <c r="AC1010" s="416"/>
      <c r="AD1010" s="447" t="s">
        <v>5522</v>
      </c>
      <c r="AE1010" s="499" t="s">
        <v>922</v>
      </c>
      <c r="AF1010" s="462">
        <v>43194</v>
      </c>
      <c r="AG1010" s="748">
        <v>43271</v>
      </c>
      <c r="AH1010" s="417" t="s">
        <v>210</v>
      </c>
      <c r="AI1010" s="392" t="s">
        <v>210</v>
      </c>
      <c r="AJ1010" s="392" t="s">
        <v>210</v>
      </c>
      <c r="AK1010" s="340" t="s">
        <v>210</v>
      </c>
      <c r="AL1010" s="417" t="s">
        <v>210</v>
      </c>
      <c r="AM1010" s="392" t="s">
        <v>210</v>
      </c>
      <c r="AN1010" s="392" t="s">
        <v>210</v>
      </c>
      <c r="AO1010" s="341" t="s">
        <v>210</v>
      </c>
      <c r="AP1010" s="418" t="s">
        <v>210</v>
      </c>
      <c r="AQ1010" s="433" t="s">
        <v>4547</v>
      </c>
      <c r="AR1010" s="452">
        <f>6094+475</f>
        <v>6569</v>
      </c>
      <c r="AS1010" s="324">
        <v>130</v>
      </c>
      <c r="AT1010" s="432">
        <v>1</v>
      </c>
      <c r="AU1010" s="432" t="s">
        <v>3627</v>
      </c>
      <c r="AV1010" s="432">
        <v>1.5</v>
      </c>
      <c r="AW1010" s="490" t="s">
        <v>7078</v>
      </c>
      <c r="AX1010" s="417" t="s">
        <v>210</v>
      </c>
      <c r="AY1010" s="455" t="s">
        <v>622</v>
      </c>
      <c r="AZ1010" s="405" t="s">
        <v>4083</v>
      </c>
      <c r="BA1010" s="324" t="s">
        <v>210</v>
      </c>
      <c r="BB1010" s="324" t="s">
        <v>210</v>
      </c>
      <c r="BC1010" s="324" t="s">
        <v>6980</v>
      </c>
      <c r="BD1010" s="324" t="s">
        <v>5280</v>
      </c>
      <c r="BE1010" s="324" t="s">
        <v>6981</v>
      </c>
      <c r="BF1010" s="324" t="s">
        <v>5280</v>
      </c>
      <c r="BG1010" s="324" t="s">
        <v>6982</v>
      </c>
      <c r="BH1010" s="426" t="s">
        <v>6983</v>
      </c>
      <c r="BI1010" s="453">
        <v>3</v>
      </c>
      <c r="BJ1010" s="427" t="s">
        <v>210</v>
      </c>
      <c r="BK1010" s="412"/>
      <c r="BL1010" s="413"/>
      <c r="BM1010" s="414"/>
      <c r="BN1010" s="453" t="s">
        <v>622</v>
      </c>
      <c r="BO1010" s="502"/>
      <c r="BP1010" s="455" t="s">
        <v>622</v>
      </c>
      <c r="BQ1010" s="456" t="s">
        <v>7079</v>
      </c>
      <c r="BR1010" s="418" t="s">
        <v>210</v>
      </c>
      <c r="BS1010" s="342" t="s">
        <v>622</v>
      </c>
      <c r="BT1010" s="342" t="s">
        <v>210</v>
      </c>
      <c r="BU1010" s="342" t="s">
        <v>210</v>
      </c>
      <c r="BV1010" s="342" t="s">
        <v>210</v>
      </c>
      <c r="BW1010" s="341" t="s">
        <v>210</v>
      </c>
      <c r="BX1010" s="361"/>
      <c r="BY1010" s="457" t="s">
        <v>7133</v>
      </c>
      <c r="BZ1010" s="363"/>
      <c r="CA1010" s="363"/>
      <c r="CB1010" s="363"/>
      <c r="CC1010" s="363"/>
    </row>
    <row r="1011" spans="1:82" ht="22.5" customHeight="1">
      <c r="B1011" s="442">
        <v>180103</v>
      </c>
      <c r="C1011" s="443" t="s">
        <v>7013</v>
      </c>
      <c r="D1011" s="439" t="s">
        <v>4849</v>
      </c>
      <c r="E1011" s="404" t="s">
        <v>6974</v>
      </c>
      <c r="F1011" s="405" t="s">
        <v>229</v>
      </c>
      <c r="G1011" s="324" t="s">
        <v>7014</v>
      </c>
      <c r="H1011" s="324" t="s">
        <v>7015</v>
      </c>
      <c r="I1011" s="326" t="s">
        <v>383</v>
      </c>
      <c r="J1011" s="326" t="s">
        <v>399</v>
      </c>
      <c r="K1011" s="324" t="s">
        <v>363</v>
      </c>
      <c r="L1011" s="342">
        <v>25</v>
      </c>
      <c r="M1011" s="324" t="s">
        <v>10767</v>
      </c>
      <c r="N1011" s="444" t="s">
        <v>438</v>
      </c>
      <c r="O1011" s="324">
        <v>26</v>
      </c>
      <c r="P1011" s="816">
        <v>990</v>
      </c>
      <c r="Q1011" s="817">
        <v>990</v>
      </c>
      <c r="R1011" s="420" t="s">
        <v>7016</v>
      </c>
      <c r="S1011" s="394" t="s">
        <v>12174</v>
      </c>
      <c r="T1011" s="394" t="s">
        <v>12175</v>
      </c>
      <c r="U1011" s="394" t="s">
        <v>16231</v>
      </c>
      <c r="V1011" s="394" t="s">
        <v>12176</v>
      </c>
      <c r="W1011" s="332" t="s">
        <v>592</v>
      </c>
      <c r="X1011" s="394" t="s">
        <v>11376</v>
      </c>
      <c r="Y1011" s="394" t="s">
        <v>11377</v>
      </c>
      <c r="Z1011" s="394" t="s">
        <v>16521</v>
      </c>
      <c r="AA1011" s="394" t="s">
        <v>11378</v>
      </c>
      <c r="AB1011" s="416"/>
      <c r="AC1011" s="416"/>
      <c r="AD1011" s="334" t="s">
        <v>2329</v>
      </c>
      <c r="AE1011" s="499" t="s">
        <v>7106</v>
      </c>
      <c r="AF1011" s="462">
        <v>43192</v>
      </c>
      <c r="AG1011" s="748">
        <v>43236</v>
      </c>
      <c r="AH1011" s="417" t="s">
        <v>210</v>
      </c>
      <c r="AI1011" s="392" t="s">
        <v>210</v>
      </c>
      <c r="AJ1011" s="392" t="s">
        <v>210</v>
      </c>
      <c r="AK1011" s="340" t="s">
        <v>210</v>
      </c>
      <c r="AL1011" s="417" t="s">
        <v>210</v>
      </c>
      <c r="AM1011" s="392" t="s">
        <v>210</v>
      </c>
      <c r="AN1011" s="392" t="s">
        <v>210</v>
      </c>
      <c r="AO1011" s="341" t="s">
        <v>210</v>
      </c>
      <c r="AP1011" s="418" t="s">
        <v>210</v>
      </c>
      <c r="AQ1011" s="433" t="s">
        <v>4547</v>
      </c>
      <c r="AR1011" s="452">
        <v>1260</v>
      </c>
      <c r="AS1011" s="324">
        <v>150</v>
      </c>
      <c r="AT1011" s="432">
        <v>1.6</v>
      </c>
      <c r="AU1011" s="432" t="s">
        <v>5246</v>
      </c>
      <c r="AV1011" s="432">
        <v>2.2000000000000002</v>
      </c>
      <c r="AW1011" s="490" t="s">
        <v>3382</v>
      </c>
      <c r="AX1011" s="453" t="s">
        <v>622</v>
      </c>
      <c r="AY1011" s="455" t="s">
        <v>210</v>
      </c>
      <c r="AZ1011" s="405" t="s">
        <v>4083</v>
      </c>
      <c r="BA1011" s="324" t="s">
        <v>210</v>
      </c>
      <c r="BB1011" s="324" t="s">
        <v>210</v>
      </c>
      <c r="BC1011" s="324" t="s">
        <v>7017</v>
      </c>
      <c r="BD1011" s="324" t="s">
        <v>3382</v>
      </c>
      <c r="BE1011" s="324" t="s">
        <v>7018</v>
      </c>
      <c r="BF1011" s="324" t="s">
        <v>3434</v>
      </c>
      <c r="BG1011" s="324" t="s">
        <v>7019</v>
      </c>
      <c r="BH1011" s="324" t="s">
        <v>3434</v>
      </c>
      <c r="BI1011" s="453">
        <v>1.7</v>
      </c>
      <c r="BJ1011" s="427" t="s">
        <v>210</v>
      </c>
      <c r="BK1011" s="412"/>
      <c r="BL1011" s="413"/>
      <c r="BM1011" s="414"/>
      <c r="BN1011" s="453" t="s">
        <v>622</v>
      </c>
      <c r="BO1011" s="502"/>
      <c r="BP1011" s="455" t="s">
        <v>622</v>
      </c>
      <c r="BQ1011" s="456" t="s">
        <v>7035</v>
      </c>
      <c r="BR1011" s="342" t="s">
        <v>622</v>
      </c>
      <c r="BS1011" s="342" t="s">
        <v>622</v>
      </c>
      <c r="BT1011" s="342" t="s">
        <v>210</v>
      </c>
      <c r="BU1011" s="342" t="s">
        <v>210</v>
      </c>
      <c r="BV1011" s="342" t="s">
        <v>210</v>
      </c>
      <c r="BW1011" s="341" t="s">
        <v>210</v>
      </c>
      <c r="BX1011" s="361"/>
      <c r="BY1011" s="888" t="s">
        <v>7055</v>
      </c>
      <c r="BZ1011" s="889"/>
      <c r="CA1011" s="889"/>
      <c r="CB1011" s="889"/>
      <c r="CC1011" s="889"/>
    </row>
    <row r="1012" spans="1:82" ht="22.5" customHeight="1">
      <c r="B1012" s="442">
        <v>180104</v>
      </c>
      <c r="C1012" s="443" t="s">
        <v>6954</v>
      </c>
      <c r="D1012" s="467" t="s">
        <v>6793</v>
      </c>
      <c r="E1012" s="404" t="s">
        <v>5362</v>
      </c>
      <c r="F1012" s="405" t="s">
        <v>1043</v>
      </c>
      <c r="G1012" s="324" t="s">
        <v>16324</v>
      </c>
      <c r="H1012" s="324" t="s">
        <v>6955</v>
      </c>
      <c r="I1012" s="326" t="s">
        <v>383</v>
      </c>
      <c r="J1012" s="326" t="s">
        <v>12</v>
      </c>
      <c r="K1012" s="326" t="s">
        <v>223</v>
      </c>
      <c r="L1012" s="392" t="s">
        <v>210</v>
      </c>
      <c r="M1012" s="324" t="s">
        <v>10767</v>
      </c>
      <c r="N1012" s="946" t="s">
        <v>7039</v>
      </c>
      <c r="O1012" s="324">
        <v>140</v>
      </c>
      <c r="P1012" s="816">
        <v>2850</v>
      </c>
      <c r="Q1012" s="817">
        <v>2850</v>
      </c>
      <c r="R1012" s="420" t="s">
        <v>8664</v>
      </c>
      <c r="S1012" s="394" t="s">
        <v>12172</v>
      </c>
      <c r="T1012" s="394" t="s">
        <v>11603</v>
      </c>
      <c r="U1012" s="394" t="s">
        <v>16297</v>
      </c>
      <c r="V1012" s="394" t="s">
        <v>12173</v>
      </c>
      <c r="W1012" s="460" t="s">
        <v>6956</v>
      </c>
      <c r="X1012" s="394" t="s">
        <v>12171</v>
      </c>
      <c r="Y1012" s="394" t="s">
        <v>12170</v>
      </c>
      <c r="Z1012" s="394" t="s">
        <v>16328</v>
      </c>
      <c r="AA1012" s="394" t="s">
        <v>12169</v>
      </c>
      <c r="AB1012" s="333" t="s">
        <v>1070</v>
      </c>
      <c r="AC1012" s="333"/>
      <c r="AD1012" s="334" t="s">
        <v>2337</v>
      </c>
      <c r="AE1012" s="335" t="s">
        <v>210</v>
      </c>
      <c r="AF1012" s="462">
        <v>43185</v>
      </c>
      <c r="AG1012" s="748">
        <v>43238</v>
      </c>
      <c r="AH1012" s="417" t="s">
        <v>210</v>
      </c>
      <c r="AI1012" s="392" t="s">
        <v>210</v>
      </c>
      <c r="AJ1012" s="392" t="s">
        <v>210</v>
      </c>
      <c r="AK1012" s="340" t="s">
        <v>210</v>
      </c>
      <c r="AL1012" s="417" t="s">
        <v>210</v>
      </c>
      <c r="AM1012" s="392" t="s">
        <v>210</v>
      </c>
      <c r="AN1012" s="392" t="s">
        <v>210</v>
      </c>
      <c r="AO1012" s="341" t="s">
        <v>210</v>
      </c>
      <c r="AP1012" s="342" t="s">
        <v>622</v>
      </c>
      <c r="AQ1012" s="433" t="s">
        <v>4547</v>
      </c>
      <c r="AR1012" s="452">
        <v>3383</v>
      </c>
      <c r="AS1012" s="324">
        <v>80</v>
      </c>
      <c r="AT1012" s="432">
        <v>0.8</v>
      </c>
      <c r="AU1012" s="432" t="s">
        <v>5246</v>
      </c>
      <c r="AV1012" s="432">
        <v>1.2</v>
      </c>
      <c r="AW1012" s="490" t="s">
        <v>3380</v>
      </c>
      <c r="AX1012" s="417" t="s">
        <v>210</v>
      </c>
      <c r="AY1012" s="455" t="s">
        <v>210</v>
      </c>
      <c r="AZ1012" s="405" t="s">
        <v>4083</v>
      </c>
      <c r="BA1012" s="324" t="s">
        <v>210</v>
      </c>
      <c r="BB1012" s="324" t="s">
        <v>210</v>
      </c>
      <c r="BC1012" s="324" t="s">
        <v>6959</v>
      </c>
      <c r="BD1012" s="324" t="s">
        <v>3380</v>
      </c>
      <c r="BE1012" s="324" t="s">
        <v>6960</v>
      </c>
      <c r="BF1012" s="324" t="s">
        <v>3713</v>
      </c>
      <c r="BG1012" s="324" t="s">
        <v>210</v>
      </c>
      <c r="BH1012" s="426" t="s">
        <v>210</v>
      </c>
      <c r="BI1012" s="453">
        <v>3.5</v>
      </c>
      <c r="BJ1012" s="427" t="s">
        <v>210</v>
      </c>
      <c r="BK1012" s="412"/>
      <c r="BL1012" s="413"/>
      <c r="BM1012" s="414"/>
      <c r="BN1012" s="453" t="s">
        <v>622</v>
      </c>
      <c r="BO1012" s="502"/>
      <c r="BP1012" s="455" t="s">
        <v>210</v>
      </c>
      <c r="BQ1012" s="456" t="s">
        <v>6623</v>
      </c>
      <c r="BR1012" s="418" t="s">
        <v>210</v>
      </c>
      <c r="BS1012" s="342" t="s">
        <v>622</v>
      </c>
      <c r="BT1012" s="342" t="s">
        <v>210</v>
      </c>
      <c r="BU1012" s="342" t="s">
        <v>210</v>
      </c>
      <c r="BV1012" s="342" t="s">
        <v>210</v>
      </c>
      <c r="BW1012" s="341" t="s">
        <v>210</v>
      </c>
      <c r="BX1012" s="361"/>
      <c r="BY1012" s="457" t="s">
        <v>7209</v>
      </c>
      <c r="BZ1012" s="363"/>
      <c r="CA1012" s="363"/>
      <c r="CB1012" s="363"/>
      <c r="CC1012" s="363"/>
    </row>
    <row r="1013" spans="1:82" ht="22.5" customHeight="1">
      <c r="B1013" s="442">
        <v>180105</v>
      </c>
      <c r="C1013" s="443" t="s">
        <v>7022</v>
      </c>
      <c r="D1013" s="467" t="s">
        <v>6135</v>
      </c>
      <c r="E1013" s="404" t="s">
        <v>5363</v>
      </c>
      <c r="F1013" s="405" t="s">
        <v>227</v>
      </c>
      <c r="G1013" s="324" t="s">
        <v>1774</v>
      </c>
      <c r="H1013" s="324" t="s">
        <v>7000</v>
      </c>
      <c r="I1013" s="326" t="s">
        <v>383</v>
      </c>
      <c r="J1013" s="326" t="s">
        <v>399</v>
      </c>
      <c r="K1013" s="324" t="s">
        <v>3400</v>
      </c>
      <c r="L1013" s="361"/>
      <c r="M1013" s="324" t="s">
        <v>6509</v>
      </c>
      <c r="N1013" s="444" t="s">
        <v>7105</v>
      </c>
      <c r="O1013" s="324">
        <v>30</v>
      </c>
      <c r="P1013" s="816">
        <v>1260</v>
      </c>
      <c r="Q1013" s="817">
        <v>1260</v>
      </c>
      <c r="R1013" s="420" t="s">
        <v>7007</v>
      </c>
      <c r="S1013" s="394" t="s">
        <v>12165</v>
      </c>
      <c r="T1013" s="394" t="s">
        <v>12166</v>
      </c>
      <c r="U1013" s="394" t="s">
        <v>12167</v>
      </c>
      <c r="V1013" s="394" t="s">
        <v>12168</v>
      </c>
      <c r="W1013" s="460" t="s">
        <v>7001</v>
      </c>
      <c r="X1013" s="394" t="s">
        <v>12163</v>
      </c>
      <c r="Y1013" s="400"/>
      <c r="Z1013" s="400"/>
      <c r="AA1013" s="394" t="s">
        <v>12164</v>
      </c>
      <c r="AB1013" s="416"/>
      <c r="AC1013" s="416"/>
      <c r="AD1013" s="447" t="s">
        <v>949</v>
      </c>
      <c r="AE1013" s="499" t="s">
        <v>1720</v>
      </c>
      <c r="AF1013" s="462">
        <v>43189</v>
      </c>
      <c r="AG1013" s="748">
        <v>43320</v>
      </c>
      <c r="AH1013" s="417" t="s">
        <v>210</v>
      </c>
      <c r="AI1013" s="392" t="s">
        <v>210</v>
      </c>
      <c r="AJ1013" s="392" t="s">
        <v>210</v>
      </c>
      <c r="AK1013" s="340" t="s">
        <v>210</v>
      </c>
      <c r="AL1013" s="417" t="s">
        <v>210</v>
      </c>
      <c r="AM1013" s="392" t="s">
        <v>210</v>
      </c>
      <c r="AN1013" s="392" t="s">
        <v>210</v>
      </c>
      <c r="AO1013" s="341" t="s">
        <v>210</v>
      </c>
      <c r="AP1013" s="418" t="s">
        <v>210</v>
      </c>
      <c r="AQ1013" s="433" t="s">
        <v>4547</v>
      </c>
      <c r="AR1013" s="452">
        <v>1759</v>
      </c>
      <c r="AS1013" s="324">
        <v>80</v>
      </c>
      <c r="AT1013" s="432">
        <v>1</v>
      </c>
      <c r="AU1013" s="432" t="s">
        <v>3627</v>
      </c>
      <c r="AV1013" s="432">
        <v>2</v>
      </c>
      <c r="AW1013" s="490" t="s">
        <v>3495</v>
      </c>
      <c r="AX1013" s="417" t="s">
        <v>210</v>
      </c>
      <c r="AY1013" s="455" t="s">
        <v>210</v>
      </c>
      <c r="AZ1013" s="405" t="s">
        <v>622</v>
      </c>
      <c r="BA1013" s="324" t="s">
        <v>3555</v>
      </c>
      <c r="BB1013" s="324" t="s">
        <v>3495</v>
      </c>
      <c r="BC1013" s="324" t="s">
        <v>3738</v>
      </c>
      <c r="BD1013" s="324" t="s">
        <v>3495</v>
      </c>
      <c r="BE1013" s="324" t="s">
        <v>7004</v>
      </c>
      <c r="BF1013" s="324" t="s">
        <v>3495</v>
      </c>
      <c r="BG1013" s="324" t="s">
        <v>3459</v>
      </c>
      <c r="BH1013" s="426" t="s">
        <v>7005</v>
      </c>
      <c r="BI1013" s="453">
        <v>1.3</v>
      </c>
      <c r="BJ1013" s="427" t="s">
        <v>210</v>
      </c>
      <c r="BK1013" s="412"/>
      <c r="BL1013" s="413"/>
      <c r="BM1013" s="414"/>
      <c r="BN1013" s="453" t="s">
        <v>622</v>
      </c>
      <c r="BO1013" s="502"/>
      <c r="BP1013" s="455" t="s">
        <v>622</v>
      </c>
      <c r="BQ1013" s="456" t="s">
        <v>5862</v>
      </c>
      <c r="BR1013" s="418" t="s">
        <v>210</v>
      </c>
      <c r="BS1013" s="342" t="s">
        <v>622</v>
      </c>
      <c r="BT1013" s="342" t="s">
        <v>210</v>
      </c>
      <c r="BU1013" s="342" t="s">
        <v>210</v>
      </c>
      <c r="BV1013" s="342" t="s">
        <v>210</v>
      </c>
      <c r="BW1013" s="341" t="s">
        <v>210</v>
      </c>
      <c r="BX1013" s="361"/>
      <c r="BY1013" s="457"/>
      <c r="BZ1013" s="363"/>
      <c r="CA1013" s="363"/>
      <c r="CB1013" s="363"/>
      <c r="CC1013" s="363"/>
    </row>
    <row r="1014" spans="1:82" ht="22.5" customHeight="1">
      <c r="B1014" s="442">
        <v>180106</v>
      </c>
      <c r="C1014" s="443" t="s">
        <v>7132</v>
      </c>
      <c r="D1014" s="467" t="s">
        <v>6135</v>
      </c>
      <c r="E1014" s="404" t="s">
        <v>5362</v>
      </c>
      <c r="F1014" s="405" t="s">
        <v>222</v>
      </c>
      <c r="G1014" s="324" t="s">
        <v>10114</v>
      </c>
      <c r="H1014" s="324" t="s">
        <v>10115</v>
      </c>
      <c r="I1014" s="326" t="s">
        <v>383</v>
      </c>
      <c r="J1014" s="326" t="s">
        <v>399</v>
      </c>
      <c r="K1014" s="324" t="s">
        <v>7008</v>
      </c>
      <c r="L1014" s="342">
        <v>47.5</v>
      </c>
      <c r="M1014" s="324" t="s">
        <v>10767</v>
      </c>
      <c r="N1014" s="946" t="s">
        <v>437</v>
      </c>
      <c r="O1014" s="324">
        <v>160</v>
      </c>
      <c r="P1014" s="458">
        <v>1996.16</v>
      </c>
      <c r="Q1014" s="459">
        <v>2307.2399999999998</v>
      </c>
      <c r="R1014" s="329" t="s">
        <v>8664</v>
      </c>
      <c r="S1014" s="400"/>
      <c r="T1014" s="394" t="s">
        <v>11603</v>
      </c>
      <c r="U1014" s="394" t="s">
        <v>16297</v>
      </c>
      <c r="V1014" s="400"/>
      <c r="W1014" s="332" t="s">
        <v>1096</v>
      </c>
      <c r="X1014" s="331" t="s">
        <v>11248</v>
      </c>
      <c r="Y1014" s="331" t="s">
        <v>11249</v>
      </c>
      <c r="Z1014" s="331" t="s">
        <v>16437</v>
      </c>
      <c r="AA1014" s="331" t="s">
        <v>11250</v>
      </c>
      <c r="AB1014" s="416"/>
      <c r="AC1014" s="416"/>
      <c r="AD1014" s="334" t="s">
        <v>2321</v>
      </c>
      <c r="AE1014" s="335" t="s">
        <v>210</v>
      </c>
      <c r="AF1014" s="462">
        <v>43189</v>
      </c>
      <c r="AG1014" s="748">
        <v>43271</v>
      </c>
      <c r="AH1014" s="417" t="s">
        <v>210</v>
      </c>
      <c r="AI1014" s="392" t="s">
        <v>210</v>
      </c>
      <c r="AJ1014" s="392" t="s">
        <v>210</v>
      </c>
      <c r="AK1014" s="340" t="s">
        <v>210</v>
      </c>
      <c r="AL1014" s="417" t="s">
        <v>210</v>
      </c>
      <c r="AM1014" s="392" t="s">
        <v>210</v>
      </c>
      <c r="AN1014" s="392" t="s">
        <v>210</v>
      </c>
      <c r="AO1014" s="341" t="s">
        <v>210</v>
      </c>
      <c r="AP1014" s="418" t="s">
        <v>210</v>
      </c>
      <c r="AQ1014" s="433" t="s">
        <v>4547</v>
      </c>
      <c r="AR1014" s="452">
        <v>2768</v>
      </c>
      <c r="AS1014" s="324">
        <v>120</v>
      </c>
      <c r="AT1014" s="432">
        <v>1</v>
      </c>
      <c r="AU1014" s="432" t="s">
        <v>5246</v>
      </c>
      <c r="AV1014" s="432">
        <v>2</v>
      </c>
      <c r="AW1014" s="490" t="s">
        <v>7308</v>
      </c>
      <c r="AX1014" s="417" t="s">
        <v>210</v>
      </c>
      <c r="AY1014" s="455" t="s">
        <v>210</v>
      </c>
      <c r="AZ1014" s="405" t="s">
        <v>4083</v>
      </c>
      <c r="BA1014" s="324" t="s">
        <v>210</v>
      </c>
      <c r="BB1014" s="324" t="s">
        <v>210</v>
      </c>
      <c r="BC1014" s="324" t="s">
        <v>210</v>
      </c>
      <c r="BD1014" s="324" t="s">
        <v>210</v>
      </c>
      <c r="BE1014" s="324" t="s">
        <v>7009</v>
      </c>
      <c r="BF1014" s="324" t="s">
        <v>7010</v>
      </c>
      <c r="BG1014" s="324" t="s">
        <v>3565</v>
      </c>
      <c r="BH1014" s="324" t="s">
        <v>7010</v>
      </c>
      <c r="BI1014" s="453">
        <v>1</v>
      </c>
      <c r="BJ1014" s="427" t="s">
        <v>9793</v>
      </c>
      <c r="BK1014" s="412"/>
      <c r="BL1014" s="413"/>
      <c r="BM1014" s="414"/>
      <c r="BN1014" s="453" t="s">
        <v>7309</v>
      </c>
      <c r="BO1014" s="464">
        <v>1.22</v>
      </c>
      <c r="BP1014" s="455" t="s">
        <v>622</v>
      </c>
      <c r="BQ1014" s="456" t="s">
        <v>6874</v>
      </c>
      <c r="BR1014" s="342" t="s">
        <v>210</v>
      </c>
      <c r="BS1014" s="342" t="s">
        <v>622</v>
      </c>
      <c r="BT1014" s="342" t="s">
        <v>210</v>
      </c>
      <c r="BU1014" s="342" t="s">
        <v>210</v>
      </c>
      <c r="BV1014" s="342" t="s">
        <v>210</v>
      </c>
      <c r="BW1014" s="341" t="s">
        <v>210</v>
      </c>
      <c r="BX1014" s="361"/>
      <c r="BY1014" s="457"/>
      <c r="BZ1014" s="363"/>
      <c r="CA1014" s="363"/>
      <c r="CB1014" s="363"/>
      <c r="CC1014" s="363"/>
    </row>
    <row r="1015" spans="1:82" ht="22.5" customHeight="1">
      <c r="B1015" s="442">
        <v>180107</v>
      </c>
      <c r="C1015" s="443" t="s">
        <v>6994</v>
      </c>
      <c r="D1015" s="439" t="s">
        <v>4849</v>
      </c>
      <c r="E1015" s="404" t="s">
        <v>5363</v>
      </c>
      <c r="F1015" s="405" t="s">
        <v>265</v>
      </c>
      <c r="G1015" s="324" t="s">
        <v>6995</v>
      </c>
      <c r="H1015" s="324" t="s">
        <v>6996</v>
      </c>
      <c r="I1015" s="326" t="s">
        <v>383</v>
      </c>
      <c r="J1015" s="326" t="s">
        <v>399</v>
      </c>
      <c r="K1015" s="326" t="s">
        <v>223</v>
      </c>
      <c r="L1015" s="392" t="s">
        <v>210</v>
      </c>
      <c r="M1015" s="324" t="s">
        <v>10767</v>
      </c>
      <c r="N1015" s="444" t="s">
        <v>438</v>
      </c>
      <c r="O1015" s="324">
        <v>21</v>
      </c>
      <c r="P1015" s="458">
        <v>2990</v>
      </c>
      <c r="Q1015" s="459">
        <v>3131</v>
      </c>
      <c r="R1015" s="329" t="s">
        <v>447</v>
      </c>
      <c r="S1015" s="394" t="s">
        <v>11188</v>
      </c>
      <c r="T1015" s="331" t="s">
        <v>11078</v>
      </c>
      <c r="U1015" s="331" t="s">
        <v>16355</v>
      </c>
      <c r="V1015" s="394" t="s">
        <v>12158</v>
      </c>
      <c r="W1015" s="332" t="s">
        <v>1437</v>
      </c>
      <c r="X1015" s="331" t="s">
        <v>12160</v>
      </c>
      <c r="Y1015" s="331" t="s">
        <v>12161</v>
      </c>
      <c r="Z1015" s="331" t="s">
        <v>16492</v>
      </c>
      <c r="AA1015" s="331" t="s">
        <v>12162</v>
      </c>
      <c r="AB1015" s="416"/>
      <c r="AC1015" s="416"/>
      <c r="AD1015" s="447" t="s">
        <v>730</v>
      </c>
      <c r="AE1015" s="499" t="s">
        <v>231</v>
      </c>
      <c r="AF1015" s="462">
        <v>43215</v>
      </c>
      <c r="AG1015" s="748">
        <v>43278</v>
      </c>
      <c r="AH1015" s="417" t="s">
        <v>210</v>
      </c>
      <c r="AI1015" s="392" t="s">
        <v>210</v>
      </c>
      <c r="AJ1015" s="392" t="s">
        <v>210</v>
      </c>
      <c r="AK1015" s="340" t="s">
        <v>210</v>
      </c>
      <c r="AL1015" s="417" t="s">
        <v>210</v>
      </c>
      <c r="AM1015" s="392" t="s">
        <v>210</v>
      </c>
      <c r="AN1015" s="392" t="s">
        <v>210</v>
      </c>
      <c r="AO1015" s="341" t="s">
        <v>210</v>
      </c>
      <c r="AP1015" s="418" t="s">
        <v>210</v>
      </c>
      <c r="AQ1015" s="433" t="s">
        <v>4547</v>
      </c>
      <c r="AR1015" s="452">
        <v>4042</v>
      </c>
      <c r="AS1015" s="324">
        <v>80</v>
      </c>
      <c r="AT1015" s="432">
        <v>0.8</v>
      </c>
      <c r="AU1015" s="432" t="s">
        <v>7150</v>
      </c>
      <c r="AV1015" s="432">
        <v>1.5</v>
      </c>
      <c r="AW1015" s="490" t="s">
        <v>3574</v>
      </c>
      <c r="AX1015" s="417" t="s">
        <v>210</v>
      </c>
      <c r="AY1015" s="455" t="s">
        <v>622</v>
      </c>
      <c r="AZ1015" s="405" t="s">
        <v>4083</v>
      </c>
      <c r="BA1015" s="324" t="s">
        <v>210</v>
      </c>
      <c r="BB1015" s="324" t="s">
        <v>210</v>
      </c>
      <c r="BC1015" s="324" t="s">
        <v>210</v>
      </c>
      <c r="BD1015" s="324" t="s">
        <v>210</v>
      </c>
      <c r="BE1015" s="324" t="s">
        <v>6997</v>
      </c>
      <c r="BF1015" s="324" t="s">
        <v>6998</v>
      </c>
      <c r="BG1015" s="324" t="s">
        <v>6999</v>
      </c>
      <c r="BH1015" s="426" t="s">
        <v>3382</v>
      </c>
      <c r="BI1015" s="453">
        <v>1.3</v>
      </c>
      <c r="BJ1015" s="427" t="s">
        <v>210</v>
      </c>
      <c r="BK1015" s="412"/>
      <c r="BL1015" s="413"/>
      <c r="BM1015" s="414"/>
      <c r="BN1015" s="453" t="s">
        <v>622</v>
      </c>
      <c r="BO1015" s="502"/>
      <c r="BP1015" s="455" t="s">
        <v>210</v>
      </c>
      <c r="BQ1015" s="456" t="s">
        <v>1059</v>
      </c>
      <c r="BR1015" s="418" t="s">
        <v>210</v>
      </c>
      <c r="BS1015" s="342" t="s">
        <v>622</v>
      </c>
      <c r="BT1015" s="342" t="s">
        <v>210</v>
      </c>
      <c r="BU1015" s="342" t="s">
        <v>210</v>
      </c>
      <c r="BV1015" s="342" t="s">
        <v>210</v>
      </c>
      <c r="BW1015" s="341" t="s">
        <v>210</v>
      </c>
      <c r="BX1015" s="361"/>
      <c r="BY1015" s="457"/>
      <c r="BZ1015" s="363"/>
      <c r="CA1015" s="363"/>
      <c r="CB1015" s="363"/>
      <c r="CC1015" s="363"/>
    </row>
    <row r="1016" spans="1:82" ht="22.5" customHeight="1">
      <c r="B1016" s="442">
        <v>180108</v>
      </c>
      <c r="C1016" s="443" t="s">
        <v>7023</v>
      </c>
      <c r="D1016" s="439" t="s">
        <v>4849</v>
      </c>
      <c r="E1016" s="404" t="s">
        <v>5362</v>
      </c>
      <c r="F1016" s="405" t="s">
        <v>240</v>
      </c>
      <c r="G1016" s="324" t="s">
        <v>7024</v>
      </c>
      <c r="H1016" s="324" t="s">
        <v>7087</v>
      </c>
      <c r="I1016" s="326" t="s">
        <v>383</v>
      </c>
      <c r="J1016" s="326" t="s">
        <v>399</v>
      </c>
      <c r="K1016" s="324" t="s">
        <v>247</v>
      </c>
      <c r="L1016" s="361"/>
      <c r="M1016" s="324" t="s">
        <v>10767</v>
      </c>
      <c r="N1016" s="444" t="s">
        <v>437</v>
      </c>
      <c r="O1016" s="324">
        <v>30</v>
      </c>
      <c r="P1016" s="458">
        <v>392</v>
      </c>
      <c r="Q1016" s="459">
        <v>356</v>
      </c>
      <c r="R1016" s="329" t="s">
        <v>3028</v>
      </c>
      <c r="S1016" s="394" t="s">
        <v>12151</v>
      </c>
      <c r="T1016" s="394" t="s">
        <v>12152</v>
      </c>
      <c r="U1016" s="394" t="s">
        <v>16357</v>
      </c>
      <c r="V1016" s="394" t="s">
        <v>12153</v>
      </c>
      <c r="W1016" s="332" t="s">
        <v>644</v>
      </c>
      <c r="X1016" s="331" t="s">
        <v>12154</v>
      </c>
      <c r="Y1016" s="331" t="s">
        <v>12156</v>
      </c>
      <c r="Z1016" s="331" t="s">
        <v>12155</v>
      </c>
      <c r="AA1016" s="331" t="s">
        <v>12157</v>
      </c>
      <c r="AB1016" s="416"/>
      <c r="AC1016" s="416"/>
      <c r="AD1016" s="447" t="s">
        <v>730</v>
      </c>
      <c r="AE1016" s="335" t="s">
        <v>210</v>
      </c>
      <c r="AF1016" s="462">
        <v>43194</v>
      </c>
      <c r="AG1016" s="748">
        <v>43237</v>
      </c>
      <c r="AH1016" s="417" t="s">
        <v>210</v>
      </c>
      <c r="AI1016" s="392" t="s">
        <v>210</v>
      </c>
      <c r="AJ1016" s="392" t="s">
        <v>210</v>
      </c>
      <c r="AK1016" s="340" t="s">
        <v>210</v>
      </c>
      <c r="AL1016" s="417" t="s">
        <v>210</v>
      </c>
      <c r="AM1016" s="392" t="s">
        <v>210</v>
      </c>
      <c r="AN1016" s="392" t="s">
        <v>210</v>
      </c>
      <c r="AO1016" s="341" t="s">
        <v>210</v>
      </c>
      <c r="AP1016" s="418" t="s">
        <v>210</v>
      </c>
      <c r="AQ1016" s="433" t="s">
        <v>4547</v>
      </c>
      <c r="AR1016" s="452">
        <f>532*6</f>
        <v>3192</v>
      </c>
      <c r="AS1016" s="324">
        <v>80</v>
      </c>
      <c r="AT1016" s="432">
        <v>1</v>
      </c>
      <c r="AU1016" s="432" t="s">
        <v>3491</v>
      </c>
      <c r="AV1016" s="432">
        <v>1.5</v>
      </c>
      <c r="AW1016" s="490" t="s">
        <v>3491</v>
      </c>
      <c r="AX1016" s="417" t="s">
        <v>210</v>
      </c>
      <c r="AY1016" s="455" t="s">
        <v>210</v>
      </c>
      <c r="AZ1016" s="405" t="s">
        <v>622</v>
      </c>
      <c r="BA1016" s="324" t="s">
        <v>7088</v>
      </c>
      <c r="BB1016" s="324" t="s">
        <v>3434</v>
      </c>
      <c r="BC1016" s="324" t="s">
        <v>7089</v>
      </c>
      <c r="BD1016" s="324" t="s">
        <v>7090</v>
      </c>
      <c r="BE1016" s="324" t="s">
        <v>7091</v>
      </c>
      <c r="BF1016" s="324" t="s">
        <v>7090</v>
      </c>
      <c r="BG1016" s="324" t="s">
        <v>7092</v>
      </c>
      <c r="BH1016" s="426" t="s">
        <v>5124</v>
      </c>
      <c r="BI1016" s="453">
        <v>0.7</v>
      </c>
      <c r="BJ1016" s="427">
        <v>2.5099999999999998</v>
      </c>
      <c r="BK1016" s="412"/>
      <c r="BL1016" s="413"/>
      <c r="BM1016" s="414"/>
      <c r="BN1016" s="410"/>
      <c r="BO1016" s="502"/>
      <c r="BP1016" s="492"/>
      <c r="BQ1016" s="456" t="s">
        <v>247</v>
      </c>
      <c r="BR1016" s="418" t="s">
        <v>210</v>
      </c>
      <c r="BS1016" s="342" t="s">
        <v>622</v>
      </c>
      <c r="BT1016" s="342" t="s">
        <v>210</v>
      </c>
      <c r="BU1016" s="342" t="s">
        <v>210</v>
      </c>
      <c r="BV1016" s="342" t="s">
        <v>210</v>
      </c>
      <c r="BW1016" s="341" t="s">
        <v>210</v>
      </c>
      <c r="BX1016" s="361"/>
      <c r="BY1016" s="457" t="s">
        <v>7054</v>
      </c>
      <c r="BZ1016" s="363"/>
      <c r="CA1016" s="363"/>
      <c r="CB1016" s="363"/>
      <c r="CC1016" s="363"/>
    </row>
    <row r="1017" spans="1:82" s="465" customFormat="1" ht="22.5" customHeight="1">
      <c r="A1017" s="287"/>
      <c r="B1017" s="749">
        <v>180109</v>
      </c>
      <c r="C1017" s="781" t="s">
        <v>7028</v>
      </c>
      <c r="D1017" s="751" t="s">
        <v>5268</v>
      </c>
      <c r="E1017" s="752" t="s">
        <v>5362</v>
      </c>
      <c r="F1017" s="753" t="s">
        <v>839</v>
      </c>
      <c r="G1017" s="754" t="s">
        <v>7029</v>
      </c>
      <c r="H1017" s="754"/>
      <c r="I1017" s="754"/>
      <c r="J1017" s="754"/>
      <c r="K1017" s="754" t="s">
        <v>917</v>
      </c>
      <c r="L1017" s="688"/>
      <c r="M1017" s="754"/>
      <c r="N1017" s="755"/>
      <c r="O1017" s="754"/>
      <c r="P1017" s="782"/>
      <c r="Q1017" s="783"/>
      <c r="R1017" s="756" t="s">
        <v>7030</v>
      </c>
      <c r="S1017" s="708" t="s">
        <v>12149</v>
      </c>
      <c r="T1017" s="708"/>
      <c r="U1017" s="708"/>
      <c r="V1017" s="708" t="s">
        <v>12150</v>
      </c>
      <c r="W1017" s="757" t="s">
        <v>7033</v>
      </c>
      <c r="X1017" s="708" t="s">
        <v>12149</v>
      </c>
      <c r="Y1017" s="708"/>
      <c r="Z1017" s="708"/>
      <c r="AA1017" s="708" t="s">
        <v>12150</v>
      </c>
      <c r="AB1017" s="758"/>
      <c r="AC1017" s="758"/>
      <c r="AD1017" s="759"/>
      <c r="AE1017" s="760"/>
      <c r="AF1017" s="846">
        <v>43194</v>
      </c>
      <c r="AG1017" s="674" t="s">
        <v>10514</v>
      </c>
      <c r="AH1017" s="675" t="s">
        <v>210</v>
      </c>
      <c r="AI1017" s="676" t="s">
        <v>210</v>
      </c>
      <c r="AJ1017" s="676" t="s">
        <v>210</v>
      </c>
      <c r="AK1017" s="677" t="s">
        <v>210</v>
      </c>
      <c r="AL1017" s="675" t="s">
        <v>210</v>
      </c>
      <c r="AM1017" s="676" t="s">
        <v>210</v>
      </c>
      <c r="AN1017" s="676" t="s">
        <v>210</v>
      </c>
      <c r="AO1017" s="678" t="s">
        <v>622</v>
      </c>
      <c r="AP1017" s="784"/>
      <c r="AQ1017" s="762"/>
      <c r="AR1017" s="763"/>
      <c r="AS1017" s="754"/>
      <c r="AT1017" s="785"/>
      <c r="AU1017" s="785"/>
      <c r="AV1017" s="785"/>
      <c r="AW1017" s="764"/>
      <c r="AX1017" s="765"/>
      <c r="AY1017" s="766"/>
      <c r="AZ1017" s="753"/>
      <c r="BA1017" s="754"/>
      <c r="BB1017" s="754"/>
      <c r="BC1017" s="754"/>
      <c r="BD1017" s="754"/>
      <c r="BE1017" s="754"/>
      <c r="BF1017" s="754"/>
      <c r="BG1017" s="754"/>
      <c r="BH1017" s="767"/>
      <c r="BI1017" s="765"/>
      <c r="BJ1017" s="768"/>
      <c r="BK1017" s="769"/>
      <c r="BL1017" s="766"/>
      <c r="BM1017" s="770"/>
      <c r="BN1017" s="765"/>
      <c r="BO1017" s="771"/>
      <c r="BP1017" s="772"/>
      <c r="BQ1017" s="773"/>
      <c r="BR1017" s="688"/>
      <c r="BS1017" s="688"/>
      <c r="BT1017" s="688"/>
      <c r="BU1017" s="688"/>
      <c r="BV1017" s="784"/>
      <c r="BW1017" s="764"/>
      <c r="BX1017" s="688"/>
      <c r="BY1017" s="774" t="s">
        <v>7034</v>
      </c>
      <c r="BZ1017" s="483"/>
      <c r="CA1017" s="483"/>
      <c r="CB1017" s="483"/>
      <c r="CC1017" s="483"/>
      <c r="CD1017" s="484"/>
    </row>
    <row r="1018" spans="1:82" ht="22.5" customHeight="1">
      <c r="B1018" s="442">
        <v>180110</v>
      </c>
      <c r="C1018" s="443" t="s">
        <v>7038</v>
      </c>
      <c r="D1018" s="467" t="s">
        <v>7070</v>
      </c>
      <c r="E1018" s="404" t="s">
        <v>6974</v>
      </c>
      <c r="F1018" s="405" t="s">
        <v>1048</v>
      </c>
      <c r="G1018" s="324" t="s">
        <v>3073</v>
      </c>
      <c r="H1018" s="324" t="s">
        <v>3074</v>
      </c>
      <c r="I1018" s="324" t="s">
        <v>11</v>
      </c>
      <c r="J1018" s="324" t="s">
        <v>12</v>
      </c>
      <c r="K1018" s="326" t="s">
        <v>993</v>
      </c>
      <c r="L1018" s="392" t="s">
        <v>210</v>
      </c>
      <c r="M1018" s="324" t="s">
        <v>10767</v>
      </c>
      <c r="N1018" s="444" t="s">
        <v>438</v>
      </c>
      <c r="O1018" s="324">
        <v>55</v>
      </c>
      <c r="P1018" s="816">
        <v>1000</v>
      </c>
      <c r="Q1018" s="817">
        <f>P1018</f>
        <v>1000</v>
      </c>
      <c r="R1018" s="420" t="s">
        <v>2346</v>
      </c>
      <c r="S1018" s="394" t="s">
        <v>12145</v>
      </c>
      <c r="T1018" s="394" t="s">
        <v>12147</v>
      </c>
      <c r="U1018" s="394" t="s">
        <v>12146</v>
      </c>
      <c r="V1018" s="394" t="s">
        <v>12148</v>
      </c>
      <c r="W1018" s="460" t="s">
        <v>2346</v>
      </c>
      <c r="X1018" s="394" t="s">
        <v>12145</v>
      </c>
      <c r="Y1018" s="394" t="s">
        <v>12147</v>
      </c>
      <c r="Z1018" s="394" t="s">
        <v>12146</v>
      </c>
      <c r="AA1018" s="394" t="s">
        <v>12148</v>
      </c>
      <c r="AB1018" s="416"/>
      <c r="AC1018" s="416"/>
      <c r="AD1018" s="447" t="s">
        <v>1048</v>
      </c>
      <c r="AE1018" s="499" t="s">
        <v>966</v>
      </c>
      <c r="AF1018" s="462">
        <v>43201</v>
      </c>
      <c r="AG1018" s="748">
        <v>43371</v>
      </c>
      <c r="AH1018" s="417" t="s">
        <v>210</v>
      </c>
      <c r="AI1018" s="392" t="s">
        <v>210</v>
      </c>
      <c r="AJ1018" s="392" t="s">
        <v>210</v>
      </c>
      <c r="AK1018" s="340" t="s">
        <v>210</v>
      </c>
      <c r="AL1018" s="417" t="s">
        <v>210</v>
      </c>
      <c r="AM1018" s="392" t="s">
        <v>210</v>
      </c>
      <c r="AN1018" s="392" t="s">
        <v>210</v>
      </c>
      <c r="AO1018" s="341" t="s">
        <v>210</v>
      </c>
      <c r="AP1018" s="418" t="s">
        <v>210</v>
      </c>
      <c r="AQ1018" s="433" t="s">
        <v>4547</v>
      </c>
      <c r="AR1018" s="452">
        <v>1451</v>
      </c>
      <c r="AS1018" s="324">
        <v>80</v>
      </c>
      <c r="AT1018" s="432">
        <v>1</v>
      </c>
      <c r="AU1018" s="432" t="s">
        <v>5246</v>
      </c>
      <c r="AV1018" s="432">
        <v>1.5</v>
      </c>
      <c r="AW1018" s="490" t="s">
        <v>6859</v>
      </c>
      <c r="AX1018" s="417" t="s">
        <v>210</v>
      </c>
      <c r="AY1018" s="455" t="s">
        <v>210</v>
      </c>
      <c r="AZ1018" s="405" t="s">
        <v>622</v>
      </c>
      <c r="BA1018" s="324" t="s">
        <v>3565</v>
      </c>
      <c r="BB1018" s="324" t="s">
        <v>3495</v>
      </c>
      <c r="BC1018" s="324" t="s">
        <v>3459</v>
      </c>
      <c r="BD1018" s="324" t="s">
        <v>3495</v>
      </c>
      <c r="BE1018" s="324" t="s">
        <v>3565</v>
      </c>
      <c r="BF1018" s="324" t="s">
        <v>3512</v>
      </c>
      <c r="BG1018" s="324" t="s">
        <v>3555</v>
      </c>
      <c r="BH1018" s="426" t="s">
        <v>3574</v>
      </c>
      <c r="BI1018" s="453">
        <v>1.6</v>
      </c>
      <c r="BJ1018" s="427" t="s">
        <v>210</v>
      </c>
      <c r="BK1018" s="412"/>
      <c r="BL1018" s="413"/>
      <c r="BM1018" s="414"/>
      <c r="BN1018" s="453" t="s">
        <v>622</v>
      </c>
      <c r="BO1018" s="502"/>
      <c r="BP1018" s="455" t="s">
        <v>622</v>
      </c>
      <c r="BQ1018" s="456" t="s">
        <v>6407</v>
      </c>
      <c r="BR1018" s="418" t="s">
        <v>210</v>
      </c>
      <c r="BS1018" s="342" t="s">
        <v>622</v>
      </c>
      <c r="BT1018" s="342" t="s">
        <v>210</v>
      </c>
      <c r="BU1018" s="342" t="s">
        <v>210</v>
      </c>
      <c r="BV1018" s="342" t="s">
        <v>210</v>
      </c>
      <c r="BW1018" s="341" t="s">
        <v>210</v>
      </c>
      <c r="BX1018" s="361"/>
      <c r="BY1018" s="457"/>
      <c r="BZ1018" s="363"/>
      <c r="CA1018" s="363"/>
      <c r="CB1018" s="363"/>
      <c r="CC1018" s="363"/>
    </row>
    <row r="1019" spans="1:82" ht="22.5" customHeight="1">
      <c r="B1019" s="442">
        <v>180111</v>
      </c>
      <c r="C1019" s="443" t="s">
        <v>7082</v>
      </c>
      <c r="D1019" s="439" t="s">
        <v>4849</v>
      </c>
      <c r="E1019" s="404" t="s">
        <v>5363</v>
      </c>
      <c r="F1019" s="405" t="s">
        <v>7040</v>
      </c>
      <c r="G1019" s="324" t="s">
        <v>1780</v>
      </c>
      <c r="H1019" s="324" t="s">
        <v>7041</v>
      </c>
      <c r="I1019" s="326" t="s">
        <v>11</v>
      </c>
      <c r="J1019" s="326" t="s">
        <v>399</v>
      </c>
      <c r="K1019" s="324" t="s">
        <v>247</v>
      </c>
      <c r="L1019" s="342">
        <v>30</v>
      </c>
      <c r="M1019" s="324" t="s">
        <v>10767</v>
      </c>
      <c r="N1019" s="444" t="s">
        <v>438</v>
      </c>
      <c r="O1019" s="324">
        <v>30</v>
      </c>
      <c r="P1019" s="816">
        <v>5000</v>
      </c>
      <c r="Q1019" s="817">
        <v>5000</v>
      </c>
      <c r="R1019" s="420" t="s">
        <v>7042</v>
      </c>
      <c r="S1019" s="394" t="s">
        <v>12141</v>
      </c>
      <c r="T1019" s="394" t="s">
        <v>12140</v>
      </c>
      <c r="U1019" s="394" t="s">
        <v>12138</v>
      </c>
      <c r="V1019" s="394" t="s">
        <v>12139</v>
      </c>
      <c r="W1019" s="332" t="s">
        <v>592</v>
      </c>
      <c r="X1019" s="394" t="s">
        <v>12142</v>
      </c>
      <c r="Y1019" s="394" t="s">
        <v>12144</v>
      </c>
      <c r="Z1019" s="400"/>
      <c r="AA1019" s="394" t="s">
        <v>12143</v>
      </c>
      <c r="AB1019" s="416"/>
      <c r="AC1019" s="416"/>
      <c r="AD1019" s="947" t="s">
        <v>2329</v>
      </c>
      <c r="AE1019" s="898"/>
      <c r="AF1019" s="462">
        <v>43201</v>
      </c>
      <c r="AG1019" s="748">
        <v>43342</v>
      </c>
      <c r="AH1019" s="417" t="s">
        <v>210</v>
      </c>
      <c r="AI1019" s="392" t="s">
        <v>210</v>
      </c>
      <c r="AJ1019" s="392" t="s">
        <v>210</v>
      </c>
      <c r="AK1019" s="340" t="s">
        <v>210</v>
      </c>
      <c r="AL1019" s="417" t="s">
        <v>210</v>
      </c>
      <c r="AM1019" s="392" t="s">
        <v>210</v>
      </c>
      <c r="AN1019" s="392" t="s">
        <v>210</v>
      </c>
      <c r="AO1019" s="341" t="s">
        <v>210</v>
      </c>
      <c r="AP1019" s="418" t="s">
        <v>210</v>
      </c>
      <c r="AQ1019" s="433" t="s">
        <v>6405</v>
      </c>
      <c r="AR1019" s="452">
        <v>5420</v>
      </c>
      <c r="AS1019" s="324">
        <v>100</v>
      </c>
      <c r="AT1019" s="432">
        <v>1</v>
      </c>
      <c r="AU1019" s="432" t="s">
        <v>6214</v>
      </c>
      <c r="AV1019" s="432">
        <v>1.5</v>
      </c>
      <c r="AW1019" s="490" t="s">
        <v>6214</v>
      </c>
      <c r="AX1019" s="417" t="s">
        <v>210</v>
      </c>
      <c r="AY1019" s="455" t="s">
        <v>210</v>
      </c>
      <c r="AZ1019" s="405" t="s">
        <v>4083</v>
      </c>
      <c r="BA1019" s="324" t="s">
        <v>210</v>
      </c>
      <c r="BB1019" s="324" t="s">
        <v>210</v>
      </c>
      <c r="BC1019" s="324" t="s">
        <v>210</v>
      </c>
      <c r="BD1019" s="324" t="s">
        <v>210</v>
      </c>
      <c r="BE1019" s="324" t="s">
        <v>210</v>
      </c>
      <c r="BF1019" s="324" t="s">
        <v>210</v>
      </c>
      <c r="BG1019" s="324" t="s">
        <v>7043</v>
      </c>
      <c r="BH1019" s="426" t="s">
        <v>7044</v>
      </c>
      <c r="BI1019" s="453">
        <v>2</v>
      </c>
      <c r="BJ1019" s="427" t="s">
        <v>210</v>
      </c>
      <c r="BK1019" s="412"/>
      <c r="BL1019" s="413"/>
      <c r="BM1019" s="414"/>
      <c r="BN1019" s="453" t="s">
        <v>622</v>
      </c>
      <c r="BO1019" s="502"/>
      <c r="BP1019" s="455" t="s">
        <v>210</v>
      </c>
      <c r="BQ1019" s="456" t="s">
        <v>247</v>
      </c>
      <c r="BR1019" s="418" t="s">
        <v>210</v>
      </c>
      <c r="BS1019" s="342" t="s">
        <v>622</v>
      </c>
      <c r="BT1019" s="342" t="s">
        <v>210</v>
      </c>
      <c r="BU1019" s="342" t="s">
        <v>210</v>
      </c>
      <c r="BV1019" s="342" t="s">
        <v>210</v>
      </c>
      <c r="BW1019" s="341" t="s">
        <v>210</v>
      </c>
      <c r="BX1019" s="361"/>
      <c r="BY1019" s="457" t="s">
        <v>7085</v>
      </c>
      <c r="BZ1019" s="363"/>
      <c r="CA1019" s="363"/>
      <c r="CB1019" s="363"/>
      <c r="CC1019" s="363"/>
    </row>
    <row r="1020" spans="1:82" ht="22.5" customHeight="1">
      <c r="B1020" s="442" t="s">
        <v>7080</v>
      </c>
      <c r="C1020" s="443" t="s">
        <v>7083</v>
      </c>
      <c r="D1020" s="439" t="s">
        <v>4849</v>
      </c>
      <c r="E1020" s="404" t="s">
        <v>5363</v>
      </c>
      <c r="F1020" s="405" t="s">
        <v>372</v>
      </c>
      <c r="G1020" s="324" t="s">
        <v>1780</v>
      </c>
      <c r="H1020" s="324" t="s">
        <v>7041</v>
      </c>
      <c r="I1020" s="326" t="s">
        <v>11</v>
      </c>
      <c r="J1020" s="326" t="s">
        <v>399</v>
      </c>
      <c r="K1020" s="324" t="s">
        <v>247</v>
      </c>
      <c r="L1020" s="392" t="s">
        <v>210</v>
      </c>
      <c r="M1020" s="324" t="s">
        <v>10767</v>
      </c>
      <c r="N1020" s="444" t="s">
        <v>438</v>
      </c>
      <c r="O1020" s="324">
        <v>30</v>
      </c>
      <c r="P1020" s="816">
        <v>460</v>
      </c>
      <c r="Q1020" s="817">
        <v>230</v>
      </c>
      <c r="R1020" s="420" t="s">
        <v>7042</v>
      </c>
      <c r="S1020" s="394" t="s">
        <v>12141</v>
      </c>
      <c r="T1020" s="394" t="s">
        <v>12140</v>
      </c>
      <c r="U1020" s="394" t="s">
        <v>12138</v>
      </c>
      <c r="V1020" s="394" t="s">
        <v>12139</v>
      </c>
      <c r="W1020" s="332" t="s">
        <v>592</v>
      </c>
      <c r="X1020" s="394" t="s">
        <v>12142</v>
      </c>
      <c r="Y1020" s="394" t="s">
        <v>12144</v>
      </c>
      <c r="Z1020" s="400"/>
      <c r="AA1020" s="394" t="s">
        <v>12143</v>
      </c>
      <c r="AB1020" s="416"/>
      <c r="AC1020" s="416"/>
      <c r="AD1020" s="947" t="s">
        <v>2329</v>
      </c>
      <c r="AE1020" s="898"/>
      <c r="AF1020" s="462">
        <v>43201</v>
      </c>
      <c r="AG1020" s="748">
        <v>43342</v>
      </c>
      <c r="AH1020" s="417" t="s">
        <v>210</v>
      </c>
      <c r="AI1020" s="392" t="s">
        <v>210</v>
      </c>
      <c r="AJ1020" s="392" t="s">
        <v>210</v>
      </c>
      <c r="AK1020" s="340" t="s">
        <v>210</v>
      </c>
      <c r="AL1020" s="417" t="s">
        <v>210</v>
      </c>
      <c r="AM1020" s="392" t="s">
        <v>210</v>
      </c>
      <c r="AN1020" s="392" t="s">
        <v>210</v>
      </c>
      <c r="AO1020" s="341" t="s">
        <v>210</v>
      </c>
      <c r="AP1020" s="418" t="s">
        <v>210</v>
      </c>
      <c r="AQ1020" s="433" t="s">
        <v>5382</v>
      </c>
      <c r="AR1020" s="452">
        <v>384</v>
      </c>
      <c r="AS1020" s="324">
        <v>100</v>
      </c>
      <c r="AT1020" s="432">
        <v>1</v>
      </c>
      <c r="AU1020" s="432" t="s">
        <v>6214</v>
      </c>
      <c r="AV1020" s="432">
        <v>1.5</v>
      </c>
      <c r="AW1020" s="490" t="s">
        <v>6214</v>
      </c>
      <c r="AX1020" s="417" t="s">
        <v>210</v>
      </c>
      <c r="AY1020" s="455" t="s">
        <v>210</v>
      </c>
      <c r="AZ1020" s="405" t="s">
        <v>4083</v>
      </c>
      <c r="BA1020" s="324" t="s">
        <v>210</v>
      </c>
      <c r="BB1020" s="324" t="s">
        <v>210</v>
      </c>
      <c r="BC1020" s="324" t="s">
        <v>210</v>
      </c>
      <c r="BD1020" s="324" t="s">
        <v>210</v>
      </c>
      <c r="BE1020" s="324" t="s">
        <v>210</v>
      </c>
      <c r="BF1020" s="324" t="s">
        <v>210</v>
      </c>
      <c r="BG1020" s="324" t="s">
        <v>3738</v>
      </c>
      <c r="BH1020" s="426" t="s">
        <v>7044</v>
      </c>
      <c r="BI1020" s="453">
        <v>2</v>
      </c>
      <c r="BJ1020" s="427" t="s">
        <v>210</v>
      </c>
      <c r="BK1020" s="412"/>
      <c r="BL1020" s="413"/>
      <c r="BM1020" s="414"/>
      <c r="BN1020" s="453" t="s">
        <v>622</v>
      </c>
      <c r="BO1020" s="502"/>
      <c r="BP1020" s="455" t="s">
        <v>210</v>
      </c>
      <c r="BQ1020" s="456" t="s">
        <v>247</v>
      </c>
      <c r="BR1020" s="418" t="s">
        <v>210</v>
      </c>
      <c r="BS1020" s="342" t="s">
        <v>622</v>
      </c>
      <c r="BT1020" s="342" t="s">
        <v>210</v>
      </c>
      <c r="BU1020" s="342" t="s">
        <v>210</v>
      </c>
      <c r="BV1020" s="342" t="s">
        <v>210</v>
      </c>
      <c r="BW1020" s="341" t="s">
        <v>210</v>
      </c>
      <c r="BX1020" s="361"/>
      <c r="BY1020" s="457"/>
      <c r="BZ1020" s="363"/>
      <c r="CA1020" s="363"/>
      <c r="CB1020" s="363"/>
      <c r="CC1020" s="363"/>
    </row>
    <row r="1021" spans="1:82" ht="22.5" customHeight="1">
      <c r="B1021" s="442" t="s">
        <v>7081</v>
      </c>
      <c r="C1021" s="443" t="s">
        <v>7084</v>
      </c>
      <c r="D1021" s="439" t="s">
        <v>4849</v>
      </c>
      <c r="E1021" s="404" t="s">
        <v>5363</v>
      </c>
      <c r="F1021" s="405" t="s">
        <v>372</v>
      </c>
      <c r="G1021" s="324" t="s">
        <v>1780</v>
      </c>
      <c r="H1021" s="324" t="s">
        <v>7041</v>
      </c>
      <c r="I1021" s="326" t="s">
        <v>11</v>
      </c>
      <c r="J1021" s="326" t="s">
        <v>399</v>
      </c>
      <c r="K1021" s="324" t="s">
        <v>247</v>
      </c>
      <c r="L1021" s="342">
        <v>20</v>
      </c>
      <c r="M1021" s="324" t="s">
        <v>10767</v>
      </c>
      <c r="N1021" s="444" t="s">
        <v>438</v>
      </c>
      <c r="O1021" s="324">
        <v>30</v>
      </c>
      <c r="P1021" s="816">
        <v>250</v>
      </c>
      <c r="Q1021" s="817">
        <v>250</v>
      </c>
      <c r="R1021" s="420" t="s">
        <v>7042</v>
      </c>
      <c r="S1021" s="394" t="s">
        <v>12141</v>
      </c>
      <c r="T1021" s="394" t="s">
        <v>12140</v>
      </c>
      <c r="U1021" s="394" t="s">
        <v>12138</v>
      </c>
      <c r="V1021" s="394" t="s">
        <v>12139</v>
      </c>
      <c r="W1021" s="400"/>
      <c r="X1021" s="400"/>
      <c r="Y1021" s="400"/>
      <c r="Z1021" s="400"/>
      <c r="AA1021" s="400"/>
      <c r="AB1021" s="416"/>
      <c r="AC1021" s="416"/>
      <c r="AD1021" s="947" t="s">
        <v>2329</v>
      </c>
      <c r="AE1021" s="948"/>
      <c r="AF1021" s="462">
        <v>43201</v>
      </c>
      <c r="AG1021" s="748">
        <v>43342</v>
      </c>
      <c r="AH1021" s="417" t="s">
        <v>210</v>
      </c>
      <c r="AI1021" s="392" t="s">
        <v>210</v>
      </c>
      <c r="AJ1021" s="392" t="s">
        <v>210</v>
      </c>
      <c r="AK1021" s="340" t="s">
        <v>210</v>
      </c>
      <c r="AL1021" s="417" t="s">
        <v>210</v>
      </c>
      <c r="AM1021" s="392" t="s">
        <v>210</v>
      </c>
      <c r="AN1021" s="392" t="s">
        <v>210</v>
      </c>
      <c r="AO1021" s="341" t="s">
        <v>210</v>
      </c>
      <c r="AP1021" s="418" t="s">
        <v>210</v>
      </c>
      <c r="AQ1021" s="433" t="s">
        <v>4550</v>
      </c>
      <c r="AR1021" s="452">
        <v>332</v>
      </c>
      <c r="AS1021" s="324">
        <v>100</v>
      </c>
      <c r="AT1021" s="432">
        <v>1</v>
      </c>
      <c r="AU1021" s="432" t="s">
        <v>6214</v>
      </c>
      <c r="AV1021" s="432">
        <v>1.5</v>
      </c>
      <c r="AW1021" s="490" t="s">
        <v>6214</v>
      </c>
      <c r="AX1021" s="417" t="s">
        <v>210</v>
      </c>
      <c r="AY1021" s="455" t="s">
        <v>210</v>
      </c>
      <c r="AZ1021" s="405" t="s">
        <v>4083</v>
      </c>
      <c r="BA1021" s="324" t="s">
        <v>210</v>
      </c>
      <c r="BB1021" s="324" t="s">
        <v>210</v>
      </c>
      <c r="BC1021" s="324" t="s">
        <v>210</v>
      </c>
      <c r="BD1021" s="324" t="s">
        <v>210</v>
      </c>
      <c r="BE1021" s="324" t="s">
        <v>210</v>
      </c>
      <c r="BF1021" s="324" t="s">
        <v>210</v>
      </c>
      <c r="BG1021" s="324" t="s">
        <v>3738</v>
      </c>
      <c r="BH1021" s="426" t="s">
        <v>7044</v>
      </c>
      <c r="BI1021" s="453">
        <v>2</v>
      </c>
      <c r="BJ1021" s="427" t="s">
        <v>210</v>
      </c>
      <c r="BK1021" s="412"/>
      <c r="BL1021" s="413"/>
      <c r="BM1021" s="414"/>
      <c r="BN1021" s="453" t="s">
        <v>622</v>
      </c>
      <c r="BO1021" s="502"/>
      <c r="BP1021" s="455" t="s">
        <v>210</v>
      </c>
      <c r="BQ1021" s="456" t="s">
        <v>247</v>
      </c>
      <c r="BR1021" s="418" t="s">
        <v>210</v>
      </c>
      <c r="BS1021" s="342" t="s">
        <v>622</v>
      </c>
      <c r="BT1021" s="342" t="s">
        <v>210</v>
      </c>
      <c r="BU1021" s="342" t="s">
        <v>210</v>
      </c>
      <c r="BV1021" s="342" t="s">
        <v>210</v>
      </c>
      <c r="BW1021" s="341" t="s">
        <v>210</v>
      </c>
      <c r="BX1021" s="361"/>
      <c r="BY1021" s="457"/>
      <c r="BZ1021" s="363"/>
      <c r="CA1021" s="363"/>
      <c r="CB1021" s="363"/>
      <c r="CC1021" s="363"/>
    </row>
    <row r="1022" spans="1:82" ht="22.5" customHeight="1">
      <c r="B1022" s="442">
        <v>180112</v>
      </c>
      <c r="C1022" s="443" t="s">
        <v>7783</v>
      </c>
      <c r="D1022" s="467" t="s">
        <v>7145</v>
      </c>
      <c r="E1022" s="404" t="s">
        <v>5362</v>
      </c>
      <c r="F1022" s="405" t="s">
        <v>839</v>
      </c>
      <c r="G1022" s="324" t="s">
        <v>2133</v>
      </c>
      <c r="H1022" s="324" t="s">
        <v>7045</v>
      </c>
      <c r="I1022" s="326" t="s">
        <v>11</v>
      </c>
      <c r="J1022" s="324" t="s">
        <v>214</v>
      </c>
      <c r="K1022" s="326" t="s">
        <v>223</v>
      </c>
      <c r="L1022" s="392" t="s">
        <v>210</v>
      </c>
      <c r="M1022" s="324" t="s">
        <v>6509</v>
      </c>
      <c r="N1022" s="444" t="s">
        <v>438</v>
      </c>
      <c r="O1022" s="324">
        <v>30</v>
      </c>
      <c r="P1022" s="458">
        <v>3095</v>
      </c>
      <c r="Q1022" s="459">
        <v>3000</v>
      </c>
      <c r="R1022" s="420" t="s">
        <v>1551</v>
      </c>
      <c r="S1022" s="394" t="s">
        <v>12132</v>
      </c>
      <c r="T1022" s="394" t="s">
        <v>12133</v>
      </c>
      <c r="U1022" s="394" t="s">
        <v>12134</v>
      </c>
      <c r="V1022" s="394" t="s">
        <v>12135</v>
      </c>
      <c r="W1022" s="460" t="s">
        <v>7047</v>
      </c>
      <c r="X1022" s="394" t="s">
        <v>12136</v>
      </c>
      <c r="Y1022" s="400"/>
      <c r="Z1022" s="400"/>
      <c r="AA1022" s="394" t="s">
        <v>12137</v>
      </c>
      <c r="AB1022" s="416"/>
      <c r="AC1022" s="416"/>
      <c r="AD1022" s="498" t="s">
        <v>7537</v>
      </c>
      <c r="AE1022" s="499" t="s">
        <v>7972</v>
      </c>
      <c r="AF1022" s="462">
        <v>43202</v>
      </c>
      <c r="AG1022" s="748">
        <v>43287</v>
      </c>
      <c r="AH1022" s="417" t="s">
        <v>210</v>
      </c>
      <c r="AI1022" s="392" t="s">
        <v>210</v>
      </c>
      <c r="AJ1022" s="392" t="s">
        <v>210</v>
      </c>
      <c r="AK1022" s="340" t="s">
        <v>210</v>
      </c>
      <c r="AL1022" s="417" t="s">
        <v>210</v>
      </c>
      <c r="AM1022" s="392" t="s">
        <v>210</v>
      </c>
      <c r="AN1022" s="392" t="s">
        <v>210</v>
      </c>
      <c r="AO1022" s="341" t="s">
        <v>622</v>
      </c>
      <c r="AP1022" s="418" t="s">
        <v>210</v>
      </c>
      <c r="AQ1022" s="433" t="s">
        <v>4547</v>
      </c>
      <c r="AR1022" s="452">
        <v>3913</v>
      </c>
      <c r="AS1022" s="324">
        <v>150</v>
      </c>
      <c r="AT1022" s="432">
        <v>1</v>
      </c>
      <c r="AU1022" s="432" t="s">
        <v>3627</v>
      </c>
      <c r="AV1022" s="432">
        <v>1.5</v>
      </c>
      <c r="AW1022" s="490" t="s">
        <v>6579</v>
      </c>
      <c r="AX1022" s="417" t="s">
        <v>210</v>
      </c>
      <c r="AY1022" s="455" t="s">
        <v>622</v>
      </c>
      <c r="AZ1022" s="405" t="s">
        <v>4083</v>
      </c>
      <c r="BA1022" s="324" t="s">
        <v>210</v>
      </c>
      <c r="BB1022" s="324" t="s">
        <v>210</v>
      </c>
      <c r="BC1022" s="324" t="s">
        <v>7050</v>
      </c>
      <c r="BD1022" s="324" t="s">
        <v>3372</v>
      </c>
      <c r="BE1022" s="324" t="s">
        <v>3558</v>
      </c>
      <c r="BF1022" s="324" t="s">
        <v>3372</v>
      </c>
      <c r="BG1022" s="324" t="s">
        <v>7051</v>
      </c>
      <c r="BH1022" s="324" t="s">
        <v>3372</v>
      </c>
      <c r="BI1022" s="453">
        <v>0.7</v>
      </c>
      <c r="BJ1022" s="427" t="s">
        <v>210</v>
      </c>
      <c r="BK1022" s="412"/>
      <c r="BL1022" s="413"/>
      <c r="BM1022" s="414"/>
      <c r="BN1022" s="453" t="s">
        <v>210</v>
      </c>
      <c r="BO1022" s="502"/>
      <c r="BP1022" s="455" t="s">
        <v>622</v>
      </c>
      <c r="BQ1022" s="456" t="s">
        <v>1059</v>
      </c>
      <c r="BR1022" s="342" t="s">
        <v>622</v>
      </c>
      <c r="BS1022" s="342" t="s">
        <v>622</v>
      </c>
      <c r="BT1022" s="342" t="s">
        <v>210</v>
      </c>
      <c r="BU1022" s="342" t="s">
        <v>210</v>
      </c>
      <c r="BV1022" s="342" t="s">
        <v>210</v>
      </c>
      <c r="BW1022" s="341" t="s">
        <v>210</v>
      </c>
      <c r="BX1022" s="361"/>
      <c r="BY1022" s="457" t="s">
        <v>7303</v>
      </c>
      <c r="BZ1022" s="363"/>
      <c r="CA1022" s="363"/>
      <c r="CB1022" s="363"/>
      <c r="CC1022" s="363"/>
    </row>
    <row r="1023" spans="1:82" ht="22.5" customHeight="1">
      <c r="B1023" s="442" t="s">
        <v>7065</v>
      </c>
      <c r="C1023" s="443" t="s">
        <v>7068</v>
      </c>
      <c r="D1023" s="467" t="s">
        <v>7145</v>
      </c>
      <c r="E1023" s="404" t="s">
        <v>5362</v>
      </c>
      <c r="F1023" s="405" t="s">
        <v>839</v>
      </c>
      <c r="G1023" s="324" t="s">
        <v>2133</v>
      </c>
      <c r="H1023" s="324" t="s">
        <v>7045</v>
      </c>
      <c r="I1023" s="326" t="s">
        <v>11</v>
      </c>
      <c r="J1023" s="326" t="s">
        <v>1011</v>
      </c>
      <c r="K1023" s="326" t="s">
        <v>223</v>
      </c>
      <c r="L1023" s="392" t="s">
        <v>210</v>
      </c>
      <c r="M1023" s="324" t="s">
        <v>10767</v>
      </c>
      <c r="N1023" s="444" t="s">
        <v>438</v>
      </c>
      <c r="O1023" s="324">
        <v>30</v>
      </c>
      <c r="P1023" s="816">
        <f>Q1023*3</f>
        <v>4050</v>
      </c>
      <c r="Q1023" s="817">
        <v>1350</v>
      </c>
      <c r="R1023" s="420" t="s">
        <v>1551</v>
      </c>
      <c r="S1023" s="394" t="s">
        <v>12132</v>
      </c>
      <c r="T1023" s="394" t="s">
        <v>12133</v>
      </c>
      <c r="U1023" s="394" t="s">
        <v>12134</v>
      </c>
      <c r="V1023" s="394" t="s">
        <v>12135</v>
      </c>
      <c r="W1023" s="460" t="s">
        <v>7047</v>
      </c>
      <c r="X1023" s="394" t="s">
        <v>12136</v>
      </c>
      <c r="Y1023" s="400"/>
      <c r="Z1023" s="400"/>
      <c r="AA1023" s="394" t="s">
        <v>12137</v>
      </c>
      <c r="AB1023" s="416"/>
      <c r="AC1023" s="416"/>
      <c r="AD1023" s="498" t="s">
        <v>7537</v>
      </c>
      <c r="AE1023" s="499" t="s">
        <v>7972</v>
      </c>
      <c r="AF1023" s="462">
        <v>43202</v>
      </c>
      <c r="AG1023" s="748">
        <v>43287</v>
      </c>
      <c r="AH1023" s="417" t="s">
        <v>210</v>
      </c>
      <c r="AI1023" s="392" t="s">
        <v>210</v>
      </c>
      <c r="AJ1023" s="392" t="s">
        <v>210</v>
      </c>
      <c r="AK1023" s="340" t="s">
        <v>210</v>
      </c>
      <c r="AL1023" s="417" t="s">
        <v>210</v>
      </c>
      <c r="AM1023" s="392" t="s">
        <v>210</v>
      </c>
      <c r="AN1023" s="392" t="s">
        <v>210</v>
      </c>
      <c r="AO1023" s="341" t="s">
        <v>622</v>
      </c>
      <c r="AP1023" s="418" t="s">
        <v>210</v>
      </c>
      <c r="AQ1023" s="433" t="s">
        <v>4547</v>
      </c>
      <c r="AR1023" s="452">
        <v>1794</v>
      </c>
      <c r="AS1023" s="324">
        <v>150</v>
      </c>
      <c r="AT1023" s="432">
        <v>1</v>
      </c>
      <c r="AU1023" s="432" t="s">
        <v>3627</v>
      </c>
      <c r="AV1023" s="432">
        <v>1.5</v>
      </c>
      <c r="AW1023" s="490" t="s">
        <v>6579</v>
      </c>
      <c r="AX1023" s="417" t="s">
        <v>210</v>
      </c>
      <c r="AY1023" s="455" t="s">
        <v>210</v>
      </c>
      <c r="AZ1023" s="405" t="s">
        <v>4083</v>
      </c>
      <c r="BA1023" s="324" t="s">
        <v>210</v>
      </c>
      <c r="BB1023" s="324" t="s">
        <v>210</v>
      </c>
      <c r="BC1023" s="324" t="s">
        <v>4206</v>
      </c>
      <c r="BD1023" s="324" t="s">
        <v>3372</v>
      </c>
      <c r="BE1023" s="324" t="s">
        <v>3558</v>
      </c>
      <c r="BF1023" s="324" t="s">
        <v>3372</v>
      </c>
      <c r="BG1023" s="324" t="s">
        <v>3555</v>
      </c>
      <c r="BH1023" s="324" t="s">
        <v>3372</v>
      </c>
      <c r="BI1023" s="453">
        <v>0.7</v>
      </c>
      <c r="BJ1023" s="427" t="s">
        <v>210</v>
      </c>
      <c r="BK1023" s="412"/>
      <c r="BL1023" s="413"/>
      <c r="BM1023" s="414"/>
      <c r="BN1023" s="453" t="s">
        <v>210</v>
      </c>
      <c r="BO1023" s="502"/>
      <c r="BP1023" s="455" t="s">
        <v>622</v>
      </c>
      <c r="BQ1023" s="456" t="s">
        <v>1059</v>
      </c>
      <c r="BR1023" s="342" t="s">
        <v>622</v>
      </c>
      <c r="BS1023" s="342" t="s">
        <v>622</v>
      </c>
      <c r="BT1023" s="342" t="s">
        <v>210</v>
      </c>
      <c r="BU1023" s="342" t="s">
        <v>210</v>
      </c>
      <c r="BV1023" s="342" t="s">
        <v>210</v>
      </c>
      <c r="BW1023" s="341" t="s">
        <v>210</v>
      </c>
      <c r="BX1023" s="361"/>
      <c r="BY1023" s="457"/>
      <c r="BZ1023" s="363"/>
      <c r="CA1023" s="363"/>
      <c r="CB1023" s="363"/>
      <c r="CC1023" s="363"/>
    </row>
    <row r="1024" spans="1:82" ht="22.5" customHeight="1">
      <c r="B1024" s="442" t="s">
        <v>7066</v>
      </c>
      <c r="C1024" s="443" t="s">
        <v>7069</v>
      </c>
      <c r="D1024" s="467" t="s">
        <v>7145</v>
      </c>
      <c r="E1024" s="404" t="s">
        <v>5362</v>
      </c>
      <c r="F1024" s="405" t="s">
        <v>839</v>
      </c>
      <c r="G1024" s="324" t="s">
        <v>2133</v>
      </c>
      <c r="H1024" s="324" t="s">
        <v>7045</v>
      </c>
      <c r="I1024" s="326" t="s">
        <v>11</v>
      </c>
      <c r="J1024" s="326" t="s">
        <v>12</v>
      </c>
      <c r="K1024" s="326" t="s">
        <v>223</v>
      </c>
      <c r="L1024" s="392" t="s">
        <v>210</v>
      </c>
      <c r="M1024" s="324" t="s">
        <v>10767</v>
      </c>
      <c r="N1024" s="444" t="s">
        <v>438</v>
      </c>
      <c r="O1024" s="324">
        <v>30</v>
      </c>
      <c r="P1024" s="816">
        <v>830</v>
      </c>
      <c r="Q1024" s="817">
        <v>830</v>
      </c>
      <c r="R1024" s="420" t="s">
        <v>1551</v>
      </c>
      <c r="S1024" s="394" t="s">
        <v>12132</v>
      </c>
      <c r="T1024" s="394" t="s">
        <v>12133</v>
      </c>
      <c r="U1024" s="394" t="s">
        <v>12134</v>
      </c>
      <c r="V1024" s="394" t="s">
        <v>12135</v>
      </c>
      <c r="W1024" s="460" t="s">
        <v>7047</v>
      </c>
      <c r="X1024" s="394" t="s">
        <v>12136</v>
      </c>
      <c r="Y1024" s="400"/>
      <c r="Z1024" s="400"/>
      <c r="AA1024" s="394" t="s">
        <v>12137</v>
      </c>
      <c r="AB1024" s="416"/>
      <c r="AC1024" s="416"/>
      <c r="AD1024" s="498" t="s">
        <v>7537</v>
      </c>
      <c r="AE1024" s="499" t="s">
        <v>7972</v>
      </c>
      <c r="AF1024" s="462">
        <v>43202</v>
      </c>
      <c r="AG1024" s="748">
        <v>43287</v>
      </c>
      <c r="AH1024" s="417" t="s">
        <v>210</v>
      </c>
      <c r="AI1024" s="392" t="s">
        <v>210</v>
      </c>
      <c r="AJ1024" s="392" t="s">
        <v>210</v>
      </c>
      <c r="AK1024" s="340" t="s">
        <v>210</v>
      </c>
      <c r="AL1024" s="417" t="s">
        <v>210</v>
      </c>
      <c r="AM1024" s="392" t="s">
        <v>210</v>
      </c>
      <c r="AN1024" s="392" t="s">
        <v>210</v>
      </c>
      <c r="AO1024" s="341" t="s">
        <v>622</v>
      </c>
      <c r="AP1024" s="418" t="s">
        <v>210</v>
      </c>
      <c r="AQ1024" s="433" t="s">
        <v>4547</v>
      </c>
      <c r="AR1024" s="452">
        <v>935</v>
      </c>
      <c r="AS1024" s="324">
        <v>150</v>
      </c>
      <c r="AT1024" s="432">
        <v>1</v>
      </c>
      <c r="AU1024" s="432" t="s">
        <v>3627</v>
      </c>
      <c r="AV1024" s="432">
        <v>1.5</v>
      </c>
      <c r="AW1024" s="490" t="s">
        <v>6579</v>
      </c>
      <c r="AX1024" s="417" t="s">
        <v>210</v>
      </c>
      <c r="AY1024" s="455" t="s">
        <v>210</v>
      </c>
      <c r="AZ1024" s="405" t="s">
        <v>4083</v>
      </c>
      <c r="BA1024" s="324" t="s">
        <v>210</v>
      </c>
      <c r="BB1024" s="324" t="s">
        <v>210</v>
      </c>
      <c r="BC1024" s="324" t="s">
        <v>4206</v>
      </c>
      <c r="BD1024" s="324" t="s">
        <v>3372</v>
      </c>
      <c r="BE1024" s="324" t="s">
        <v>3558</v>
      </c>
      <c r="BF1024" s="324" t="s">
        <v>3372</v>
      </c>
      <c r="BG1024" s="324" t="s">
        <v>3555</v>
      </c>
      <c r="BH1024" s="324" t="s">
        <v>3372</v>
      </c>
      <c r="BI1024" s="453">
        <v>0.7</v>
      </c>
      <c r="BJ1024" s="427" t="s">
        <v>210</v>
      </c>
      <c r="BK1024" s="412"/>
      <c r="BL1024" s="413"/>
      <c r="BM1024" s="414"/>
      <c r="BN1024" s="453" t="s">
        <v>210</v>
      </c>
      <c r="BO1024" s="502"/>
      <c r="BP1024" s="455" t="s">
        <v>622</v>
      </c>
      <c r="BQ1024" s="456" t="s">
        <v>1059</v>
      </c>
      <c r="BR1024" s="342" t="s">
        <v>622</v>
      </c>
      <c r="BS1024" s="342" t="s">
        <v>622</v>
      </c>
      <c r="BT1024" s="342" t="s">
        <v>210</v>
      </c>
      <c r="BU1024" s="342" t="s">
        <v>210</v>
      </c>
      <c r="BV1024" s="342" t="s">
        <v>210</v>
      </c>
      <c r="BW1024" s="341" t="s">
        <v>210</v>
      </c>
      <c r="BX1024" s="361"/>
      <c r="BY1024" s="457"/>
      <c r="BZ1024" s="363"/>
      <c r="CA1024" s="363"/>
      <c r="CB1024" s="363"/>
      <c r="CC1024" s="363"/>
    </row>
    <row r="1025" spans="2:81" ht="22.5" customHeight="1">
      <c r="B1025" s="442" t="s">
        <v>7067</v>
      </c>
      <c r="C1025" s="443" t="s">
        <v>7046</v>
      </c>
      <c r="D1025" s="467" t="s">
        <v>7145</v>
      </c>
      <c r="E1025" s="404" t="s">
        <v>5362</v>
      </c>
      <c r="F1025" s="405" t="s">
        <v>839</v>
      </c>
      <c r="G1025" s="324" t="s">
        <v>2133</v>
      </c>
      <c r="H1025" s="324" t="s">
        <v>7045</v>
      </c>
      <c r="I1025" s="326" t="s">
        <v>11</v>
      </c>
      <c r="J1025" s="326" t="s">
        <v>12</v>
      </c>
      <c r="K1025" s="326" t="s">
        <v>223</v>
      </c>
      <c r="L1025" s="392" t="s">
        <v>210</v>
      </c>
      <c r="M1025" s="324" t="s">
        <v>10767</v>
      </c>
      <c r="N1025" s="444" t="s">
        <v>438</v>
      </c>
      <c r="O1025" s="324">
        <v>30</v>
      </c>
      <c r="P1025" s="458">
        <v>221</v>
      </c>
      <c r="Q1025" s="459">
        <v>241</v>
      </c>
      <c r="R1025" s="420" t="s">
        <v>1551</v>
      </c>
      <c r="S1025" s="394" t="s">
        <v>12132</v>
      </c>
      <c r="T1025" s="394" t="s">
        <v>12133</v>
      </c>
      <c r="U1025" s="394" t="s">
        <v>12134</v>
      </c>
      <c r="V1025" s="394" t="s">
        <v>12135</v>
      </c>
      <c r="W1025" s="460" t="s">
        <v>7047</v>
      </c>
      <c r="X1025" s="394" t="s">
        <v>12136</v>
      </c>
      <c r="Y1025" s="400"/>
      <c r="Z1025" s="400"/>
      <c r="AA1025" s="394" t="s">
        <v>12137</v>
      </c>
      <c r="AB1025" s="416"/>
      <c r="AC1025" s="416"/>
      <c r="AD1025" s="498" t="s">
        <v>7537</v>
      </c>
      <c r="AE1025" s="335" t="s">
        <v>7972</v>
      </c>
      <c r="AF1025" s="462">
        <v>43202</v>
      </c>
      <c r="AG1025" s="748">
        <v>43287</v>
      </c>
      <c r="AH1025" s="417" t="s">
        <v>210</v>
      </c>
      <c r="AI1025" s="392" t="s">
        <v>210</v>
      </c>
      <c r="AJ1025" s="392" t="s">
        <v>210</v>
      </c>
      <c r="AK1025" s="340" t="s">
        <v>210</v>
      </c>
      <c r="AL1025" s="417" t="s">
        <v>210</v>
      </c>
      <c r="AM1025" s="392" t="s">
        <v>210</v>
      </c>
      <c r="AN1025" s="392" t="s">
        <v>210</v>
      </c>
      <c r="AO1025" s="341" t="s">
        <v>622</v>
      </c>
      <c r="AP1025" s="418" t="s">
        <v>210</v>
      </c>
      <c r="AQ1025" s="433" t="s">
        <v>4547</v>
      </c>
      <c r="AR1025" s="452">
        <v>380</v>
      </c>
      <c r="AS1025" s="324">
        <v>150</v>
      </c>
      <c r="AT1025" s="432">
        <v>1</v>
      </c>
      <c r="AU1025" s="432" t="s">
        <v>3627</v>
      </c>
      <c r="AV1025" s="432">
        <v>1.5</v>
      </c>
      <c r="AW1025" s="490" t="s">
        <v>6579</v>
      </c>
      <c r="AX1025" s="417" t="s">
        <v>210</v>
      </c>
      <c r="AY1025" s="455" t="s">
        <v>210</v>
      </c>
      <c r="AZ1025" s="405" t="s">
        <v>4083</v>
      </c>
      <c r="BA1025" s="324" t="s">
        <v>210</v>
      </c>
      <c r="BB1025" s="324" t="s">
        <v>210</v>
      </c>
      <c r="BC1025" s="324" t="s">
        <v>7050</v>
      </c>
      <c r="BD1025" s="324" t="s">
        <v>3372</v>
      </c>
      <c r="BE1025" s="324" t="s">
        <v>3558</v>
      </c>
      <c r="BF1025" s="324" t="s">
        <v>3372</v>
      </c>
      <c r="BG1025" s="324" t="s">
        <v>7051</v>
      </c>
      <c r="BH1025" s="324" t="s">
        <v>3372</v>
      </c>
      <c r="BI1025" s="453">
        <v>0.7</v>
      </c>
      <c r="BJ1025" s="427" t="s">
        <v>210</v>
      </c>
      <c r="BK1025" s="412"/>
      <c r="BL1025" s="413"/>
      <c r="BM1025" s="414"/>
      <c r="BN1025" s="453" t="s">
        <v>210</v>
      </c>
      <c r="BO1025" s="502"/>
      <c r="BP1025" s="455" t="s">
        <v>622</v>
      </c>
      <c r="BQ1025" s="456" t="s">
        <v>1059</v>
      </c>
      <c r="BR1025" s="342" t="s">
        <v>622</v>
      </c>
      <c r="BS1025" s="342" t="s">
        <v>622</v>
      </c>
      <c r="BT1025" s="342" t="s">
        <v>210</v>
      </c>
      <c r="BU1025" s="342" t="s">
        <v>210</v>
      </c>
      <c r="BV1025" s="342" t="s">
        <v>210</v>
      </c>
      <c r="BW1025" s="341" t="s">
        <v>210</v>
      </c>
      <c r="BX1025" s="361"/>
      <c r="BY1025" s="457"/>
      <c r="BZ1025" s="363"/>
      <c r="CA1025" s="363"/>
      <c r="CB1025" s="363"/>
      <c r="CC1025" s="363"/>
    </row>
    <row r="1026" spans="2:81" ht="22.5" customHeight="1">
      <c r="B1026" s="442">
        <v>180113</v>
      </c>
      <c r="C1026" s="443" t="s">
        <v>7056</v>
      </c>
      <c r="D1026" s="439" t="s">
        <v>4849</v>
      </c>
      <c r="E1026" s="404" t="s">
        <v>6974</v>
      </c>
      <c r="F1026" s="405" t="s">
        <v>328</v>
      </c>
      <c r="G1026" s="324" t="s">
        <v>2940</v>
      </c>
      <c r="H1026" s="324" t="s">
        <v>4592</v>
      </c>
      <c r="I1026" s="326" t="s">
        <v>383</v>
      </c>
      <c r="J1026" s="326" t="s">
        <v>399</v>
      </c>
      <c r="K1026" s="324" t="s">
        <v>4596</v>
      </c>
      <c r="L1026" s="342">
        <v>35</v>
      </c>
      <c r="M1026" s="324" t="s">
        <v>7367</v>
      </c>
      <c r="N1026" s="444" t="s">
        <v>7367</v>
      </c>
      <c r="O1026" s="324" t="s">
        <v>7596</v>
      </c>
      <c r="P1026" s="816">
        <v>250</v>
      </c>
      <c r="Q1026" s="817">
        <v>250</v>
      </c>
      <c r="R1026" s="420" t="s">
        <v>4598</v>
      </c>
      <c r="S1026" s="394" t="s">
        <v>12128</v>
      </c>
      <c r="T1026" s="394" t="s">
        <v>12129</v>
      </c>
      <c r="U1026" s="394" t="s">
        <v>12130</v>
      </c>
      <c r="V1026" s="394" t="s">
        <v>12131</v>
      </c>
      <c r="W1026" s="460" t="s">
        <v>4598</v>
      </c>
      <c r="X1026" s="394" t="s">
        <v>12128</v>
      </c>
      <c r="Y1026" s="394" t="s">
        <v>12129</v>
      </c>
      <c r="Z1026" s="394" t="s">
        <v>12130</v>
      </c>
      <c r="AA1026" s="394" t="s">
        <v>12131</v>
      </c>
      <c r="AB1026" s="416"/>
      <c r="AC1026" s="416"/>
      <c r="AD1026" s="334" t="s">
        <v>210</v>
      </c>
      <c r="AE1026" s="335" t="s">
        <v>210</v>
      </c>
      <c r="AF1026" s="462">
        <v>43207</v>
      </c>
      <c r="AG1026" s="748">
        <v>43287</v>
      </c>
      <c r="AH1026" s="417" t="s">
        <v>210</v>
      </c>
      <c r="AI1026" s="392" t="s">
        <v>210</v>
      </c>
      <c r="AJ1026" s="392" t="s">
        <v>210</v>
      </c>
      <c r="AK1026" s="340" t="s">
        <v>210</v>
      </c>
      <c r="AL1026" s="417" t="s">
        <v>210</v>
      </c>
      <c r="AM1026" s="392" t="s">
        <v>210</v>
      </c>
      <c r="AN1026" s="392" t="s">
        <v>210</v>
      </c>
      <c r="AO1026" s="341" t="s">
        <v>210</v>
      </c>
      <c r="AP1026" s="418" t="s">
        <v>210</v>
      </c>
      <c r="AQ1026" s="433" t="s">
        <v>7597</v>
      </c>
      <c r="AR1026" s="452">
        <v>319</v>
      </c>
      <c r="AS1026" s="324">
        <v>50</v>
      </c>
      <c r="AT1026" s="432">
        <v>1.2</v>
      </c>
      <c r="AU1026" s="432" t="s">
        <v>5079</v>
      </c>
      <c r="AV1026" s="432">
        <v>1.5</v>
      </c>
      <c r="AW1026" s="490" t="s">
        <v>3434</v>
      </c>
      <c r="AX1026" s="417" t="s">
        <v>210</v>
      </c>
      <c r="AY1026" s="455" t="s">
        <v>210</v>
      </c>
      <c r="AZ1026" s="405" t="s">
        <v>622</v>
      </c>
      <c r="BA1026" s="324" t="s">
        <v>7598</v>
      </c>
      <c r="BB1026" s="324" t="s">
        <v>7599</v>
      </c>
      <c r="BC1026" s="324" t="s">
        <v>7600</v>
      </c>
      <c r="BD1026" s="324" t="s">
        <v>3372</v>
      </c>
      <c r="BE1026" s="324" t="s">
        <v>210</v>
      </c>
      <c r="BF1026" s="324" t="s">
        <v>210</v>
      </c>
      <c r="BG1026" s="324" t="s">
        <v>7601</v>
      </c>
      <c r="BH1026" s="426" t="s">
        <v>5902</v>
      </c>
      <c r="BI1026" s="453">
        <v>0.7</v>
      </c>
      <c r="BJ1026" s="427" t="s">
        <v>210</v>
      </c>
      <c r="BK1026" s="412"/>
      <c r="BL1026" s="413"/>
      <c r="BM1026" s="414"/>
      <c r="BN1026" s="453" t="s">
        <v>210</v>
      </c>
      <c r="BO1026" s="464" t="s">
        <v>7602</v>
      </c>
      <c r="BP1026" s="455" t="s">
        <v>622</v>
      </c>
      <c r="BQ1026" s="456" t="s">
        <v>5235</v>
      </c>
      <c r="BR1026" s="342" t="s">
        <v>7602</v>
      </c>
      <c r="BS1026" s="342" t="s">
        <v>7602</v>
      </c>
      <c r="BT1026" s="342" t="s">
        <v>210</v>
      </c>
      <c r="BU1026" s="342" t="s">
        <v>210</v>
      </c>
      <c r="BV1026" s="342" t="s">
        <v>210</v>
      </c>
      <c r="BW1026" s="341" t="s">
        <v>210</v>
      </c>
      <c r="BX1026" s="361"/>
      <c r="BY1026" s="457" t="s">
        <v>7057</v>
      </c>
      <c r="BZ1026" s="363"/>
      <c r="CA1026" s="363"/>
      <c r="CB1026" s="363"/>
      <c r="CC1026" s="363"/>
    </row>
    <row r="1027" spans="2:81" ht="22.5" customHeight="1">
      <c r="B1027" s="442">
        <v>180114</v>
      </c>
      <c r="C1027" s="443" t="s">
        <v>7058</v>
      </c>
      <c r="D1027" s="439" t="s">
        <v>4854</v>
      </c>
      <c r="E1027" s="404" t="s">
        <v>5363</v>
      </c>
      <c r="F1027" s="405" t="s">
        <v>240</v>
      </c>
      <c r="G1027" s="324" t="s">
        <v>4697</v>
      </c>
      <c r="H1027" s="324" t="s">
        <v>4698</v>
      </c>
      <c r="I1027" s="326" t="s">
        <v>383</v>
      </c>
      <c r="J1027" s="326" t="s">
        <v>399</v>
      </c>
      <c r="K1027" s="326" t="s">
        <v>917</v>
      </c>
      <c r="L1027" s="392" t="s">
        <v>210</v>
      </c>
      <c r="M1027" s="324" t="s">
        <v>10767</v>
      </c>
      <c r="N1027" s="444" t="s">
        <v>7121</v>
      </c>
      <c r="O1027" s="324">
        <v>30</v>
      </c>
      <c r="P1027" s="458">
        <v>30</v>
      </c>
      <c r="Q1027" s="459">
        <v>30</v>
      </c>
      <c r="R1027" s="329" t="s">
        <v>447</v>
      </c>
      <c r="S1027" s="394" t="s">
        <v>11188</v>
      </c>
      <c r="T1027" s="331" t="s">
        <v>11078</v>
      </c>
      <c r="U1027" s="331" t="s">
        <v>16355</v>
      </c>
      <c r="V1027" s="394" t="s">
        <v>12159</v>
      </c>
      <c r="W1027" s="332" t="s">
        <v>432</v>
      </c>
      <c r="X1027" s="331" t="s">
        <v>11079</v>
      </c>
      <c r="Y1027" s="331" t="s">
        <v>11080</v>
      </c>
      <c r="Z1027" s="331" t="s">
        <v>11080</v>
      </c>
      <c r="AA1027" s="331" t="s">
        <v>6574</v>
      </c>
      <c r="AB1027" s="416"/>
      <c r="AC1027" s="416"/>
      <c r="AD1027" s="447" t="s">
        <v>730</v>
      </c>
      <c r="AE1027" s="335" t="s">
        <v>210</v>
      </c>
      <c r="AF1027" s="462">
        <v>43202</v>
      </c>
      <c r="AG1027" s="748">
        <v>43228</v>
      </c>
      <c r="AH1027" s="417" t="s">
        <v>210</v>
      </c>
      <c r="AI1027" s="392" t="s">
        <v>210</v>
      </c>
      <c r="AJ1027" s="392" t="s">
        <v>210</v>
      </c>
      <c r="AK1027" s="340" t="s">
        <v>210</v>
      </c>
      <c r="AL1027" s="417" t="s">
        <v>210</v>
      </c>
      <c r="AM1027" s="392" t="s">
        <v>210</v>
      </c>
      <c r="AN1027" s="392" t="s">
        <v>210</v>
      </c>
      <c r="AO1027" s="341" t="s">
        <v>210</v>
      </c>
      <c r="AP1027" s="418" t="s">
        <v>210</v>
      </c>
      <c r="AQ1027" s="433" t="s">
        <v>4547</v>
      </c>
      <c r="AR1027" s="452">
        <v>30</v>
      </c>
      <c r="AS1027" s="324">
        <v>100</v>
      </c>
      <c r="AT1027" s="432">
        <v>0.8</v>
      </c>
      <c r="AU1027" s="432" t="s">
        <v>5246</v>
      </c>
      <c r="AV1027" s="432">
        <v>1</v>
      </c>
      <c r="AW1027" s="490" t="s">
        <v>5246</v>
      </c>
      <c r="AX1027" s="417" t="s">
        <v>210</v>
      </c>
      <c r="AY1027" s="455" t="s">
        <v>210</v>
      </c>
      <c r="AZ1027" s="405" t="s">
        <v>4083</v>
      </c>
      <c r="BA1027" s="324" t="s">
        <v>210</v>
      </c>
      <c r="BB1027" s="324" t="s">
        <v>210</v>
      </c>
      <c r="BC1027" s="324" t="s">
        <v>210</v>
      </c>
      <c r="BD1027" s="324" t="s">
        <v>210</v>
      </c>
      <c r="BE1027" s="324" t="s">
        <v>210</v>
      </c>
      <c r="BF1027" s="324" t="s">
        <v>210</v>
      </c>
      <c r="BG1027" s="324" t="s">
        <v>3459</v>
      </c>
      <c r="BH1027" s="426" t="s">
        <v>4700</v>
      </c>
      <c r="BI1027" s="453">
        <v>1.5</v>
      </c>
      <c r="BJ1027" s="427" t="s">
        <v>210</v>
      </c>
      <c r="BK1027" s="428" t="s">
        <v>8804</v>
      </c>
      <c r="BL1027" s="429" t="s">
        <v>8805</v>
      </c>
      <c r="BM1027" s="414"/>
      <c r="BN1027" s="453" t="s">
        <v>210</v>
      </c>
      <c r="BO1027" s="464"/>
      <c r="BP1027" s="455" t="s">
        <v>210</v>
      </c>
      <c r="BQ1027" s="456" t="s">
        <v>1059</v>
      </c>
      <c r="BR1027" s="418" t="s">
        <v>210</v>
      </c>
      <c r="BS1027" s="342" t="s">
        <v>622</v>
      </c>
      <c r="BT1027" s="342" t="s">
        <v>210</v>
      </c>
      <c r="BU1027" s="342" t="s">
        <v>210</v>
      </c>
      <c r="BV1027" s="342" t="s">
        <v>210</v>
      </c>
      <c r="BW1027" s="341" t="s">
        <v>210</v>
      </c>
      <c r="BX1027" s="342" t="s">
        <v>210</v>
      </c>
      <c r="BY1027" s="457" t="s">
        <v>7059</v>
      </c>
      <c r="BZ1027" s="363"/>
      <c r="CA1027" s="363"/>
      <c r="CB1027" s="363"/>
      <c r="CC1027" s="363"/>
    </row>
    <row r="1028" spans="2:81" ht="22.5" customHeight="1">
      <c r="B1028" s="442">
        <v>180115</v>
      </c>
      <c r="C1028" s="443" t="s">
        <v>7786</v>
      </c>
      <c r="D1028" s="439" t="s">
        <v>4849</v>
      </c>
      <c r="E1028" s="404" t="s">
        <v>5362</v>
      </c>
      <c r="F1028" s="405" t="s">
        <v>7071</v>
      </c>
      <c r="G1028" s="324" t="s">
        <v>6106</v>
      </c>
      <c r="H1028" s="324" t="s">
        <v>7072</v>
      </c>
      <c r="I1028" s="326" t="s">
        <v>383</v>
      </c>
      <c r="J1028" s="326" t="s">
        <v>399</v>
      </c>
      <c r="K1028" s="326" t="s">
        <v>223</v>
      </c>
      <c r="L1028" s="392" t="s">
        <v>210</v>
      </c>
      <c r="M1028" s="324" t="s">
        <v>10767</v>
      </c>
      <c r="N1028" s="444" t="s">
        <v>437</v>
      </c>
      <c r="O1028" s="324">
        <v>40</v>
      </c>
      <c r="P1028" s="458">
        <v>1038.0999999999999</v>
      </c>
      <c r="Q1028" s="459">
        <v>1116.3</v>
      </c>
      <c r="R1028" s="329" t="s">
        <v>999</v>
      </c>
      <c r="S1028" s="394" t="s">
        <v>12122</v>
      </c>
      <c r="T1028" s="394" t="s">
        <v>11262</v>
      </c>
      <c r="U1028" s="394" t="s">
        <v>16414</v>
      </c>
      <c r="V1028" s="394" t="s">
        <v>11263</v>
      </c>
      <c r="W1028" s="332" t="s">
        <v>4603</v>
      </c>
      <c r="X1028" s="330"/>
      <c r="Y1028" s="331" t="s">
        <v>11906</v>
      </c>
      <c r="Z1028" s="331" t="s">
        <v>12414</v>
      </c>
      <c r="AA1028" s="330"/>
      <c r="AB1028" s="333" t="s">
        <v>3028</v>
      </c>
      <c r="AC1028" s="333"/>
      <c r="AD1028" s="334" t="s">
        <v>2321</v>
      </c>
      <c r="AE1028" s="335" t="s">
        <v>210</v>
      </c>
      <c r="AF1028" s="462">
        <v>43209</v>
      </c>
      <c r="AG1028" s="748">
        <v>43243</v>
      </c>
      <c r="AH1028" s="417" t="s">
        <v>210</v>
      </c>
      <c r="AI1028" s="392" t="s">
        <v>210</v>
      </c>
      <c r="AJ1028" s="392" t="s">
        <v>210</v>
      </c>
      <c r="AK1028" s="340" t="s">
        <v>210</v>
      </c>
      <c r="AL1028" s="417" t="s">
        <v>210</v>
      </c>
      <c r="AM1028" s="392" t="s">
        <v>210</v>
      </c>
      <c r="AN1028" s="392" t="s">
        <v>210</v>
      </c>
      <c r="AO1028" s="341" t="s">
        <v>210</v>
      </c>
      <c r="AP1028" s="418" t="s">
        <v>210</v>
      </c>
      <c r="AQ1028" s="433" t="s">
        <v>4547</v>
      </c>
      <c r="AR1028" s="452">
        <v>1323</v>
      </c>
      <c r="AS1028" s="324">
        <v>100</v>
      </c>
      <c r="AT1028" s="432">
        <v>0.8</v>
      </c>
      <c r="AU1028" s="432" t="s">
        <v>5246</v>
      </c>
      <c r="AV1028" s="432">
        <v>1.2</v>
      </c>
      <c r="AW1028" s="490" t="s">
        <v>5246</v>
      </c>
      <c r="AX1028" s="417" t="s">
        <v>210</v>
      </c>
      <c r="AY1028" s="455" t="s">
        <v>210</v>
      </c>
      <c r="AZ1028" s="405" t="s">
        <v>4083</v>
      </c>
      <c r="BA1028" s="324" t="s">
        <v>210</v>
      </c>
      <c r="BB1028" s="324" t="s">
        <v>210</v>
      </c>
      <c r="BC1028" s="324" t="s">
        <v>7073</v>
      </c>
      <c r="BD1028" s="324" t="s">
        <v>5246</v>
      </c>
      <c r="BE1028" s="324" t="s">
        <v>7074</v>
      </c>
      <c r="BF1028" s="324" t="s">
        <v>7075</v>
      </c>
      <c r="BG1028" s="324" t="s">
        <v>3558</v>
      </c>
      <c r="BH1028" s="426" t="s">
        <v>5246</v>
      </c>
      <c r="BI1028" s="453" t="s">
        <v>4083</v>
      </c>
      <c r="BJ1028" s="427" t="s">
        <v>210</v>
      </c>
      <c r="BK1028" s="412"/>
      <c r="BL1028" s="413"/>
      <c r="BM1028" s="414"/>
      <c r="BN1028" s="453" t="s">
        <v>7115</v>
      </c>
      <c r="BO1028" s="502"/>
      <c r="BP1028" s="455" t="s">
        <v>7116</v>
      </c>
      <c r="BQ1028" s="456" t="s">
        <v>1059</v>
      </c>
      <c r="BR1028" s="418" t="s">
        <v>210</v>
      </c>
      <c r="BS1028" s="342" t="s">
        <v>622</v>
      </c>
      <c r="BT1028" s="342" t="s">
        <v>210</v>
      </c>
      <c r="BU1028" s="342" t="s">
        <v>210</v>
      </c>
      <c r="BV1028" s="342" t="s">
        <v>210</v>
      </c>
      <c r="BW1028" s="341" t="s">
        <v>210</v>
      </c>
      <c r="BX1028" s="342" t="s">
        <v>210</v>
      </c>
      <c r="BY1028" s="888" t="s">
        <v>7403</v>
      </c>
      <c r="BZ1028" s="889"/>
      <c r="CA1028" s="889"/>
      <c r="CB1028" s="889"/>
      <c r="CC1028" s="889"/>
    </row>
    <row r="1029" spans="2:81" ht="22.5" customHeight="1">
      <c r="B1029" s="442">
        <v>180116</v>
      </c>
      <c r="C1029" s="443" t="s">
        <v>7096</v>
      </c>
      <c r="D1029" s="467" t="s">
        <v>7070</v>
      </c>
      <c r="E1029" s="404" t="s">
        <v>6974</v>
      </c>
      <c r="F1029" s="405" t="s">
        <v>264</v>
      </c>
      <c r="G1029" s="324" t="s">
        <v>7097</v>
      </c>
      <c r="H1029" s="324" t="s">
        <v>7098</v>
      </c>
      <c r="I1029" s="326" t="s">
        <v>11</v>
      </c>
      <c r="J1029" s="326" t="s">
        <v>387</v>
      </c>
      <c r="K1029" s="324" t="s">
        <v>6297</v>
      </c>
      <c r="L1029" s="392" t="s">
        <v>210</v>
      </c>
      <c r="M1029" s="324" t="s">
        <v>10767</v>
      </c>
      <c r="N1029" s="444" t="s">
        <v>438</v>
      </c>
      <c r="O1029" s="324">
        <v>20</v>
      </c>
      <c r="P1029" s="816">
        <v>500</v>
      </c>
      <c r="Q1029" s="817">
        <v>250</v>
      </c>
      <c r="R1029" s="420" t="s">
        <v>479</v>
      </c>
      <c r="S1029" s="400"/>
      <c r="T1029" s="400"/>
      <c r="U1029" s="400"/>
      <c r="V1029" s="400"/>
      <c r="W1029" s="460" t="s">
        <v>3295</v>
      </c>
      <c r="X1029" s="394" t="s">
        <v>12125</v>
      </c>
      <c r="Y1029" s="394" t="s">
        <v>12127</v>
      </c>
      <c r="Z1029" s="394" t="s">
        <v>16285</v>
      </c>
      <c r="AA1029" s="394" t="s">
        <v>12126</v>
      </c>
      <c r="AB1029" s="416"/>
      <c r="AC1029" s="416"/>
      <c r="AD1029" s="447" t="s">
        <v>3508</v>
      </c>
      <c r="AE1029" s="499" t="s">
        <v>1643</v>
      </c>
      <c r="AF1029" s="462">
        <v>43209</v>
      </c>
      <c r="AG1029" s="748">
        <v>43280</v>
      </c>
      <c r="AH1029" s="417" t="s">
        <v>210</v>
      </c>
      <c r="AI1029" s="392" t="s">
        <v>210</v>
      </c>
      <c r="AJ1029" s="392" t="s">
        <v>210</v>
      </c>
      <c r="AK1029" s="340" t="s">
        <v>210</v>
      </c>
      <c r="AL1029" s="417" t="s">
        <v>210</v>
      </c>
      <c r="AM1029" s="392" t="s">
        <v>210</v>
      </c>
      <c r="AN1029" s="392" t="s">
        <v>210</v>
      </c>
      <c r="AO1029" s="341" t="s">
        <v>210</v>
      </c>
      <c r="AP1029" s="418" t="s">
        <v>210</v>
      </c>
      <c r="AQ1029" s="433" t="s">
        <v>4547</v>
      </c>
      <c r="AR1029" s="452">
        <v>676</v>
      </c>
      <c r="AS1029" s="324">
        <v>100</v>
      </c>
      <c r="AT1029" s="432">
        <v>0.8</v>
      </c>
      <c r="AU1029" s="432" t="s">
        <v>5079</v>
      </c>
      <c r="AV1029" s="432">
        <v>1.5</v>
      </c>
      <c r="AW1029" s="490" t="s">
        <v>5079</v>
      </c>
      <c r="AX1029" s="417" t="s">
        <v>210</v>
      </c>
      <c r="AY1029" s="455" t="s">
        <v>622</v>
      </c>
      <c r="AZ1029" s="405" t="s">
        <v>4083</v>
      </c>
      <c r="BA1029" s="324" t="s">
        <v>210</v>
      </c>
      <c r="BB1029" s="324" t="s">
        <v>210</v>
      </c>
      <c r="BC1029" s="324" t="s">
        <v>210</v>
      </c>
      <c r="BD1029" s="324" t="s">
        <v>210</v>
      </c>
      <c r="BE1029" s="324" t="s">
        <v>3476</v>
      </c>
      <c r="BF1029" s="324" t="s">
        <v>3424</v>
      </c>
      <c r="BG1029" s="324" t="s">
        <v>7100</v>
      </c>
      <c r="BH1029" s="324" t="s">
        <v>3424</v>
      </c>
      <c r="BI1029" s="453">
        <v>2.5</v>
      </c>
      <c r="BJ1029" s="427" t="s">
        <v>9793</v>
      </c>
      <c r="BK1029" s="412"/>
      <c r="BL1029" s="413"/>
      <c r="BM1029" s="414"/>
      <c r="BN1029" s="453" t="s">
        <v>622</v>
      </c>
      <c r="BO1029" s="502"/>
      <c r="BP1029" s="455" t="s">
        <v>622</v>
      </c>
      <c r="BQ1029" s="456" t="s">
        <v>1059</v>
      </c>
      <c r="BR1029" s="342" t="s">
        <v>7300</v>
      </c>
      <c r="BS1029" s="342" t="s">
        <v>210</v>
      </c>
      <c r="BT1029" s="342" t="s">
        <v>210</v>
      </c>
      <c r="BU1029" s="342" t="s">
        <v>210</v>
      </c>
      <c r="BV1029" s="342" t="s">
        <v>210</v>
      </c>
      <c r="BW1029" s="341" t="s">
        <v>622</v>
      </c>
      <c r="BX1029" s="342" t="s">
        <v>210</v>
      </c>
      <c r="BY1029" s="457" t="s">
        <v>7099</v>
      </c>
      <c r="BZ1029" s="363"/>
      <c r="CA1029" s="363"/>
      <c r="CB1029" s="363"/>
      <c r="CC1029" s="363"/>
    </row>
    <row r="1030" spans="2:81" ht="22.5" customHeight="1">
      <c r="B1030" s="442">
        <v>180117</v>
      </c>
      <c r="C1030" s="443" t="s">
        <v>7101</v>
      </c>
      <c r="D1030" s="439" t="s">
        <v>4849</v>
      </c>
      <c r="E1030" s="404" t="s">
        <v>5362</v>
      </c>
      <c r="F1030" s="405" t="s">
        <v>304</v>
      </c>
      <c r="G1030" s="324" t="s">
        <v>6190</v>
      </c>
      <c r="H1030" s="324" t="s">
        <v>7102</v>
      </c>
      <c r="I1030" s="326" t="s">
        <v>383</v>
      </c>
      <c r="J1030" s="326" t="s">
        <v>399</v>
      </c>
      <c r="K1030" s="326" t="s">
        <v>223</v>
      </c>
      <c r="L1030" s="392" t="s">
        <v>210</v>
      </c>
      <c r="M1030" s="324" t="s">
        <v>10767</v>
      </c>
      <c r="N1030" s="444" t="s">
        <v>437</v>
      </c>
      <c r="O1030" s="324">
        <v>45</v>
      </c>
      <c r="P1030" s="458">
        <v>1323.6</v>
      </c>
      <c r="Q1030" s="459">
        <v>1424.9</v>
      </c>
      <c r="R1030" s="329" t="s">
        <v>999</v>
      </c>
      <c r="S1030" s="394" t="s">
        <v>12122</v>
      </c>
      <c r="T1030" s="394" t="s">
        <v>11262</v>
      </c>
      <c r="U1030" s="394" t="s">
        <v>16414</v>
      </c>
      <c r="V1030" s="394" t="s">
        <v>11263</v>
      </c>
      <c r="W1030" s="332" t="s">
        <v>1096</v>
      </c>
      <c r="X1030" s="331" t="s">
        <v>12123</v>
      </c>
      <c r="Y1030" s="331" t="s">
        <v>11249</v>
      </c>
      <c r="Z1030" s="331" t="s">
        <v>16437</v>
      </c>
      <c r="AA1030" s="331" t="s">
        <v>12124</v>
      </c>
      <c r="AB1030" s="416"/>
      <c r="AC1030" s="416"/>
      <c r="AD1030" s="334" t="s">
        <v>2321</v>
      </c>
      <c r="AE1030" s="335" t="s">
        <v>210</v>
      </c>
      <c r="AF1030" s="462">
        <v>43209</v>
      </c>
      <c r="AG1030" s="748">
        <v>43349</v>
      </c>
      <c r="AH1030" s="417" t="s">
        <v>210</v>
      </c>
      <c r="AI1030" s="392" t="s">
        <v>210</v>
      </c>
      <c r="AJ1030" s="392" t="s">
        <v>210</v>
      </c>
      <c r="AK1030" s="340" t="s">
        <v>210</v>
      </c>
      <c r="AL1030" s="417" t="s">
        <v>210</v>
      </c>
      <c r="AM1030" s="392" t="s">
        <v>210</v>
      </c>
      <c r="AN1030" s="392" t="s">
        <v>622</v>
      </c>
      <c r="AO1030" s="844" t="s">
        <v>210</v>
      </c>
      <c r="AP1030" s="418" t="s">
        <v>210</v>
      </c>
      <c r="AQ1030" s="433" t="s">
        <v>4547</v>
      </c>
      <c r="AR1030" s="452">
        <v>1657</v>
      </c>
      <c r="AS1030" s="324">
        <v>100</v>
      </c>
      <c r="AT1030" s="432">
        <v>1</v>
      </c>
      <c r="AU1030" s="432" t="s">
        <v>5578</v>
      </c>
      <c r="AV1030" s="432">
        <v>1.5</v>
      </c>
      <c r="AW1030" s="490" t="s">
        <v>7299</v>
      </c>
      <c r="AX1030" s="417" t="s">
        <v>210</v>
      </c>
      <c r="AY1030" s="455" t="s">
        <v>210</v>
      </c>
      <c r="AZ1030" s="405" t="s">
        <v>7104</v>
      </c>
      <c r="BA1030" s="324" t="s">
        <v>7103</v>
      </c>
      <c r="BB1030" s="324" t="s">
        <v>3372</v>
      </c>
      <c r="BC1030" s="324" t="s">
        <v>3557</v>
      </c>
      <c r="BD1030" s="324" t="s">
        <v>3372</v>
      </c>
      <c r="BE1030" s="324" t="s">
        <v>7103</v>
      </c>
      <c r="BF1030" s="324" t="s">
        <v>3372</v>
      </c>
      <c r="BG1030" s="324" t="s">
        <v>210</v>
      </c>
      <c r="BH1030" s="426" t="s">
        <v>210</v>
      </c>
      <c r="BI1030" s="453">
        <v>1</v>
      </c>
      <c r="BJ1030" s="427" t="s">
        <v>9793</v>
      </c>
      <c r="BK1030" s="412"/>
      <c r="BL1030" s="413"/>
      <c r="BM1030" s="414"/>
      <c r="BN1030" s="453" t="s">
        <v>622</v>
      </c>
      <c r="BO1030" s="464">
        <v>1.1599999999999999</v>
      </c>
      <c r="BP1030" s="455" t="s">
        <v>622</v>
      </c>
      <c r="BQ1030" s="456" t="s">
        <v>7304</v>
      </c>
      <c r="BR1030" s="342" t="s">
        <v>622</v>
      </c>
      <c r="BS1030" s="342" t="s">
        <v>622</v>
      </c>
      <c r="BT1030" s="342" t="s">
        <v>210</v>
      </c>
      <c r="BU1030" s="342" t="s">
        <v>210</v>
      </c>
      <c r="BV1030" s="342" t="s">
        <v>210</v>
      </c>
      <c r="BW1030" s="341" t="s">
        <v>210</v>
      </c>
      <c r="BX1030" s="342" t="s">
        <v>210</v>
      </c>
      <c r="BY1030" s="457"/>
      <c r="BZ1030" s="363"/>
      <c r="CA1030" s="363"/>
      <c r="CB1030" s="363"/>
      <c r="CC1030" s="363"/>
    </row>
    <row r="1031" spans="2:81" ht="22.5" customHeight="1">
      <c r="B1031" s="442">
        <v>180118</v>
      </c>
      <c r="C1031" s="443" t="s">
        <v>7190</v>
      </c>
      <c r="D1031" s="467" t="s">
        <v>6135</v>
      </c>
      <c r="E1031" s="404" t="s">
        <v>5362</v>
      </c>
      <c r="F1031" s="405" t="s">
        <v>7107</v>
      </c>
      <c r="G1031" s="324" t="s">
        <v>7108</v>
      </c>
      <c r="H1031" s="324" t="s">
        <v>7109</v>
      </c>
      <c r="I1031" s="326" t="s">
        <v>11</v>
      </c>
      <c r="J1031" s="324" t="s">
        <v>6632</v>
      </c>
      <c r="K1031" s="324" t="s">
        <v>247</v>
      </c>
      <c r="L1031" s="342">
        <v>20.7</v>
      </c>
      <c r="M1031" s="324" t="s">
        <v>10767</v>
      </c>
      <c r="N1031" s="444" t="s">
        <v>438</v>
      </c>
      <c r="O1031" s="324">
        <v>30</v>
      </c>
      <c r="P1031" s="816">
        <v>3600</v>
      </c>
      <c r="Q1031" s="817">
        <v>3600</v>
      </c>
      <c r="R1031" s="420" t="s">
        <v>5436</v>
      </c>
      <c r="S1031" s="394" t="s">
        <v>12119</v>
      </c>
      <c r="T1031" s="394" t="s">
        <v>12120</v>
      </c>
      <c r="U1031" s="394" t="s">
        <v>16211</v>
      </c>
      <c r="V1031" s="394" t="s">
        <v>12121</v>
      </c>
      <c r="W1031" s="460" t="s">
        <v>712</v>
      </c>
      <c r="X1031" s="394" t="s">
        <v>12119</v>
      </c>
      <c r="Y1031" s="394" t="s">
        <v>12120</v>
      </c>
      <c r="Z1031" s="394" t="s">
        <v>16489</v>
      </c>
      <c r="AA1031" s="394" t="s">
        <v>12121</v>
      </c>
      <c r="AB1031" s="416" t="s">
        <v>7409</v>
      </c>
      <c r="AC1031" s="416"/>
      <c r="AD1031" s="447" t="s">
        <v>7693</v>
      </c>
      <c r="AE1031" s="499" t="s">
        <v>7446</v>
      </c>
      <c r="AF1031" s="448">
        <v>43210</v>
      </c>
      <c r="AG1031" s="705">
        <v>43319</v>
      </c>
      <c r="AH1031" s="417" t="s">
        <v>210</v>
      </c>
      <c r="AI1031" s="392" t="s">
        <v>210</v>
      </c>
      <c r="AJ1031" s="392" t="s">
        <v>210</v>
      </c>
      <c r="AK1031" s="340" t="s">
        <v>210</v>
      </c>
      <c r="AL1031" s="417" t="s">
        <v>210</v>
      </c>
      <c r="AM1031" s="392" t="s">
        <v>210</v>
      </c>
      <c r="AN1031" s="392" t="s">
        <v>210</v>
      </c>
      <c r="AO1031" s="341" t="s">
        <v>210</v>
      </c>
      <c r="AP1031" s="418" t="s">
        <v>210</v>
      </c>
      <c r="AQ1031" s="433" t="s">
        <v>4547</v>
      </c>
      <c r="AR1031" s="452">
        <v>6366</v>
      </c>
      <c r="AS1031" s="324">
        <v>120</v>
      </c>
      <c r="AT1031" s="432">
        <v>1</v>
      </c>
      <c r="AU1031" s="432" t="s">
        <v>7193</v>
      </c>
      <c r="AV1031" s="432">
        <v>1.5</v>
      </c>
      <c r="AW1031" s="490" t="s">
        <v>4813</v>
      </c>
      <c r="AX1031" s="417" t="s">
        <v>210</v>
      </c>
      <c r="AY1031" s="455" t="s">
        <v>210</v>
      </c>
      <c r="AZ1031" s="405" t="s">
        <v>4083</v>
      </c>
      <c r="BA1031" s="324" t="s">
        <v>210</v>
      </c>
      <c r="BB1031" s="324" t="s">
        <v>210</v>
      </c>
      <c r="BC1031" s="324" t="s">
        <v>210</v>
      </c>
      <c r="BD1031" s="324" t="s">
        <v>210</v>
      </c>
      <c r="BE1031" s="324" t="s">
        <v>210</v>
      </c>
      <c r="BF1031" s="324" t="s">
        <v>210</v>
      </c>
      <c r="BG1031" s="324" t="s">
        <v>7192</v>
      </c>
      <c r="BH1031" s="426" t="s">
        <v>6859</v>
      </c>
      <c r="BI1031" s="453">
        <v>1</v>
      </c>
      <c r="BJ1031" s="427" t="s">
        <v>210</v>
      </c>
      <c r="BK1031" s="412"/>
      <c r="BL1031" s="413"/>
      <c r="BM1031" s="414"/>
      <c r="BN1031" s="453" t="s">
        <v>622</v>
      </c>
      <c r="BO1031" s="464">
        <v>1.25</v>
      </c>
      <c r="BP1031" s="455" t="s">
        <v>622</v>
      </c>
      <c r="BQ1031" s="456" t="s">
        <v>5235</v>
      </c>
      <c r="BR1031" s="418" t="s">
        <v>210</v>
      </c>
      <c r="BS1031" s="418" t="s">
        <v>210</v>
      </c>
      <c r="BT1031" s="418" t="s">
        <v>210</v>
      </c>
      <c r="BU1031" s="418" t="s">
        <v>210</v>
      </c>
      <c r="BV1031" s="418" t="s">
        <v>210</v>
      </c>
      <c r="BW1031" s="341" t="s">
        <v>210</v>
      </c>
      <c r="BX1031" s="342" t="s">
        <v>210</v>
      </c>
      <c r="BY1031" s="457" t="s">
        <v>7511</v>
      </c>
      <c r="BZ1031" s="363"/>
      <c r="CA1031" s="363"/>
      <c r="CB1031" s="363"/>
      <c r="CC1031" s="363"/>
    </row>
    <row r="1032" spans="2:81" ht="22.5" customHeight="1">
      <c r="B1032" s="442" t="s">
        <v>7189</v>
      </c>
      <c r="C1032" s="443" t="s">
        <v>7191</v>
      </c>
      <c r="D1032" s="467" t="s">
        <v>6135</v>
      </c>
      <c r="E1032" s="404" t="s">
        <v>5362</v>
      </c>
      <c r="F1032" s="405" t="s">
        <v>320</v>
      </c>
      <c r="G1032" s="324" t="s">
        <v>7108</v>
      </c>
      <c r="H1032" s="324" t="s">
        <v>7109</v>
      </c>
      <c r="I1032" s="326" t="s">
        <v>11</v>
      </c>
      <c r="J1032" s="324" t="s">
        <v>7171</v>
      </c>
      <c r="K1032" s="324" t="s">
        <v>7510</v>
      </c>
      <c r="L1032" s="342">
        <v>13.75</v>
      </c>
      <c r="M1032" s="324" t="s">
        <v>10767</v>
      </c>
      <c r="N1032" s="444" t="s">
        <v>438</v>
      </c>
      <c r="O1032" s="324">
        <v>30</v>
      </c>
      <c r="P1032" s="816">
        <v>7040</v>
      </c>
      <c r="Q1032" s="817">
        <v>3520</v>
      </c>
      <c r="R1032" s="420" t="s">
        <v>5436</v>
      </c>
      <c r="S1032" s="394" t="s">
        <v>12119</v>
      </c>
      <c r="T1032" s="394" t="s">
        <v>12120</v>
      </c>
      <c r="U1032" s="394" t="s">
        <v>16211</v>
      </c>
      <c r="V1032" s="394" t="s">
        <v>12121</v>
      </c>
      <c r="W1032" s="460" t="s">
        <v>712</v>
      </c>
      <c r="X1032" s="394" t="s">
        <v>12119</v>
      </c>
      <c r="Y1032" s="394" t="s">
        <v>12120</v>
      </c>
      <c r="Z1032" s="394" t="s">
        <v>16489</v>
      </c>
      <c r="AA1032" s="394" t="s">
        <v>12121</v>
      </c>
      <c r="AB1032" s="416" t="s">
        <v>7409</v>
      </c>
      <c r="AC1032" s="416"/>
      <c r="AD1032" s="447" t="s">
        <v>7693</v>
      </c>
      <c r="AE1032" s="499" t="s">
        <v>7446</v>
      </c>
      <c r="AF1032" s="462">
        <v>43210</v>
      </c>
      <c r="AG1032" s="705">
        <v>43319</v>
      </c>
      <c r="AH1032" s="417" t="s">
        <v>210</v>
      </c>
      <c r="AI1032" s="392" t="s">
        <v>210</v>
      </c>
      <c r="AJ1032" s="392" t="s">
        <v>210</v>
      </c>
      <c r="AK1032" s="340" t="s">
        <v>210</v>
      </c>
      <c r="AL1032" s="417" t="s">
        <v>210</v>
      </c>
      <c r="AM1032" s="392" t="s">
        <v>210</v>
      </c>
      <c r="AN1032" s="392" t="s">
        <v>210</v>
      </c>
      <c r="AO1032" s="341" t="s">
        <v>210</v>
      </c>
      <c r="AP1032" s="418" t="s">
        <v>210</v>
      </c>
      <c r="AQ1032" s="433" t="s">
        <v>4547</v>
      </c>
      <c r="AR1032" s="452">
        <v>4579</v>
      </c>
      <c r="AS1032" s="324">
        <v>120</v>
      </c>
      <c r="AT1032" s="432">
        <v>1</v>
      </c>
      <c r="AU1032" s="432" t="s">
        <v>7193</v>
      </c>
      <c r="AV1032" s="432">
        <v>1.5</v>
      </c>
      <c r="AW1032" s="490" t="s">
        <v>4813</v>
      </c>
      <c r="AX1032" s="417" t="s">
        <v>210</v>
      </c>
      <c r="AY1032" s="455" t="s">
        <v>210</v>
      </c>
      <c r="AZ1032" s="405" t="s">
        <v>4083</v>
      </c>
      <c r="BA1032" s="324" t="s">
        <v>210</v>
      </c>
      <c r="BB1032" s="324" t="s">
        <v>210</v>
      </c>
      <c r="BC1032" s="324" t="s">
        <v>210</v>
      </c>
      <c r="BD1032" s="324" t="s">
        <v>210</v>
      </c>
      <c r="BE1032" s="324" t="s">
        <v>210</v>
      </c>
      <c r="BF1032" s="324" t="s">
        <v>210</v>
      </c>
      <c r="BG1032" s="324" t="s">
        <v>7192</v>
      </c>
      <c r="BH1032" s="426" t="s">
        <v>6859</v>
      </c>
      <c r="BI1032" s="453">
        <v>1</v>
      </c>
      <c r="BJ1032" s="427" t="s">
        <v>210</v>
      </c>
      <c r="BK1032" s="412"/>
      <c r="BL1032" s="413"/>
      <c r="BM1032" s="414"/>
      <c r="BN1032" s="453" t="s">
        <v>622</v>
      </c>
      <c r="BO1032" s="464">
        <v>1.25</v>
      </c>
      <c r="BP1032" s="455" t="s">
        <v>622</v>
      </c>
      <c r="BQ1032" s="456" t="s">
        <v>5235</v>
      </c>
      <c r="BR1032" s="418" t="s">
        <v>210</v>
      </c>
      <c r="BS1032" s="418" t="s">
        <v>210</v>
      </c>
      <c r="BT1032" s="418" t="s">
        <v>210</v>
      </c>
      <c r="BU1032" s="418" t="s">
        <v>210</v>
      </c>
      <c r="BV1032" s="418" t="s">
        <v>210</v>
      </c>
      <c r="BW1032" s="341" t="s">
        <v>210</v>
      </c>
      <c r="BX1032" s="342" t="s">
        <v>210</v>
      </c>
      <c r="BY1032" s="457" t="str">
        <f>BY1031</f>
        <v>製造棟、充填・包装棟、ごま倉庫の3棟。敷地内ﾀﾝｸ・機械下も地盤改良計画予定。</v>
      </c>
      <c r="BZ1032" s="363"/>
      <c r="CA1032" s="363"/>
      <c r="CB1032" s="363"/>
      <c r="CC1032" s="363"/>
    </row>
    <row r="1033" spans="2:81" ht="22.5" customHeight="1">
      <c r="B1033" s="442" t="s">
        <v>7407</v>
      </c>
      <c r="C1033" s="443" t="s">
        <v>7408</v>
      </c>
      <c r="D1033" s="467" t="s">
        <v>6135</v>
      </c>
      <c r="E1033" s="404" t="s">
        <v>5362</v>
      </c>
      <c r="F1033" s="405" t="s">
        <v>320</v>
      </c>
      <c r="G1033" s="324" t="s">
        <v>7108</v>
      </c>
      <c r="H1033" s="324" t="s">
        <v>7109</v>
      </c>
      <c r="I1033" s="326" t="s">
        <v>11</v>
      </c>
      <c r="J1033" s="326" t="s">
        <v>399</v>
      </c>
      <c r="K1033" s="324" t="s">
        <v>7509</v>
      </c>
      <c r="L1033" s="342">
        <v>16</v>
      </c>
      <c r="M1033" s="324" t="s">
        <v>10767</v>
      </c>
      <c r="N1033" s="444" t="s">
        <v>438</v>
      </c>
      <c r="O1033" s="324">
        <v>30</v>
      </c>
      <c r="P1033" s="816">
        <v>860</v>
      </c>
      <c r="Q1033" s="817">
        <v>860</v>
      </c>
      <c r="R1033" s="420" t="s">
        <v>5436</v>
      </c>
      <c r="S1033" s="394" t="s">
        <v>12119</v>
      </c>
      <c r="T1033" s="394" t="s">
        <v>12120</v>
      </c>
      <c r="U1033" s="394" t="s">
        <v>16211</v>
      </c>
      <c r="V1033" s="394" t="s">
        <v>12121</v>
      </c>
      <c r="W1033" s="460" t="s">
        <v>712</v>
      </c>
      <c r="X1033" s="394" t="s">
        <v>12119</v>
      </c>
      <c r="Y1033" s="394" t="s">
        <v>12120</v>
      </c>
      <c r="Z1033" s="394" t="s">
        <v>16489</v>
      </c>
      <c r="AA1033" s="394" t="s">
        <v>12121</v>
      </c>
      <c r="AB1033" s="416"/>
      <c r="AC1033" s="416"/>
      <c r="AD1033" s="447" t="s">
        <v>7693</v>
      </c>
      <c r="AE1033" s="499" t="s">
        <v>7446</v>
      </c>
      <c r="AF1033" s="462">
        <v>43257</v>
      </c>
      <c r="AG1033" s="705">
        <v>43319</v>
      </c>
      <c r="AH1033" s="417" t="s">
        <v>210</v>
      </c>
      <c r="AI1033" s="392" t="s">
        <v>210</v>
      </c>
      <c r="AJ1033" s="392" t="s">
        <v>210</v>
      </c>
      <c r="AK1033" s="340" t="s">
        <v>210</v>
      </c>
      <c r="AL1033" s="417" t="s">
        <v>210</v>
      </c>
      <c r="AM1033" s="392" t="s">
        <v>210</v>
      </c>
      <c r="AN1033" s="392" t="s">
        <v>210</v>
      </c>
      <c r="AO1033" s="341" t="s">
        <v>210</v>
      </c>
      <c r="AP1033" s="418" t="s">
        <v>210</v>
      </c>
      <c r="AQ1033" s="433" t="s">
        <v>4547</v>
      </c>
      <c r="AR1033" s="452">
        <v>1128</v>
      </c>
      <c r="AS1033" s="324">
        <v>120</v>
      </c>
      <c r="AT1033" s="432">
        <v>1</v>
      </c>
      <c r="AU1033" s="432" t="s">
        <v>7193</v>
      </c>
      <c r="AV1033" s="432">
        <v>1.5</v>
      </c>
      <c r="AW1033" s="490" t="s">
        <v>4813</v>
      </c>
      <c r="AX1033" s="417" t="s">
        <v>210</v>
      </c>
      <c r="AY1033" s="455" t="s">
        <v>210</v>
      </c>
      <c r="AZ1033" s="405" t="s">
        <v>4083</v>
      </c>
      <c r="BA1033" s="324" t="s">
        <v>210</v>
      </c>
      <c r="BB1033" s="324" t="s">
        <v>210</v>
      </c>
      <c r="BC1033" s="324" t="s">
        <v>210</v>
      </c>
      <c r="BD1033" s="324" t="s">
        <v>210</v>
      </c>
      <c r="BE1033" s="324" t="s">
        <v>210</v>
      </c>
      <c r="BF1033" s="324" t="s">
        <v>210</v>
      </c>
      <c r="BG1033" s="324" t="s">
        <v>3475</v>
      </c>
      <c r="BH1033" s="426" t="s">
        <v>6859</v>
      </c>
      <c r="BI1033" s="453">
        <v>1</v>
      </c>
      <c r="BJ1033" s="427" t="s">
        <v>210</v>
      </c>
      <c r="BK1033" s="412"/>
      <c r="BL1033" s="413"/>
      <c r="BM1033" s="414"/>
      <c r="BN1033" s="453" t="s">
        <v>622</v>
      </c>
      <c r="BO1033" s="464">
        <v>1.25</v>
      </c>
      <c r="BP1033" s="455" t="s">
        <v>622</v>
      </c>
      <c r="BQ1033" s="456" t="s">
        <v>5235</v>
      </c>
      <c r="BR1033" s="418" t="s">
        <v>210</v>
      </c>
      <c r="BS1033" s="418" t="s">
        <v>210</v>
      </c>
      <c r="BT1033" s="418" t="s">
        <v>210</v>
      </c>
      <c r="BU1033" s="418" t="s">
        <v>210</v>
      </c>
      <c r="BV1033" s="418" t="s">
        <v>210</v>
      </c>
      <c r="BW1033" s="341" t="s">
        <v>210</v>
      </c>
      <c r="BX1033" s="342" t="s">
        <v>210</v>
      </c>
      <c r="BY1033" s="457" t="str">
        <f>BY1031</f>
        <v>製造棟、充填・包装棟、ごま倉庫の3棟。敷地内ﾀﾝｸ・機械下も地盤改良計画予定。</v>
      </c>
      <c r="BZ1033" s="363"/>
      <c r="CA1033" s="363"/>
      <c r="CB1033" s="363"/>
      <c r="CC1033" s="363"/>
    </row>
    <row r="1034" spans="2:81" ht="22.5" customHeight="1">
      <c r="B1034" s="442">
        <v>180119</v>
      </c>
      <c r="C1034" s="443" t="s">
        <v>7114</v>
      </c>
      <c r="D1034" s="467" t="s">
        <v>6135</v>
      </c>
      <c r="E1034" s="404" t="s">
        <v>5362</v>
      </c>
      <c r="F1034" s="405" t="s">
        <v>7111</v>
      </c>
      <c r="G1034" s="324" t="s">
        <v>7112</v>
      </c>
      <c r="H1034" s="324" t="s">
        <v>7113</v>
      </c>
      <c r="I1034" s="326" t="s">
        <v>11</v>
      </c>
      <c r="J1034" s="326" t="s">
        <v>12</v>
      </c>
      <c r="K1034" s="324" t="s">
        <v>247</v>
      </c>
      <c r="L1034" s="342">
        <v>9</v>
      </c>
      <c r="M1034" s="324" t="s">
        <v>10767</v>
      </c>
      <c r="N1034" s="444" t="s">
        <v>7452</v>
      </c>
      <c r="O1034" s="324">
        <v>200</v>
      </c>
      <c r="P1034" s="816">
        <v>650</v>
      </c>
      <c r="Q1034" s="817">
        <v>650</v>
      </c>
      <c r="R1034" s="329" t="s">
        <v>669</v>
      </c>
      <c r="S1034" s="394" t="s">
        <v>12116</v>
      </c>
      <c r="T1034" s="394" t="s">
        <v>12117</v>
      </c>
      <c r="U1034" s="394" t="s">
        <v>16422</v>
      </c>
      <c r="V1034" s="394" t="s">
        <v>12118</v>
      </c>
      <c r="W1034" s="332" t="s">
        <v>669</v>
      </c>
      <c r="X1034" s="394" t="s">
        <v>12116</v>
      </c>
      <c r="Y1034" s="394" t="s">
        <v>12117</v>
      </c>
      <c r="Z1034" s="394" t="s">
        <v>16422</v>
      </c>
      <c r="AA1034" s="394" t="s">
        <v>12118</v>
      </c>
      <c r="AB1034" s="416"/>
      <c r="AC1034" s="416"/>
      <c r="AD1034" s="447" t="s">
        <v>310</v>
      </c>
      <c r="AE1034" s="335" t="s">
        <v>210</v>
      </c>
      <c r="AF1034" s="462">
        <v>43213</v>
      </c>
      <c r="AG1034" s="748">
        <v>43259</v>
      </c>
      <c r="AH1034" s="417" t="s">
        <v>210</v>
      </c>
      <c r="AI1034" s="392" t="s">
        <v>210</v>
      </c>
      <c r="AJ1034" s="392" t="s">
        <v>210</v>
      </c>
      <c r="AK1034" s="340" t="s">
        <v>210</v>
      </c>
      <c r="AL1034" s="417" t="s">
        <v>210</v>
      </c>
      <c r="AM1034" s="392" t="s">
        <v>210</v>
      </c>
      <c r="AN1034" s="392" t="s">
        <v>210</v>
      </c>
      <c r="AO1034" s="341" t="s">
        <v>210</v>
      </c>
      <c r="AP1034" s="418" t="s">
        <v>210</v>
      </c>
      <c r="AQ1034" s="433" t="s">
        <v>4547</v>
      </c>
      <c r="AR1034" s="452">
        <v>789</v>
      </c>
      <c r="AS1034" s="324">
        <v>110</v>
      </c>
      <c r="AT1034" s="432">
        <v>1.2</v>
      </c>
      <c r="AU1034" s="432" t="s">
        <v>3434</v>
      </c>
      <c r="AV1034" s="432">
        <v>1.6</v>
      </c>
      <c r="AW1034" s="490" t="s">
        <v>7237</v>
      </c>
      <c r="AX1034" s="417" t="s">
        <v>210</v>
      </c>
      <c r="AY1034" s="455" t="s">
        <v>210</v>
      </c>
      <c r="AZ1034" s="405" t="s">
        <v>4083</v>
      </c>
      <c r="BA1034" s="324" t="s">
        <v>210</v>
      </c>
      <c r="BB1034" s="324" t="s">
        <v>210</v>
      </c>
      <c r="BC1034" s="324" t="s">
        <v>7238</v>
      </c>
      <c r="BD1034" s="324" t="s">
        <v>3495</v>
      </c>
      <c r="BE1034" s="324" t="s">
        <v>7239</v>
      </c>
      <c r="BF1034" s="324" t="s">
        <v>3495</v>
      </c>
      <c r="BG1034" s="324" t="s">
        <v>7240</v>
      </c>
      <c r="BH1034" s="426" t="s">
        <v>6579</v>
      </c>
      <c r="BI1034" s="453">
        <v>0.9</v>
      </c>
      <c r="BJ1034" s="427" t="s">
        <v>210</v>
      </c>
      <c r="BK1034" s="412"/>
      <c r="BL1034" s="413"/>
      <c r="BM1034" s="414"/>
      <c r="BN1034" s="453" t="s">
        <v>622</v>
      </c>
      <c r="BO1034" s="502"/>
      <c r="BP1034" s="455" t="s">
        <v>622</v>
      </c>
      <c r="BQ1034" s="456" t="s">
        <v>5608</v>
      </c>
      <c r="BR1034" s="418" t="s">
        <v>210</v>
      </c>
      <c r="BS1034" s="342" t="s">
        <v>622</v>
      </c>
      <c r="BT1034" s="418" t="s">
        <v>210</v>
      </c>
      <c r="BU1034" s="418" t="s">
        <v>210</v>
      </c>
      <c r="BV1034" s="418" t="s">
        <v>210</v>
      </c>
      <c r="BW1034" s="341" t="s">
        <v>210</v>
      </c>
      <c r="BX1034" s="342" t="s">
        <v>210</v>
      </c>
      <c r="BY1034" s="457" t="s">
        <v>7202</v>
      </c>
      <c r="BZ1034" s="363"/>
      <c r="CA1034" s="363"/>
      <c r="CB1034" s="363"/>
      <c r="CC1034" s="363"/>
    </row>
    <row r="1035" spans="2:81" ht="22.5" customHeight="1">
      <c r="B1035" s="442">
        <v>180120</v>
      </c>
      <c r="C1035" s="443" t="s">
        <v>7118</v>
      </c>
      <c r="D1035" s="467" t="s">
        <v>4853</v>
      </c>
      <c r="E1035" s="404" t="s">
        <v>5363</v>
      </c>
      <c r="F1035" s="405" t="s">
        <v>1048</v>
      </c>
      <c r="G1035" s="324" t="s">
        <v>2651</v>
      </c>
      <c r="H1035" s="324" t="s">
        <v>7119</v>
      </c>
      <c r="I1035" s="326" t="s">
        <v>11</v>
      </c>
      <c r="J1035" s="324" t="s">
        <v>6632</v>
      </c>
      <c r="K1035" s="324" t="s">
        <v>247</v>
      </c>
      <c r="L1035" s="392" t="s">
        <v>210</v>
      </c>
      <c r="M1035" s="324" t="s">
        <v>10767</v>
      </c>
      <c r="N1035" s="444" t="s">
        <v>438</v>
      </c>
      <c r="O1035" s="324">
        <v>61</v>
      </c>
      <c r="P1035" s="458">
        <v>1380.86</v>
      </c>
      <c r="Q1035" s="459">
        <v>1097.97</v>
      </c>
      <c r="R1035" s="329" t="s">
        <v>458</v>
      </c>
      <c r="S1035" s="394" t="s">
        <v>12115</v>
      </c>
      <c r="T1035" s="331" t="s">
        <v>11187</v>
      </c>
      <c r="U1035" s="331" t="s">
        <v>11186</v>
      </c>
      <c r="V1035" s="331" t="s">
        <v>11184</v>
      </c>
      <c r="W1035" s="332" t="s">
        <v>432</v>
      </c>
      <c r="X1035" s="331" t="s">
        <v>11079</v>
      </c>
      <c r="Y1035" s="331" t="s">
        <v>11080</v>
      </c>
      <c r="Z1035" s="331" t="s">
        <v>11080</v>
      </c>
      <c r="AA1035" s="331" t="s">
        <v>6574</v>
      </c>
      <c r="AB1035" s="416"/>
      <c r="AC1035" s="416"/>
      <c r="AD1035" s="447" t="s">
        <v>2922</v>
      </c>
      <c r="AE1035" s="499" t="s">
        <v>966</v>
      </c>
      <c r="AF1035" s="462">
        <v>43214</v>
      </c>
      <c r="AG1035" s="748">
        <v>43322</v>
      </c>
      <c r="AH1035" s="453">
        <v>20.9</v>
      </c>
      <c r="AI1035" s="432">
        <v>28.7</v>
      </c>
      <c r="AJ1035" s="432">
        <v>18</v>
      </c>
      <c r="AK1035" s="455">
        <f>SUM(AH1035:AJ1035)</f>
        <v>67.599999999999994</v>
      </c>
      <c r="AL1035" s="417" t="s">
        <v>210</v>
      </c>
      <c r="AM1035" s="392" t="s">
        <v>210</v>
      </c>
      <c r="AN1035" s="392" t="s">
        <v>210</v>
      </c>
      <c r="AO1035" s="341" t="s">
        <v>210</v>
      </c>
      <c r="AP1035" s="418" t="s">
        <v>210</v>
      </c>
      <c r="AQ1035" s="433" t="s">
        <v>4547</v>
      </c>
      <c r="AR1035" s="452">
        <f>1120+484</f>
        <v>1604</v>
      </c>
      <c r="AS1035" s="324">
        <v>100</v>
      </c>
      <c r="AT1035" s="432">
        <v>1</v>
      </c>
      <c r="AU1035" s="432" t="s">
        <v>5079</v>
      </c>
      <c r="AV1035" s="432">
        <v>1.5</v>
      </c>
      <c r="AW1035" s="490" t="s">
        <v>5352</v>
      </c>
      <c r="AX1035" s="417" t="s">
        <v>210</v>
      </c>
      <c r="AY1035" s="455" t="s">
        <v>210</v>
      </c>
      <c r="AZ1035" s="405" t="s">
        <v>622</v>
      </c>
      <c r="BA1035" s="324" t="s">
        <v>7151</v>
      </c>
      <c r="BB1035" s="324" t="s">
        <v>7152</v>
      </c>
      <c r="BC1035" s="324" t="s">
        <v>3555</v>
      </c>
      <c r="BD1035" s="324" t="s">
        <v>3424</v>
      </c>
      <c r="BE1035" s="324" t="s">
        <v>3555</v>
      </c>
      <c r="BF1035" s="324" t="s">
        <v>3512</v>
      </c>
      <c r="BG1035" s="324" t="s">
        <v>3558</v>
      </c>
      <c r="BH1035" s="324" t="s">
        <v>3512</v>
      </c>
      <c r="BI1035" s="453">
        <v>1.5</v>
      </c>
      <c r="BJ1035" s="427" t="s">
        <v>7416</v>
      </c>
      <c r="BK1035" s="412"/>
      <c r="BL1035" s="413"/>
      <c r="BM1035" s="414"/>
      <c r="BN1035" s="453" t="s">
        <v>622</v>
      </c>
      <c r="BO1035" s="464">
        <v>1.1499999999999999</v>
      </c>
      <c r="BP1035" s="455" t="s">
        <v>622</v>
      </c>
      <c r="BQ1035" s="456" t="s">
        <v>6623</v>
      </c>
      <c r="BR1035" s="418" t="s">
        <v>210</v>
      </c>
      <c r="BS1035" s="342" t="s">
        <v>622</v>
      </c>
      <c r="BT1035" s="342" t="s">
        <v>210</v>
      </c>
      <c r="BU1035" s="342" t="s">
        <v>210</v>
      </c>
      <c r="BV1035" s="342" t="s">
        <v>210</v>
      </c>
      <c r="BW1035" s="341" t="s">
        <v>210</v>
      </c>
      <c r="BX1035" s="342" t="s">
        <v>210</v>
      </c>
      <c r="BY1035" s="457" t="s">
        <v>7120</v>
      </c>
      <c r="BZ1035" s="363"/>
      <c r="CA1035" s="363"/>
      <c r="CB1035" s="363"/>
      <c r="CC1035" s="363"/>
    </row>
    <row r="1036" spans="2:81" ht="22.5" customHeight="1">
      <c r="B1036" s="442">
        <v>180121</v>
      </c>
      <c r="C1036" s="443" t="s">
        <v>7127</v>
      </c>
      <c r="D1036" s="467" t="s">
        <v>6135</v>
      </c>
      <c r="E1036" s="404" t="s">
        <v>5362</v>
      </c>
      <c r="F1036" s="405" t="s">
        <v>1043</v>
      </c>
      <c r="G1036" s="324" t="s">
        <v>7125</v>
      </c>
      <c r="H1036" s="324" t="s">
        <v>7126</v>
      </c>
      <c r="I1036" s="326" t="s">
        <v>11</v>
      </c>
      <c r="J1036" s="326" t="s">
        <v>12</v>
      </c>
      <c r="K1036" s="324" t="s">
        <v>363</v>
      </c>
      <c r="L1036" s="342">
        <v>10.8</v>
      </c>
      <c r="M1036" s="324" t="s">
        <v>10767</v>
      </c>
      <c r="N1036" s="444" t="s">
        <v>521</v>
      </c>
      <c r="O1036" s="324">
        <v>130</v>
      </c>
      <c r="P1036" s="816">
        <v>1220</v>
      </c>
      <c r="Q1036" s="817">
        <v>1220</v>
      </c>
      <c r="R1036" s="420" t="s">
        <v>7128</v>
      </c>
      <c r="S1036" s="400"/>
      <c r="T1036" s="400"/>
      <c r="U1036" s="400"/>
      <c r="V1036" s="400"/>
      <c r="W1036" s="460" t="s">
        <v>15045</v>
      </c>
      <c r="X1036" s="394" t="s">
        <v>12241</v>
      </c>
      <c r="Y1036" s="394" t="s">
        <v>12112</v>
      </c>
      <c r="Z1036" s="400"/>
      <c r="AA1036" s="394" t="s">
        <v>12114</v>
      </c>
      <c r="AB1036" s="416"/>
      <c r="AC1036" s="416"/>
      <c r="AD1036" s="897"/>
      <c r="AE1036" s="499" t="s">
        <v>353</v>
      </c>
      <c r="AF1036" s="462">
        <v>43215</v>
      </c>
      <c r="AG1036" s="748">
        <v>43286</v>
      </c>
      <c r="AH1036" s="417" t="s">
        <v>210</v>
      </c>
      <c r="AI1036" s="392" t="s">
        <v>210</v>
      </c>
      <c r="AJ1036" s="392" t="s">
        <v>210</v>
      </c>
      <c r="AK1036" s="340" t="s">
        <v>210</v>
      </c>
      <c r="AL1036" s="417" t="s">
        <v>210</v>
      </c>
      <c r="AM1036" s="392" t="s">
        <v>210</v>
      </c>
      <c r="AN1036" s="392" t="s">
        <v>210</v>
      </c>
      <c r="AO1036" s="341" t="s">
        <v>210</v>
      </c>
      <c r="AP1036" s="418" t="s">
        <v>210</v>
      </c>
      <c r="AQ1036" s="433" t="s">
        <v>4547</v>
      </c>
      <c r="AR1036" s="452">
        <v>1798</v>
      </c>
      <c r="AS1036" s="324">
        <v>80</v>
      </c>
      <c r="AT1036" s="432">
        <v>1</v>
      </c>
      <c r="AU1036" s="432" t="s">
        <v>3380</v>
      </c>
      <c r="AV1036" s="432">
        <v>1.4</v>
      </c>
      <c r="AW1036" s="490" t="s">
        <v>3380</v>
      </c>
      <c r="AX1036" s="417" t="s">
        <v>210</v>
      </c>
      <c r="AY1036" s="455" t="s">
        <v>210</v>
      </c>
      <c r="AZ1036" s="405" t="s">
        <v>4083</v>
      </c>
      <c r="BA1036" s="324" t="s">
        <v>210</v>
      </c>
      <c r="BB1036" s="324" t="s">
        <v>210</v>
      </c>
      <c r="BC1036" s="324" t="s">
        <v>7182</v>
      </c>
      <c r="BD1036" s="324" t="s">
        <v>3380</v>
      </c>
      <c r="BE1036" s="324" t="s">
        <v>7183</v>
      </c>
      <c r="BF1036" s="324" t="s">
        <v>210</v>
      </c>
      <c r="BG1036" s="324" t="s">
        <v>7184</v>
      </c>
      <c r="BH1036" s="426" t="s">
        <v>3492</v>
      </c>
      <c r="BI1036" s="453">
        <v>2.8</v>
      </c>
      <c r="BJ1036" s="427" t="s">
        <v>210</v>
      </c>
      <c r="BK1036" s="412"/>
      <c r="BL1036" s="413"/>
      <c r="BM1036" s="414"/>
      <c r="BN1036" s="453" t="s">
        <v>622</v>
      </c>
      <c r="BO1036" s="502"/>
      <c r="BP1036" s="455" t="s">
        <v>210</v>
      </c>
      <c r="BQ1036" s="456" t="s">
        <v>247</v>
      </c>
      <c r="BR1036" s="342" t="s">
        <v>210</v>
      </c>
      <c r="BS1036" s="342" t="s">
        <v>622</v>
      </c>
      <c r="BT1036" s="342" t="s">
        <v>210</v>
      </c>
      <c r="BU1036" s="342" t="s">
        <v>210</v>
      </c>
      <c r="BV1036" s="342" t="s">
        <v>210</v>
      </c>
      <c r="BW1036" s="341" t="s">
        <v>210</v>
      </c>
      <c r="BX1036" s="342" t="s">
        <v>210</v>
      </c>
      <c r="BY1036" s="457" t="s">
        <v>7411</v>
      </c>
      <c r="BZ1036" s="363"/>
      <c r="CA1036" s="363"/>
      <c r="CB1036" s="363"/>
      <c r="CC1036" s="363"/>
    </row>
    <row r="1037" spans="2:81" ht="22.5" customHeight="1">
      <c r="B1037" s="442">
        <v>180122</v>
      </c>
      <c r="C1037" s="443" t="s">
        <v>7134</v>
      </c>
      <c r="D1037" s="439" t="s">
        <v>4849</v>
      </c>
      <c r="E1037" s="404" t="s">
        <v>6879</v>
      </c>
      <c r="F1037" s="405" t="s">
        <v>7135</v>
      </c>
      <c r="G1037" s="324" t="s">
        <v>7136</v>
      </c>
      <c r="H1037" s="324" t="s">
        <v>7137</v>
      </c>
      <c r="I1037" s="324" t="s">
        <v>7138</v>
      </c>
      <c r="J1037" s="326" t="s">
        <v>7139</v>
      </c>
      <c r="K1037" s="324" t="s">
        <v>7140</v>
      </c>
      <c r="L1037" s="392" t="s">
        <v>210</v>
      </c>
      <c r="M1037" s="324" t="s">
        <v>6518</v>
      </c>
      <c r="N1037" s="444" t="s">
        <v>468</v>
      </c>
      <c r="O1037" s="324" t="s">
        <v>210</v>
      </c>
      <c r="P1037" s="816">
        <f>Q1037*3</f>
        <v>1200</v>
      </c>
      <c r="Q1037" s="817">
        <v>400</v>
      </c>
      <c r="R1037" s="420" t="s">
        <v>7141</v>
      </c>
      <c r="S1037" s="394" t="s">
        <v>12109</v>
      </c>
      <c r="T1037" s="394" t="s">
        <v>12111</v>
      </c>
      <c r="U1037" s="394" t="s">
        <v>16219</v>
      </c>
      <c r="V1037" s="394" t="s">
        <v>12110</v>
      </c>
      <c r="W1037" s="460" t="s">
        <v>7142</v>
      </c>
      <c r="X1037" s="394" t="s">
        <v>12107</v>
      </c>
      <c r="Y1037" s="394" t="s">
        <v>12108</v>
      </c>
      <c r="Z1037" s="394" t="s">
        <v>16522</v>
      </c>
      <c r="AA1037" s="394" t="s">
        <v>12113</v>
      </c>
      <c r="AB1037" s="416"/>
      <c r="AC1037" s="416"/>
      <c r="AD1037" s="447" t="s">
        <v>944</v>
      </c>
      <c r="AE1037" s="335" t="s">
        <v>210</v>
      </c>
      <c r="AF1037" s="462">
        <v>43215</v>
      </c>
      <c r="AG1037" s="748">
        <v>43276</v>
      </c>
      <c r="AH1037" s="417" t="s">
        <v>210</v>
      </c>
      <c r="AI1037" s="392" t="s">
        <v>210</v>
      </c>
      <c r="AJ1037" s="392" t="s">
        <v>210</v>
      </c>
      <c r="AK1037" s="340" t="s">
        <v>210</v>
      </c>
      <c r="AL1037" s="417" t="s">
        <v>210</v>
      </c>
      <c r="AM1037" s="392" t="s">
        <v>210</v>
      </c>
      <c r="AN1037" s="392" t="s">
        <v>210</v>
      </c>
      <c r="AO1037" s="341" t="s">
        <v>210</v>
      </c>
      <c r="AP1037" s="418" t="s">
        <v>210</v>
      </c>
      <c r="AQ1037" s="433" t="s">
        <v>4548</v>
      </c>
      <c r="AR1037" s="452">
        <v>482</v>
      </c>
      <c r="AS1037" s="324">
        <v>100</v>
      </c>
      <c r="AT1037" s="432">
        <v>1</v>
      </c>
      <c r="AU1037" s="432" t="s">
        <v>3627</v>
      </c>
      <c r="AV1037" s="432">
        <v>1.5</v>
      </c>
      <c r="AW1037" s="490" t="s">
        <v>5730</v>
      </c>
      <c r="AX1037" s="417" t="s">
        <v>210</v>
      </c>
      <c r="AY1037" s="455" t="s">
        <v>210</v>
      </c>
      <c r="AZ1037" s="405" t="s">
        <v>622</v>
      </c>
      <c r="BA1037" s="324" t="s">
        <v>7210</v>
      </c>
      <c r="BB1037" s="324" t="s">
        <v>3627</v>
      </c>
      <c r="BC1037" s="324" t="s">
        <v>7211</v>
      </c>
      <c r="BD1037" s="324" t="s">
        <v>4813</v>
      </c>
      <c r="BE1037" s="324" t="s">
        <v>7212</v>
      </c>
      <c r="BF1037" s="324" t="s">
        <v>7213</v>
      </c>
      <c r="BG1037" s="324" t="s">
        <v>3475</v>
      </c>
      <c r="BH1037" s="426" t="s">
        <v>3382</v>
      </c>
      <c r="BI1037" s="453">
        <v>8</v>
      </c>
      <c r="BJ1037" s="427" t="s">
        <v>210</v>
      </c>
      <c r="BK1037" s="412"/>
      <c r="BL1037" s="413"/>
      <c r="BM1037" s="414"/>
      <c r="BN1037" s="453" t="s">
        <v>622</v>
      </c>
      <c r="BO1037" s="502"/>
      <c r="BP1037" s="455" t="s">
        <v>622</v>
      </c>
      <c r="BQ1037" s="456" t="s">
        <v>1059</v>
      </c>
      <c r="BR1037" s="342" t="s">
        <v>210</v>
      </c>
      <c r="BS1037" s="342" t="s">
        <v>622</v>
      </c>
      <c r="BT1037" s="342" t="s">
        <v>210</v>
      </c>
      <c r="BU1037" s="342" t="s">
        <v>210</v>
      </c>
      <c r="BV1037" s="342" t="s">
        <v>210</v>
      </c>
      <c r="BW1037" s="341" t="s">
        <v>210</v>
      </c>
      <c r="BX1037" s="342" t="s">
        <v>210</v>
      </c>
      <c r="BY1037" s="457"/>
      <c r="BZ1037" s="363"/>
      <c r="CA1037" s="363"/>
      <c r="CB1037" s="363"/>
      <c r="CC1037" s="363"/>
    </row>
    <row r="1038" spans="2:81" ht="22.5" customHeight="1">
      <c r="B1038" s="442">
        <v>180123</v>
      </c>
      <c r="C1038" s="443" t="s">
        <v>7148</v>
      </c>
      <c r="D1038" s="439" t="s">
        <v>4849</v>
      </c>
      <c r="E1038" s="404" t="s">
        <v>5362</v>
      </c>
      <c r="F1038" s="405" t="s">
        <v>7135</v>
      </c>
      <c r="G1038" s="324" t="s">
        <v>7149</v>
      </c>
      <c r="H1038" s="324" t="s">
        <v>8042</v>
      </c>
      <c r="I1038" s="326" t="s">
        <v>11</v>
      </c>
      <c r="J1038" s="326" t="s">
        <v>12</v>
      </c>
      <c r="K1038" s="324" t="s">
        <v>247</v>
      </c>
      <c r="L1038" s="392" t="s">
        <v>210</v>
      </c>
      <c r="M1038" s="324" t="s">
        <v>10767</v>
      </c>
      <c r="N1038" s="444" t="s">
        <v>438</v>
      </c>
      <c r="O1038" s="324">
        <v>30</v>
      </c>
      <c r="P1038" s="816">
        <f>41*18</f>
        <v>738</v>
      </c>
      <c r="Q1038" s="817">
        <f>P1038</f>
        <v>738</v>
      </c>
      <c r="R1038" s="329" t="s">
        <v>7205</v>
      </c>
      <c r="S1038" s="400"/>
      <c r="T1038" s="400"/>
      <c r="U1038" s="400"/>
      <c r="V1038" s="400"/>
      <c r="W1038" s="332" t="s">
        <v>644</v>
      </c>
      <c r="X1038" s="331" t="s">
        <v>12104</v>
      </c>
      <c r="Y1038" s="331" t="s">
        <v>12105</v>
      </c>
      <c r="Z1038" s="331" t="s">
        <v>12155</v>
      </c>
      <c r="AA1038" s="331" t="s">
        <v>12106</v>
      </c>
      <c r="AB1038" s="416"/>
      <c r="AC1038" s="416"/>
      <c r="AD1038" s="334" t="s">
        <v>7404</v>
      </c>
      <c r="AE1038" s="499" t="s">
        <v>7446</v>
      </c>
      <c r="AF1038" s="462">
        <v>43216</v>
      </c>
      <c r="AG1038" s="748">
        <v>43271</v>
      </c>
      <c r="AH1038" s="417" t="s">
        <v>210</v>
      </c>
      <c r="AI1038" s="392" t="s">
        <v>210</v>
      </c>
      <c r="AJ1038" s="392" t="s">
        <v>210</v>
      </c>
      <c r="AK1038" s="340" t="s">
        <v>210</v>
      </c>
      <c r="AL1038" s="417" t="s">
        <v>210</v>
      </c>
      <c r="AM1038" s="392" t="s">
        <v>210</v>
      </c>
      <c r="AN1038" s="392" t="s">
        <v>210</v>
      </c>
      <c r="AO1038" s="341" t="s">
        <v>210</v>
      </c>
      <c r="AP1038" s="342" t="s">
        <v>622</v>
      </c>
      <c r="AQ1038" s="433" t="s">
        <v>4547</v>
      </c>
      <c r="AR1038" s="452">
        <v>1072</v>
      </c>
      <c r="AS1038" s="324">
        <v>100</v>
      </c>
      <c r="AT1038" s="432">
        <v>0.8</v>
      </c>
      <c r="AU1038" s="432" t="s">
        <v>6579</v>
      </c>
      <c r="AV1038" s="432">
        <v>0.8</v>
      </c>
      <c r="AW1038" s="490" t="s">
        <v>6579</v>
      </c>
      <c r="AX1038" s="417" t="s">
        <v>210</v>
      </c>
      <c r="AY1038" s="455" t="s">
        <v>210</v>
      </c>
      <c r="AZ1038" s="405" t="s">
        <v>4083</v>
      </c>
      <c r="BA1038" s="324" t="s">
        <v>210</v>
      </c>
      <c r="BB1038" s="324" t="s">
        <v>210</v>
      </c>
      <c r="BC1038" s="324" t="s">
        <v>210</v>
      </c>
      <c r="BD1038" s="324" t="s">
        <v>210</v>
      </c>
      <c r="BE1038" s="324" t="s">
        <v>7203</v>
      </c>
      <c r="BF1038" s="324" t="s">
        <v>5058</v>
      </c>
      <c r="BG1038" s="324" t="s">
        <v>7204</v>
      </c>
      <c r="BH1038" s="324" t="s">
        <v>5058</v>
      </c>
      <c r="BI1038" s="453">
        <v>3</v>
      </c>
      <c r="BJ1038" s="427" t="s">
        <v>210</v>
      </c>
      <c r="BK1038" s="412"/>
      <c r="BL1038" s="413"/>
      <c r="BM1038" s="414"/>
      <c r="BN1038" s="453" t="s">
        <v>622</v>
      </c>
      <c r="BO1038" s="502"/>
      <c r="BP1038" s="455" t="s">
        <v>210</v>
      </c>
      <c r="BQ1038" s="456" t="s">
        <v>5235</v>
      </c>
      <c r="BR1038" s="342" t="s">
        <v>210</v>
      </c>
      <c r="BS1038" s="342" t="s">
        <v>210</v>
      </c>
      <c r="BT1038" s="342" t="s">
        <v>210</v>
      </c>
      <c r="BU1038" s="342" t="s">
        <v>210</v>
      </c>
      <c r="BV1038" s="342" t="s">
        <v>210</v>
      </c>
      <c r="BW1038" s="341" t="s">
        <v>210</v>
      </c>
      <c r="BX1038" s="342" t="s">
        <v>210</v>
      </c>
      <c r="BY1038" s="457"/>
      <c r="BZ1038" s="363"/>
      <c r="CA1038" s="363"/>
      <c r="CB1038" s="363"/>
      <c r="CC1038" s="363"/>
    </row>
    <row r="1039" spans="2:81" ht="22.5" customHeight="1">
      <c r="B1039" s="442">
        <v>180004</v>
      </c>
      <c r="C1039" s="443" t="s">
        <v>12098</v>
      </c>
      <c r="D1039" s="467" t="s">
        <v>7463</v>
      </c>
      <c r="E1039" s="404" t="s">
        <v>5362</v>
      </c>
      <c r="F1039" s="405" t="s">
        <v>6445</v>
      </c>
      <c r="G1039" s="324" t="s">
        <v>6446</v>
      </c>
      <c r="H1039" s="324" t="s">
        <v>6447</v>
      </c>
      <c r="I1039" s="326" t="s">
        <v>383</v>
      </c>
      <c r="J1039" s="326" t="s">
        <v>399</v>
      </c>
      <c r="K1039" s="324" t="s">
        <v>6448</v>
      </c>
      <c r="L1039" s="392" t="s">
        <v>210</v>
      </c>
      <c r="M1039" s="324" t="s">
        <v>10767</v>
      </c>
      <c r="N1039" s="444" t="s">
        <v>437</v>
      </c>
      <c r="O1039" s="324">
        <v>40</v>
      </c>
      <c r="P1039" s="458">
        <v>980</v>
      </c>
      <c r="Q1039" s="459">
        <v>980</v>
      </c>
      <c r="R1039" s="420" t="s">
        <v>6449</v>
      </c>
      <c r="S1039" s="394" t="s">
        <v>12099</v>
      </c>
      <c r="T1039" s="394" t="s">
        <v>12100</v>
      </c>
      <c r="U1039" s="394" t="s">
        <v>16458</v>
      </c>
      <c r="V1039" s="394" t="s">
        <v>12101</v>
      </c>
      <c r="W1039" s="460" t="s">
        <v>6452</v>
      </c>
      <c r="X1039" s="394" t="s">
        <v>12102</v>
      </c>
      <c r="Y1039" s="400"/>
      <c r="Z1039" s="400"/>
      <c r="AA1039" s="394" t="s">
        <v>12103</v>
      </c>
      <c r="AB1039" s="416"/>
      <c r="AC1039" s="416"/>
      <c r="AD1039" s="447" t="s">
        <v>3094</v>
      </c>
      <c r="AE1039" s="335" t="s">
        <v>210</v>
      </c>
      <c r="AF1039" s="462">
        <v>43094</v>
      </c>
      <c r="AG1039" s="748">
        <v>43337</v>
      </c>
      <c r="AH1039" s="417" t="s">
        <v>210</v>
      </c>
      <c r="AI1039" s="392" t="s">
        <v>210</v>
      </c>
      <c r="AJ1039" s="392" t="s">
        <v>210</v>
      </c>
      <c r="AK1039" s="340" t="s">
        <v>210</v>
      </c>
      <c r="AL1039" s="417" t="s">
        <v>210</v>
      </c>
      <c r="AM1039" s="392" t="s">
        <v>210</v>
      </c>
      <c r="AN1039" s="392" t="s">
        <v>210</v>
      </c>
      <c r="AO1039" s="341" t="s">
        <v>210</v>
      </c>
      <c r="AP1039" s="342" t="s">
        <v>210</v>
      </c>
      <c r="AQ1039" s="433" t="s">
        <v>4547</v>
      </c>
      <c r="AR1039" s="452">
        <v>1363</v>
      </c>
      <c r="AS1039" s="324">
        <v>100</v>
      </c>
      <c r="AT1039" s="432">
        <v>1</v>
      </c>
      <c r="AU1039" s="432" t="s">
        <v>5246</v>
      </c>
      <c r="AV1039" s="432">
        <v>1.5</v>
      </c>
      <c r="AW1039" s="490" t="s">
        <v>3574</v>
      </c>
      <c r="AX1039" s="417" t="s">
        <v>210</v>
      </c>
      <c r="AY1039" s="455" t="s">
        <v>210</v>
      </c>
      <c r="AZ1039" s="405" t="s">
        <v>622</v>
      </c>
      <c r="BA1039" s="324" t="s">
        <v>3459</v>
      </c>
      <c r="BB1039" s="324" t="s">
        <v>5058</v>
      </c>
      <c r="BC1039" s="324" t="s">
        <v>3995</v>
      </c>
      <c r="BD1039" s="324" t="s">
        <v>5058</v>
      </c>
      <c r="BE1039" s="324" t="s">
        <v>6455</v>
      </c>
      <c r="BF1039" s="324" t="s">
        <v>5058</v>
      </c>
      <c r="BG1039" s="324" t="s">
        <v>6456</v>
      </c>
      <c r="BH1039" s="324" t="s">
        <v>5528</v>
      </c>
      <c r="BI1039" s="453">
        <v>2.2999999999999998</v>
      </c>
      <c r="BJ1039" s="427" t="s">
        <v>210</v>
      </c>
      <c r="BK1039" s="412"/>
      <c r="BL1039" s="413"/>
      <c r="BM1039" s="414"/>
      <c r="BN1039" s="453" t="s">
        <v>210</v>
      </c>
      <c r="BO1039" s="502"/>
      <c r="BP1039" s="455" t="s">
        <v>210</v>
      </c>
      <c r="BQ1039" s="456" t="s">
        <v>6623</v>
      </c>
      <c r="BR1039" s="342" t="s">
        <v>210</v>
      </c>
      <c r="BS1039" s="342" t="s">
        <v>622</v>
      </c>
      <c r="BT1039" s="342" t="s">
        <v>210</v>
      </c>
      <c r="BU1039" s="342" t="s">
        <v>210</v>
      </c>
      <c r="BV1039" s="342" t="s">
        <v>210</v>
      </c>
      <c r="BW1039" s="341" t="s">
        <v>210</v>
      </c>
      <c r="BX1039" s="342" t="s">
        <v>210</v>
      </c>
      <c r="BY1039" s="457" t="s">
        <v>6549</v>
      </c>
      <c r="BZ1039" s="363"/>
      <c r="CA1039" s="363"/>
      <c r="CB1039" s="363"/>
      <c r="CC1039" s="363"/>
    </row>
    <row r="1040" spans="2:81" ht="22.5" customHeight="1">
      <c r="B1040" s="442">
        <v>180125</v>
      </c>
      <c r="C1040" s="443" t="s">
        <v>7488</v>
      </c>
      <c r="D1040" s="467" t="s">
        <v>7070</v>
      </c>
      <c r="E1040" s="404" t="s">
        <v>5362</v>
      </c>
      <c r="F1040" s="405" t="s">
        <v>240</v>
      </c>
      <c r="G1040" s="324" t="s">
        <v>2271</v>
      </c>
      <c r="H1040" s="324" t="s">
        <v>7164</v>
      </c>
      <c r="I1040" s="326" t="s">
        <v>11</v>
      </c>
      <c r="J1040" s="324" t="s">
        <v>216</v>
      </c>
      <c r="K1040" s="324" t="s">
        <v>363</v>
      </c>
      <c r="L1040" s="342">
        <v>13.5</v>
      </c>
      <c r="M1040" s="324" t="s">
        <v>10767</v>
      </c>
      <c r="N1040" s="444" t="s">
        <v>438</v>
      </c>
      <c r="O1040" s="324">
        <v>30</v>
      </c>
      <c r="P1040" s="816">
        <v>7400</v>
      </c>
      <c r="Q1040" s="817">
        <f>P1040</f>
        <v>7400</v>
      </c>
      <c r="R1040" s="420" t="s">
        <v>4804</v>
      </c>
      <c r="S1040" s="394" t="s">
        <v>12096</v>
      </c>
      <c r="T1040" s="400"/>
      <c r="U1040" s="400"/>
      <c r="V1040" s="394" t="s">
        <v>12097</v>
      </c>
      <c r="W1040" s="332" t="s">
        <v>592</v>
      </c>
      <c r="X1040" s="400"/>
      <c r="Y1040" s="400"/>
      <c r="Z1040" s="400"/>
      <c r="AA1040" s="394" t="s">
        <v>12097</v>
      </c>
      <c r="AB1040" s="416"/>
      <c r="AC1040" s="416"/>
      <c r="AD1040" s="447" t="s">
        <v>730</v>
      </c>
      <c r="AE1040" s="499" t="s">
        <v>2032</v>
      </c>
      <c r="AF1040" s="462">
        <v>43230</v>
      </c>
      <c r="AG1040" s="748">
        <v>43284</v>
      </c>
      <c r="AH1040" s="417" t="s">
        <v>210</v>
      </c>
      <c r="AI1040" s="392" t="s">
        <v>210</v>
      </c>
      <c r="AJ1040" s="392" t="s">
        <v>210</v>
      </c>
      <c r="AK1040" s="340" t="s">
        <v>210</v>
      </c>
      <c r="AL1040" s="417" t="s">
        <v>210</v>
      </c>
      <c r="AM1040" s="392" t="s">
        <v>210</v>
      </c>
      <c r="AN1040" s="392" t="s">
        <v>210</v>
      </c>
      <c r="AO1040" s="341" t="s">
        <v>210</v>
      </c>
      <c r="AP1040" s="342" t="s">
        <v>622</v>
      </c>
      <c r="AQ1040" s="433" t="s">
        <v>4547</v>
      </c>
      <c r="AR1040" s="452">
        <v>8598</v>
      </c>
      <c r="AS1040" s="324">
        <v>100</v>
      </c>
      <c r="AT1040" s="432">
        <v>1</v>
      </c>
      <c r="AU1040" s="432" t="s">
        <v>6579</v>
      </c>
      <c r="AV1040" s="432">
        <v>1.5</v>
      </c>
      <c r="AW1040" s="490" t="s">
        <v>6579</v>
      </c>
      <c r="AX1040" s="417" t="s">
        <v>210</v>
      </c>
      <c r="AY1040" s="455" t="s">
        <v>210</v>
      </c>
      <c r="AZ1040" s="405" t="s">
        <v>622</v>
      </c>
      <c r="BA1040" s="324" t="s">
        <v>3475</v>
      </c>
      <c r="BB1040" s="324" t="s">
        <v>7459</v>
      </c>
      <c r="BC1040" s="324" t="s">
        <v>7460</v>
      </c>
      <c r="BD1040" s="324" t="s">
        <v>3434</v>
      </c>
      <c r="BE1040" s="324" t="s">
        <v>3459</v>
      </c>
      <c r="BF1040" s="324" t="s">
        <v>3494</v>
      </c>
      <c r="BG1040" s="324" t="s">
        <v>3558</v>
      </c>
      <c r="BH1040" s="324" t="s">
        <v>3494</v>
      </c>
      <c r="BI1040" s="453">
        <v>1.7</v>
      </c>
      <c r="BJ1040" s="427" t="s">
        <v>210</v>
      </c>
      <c r="BK1040" s="412"/>
      <c r="BL1040" s="413"/>
      <c r="BM1040" s="414"/>
      <c r="BN1040" s="453" t="s">
        <v>622</v>
      </c>
      <c r="BO1040" s="464">
        <v>0.78</v>
      </c>
      <c r="BP1040" s="455" t="s">
        <v>622</v>
      </c>
      <c r="BQ1040" s="456" t="s">
        <v>7462</v>
      </c>
      <c r="BR1040" s="342" t="s">
        <v>210</v>
      </c>
      <c r="BS1040" s="342" t="s">
        <v>622</v>
      </c>
      <c r="BT1040" s="342" t="s">
        <v>210</v>
      </c>
      <c r="BU1040" s="342" t="s">
        <v>210</v>
      </c>
      <c r="BV1040" s="342" t="s">
        <v>210</v>
      </c>
      <c r="BW1040" s="341" t="s">
        <v>210</v>
      </c>
      <c r="BX1040" s="342" t="s">
        <v>210</v>
      </c>
      <c r="BY1040" s="888" t="s">
        <v>7521</v>
      </c>
      <c r="BZ1040" s="889"/>
      <c r="CA1040" s="889"/>
      <c r="CB1040" s="889"/>
      <c r="CC1040" s="889"/>
    </row>
    <row r="1041" spans="1:82" ht="22.5" customHeight="1">
      <c r="B1041" s="442" t="s">
        <v>7316</v>
      </c>
      <c r="C1041" s="443" t="s">
        <v>7487</v>
      </c>
      <c r="D1041" s="467" t="s">
        <v>7070</v>
      </c>
      <c r="E1041" s="404" t="s">
        <v>5362</v>
      </c>
      <c r="F1041" s="405" t="s">
        <v>240</v>
      </c>
      <c r="G1041" s="324" t="s">
        <v>2271</v>
      </c>
      <c r="H1041" s="324" t="s">
        <v>7164</v>
      </c>
      <c r="I1041" s="326" t="s">
        <v>11</v>
      </c>
      <c r="J1041" s="326" t="s">
        <v>12</v>
      </c>
      <c r="K1041" s="324" t="s">
        <v>3352</v>
      </c>
      <c r="L1041" s="342" t="s">
        <v>210</v>
      </c>
      <c r="M1041" s="324" t="s">
        <v>10767</v>
      </c>
      <c r="N1041" s="444" t="s">
        <v>438</v>
      </c>
      <c r="O1041" s="324">
        <v>30</v>
      </c>
      <c r="P1041" s="816">
        <f>Q1041*2</f>
        <v>460</v>
      </c>
      <c r="Q1041" s="817">
        <f>20*11.5</f>
        <v>230</v>
      </c>
      <c r="R1041" s="420" t="s">
        <v>4804</v>
      </c>
      <c r="S1041" s="394" t="s">
        <v>12096</v>
      </c>
      <c r="T1041" s="400"/>
      <c r="U1041" s="400"/>
      <c r="V1041" s="394" t="s">
        <v>12097</v>
      </c>
      <c r="W1041" s="332" t="s">
        <v>592</v>
      </c>
      <c r="X1041" s="400"/>
      <c r="Y1041" s="400"/>
      <c r="Z1041" s="400"/>
      <c r="AA1041" s="394" t="s">
        <v>12097</v>
      </c>
      <c r="AB1041" s="416"/>
      <c r="AC1041" s="416"/>
      <c r="AD1041" s="447" t="s">
        <v>730</v>
      </c>
      <c r="AE1041" s="499" t="s">
        <v>2032</v>
      </c>
      <c r="AF1041" s="462">
        <v>43243</v>
      </c>
      <c r="AG1041" s="748">
        <v>43284</v>
      </c>
      <c r="AH1041" s="417" t="s">
        <v>210</v>
      </c>
      <c r="AI1041" s="392" t="s">
        <v>210</v>
      </c>
      <c r="AJ1041" s="392" t="s">
        <v>210</v>
      </c>
      <c r="AK1041" s="340" t="s">
        <v>210</v>
      </c>
      <c r="AL1041" s="417" t="s">
        <v>210</v>
      </c>
      <c r="AM1041" s="392" t="s">
        <v>210</v>
      </c>
      <c r="AN1041" s="392" t="s">
        <v>210</v>
      </c>
      <c r="AO1041" s="341" t="s">
        <v>210</v>
      </c>
      <c r="AP1041" s="342" t="s">
        <v>622</v>
      </c>
      <c r="AQ1041" s="433" t="s">
        <v>4547</v>
      </c>
      <c r="AR1041" s="452">
        <v>371</v>
      </c>
      <c r="AS1041" s="324">
        <v>150</v>
      </c>
      <c r="AT1041" s="432">
        <v>1</v>
      </c>
      <c r="AU1041" s="432" t="s">
        <v>6579</v>
      </c>
      <c r="AV1041" s="432">
        <v>1.5</v>
      </c>
      <c r="AW1041" s="490" t="s">
        <v>6579</v>
      </c>
      <c r="AX1041" s="417" t="s">
        <v>210</v>
      </c>
      <c r="AY1041" s="455" t="s">
        <v>210</v>
      </c>
      <c r="AZ1041" s="405" t="s">
        <v>7461</v>
      </c>
      <c r="BA1041" s="324" t="s">
        <v>3475</v>
      </c>
      <c r="BB1041" s="324" t="s">
        <v>7459</v>
      </c>
      <c r="BC1041" s="324" t="s">
        <v>7460</v>
      </c>
      <c r="BD1041" s="324" t="s">
        <v>3434</v>
      </c>
      <c r="BE1041" s="324" t="s">
        <v>3459</v>
      </c>
      <c r="BF1041" s="324" t="s">
        <v>3494</v>
      </c>
      <c r="BG1041" s="324" t="s">
        <v>3558</v>
      </c>
      <c r="BH1041" s="324" t="s">
        <v>3494</v>
      </c>
      <c r="BI1041" s="453">
        <v>1.7</v>
      </c>
      <c r="BJ1041" s="427" t="s">
        <v>210</v>
      </c>
      <c r="BK1041" s="412"/>
      <c r="BL1041" s="413"/>
      <c r="BM1041" s="414"/>
      <c r="BN1041" s="453" t="s">
        <v>622</v>
      </c>
      <c r="BO1041" s="464">
        <v>0.78</v>
      </c>
      <c r="BP1041" s="455" t="s">
        <v>622</v>
      </c>
      <c r="BQ1041" s="456" t="s">
        <v>7462</v>
      </c>
      <c r="BR1041" s="342" t="s">
        <v>210</v>
      </c>
      <c r="BS1041" s="342" t="s">
        <v>622</v>
      </c>
      <c r="BT1041" s="342" t="s">
        <v>210</v>
      </c>
      <c r="BU1041" s="342" t="s">
        <v>210</v>
      </c>
      <c r="BV1041" s="342" t="s">
        <v>210</v>
      </c>
      <c r="BW1041" s="341" t="s">
        <v>210</v>
      </c>
      <c r="BX1041" s="342" t="s">
        <v>210</v>
      </c>
      <c r="BY1041" s="457"/>
      <c r="BZ1041" s="363"/>
      <c r="CA1041" s="363"/>
      <c r="CB1041" s="363"/>
      <c r="CC1041" s="363"/>
    </row>
    <row r="1042" spans="1:82" s="465" customFormat="1" ht="22.5" customHeight="1">
      <c r="A1042" s="287"/>
      <c r="B1042" s="749">
        <v>180126</v>
      </c>
      <c r="C1042" s="781" t="s">
        <v>7168</v>
      </c>
      <c r="D1042" s="751"/>
      <c r="E1042" s="752" t="s">
        <v>5362</v>
      </c>
      <c r="F1042" s="753" t="s">
        <v>2300</v>
      </c>
      <c r="G1042" s="754" t="s">
        <v>7169</v>
      </c>
      <c r="H1042" s="754" t="s">
        <v>7170</v>
      </c>
      <c r="I1042" s="754" t="s">
        <v>1066</v>
      </c>
      <c r="J1042" s="754" t="s">
        <v>7171</v>
      </c>
      <c r="K1042" s="754" t="s">
        <v>7172</v>
      </c>
      <c r="L1042" s="676" t="s">
        <v>210</v>
      </c>
      <c r="M1042" s="754" t="s">
        <v>6518</v>
      </c>
      <c r="N1042" s="755" t="s">
        <v>7173</v>
      </c>
      <c r="O1042" s="754"/>
      <c r="P1042" s="782"/>
      <c r="Q1042" s="783"/>
      <c r="R1042" s="756" t="s">
        <v>7174</v>
      </c>
      <c r="S1042" s="708"/>
      <c r="T1042" s="708"/>
      <c r="U1042" s="708"/>
      <c r="V1042" s="708"/>
      <c r="W1042" s="757" t="s">
        <v>7177</v>
      </c>
      <c r="X1042" s="708"/>
      <c r="Y1042" s="708"/>
      <c r="Z1042" s="708"/>
      <c r="AA1042" s="708"/>
      <c r="AB1042" s="758"/>
      <c r="AC1042" s="758"/>
      <c r="AD1042" s="759"/>
      <c r="AE1042" s="760"/>
      <c r="AF1042" s="846">
        <v>43230</v>
      </c>
      <c r="AG1042" s="674" t="s">
        <v>10514</v>
      </c>
      <c r="AH1042" s="675" t="s">
        <v>210</v>
      </c>
      <c r="AI1042" s="676" t="s">
        <v>210</v>
      </c>
      <c r="AJ1042" s="676" t="s">
        <v>210</v>
      </c>
      <c r="AK1042" s="677" t="s">
        <v>210</v>
      </c>
      <c r="AL1042" s="675" t="s">
        <v>210</v>
      </c>
      <c r="AM1042" s="676" t="s">
        <v>210</v>
      </c>
      <c r="AN1042" s="676" t="s">
        <v>210</v>
      </c>
      <c r="AO1042" s="678" t="s">
        <v>210</v>
      </c>
      <c r="AP1042" s="784" t="s">
        <v>210</v>
      </c>
      <c r="AQ1042" s="762" t="s">
        <v>4548</v>
      </c>
      <c r="AR1042" s="763"/>
      <c r="AS1042" s="754"/>
      <c r="AT1042" s="785"/>
      <c r="AU1042" s="785"/>
      <c r="AV1042" s="785"/>
      <c r="AW1042" s="764"/>
      <c r="AX1042" s="765"/>
      <c r="AY1042" s="766"/>
      <c r="AZ1042" s="753" t="s">
        <v>4083</v>
      </c>
      <c r="BA1042" s="754" t="s">
        <v>210</v>
      </c>
      <c r="BB1042" s="754" t="s">
        <v>210</v>
      </c>
      <c r="BC1042" s="754" t="s">
        <v>210</v>
      </c>
      <c r="BD1042" s="754" t="s">
        <v>210</v>
      </c>
      <c r="BE1042" s="754" t="s">
        <v>7180</v>
      </c>
      <c r="BF1042" s="754" t="s">
        <v>7181</v>
      </c>
      <c r="BG1042" s="754" t="s">
        <v>3475</v>
      </c>
      <c r="BH1042" s="754" t="s">
        <v>7181</v>
      </c>
      <c r="BI1042" s="765"/>
      <c r="BJ1042" s="768"/>
      <c r="BK1042" s="769"/>
      <c r="BL1042" s="766"/>
      <c r="BM1042" s="770"/>
      <c r="BN1042" s="765"/>
      <c r="BO1042" s="771"/>
      <c r="BP1042" s="772"/>
      <c r="BQ1042" s="773"/>
      <c r="BR1042" s="688"/>
      <c r="BS1042" s="688"/>
      <c r="BT1042" s="688" t="s">
        <v>210</v>
      </c>
      <c r="BU1042" s="688" t="s">
        <v>210</v>
      </c>
      <c r="BV1042" s="688" t="s">
        <v>210</v>
      </c>
      <c r="BW1042" s="678" t="s">
        <v>210</v>
      </c>
      <c r="BX1042" s="688"/>
      <c r="BY1042" s="774"/>
      <c r="BZ1042" s="483"/>
      <c r="CA1042" s="483"/>
      <c r="CB1042" s="483"/>
      <c r="CC1042" s="483"/>
      <c r="CD1042" s="484"/>
    </row>
    <row r="1043" spans="1:82" ht="22.5" customHeight="1">
      <c r="B1043" s="442">
        <v>180127</v>
      </c>
      <c r="C1043" s="443" t="s">
        <v>7194</v>
      </c>
      <c r="D1043" s="467" t="s">
        <v>7070</v>
      </c>
      <c r="E1043" s="404" t="s">
        <v>6974</v>
      </c>
      <c r="F1043" s="405" t="s">
        <v>3715</v>
      </c>
      <c r="G1043" s="324" t="s">
        <v>7195</v>
      </c>
      <c r="H1043" s="324" t="s">
        <v>7196</v>
      </c>
      <c r="I1043" s="326" t="s">
        <v>10779</v>
      </c>
      <c r="J1043" s="326" t="s">
        <v>12</v>
      </c>
      <c r="K1043" s="324" t="s">
        <v>247</v>
      </c>
      <c r="L1043" s="361"/>
      <c r="M1043" s="324" t="s">
        <v>10767</v>
      </c>
      <c r="N1043" s="444" t="s">
        <v>437</v>
      </c>
      <c r="O1043" s="324">
        <v>62</v>
      </c>
      <c r="P1043" s="458">
        <v>321</v>
      </c>
      <c r="Q1043" s="459">
        <v>321</v>
      </c>
      <c r="R1043" s="420" t="s">
        <v>7197</v>
      </c>
      <c r="S1043" s="394" t="s">
        <v>11902</v>
      </c>
      <c r="T1043" s="394" t="s">
        <v>11457</v>
      </c>
      <c r="U1043" s="394" t="s">
        <v>12067</v>
      </c>
      <c r="V1043" s="394" t="s">
        <v>11904</v>
      </c>
      <c r="W1043" s="460" t="s">
        <v>7197</v>
      </c>
      <c r="X1043" s="394" t="s">
        <v>11902</v>
      </c>
      <c r="Y1043" s="394" t="s">
        <v>11457</v>
      </c>
      <c r="Z1043" s="394" t="s">
        <v>12067</v>
      </c>
      <c r="AA1043" s="394" t="s">
        <v>11904</v>
      </c>
      <c r="AB1043" s="416"/>
      <c r="AC1043" s="416"/>
      <c r="AD1043" s="897"/>
      <c r="AE1043" s="335" t="s">
        <v>210</v>
      </c>
      <c r="AF1043" s="462">
        <v>43232</v>
      </c>
      <c r="AG1043" s="748">
        <v>43276</v>
      </c>
      <c r="AH1043" s="417" t="s">
        <v>210</v>
      </c>
      <c r="AI1043" s="392" t="s">
        <v>210</v>
      </c>
      <c r="AJ1043" s="392" t="s">
        <v>210</v>
      </c>
      <c r="AK1043" s="340" t="s">
        <v>210</v>
      </c>
      <c r="AL1043" s="417" t="s">
        <v>210</v>
      </c>
      <c r="AM1043" s="392" t="s">
        <v>210</v>
      </c>
      <c r="AN1043" s="392" t="s">
        <v>210</v>
      </c>
      <c r="AO1043" s="341" t="s">
        <v>210</v>
      </c>
      <c r="AP1043" s="418" t="s">
        <v>210</v>
      </c>
      <c r="AQ1043" s="433" t="s">
        <v>7198</v>
      </c>
      <c r="AR1043" s="452">
        <v>450</v>
      </c>
      <c r="AS1043" s="324">
        <v>50</v>
      </c>
      <c r="AT1043" s="432">
        <v>1</v>
      </c>
      <c r="AU1043" s="432" t="s">
        <v>7242</v>
      </c>
      <c r="AV1043" s="432">
        <v>1.2</v>
      </c>
      <c r="AW1043" s="490" t="s">
        <v>3424</v>
      </c>
      <c r="AX1043" s="417" t="s">
        <v>210</v>
      </c>
      <c r="AY1043" s="455" t="s">
        <v>210</v>
      </c>
      <c r="AZ1043" s="405" t="s">
        <v>4083</v>
      </c>
      <c r="BA1043" s="324" t="s">
        <v>210</v>
      </c>
      <c r="BB1043" s="324" t="s">
        <v>210</v>
      </c>
      <c r="BC1043" s="324" t="s">
        <v>7199</v>
      </c>
      <c r="BD1043" s="324" t="s">
        <v>7200</v>
      </c>
      <c r="BE1043" s="324" t="s">
        <v>7201</v>
      </c>
      <c r="BF1043" s="324" t="s">
        <v>5058</v>
      </c>
      <c r="BG1043" s="324" t="s">
        <v>210</v>
      </c>
      <c r="BH1043" s="426" t="s">
        <v>210</v>
      </c>
      <c r="BI1043" s="453">
        <v>2</v>
      </c>
      <c r="BJ1043" s="427" t="s">
        <v>210</v>
      </c>
      <c r="BK1043" s="412"/>
      <c r="BL1043" s="413"/>
      <c r="BM1043" s="414"/>
      <c r="BN1043" s="453" t="s">
        <v>622</v>
      </c>
      <c r="BO1043" s="502"/>
      <c r="BP1043" s="455" t="s">
        <v>622</v>
      </c>
      <c r="BQ1043" s="456" t="s">
        <v>7241</v>
      </c>
      <c r="BR1043" s="342" t="s">
        <v>210</v>
      </c>
      <c r="BS1043" s="342" t="s">
        <v>210</v>
      </c>
      <c r="BT1043" s="342" t="s">
        <v>210</v>
      </c>
      <c r="BU1043" s="342" t="s">
        <v>210</v>
      </c>
      <c r="BV1043" s="342" t="s">
        <v>210</v>
      </c>
      <c r="BW1043" s="341" t="s">
        <v>210</v>
      </c>
      <c r="BX1043" s="342" t="s">
        <v>210</v>
      </c>
      <c r="BY1043" s="457"/>
      <c r="BZ1043" s="363"/>
      <c r="CA1043" s="363"/>
      <c r="CB1043" s="363"/>
      <c r="CC1043" s="363"/>
    </row>
    <row r="1044" spans="1:82" ht="22.5" customHeight="1">
      <c r="B1044" s="442">
        <v>180128</v>
      </c>
      <c r="C1044" s="443" t="s">
        <v>12065</v>
      </c>
      <c r="D1044" s="467" t="s">
        <v>4854</v>
      </c>
      <c r="E1044" s="404" t="s">
        <v>6974</v>
      </c>
      <c r="F1044" s="405" t="s">
        <v>1048</v>
      </c>
      <c r="G1044" s="324" t="s">
        <v>2651</v>
      </c>
      <c r="H1044" s="324" t="s">
        <v>7477</v>
      </c>
      <c r="I1044" s="326" t="s">
        <v>11</v>
      </c>
      <c r="J1044" s="324" t="s">
        <v>216</v>
      </c>
      <c r="K1044" s="326" t="s">
        <v>993</v>
      </c>
      <c r="L1044" s="392" t="s">
        <v>210</v>
      </c>
      <c r="M1044" s="324" t="s">
        <v>7476</v>
      </c>
      <c r="N1044" s="444" t="s">
        <v>438</v>
      </c>
      <c r="O1044" s="324">
        <v>60</v>
      </c>
      <c r="P1044" s="816">
        <f>Q1044*3</f>
        <v>606</v>
      </c>
      <c r="Q1044" s="817">
        <v>202</v>
      </c>
      <c r="R1044" s="329" t="s">
        <v>458</v>
      </c>
      <c r="S1044" s="394" t="s">
        <v>12066</v>
      </c>
      <c r="T1044" s="331" t="s">
        <v>11187</v>
      </c>
      <c r="U1044" s="331" t="s">
        <v>11186</v>
      </c>
      <c r="V1044" s="331" t="s">
        <v>11184</v>
      </c>
      <c r="W1044" s="332" t="s">
        <v>432</v>
      </c>
      <c r="X1044" s="331" t="s">
        <v>11079</v>
      </c>
      <c r="Y1044" s="331" t="s">
        <v>11080</v>
      </c>
      <c r="Z1044" s="331" t="s">
        <v>11080</v>
      </c>
      <c r="AA1044" s="331" t="s">
        <v>6574</v>
      </c>
      <c r="AB1044" s="416"/>
      <c r="AC1044" s="416"/>
      <c r="AD1044" s="447" t="s">
        <v>2922</v>
      </c>
      <c r="AE1044" s="499" t="s">
        <v>966</v>
      </c>
      <c r="AF1044" s="462">
        <v>43235</v>
      </c>
      <c r="AG1044" s="748">
        <v>43385</v>
      </c>
      <c r="AH1044" s="450" t="s">
        <v>15258</v>
      </c>
      <c r="AI1044" s="425" t="s">
        <v>15259</v>
      </c>
      <c r="AJ1044" s="425" t="s">
        <v>15260</v>
      </c>
      <c r="AK1044" s="451" t="s">
        <v>15261</v>
      </c>
      <c r="AL1044" s="417" t="s">
        <v>210</v>
      </c>
      <c r="AM1044" s="392" t="s">
        <v>210</v>
      </c>
      <c r="AN1044" s="392" t="s">
        <v>210</v>
      </c>
      <c r="AO1044" s="341" t="s">
        <v>210</v>
      </c>
      <c r="AP1044" s="418" t="s">
        <v>210</v>
      </c>
      <c r="AQ1044" s="433" t="s">
        <v>4547</v>
      </c>
      <c r="AR1044" s="452">
        <v>270</v>
      </c>
      <c r="AS1044" s="324">
        <v>100</v>
      </c>
      <c r="AT1044" s="432">
        <v>1</v>
      </c>
      <c r="AU1044" s="432" t="s">
        <v>4065</v>
      </c>
      <c r="AV1044" s="432">
        <v>2</v>
      </c>
      <c r="AW1044" s="490" t="s">
        <v>7727</v>
      </c>
      <c r="AX1044" s="417" t="s">
        <v>210</v>
      </c>
      <c r="AY1044" s="429" t="s">
        <v>622</v>
      </c>
      <c r="AZ1044" s="405" t="s">
        <v>4083</v>
      </c>
      <c r="BA1044" s="324" t="s">
        <v>210</v>
      </c>
      <c r="BB1044" s="324" t="s">
        <v>210</v>
      </c>
      <c r="BC1044" s="324" t="s">
        <v>3555</v>
      </c>
      <c r="BD1044" s="324" t="s">
        <v>5280</v>
      </c>
      <c r="BE1044" s="324" t="s">
        <v>210</v>
      </c>
      <c r="BF1044" s="324" t="s">
        <v>210</v>
      </c>
      <c r="BG1044" s="324" t="s">
        <v>7728</v>
      </c>
      <c r="BH1044" s="324" t="s">
        <v>5833</v>
      </c>
      <c r="BI1044" s="453">
        <v>1.3</v>
      </c>
      <c r="BJ1044" s="427" t="s">
        <v>210</v>
      </c>
      <c r="BK1044" s="412"/>
      <c r="BL1044" s="413"/>
      <c r="BM1044" s="414"/>
      <c r="BN1044" s="453" t="s">
        <v>210</v>
      </c>
      <c r="BO1044" s="502"/>
      <c r="BP1044" s="455" t="s">
        <v>210</v>
      </c>
      <c r="BQ1044" s="456" t="s">
        <v>1059</v>
      </c>
      <c r="BR1044" s="342" t="s">
        <v>210</v>
      </c>
      <c r="BS1044" s="342" t="s">
        <v>622</v>
      </c>
      <c r="BT1044" s="342" t="s">
        <v>210</v>
      </c>
      <c r="BU1044" s="342" t="s">
        <v>210</v>
      </c>
      <c r="BV1044" s="342" t="s">
        <v>210</v>
      </c>
      <c r="BW1044" s="341" t="s">
        <v>210</v>
      </c>
      <c r="BX1044" s="342" t="s">
        <v>210</v>
      </c>
      <c r="BY1044" s="457"/>
      <c r="BZ1044" s="363"/>
      <c r="CA1044" s="363"/>
      <c r="CB1044" s="363"/>
      <c r="CC1044" s="363"/>
    </row>
    <row r="1045" spans="1:82" ht="22.5" customHeight="1">
      <c r="B1045" s="442">
        <v>180129</v>
      </c>
      <c r="C1045" s="443" t="s">
        <v>7244</v>
      </c>
      <c r="D1045" s="467" t="s">
        <v>7070</v>
      </c>
      <c r="E1045" s="404" t="s">
        <v>5362</v>
      </c>
      <c r="F1045" s="405" t="s">
        <v>222</v>
      </c>
      <c r="G1045" s="324" t="s">
        <v>7245</v>
      </c>
      <c r="H1045" s="324" t="s">
        <v>7246</v>
      </c>
      <c r="I1045" s="326" t="s">
        <v>11</v>
      </c>
      <c r="J1045" s="324" t="s">
        <v>7171</v>
      </c>
      <c r="K1045" s="324" t="s">
        <v>307</v>
      </c>
      <c r="L1045" s="392" t="s">
        <v>210</v>
      </c>
      <c r="M1045" s="324" t="s">
        <v>10767</v>
      </c>
      <c r="N1045" s="444" t="s">
        <v>438</v>
      </c>
      <c r="O1045" s="324">
        <v>160</v>
      </c>
      <c r="P1045" s="816">
        <f>Q1045*2</f>
        <v>840</v>
      </c>
      <c r="Q1045" s="817">
        <v>420</v>
      </c>
      <c r="R1045" s="420" t="s">
        <v>2852</v>
      </c>
      <c r="S1045" s="400"/>
      <c r="T1045" s="400"/>
      <c r="U1045" s="400"/>
      <c r="V1045" s="400"/>
      <c r="W1045" s="460" t="s">
        <v>4402</v>
      </c>
      <c r="X1045" s="394" t="s">
        <v>12062</v>
      </c>
      <c r="Y1045" s="394" t="s">
        <v>12063</v>
      </c>
      <c r="Z1045" s="394" t="s">
        <v>16488</v>
      </c>
      <c r="AA1045" s="394" t="s">
        <v>12064</v>
      </c>
      <c r="AB1045" s="416"/>
      <c r="AC1045" s="416"/>
      <c r="AD1045" s="447" t="s">
        <v>7694</v>
      </c>
      <c r="AE1045" s="499" t="s">
        <v>7696</v>
      </c>
      <c r="AF1045" s="462">
        <v>43241</v>
      </c>
      <c r="AG1045" s="748">
        <v>43298</v>
      </c>
      <c r="AH1045" s="417" t="s">
        <v>210</v>
      </c>
      <c r="AI1045" s="392" t="s">
        <v>210</v>
      </c>
      <c r="AJ1045" s="392" t="s">
        <v>210</v>
      </c>
      <c r="AK1045" s="340" t="s">
        <v>210</v>
      </c>
      <c r="AL1045" s="417" t="s">
        <v>210</v>
      </c>
      <c r="AM1045" s="392" t="s">
        <v>210</v>
      </c>
      <c r="AN1045" s="392" t="s">
        <v>210</v>
      </c>
      <c r="AO1045" s="341" t="s">
        <v>210</v>
      </c>
      <c r="AP1045" s="418" t="s">
        <v>210</v>
      </c>
      <c r="AQ1045" s="433" t="s">
        <v>4547</v>
      </c>
      <c r="AR1045" s="452">
        <v>765.6</v>
      </c>
      <c r="AS1045" s="324">
        <v>150</v>
      </c>
      <c r="AT1045" s="432">
        <v>0.8</v>
      </c>
      <c r="AU1045" s="432" t="s">
        <v>5676</v>
      </c>
      <c r="AV1045" s="432">
        <v>1.5</v>
      </c>
      <c r="AW1045" s="490" t="s">
        <v>3512</v>
      </c>
      <c r="AX1045" s="417" t="s">
        <v>210</v>
      </c>
      <c r="AY1045" s="455" t="s">
        <v>210</v>
      </c>
      <c r="AZ1045" s="405" t="s">
        <v>622</v>
      </c>
      <c r="BA1045" s="324" t="s">
        <v>7247</v>
      </c>
      <c r="BB1045" s="324" t="s">
        <v>3512</v>
      </c>
      <c r="BC1045" s="324" t="s">
        <v>7247</v>
      </c>
      <c r="BD1045" s="324" t="s">
        <v>3372</v>
      </c>
      <c r="BE1045" s="324" t="s">
        <v>7248</v>
      </c>
      <c r="BF1045" s="324" t="s">
        <v>3372</v>
      </c>
      <c r="BG1045" s="324" t="s">
        <v>7249</v>
      </c>
      <c r="BH1045" s="426" t="s">
        <v>3492</v>
      </c>
      <c r="BI1045" s="453">
        <v>0.4</v>
      </c>
      <c r="BJ1045" s="427" t="s">
        <v>210</v>
      </c>
      <c r="BK1045" s="412"/>
      <c r="BL1045" s="413"/>
      <c r="BM1045" s="414"/>
      <c r="BN1045" s="453" t="s">
        <v>622</v>
      </c>
      <c r="BO1045" s="464">
        <v>2.84</v>
      </c>
      <c r="BP1045" s="455" t="s">
        <v>210</v>
      </c>
      <c r="BQ1045" s="456" t="s">
        <v>5608</v>
      </c>
      <c r="BR1045" s="342" t="s">
        <v>622</v>
      </c>
      <c r="BS1045" s="342" t="s">
        <v>210</v>
      </c>
      <c r="BT1045" s="342" t="s">
        <v>210</v>
      </c>
      <c r="BU1045" s="342" t="s">
        <v>210</v>
      </c>
      <c r="BV1045" s="342" t="s">
        <v>210</v>
      </c>
      <c r="BW1045" s="341" t="s">
        <v>210</v>
      </c>
      <c r="BX1045" s="342" t="s">
        <v>210</v>
      </c>
      <c r="BY1045" s="457"/>
      <c r="BZ1045" s="363"/>
      <c r="CA1045" s="363"/>
      <c r="CB1045" s="363"/>
      <c r="CC1045" s="363"/>
    </row>
    <row r="1046" spans="1:82" ht="22.5" customHeight="1">
      <c r="B1046" s="442">
        <v>180130</v>
      </c>
      <c r="C1046" s="443" t="s">
        <v>7250</v>
      </c>
      <c r="D1046" s="467" t="s">
        <v>6135</v>
      </c>
      <c r="E1046" s="404" t="s">
        <v>5362</v>
      </c>
      <c r="F1046" s="405" t="s">
        <v>7251</v>
      </c>
      <c r="G1046" s="324" t="s">
        <v>1780</v>
      </c>
      <c r="H1046" s="324" t="s">
        <v>7252</v>
      </c>
      <c r="I1046" s="326" t="s">
        <v>11</v>
      </c>
      <c r="J1046" s="324" t="s">
        <v>7171</v>
      </c>
      <c r="K1046" s="324" t="s">
        <v>7280</v>
      </c>
      <c r="L1046" s="392" t="s">
        <v>210</v>
      </c>
      <c r="M1046" s="324" t="s">
        <v>10767</v>
      </c>
      <c r="N1046" s="444" t="s">
        <v>438</v>
      </c>
      <c r="O1046" s="324">
        <v>5</v>
      </c>
      <c r="P1046" s="458">
        <v>1814</v>
      </c>
      <c r="Q1046" s="459">
        <v>971</v>
      </c>
      <c r="R1046" s="420" t="s">
        <v>7281</v>
      </c>
      <c r="S1046" s="400"/>
      <c r="T1046" s="400"/>
      <c r="U1046" s="400"/>
      <c r="V1046" s="400"/>
      <c r="W1046" s="460" t="s">
        <v>712</v>
      </c>
      <c r="X1046" s="394" t="s">
        <v>12058</v>
      </c>
      <c r="Y1046" s="394" t="s">
        <v>12060</v>
      </c>
      <c r="Z1046" s="394" t="s">
        <v>12059</v>
      </c>
      <c r="AA1046" s="394" t="s">
        <v>12061</v>
      </c>
      <c r="AB1046" s="416"/>
      <c r="AC1046" s="416"/>
      <c r="AD1046" s="334" t="s">
        <v>7552</v>
      </c>
      <c r="AE1046" s="499" t="s">
        <v>373</v>
      </c>
      <c r="AF1046" s="462">
        <v>43241</v>
      </c>
      <c r="AG1046" s="748">
        <v>43287</v>
      </c>
      <c r="AH1046" s="417" t="s">
        <v>210</v>
      </c>
      <c r="AI1046" s="392" t="s">
        <v>210</v>
      </c>
      <c r="AJ1046" s="392" t="s">
        <v>210</v>
      </c>
      <c r="AK1046" s="340" t="s">
        <v>210</v>
      </c>
      <c r="AL1046" s="417" t="s">
        <v>210</v>
      </c>
      <c r="AM1046" s="392" t="s">
        <v>210</v>
      </c>
      <c r="AN1046" s="392" t="s">
        <v>210</v>
      </c>
      <c r="AO1046" s="341" t="s">
        <v>210</v>
      </c>
      <c r="AP1046" s="418" t="s">
        <v>210</v>
      </c>
      <c r="AQ1046" s="433" t="s">
        <v>4547</v>
      </c>
      <c r="AR1046" s="452">
        <v>1303</v>
      </c>
      <c r="AS1046" s="324">
        <v>150</v>
      </c>
      <c r="AT1046" s="432">
        <v>1</v>
      </c>
      <c r="AU1046" s="432" t="s">
        <v>5124</v>
      </c>
      <c r="AV1046" s="432">
        <v>1.5</v>
      </c>
      <c r="AW1046" s="490" t="s">
        <v>3936</v>
      </c>
      <c r="AX1046" s="417" t="s">
        <v>210</v>
      </c>
      <c r="AY1046" s="455" t="s">
        <v>210</v>
      </c>
      <c r="AZ1046" s="405" t="s">
        <v>4083</v>
      </c>
      <c r="BA1046" s="324" t="s">
        <v>210</v>
      </c>
      <c r="BB1046" s="324" t="s">
        <v>210</v>
      </c>
      <c r="BC1046" s="324" t="s">
        <v>210</v>
      </c>
      <c r="BD1046" s="324" t="s">
        <v>210</v>
      </c>
      <c r="BE1046" s="324" t="s">
        <v>7253</v>
      </c>
      <c r="BF1046" s="324" t="s">
        <v>4813</v>
      </c>
      <c r="BG1046" s="324" t="s">
        <v>7254</v>
      </c>
      <c r="BH1046" s="426" t="s">
        <v>3936</v>
      </c>
      <c r="BI1046" s="453">
        <v>1.1000000000000001</v>
      </c>
      <c r="BJ1046" s="427" t="s">
        <v>210</v>
      </c>
      <c r="BK1046" s="412"/>
      <c r="BL1046" s="413"/>
      <c r="BM1046" s="414"/>
      <c r="BN1046" s="453" t="s">
        <v>622</v>
      </c>
      <c r="BO1046" s="464">
        <v>1.32</v>
      </c>
      <c r="BP1046" s="455" t="s">
        <v>210</v>
      </c>
      <c r="BQ1046" s="456" t="s">
        <v>9907</v>
      </c>
      <c r="BR1046" s="342" t="s">
        <v>210</v>
      </c>
      <c r="BS1046" s="342" t="s">
        <v>210</v>
      </c>
      <c r="BT1046" s="342" t="s">
        <v>210</v>
      </c>
      <c r="BU1046" s="342" t="s">
        <v>210</v>
      </c>
      <c r="BV1046" s="342" t="s">
        <v>210</v>
      </c>
      <c r="BW1046" s="341" t="s">
        <v>210</v>
      </c>
      <c r="BX1046" s="342" t="s">
        <v>210</v>
      </c>
      <c r="BY1046" s="457"/>
      <c r="BZ1046" s="363"/>
      <c r="CA1046" s="363"/>
      <c r="CB1046" s="363"/>
      <c r="CC1046" s="363"/>
    </row>
    <row r="1047" spans="1:82" s="988" customFormat="1" ht="22.5" customHeight="1">
      <c r="A1047" s="287"/>
      <c r="B1047" s="949">
        <v>180131</v>
      </c>
      <c r="C1047" s="950" t="s">
        <v>7255</v>
      </c>
      <c r="D1047" s="951" t="s">
        <v>5344</v>
      </c>
      <c r="E1047" s="952" t="s">
        <v>5362</v>
      </c>
      <c r="F1047" s="953" t="s">
        <v>7256</v>
      </c>
      <c r="G1047" s="954" t="s">
        <v>7257</v>
      </c>
      <c r="H1047" s="954" t="s">
        <v>7258</v>
      </c>
      <c r="I1047" s="954" t="s">
        <v>210</v>
      </c>
      <c r="J1047" s="954" t="s">
        <v>210</v>
      </c>
      <c r="K1047" s="954" t="s">
        <v>7259</v>
      </c>
      <c r="L1047" s="955" t="s">
        <v>210</v>
      </c>
      <c r="M1047" s="954" t="s">
        <v>210</v>
      </c>
      <c r="N1047" s="956" t="s">
        <v>210</v>
      </c>
      <c r="O1047" s="954">
        <v>30</v>
      </c>
      <c r="P1047" s="957">
        <v>2000</v>
      </c>
      <c r="Q1047" s="958">
        <v>2000</v>
      </c>
      <c r="R1047" s="959" t="s">
        <v>7260</v>
      </c>
      <c r="S1047" s="960" t="s">
        <v>12054</v>
      </c>
      <c r="T1047" s="960" t="s">
        <v>12056</v>
      </c>
      <c r="U1047" s="960" t="s">
        <v>12055</v>
      </c>
      <c r="V1047" s="960" t="s">
        <v>12057</v>
      </c>
      <c r="W1047" s="961" t="s">
        <v>7261</v>
      </c>
      <c r="X1047" s="960" t="s">
        <v>12054</v>
      </c>
      <c r="Y1047" s="960" t="s">
        <v>12056</v>
      </c>
      <c r="Z1047" s="960" t="s">
        <v>12055</v>
      </c>
      <c r="AA1047" s="960" t="s">
        <v>12057</v>
      </c>
      <c r="AB1047" s="962"/>
      <c r="AC1047" s="962"/>
      <c r="AD1047" s="963" t="s">
        <v>210</v>
      </c>
      <c r="AE1047" s="964" t="s">
        <v>210</v>
      </c>
      <c r="AF1047" s="965">
        <v>43242</v>
      </c>
      <c r="AG1047" s="966">
        <v>43437</v>
      </c>
      <c r="AH1047" s="967" t="s">
        <v>210</v>
      </c>
      <c r="AI1047" s="955" t="s">
        <v>210</v>
      </c>
      <c r="AJ1047" s="955" t="s">
        <v>210</v>
      </c>
      <c r="AK1047" s="968" t="s">
        <v>210</v>
      </c>
      <c r="AL1047" s="967" t="s">
        <v>210</v>
      </c>
      <c r="AM1047" s="955" t="s">
        <v>210</v>
      </c>
      <c r="AN1047" s="955" t="s">
        <v>210</v>
      </c>
      <c r="AO1047" s="969" t="s">
        <v>210</v>
      </c>
      <c r="AP1047" s="970" t="s">
        <v>210</v>
      </c>
      <c r="AQ1047" s="971" t="s">
        <v>4550</v>
      </c>
      <c r="AR1047" s="972">
        <v>2176</v>
      </c>
      <c r="AS1047" s="954">
        <v>50</v>
      </c>
      <c r="AT1047" s="973">
        <v>1</v>
      </c>
      <c r="AU1047" s="973" t="s">
        <v>7262</v>
      </c>
      <c r="AV1047" s="973">
        <v>1.5</v>
      </c>
      <c r="AW1047" s="974" t="s">
        <v>7263</v>
      </c>
      <c r="AX1047" s="967" t="s">
        <v>210</v>
      </c>
      <c r="AY1047" s="975" t="s">
        <v>210</v>
      </c>
      <c r="AZ1047" s="953" t="s">
        <v>4083</v>
      </c>
      <c r="BA1047" s="954" t="s">
        <v>210</v>
      </c>
      <c r="BB1047" s="954" t="s">
        <v>210</v>
      </c>
      <c r="BC1047" s="954" t="s">
        <v>3558</v>
      </c>
      <c r="BD1047" s="954" t="s">
        <v>3372</v>
      </c>
      <c r="BE1047" s="954" t="s">
        <v>3459</v>
      </c>
      <c r="BF1047" s="954" t="s">
        <v>3702</v>
      </c>
      <c r="BG1047" s="954" t="s">
        <v>3459</v>
      </c>
      <c r="BH1047" s="976" t="s">
        <v>5124</v>
      </c>
      <c r="BI1047" s="977">
        <v>7</v>
      </c>
      <c r="BJ1047" s="978" t="s">
        <v>210</v>
      </c>
      <c r="BK1047" s="979"/>
      <c r="BL1047" s="980"/>
      <c r="BM1047" s="981"/>
      <c r="BN1047" s="977" t="s">
        <v>622</v>
      </c>
      <c r="BO1047" s="982"/>
      <c r="BP1047" s="975" t="s">
        <v>622</v>
      </c>
      <c r="BQ1047" s="983" t="s">
        <v>5235</v>
      </c>
      <c r="BR1047" s="984" t="s">
        <v>210</v>
      </c>
      <c r="BS1047" s="984" t="s">
        <v>210</v>
      </c>
      <c r="BT1047" s="984" t="s">
        <v>210</v>
      </c>
      <c r="BU1047" s="984" t="s">
        <v>210</v>
      </c>
      <c r="BV1047" s="984" t="s">
        <v>210</v>
      </c>
      <c r="BW1047" s="969" t="s">
        <v>210</v>
      </c>
      <c r="BX1047" s="984" t="s">
        <v>210</v>
      </c>
      <c r="BY1047" s="985" t="s">
        <v>7264</v>
      </c>
      <c r="BZ1047" s="986"/>
      <c r="CA1047" s="986"/>
      <c r="CB1047" s="986"/>
      <c r="CC1047" s="986"/>
      <c r="CD1047" s="987"/>
    </row>
    <row r="1048" spans="1:82" ht="22.5" customHeight="1">
      <c r="B1048" s="442">
        <v>180132</v>
      </c>
      <c r="C1048" s="443" t="s">
        <v>7265</v>
      </c>
      <c r="D1048" s="467" t="s">
        <v>7463</v>
      </c>
      <c r="E1048" s="404" t="s">
        <v>6974</v>
      </c>
      <c r="F1048" s="405" t="s">
        <v>7266</v>
      </c>
      <c r="G1048" s="324" t="s">
        <v>1780</v>
      </c>
      <c r="H1048" s="324" t="s">
        <v>7267</v>
      </c>
      <c r="I1048" s="326" t="s">
        <v>11</v>
      </c>
      <c r="J1048" s="324" t="s">
        <v>7171</v>
      </c>
      <c r="K1048" s="324" t="s">
        <v>7268</v>
      </c>
      <c r="L1048" s="392" t="s">
        <v>210</v>
      </c>
      <c r="M1048" s="324" t="s">
        <v>10767</v>
      </c>
      <c r="N1048" s="444" t="s">
        <v>438</v>
      </c>
      <c r="O1048" s="444" t="s">
        <v>210</v>
      </c>
      <c r="P1048" s="458">
        <v>2473.15</v>
      </c>
      <c r="Q1048" s="459">
        <v>1507.33</v>
      </c>
      <c r="R1048" s="420" t="s">
        <v>7269</v>
      </c>
      <c r="S1048" s="394" t="s">
        <v>12051</v>
      </c>
      <c r="T1048" s="394" t="s">
        <v>12052</v>
      </c>
      <c r="U1048" s="394" t="s">
        <v>16377</v>
      </c>
      <c r="V1048" s="394" t="s">
        <v>12053</v>
      </c>
      <c r="W1048" s="460" t="s">
        <v>7269</v>
      </c>
      <c r="X1048" s="394" t="s">
        <v>12051</v>
      </c>
      <c r="Y1048" s="394" t="s">
        <v>12052</v>
      </c>
      <c r="Z1048" s="394" t="s">
        <v>16377</v>
      </c>
      <c r="AA1048" s="394" t="s">
        <v>12053</v>
      </c>
      <c r="AB1048" s="416"/>
      <c r="AC1048" s="416"/>
      <c r="AD1048" s="447" t="s">
        <v>925</v>
      </c>
      <c r="AE1048" s="499" t="s">
        <v>8204</v>
      </c>
      <c r="AF1048" s="462">
        <v>43243</v>
      </c>
      <c r="AG1048" s="748">
        <v>43370</v>
      </c>
      <c r="AH1048" s="417" t="s">
        <v>210</v>
      </c>
      <c r="AI1048" s="392" t="s">
        <v>210</v>
      </c>
      <c r="AJ1048" s="392" t="s">
        <v>210</v>
      </c>
      <c r="AK1048" s="340" t="s">
        <v>210</v>
      </c>
      <c r="AL1048" s="417" t="s">
        <v>210</v>
      </c>
      <c r="AM1048" s="392" t="s">
        <v>210</v>
      </c>
      <c r="AN1048" s="392" t="s">
        <v>210</v>
      </c>
      <c r="AO1048" s="341" t="s">
        <v>210</v>
      </c>
      <c r="AP1048" s="418" t="s">
        <v>210</v>
      </c>
      <c r="AQ1048" s="433" t="s">
        <v>4547</v>
      </c>
      <c r="AR1048" s="452">
        <v>2757</v>
      </c>
      <c r="AS1048" s="324">
        <v>100</v>
      </c>
      <c r="AT1048" s="432">
        <v>1</v>
      </c>
      <c r="AU1048" s="432" t="s">
        <v>7906</v>
      </c>
      <c r="AV1048" s="432">
        <v>1.5</v>
      </c>
      <c r="AW1048" s="490" t="s">
        <v>7242</v>
      </c>
      <c r="AX1048" s="417" t="s">
        <v>210</v>
      </c>
      <c r="AY1048" s="455" t="s">
        <v>210</v>
      </c>
      <c r="AZ1048" s="405" t="s">
        <v>4083</v>
      </c>
      <c r="BA1048" s="324" t="s">
        <v>210</v>
      </c>
      <c r="BB1048" s="324" t="s">
        <v>210</v>
      </c>
      <c r="BC1048" s="324" t="s">
        <v>210</v>
      </c>
      <c r="BD1048" s="324" t="s">
        <v>210</v>
      </c>
      <c r="BE1048" s="324" t="s">
        <v>210</v>
      </c>
      <c r="BF1048" s="324" t="s">
        <v>210</v>
      </c>
      <c r="BG1048" s="324" t="s">
        <v>7907</v>
      </c>
      <c r="BH1048" s="426" t="s">
        <v>7908</v>
      </c>
      <c r="BI1048" s="453">
        <v>0.8</v>
      </c>
      <c r="BJ1048" s="427" t="s">
        <v>210</v>
      </c>
      <c r="BK1048" s="412"/>
      <c r="BL1048" s="413"/>
      <c r="BM1048" s="414"/>
      <c r="BN1048" s="453" t="s">
        <v>210</v>
      </c>
      <c r="BO1048" s="464" t="s">
        <v>7909</v>
      </c>
      <c r="BP1048" s="455" t="s">
        <v>210</v>
      </c>
      <c r="BQ1048" s="456" t="s">
        <v>5478</v>
      </c>
      <c r="BR1048" s="342" t="s">
        <v>210</v>
      </c>
      <c r="BS1048" s="342" t="s">
        <v>210</v>
      </c>
      <c r="BT1048" s="342" t="s">
        <v>210</v>
      </c>
      <c r="BU1048" s="342" t="s">
        <v>210</v>
      </c>
      <c r="BV1048" s="342" t="s">
        <v>210</v>
      </c>
      <c r="BW1048" s="341" t="s">
        <v>210</v>
      </c>
      <c r="BX1048" s="342" t="s">
        <v>210</v>
      </c>
      <c r="BY1048" s="457" t="s">
        <v>7272</v>
      </c>
      <c r="BZ1048" s="363"/>
      <c r="CA1048" s="363"/>
      <c r="CB1048" s="363"/>
      <c r="CC1048" s="363"/>
    </row>
    <row r="1049" spans="1:82" ht="22.5" customHeight="1">
      <c r="B1049" s="442">
        <v>180133</v>
      </c>
      <c r="C1049" s="443" t="s">
        <v>7273</v>
      </c>
      <c r="D1049" s="467" t="s">
        <v>6135</v>
      </c>
      <c r="E1049" s="404" t="s">
        <v>6974</v>
      </c>
      <c r="F1049" s="405" t="s">
        <v>266</v>
      </c>
      <c r="G1049" s="324" t="s">
        <v>7274</v>
      </c>
      <c r="H1049" s="324" t="s">
        <v>7275</v>
      </c>
      <c r="I1049" s="326" t="s">
        <v>11</v>
      </c>
      <c r="J1049" s="324" t="s">
        <v>214</v>
      </c>
      <c r="K1049" s="324" t="s">
        <v>917</v>
      </c>
      <c r="L1049" s="392" t="s">
        <v>210</v>
      </c>
      <c r="M1049" s="324" t="s">
        <v>10767</v>
      </c>
      <c r="N1049" s="444" t="s">
        <v>7276</v>
      </c>
      <c r="O1049" s="324">
        <v>40</v>
      </c>
      <c r="P1049" s="816">
        <v>1150</v>
      </c>
      <c r="Q1049" s="817">
        <v>1150</v>
      </c>
      <c r="R1049" s="420" t="s">
        <v>4095</v>
      </c>
      <c r="S1049" s="394" t="s">
        <v>11074</v>
      </c>
      <c r="T1049" s="394" t="s">
        <v>11546</v>
      </c>
      <c r="U1049" s="394" t="s">
        <v>14971</v>
      </c>
      <c r="V1049" s="394" t="s">
        <v>11131</v>
      </c>
      <c r="W1049" s="460" t="s">
        <v>4349</v>
      </c>
      <c r="X1049" s="394" t="s">
        <v>11548</v>
      </c>
      <c r="Y1049" s="394" t="s">
        <v>11549</v>
      </c>
      <c r="Z1049" s="394" t="s">
        <v>16496</v>
      </c>
      <c r="AA1049" s="394" t="s">
        <v>11550</v>
      </c>
      <c r="AB1049" s="416"/>
      <c r="AC1049" s="416"/>
      <c r="AD1049" s="447" t="s">
        <v>7573</v>
      </c>
      <c r="AE1049" s="335" t="s">
        <v>210</v>
      </c>
      <c r="AF1049" s="462">
        <v>43243</v>
      </c>
      <c r="AG1049" s="748">
        <v>43287</v>
      </c>
      <c r="AH1049" s="417" t="s">
        <v>210</v>
      </c>
      <c r="AI1049" s="392" t="s">
        <v>210</v>
      </c>
      <c r="AJ1049" s="392" t="s">
        <v>210</v>
      </c>
      <c r="AK1049" s="340" t="s">
        <v>210</v>
      </c>
      <c r="AL1049" s="417" t="s">
        <v>210</v>
      </c>
      <c r="AM1049" s="392" t="s">
        <v>210</v>
      </c>
      <c r="AN1049" s="392" t="s">
        <v>210</v>
      </c>
      <c r="AO1049" s="341" t="s">
        <v>210</v>
      </c>
      <c r="AP1049" s="418" t="s">
        <v>210</v>
      </c>
      <c r="AQ1049" s="433" t="s">
        <v>4547</v>
      </c>
      <c r="AR1049" s="452">
        <v>1424</v>
      </c>
      <c r="AS1049" s="324">
        <v>100</v>
      </c>
      <c r="AT1049" s="432">
        <v>1</v>
      </c>
      <c r="AU1049" s="432" t="s">
        <v>4813</v>
      </c>
      <c r="AV1049" s="432">
        <v>1.5</v>
      </c>
      <c r="AW1049" s="490" t="s">
        <v>4813</v>
      </c>
      <c r="AX1049" s="417" t="s">
        <v>210</v>
      </c>
      <c r="AY1049" s="455" t="s">
        <v>210</v>
      </c>
      <c r="AZ1049" s="405" t="s">
        <v>622</v>
      </c>
      <c r="BA1049" s="324" t="s">
        <v>3565</v>
      </c>
      <c r="BB1049" s="324" t="s">
        <v>3434</v>
      </c>
      <c r="BC1049" s="324" t="s">
        <v>3565</v>
      </c>
      <c r="BD1049" s="324" t="s">
        <v>3682</v>
      </c>
      <c r="BE1049" s="324" t="s">
        <v>7277</v>
      </c>
      <c r="BF1049" s="324" t="s">
        <v>7278</v>
      </c>
      <c r="BG1049" s="324" t="s">
        <v>7279</v>
      </c>
      <c r="BH1049" s="324" t="s">
        <v>7278</v>
      </c>
      <c r="BI1049" s="453">
        <v>1</v>
      </c>
      <c r="BJ1049" s="427" t="s">
        <v>210</v>
      </c>
      <c r="BK1049" s="412"/>
      <c r="BL1049" s="413"/>
      <c r="BM1049" s="414"/>
      <c r="BN1049" s="453" t="s">
        <v>622</v>
      </c>
      <c r="BO1049" s="464">
        <v>1.1399999999999999</v>
      </c>
      <c r="BP1049" s="455" t="s">
        <v>622</v>
      </c>
      <c r="BQ1049" s="456" t="s">
        <v>1059</v>
      </c>
      <c r="BR1049" s="342" t="s">
        <v>622</v>
      </c>
      <c r="BS1049" s="342" t="s">
        <v>622</v>
      </c>
      <c r="BT1049" s="342" t="s">
        <v>210</v>
      </c>
      <c r="BU1049" s="342" t="s">
        <v>210</v>
      </c>
      <c r="BV1049" s="342" t="s">
        <v>210</v>
      </c>
      <c r="BW1049" s="341" t="s">
        <v>210</v>
      </c>
      <c r="BX1049" s="342" t="s">
        <v>210</v>
      </c>
      <c r="BY1049" s="457" t="s">
        <v>7444</v>
      </c>
      <c r="BZ1049" s="363"/>
      <c r="CA1049" s="363"/>
      <c r="CB1049" s="363"/>
      <c r="CC1049" s="363"/>
    </row>
    <row r="1050" spans="1:82" ht="22.5" customHeight="1">
      <c r="B1050" s="442">
        <v>180136</v>
      </c>
      <c r="C1050" s="443" t="s">
        <v>12043</v>
      </c>
      <c r="D1050" s="467" t="s">
        <v>4847</v>
      </c>
      <c r="E1050" s="404" t="s">
        <v>5362</v>
      </c>
      <c r="F1050" s="405" t="s">
        <v>1390</v>
      </c>
      <c r="G1050" s="324" t="s">
        <v>7594</v>
      </c>
      <c r="H1050" s="324" t="s">
        <v>7595</v>
      </c>
      <c r="I1050" s="326" t="s">
        <v>11</v>
      </c>
      <c r="J1050" s="324" t="s">
        <v>214</v>
      </c>
      <c r="K1050" s="324" t="s">
        <v>247</v>
      </c>
      <c r="L1050" s="342">
        <v>36</v>
      </c>
      <c r="M1050" s="324" t="s">
        <v>10767</v>
      </c>
      <c r="N1050" s="444" t="s">
        <v>438</v>
      </c>
      <c r="O1050" s="324">
        <v>40</v>
      </c>
      <c r="P1050" s="816">
        <v>2600</v>
      </c>
      <c r="Q1050" s="817">
        <v>2600</v>
      </c>
      <c r="R1050" s="420" t="s">
        <v>7305</v>
      </c>
      <c r="S1050" s="394" t="s">
        <v>12049</v>
      </c>
      <c r="T1050" s="394" t="s">
        <v>12048</v>
      </c>
      <c r="U1050" s="394" t="s">
        <v>15044</v>
      </c>
      <c r="V1050" s="394" t="s">
        <v>12050</v>
      </c>
      <c r="W1050" s="332" t="s">
        <v>644</v>
      </c>
      <c r="X1050" s="394" t="s">
        <v>12044</v>
      </c>
      <c r="Y1050" s="394" t="s">
        <v>12047</v>
      </c>
      <c r="Z1050" s="394" t="s">
        <v>12046</v>
      </c>
      <c r="AA1050" s="394" t="s">
        <v>12045</v>
      </c>
      <c r="AB1050" s="416"/>
      <c r="AC1050" s="416"/>
      <c r="AD1050" s="447" t="s">
        <v>8338</v>
      </c>
      <c r="AE1050" s="499" t="s">
        <v>353</v>
      </c>
      <c r="AF1050" s="462">
        <v>43240</v>
      </c>
      <c r="AG1050" s="748">
        <v>43426</v>
      </c>
      <c r="AH1050" s="417" t="s">
        <v>210</v>
      </c>
      <c r="AI1050" s="392" t="s">
        <v>210</v>
      </c>
      <c r="AJ1050" s="392" t="s">
        <v>210</v>
      </c>
      <c r="AK1050" s="340" t="s">
        <v>210</v>
      </c>
      <c r="AL1050" s="417" t="s">
        <v>210</v>
      </c>
      <c r="AM1050" s="392" t="s">
        <v>210</v>
      </c>
      <c r="AN1050" s="392" t="s">
        <v>210</v>
      </c>
      <c r="AO1050" s="341" t="s">
        <v>210</v>
      </c>
      <c r="AP1050" s="418" t="s">
        <v>210</v>
      </c>
      <c r="AQ1050" s="433" t="s">
        <v>4547</v>
      </c>
      <c r="AR1050" s="452">
        <f>2576+346</f>
        <v>2922</v>
      </c>
      <c r="AS1050" s="324">
        <v>100</v>
      </c>
      <c r="AT1050" s="432">
        <v>1</v>
      </c>
      <c r="AU1050" s="432" t="s">
        <v>7426</v>
      </c>
      <c r="AV1050" s="432">
        <v>1.5</v>
      </c>
      <c r="AW1050" s="490" t="s">
        <v>7426</v>
      </c>
      <c r="AX1050" s="417" t="s">
        <v>210</v>
      </c>
      <c r="AY1050" s="455" t="s">
        <v>210</v>
      </c>
      <c r="AZ1050" s="405" t="s">
        <v>622</v>
      </c>
      <c r="BA1050" s="324" t="s">
        <v>3476</v>
      </c>
      <c r="BB1050" s="324" t="s">
        <v>3495</v>
      </c>
      <c r="BC1050" s="324" t="s">
        <v>3476</v>
      </c>
      <c r="BD1050" s="324" t="s">
        <v>6579</v>
      </c>
      <c r="BE1050" s="324" t="s">
        <v>3475</v>
      </c>
      <c r="BF1050" s="324" t="s">
        <v>6579</v>
      </c>
      <c r="BG1050" s="324" t="s">
        <v>3459</v>
      </c>
      <c r="BH1050" s="426" t="s">
        <v>3512</v>
      </c>
      <c r="BI1050" s="453">
        <v>1.45</v>
      </c>
      <c r="BJ1050" s="427">
        <v>1.1299999999999999</v>
      </c>
      <c r="BK1050" s="428" t="s">
        <v>8804</v>
      </c>
      <c r="BL1050" s="429" t="s">
        <v>8805</v>
      </c>
      <c r="BM1050" s="414"/>
      <c r="BN1050" s="453" t="s">
        <v>622</v>
      </c>
      <c r="BO1050" s="464">
        <v>1.02</v>
      </c>
      <c r="BP1050" s="455" t="s">
        <v>622</v>
      </c>
      <c r="BQ1050" s="456" t="s">
        <v>7427</v>
      </c>
      <c r="BR1050" s="342" t="s">
        <v>210</v>
      </c>
      <c r="BS1050" s="342" t="s">
        <v>210</v>
      </c>
      <c r="BT1050" s="342" t="s">
        <v>210</v>
      </c>
      <c r="BU1050" s="342" t="s">
        <v>210</v>
      </c>
      <c r="BV1050" s="342" t="s">
        <v>210</v>
      </c>
      <c r="BW1050" s="341" t="s">
        <v>210</v>
      </c>
      <c r="BX1050" s="342" t="s">
        <v>210</v>
      </c>
      <c r="BY1050" s="457"/>
      <c r="BZ1050" s="363"/>
      <c r="CA1050" s="363"/>
      <c r="CB1050" s="363"/>
      <c r="CC1050" s="363"/>
    </row>
    <row r="1051" spans="1:82" ht="22.5" customHeight="1">
      <c r="B1051" s="442">
        <v>180137</v>
      </c>
      <c r="C1051" s="443" t="s">
        <v>7286</v>
      </c>
      <c r="D1051" s="467" t="s">
        <v>4847</v>
      </c>
      <c r="E1051" s="404" t="s">
        <v>5362</v>
      </c>
      <c r="F1051" s="405" t="s">
        <v>240</v>
      </c>
      <c r="G1051" s="324" t="s">
        <v>7287</v>
      </c>
      <c r="H1051" s="324" t="s">
        <v>7288</v>
      </c>
      <c r="I1051" s="326" t="s">
        <v>11</v>
      </c>
      <c r="J1051" s="326" t="s">
        <v>7171</v>
      </c>
      <c r="K1051" s="326" t="s">
        <v>247</v>
      </c>
      <c r="L1051" s="342">
        <v>10</v>
      </c>
      <c r="M1051" s="324" t="s">
        <v>10767</v>
      </c>
      <c r="N1051" s="444" t="s">
        <v>438</v>
      </c>
      <c r="O1051" s="324">
        <v>35</v>
      </c>
      <c r="P1051" s="458">
        <v>1102</v>
      </c>
      <c r="Q1051" s="459">
        <v>1096</v>
      </c>
      <c r="R1051" s="420" t="s">
        <v>7289</v>
      </c>
      <c r="S1051" s="394" t="s">
        <v>12039</v>
      </c>
      <c r="T1051" s="394" t="s">
        <v>12042</v>
      </c>
      <c r="U1051" s="394" t="s">
        <v>12041</v>
      </c>
      <c r="V1051" s="394" t="s">
        <v>12040</v>
      </c>
      <c r="W1051" s="460" t="s">
        <v>7292</v>
      </c>
      <c r="X1051" s="400"/>
      <c r="Y1051" s="400"/>
      <c r="Z1051" s="400"/>
      <c r="AA1051" s="400"/>
      <c r="AB1051" s="416"/>
      <c r="AC1051" s="416"/>
      <c r="AD1051" s="447" t="s">
        <v>7968</v>
      </c>
      <c r="AE1051" s="499" t="s">
        <v>2032</v>
      </c>
      <c r="AF1051" s="462">
        <v>43245</v>
      </c>
      <c r="AG1051" s="748">
        <v>43335</v>
      </c>
      <c r="AH1051" s="417" t="s">
        <v>210</v>
      </c>
      <c r="AI1051" s="392" t="s">
        <v>210</v>
      </c>
      <c r="AJ1051" s="392" t="s">
        <v>210</v>
      </c>
      <c r="AK1051" s="340" t="s">
        <v>210</v>
      </c>
      <c r="AL1051" s="417" t="s">
        <v>210</v>
      </c>
      <c r="AM1051" s="392" t="s">
        <v>210</v>
      </c>
      <c r="AN1051" s="392" t="s">
        <v>210</v>
      </c>
      <c r="AO1051" s="341" t="s">
        <v>210</v>
      </c>
      <c r="AP1051" s="418" t="s">
        <v>210</v>
      </c>
      <c r="AQ1051" s="433" t="s">
        <v>4547</v>
      </c>
      <c r="AR1051" s="452">
        <f>1183+92</f>
        <v>1275</v>
      </c>
      <c r="AS1051" s="324">
        <v>70</v>
      </c>
      <c r="AT1051" s="432">
        <v>1</v>
      </c>
      <c r="AU1051" s="432" t="s">
        <v>5246</v>
      </c>
      <c r="AV1051" s="432">
        <v>1.5</v>
      </c>
      <c r="AW1051" s="490" t="s">
        <v>3574</v>
      </c>
      <c r="AX1051" s="417" t="s">
        <v>210</v>
      </c>
      <c r="AY1051" s="455" t="s">
        <v>210</v>
      </c>
      <c r="AZ1051" s="405" t="s">
        <v>622</v>
      </c>
      <c r="BA1051" s="324" t="s">
        <v>7294</v>
      </c>
      <c r="BB1051" s="324" t="s">
        <v>7295</v>
      </c>
      <c r="BC1051" s="324" t="s">
        <v>7296</v>
      </c>
      <c r="BD1051" s="324" t="s">
        <v>7295</v>
      </c>
      <c r="BE1051" s="324" t="s">
        <v>7297</v>
      </c>
      <c r="BF1051" s="324" t="s">
        <v>3574</v>
      </c>
      <c r="BG1051" s="324" t="s">
        <v>7298</v>
      </c>
      <c r="BH1051" s="324" t="s">
        <v>3574</v>
      </c>
      <c r="BI1051" s="453">
        <v>0.9</v>
      </c>
      <c r="BJ1051" s="427" t="s">
        <v>210</v>
      </c>
      <c r="BK1051" s="412"/>
      <c r="BL1051" s="413"/>
      <c r="BM1051" s="414"/>
      <c r="BN1051" s="453" t="s">
        <v>622</v>
      </c>
      <c r="BO1051" s="464">
        <v>1.25</v>
      </c>
      <c r="BP1051" s="455" t="s">
        <v>622</v>
      </c>
      <c r="BQ1051" s="456" t="s">
        <v>5608</v>
      </c>
      <c r="BR1051" s="342" t="s">
        <v>622</v>
      </c>
      <c r="BS1051" s="342" t="s">
        <v>622</v>
      </c>
      <c r="BT1051" s="342" t="s">
        <v>210</v>
      </c>
      <c r="BU1051" s="342" t="s">
        <v>210</v>
      </c>
      <c r="BV1051" s="342" t="s">
        <v>210</v>
      </c>
      <c r="BW1051" s="341" t="s">
        <v>210</v>
      </c>
      <c r="BX1051" s="342" t="s">
        <v>210</v>
      </c>
      <c r="BY1051" s="457" t="s">
        <v>7293</v>
      </c>
      <c r="BZ1051" s="363"/>
      <c r="CA1051" s="363"/>
      <c r="CB1051" s="363"/>
      <c r="CC1051" s="363"/>
    </row>
    <row r="1052" spans="1:82" s="465" customFormat="1" ht="22.5" customHeight="1">
      <c r="A1052" s="287"/>
      <c r="B1052" s="749">
        <v>180138</v>
      </c>
      <c r="C1052" s="781" t="s">
        <v>7311</v>
      </c>
      <c r="D1052" s="829" t="s">
        <v>8023</v>
      </c>
      <c r="E1052" s="752" t="s">
        <v>5362</v>
      </c>
      <c r="F1052" s="753" t="s">
        <v>1043</v>
      </c>
      <c r="G1052" s="754" t="s">
        <v>7312</v>
      </c>
      <c r="H1052" s="754" t="s">
        <v>7313</v>
      </c>
      <c r="I1052" s="662" t="s">
        <v>11</v>
      </c>
      <c r="J1052" s="754"/>
      <c r="K1052" s="662" t="s">
        <v>7539</v>
      </c>
      <c r="L1052" s="688"/>
      <c r="M1052" s="754" t="s">
        <v>10767</v>
      </c>
      <c r="N1052" s="755" t="s">
        <v>438</v>
      </c>
      <c r="O1052" s="754"/>
      <c r="P1052" s="782"/>
      <c r="Q1052" s="783"/>
      <c r="R1052" s="756" t="s">
        <v>7320</v>
      </c>
      <c r="S1052" s="708" t="s">
        <v>12036</v>
      </c>
      <c r="T1052" s="708" t="s">
        <v>12037</v>
      </c>
      <c r="U1052" s="708" t="s">
        <v>16343</v>
      </c>
      <c r="V1052" s="708" t="s">
        <v>12038</v>
      </c>
      <c r="W1052" s="669" t="s">
        <v>432</v>
      </c>
      <c r="X1052" s="668" t="s">
        <v>11082</v>
      </c>
      <c r="Y1052" s="668" t="s">
        <v>11082</v>
      </c>
      <c r="Z1052" s="668" t="s">
        <v>11082</v>
      </c>
      <c r="AA1052" s="668" t="s">
        <v>210</v>
      </c>
      <c r="AB1052" s="670" t="s">
        <v>647</v>
      </c>
      <c r="AC1052" s="758"/>
      <c r="AD1052" s="759"/>
      <c r="AE1052" s="760"/>
      <c r="AF1052" s="846">
        <v>43245</v>
      </c>
      <c r="AG1052" s="674" t="s">
        <v>10514</v>
      </c>
      <c r="AH1052" s="675" t="s">
        <v>210</v>
      </c>
      <c r="AI1052" s="676" t="s">
        <v>210</v>
      </c>
      <c r="AJ1052" s="676" t="s">
        <v>210</v>
      </c>
      <c r="AK1052" s="677" t="s">
        <v>210</v>
      </c>
      <c r="AL1052" s="675" t="s">
        <v>210</v>
      </c>
      <c r="AM1052" s="676" t="s">
        <v>210</v>
      </c>
      <c r="AN1052" s="676" t="s">
        <v>210</v>
      </c>
      <c r="AO1052" s="678" t="s">
        <v>210</v>
      </c>
      <c r="AP1052" s="784" t="s">
        <v>210</v>
      </c>
      <c r="AQ1052" s="762" t="s">
        <v>4547</v>
      </c>
      <c r="AR1052" s="763"/>
      <c r="AS1052" s="754"/>
      <c r="AT1052" s="785"/>
      <c r="AU1052" s="785"/>
      <c r="AV1052" s="785"/>
      <c r="AW1052" s="764"/>
      <c r="AX1052" s="765"/>
      <c r="AY1052" s="766"/>
      <c r="AZ1052" s="753" t="s">
        <v>4083</v>
      </c>
      <c r="BA1052" s="754" t="s">
        <v>210</v>
      </c>
      <c r="BB1052" s="754" t="s">
        <v>210</v>
      </c>
      <c r="BC1052" s="754" t="s">
        <v>210</v>
      </c>
      <c r="BD1052" s="754" t="s">
        <v>210</v>
      </c>
      <c r="BE1052" s="754" t="s">
        <v>7314</v>
      </c>
      <c r="BF1052" s="754" t="s">
        <v>7315</v>
      </c>
      <c r="BG1052" s="754" t="s">
        <v>3555</v>
      </c>
      <c r="BH1052" s="767" t="s">
        <v>6579</v>
      </c>
      <c r="BI1052" s="765"/>
      <c r="BJ1052" s="768"/>
      <c r="BK1052" s="769"/>
      <c r="BL1052" s="766"/>
      <c r="BM1052" s="770"/>
      <c r="BN1052" s="765"/>
      <c r="BO1052" s="771"/>
      <c r="BP1052" s="772"/>
      <c r="BQ1052" s="773"/>
      <c r="BR1052" s="688"/>
      <c r="BS1052" s="688"/>
      <c r="BT1052" s="688" t="s">
        <v>210</v>
      </c>
      <c r="BU1052" s="688" t="s">
        <v>210</v>
      </c>
      <c r="BV1052" s="688" t="s">
        <v>210</v>
      </c>
      <c r="BW1052" s="678" t="s">
        <v>210</v>
      </c>
      <c r="BX1052" s="688"/>
      <c r="BY1052" s="774"/>
      <c r="BZ1052" s="483"/>
      <c r="CA1052" s="483"/>
      <c r="CB1052" s="483"/>
      <c r="CC1052" s="483"/>
      <c r="CD1052" s="484"/>
    </row>
    <row r="1053" spans="1:82" ht="22.5" customHeight="1">
      <c r="B1053" s="442">
        <v>180139</v>
      </c>
      <c r="C1053" s="443" t="s">
        <v>8116</v>
      </c>
      <c r="D1053" s="467" t="s">
        <v>7077</v>
      </c>
      <c r="E1053" s="404" t="s">
        <v>5363</v>
      </c>
      <c r="F1053" s="405" t="s">
        <v>265</v>
      </c>
      <c r="G1053" s="324" t="s">
        <v>3261</v>
      </c>
      <c r="H1053" s="324" t="s">
        <v>8062</v>
      </c>
      <c r="I1053" s="326" t="s">
        <v>11</v>
      </c>
      <c r="J1053" s="324" t="s">
        <v>214</v>
      </c>
      <c r="K1053" s="324" t="s">
        <v>7538</v>
      </c>
      <c r="L1053" s="392" t="s">
        <v>210</v>
      </c>
      <c r="M1053" s="324" t="s">
        <v>10767</v>
      </c>
      <c r="N1053" s="444" t="s">
        <v>438</v>
      </c>
      <c r="O1053" s="324">
        <v>30</v>
      </c>
      <c r="P1053" s="458">
        <v>535</v>
      </c>
      <c r="Q1053" s="459">
        <v>530</v>
      </c>
      <c r="R1053" s="329" t="s">
        <v>432</v>
      </c>
      <c r="S1053" s="331" t="s">
        <v>11079</v>
      </c>
      <c r="T1053" s="331" t="s">
        <v>11079</v>
      </c>
      <c r="U1053" s="331" t="s">
        <v>11079</v>
      </c>
      <c r="V1053" s="331" t="s">
        <v>295</v>
      </c>
      <c r="W1053" s="332" t="s">
        <v>432</v>
      </c>
      <c r="X1053" s="331" t="s">
        <v>11079</v>
      </c>
      <c r="Y1053" s="331" t="s">
        <v>11080</v>
      </c>
      <c r="Z1053" s="331" t="s">
        <v>11080</v>
      </c>
      <c r="AA1053" s="331" t="s">
        <v>6574</v>
      </c>
      <c r="AB1053" s="333" t="s">
        <v>15742</v>
      </c>
      <c r="AC1053" s="416"/>
      <c r="AD1053" s="447" t="s">
        <v>8203</v>
      </c>
      <c r="AE1053" s="499" t="s">
        <v>8205</v>
      </c>
      <c r="AF1053" s="462">
        <v>43349</v>
      </c>
      <c r="AG1053" s="748">
        <v>43413</v>
      </c>
      <c r="AH1053" s="417">
        <v>9.5</v>
      </c>
      <c r="AI1053" s="392">
        <v>21.9</v>
      </c>
      <c r="AJ1053" s="392">
        <v>10.3</v>
      </c>
      <c r="AK1053" s="340">
        <v>41.7</v>
      </c>
      <c r="AL1053" s="453" t="s">
        <v>210</v>
      </c>
      <c r="AM1053" s="392" t="s">
        <v>210</v>
      </c>
      <c r="AN1053" s="392" t="s">
        <v>210</v>
      </c>
      <c r="AO1053" s="490" t="s">
        <v>210</v>
      </c>
      <c r="AP1053" s="418" t="s">
        <v>210</v>
      </c>
      <c r="AQ1053" s="433" t="s">
        <v>4547</v>
      </c>
      <c r="AR1053" s="452">
        <v>1354.7</v>
      </c>
      <c r="AS1053" s="324">
        <v>80</v>
      </c>
      <c r="AT1053" s="432">
        <v>1</v>
      </c>
      <c r="AU1053" s="432" t="s">
        <v>5077</v>
      </c>
      <c r="AV1053" s="432">
        <v>1.5</v>
      </c>
      <c r="AW1053" s="490" t="s">
        <v>5079</v>
      </c>
      <c r="AX1053" s="417" t="s">
        <v>210</v>
      </c>
      <c r="AY1053" s="455" t="s">
        <v>210</v>
      </c>
      <c r="AZ1053" s="405" t="s">
        <v>622</v>
      </c>
      <c r="BA1053" s="324" t="s">
        <v>8092</v>
      </c>
      <c r="BB1053" s="324" t="s">
        <v>5385</v>
      </c>
      <c r="BC1053" s="324" t="s">
        <v>8093</v>
      </c>
      <c r="BD1053" s="324" t="s">
        <v>5077</v>
      </c>
      <c r="BE1053" s="324" t="s">
        <v>8094</v>
      </c>
      <c r="BF1053" s="324" t="s">
        <v>3574</v>
      </c>
      <c r="BG1053" s="324" t="s">
        <v>8095</v>
      </c>
      <c r="BH1053" s="426" t="s">
        <v>3574</v>
      </c>
      <c r="BI1053" s="453">
        <v>1.7</v>
      </c>
      <c r="BJ1053" s="427" t="s">
        <v>210</v>
      </c>
      <c r="BK1053" s="412"/>
      <c r="BL1053" s="413"/>
      <c r="BM1053" s="414"/>
      <c r="BN1053" s="453" t="s">
        <v>622</v>
      </c>
      <c r="BO1053" s="464">
        <v>1.01</v>
      </c>
      <c r="BP1053" s="455" t="s">
        <v>622</v>
      </c>
      <c r="BQ1053" s="456" t="s">
        <v>247</v>
      </c>
      <c r="BR1053" s="342" t="s">
        <v>210</v>
      </c>
      <c r="BS1053" s="342" t="s">
        <v>210</v>
      </c>
      <c r="BT1053" s="342" t="s">
        <v>210</v>
      </c>
      <c r="BU1053" s="342" t="s">
        <v>210</v>
      </c>
      <c r="BV1053" s="342" t="s">
        <v>210</v>
      </c>
      <c r="BW1053" s="341" t="s">
        <v>210</v>
      </c>
      <c r="BX1053" s="342" t="s">
        <v>210</v>
      </c>
      <c r="BY1053" s="457" t="s">
        <v>8063</v>
      </c>
      <c r="BZ1053" s="363"/>
      <c r="CA1053" s="363"/>
      <c r="CB1053" s="363"/>
      <c r="CC1053" s="363"/>
    </row>
    <row r="1054" spans="1:82" ht="22.5" customHeight="1">
      <c r="B1054" s="442">
        <v>180140</v>
      </c>
      <c r="C1054" s="443" t="s">
        <v>12031</v>
      </c>
      <c r="D1054" s="467" t="s">
        <v>6135</v>
      </c>
      <c r="E1054" s="404" t="s">
        <v>5362</v>
      </c>
      <c r="F1054" s="405" t="s">
        <v>7337</v>
      </c>
      <c r="G1054" s="324" t="s">
        <v>7338</v>
      </c>
      <c r="H1054" s="324" t="s">
        <v>7339</v>
      </c>
      <c r="I1054" s="326" t="s">
        <v>11</v>
      </c>
      <c r="J1054" s="324" t="s">
        <v>214</v>
      </c>
      <c r="K1054" s="324" t="s">
        <v>977</v>
      </c>
      <c r="L1054" s="342">
        <v>10</v>
      </c>
      <c r="M1054" s="324" t="s">
        <v>10767</v>
      </c>
      <c r="N1054" s="444" t="s">
        <v>7413</v>
      </c>
      <c r="O1054" s="324">
        <v>35</v>
      </c>
      <c r="P1054" s="458">
        <v>1020</v>
      </c>
      <c r="Q1054" s="459">
        <v>1020</v>
      </c>
      <c r="R1054" s="329" t="s">
        <v>1019</v>
      </c>
      <c r="S1054" s="400"/>
      <c r="T1054" s="400"/>
      <c r="U1054" s="400"/>
      <c r="V1054" s="400"/>
      <c r="W1054" s="460" t="s">
        <v>7340</v>
      </c>
      <c r="X1054" s="394" t="s">
        <v>12032</v>
      </c>
      <c r="Y1054" s="394" t="s">
        <v>12034</v>
      </c>
      <c r="Z1054" s="394" t="s">
        <v>12033</v>
      </c>
      <c r="AA1054" s="394" t="s">
        <v>12035</v>
      </c>
      <c r="AB1054" s="416"/>
      <c r="AC1054" s="416"/>
      <c r="AD1054" s="447" t="s">
        <v>7578</v>
      </c>
      <c r="AE1054" s="499" t="s">
        <v>7577</v>
      </c>
      <c r="AF1054" s="462">
        <v>43249</v>
      </c>
      <c r="AG1054" s="748">
        <v>43279</v>
      </c>
      <c r="AH1054" s="417" t="s">
        <v>210</v>
      </c>
      <c r="AI1054" s="392" t="s">
        <v>210</v>
      </c>
      <c r="AJ1054" s="392" t="s">
        <v>210</v>
      </c>
      <c r="AK1054" s="340" t="s">
        <v>210</v>
      </c>
      <c r="AL1054" s="417" t="s">
        <v>210</v>
      </c>
      <c r="AM1054" s="392" t="s">
        <v>210</v>
      </c>
      <c r="AN1054" s="392" t="s">
        <v>210</v>
      </c>
      <c r="AO1054" s="341" t="s">
        <v>210</v>
      </c>
      <c r="AP1054" s="418" t="s">
        <v>210</v>
      </c>
      <c r="AQ1054" s="433" t="s">
        <v>4547</v>
      </c>
      <c r="AR1054" s="452">
        <v>1267</v>
      </c>
      <c r="AS1054" s="324">
        <v>80</v>
      </c>
      <c r="AT1054" s="432">
        <v>1</v>
      </c>
      <c r="AU1054" s="432" t="s">
        <v>5246</v>
      </c>
      <c r="AV1054" s="432">
        <v>1.5</v>
      </c>
      <c r="AW1054" s="490" t="s">
        <v>3434</v>
      </c>
      <c r="AX1054" s="417" t="s">
        <v>210</v>
      </c>
      <c r="AY1054" s="455" t="s">
        <v>210</v>
      </c>
      <c r="AZ1054" s="405" t="s">
        <v>622</v>
      </c>
      <c r="BA1054" s="324" t="s">
        <v>7344</v>
      </c>
      <c r="BB1054" s="324" t="s">
        <v>7345</v>
      </c>
      <c r="BC1054" s="324" t="s">
        <v>7346</v>
      </c>
      <c r="BD1054" s="324" t="s">
        <v>3434</v>
      </c>
      <c r="BE1054" s="324" t="s">
        <v>7347</v>
      </c>
      <c r="BF1054" s="324" t="s">
        <v>3434</v>
      </c>
      <c r="BG1054" s="324" t="s">
        <v>210</v>
      </c>
      <c r="BH1054" s="426" t="s">
        <v>210</v>
      </c>
      <c r="BI1054" s="453">
        <v>1.9</v>
      </c>
      <c r="BJ1054" s="427" t="s">
        <v>210</v>
      </c>
      <c r="BK1054" s="412"/>
      <c r="BL1054" s="413"/>
      <c r="BM1054" s="414"/>
      <c r="BN1054" s="453" t="s">
        <v>210</v>
      </c>
      <c r="BO1054" s="464" t="s">
        <v>210</v>
      </c>
      <c r="BP1054" s="455" t="s">
        <v>622</v>
      </c>
      <c r="BQ1054" s="456" t="s">
        <v>5608</v>
      </c>
      <c r="BR1054" s="342" t="s">
        <v>210</v>
      </c>
      <c r="BS1054" s="342" t="s">
        <v>622</v>
      </c>
      <c r="BT1054" s="342" t="s">
        <v>210</v>
      </c>
      <c r="BU1054" s="342" t="s">
        <v>210</v>
      </c>
      <c r="BV1054" s="342" t="s">
        <v>210</v>
      </c>
      <c r="BW1054" s="341" t="s">
        <v>210</v>
      </c>
      <c r="BX1054" s="342" t="s">
        <v>210</v>
      </c>
      <c r="BY1054" s="457" t="s">
        <v>7529</v>
      </c>
      <c r="BZ1054" s="363"/>
      <c r="CA1054" s="363"/>
      <c r="CB1054" s="363"/>
      <c r="CC1054" s="363"/>
    </row>
    <row r="1055" spans="1:82" ht="22.5" customHeight="1">
      <c r="B1055" s="442">
        <v>180141</v>
      </c>
      <c r="C1055" s="443" t="s">
        <v>12030</v>
      </c>
      <c r="D1055" s="467" t="s">
        <v>4847</v>
      </c>
      <c r="E1055" s="404" t="s">
        <v>6879</v>
      </c>
      <c r="F1055" s="405" t="s">
        <v>7348</v>
      </c>
      <c r="G1055" s="324" t="s">
        <v>6547</v>
      </c>
      <c r="H1055" s="324" t="s">
        <v>7349</v>
      </c>
      <c r="I1055" s="326" t="s">
        <v>11</v>
      </c>
      <c r="J1055" s="324" t="s">
        <v>214</v>
      </c>
      <c r="K1055" s="324" t="s">
        <v>917</v>
      </c>
      <c r="L1055" s="392" t="s">
        <v>210</v>
      </c>
      <c r="M1055" s="324" t="s">
        <v>10767</v>
      </c>
      <c r="N1055" s="444" t="s">
        <v>437</v>
      </c>
      <c r="O1055" s="324">
        <v>30</v>
      </c>
      <c r="P1055" s="816">
        <v>1100</v>
      </c>
      <c r="Q1055" s="817">
        <v>1100</v>
      </c>
      <c r="R1055" s="329" t="s">
        <v>1570</v>
      </c>
      <c r="S1055" s="332" t="s">
        <v>11422</v>
      </c>
      <c r="T1055" s="332" t="s">
        <v>11425</v>
      </c>
      <c r="U1055" s="332" t="s">
        <v>11423</v>
      </c>
      <c r="V1055" s="332" t="s">
        <v>11424</v>
      </c>
      <c r="W1055" s="332" t="s">
        <v>1570</v>
      </c>
      <c r="X1055" s="332" t="s">
        <v>11422</v>
      </c>
      <c r="Y1055" s="332" t="s">
        <v>11425</v>
      </c>
      <c r="Z1055" s="332" t="s">
        <v>11423</v>
      </c>
      <c r="AA1055" s="332" t="s">
        <v>11424</v>
      </c>
      <c r="AB1055" s="416"/>
      <c r="AC1055" s="416"/>
      <c r="AD1055" s="897"/>
      <c r="AE1055" s="335" t="s">
        <v>210</v>
      </c>
      <c r="AF1055" s="462">
        <v>43250</v>
      </c>
      <c r="AG1055" s="748">
        <v>43286</v>
      </c>
      <c r="AH1055" s="417" t="s">
        <v>210</v>
      </c>
      <c r="AI1055" s="392" t="s">
        <v>210</v>
      </c>
      <c r="AJ1055" s="392" t="s">
        <v>210</v>
      </c>
      <c r="AK1055" s="340" t="s">
        <v>210</v>
      </c>
      <c r="AL1055" s="417" t="s">
        <v>210</v>
      </c>
      <c r="AM1055" s="392" t="s">
        <v>210</v>
      </c>
      <c r="AN1055" s="392" t="s">
        <v>210</v>
      </c>
      <c r="AO1055" s="341" t="s">
        <v>210</v>
      </c>
      <c r="AP1055" s="418" t="s">
        <v>210</v>
      </c>
      <c r="AQ1055" s="433" t="s">
        <v>4547</v>
      </c>
      <c r="AR1055" s="452">
        <f>1348+95.7</f>
        <v>1443.7</v>
      </c>
      <c r="AS1055" s="324">
        <v>120</v>
      </c>
      <c r="AT1055" s="432">
        <v>1</v>
      </c>
      <c r="AU1055" s="432" t="s">
        <v>5246</v>
      </c>
      <c r="AV1055" s="432">
        <v>1</v>
      </c>
      <c r="AW1055" s="490" t="s">
        <v>3382</v>
      </c>
      <c r="AX1055" s="417" t="s">
        <v>210</v>
      </c>
      <c r="AY1055" s="455" t="s">
        <v>210</v>
      </c>
      <c r="AZ1055" s="405" t="s">
        <v>4083</v>
      </c>
      <c r="BA1055" s="324" t="s">
        <v>210</v>
      </c>
      <c r="BB1055" s="324" t="s">
        <v>210</v>
      </c>
      <c r="BC1055" s="324" t="s">
        <v>7350</v>
      </c>
      <c r="BD1055" s="324" t="s">
        <v>3372</v>
      </c>
      <c r="BE1055" s="324" t="s">
        <v>7351</v>
      </c>
      <c r="BF1055" s="324" t="s">
        <v>6486</v>
      </c>
      <c r="BG1055" s="324" t="s">
        <v>7352</v>
      </c>
      <c r="BH1055" s="426" t="s">
        <v>3366</v>
      </c>
      <c r="BI1055" s="453">
        <v>1</v>
      </c>
      <c r="BJ1055" s="427" t="s">
        <v>210</v>
      </c>
      <c r="BK1055" s="412"/>
      <c r="BL1055" s="413"/>
      <c r="BM1055" s="414"/>
      <c r="BN1055" s="453" t="s">
        <v>622</v>
      </c>
      <c r="BO1055" s="464">
        <v>0.93</v>
      </c>
      <c r="BP1055" s="455" t="s">
        <v>210</v>
      </c>
      <c r="BQ1055" s="456" t="s">
        <v>5608</v>
      </c>
      <c r="BR1055" s="342" t="s">
        <v>622</v>
      </c>
      <c r="BS1055" s="342" t="s">
        <v>622</v>
      </c>
      <c r="BT1055" s="342" t="s">
        <v>210</v>
      </c>
      <c r="BU1055" s="342" t="s">
        <v>210</v>
      </c>
      <c r="BV1055" s="342" t="s">
        <v>210</v>
      </c>
      <c r="BW1055" s="341" t="s">
        <v>210</v>
      </c>
      <c r="BX1055" s="342" t="s">
        <v>210</v>
      </c>
      <c r="BY1055" s="457" t="s">
        <v>7353</v>
      </c>
      <c r="BZ1055" s="363"/>
      <c r="CA1055" s="363"/>
      <c r="CB1055" s="363"/>
      <c r="CC1055" s="363"/>
    </row>
    <row r="1056" spans="1:82" ht="22.5" customHeight="1">
      <c r="B1056" s="442">
        <v>180142</v>
      </c>
      <c r="C1056" s="443" t="s">
        <v>7795</v>
      </c>
      <c r="D1056" s="439" t="s">
        <v>5344</v>
      </c>
      <c r="E1056" s="404" t="s">
        <v>5363</v>
      </c>
      <c r="F1056" s="405" t="s">
        <v>240</v>
      </c>
      <c r="G1056" s="324" t="s">
        <v>2271</v>
      </c>
      <c r="H1056" s="324" t="s">
        <v>7354</v>
      </c>
      <c r="I1056" s="326" t="s">
        <v>11</v>
      </c>
      <c r="J1056" s="324" t="s">
        <v>214</v>
      </c>
      <c r="K1056" s="324" t="s">
        <v>917</v>
      </c>
      <c r="L1056" s="392" t="s">
        <v>210</v>
      </c>
      <c r="M1056" s="324" t="s">
        <v>7508</v>
      </c>
      <c r="N1056" s="444" t="s">
        <v>438</v>
      </c>
      <c r="O1056" s="324">
        <v>30</v>
      </c>
      <c r="P1056" s="458">
        <v>487.52</v>
      </c>
      <c r="Q1056" s="459">
        <v>430.29</v>
      </c>
      <c r="R1056" s="329" t="s">
        <v>447</v>
      </c>
      <c r="S1056" s="394" t="s">
        <v>12028</v>
      </c>
      <c r="T1056" s="331" t="s">
        <v>11078</v>
      </c>
      <c r="U1056" s="331" t="s">
        <v>16355</v>
      </c>
      <c r="V1056" s="394" t="s">
        <v>12029</v>
      </c>
      <c r="W1056" s="332" t="s">
        <v>432</v>
      </c>
      <c r="X1056" s="331" t="s">
        <v>11079</v>
      </c>
      <c r="Y1056" s="331" t="s">
        <v>11080</v>
      </c>
      <c r="Z1056" s="331" t="s">
        <v>11080</v>
      </c>
      <c r="AA1056" s="331" t="s">
        <v>6574</v>
      </c>
      <c r="AB1056" s="416"/>
      <c r="AC1056" s="416"/>
      <c r="AD1056" s="447" t="s">
        <v>730</v>
      </c>
      <c r="AE1056" s="499" t="s">
        <v>8406</v>
      </c>
      <c r="AF1056" s="462">
        <v>43250</v>
      </c>
      <c r="AG1056" s="748">
        <v>43437</v>
      </c>
      <c r="AH1056" s="417">
        <v>16.100000000000001</v>
      </c>
      <c r="AI1056" s="392">
        <v>23</v>
      </c>
      <c r="AJ1056" s="392">
        <v>10.5</v>
      </c>
      <c r="AK1056" s="340">
        <v>49.6</v>
      </c>
      <c r="AL1056" s="417" t="s">
        <v>210</v>
      </c>
      <c r="AM1056" s="392" t="s">
        <v>210</v>
      </c>
      <c r="AN1056" s="392" t="s">
        <v>210</v>
      </c>
      <c r="AO1056" s="341" t="s">
        <v>210</v>
      </c>
      <c r="AP1056" s="418" t="s">
        <v>210</v>
      </c>
      <c r="AQ1056" s="433" t="s">
        <v>4547</v>
      </c>
      <c r="AR1056" s="452">
        <v>472.7</v>
      </c>
      <c r="AS1056" s="324">
        <v>80</v>
      </c>
      <c r="AT1056" s="432">
        <v>1</v>
      </c>
      <c r="AU1056" s="432" t="s">
        <v>5246</v>
      </c>
      <c r="AV1056" s="432">
        <v>1.5</v>
      </c>
      <c r="AW1056" s="490" t="s">
        <v>3898</v>
      </c>
      <c r="AX1056" s="417" t="s">
        <v>210</v>
      </c>
      <c r="AY1056" s="455" t="s">
        <v>210</v>
      </c>
      <c r="AZ1056" s="405" t="s">
        <v>4083</v>
      </c>
      <c r="BA1056" s="324" t="s">
        <v>210</v>
      </c>
      <c r="BB1056" s="324" t="s">
        <v>210</v>
      </c>
      <c r="BC1056" s="324" t="s">
        <v>7355</v>
      </c>
      <c r="BD1056" s="324" t="s">
        <v>3512</v>
      </c>
      <c r="BE1056" s="324" t="s">
        <v>7356</v>
      </c>
      <c r="BF1056" s="324" t="s">
        <v>5246</v>
      </c>
      <c r="BG1056" s="324" t="s">
        <v>3476</v>
      </c>
      <c r="BH1056" s="426" t="s">
        <v>7357</v>
      </c>
      <c r="BI1056" s="453">
        <v>27</v>
      </c>
      <c r="BJ1056" s="427" t="s">
        <v>210</v>
      </c>
      <c r="BK1056" s="412"/>
      <c r="BL1056" s="413"/>
      <c r="BM1056" s="414"/>
      <c r="BN1056" s="453" t="s">
        <v>622</v>
      </c>
      <c r="BO1056" s="464">
        <v>1.02</v>
      </c>
      <c r="BP1056" s="455" t="s">
        <v>210</v>
      </c>
      <c r="BQ1056" s="456" t="s">
        <v>1059</v>
      </c>
      <c r="BR1056" s="342" t="s">
        <v>210</v>
      </c>
      <c r="BS1056" s="342" t="s">
        <v>622</v>
      </c>
      <c r="BT1056" s="342" t="s">
        <v>210</v>
      </c>
      <c r="BU1056" s="342" t="s">
        <v>210</v>
      </c>
      <c r="BV1056" s="342" t="s">
        <v>210</v>
      </c>
      <c r="BW1056" s="341" t="s">
        <v>210</v>
      </c>
      <c r="BX1056" s="342" t="s">
        <v>210</v>
      </c>
      <c r="BY1056" s="888" t="s">
        <v>8111</v>
      </c>
      <c r="BZ1056" s="889"/>
      <c r="CA1056" s="889"/>
      <c r="CB1056" s="889"/>
      <c r="CC1056" s="889"/>
    </row>
    <row r="1057" spans="1:82" ht="22.5" customHeight="1">
      <c r="B1057" s="442">
        <v>180143</v>
      </c>
      <c r="C1057" s="443" t="s">
        <v>12024</v>
      </c>
      <c r="D1057" s="467" t="s">
        <v>5640</v>
      </c>
      <c r="E1057" s="404" t="s">
        <v>5363</v>
      </c>
      <c r="F1057" s="405" t="s">
        <v>7358</v>
      </c>
      <c r="G1057" s="324" t="s">
        <v>7359</v>
      </c>
      <c r="H1057" s="324" t="s">
        <v>7360</v>
      </c>
      <c r="I1057" s="326" t="s">
        <v>11</v>
      </c>
      <c r="J1057" s="326" t="s">
        <v>7171</v>
      </c>
      <c r="K1057" s="326" t="s">
        <v>247</v>
      </c>
      <c r="L1057" s="392">
        <v>1</v>
      </c>
      <c r="M1057" s="324" t="s">
        <v>10767</v>
      </c>
      <c r="N1057" s="444" t="s">
        <v>438</v>
      </c>
      <c r="O1057" s="324">
        <v>30</v>
      </c>
      <c r="P1057" s="816">
        <v>1800</v>
      </c>
      <c r="Q1057" s="817">
        <v>1500</v>
      </c>
      <c r="R1057" s="420" t="s">
        <v>7361</v>
      </c>
      <c r="S1057" s="394" t="s">
        <v>12025</v>
      </c>
      <c r="T1057" s="394" t="s">
        <v>12027</v>
      </c>
      <c r="U1057" s="394" t="s">
        <v>16378</v>
      </c>
      <c r="V1057" s="394" t="s">
        <v>12026</v>
      </c>
      <c r="W1057" s="332" t="s">
        <v>432</v>
      </c>
      <c r="X1057" s="331" t="s">
        <v>11079</v>
      </c>
      <c r="Y1057" s="331" t="s">
        <v>11080</v>
      </c>
      <c r="Z1057" s="331" t="s">
        <v>11080</v>
      </c>
      <c r="AA1057" s="331" t="s">
        <v>6574</v>
      </c>
      <c r="AB1057" s="416"/>
      <c r="AC1057" s="416"/>
      <c r="AD1057" s="334" t="s">
        <v>2338</v>
      </c>
      <c r="AE1057" s="499" t="s">
        <v>7969</v>
      </c>
      <c r="AF1057" s="462">
        <v>43250</v>
      </c>
      <c r="AG1057" s="748">
        <v>43337</v>
      </c>
      <c r="AH1057" s="417">
        <v>8.8000000000000007</v>
      </c>
      <c r="AI1057" s="392">
        <v>16.3</v>
      </c>
      <c r="AJ1057" s="392">
        <v>7.6</v>
      </c>
      <c r="AK1057" s="340">
        <v>36.1</v>
      </c>
      <c r="AL1057" s="453" t="s">
        <v>7522</v>
      </c>
      <c r="AM1057" s="392" t="s">
        <v>210</v>
      </c>
      <c r="AN1057" s="432" t="s">
        <v>7524</v>
      </c>
      <c r="AO1057" s="490" t="s">
        <v>7522</v>
      </c>
      <c r="AP1057" s="418" t="s">
        <v>210</v>
      </c>
      <c r="AQ1057" s="433" t="s">
        <v>4547</v>
      </c>
      <c r="AR1057" s="452">
        <v>1900</v>
      </c>
      <c r="AS1057" s="324">
        <v>100</v>
      </c>
      <c r="AT1057" s="432">
        <v>1</v>
      </c>
      <c r="AU1057" s="432" t="s">
        <v>7526</v>
      </c>
      <c r="AV1057" s="432">
        <v>1.6</v>
      </c>
      <c r="AW1057" s="490" t="s">
        <v>7527</v>
      </c>
      <c r="AX1057" s="453" t="s">
        <v>7525</v>
      </c>
      <c r="AY1057" s="429" t="s">
        <v>7523</v>
      </c>
      <c r="AZ1057" s="405" t="s">
        <v>622</v>
      </c>
      <c r="BA1057" s="324" t="s">
        <v>3558</v>
      </c>
      <c r="BB1057" s="324" t="s">
        <v>7364</v>
      </c>
      <c r="BC1057" s="324" t="s">
        <v>7365</v>
      </c>
      <c r="BD1057" s="324" t="s">
        <v>7364</v>
      </c>
      <c r="BE1057" s="324" t="s">
        <v>3555</v>
      </c>
      <c r="BF1057" s="324" t="s">
        <v>3574</v>
      </c>
      <c r="BG1057" s="324" t="s">
        <v>7366</v>
      </c>
      <c r="BH1057" s="426" t="s">
        <v>3574</v>
      </c>
      <c r="BI1057" s="453">
        <v>1.54</v>
      </c>
      <c r="BJ1057" s="427" t="s">
        <v>9793</v>
      </c>
      <c r="BK1057" s="412"/>
      <c r="BL1057" s="413"/>
      <c r="BM1057" s="414"/>
      <c r="BN1057" s="453" t="s">
        <v>622</v>
      </c>
      <c r="BO1057" s="464">
        <v>0.95</v>
      </c>
      <c r="BP1057" s="455" t="s">
        <v>622</v>
      </c>
      <c r="BQ1057" s="456" t="s">
        <v>5650</v>
      </c>
      <c r="BR1057" s="342" t="s">
        <v>210</v>
      </c>
      <c r="BS1057" s="342" t="s">
        <v>7528</v>
      </c>
      <c r="BT1057" s="342" t="s">
        <v>210</v>
      </c>
      <c r="BU1057" s="342" t="s">
        <v>210</v>
      </c>
      <c r="BV1057" s="342" t="s">
        <v>210</v>
      </c>
      <c r="BW1057" s="341" t="s">
        <v>210</v>
      </c>
      <c r="BX1057" s="342" t="s">
        <v>210</v>
      </c>
      <c r="BY1057" s="457"/>
      <c r="BZ1057" s="363"/>
      <c r="CA1057" s="363"/>
      <c r="CB1057" s="363"/>
      <c r="CC1057" s="363"/>
    </row>
    <row r="1058" spans="1:82" ht="22.5" customHeight="1">
      <c r="B1058" s="442">
        <v>180144</v>
      </c>
      <c r="C1058" s="443" t="s">
        <v>7368</v>
      </c>
      <c r="D1058" s="439" t="s">
        <v>4849</v>
      </c>
      <c r="E1058" s="404" t="s">
        <v>6879</v>
      </c>
      <c r="F1058" s="405" t="s">
        <v>266</v>
      </c>
      <c r="G1058" s="324" t="s">
        <v>2546</v>
      </c>
      <c r="H1058" s="324" t="s">
        <v>7369</v>
      </c>
      <c r="I1058" s="326" t="s">
        <v>11</v>
      </c>
      <c r="J1058" s="324" t="s">
        <v>214</v>
      </c>
      <c r="K1058" s="324" t="s">
        <v>917</v>
      </c>
      <c r="L1058" s="392" t="s">
        <v>210</v>
      </c>
      <c r="M1058" s="324" t="s">
        <v>10767</v>
      </c>
      <c r="N1058" s="444" t="s">
        <v>437</v>
      </c>
      <c r="O1058" s="324" t="s">
        <v>7386</v>
      </c>
      <c r="P1058" s="816">
        <v>1100</v>
      </c>
      <c r="Q1058" s="817">
        <v>1100</v>
      </c>
      <c r="R1058" s="329" t="s">
        <v>1570</v>
      </c>
      <c r="S1058" s="332" t="s">
        <v>11422</v>
      </c>
      <c r="T1058" s="332" t="s">
        <v>11425</v>
      </c>
      <c r="U1058" s="332" t="s">
        <v>11423</v>
      </c>
      <c r="V1058" s="332" t="s">
        <v>11424</v>
      </c>
      <c r="W1058" s="332" t="s">
        <v>1570</v>
      </c>
      <c r="X1058" s="332" t="s">
        <v>11422</v>
      </c>
      <c r="Y1058" s="332" t="s">
        <v>11425</v>
      </c>
      <c r="Z1058" s="332" t="s">
        <v>11423</v>
      </c>
      <c r="AA1058" s="332" t="s">
        <v>11424</v>
      </c>
      <c r="AB1058" s="416"/>
      <c r="AC1058" s="416"/>
      <c r="AD1058" s="334" t="s">
        <v>2324</v>
      </c>
      <c r="AE1058" s="335" t="s">
        <v>210</v>
      </c>
      <c r="AF1058" s="462">
        <v>43251</v>
      </c>
      <c r="AG1058" s="748">
        <v>43279</v>
      </c>
      <c r="AH1058" s="417" t="s">
        <v>210</v>
      </c>
      <c r="AI1058" s="392" t="s">
        <v>210</v>
      </c>
      <c r="AJ1058" s="392" t="s">
        <v>210</v>
      </c>
      <c r="AK1058" s="340" t="s">
        <v>210</v>
      </c>
      <c r="AL1058" s="417" t="s">
        <v>210</v>
      </c>
      <c r="AM1058" s="392" t="s">
        <v>210</v>
      </c>
      <c r="AN1058" s="392" t="s">
        <v>210</v>
      </c>
      <c r="AO1058" s="341" t="s">
        <v>210</v>
      </c>
      <c r="AP1058" s="418" t="s">
        <v>210</v>
      </c>
      <c r="AQ1058" s="433" t="s">
        <v>4547</v>
      </c>
      <c r="AR1058" s="452">
        <v>1391</v>
      </c>
      <c r="AS1058" s="324">
        <v>100</v>
      </c>
      <c r="AT1058" s="432">
        <v>1</v>
      </c>
      <c r="AU1058" s="432" t="s">
        <v>7405</v>
      </c>
      <c r="AV1058" s="432">
        <v>1.5</v>
      </c>
      <c r="AW1058" s="490" t="s">
        <v>7405</v>
      </c>
      <c r="AX1058" s="417" t="s">
        <v>210</v>
      </c>
      <c r="AY1058" s="455" t="s">
        <v>210</v>
      </c>
      <c r="AZ1058" s="405" t="s">
        <v>622</v>
      </c>
      <c r="BA1058" s="324" t="s">
        <v>3565</v>
      </c>
      <c r="BB1058" s="324" t="s">
        <v>3372</v>
      </c>
      <c r="BC1058" s="324" t="s">
        <v>3704</v>
      </c>
      <c r="BD1058" s="324" t="s">
        <v>3372</v>
      </c>
      <c r="BE1058" s="324" t="s">
        <v>7370</v>
      </c>
      <c r="BF1058" s="324" t="s">
        <v>5058</v>
      </c>
      <c r="BG1058" s="324" t="s">
        <v>210</v>
      </c>
      <c r="BH1058" s="426" t="s">
        <v>210</v>
      </c>
      <c r="BI1058" s="453">
        <v>2.4</v>
      </c>
      <c r="BJ1058" s="427" t="s">
        <v>210</v>
      </c>
      <c r="BK1058" s="412"/>
      <c r="BL1058" s="413"/>
      <c r="BM1058" s="414"/>
      <c r="BN1058" s="453" t="s">
        <v>622</v>
      </c>
      <c r="BO1058" s="464">
        <v>1.1599999999999999</v>
      </c>
      <c r="BP1058" s="455" t="s">
        <v>622</v>
      </c>
      <c r="BQ1058" s="456" t="s">
        <v>7451</v>
      </c>
      <c r="BR1058" s="342" t="s">
        <v>210</v>
      </c>
      <c r="BS1058" s="342" t="s">
        <v>622</v>
      </c>
      <c r="BT1058" s="342" t="s">
        <v>210</v>
      </c>
      <c r="BU1058" s="342" t="s">
        <v>210</v>
      </c>
      <c r="BV1058" s="342" t="s">
        <v>210</v>
      </c>
      <c r="BW1058" s="341" t="s">
        <v>210</v>
      </c>
      <c r="BX1058" s="342" t="s">
        <v>210</v>
      </c>
      <c r="BY1058" s="888" t="s">
        <v>7406</v>
      </c>
      <c r="BZ1058" s="889"/>
      <c r="CA1058" s="889"/>
      <c r="CB1058" s="889"/>
      <c r="CC1058" s="889"/>
    </row>
    <row r="1059" spans="1:82" ht="22.5" customHeight="1">
      <c r="B1059" s="442">
        <v>180145</v>
      </c>
      <c r="C1059" s="443" t="s">
        <v>7373</v>
      </c>
      <c r="D1059" s="467" t="s">
        <v>7070</v>
      </c>
      <c r="E1059" s="404" t="s">
        <v>7371</v>
      </c>
      <c r="F1059" s="405" t="s">
        <v>264</v>
      </c>
      <c r="G1059" s="324" t="s">
        <v>3860</v>
      </c>
      <c r="H1059" s="324" t="s">
        <v>7372</v>
      </c>
      <c r="I1059" s="326" t="s">
        <v>11</v>
      </c>
      <c r="J1059" s="326" t="s">
        <v>7171</v>
      </c>
      <c r="K1059" s="324" t="s">
        <v>7414</v>
      </c>
      <c r="L1059" s="392">
        <v>8</v>
      </c>
      <c r="M1059" s="324" t="s">
        <v>10767</v>
      </c>
      <c r="N1059" s="444" t="s">
        <v>7374</v>
      </c>
      <c r="O1059" s="324">
        <v>30</v>
      </c>
      <c r="P1059" s="816">
        <f>Q1059*2</f>
        <v>710.5</v>
      </c>
      <c r="Q1059" s="817">
        <f>24.5*14.5</f>
        <v>355.25</v>
      </c>
      <c r="R1059" s="420" t="s">
        <v>7377</v>
      </c>
      <c r="S1059" s="394" t="s">
        <v>12019</v>
      </c>
      <c r="T1059" s="394" t="s">
        <v>12020</v>
      </c>
      <c r="U1059" s="394" t="s">
        <v>16278</v>
      </c>
      <c r="V1059" s="394" t="s">
        <v>12018</v>
      </c>
      <c r="W1059" s="460" t="s">
        <v>7378</v>
      </c>
      <c r="X1059" s="394" t="s">
        <v>12021</v>
      </c>
      <c r="Y1059" s="394" t="s">
        <v>12022</v>
      </c>
      <c r="Z1059" s="394" t="s">
        <v>16288</v>
      </c>
      <c r="AA1059" s="394" t="s">
        <v>12023</v>
      </c>
      <c r="AB1059" s="416"/>
      <c r="AC1059" s="416"/>
      <c r="AD1059" s="447" t="s">
        <v>7722</v>
      </c>
      <c r="AE1059" s="335" t="s">
        <v>210</v>
      </c>
      <c r="AF1059" s="462">
        <v>43251</v>
      </c>
      <c r="AG1059" s="748">
        <v>43299</v>
      </c>
      <c r="AH1059" s="417" t="s">
        <v>210</v>
      </c>
      <c r="AI1059" s="392" t="s">
        <v>210</v>
      </c>
      <c r="AJ1059" s="392" t="s">
        <v>210</v>
      </c>
      <c r="AK1059" s="340" t="s">
        <v>210</v>
      </c>
      <c r="AL1059" s="417" t="s">
        <v>210</v>
      </c>
      <c r="AM1059" s="392" t="s">
        <v>210</v>
      </c>
      <c r="AN1059" s="392" t="s">
        <v>210</v>
      </c>
      <c r="AO1059" s="341" t="s">
        <v>210</v>
      </c>
      <c r="AP1059" s="418" t="s">
        <v>210</v>
      </c>
      <c r="AQ1059" s="433" t="s">
        <v>4547</v>
      </c>
      <c r="AR1059" s="452">
        <v>603</v>
      </c>
      <c r="AS1059" s="324">
        <v>150</v>
      </c>
      <c r="AT1059" s="432">
        <v>1</v>
      </c>
      <c r="AU1059" s="432" t="s">
        <v>5079</v>
      </c>
      <c r="AV1059" s="432">
        <v>1.2</v>
      </c>
      <c r="AW1059" s="490" t="s">
        <v>5819</v>
      </c>
      <c r="AX1059" s="417" t="s">
        <v>210</v>
      </c>
      <c r="AY1059" s="455" t="s">
        <v>210</v>
      </c>
      <c r="AZ1059" s="405" t="s">
        <v>4083</v>
      </c>
      <c r="BA1059" s="324" t="s">
        <v>210</v>
      </c>
      <c r="BB1059" s="324" t="s">
        <v>210</v>
      </c>
      <c r="BC1059" s="324" t="s">
        <v>210</v>
      </c>
      <c r="BD1059" s="324" t="s">
        <v>210</v>
      </c>
      <c r="BE1059" s="324" t="s">
        <v>7383</v>
      </c>
      <c r="BF1059" s="324" t="s">
        <v>3512</v>
      </c>
      <c r="BG1059" s="324" t="s">
        <v>7384</v>
      </c>
      <c r="BH1059" s="426" t="s">
        <v>5819</v>
      </c>
      <c r="BI1059" s="453">
        <v>6</v>
      </c>
      <c r="BJ1059" s="427" t="s">
        <v>210</v>
      </c>
      <c r="BK1059" s="412"/>
      <c r="BL1059" s="413"/>
      <c r="BM1059" s="414"/>
      <c r="BN1059" s="453" t="s">
        <v>622</v>
      </c>
      <c r="BO1059" s="464">
        <v>0.94</v>
      </c>
      <c r="BP1059" s="455" t="s">
        <v>210</v>
      </c>
      <c r="BQ1059" s="456" t="s">
        <v>247</v>
      </c>
      <c r="BR1059" s="342" t="s">
        <v>210</v>
      </c>
      <c r="BS1059" s="342" t="s">
        <v>210</v>
      </c>
      <c r="BT1059" s="342" t="s">
        <v>210</v>
      </c>
      <c r="BU1059" s="342" t="s">
        <v>210</v>
      </c>
      <c r="BV1059" s="342" t="s">
        <v>210</v>
      </c>
      <c r="BW1059" s="341" t="s">
        <v>210</v>
      </c>
      <c r="BX1059" s="342" t="s">
        <v>210</v>
      </c>
      <c r="BY1059" s="457" t="s">
        <v>7385</v>
      </c>
      <c r="BZ1059" s="363"/>
      <c r="CA1059" s="363"/>
      <c r="CB1059" s="363"/>
      <c r="CC1059" s="363"/>
    </row>
    <row r="1060" spans="1:82" ht="22.5" customHeight="1">
      <c r="B1060" s="442" t="s">
        <v>7375</v>
      </c>
      <c r="C1060" s="443" t="s">
        <v>7376</v>
      </c>
      <c r="D1060" s="467" t="s">
        <v>7070</v>
      </c>
      <c r="E1060" s="404" t="s">
        <v>7371</v>
      </c>
      <c r="F1060" s="405" t="s">
        <v>264</v>
      </c>
      <c r="G1060" s="324" t="s">
        <v>3860</v>
      </c>
      <c r="H1060" s="324" t="s">
        <v>7372</v>
      </c>
      <c r="I1060" s="324" t="s">
        <v>1066</v>
      </c>
      <c r="J1060" s="324" t="s">
        <v>214</v>
      </c>
      <c r="K1060" s="324" t="s">
        <v>7415</v>
      </c>
      <c r="L1060" s="342">
        <v>20</v>
      </c>
      <c r="M1060" s="324" t="s">
        <v>6518</v>
      </c>
      <c r="N1060" s="444" t="s">
        <v>468</v>
      </c>
      <c r="O1060" s="324">
        <v>30</v>
      </c>
      <c r="P1060" s="816">
        <f>Q1060</f>
        <v>134.53749999999999</v>
      </c>
      <c r="Q1060" s="817">
        <f>11.75*11.45</f>
        <v>134.53749999999999</v>
      </c>
      <c r="R1060" s="420" t="s">
        <v>7377</v>
      </c>
      <c r="S1060" s="394" t="s">
        <v>12019</v>
      </c>
      <c r="T1060" s="394" t="s">
        <v>12020</v>
      </c>
      <c r="U1060" s="394" t="s">
        <v>16278</v>
      </c>
      <c r="V1060" s="394" t="s">
        <v>12018</v>
      </c>
      <c r="W1060" s="460" t="s">
        <v>7378</v>
      </c>
      <c r="X1060" s="394" t="s">
        <v>12021</v>
      </c>
      <c r="Y1060" s="394" t="s">
        <v>12022</v>
      </c>
      <c r="Z1060" s="394" t="s">
        <v>16288</v>
      </c>
      <c r="AA1060" s="394" t="s">
        <v>12023</v>
      </c>
      <c r="AB1060" s="416"/>
      <c r="AC1060" s="416"/>
      <c r="AD1060" s="447" t="s">
        <v>7722</v>
      </c>
      <c r="AE1060" s="335" t="s">
        <v>210</v>
      </c>
      <c r="AF1060" s="462">
        <v>43256</v>
      </c>
      <c r="AG1060" s="748">
        <v>43299</v>
      </c>
      <c r="AH1060" s="417" t="s">
        <v>210</v>
      </c>
      <c r="AI1060" s="392" t="s">
        <v>210</v>
      </c>
      <c r="AJ1060" s="392" t="s">
        <v>210</v>
      </c>
      <c r="AK1060" s="340" t="s">
        <v>210</v>
      </c>
      <c r="AL1060" s="417" t="s">
        <v>210</v>
      </c>
      <c r="AM1060" s="392" t="s">
        <v>210</v>
      </c>
      <c r="AN1060" s="392" t="s">
        <v>210</v>
      </c>
      <c r="AO1060" s="341" t="s">
        <v>210</v>
      </c>
      <c r="AP1060" s="418" t="s">
        <v>210</v>
      </c>
      <c r="AQ1060" s="433" t="s">
        <v>4550</v>
      </c>
      <c r="AR1060" s="452">
        <v>294.8</v>
      </c>
      <c r="AS1060" s="324">
        <v>100</v>
      </c>
      <c r="AT1060" s="432">
        <v>1</v>
      </c>
      <c r="AU1060" s="432" t="s">
        <v>5079</v>
      </c>
      <c r="AV1060" s="432">
        <v>1.2</v>
      </c>
      <c r="AW1060" s="490" t="s">
        <v>5819</v>
      </c>
      <c r="AX1060" s="417" t="s">
        <v>210</v>
      </c>
      <c r="AY1060" s="455" t="s">
        <v>210</v>
      </c>
      <c r="AZ1060" s="405" t="s">
        <v>4083</v>
      </c>
      <c r="BA1060" s="324" t="s">
        <v>210</v>
      </c>
      <c r="BB1060" s="324" t="s">
        <v>210</v>
      </c>
      <c r="BC1060" s="324" t="s">
        <v>210</v>
      </c>
      <c r="BD1060" s="324" t="s">
        <v>210</v>
      </c>
      <c r="BE1060" s="324" t="s">
        <v>7383</v>
      </c>
      <c r="BF1060" s="324" t="s">
        <v>3512</v>
      </c>
      <c r="BG1060" s="324" t="s">
        <v>7384</v>
      </c>
      <c r="BH1060" s="426" t="s">
        <v>5819</v>
      </c>
      <c r="BI1060" s="453">
        <v>6</v>
      </c>
      <c r="BJ1060" s="427" t="s">
        <v>210</v>
      </c>
      <c r="BK1060" s="412"/>
      <c r="BL1060" s="413"/>
      <c r="BM1060" s="414"/>
      <c r="BN1060" s="453" t="s">
        <v>622</v>
      </c>
      <c r="BO1060" s="464">
        <v>0.94</v>
      </c>
      <c r="BP1060" s="455" t="s">
        <v>210</v>
      </c>
      <c r="BQ1060" s="456" t="s">
        <v>247</v>
      </c>
      <c r="BR1060" s="342" t="s">
        <v>210</v>
      </c>
      <c r="BS1060" s="342" t="s">
        <v>210</v>
      </c>
      <c r="BT1060" s="342" t="s">
        <v>210</v>
      </c>
      <c r="BU1060" s="342" t="s">
        <v>210</v>
      </c>
      <c r="BV1060" s="342" t="s">
        <v>210</v>
      </c>
      <c r="BW1060" s="341" t="s">
        <v>210</v>
      </c>
      <c r="BX1060" s="342" t="s">
        <v>210</v>
      </c>
      <c r="BY1060" s="457" t="s">
        <v>7385</v>
      </c>
      <c r="BZ1060" s="363"/>
      <c r="CA1060" s="363"/>
      <c r="CB1060" s="363"/>
      <c r="CC1060" s="363"/>
    </row>
    <row r="1061" spans="1:82" ht="22.5" customHeight="1">
      <c r="B1061" s="442">
        <v>180146</v>
      </c>
      <c r="C1061" s="443" t="s">
        <v>7387</v>
      </c>
      <c r="D1061" s="439" t="s">
        <v>4849</v>
      </c>
      <c r="E1061" s="404" t="s">
        <v>6974</v>
      </c>
      <c r="F1061" s="405" t="s">
        <v>3715</v>
      </c>
      <c r="G1061" s="324" t="s">
        <v>4035</v>
      </c>
      <c r="H1061" s="324" t="s">
        <v>7388</v>
      </c>
      <c r="I1061" s="326" t="s">
        <v>11</v>
      </c>
      <c r="J1061" s="324" t="s">
        <v>214</v>
      </c>
      <c r="K1061" s="326" t="s">
        <v>247</v>
      </c>
      <c r="L1061" s="342">
        <v>2.9</v>
      </c>
      <c r="M1061" s="324" t="s">
        <v>10767</v>
      </c>
      <c r="N1061" s="444" t="s">
        <v>7417</v>
      </c>
      <c r="O1061" s="324">
        <v>100</v>
      </c>
      <c r="P1061" s="458">
        <v>700</v>
      </c>
      <c r="Q1061" s="459">
        <v>711</v>
      </c>
      <c r="R1061" s="329" t="s">
        <v>7496</v>
      </c>
      <c r="S1061" s="394" t="s">
        <v>11806</v>
      </c>
      <c r="T1061" s="400"/>
      <c r="U1061" s="400"/>
      <c r="V1061" s="394" t="s">
        <v>11807</v>
      </c>
      <c r="W1061" s="332" t="s">
        <v>1683</v>
      </c>
      <c r="X1061" s="331" t="s">
        <v>11803</v>
      </c>
      <c r="Y1061" s="331" t="s">
        <v>11804</v>
      </c>
      <c r="Z1061" s="331" t="s">
        <v>16512</v>
      </c>
      <c r="AA1061" s="331" t="s">
        <v>11805</v>
      </c>
      <c r="AB1061" s="416"/>
      <c r="AC1061" s="416"/>
      <c r="AD1061" s="897"/>
      <c r="AE1061" s="335" t="s">
        <v>210</v>
      </c>
      <c r="AF1061" s="462">
        <v>43251</v>
      </c>
      <c r="AG1061" s="748">
        <v>43287</v>
      </c>
      <c r="AH1061" s="417" t="s">
        <v>210</v>
      </c>
      <c r="AI1061" s="392" t="s">
        <v>210</v>
      </c>
      <c r="AJ1061" s="392" t="s">
        <v>210</v>
      </c>
      <c r="AK1061" s="340" t="s">
        <v>210</v>
      </c>
      <c r="AL1061" s="417" t="s">
        <v>210</v>
      </c>
      <c r="AM1061" s="392" t="s">
        <v>210</v>
      </c>
      <c r="AN1061" s="392" t="s">
        <v>210</v>
      </c>
      <c r="AO1061" s="341" t="s">
        <v>210</v>
      </c>
      <c r="AP1061" s="418" t="s">
        <v>210</v>
      </c>
      <c r="AQ1061" s="433" t="s">
        <v>4547</v>
      </c>
      <c r="AR1061" s="452">
        <v>962</v>
      </c>
      <c r="AS1061" s="324">
        <v>100</v>
      </c>
      <c r="AT1061" s="432">
        <v>1</v>
      </c>
      <c r="AU1061" s="432" t="s">
        <v>5079</v>
      </c>
      <c r="AV1061" s="432">
        <v>1.5</v>
      </c>
      <c r="AW1061" s="490" t="s">
        <v>5902</v>
      </c>
      <c r="AX1061" s="417" t="s">
        <v>210</v>
      </c>
      <c r="AY1061" s="455" t="s">
        <v>210</v>
      </c>
      <c r="AZ1061" s="405" t="s">
        <v>622</v>
      </c>
      <c r="BA1061" s="324" t="s">
        <v>7391</v>
      </c>
      <c r="BB1061" s="324" t="s">
        <v>7390</v>
      </c>
      <c r="BC1061" s="324" t="s">
        <v>7389</v>
      </c>
      <c r="BD1061" s="324" t="s">
        <v>7390</v>
      </c>
      <c r="BE1061" s="324" t="s">
        <v>3475</v>
      </c>
      <c r="BF1061" s="324" t="s">
        <v>3434</v>
      </c>
      <c r="BG1061" s="324" t="s">
        <v>7392</v>
      </c>
      <c r="BH1061" s="426" t="s">
        <v>3574</v>
      </c>
      <c r="BI1061" s="453">
        <v>1</v>
      </c>
      <c r="BJ1061" s="427" t="s">
        <v>210</v>
      </c>
      <c r="BK1061" s="412"/>
      <c r="BL1061" s="413"/>
      <c r="BM1061" s="414"/>
      <c r="BN1061" s="453" t="s">
        <v>622</v>
      </c>
      <c r="BO1061" s="464">
        <v>1.08</v>
      </c>
      <c r="BP1061" s="455" t="s">
        <v>622</v>
      </c>
      <c r="BQ1061" s="456" t="s">
        <v>7506</v>
      </c>
      <c r="BR1061" s="342" t="s">
        <v>210</v>
      </c>
      <c r="BS1061" s="342" t="s">
        <v>622</v>
      </c>
      <c r="BT1061" s="342" t="s">
        <v>210</v>
      </c>
      <c r="BU1061" s="342" t="s">
        <v>210</v>
      </c>
      <c r="BV1061" s="342" t="s">
        <v>210</v>
      </c>
      <c r="BW1061" s="341" t="s">
        <v>210</v>
      </c>
      <c r="BX1061" s="342" t="s">
        <v>210</v>
      </c>
      <c r="BY1061" s="457" t="s">
        <v>7507</v>
      </c>
      <c r="BZ1061" s="363"/>
      <c r="CA1061" s="363"/>
      <c r="CB1061" s="363"/>
      <c r="CC1061" s="363"/>
    </row>
    <row r="1062" spans="1:82" ht="22.5" customHeight="1">
      <c r="B1062" s="442">
        <v>180147</v>
      </c>
      <c r="C1062" s="443" t="s">
        <v>7394</v>
      </c>
      <c r="D1062" s="467" t="s">
        <v>6135</v>
      </c>
      <c r="E1062" s="404" t="s">
        <v>6974</v>
      </c>
      <c r="F1062" s="405" t="s">
        <v>265</v>
      </c>
      <c r="G1062" s="324" t="s">
        <v>7395</v>
      </c>
      <c r="H1062" s="324" t="s">
        <v>7396</v>
      </c>
      <c r="I1062" s="326" t="s">
        <v>11</v>
      </c>
      <c r="J1062" s="324" t="s">
        <v>6632</v>
      </c>
      <c r="K1062" s="324" t="s">
        <v>917</v>
      </c>
      <c r="L1062" s="392" t="s">
        <v>210</v>
      </c>
      <c r="M1062" s="324" t="s">
        <v>10767</v>
      </c>
      <c r="N1062" s="444" t="s">
        <v>438</v>
      </c>
      <c r="O1062" s="324">
        <v>20</v>
      </c>
      <c r="P1062" s="816">
        <f>Q1062*2</f>
        <v>6400</v>
      </c>
      <c r="Q1062" s="817">
        <v>3200</v>
      </c>
      <c r="R1062" s="420" t="s">
        <v>7397</v>
      </c>
      <c r="S1062" s="400"/>
      <c r="T1062" s="400"/>
      <c r="U1062" s="400"/>
      <c r="V1062" s="400"/>
      <c r="W1062" s="332" t="s">
        <v>1683</v>
      </c>
      <c r="X1062" s="331" t="s">
        <v>11803</v>
      </c>
      <c r="Y1062" s="331" t="s">
        <v>11804</v>
      </c>
      <c r="Z1062" s="331" t="s">
        <v>16512</v>
      </c>
      <c r="AA1062" s="331" t="s">
        <v>11805</v>
      </c>
      <c r="AB1062" s="416"/>
      <c r="AC1062" s="416"/>
      <c r="AD1062" s="447" t="s">
        <v>392</v>
      </c>
      <c r="AE1062" s="499" t="s">
        <v>245</v>
      </c>
      <c r="AF1062" s="462">
        <v>43255</v>
      </c>
      <c r="AG1062" s="748">
        <v>43329</v>
      </c>
      <c r="AH1062" s="417" t="s">
        <v>210</v>
      </c>
      <c r="AI1062" s="392" t="s">
        <v>210</v>
      </c>
      <c r="AJ1062" s="392" t="s">
        <v>210</v>
      </c>
      <c r="AK1062" s="340" t="s">
        <v>210</v>
      </c>
      <c r="AL1062" s="417" t="s">
        <v>210</v>
      </c>
      <c r="AM1062" s="392" t="s">
        <v>210</v>
      </c>
      <c r="AN1062" s="425" t="s">
        <v>210</v>
      </c>
      <c r="AO1062" s="341" t="s">
        <v>210</v>
      </c>
      <c r="AP1062" s="418" t="s">
        <v>210</v>
      </c>
      <c r="AQ1062" s="433" t="s">
        <v>4547</v>
      </c>
      <c r="AR1062" s="452">
        <v>3413</v>
      </c>
      <c r="AS1062" s="324">
        <v>130</v>
      </c>
      <c r="AT1062" s="432">
        <v>1</v>
      </c>
      <c r="AU1062" s="432" t="s">
        <v>3627</v>
      </c>
      <c r="AV1062" s="432">
        <v>1.5</v>
      </c>
      <c r="AW1062" s="490" t="s">
        <v>3434</v>
      </c>
      <c r="AX1062" s="417" t="s">
        <v>210</v>
      </c>
      <c r="AY1062" s="455" t="s">
        <v>210</v>
      </c>
      <c r="AZ1062" s="405" t="s">
        <v>622</v>
      </c>
      <c r="BA1062" s="324" t="s">
        <v>7400</v>
      </c>
      <c r="BB1062" s="324" t="s">
        <v>5280</v>
      </c>
      <c r="BC1062" s="324" t="s">
        <v>7401</v>
      </c>
      <c r="BD1062" s="324" t="s">
        <v>5280</v>
      </c>
      <c r="BE1062" s="324" t="s">
        <v>7402</v>
      </c>
      <c r="BF1062" s="324" t="s">
        <v>3495</v>
      </c>
      <c r="BG1062" s="324" t="s">
        <v>3476</v>
      </c>
      <c r="BH1062" s="426" t="s">
        <v>3382</v>
      </c>
      <c r="BI1062" s="453">
        <v>3</v>
      </c>
      <c r="BJ1062" s="427" t="s">
        <v>7458</v>
      </c>
      <c r="BK1062" s="412"/>
      <c r="BL1062" s="413"/>
      <c r="BM1062" s="414"/>
      <c r="BN1062" s="453" t="s">
        <v>622</v>
      </c>
      <c r="BO1062" s="464">
        <v>1.26</v>
      </c>
      <c r="BP1062" s="455" t="s">
        <v>622</v>
      </c>
      <c r="BQ1062" s="456" t="s">
        <v>7449</v>
      </c>
      <c r="BR1062" s="342" t="s">
        <v>210</v>
      </c>
      <c r="BS1062" s="342" t="s">
        <v>622</v>
      </c>
      <c r="BT1062" s="342" t="s">
        <v>210</v>
      </c>
      <c r="BU1062" s="342" t="s">
        <v>210</v>
      </c>
      <c r="BV1062" s="342" t="s">
        <v>210</v>
      </c>
      <c r="BW1062" s="341" t="s">
        <v>210</v>
      </c>
      <c r="BX1062" s="341" t="s">
        <v>210</v>
      </c>
      <c r="BY1062" s="457" t="s">
        <v>7890</v>
      </c>
      <c r="BZ1062" s="363"/>
      <c r="CA1062" s="363"/>
      <c r="CB1062" s="363"/>
      <c r="CC1062" s="363"/>
    </row>
    <row r="1063" spans="1:82" ht="22.5" customHeight="1">
      <c r="B1063" s="442">
        <v>180148</v>
      </c>
      <c r="C1063" s="443" t="s">
        <v>7420</v>
      </c>
      <c r="D1063" s="439" t="s">
        <v>4849</v>
      </c>
      <c r="E1063" s="404" t="s">
        <v>5362</v>
      </c>
      <c r="F1063" s="405" t="s">
        <v>266</v>
      </c>
      <c r="G1063" s="324" t="s">
        <v>7418</v>
      </c>
      <c r="H1063" s="324" t="s">
        <v>7419</v>
      </c>
      <c r="I1063" s="324" t="s">
        <v>766</v>
      </c>
      <c r="J1063" s="324" t="s">
        <v>216</v>
      </c>
      <c r="K1063" s="324" t="s">
        <v>6297</v>
      </c>
      <c r="L1063" s="392" t="s">
        <v>210</v>
      </c>
      <c r="M1063" s="324" t="s">
        <v>766</v>
      </c>
      <c r="N1063" s="444" t="s">
        <v>7421</v>
      </c>
      <c r="O1063" s="324" t="s">
        <v>210</v>
      </c>
      <c r="P1063" s="816">
        <f>Q1063*3</f>
        <v>405</v>
      </c>
      <c r="Q1063" s="817">
        <v>135</v>
      </c>
      <c r="R1063" s="420" t="s">
        <v>15043</v>
      </c>
      <c r="S1063" s="400"/>
      <c r="T1063" s="400"/>
      <c r="U1063" s="400"/>
      <c r="V1063" s="400"/>
      <c r="W1063" s="460" t="s">
        <v>4252</v>
      </c>
      <c r="X1063" s="394" t="s">
        <v>12014</v>
      </c>
      <c r="Y1063" s="394" t="s">
        <v>12015</v>
      </c>
      <c r="Z1063" s="394" t="s">
        <v>12016</v>
      </c>
      <c r="AA1063" s="394" t="s">
        <v>12017</v>
      </c>
      <c r="AB1063" s="416"/>
      <c r="AC1063" s="416"/>
      <c r="AD1063" s="461"/>
      <c r="AE1063" s="335" t="s">
        <v>210</v>
      </c>
      <c r="AF1063" s="462">
        <v>43258</v>
      </c>
      <c r="AG1063" s="748">
        <v>43861</v>
      </c>
      <c r="AH1063" s="417" t="s">
        <v>210</v>
      </c>
      <c r="AI1063" s="392" t="s">
        <v>210</v>
      </c>
      <c r="AJ1063" s="392" t="s">
        <v>210</v>
      </c>
      <c r="AK1063" s="340" t="s">
        <v>210</v>
      </c>
      <c r="AL1063" s="417" t="s">
        <v>210</v>
      </c>
      <c r="AM1063" s="392" t="s">
        <v>210</v>
      </c>
      <c r="AN1063" s="425" t="s">
        <v>9136</v>
      </c>
      <c r="AO1063" s="341" t="s">
        <v>210</v>
      </c>
      <c r="AP1063" s="418" t="s">
        <v>210</v>
      </c>
      <c r="AQ1063" s="433" t="s">
        <v>4550</v>
      </c>
      <c r="AR1063" s="452">
        <v>159</v>
      </c>
      <c r="AS1063" s="324">
        <v>50</v>
      </c>
      <c r="AT1063" s="432">
        <v>1</v>
      </c>
      <c r="AU1063" s="432" t="s">
        <v>5902</v>
      </c>
      <c r="AV1063" s="432">
        <v>1</v>
      </c>
      <c r="AW1063" s="490" t="s">
        <v>3434</v>
      </c>
      <c r="AX1063" s="417" t="s">
        <v>210</v>
      </c>
      <c r="AY1063" s="455" t="s">
        <v>210</v>
      </c>
      <c r="AZ1063" s="405" t="s">
        <v>622</v>
      </c>
      <c r="BA1063" s="324" t="s">
        <v>7422</v>
      </c>
      <c r="BB1063" s="324" t="s">
        <v>7423</v>
      </c>
      <c r="BC1063" s="324" t="s">
        <v>7424</v>
      </c>
      <c r="BD1063" s="324" t="s">
        <v>7423</v>
      </c>
      <c r="BE1063" s="324" t="s">
        <v>7425</v>
      </c>
      <c r="BF1063" s="324" t="s">
        <v>6579</v>
      </c>
      <c r="BG1063" s="324" t="s">
        <v>3558</v>
      </c>
      <c r="BH1063" s="426" t="s">
        <v>7423</v>
      </c>
      <c r="BI1063" s="453">
        <v>1.7</v>
      </c>
      <c r="BJ1063" s="427">
        <v>1.8</v>
      </c>
      <c r="BK1063" s="428" t="s">
        <v>8816</v>
      </c>
      <c r="BL1063" s="429">
        <v>2.9</v>
      </c>
      <c r="BM1063" s="414"/>
      <c r="BN1063" s="453" t="s">
        <v>622</v>
      </c>
      <c r="BO1063" s="464">
        <v>1.3</v>
      </c>
      <c r="BP1063" s="455" t="s">
        <v>622</v>
      </c>
      <c r="BQ1063" s="456" t="s">
        <v>1059</v>
      </c>
      <c r="BR1063" s="342" t="s">
        <v>210</v>
      </c>
      <c r="BS1063" s="342" t="s">
        <v>622</v>
      </c>
      <c r="BT1063" s="342" t="s">
        <v>210</v>
      </c>
      <c r="BU1063" s="342" t="s">
        <v>210</v>
      </c>
      <c r="BV1063" s="342" t="s">
        <v>210</v>
      </c>
      <c r="BW1063" s="341" t="s">
        <v>210</v>
      </c>
      <c r="BX1063" s="341" t="s">
        <v>210</v>
      </c>
      <c r="BY1063" s="457"/>
      <c r="BZ1063" s="363"/>
      <c r="CA1063" s="363"/>
      <c r="CB1063" s="363"/>
      <c r="CC1063" s="363"/>
    </row>
    <row r="1064" spans="1:82" ht="22.5" customHeight="1">
      <c r="B1064" s="442">
        <v>180149</v>
      </c>
      <c r="C1064" s="443" t="s">
        <v>7428</v>
      </c>
      <c r="D1064" s="439" t="s">
        <v>4849</v>
      </c>
      <c r="E1064" s="404" t="s">
        <v>6879</v>
      </c>
      <c r="F1064" s="405" t="s">
        <v>2300</v>
      </c>
      <c r="G1064" s="324" t="s">
        <v>7429</v>
      </c>
      <c r="H1064" s="324" t="s">
        <v>7430</v>
      </c>
      <c r="I1064" s="324" t="s">
        <v>296</v>
      </c>
      <c r="J1064" s="324" t="s">
        <v>214</v>
      </c>
      <c r="K1064" s="324" t="s">
        <v>1059</v>
      </c>
      <c r="L1064" s="392" t="s">
        <v>210</v>
      </c>
      <c r="M1064" s="324" t="s">
        <v>7431</v>
      </c>
      <c r="N1064" s="444" t="s">
        <v>468</v>
      </c>
      <c r="O1064" s="324" t="s">
        <v>210</v>
      </c>
      <c r="P1064" s="816">
        <v>100</v>
      </c>
      <c r="Q1064" s="817">
        <v>100</v>
      </c>
      <c r="R1064" s="420" t="s">
        <v>7433</v>
      </c>
      <c r="S1064" s="394" t="s">
        <v>12010</v>
      </c>
      <c r="T1064" s="394" t="s">
        <v>12012</v>
      </c>
      <c r="U1064" s="394" t="s">
        <v>12011</v>
      </c>
      <c r="V1064" s="394" t="s">
        <v>12013</v>
      </c>
      <c r="W1064" s="460" t="s">
        <v>7435</v>
      </c>
      <c r="X1064" s="400"/>
      <c r="Y1064" s="400"/>
      <c r="Z1064" s="400"/>
      <c r="AA1064" s="400"/>
      <c r="AB1064" s="416"/>
      <c r="AC1064" s="416"/>
      <c r="AD1064" s="334" t="s">
        <v>210</v>
      </c>
      <c r="AE1064" s="335" t="s">
        <v>210</v>
      </c>
      <c r="AF1064" s="462">
        <v>43259</v>
      </c>
      <c r="AG1064" s="748">
        <v>43276</v>
      </c>
      <c r="AH1064" s="417" t="s">
        <v>210</v>
      </c>
      <c r="AI1064" s="392" t="s">
        <v>210</v>
      </c>
      <c r="AJ1064" s="392" t="s">
        <v>210</v>
      </c>
      <c r="AK1064" s="340" t="s">
        <v>210</v>
      </c>
      <c r="AL1064" s="417" t="s">
        <v>210</v>
      </c>
      <c r="AM1064" s="392" t="s">
        <v>210</v>
      </c>
      <c r="AN1064" s="392" t="s">
        <v>210</v>
      </c>
      <c r="AO1064" s="341" t="s">
        <v>210</v>
      </c>
      <c r="AP1064" s="418" t="s">
        <v>210</v>
      </c>
      <c r="AQ1064" s="433" t="s">
        <v>4550</v>
      </c>
      <c r="AR1064" s="452">
        <f>127.2+120.1</f>
        <v>247.3</v>
      </c>
      <c r="AS1064" s="324">
        <v>50</v>
      </c>
      <c r="AT1064" s="432">
        <v>1</v>
      </c>
      <c r="AU1064" s="432" t="s">
        <v>7483</v>
      </c>
      <c r="AV1064" s="432">
        <v>1</v>
      </c>
      <c r="AW1064" s="490" t="s">
        <v>7483</v>
      </c>
      <c r="AX1064" s="417" t="s">
        <v>210</v>
      </c>
      <c r="AY1064" s="455" t="s">
        <v>210</v>
      </c>
      <c r="AZ1064" s="405" t="s">
        <v>4083</v>
      </c>
      <c r="BA1064" s="324" t="s">
        <v>210</v>
      </c>
      <c r="BB1064" s="324" t="s">
        <v>210</v>
      </c>
      <c r="BC1064" s="324" t="s">
        <v>7484</v>
      </c>
      <c r="BD1064" s="324" t="s">
        <v>5528</v>
      </c>
      <c r="BE1064" s="324" t="s">
        <v>3458</v>
      </c>
      <c r="BF1064" s="324" t="s">
        <v>5528</v>
      </c>
      <c r="BG1064" s="324" t="s">
        <v>7485</v>
      </c>
      <c r="BH1064" s="426" t="s">
        <v>7486</v>
      </c>
      <c r="BI1064" s="453">
        <v>2.5</v>
      </c>
      <c r="BJ1064" s="427" t="s">
        <v>9793</v>
      </c>
      <c r="BK1064" s="412"/>
      <c r="BL1064" s="413"/>
      <c r="BM1064" s="414"/>
      <c r="BN1064" s="453" t="s">
        <v>622</v>
      </c>
      <c r="BO1064" s="464">
        <v>1.4</v>
      </c>
      <c r="BP1064" s="455" t="s">
        <v>210</v>
      </c>
      <c r="BQ1064" s="456" t="s">
        <v>1059</v>
      </c>
      <c r="BR1064" s="342" t="s">
        <v>210</v>
      </c>
      <c r="BS1064" s="342" t="s">
        <v>622</v>
      </c>
      <c r="BT1064" s="342" t="s">
        <v>210</v>
      </c>
      <c r="BU1064" s="342" t="s">
        <v>210</v>
      </c>
      <c r="BV1064" s="342" t="s">
        <v>210</v>
      </c>
      <c r="BW1064" s="341" t="s">
        <v>210</v>
      </c>
      <c r="BX1064" s="341" t="s">
        <v>210</v>
      </c>
      <c r="BY1064" s="457" t="s">
        <v>7438</v>
      </c>
      <c r="BZ1064" s="363"/>
      <c r="CA1064" s="363"/>
      <c r="CB1064" s="363"/>
      <c r="CC1064" s="363"/>
    </row>
    <row r="1065" spans="1:82" ht="22.5" customHeight="1">
      <c r="B1065" s="442">
        <v>180150</v>
      </c>
      <c r="C1065" s="443" t="s">
        <v>7562</v>
      </c>
      <c r="D1065" s="467" t="s">
        <v>8022</v>
      </c>
      <c r="E1065" s="404" t="s">
        <v>6879</v>
      </c>
      <c r="F1065" s="405" t="s">
        <v>240</v>
      </c>
      <c r="G1065" s="324" t="s">
        <v>7453</v>
      </c>
      <c r="H1065" s="324" t="s">
        <v>7454</v>
      </c>
      <c r="I1065" s="324" t="s">
        <v>7455</v>
      </c>
      <c r="J1065" s="324" t="s">
        <v>214</v>
      </c>
      <c r="K1065" s="324" t="s">
        <v>7456</v>
      </c>
      <c r="L1065" s="392" t="s">
        <v>210</v>
      </c>
      <c r="M1065" s="324" t="s">
        <v>7457</v>
      </c>
      <c r="N1065" s="444" t="s">
        <v>468</v>
      </c>
      <c r="O1065" s="324">
        <v>30</v>
      </c>
      <c r="P1065" s="495"/>
      <c r="Q1065" s="497"/>
      <c r="R1065" s="329" t="s">
        <v>432</v>
      </c>
      <c r="S1065" s="331" t="s">
        <v>11079</v>
      </c>
      <c r="T1065" s="331" t="s">
        <v>11079</v>
      </c>
      <c r="U1065" s="331" t="s">
        <v>11079</v>
      </c>
      <c r="V1065" s="331" t="s">
        <v>295</v>
      </c>
      <c r="W1065" s="332" t="s">
        <v>432</v>
      </c>
      <c r="X1065" s="331" t="s">
        <v>11079</v>
      </c>
      <c r="Y1065" s="331" t="s">
        <v>11080</v>
      </c>
      <c r="Z1065" s="331" t="s">
        <v>11080</v>
      </c>
      <c r="AA1065" s="331" t="s">
        <v>6574</v>
      </c>
      <c r="AB1065" s="416" t="s">
        <v>7465</v>
      </c>
      <c r="AC1065" s="416"/>
      <c r="AD1065" s="334" t="s">
        <v>1475</v>
      </c>
      <c r="AE1065" s="335" t="s">
        <v>210</v>
      </c>
      <c r="AF1065" s="462">
        <v>43263</v>
      </c>
      <c r="AG1065" s="449"/>
      <c r="AH1065" s="417" t="s">
        <v>210</v>
      </c>
      <c r="AI1065" s="392" t="s">
        <v>210</v>
      </c>
      <c r="AJ1065" s="392" t="s">
        <v>210</v>
      </c>
      <c r="AK1065" s="340" t="s">
        <v>210</v>
      </c>
      <c r="AL1065" s="417" t="s">
        <v>210</v>
      </c>
      <c r="AM1065" s="432" t="s">
        <v>622</v>
      </c>
      <c r="AN1065" s="392" t="s">
        <v>210</v>
      </c>
      <c r="AO1065" s="341" t="s">
        <v>210</v>
      </c>
      <c r="AP1065" s="418" t="s">
        <v>210</v>
      </c>
      <c r="AQ1065" s="433" t="s">
        <v>4547</v>
      </c>
      <c r="AR1065" s="452">
        <v>776</v>
      </c>
      <c r="AS1065" s="324">
        <v>100</v>
      </c>
      <c r="AT1065" s="432">
        <v>1</v>
      </c>
      <c r="AU1065" s="432" t="s">
        <v>8012</v>
      </c>
      <c r="AV1065" s="432">
        <v>1.5</v>
      </c>
      <c r="AW1065" s="490" t="s">
        <v>8066</v>
      </c>
      <c r="AX1065" s="417" t="s">
        <v>210</v>
      </c>
      <c r="AY1065" s="455" t="s">
        <v>210</v>
      </c>
      <c r="AZ1065" s="405" t="s">
        <v>4083</v>
      </c>
      <c r="BA1065" s="324" t="s">
        <v>210</v>
      </c>
      <c r="BB1065" s="324" t="s">
        <v>210</v>
      </c>
      <c r="BC1065" s="324" t="s">
        <v>210</v>
      </c>
      <c r="BD1065" s="324" t="s">
        <v>210</v>
      </c>
      <c r="BE1065" s="324" t="s">
        <v>8065</v>
      </c>
      <c r="BF1065" s="324" t="s">
        <v>3936</v>
      </c>
      <c r="BG1065" s="324" t="s">
        <v>3475</v>
      </c>
      <c r="BH1065" s="426" t="s">
        <v>3424</v>
      </c>
      <c r="BI1065" s="453">
        <v>2.2999999999999998</v>
      </c>
      <c r="BJ1065" s="427" t="s">
        <v>210</v>
      </c>
      <c r="BK1065" s="412"/>
      <c r="BL1065" s="413"/>
      <c r="BM1065" s="414"/>
      <c r="BN1065" s="453" t="s">
        <v>622</v>
      </c>
      <c r="BO1065" s="464" t="s">
        <v>8064</v>
      </c>
      <c r="BP1065" s="455" t="s">
        <v>210</v>
      </c>
      <c r="BQ1065" s="360"/>
      <c r="BR1065" s="342" t="s">
        <v>210</v>
      </c>
      <c r="BS1065" s="342" t="s">
        <v>622</v>
      </c>
      <c r="BT1065" s="342" t="s">
        <v>210</v>
      </c>
      <c r="BU1065" s="342" t="s">
        <v>210</v>
      </c>
      <c r="BV1065" s="342" t="s">
        <v>210</v>
      </c>
      <c r="BW1065" s="341" t="s">
        <v>210</v>
      </c>
      <c r="BX1065" s="342" t="s">
        <v>210</v>
      </c>
      <c r="BY1065" s="457"/>
      <c r="BZ1065" s="363"/>
      <c r="CA1065" s="363"/>
      <c r="CB1065" s="363"/>
      <c r="CC1065" s="363"/>
    </row>
    <row r="1066" spans="1:82" ht="22.5" customHeight="1">
      <c r="B1066" s="442">
        <v>180151</v>
      </c>
      <c r="C1066" s="443" t="s">
        <v>7464</v>
      </c>
      <c r="D1066" s="467" t="s">
        <v>7070</v>
      </c>
      <c r="E1066" s="404" t="s">
        <v>6879</v>
      </c>
      <c r="F1066" s="405" t="s">
        <v>7135</v>
      </c>
      <c r="G1066" s="324" t="s">
        <v>5689</v>
      </c>
      <c r="H1066" s="324" t="s">
        <v>7466</v>
      </c>
      <c r="I1066" s="324" t="s">
        <v>383</v>
      </c>
      <c r="J1066" s="324" t="s">
        <v>214</v>
      </c>
      <c r="K1066" s="324" t="s">
        <v>3223</v>
      </c>
      <c r="L1066" s="392">
        <v>4</v>
      </c>
      <c r="M1066" s="324" t="s">
        <v>7457</v>
      </c>
      <c r="N1066" s="444" t="s">
        <v>438</v>
      </c>
      <c r="O1066" s="324">
        <v>36</v>
      </c>
      <c r="P1066" s="458">
        <v>444</v>
      </c>
      <c r="Q1066" s="459">
        <v>455.7</v>
      </c>
      <c r="R1066" s="420" t="s">
        <v>7467</v>
      </c>
      <c r="S1066" s="394" t="s">
        <v>12006</v>
      </c>
      <c r="T1066" s="394" t="s">
        <v>12009</v>
      </c>
      <c r="U1066" s="394" t="s">
        <v>12008</v>
      </c>
      <c r="V1066" s="394" t="s">
        <v>12007</v>
      </c>
      <c r="W1066" s="332" t="s">
        <v>644</v>
      </c>
      <c r="X1066" s="394" t="s">
        <v>12002</v>
      </c>
      <c r="Y1066" s="394" t="s">
        <v>12004</v>
      </c>
      <c r="Z1066" s="394" t="s">
        <v>12003</v>
      </c>
      <c r="AA1066" s="394" t="s">
        <v>12005</v>
      </c>
      <c r="AB1066" s="416"/>
      <c r="AC1066" s="416"/>
      <c r="AD1066" s="989"/>
      <c r="AE1066" s="948"/>
      <c r="AF1066" s="462">
        <v>43264</v>
      </c>
      <c r="AG1066" s="748">
        <v>43322</v>
      </c>
      <c r="AH1066" s="417" t="s">
        <v>210</v>
      </c>
      <c r="AI1066" s="392" t="s">
        <v>210</v>
      </c>
      <c r="AJ1066" s="392" t="s">
        <v>210</v>
      </c>
      <c r="AK1066" s="340" t="s">
        <v>210</v>
      </c>
      <c r="AL1066" s="417" t="s">
        <v>210</v>
      </c>
      <c r="AM1066" s="392" t="s">
        <v>210</v>
      </c>
      <c r="AN1066" s="392" t="s">
        <v>210</v>
      </c>
      <c r="AO1066" s="341" t="s">
        <v>210</v>
      </c>
      <c r="AP1066" s="342" t="s">
        <v>622</v>
      </c>
      <c r="AQ1066" s="433" t="s">
        <v>4547</v>
      </c>
      <c r="AR1066" s="452">
        <v>629.1</v>
      </c>
      <c r="AS1066" s="324">
        <v>80</v>
      </c>
      <c r="AT1066" s="432">
        <v>1</v>
      </c>
      <c r="AU1066" s="432" t="s">
        <v>7579</v>
      </c>
      <c r="AV1066" s="432">
        <v>1.5</v>
      </c>
      <c r="AW1066" s="490" t="s">
        <v>7580</v>
      </c>
      <c r="AX1066" s="417" t="s">
        <v>210</v>
      </c>
      <c r="AY1066" s="455" t="s">
        <v>210</v>
      </c>
      <c r="AZ1066" s="405" t="s">
        <v>4083</v>
      </c>
      <c r="BA1066" s="324" t="s">
        <v>210</v>
      </c>
      <c r="BB1066" s="324" t="s">
        <v>210</v>
      </c>
      <c r="BC1066" s="324" t="s">
        <v>7470</v>
      </c>
      <c r="BD1066" s="324" t="s">
        <v>7471</v>
      </c>
      <c r="BE1066" s="324" t="s">
        <v>7472</v>
      </c>
      <c r="BF1066" s="324" t="s">
        <v>7473</v>
      </c>
      <c r="BG1066" s="324" t="s">
        <v>7474</v>
      </c>
      <c r="BH1066" s="426" t="s">
        <v>3494</v>
      </c>
      <c r="BI1066" s="453">
        <v>2.2999999999999998</v>
      </c>
      <c r="BJ1066" s="427" t="s">
        <v>210</v>
      </c>
      <c r="BK1066" s="412"/>
      <c r="BL1066" s="413"/>
      <c r="BM1066" s="414"/>
      <c r="BN1066" s="453" t="s">
        <v>622</v>
      </c>
      <c r="BO1066" s="464">
        <v>1.1599999999999999</v>
      </c>
      <c r="BP1066" s="455" t="s">
        <v>210</v>
      </c>
      <c r="BQ1066" s="456" t="s">
        <v>247</v>
      </c>
      <c r="BR1066" s="342" t="s">
        <v>210</v>
      </c>
      <c r="BS1066" s="342" t="s">
        <v>622</v>
      </c>
      <c r="BT1066" s="342" t="s">
        <v>210</v>
      </c>
      <c r="BU1066" s="342" t="s">
        <v>210</v>
      </c>
      <c r="BV1066" s="342" t="s">
        <v>210</v>
      </c>
      <c r="BW1066" s="341" t="s">
        <v>210</v>
      </c>
      <c r="BX1066" s="341" t="s">
        <v>210</v>
      </c>
      <c r="BY1066" s="457"/>
      <c r="BZ1066" s="363"/>
      <c r="CA1066" s="363"/>
      <c r="CB1066" s="363"/>
      <c r="CC1066" s="363"/>
    </row>
    <row r="1067" spans="1:82" ht="22.5" customHeight="1">
      <c r="B1067" s="442">
        <v>180152</v>
      </c>
      <c r="C1067" s="443" t="s">
        <v>7489</v>
      </c>
      <c r="D1067" s="467" t="s">
        <v>6135</v>
      </c>
      <c r="E1067" s="404" t="s">
        <v>5362</v>
      </c>
      <c r="F1067" s="405" t="s">
        <v>213</v>
      </c>
      <c r="G1067" s="324" t="s">
        <v>7490</v>
      </c>
      <c r="H1067" s="324" t="s">
        <v>7491</v>
      </c>
      <c r="I1067" s="324" t="s">
        <v>383</v>
      </c>
      <c r="J1067" s="324" t="s">
        <v>6632</v>
      </c>
      <c r="K1067" s="326" t="s">
        <v>247</v>
      </c>
      <c r="L1067" s="990" t="s">
        <v>9902</v>
      </c>
      <c r="M1067" s="324" t="s">
        <v>7457</v>
      </c>
      <c r="N1067" s="444" t="s">
        <v>438</v>
      </c>
      <c r="O1067" s="324">
        <v>40</v>
      </c>
      <c r="P1067" s="458">
        <v>1314</v>
      </c>
      <c r="Q1067" s="459">
        <v>1068</v>
      </c>
      <c r="R1067" s="420" t="s">
        <v>4661</v>
      </c>
      <c r="S1067" s="394" t="s">
        <v>11528</v>
      </c>
      <c r="T1067" s="394" t="s">
        <v>11529</v>
      </c>
      <c r="U1067" s="394" t="s">
        <v>16415</v>
      </c>
      <c r="V1067" s="394" t="s">
        <v>11531</v>
      </c>
      <c r="W1067" s="460" t="s">
        <v>4661</v>
      </c>
      <c r="X1067" s="394" t="s">
        <v>11528</v>
      </c>
      <c r="Y1067" s="394" t="s">
        <v>11529</v>
      </c>
      <c r="Z1067" s="394" t="s">
        <v>11530</v>
      </c>
      <c r="AA1067" s="394" t="s">
        <v>11531</v>
      </c>
      <c r="AB1067" s="416"/>
      <c r="AC1067" s="416"/>
      <c r="AD1067" s="334" t="s">
        <v>2328</v>
      </c>
      <c r="AE1067" s="499" t="s">
        <v>1038</v>
      </c>
      <c r="AF1067" s="462">
        <v>43269</v>
      </c>
      <c r="AG1067" s="748">
        <v>43350</v>
      </c>
      <c r="AH1067" s="417" t="s">
        <v>210</v>
      </c>
      <c r="AI1067" s="392" t="s">
        <v>210</v>
      </c>
      <c r="AJ1067" s="392" t="s">
        <v>210</v>
      </c>
      <c r="AK1067" s="340" t="s">
        <v>210</v>
      </c>
      <c r="AL1067" s="417" t="s">
        <v>210</v>
      </c>
      <c r="AM1067" s="425" t="s">
        <v>8761</v>
      </c>
      <c r="AN1067" s="392" t="s">
        <v>210</v>
      </c>
      <c r="AO1067" s="341" t="s">
        <v>210</v>
      </c>
      <c r="AP1067" s="418" t="s">
        <v>210</v>
      </c>
      <c r="AQ1067" s="433" t="s">
        <v>4547</v>
      </c>
      <c r="AR1067" s="452">
        <v>2995</v>
      </c>
      <c r="AS1067" s="324">
        <v>80</v>
      </c>
      <c r="AT1067" s="432">
        <v>1</v>
      </c>
      <c r="AU1067" s="432" t="s">
        <v>5246</v>
      </c>
      <c r="AV1067" s="432">
        <v>1.2</v>
      </c>
      <c r="AW1067" s="490" t="s">
        <v>3625</v>
      </c>
      <c r="AX1067" s="417" t="s">
        <v>210</v>
      </c>
      <c r="AY1067" s="429" t="s">
        <v>622</v>
      </c>
      <c r="AZ1067" s="405" t="s">
        <v>4083</v>
      </c>
      <c r="BA1067" s="324" t="s">
        <v>210</v>
      </c>
      <c r="BB1067" s="324" t="s">
        <v>210</v>
      </c>
      <c r="BC1067" s="324" t="s">
        <v>3459</v>
      </c>
      <c r="BD1067" s="324" t="s">
        <v>3625</v>
      </c>
      <c r="BE1067" s="324" t="s">
        <v>7492</v>
      </c>
      <c r="BF1067" s="324" t="s">
        <v>5079</v>
      </c>
      <c r="BG1067" s="324" t="s">
        <v>210</v>
      </c>
      <c r="BH1067" s="426" t="s">
        <v>210</v>
      </c>
      <c r="BI1067" s="453">
        <v>0.5</v>
      </c>
      <c r="BJ1067" s="427" t="s">
        <v>210</v>
      </c>
      <c r="BK1067" s="412"/>
      <c r="BL1067" s="413"/>
      <c r="BM1067" s="414"/>
      <c r="BN1067" s="453" t="s">
        <v>622</v>
      </c>
      <c r="BO1067" s="464">
        <v>1.62</v>
      </c>
      <c r="BP1067" s="455" t="s">
        <v>622</v>
      </c>
      <c r="BQ1067" s="456" t="s">
        <v>5608</v>
      </c>
      <c r="BR1067" s="342" t="s">
        <v>622</v>
      </c>
      <c r="BS1067" s="342" t="s">
        <v>622</v>
      </c>
      <c r="BT1067" s="342" t="s">
        <v>210</v>
      </c>
      <c r="BU1067" s="342" t="s">
        <v>210</v>
      </c>
      <c r="BV1067" s="786">
        <v>-25</v>
      </c>
      <c r="BW1067" s="341" t="s">
        <v>210</v>
      </c>
      <c r="BX1067" s="341" t="s">
        <v>210</v>
      </c>
      <c r="BY1067" s="457"/>
      <c r="BZ1067" s="363"/>
      <c r="CA1067" s="363"/>
      <c r="CB1067" s="363"/>
      <c r="CC1067" s="363"/>
    </row>
    <row r="1068" spans="1:82" ht="22.5" customHeight="1">
      <c r="B1068" s="442">
        <v>180153</v>
      </c>
      <c r="C1068" s="443" t="s">
        <v>7498</v>
      </c>
      <c r="D1068" s="467" t="s">
        <v>4849</v>
      </c>
      <c r="E1068" s="404" t="s">
        <v>5362</v>
      </c>
      <c r="F1068" s="405" t="s">
        <v>1058</v>
      </c>
      <c r="G1068" s="324" t="s">
        <v>7493</v>
      </c>
      <c r="H1068" s="324" t="s">
        <v>7494</v>
      </c>
      <c r="I1068" s="324" t="s">
        <v>383</v>
      </c>
      <c r="J1068" s="324" t="s">
        <v>214</v>
      </c>
      <c r="K1068" s="324" t="s">
        <v>7495</v>
      </c>
      <c r="L1068" s="342">
        <v>40</v>
      </c>
      <c r="M1068" s="324" t="s">
        <v>7457</v>
      </c>
      <c r="N1068" s="444" t="s">
        <v>438</v>
      </c>
      <c r="O1068" s="324">
        <v>200</v>
      </c>
      <c r="P1068" s="816">
        <v>1470</v>
      </c>
      <c r="Q1068" s="817">
        <v>1470</v>
      </c>
      <c r="R1068" s="420" t="s">
        <v>7499</v>
      </c>
      <c r="S1068" s="400"/>
      <c r="T1068" s="400"/>
      <c r="U1068" s="400"/>
      <c r="V1068" s="400"/>
      <c r="W1068" s="460" t="s">
        <v>7500</v>
      </c>
      <c r="X1068" s="394" t="s">
        <v>11998</v>
      </c>
      <c r="Y1068" s="394" t="s">
        <v>12000</v>
      </c>
      <c r="Z1068" s="394" t="s">
        <v>11999</v>
      </c>
      <c r="AA1068" s="394" t="s">
        <v>12001</v>
      </c>
      <c r="AB1068" s="416"/>
      <c r="AC1068" s="416"/>
      <c r="AD1068" s="447" t="s">
        <v>8015</v>
      </c>
      <c r="AE1068" s="499" t="s">
        <v>7891</v>
      </c>
      <c r="AF1068" s="462">
        <v>43269</v>
      </c>
      <c r="AG1068" s="748">
        <v>43351</v>
      </c>
      <c r="AH1068" s="417" t="s">
        <v>210</v>
      </c>
      <c r="AI1068" s="392" t="s">
        <v>210</v>
      </c>
      <c r="AJ1068" s="392" t="s">
        <v>210</v>
      </c>
      <c r="AK1068" s="340" t="s">
        <v>210</v>
      </c>
      <c r="AL1068" s="417" t="s">
        <v>210</v>
      </c>
      <c r="AM1068" s="392" t="s">
        <v>210</v>
      </c>
      <c r="AN1068" s="392" t="s">
        <v>622</v>
      </c>
      <c r="AO1068" s="341" t="s">
        <v>210</v>
      </c>
      <c r="AP1068" s="418" t="s">
        <v>210</v>
      </c>
      <c r="AQ1068" s="433" t="s">
        <v>4547</v>
      </c>
      <c r="AR1068" s="452">
        <f>1827.2+248.4</f>
        <v>2075.6</v>
      </c>
      <c r="AS1068" s="324">
        <v>150</v>
      </c>
      <c r="AT1068" s="432">
        <v>1.2</v>
      </c>
      <c r="AU1068" s="432" t="s">
        <v>5246</v>
      </c>
      <c r="AV1068" s="432">
        <v>1.5</v>
      </c>
      <c r="AW1068" s="490" t="s">
        <v>3492</v>
      </c>
      <c r="AX1068" s="417" t="s">
        <v>210</v>
      </c>
      <c r="AY1068" s="455" t="s">
        <v>210</v>
      </c>
      <c r="AZ1068" s="405" t="s">
        <v>622</v>
      </c>
      <c r="BA1068" s="324" t="s">
        <v>3459</v>
      </c>
      <c r="BB1068" s="324" t="s">
        <v>3492</v>
      </c>
      <c r="BC1068" s="324" t="s">
        <v>7503</v>
      </c>
      <c r="BD1068" s="324" t="s">
        <v>6579</v>
      </c>
      <c r="BE1068" s="324" t="s">
        <v>7504</v>
      </c>
      <c r="BF1068" s="324" t="s">
        <v>7505</v>
      </c>
      <c r="BG1068" s="324" t="s">
        <v>3558</v>
      </c>
      <c r="BH1068" s="426" t="s">
        <v>3494</v>
      </c>
      <c r="BI1068" s="453">
        <v>1.3</v>
      </c>
      <c r="BJ1068" s="427" t="s">
        <v>210</v>
      </c>
      <c r="BK1068" s="412"/>
      <c r="BL1068" s="413"/>
      <c r="BM1068" s="414"/>
      <c r="BN1068" s="453" t="s">
        <v>622</v>
      </c>
      <c r="BO1068" s="464">
        <v>1.38</v>
      </c>
      <c r="BP1068" s="455" t="s">
        <v>622</v>
      </c>
      <c r="BQ1068" s="456" t="s">
        <v>5608</v>
      </c>
      <c r="BR1068" s="342" t="s">
        <v>210</v>
      </c>
      <c r="BS1068" s="342" t="s">
        <v>210</v>
      </c>
      <c r="BT1068" s="342" t="s">
        <v>210</v>
      </c>
      <c r="BU1068" s="342" t="s">
        <v>210</v>
      </c>
      <c r="BV1068" s="342" t="s">
        <v>210</v>
      </c>
      <c r="BW1068" s="341" t="s">
        <v>210</v>
      </c>
      <c r="BX1068" s="904" t="s">
        <v>622</v>
      </c>
      <c r="BY1068" s="457" t="s">
        <v>7497</v>
      </c>
      <c r="BZ1068" s="363"/>
      <c r="CA1068" s="363"/>
      <c r="CB1068" s="363"/>
      <c r="CC1068" s="363"/>
    </row>
    <row r="1069" spans="1:82" ht="22.5" customHeight="1">
      <c r="B1069" s="442">
        <v>180154</v>
      </c>
      <c r="C1069" s="443" t="s">
        <v>7520</v>
      </c>
      <c r="D1069" s="439" t="s">
        <v>4854</v>
      </c>
      <c r="E1069" s="404" t="s">
        <v>5363</v>
      </c>
      <c r="F1069" s="405" t="s">
        <v>240</v>
      </c>
      <c r="G1069" s="324" t="s">
        <v>2271</v>
      </c>
      <c r="H1069" s="324" t="s">
        <v>7729</v>
      </c>
      <c r="I1069" s="324" t="s">
        <v>383</v>
      </c>
      <c r="J1069" s="324" t="s">
        <v>214</v>
      </c>
      <c r="K1069" s="324" t="s">
        <v>917</v>
      </c>
      <c r="L1069" s="392" t="s">
        <v>210</v>
      </c>
      <c r="M1069" s="324" t="s">
        <v>7508</v>
      </c>
      <c r="N1069" s="444" t="s">
        <v>438</v>
      </c>
      <c r="O1069" s="324">
        <v>30</v>
      </c>
      <c r="P1069" s="816">
        <v>4055</v>
      </c>
      <c r="Q1069" s="817">
        <v>4055</v>
      </c>
      <c r="R1069" s="329" t="s">
        <v>447</v>
      </c>
      <c r="S1069" s="394" t="s">
        <v>11997</v>
      </c>
      <c r="T1069" s="331" t="s">
        <v>11078</v>
      </c>
      <c r="U1069" s="331" t="s">
        <v>16355</v>
      </c>
      <c r="V1069" s="394" t="s">
        <v>11189</v>
      </c>
      <c r="W1069" s="332" t="s">
        <v>432</v>
      </c>
      <c r="X1069" s="331" t="s">
        <v>11079</v>
      </c>
      <c r="Y1069" s="331" t="s">
        <v>11080</v>
      </c>
      <c r="Z1069" s="331" t="s">
        <v>11080</v>
      </c>
      <c r="AA1069" s="331" t="s">
        <v>6574</v>
      </c>
      <c r="AB1069" s="416"/>
      <c r="AC1069" s="416"/>
      <c r="AD1069" s="447" t="s">
        <v>730</v>
      </c>
      <c r="AE1069" s="499" t="s">
        <v>7965</v>
      </c>
      <c r="AF1069" s="462">
        <v>43270</v>
      </c>
      <c r="AG1069" s="748">
        <v>43364</v>
      </c>
      <c r="AH1069" s="417">
        <v>6.6</v>
      </c>
      <c r="AI1069" s="392">
        <v>16.899999999999999</v>
      </c>
      <c r="AJ1069" s="392">
        <v>12.6</v>
      </c>
      <c r="AK1069" s="340">
        <v>36.1</v>
      </c>
      <c r="AL1069" s="417" t="s">
        <v>210</v>
      </c>
      <c r="AM1069" s="392" t="s">
        <v>210</v>
      </c>
      <c r="AN1069" s="392" t="s">
        <v>210</v>
      </c>
      <c r="AO1069" s="341" t="s">
        <v>210</v>
      </c>
      <c r="AP1069" s="418" t="s">
        <v>210</v>
      </c>
      <c r="AQ1069" s="433" t="s">
        <v>4547</v>
      </c>
      <c r="AR1069" s="452">
        <v>5214.7759999999998</v>
      </c>
      <c r="AS1069" s="324">
        <v>100</v>
      </c>
      <c r="AT1069" s="432">
        <v>0.8</v>
      </c>
      <c r="AU1069" s="432" t="s">
        <v>5246</v>
      </c>
      <c r="AV1069" s="432">
        <v>1</v>
      </c>
      <c r="AW1069" s="490" t="s">
        <v>4813</v>
      </c>
      <c r="AX1069" s="417" t="s">
        <v>210</v>
      </c>
      <c r="AY1069" s="429" t="s">
        <v>622</v>
      </c>
      <c r="AZ1069" s="405" t="s">
        <v>4083</v>
      </c>
      <c r="BA1069" s="324" t="s">
        <v>210</v>
      </c>
      <c r="BB1069" s="324" t="s">
        <v>210</v>
      </c>
      <c r="BC1069" s="324" t="s">
        <v>210</v>
      </c>
      <c r="BD1069" s="324" t="s">
        <v>210</v>
      </c>
      <c r="BE1069" s="324" t="s">
        <v>7730</v>
      </c>
      <c r="BF1069" s="324" t="s">
        <v>4813</v>
      </c>
      <c r="BG1069" s="324" t="s">
        <v>3558</v>
      </c>
      <c r="BH1069" s="426" t="s">
        <v>3936</v>
      </c>
      <c r="BI1069" s="453">
        <v>3.3</v>
      </c>
      <c r="BJ1069" s="427" t="s">
        <v>210</v>
      </c>
      <c r="BK1069" s="412"/>
      <c r="BL1069" s="413"/>
      <c r="BM1069" s="414"/>
      <c r="BN1069" s="453" t="s">
        <v>622</v>
      </c>
      <c r="BO1069" s="464" t="s">
        <v>210</v>
      </c>
      <c r="BP1069" s="455" t="s">
        <v>622</v>
      </c>
      <c r="BQ1069" s="456" t="s">
        <v>1059</v>
      </c>
      <c r="BR1069" s="342" t="s">
        <v>210</v>
      </c>
      <c r="BS1069" s="342" t="s">
        <v>622</v>
      </c>
      <c r="BT1069" s="342" t="s">
        <v>210</v>
      </c>
      <c r="BU1069" s="342" t="s">
        <v>210</v>
      </c>
      <c r="BV1069" s="342" t="s">
        <v>210</v>
      </c>
      <c r="BW1069" s="341" t="s">
        <v>210</v>
      </c>
      <c r="BX1069" s="341" t="s">
        <v>210</v>
      </c>
      <c r="BY1069" s="457"/>
      <c r="BZ1069" s="363"/>
      <c r="CA1069" s="363"/>
      <c r="CB1069" s="363"/>
      <c r="CC1069" s="363"/>
    </row>
    <row r="1070" spans="1:82" ht="22.5" customHeight="1">
      <c r="B1070" s="442">
        <v>180155</v>
      </c>
      <c r="C1070" s="443" t="s">
        <v>7512</v>
      </c>
      <c r="D1070" s="467" t="s">
        <v>4847</v>
      </c>
      <c r="E1070" s="404" t="s">
        <v>5362</v>
      </c>
      <c r="F1070" s="405" t="s">
        <v>308</v>
      </c>
      <c r="G1070" s="324" t="s">
        <v>7513</v>
      </c>
      <c r="H1070" s="324" t="s">
        <v>7514</v>
      </c>
      <c r="I1070" s="324" t="s">
        <v>383</v>
      </c>
      <c r="J1070" s="324" t="s">
        <v>214</v>
      </c>
      <c r="K1070" s="324" t="s">
        <v>247</v>
      </c>
      <c r="L1070" s="342">
        <v>35</v>
      </c>
      <c r="M1070" s="324" t="s">
        <v>7457</v>
      </c>
      <c r="N1070" s="444" t="s">
        <v>438</v>
      </c>
      <c r="O1070" s="324">
        <v>100</v>
      </c>
      <c r="P1070" s="458">
        <v>1980</v>
      </c>
      <c r="Q1070" s="459">
        <v>1980</v>
      </c>
      <c r="R1070" s="420" t="s">
        <v>7515</v>
      </c>
      <c r="S1070" s="394" t="s">
        <v>11995</v>
      </c>
      <c r="T1070" s="400"/>
      <c r="U1070" s="400"/>
      <c r="V1070" s="394" t="s">
        <v>11996</v>
      </c>
      <c r="W1070" s="333" t="s">
        <v>592</v>
      </c>
      <c r="X1070" s="332" t="s">
        <v>11927</v>
      </c>
      <c r="Y1070" s="331" t="s">
        <v>11929</v>
      </c>
      <c r="Z1070" s="331" t="s">
        <v>11346</v>
      </c>
      <c r="AA1070" s="331" t="s">
        <v>11928</v>
      </c>
      <c r="AB1070" s="333" t="s">
        <v>592</v>
      </c>
      <c r="AC1070" s="416"/>
      <c r="AD1070" s="447" t="s">
        <v>7769</v>
      </c>
      <c r="AE1070" s="499" t="s">
        <v>1747</v>
      </c>
      <c r="AF1070" s="462">
        <v>43271</v>
      </c>
      <c r="AG1070" s="748">
        <v>43390</v>
      </c>
      <c r="AH1070" s="417" t="s">
        <v>210</v>
      </c>
      <c r="AI1070" s="392" t="s">
        <v>210</v>
      </c>
      <c r="AJ1070" s="392" t="s">
        <v>210</v>
      </c>
      <c r="AK1070" s="340" t="s">
        <v>210</v>
      </c>
      <c r="AL1070" s="417" t="s">
        <v>210</v>
      </c>
      <c r="AM1070" s="392" t="s">
        <v>210</v>
      </c>
      <c r="AN1070" s="392" t="s">
        <v>210</v>
      </c>
      <c r="AO1070" s="341" t="s">
        <v>210</v>
      </c>
      <c r="AP1070" s="418" t="s">
        <v>210</v>
      </c>
      <c r="AQ1070" s="433" t="s">
        <v>4547</v>
      </c>
      <c r="AR1070" s="452">
        <v>2513</v>
      </c>
      <c r="AS1070" s="324">
        <v>120</v>
      </c>
      <c r="AT1070" s="432">
        <v>1</v>
      </c>
      <c r="AU1070" s="432" t="s">
        <v>5246</v>
      </c>
      <c r="AV1070" s="432">
        <v>1.5</v>
      </c>
      <c r="AW1070" s="490" t="s">
        <v>5246</v>
      </c>
      <c r="AX1070" s="417" t="s">
        <v>210</v>
      </c>
      <c r="AY1070" s="455" t="s">
        <v>210</v>
      </c>
      <c r="AZ1070" s="405" t="s">
        <v>4083</v>
      </c>
      <c r="BA1070" s="324" t="s">
        <v>210</v>
      </c>
      <c r="BB1070" s="324" t="s">
        <v>210</v>
      </c>
      <c r="BC1070" s="324" t="s">
        <v>7518</v>
      </c>
      <c r="BD1070" s="324" t="s">
        <v>3434</v>
      </c>
      <c r="BE1070" s="324" t="s">
        <v>3738</v>
      </c>
      <c r="BF1070" s="324" t="s">
        <v>3372</v>
      </c>
      <c r="BG1070" s="324" t="s">
        <v>7519</v>
      </c>
      <c r="BH1070" s="426" t="s">
        <v>3494</v>
      </c>
      <c r="BI1070" s="453">
        <v>1</v>
      </c>
      <c r="BJ1070" s="427" t="s">
        <v>210</v>
      </c>
      <c r="BK1070" s="412"/>
      <c r="BL1070" s="413"/>
      <c r="BM1070" s="414"/>
      <c r="BN1070" s="453" t="s">
        <v>622</v>
      </c>
      <c r="BO1070" s="464">
        <v>1.04</v>
      </c>
      <c r="BP1070" s="455" t="s">
        <v>622</v>
      </c>
      <c r="BQ1070" s="456" t="s">
        <v>5608</v>
      </c>
      <c r="BR1070" s="342" t="s">
        <v>622</v>
      </c>
      <c r="BS1070" s="342" t="s">
        <v>210</v>
      </c>
      <c r="BT1070" s="342" t="s">
        <v>210</v>
      </c>
      <c r="BU1070" s="342" t="s">
        <v>210</v>
      </c>
      <c r="BV1070" s="342" t="s">
        <v>210</v>
      </c>
      <c r="BW1070" s="341" t="s">
        <v>210</v>
      </c>
      <c r="BX1070" s="341" t="s">
        <v>210</v>
      </c>
      <c r="BY1070" s="457" t="s">
        <v>7755</v>
      </c>
      <c r="BZ1070" s="363"/>
      <c r="CA1070" s="363"/>
      <c r="CB1070" s="363"/>
      <c r="CC1070" s="363"/>
    </row>
    <row r="1071" spans="1:82" s="465" customFormat="1" ht="22.5" customHeight="1">
      <c r="A1071" s="287"/>
      <c r="B1071" s="749">
        <v>180156</v>
      </c>
      <c r="C1071" s="781" t="s">
        <v>7530</v>
      </c>
      <c r="D1071" s="829" t="s">
        <v>4847</v>
      </c>
      <c r="E1071" s="752" t="s">
        <v>5362</v>
      </c>
      <c r="F1071" s="753" t="s">
        <v>839</v>
      </c>
      <c r="G1071" s="754" t="s">
        <v>2228</v>
      </c>
      <c r="H1071" s="754" t="s">
        <v>7531</v>
      </c>
      <c r="I1071" s="754" t="s">
        <v>383</v>
      </c>
      <c r="J1071" s="754" t="s">
        <v>214</v>
      </c>
      <c r="K1071" s="754" t="s">
        <v>917</v>
      </c>
      <c r="L1071" s="676" t="s">
        <v>210</v>
      </c>
      <c r="M1071" s="754" t="s">
        <v>7457</v>
      </c>
      <c r="N1071" s="755" t="s">
        <v>7532</v>
      </c>
      <c r="O1071" s="754">
        <v>40</v>
      </c>
      <c r="P1071" s="782">
        <v>1920</v>
      </c>
      <c r="Q1071" s="783">
        <v>1920</v>
      </c>
      <c r="R1071" s="756" t="s">
        <v>496</v>
      </c>
      <c r="S1071" s="848" t="s">
        <v>11989</v>
      </c>
      <c r="T1071" s="848" t="s">
        <v>11991</v>
      </c>
      <c r="U1071" s="848" t="s">
        <v>11990</v>
      </c>
      <c r="V1071" s="848" t="s">
        <v>11992</v>
      </c>
      <c r="W1071" s="757" t="s">
        <v>7574</v>
      </c>
      <c r="X1071" s="708" t="s">
        <v>11993</v>
      </c>
      <c r="Y1071" s="708"/>
      <c r="Z1071" s="708"/>
      <c r="AA1071" s="708" t="s">
        <v>11994</v>
      </c>
      <c r="AB1071" s="758"/>
      <c r="AC1071" s="758"/>
      <c r="AD1071" s="759"/>
      <c r="AE1071" s="672" t="s">
        <v>210</v>
      </c>
      <c r="AF1071" s="846">
        <v>43272</v>
      </c>
      <c r="AG1071" s="674" t="s">
        <v>10514</v>
      </c>
      <c r="AH1071" s="675" t="s">
        <v>210</v>
      </c>
      <c r="AI1071" s="676" t="s">
        <v>210</v>
      </c>
      <c r="AJ1071" s="676" t="s">
        <v>210</v>
      </c>
      <c r="AK1071" s="677" t="s">
        <v>210</v>
      </c>
      <c r="AL1071" s="675" t="s">
        <v>210</v>
      </c>
      <c r="AM1071" s="676" t="s">
        <v>210</v>
      </c>
      <c r="AN1071" s="676" t="s">
        <v>210</v>
      </c>
      <c r="AO1071" s="678" t="s">
        <v>210</v>
      </c>
      <c r="AP1071" s="784" t="s">
        <v>210</v>
      </c>
      <c r="AQ1071" s="762" t="s">
        <v>4547</v>
      </c>
      <c r="AR1071" s="763">
        <v>4308</v>
      </c>
      <c r="AS1071" s="754">
        <v>100</v>
      </c>
      <c r="AT1071" s="785">
        <v>0.8</v>
      </c>
      <c r="AU1071" s="785" t="s">
        <v>5246</v>
      </c>
      <c r="AV1071" s="785">
        <v>1.5</v>
      </c>
      <c r="AW1071" s="764" t="s">
        <v>5246</v>
      </c>
      <c r="AX1071" s="675" t="s">
        <v>210</v>
      </c>
      <c r="AY1071" s="766" t="s">
        <v>622</v>
      </c>
      <c r="AZ1071" s="753" t="s">
        <v>622</v>
      </c>
      <c r="BA1071" s="754" t="s">
        <v>7533</v>
      </c>
      <c r="BB1071" s="754" t="s">
        <v>7534</v>
      </c>
      <c r="BC1071" s="754" t="s">
        <v>7535</v>
      </c>
      <c r="BD1071" s="754" t="s">
        <v>7534</v>
      </c>
      <c r="BE1071" s="754" t="s">
        <v>7536</v>
      </c>
      <c r="BF1071" s="754" t="s">
        <v>5246</v>
      </c>
      <c r="BG1071" s="754" t="s">
        <v>210</v>
      </c>
      <c r="BH1071" s="767" t="s">
        <v>210</v>
      </c>
      <c r="BI1071" s="765">
        <v>1.8</v>
      </c>
      <c r="BJ1071" s="768" t="s">
        <v>9795</v>
      </c>
      <c r="BK1071" s="769"/>
      <c r="BL1071" s="766"/>
      <c r="BM1071" s="770"/>
      <c r="BN1071" s="765" t="s">
        <v>622</v>
      </c>
      <c r="BO1071" s="771">
        <v>4.2750000000000004</v>
      </c>
      <c r="BP1071" s="772" t="s">
        <v>622</v>
      </c>
      <c r="BQ1071" s="773" t="s">
        <v>5235</v>
      </c>
      <c r="BR1071" s="688" t="s">
        <v>210</v>
      </c>
      <c r="BS1071" s="688" t="s">
        <v>622</v>
      </c>
      <c r="BT1071" s="688" t="s">
        <v>210</v>
      </c>
      <c r="BU1071" s="688" t="s">
        <v>210</v>
      </c>
      <c r="BV1071" s="688" t="s">
        <v>210</v>
      </c>
      <c r="BW1071" s="678" t="s">
        <v>210</v>
      </c>
      <c r="BX1071" s="678" t="s">
        <v>210</v>
      </c>
      <c r="BY1071" s="774"/>
      <c r="BZ1071" s="483"/>
      <c r="CA1071" s="483"/>
      <c r="CB1071" s="483"/>
      <c r="CC1071" s="483"/>
      <c r="CD1071" s="484"/>
    </row>
    <row r="1072" spans="1:82" ht="22.5" customHeight="1">
      <c r="B1072" s="442">
        <v>180157</v>
      </c>
      <c r="C1072" s="443" t="s">
        <v>7541</v>
      </c>
      <c r="D1072" s="467" t="s">
        <v>4849</v>
      </c>
      <c r="E1072" s="404" t="s">
        <v>5362</v>
      </c>
      <c r="F1072" s="405" t="s">
        <v>213</v>
      </c>
      <c r="G1072" s="324" t="s">
        <v>7542</v>
      </c>
      <c r="H1072" s="324" t="s">
        <v>7543</v>
      </c>
      <c r="I1072" s="324" t="s">
        <v>1066</v>
      </c>
      <c r="J1072" s="326" t="s">
        <v>216</v>
      </c>
      <c r="K1072" s="324" t="s">
        <v>5704</v>
      </c>
      <c r="L1072" s="392" t="s">
        <v>210</v>
      </c>
      <c r="M1072" s="324" t="s">
        <v>7544</v>
      </c>
      <c r="N1072" s="444" t="s">
        <v>8043</v>
      </c>
      <c r="O1072" s="324" t="s">
        <v>210</v>
      </c>
      <c r="P1072" s="458">
        <v>499.98</v>
      </c>
      <c r="Q1072" s="459">
        <v>263.86</v>
      </c>
      <c r="R1072" s="420" t="s">
        <v>7545</v>
      </c>
      <c r="S1072" s="400"/>
      <c r="T1072" s="400"/>
      <c r="U1072" s="400"/>
      <c r="V1072" s="400"/>
      <c r="W1072" s="460" t="s">
        <v>7549</v>
      </c>
      <c r="X1072" s="394" t="s">
        <v>11985</v>
      </c>
      <c r="Y1072" s="394" t="s">
        <v>11986</v>
      </c>
      <c r="Z1072" s="394" t="s">
        <v>11987</v>
      </c>
      <c r="AA1072" s="394" t="s">
        <v>11988</v>
      </c>
      <c r="AB1072" s="416"/>
      <c r="AC1072" s="416"/>
      <c r="AD1072" s="447" t="s">
        <v>3278</v>
      </c>
      <c r="AE1072" s="335" t="s">
        <v>210</v>
      </c>
      <c r="AF1072" s="462">
        <v>43273</v>
      </c>
      <c r="AG1072" s="748">
        <v>43312</v>
      </c>
      <c r="AH1072" s="417" t="s">
        <v>210</v>
      </c>
      <c r="AI1072" s="392" t="s">
        <v>210</v>
      </c>
      <c r="AJ1072" s="392" t="s">
        <v>210</v>
      </c>
      <c r="AK1072" s="340" t="s">
        <v>210</v>
      </c>
      <c r="AL1072" s="417" t="s">
        <v>210</v>
      </c>
      <c r="AM1072" s="392" t="s">
        <v>210</v>
      </c>
      <c r="AN1072" s="392" t="s">
        <v>210</v>
      </c>
      <c r="AO1072" s="341" t="s">
        <v>210</v>
      </c>
      <c r="AP1072" s="418" t="s">
        <v>210</v>
      </c>
      <c r="AQ1072" s="433" t="s">
        <v>4550</v>
      </c>
      <c r="AR1072" s="452">
        <v>510</v>
      </c>
      <c r="AS1072" s="324">
        <v>100</v>
      </c>
      <c r="AT1072" s="432">
        <v>1.8</v>
      </c>
      <c r="AU1072" s="432" t="s">
        <v>5528</v>
      </c>
      <c r="AV1072" s="432">
        <v>0.6</v>
      </c>
      <c r="AW1072" s="490" t="s">
        <v>5528</v>
      </c>
      <c r="AX1072" s="417" t="s">
        <v>210</v>
      </c>
      <c r="AY1072" s="455" t="s">
        <v>210</v>
      </c>
      <c r="AZ1072" s="405" t="s">
        <v>4083</v>
      </c>
      <c r="BA1072" s="324" t="s">
        <v>210</v>
      </c>
      <c r="BB1072" s="324" t="s">
        <v>210</v>
      </c>
      <c r="BC1072" s="324" t="s">
        <v>210</v>
      </c>
      <c r="BD1072" s="324" t="s">
        <v>210</v>
      </c>
      <c r="BE1072" s="324" t="s">
        <v>7550</v>
      </c>
      <c r="BF1072" s="324" t="s">
        <v>6579</v>
      </c>
      <c r="BG1072" s="324" t="s">
        <v>3565</v>
      </c>
      <c r="BH1072" s="426" t="s">
        <v>3512</v>
      </c>
      <c r="BI1072" s="453">
        <v>1.3</v>
      </c>
      <c r="BJ1072" s="427" t="s">
        <v>210</v>
      </c>
      <c r="BK1072" s="412"/>
      <c r="BL1072" s="413"/>
      <c r="BM1072" s="414"/>
      <c r="BN1072" s="453" t="s">
        <v>622</v>
      </c>
      <c r="BO1072" s="464">
        <v>1.05</v>
      </c>
      <c r="BP1072" s="455" t="s">
        <v>210</v>
      </c>
      <c r="BQ1072" s="456" t="s">
        <v>1059</v>
      </c>
      <c r="BR1072" s="342" t="s">
        <v>210</v>
      </c>
      <c r="BS1072" s="342" t="s">
        <v>622</v>
      </c>
      <c r="BT1072" s="342" t="s">
        <v>210</v>
      </c>
      <c r="BU1072" s="342" t="s">
        <v>210</v>
      </c>
      <c r="BV1072" s="342" t="s">
        <v>210</v>
      </c>
      <c r="BW1072" s="341" t="s">
        <v>210</v>
      </c>
      <c r="BX1072" s="341" t="s">
        <v>210</v>
      </c>
      <c r="BY1072" s="457" t="s">
        <v>7551</v>
      </c>
      <c r="BZ1072" s="363"/>
      <c r="CA1072" s="363"/>
      <c r="CB1072" s="363"/>
      <c r="CC1072" s="363"/>
    </row>
    <row r="1073" spans="2:81" ht="22.5" customHeight="1">
      <c r="B1073" s="442">
        <v>180158</v>
      </c>
      <c r="C1073" s="443" t="s">
        <v>7553</v>
      </c>
      <c r="D1073" s="467" t="s">
        <v>4849</v>
      </c>
      <c r="E1073" s="404" t="s">
        <v>5362</v>
      </c>
      <c r="F1073" s="405" t="s">
        <v>1043</v>
      </c>
      <c r="G1073" s="324" t="s">
        <v>7554</v>
      </c>
      <c r="H1073" s="324" t="s">
        <v>7555</v>
      </c>
      <c r="I1073" s="324" t="s">
        <v>1066</v>
      </c>
      <c r="J1073" s="324" t="s">
        <v>210</v>
      </c>
      <c r="K1073" s="324" t="s">
        <v>7556</v>
      </c>
      <c r="L1073" s="392" t="s">
        <v>210</v>
      </c>
      <c r="M1073" s="324" t="s">
        <v>210</v>
      </c>
      <c r="N1073" s="324" t="s">
        <v>210</v>
      </c>
      <c r="O1073" s="324" t="s">
        <v>210</v>
      </c>
      <c r="P1073" s="816">
        <v>750</v>
      </c>
      <c r="Q1073" s="817">
        <v>750</v>
      </c>
      <c r="R1073" s="420" t="s">
        <v>7557</v>
      </c>
      <c r="S1073" s="394" t="s">
        <v>11982</v>
      </c>
      <c r="T1073" s="394" t="s">
        <v>11983</v>
      </c>
      <c r="U1073" s="394" t="s">
        <v>16238</v>
      </c>
      <c r="V1073" s="394" t="s">
        <v>11984</v>
      </c>
      <c r="W1073" s="460" t="s">
        <v>7557</v>
      </c>
      <c r="X1073" s="394" t="s">
        <v>11982</v>
      </c>
      <c r="Y1073" s="394" t="s">
        <v>11983</v>
      </c>
      <c r="Z1073" s="394" t="s">
        <v>16241</v>
      </c>
      <c r="AA1073" s="394" t="s">
        <v>11984</v>
      </c>
      <c r="AB1073" s="416"/>
      <c r="AC1073" s="416"/>
      <c r="AD1073" s="334" t="s">
        <v>210</v>
      </c>
      <c r="AE1073" s="335" t="s">
        <v>210</v>
      </c>
      <c r="AF1073" s="462">
        <v>43277</v>
      </c>
      <c r="AG1073" s="748">
        <v>43312</v>
      </c>
      <c r="AH1073" s="417" t="s">
        <v>210</v>
      </c>
      <c r="AI1073" s="392" t="s">
        <v>210</v>
      </c>
      <c r="AJ1073" s="392" t="s">
        <v>210</v>
      </c>
      <c r="AK1073" s="340" t="s">
        <v>210</v>
      </c>
      <c r="AL1073" s="417" t="s">
        <v>210</v>
      </c>
      <c r="AM1073" s="392" t="s">
        <v>210</v>
      </c>
      <c r="AN1073" s="392" t="s">
        <v>210</v>
      </c>
      <c r="AO1073" s="341" t="s">
        <v>210</v>
      </c>
      <c r="AP1073" s="418" t="s">
        <v>210</v>
      </c>
      <c r="AQ1073" s="433" t="s">
        <v>4550</v>
      </c>
      <c r="AR1073" s="452">
        <v>902</v>
      </c>
      <c r="AS1073" s="324">
        <v>50</v>
      </c>
      <c r="AT1073" s="432">
        <v>1.2</v>
      </c>
      <c r="AU1073" s="432" t="s">
        <v>6579</v>
      </c>
      <c r="AV1073" s="432">
        <v>1.2</v>
      </c>
      <c r="AW1073" s="490" t="s">
        <v>3372</v>
      </c>
      <c r="AX1073" s="417" t="s">
        <v>210</v>
      </c>
      <c r="AY1073" s="455" t="s">
        <v>210</v>
      </c>
      <c r="AZ1073" s="405" t="s">
        <v>622</v>
      </c>
      <c r="BA1073" s="324" t="s">
        <v>3459</v>
      </c>
      <c r="BB1073" s="324" t="s">
        <v>6579</v>
      </c>
      <c r="BC1073" s="324" t="s">
        <v>7558</v>
      </c>
      <c r="BD1073" s="324" t="s">
        <v>7559</v>
      </c>
      <c r="BE1073" s="324" t="s">
        <v>7560</v>
      </c>
      <c r="BF1073" s="324" t="s">
        <v>7559</v>
      </c>
      <c r="BG1073" s="324" t="s">
        <v>7561</v>
      </c>
      <c r="BH1073" s="324" t="s">
        <v>7559</v>
      </c>
      <c r="BI1073" s="453">
        <v>1.7</v>
      </c>
      <c r="BJ1073" s="427" t="s">
        <v>210</v>
      </c>
      <c r="BK1073" s="412"/>
      <c r="BL1073" s="413"/>
      <c r="BM1073" s="414"/>
      <c r="BN1073" s="453" t="s">
        <v>210</v>
      </c>
      <c r="BO1073" s="464" t="s">
        <v>210</v>
      </c>
      <c r="BP1073" s="455" t="s">
        <v>210</v>
      </c>
      <c r="BQ1073" s="456" t="s">
        <v>5608</v>
      </c>
      <c r="BR1073" s="342" t="s">
        <v>210</v>
      </c>
      <c r="BS1073" s="342" t="s">
        <v>210</v>
      </c>
      <c r="BT1073" s="342" t="s">
        <v>210</v>
      </c>
      <c r="BU1073" s="342" t="s">
        <v>210</v>
      </c>
      <c r="BV1073" s="342" t="s">
        <v>210</v>
      </c>
      <c r="BW1073" s="341" t="s">
        <v>210</v>
      </c>
      <c r="BX1073" s="341" t="s">
        <v>210</v>
      </c>
      <c r="BY1073" s="457"/>
      <c r="BZ1073" s="363"/>
      <c r="CA1073" s="363"/>
      <c r="CB1073" s="363"/>
      <c r="CC1073" s="363"/>
    </row>
    <row r="1074" spans="2:81" ht="22.5" customHeight="1">
      <c r="B1074" s="442">
        <v>180159</v>
      </c>
      <c r="C1074" s="443" t="s">
        <v>7566</v>
      </c>
      <c r="D1074" s="467" t="s">
        <v>6135</v>
      </c>
      <c r="E1074" s="404" t="s">
        <v>6974</v>
      </c>
      <c r="F1074" s="405" t="s">
        <v>7337</v>
      </c>
      <c r="G1074" s="324" t="s">
        <v>7567</v>
      </c>
      <c r="H1074" s="324" t="s">
        <v>7568</v>
      </c>
      <c r="I1074" s="324" t="s">
        <v>383</v>
      </c>
      <c r="J1074" s="324" t="s">
        <v>214</v>
      </c>
      <c r="K1074" s="324" t="s">
        <v>917</v>
      </c>
      <c r="L1074" s="392" t="s">
        <v>210</v>
      </c>
      <c r="M1074" s="324" t="s">
        <v>7457</v>
      </c>
      <c r="N1074" s="444" t="s">
        <v>521</v>
      </c>
      <c r="O1074" s="324">
        <v>40</v>
      </c>
      <c r="P1074" s="816">
        <v>7520</v>
      </c>
      <c r="Q1074" s="817">
        <v>7520</v>
      </c>
      <c r="R1074" s="420" t="s">
        <v>7569</v>
      </c>
      <c r="S1074" s="394" t="s">
        <v>11974</v>
      </c>
      <c r="T1074" s="394" t="s">
        <v>11975</v>
      </c>
      <c r="U1074" s="394" t="s">
        <v>11976</v>
      </c>
      <c r="V1074" s="394" t="s">
        <v>11977</v>
      </c>
      <c r="W1074" s="460" t="s">
        <v>4978</v>
      </c>
      <c r="X1074" s="394" t="s">
        <v>11979</v>
      </c>
      <c r="Y1074" s="394" t="s">
        <v>11980</v>
      </c>
      <c r="Z1074" s="394" t="s">
        <v>11978</v>
      </c>
      <c r="AA1074" s="394" t="s">
        <v>11981</v>
      </c>
      <c r="AB1074" s="416"/>
      <c r="AC1074" s="416"/>
      <c r="AD1074" s="447" t="s">
        <v>7982</v>
      </c>
      <c r="AE1074" s="335" t="s">
        <v>210</v>
      </c>
      <c r="AF1074" s="462">
        <v>43277</v>
      </c>
      <c r="AG1074" s="748">
        <v>43342</v>
      </c>
      <c r="AH1074" s="417" t="s">
        <v>210</v>
      </c>
      <c r="AI1074" s="392" t="s">
        <v>210</v>
      </c>
      <c r="AJ1074" s="392" t="s">
        <v>210</v>
      </c>
      <c r="AK1074" s="340" t="s">
        <v>210</v>
      </c>
      <c r="AL1074" s="417" t="s">
        <v>210</v>
      </c>
      <c r="AM1074" s="392" t="s">
        <v>210</v>
      </c>
      <c r="AN1074" s="392" t="s">
        <v>210</v>
      </c>
      <c r="AO1074" s="341" t="s">
        <v>210</v>
      </c>
      <c r="AP1074" s="418" t="s">
        <v>210</v>
      </c>
      <c r="AQ1074" s="433" t="s">
        <v>4547</v>
      </c>
      <c r="AR1074" s="452">
        <f>8051+344</f>
        <v>8395</v>
      </c>
      <c r="AS1074" s="324">
        <v>100</v>
      </c>
      <c r="AT1074" s="432">
        <v>0.8</v>
      </c>
      <c r="AU1074" s="432" t="s">
        <v>5246</v>
      </c>
      <c r="AV1074" s="432">
        <v>1.5</v>
      </c>
      <c r="AW1074" s="490" t="s">
        <v>7675</v>
      </c>
      <c r="AX1074" s="417" t="s">
        <v>210</v>
      </c>
      <c r="AY1074" s="429" t="s">
        <v>622</v>
      </c>
      <c r="AZ1074" s="405" t="s">
        <v>4083</v>
      </c>
      <c r="BA1074" s="324" t="s">
        <v>210</v>
      </c>
      <c r="BB1074" s="324" t="s">
        <v>210</v>
      </c>
      <c r="BC1074" s="324" t="s">
        <v>7570</v>
      </c>
      <c r="BD1074" s="324" t="s">
        <v>3492</v>
      </c>
      <c r="BE1074" s="324" t="s">
        <v>7571</v>
      </c>
      <c r="BF1074" s="324" t="s">
        <v>7572</v>
      </c>
      <c r="BG1074" s="324" t="s">
        <v>3459</v>
      </c>
      <c r="BH1074" s="426" t="s">
        <v>6579</v>
      </c>
      <c r="BI1074" s="453">
        <v>0.3</v>
      </c>
      <c r="BJ1074" s="427" t="s">
        <v>9793</v>
      </c>
      <c r="BK1074" s="412"/>
      <c r="BL1074" s="413"/>
      <c r="BM1074" s="414"/>
      <c r="BN1074" s="453" t="s">
        <v>622</v>
      </c>
      <c r="BO1074" s="464">
        <v>1.67</v>
      </c>
      <c r="BP1074" s="455" t="s">
        <v>622</v>
      </c>
      <c r="BQ1074" s="456" t="s">
        <v>6407</v>
      </c>
      <c r="BR1074" s="342" t="s">
        <v>622</v>
      </c>
      <c r="BS1074" s="342" t="s">
        <v>622</v>
      </c>
      <c r="BT1074" s="342" t="s">
        <v>210</v>
      </c>
      <c r="BU1074" s="342" t="s">
        <v>210</v>
      </c>
      <c r="BV1074" s="342" t="s">
        <v>210</v>
      </c>
      <c r="BW1074" s="341" t="s">
        <v>210</v>
      </c>
      <c r="BX1074" s="341" t="s">
        <v>210</v>
      </c>
      <c r="BY1074" s="457"/>
      <c r="BZ1074" s="363"/>
      <c r="CA1074" s="363"/>
      <c r="CB1074" s="363"/>
      <c r="CC1074" s="363"/>
    </row>
    <row r="1075" spans="2:81" ht="22.5" customHeight="1">
      <c r="B1075" s="442">
        <v>180160</v>
      </c>
      <c r="C1075" s="443" t="s">
        <v>7732</v>
      </c>
      <c r="D1075" s="467" t="s">
        <v>4847</v>
      </c>
      <c r="E1075" s="404" t="s">
        <v>5362</v>
      </c>
      <c r="F1075" s="405" t="s">
        <v>7581</v>
      </c>
      <c r="G1075" s="324" t="s">
        <v>7582</v>
      </c>
      <c r="H1075" s="324" t="s">
        <v>7583</v>
      </c>
      <c r="I1075" s="324" t="s">
        <v>383</v>
      </c>
      <c r="J1075" s="324" t="s">
        <v>214</v>
      </c>
      <c r="K1075" s="324" t="s">
        <v>917</v>
      </c>
      <c r="L1075" s="392" t="s">
        <v>210</v>
      </c>
      <c r="M1075" s="324" t="s">
        <v>7457</v>
      </c>
      <c r="N1075" s="444" t="s">
        <v>437</v>
      </c>
      <c r="O1075" s="324">
        <v>130</v>
      </c>
      <c r="P1075" s="458">
        <v>1101</v>
      </c>
      <c r="Q1075" s="459">
        <v>1176</v>
      </c>
      <c r="R1075" s="329" t="s">
        <v>1435</v>
      </c>
      <c r="S1075" s="394" t="s">
        <v>11970</v>
      </c>
      <c r="T1075" s="394" t="s">
        <v>11973</v>
      </c>
      <c r="U1075" s="394" t="s">
        <v>11971</v>
      </c>
      <c r="V1075" s="394" t="s">
        <v>11972</v>
      </c>
      <c r="W1075" s="332" t="s">
        <v>1432</v>
      </c>
      <c r="X1075" s="331" t="s">
        <v>11967</v>
      </c>
      <c r="Y1075" s="331" t="s">
        <v>11968</v>
      </c>
      <c r="Z1075" s="331" t="s">
        <v>11966</v>
      </c>
      <c r="AA1075" s="331" t="s">
        <v>11969</v>
      </c>
      <c r="AB1075" s="416"/>
      <c r="AC1075" s="416"/>
      <c r="AD1075" s="447" t="s">
        <v>726</v>
      </c>
      <c r="AE1075" s="335" t="s">
        <v>210</v>
      </c>
      <c r="AF1075" s="462">
        <v>43279</v>
      </c>
      <c r="AG1075" s="748">
        <v>43309</v>
      </c>
      <c r="AH1075" s="417" t="s">
        <v>210</v>
      </c>
      <c r="AI1075" s="392" t="s">
        <v>210</v>
      </c>
      <c r="AJ1075" s="392" t="s">
        <v>210</v>
      </c>
      <c r="AK1075" s="340" t="s">
        <v>210</v>
      </c>
      <c r="AL1075" s="417" t="s">
        <v>210</v>
      </c>
      <c r="AM1075" s="392" t="s">
        <v>210</v>
      </c>
      <c r="AN1075" s="392" t="s">
        <v>210</v>
      </c>
      <c r="AO1075" s="341" t="s">
        <v>210</v>
      </c>
      <c r="AP1075" s="418" t="s">
        <v>210</v>
      </c>
      <c r="AQ1075" s="433" t="s">
        <v>4547</v>
      </c>
      <c r="AR1075" s="452">
        <v>1497</v>
      </c>
      <c r="AS1075" s="324">
        <v>100</v>
      </c>
      <c r="AT1075" s="432">
        <v>1</v>
      </c>
      <c r="AU1075" s="432" t="s">
        <v>5246</v>
      </c>
      <c r="AV1075" s="432">
        <v>0.7</v>
      </c>
      <c r="AW1075" s="490" t="s">
        <v>5246</v>
      </c>
      <c r="AX1075" s="417" t="s">
        <v>210</v>
      </c>
      <c r="AY1075" s="455" t="s">
        <v>210</v>
      </c>
      <c r="AZ1075" s="405" t="s">
        <v>4083</v>
      </c>
      <c r="BA1075" s="324" t="s">
        <v>210</v>
      </c>
      <c r="BB1075" s="324" t="s">
        <v>210</v>
      </c>
      <c r="BC1075" s="324" t="s">
        <v>7584</v>
      </c>
      <c r="BD1075" s="324" t="s">
        <v>7585</v>
      </c>
      <c r="BE1075" s="324" t="s">
        <v>3555</v>
      </c>
      <c r="BF1075" s="324" t="s">
        <v>3494</v>
      </c>
      <c r="BG1075" s="324" t="s">
        <v>7586</v>
      </c>
      <c r="BH1075" s="426" t="s">
        <v>7587</v>
      </c>
      <c r="BI1075" s="453">
        <v>3</v>
      </c>
      <c r="BJ1075" s="427" t="s">
        <v>210</v>
      </c>
      <c r="BK1075" s="412"/>
      <c r="BL1075" s="413"/>
      <c r="BM1075" s="414"/>
      <c r="BN1075" s="453" t="s">
        <v>622</v>
      </c>
      <c r="BO1075" s="464">
        <v>1.3240000000000001</v>
      </c>
      <c r="BP1075" s="455" t="s">
        <v>210</v>
      </c>
      <c r="BQ1075" s="456" t="s">
        <v>6407</v>
      </c>
      <c r="BR1075" s="342" t="s">
        <v>622</v>
      </c>
      <c r="BS1075" s="342" t="s">
        <v>622</v>
      </c>
      <c r="BT1075" s="342" t="s">
        <v>210</v>
      </c>
      <c r="BU1075" s="342" t="s">
        <v>622</v>
      </c>
      <c r="BV1075" s="342" t="s">
        <v>210</v>
      </c>
      <c r="BW1075" s="341" t="s">
        <v>210</v>
      </c>
      <c r="BX1075" s="341" t="s">
        <v>210</v>
      </c>
      <c r="BY1075" s="457" t="s">
        <v>7770</v>
      </c>
      <c r="BZ1075" s="363"/>
      <c r="CA1075" s="363"/>
      <c r="CB1075" s="363"/>
      <c r="CC1075" s="363"/>
    </row>
    <row r="1076" spans="2:81" ht="22.5" customHeight="1">
      <c r="B1076" s="442">
        <v>180161</v>
      </c>
      <c r="C1076" s="443" t="s">
        <v>7588</v>
      </c>
      <c r="D1076" s="467" t="s">
        <v>7463</v>
      </c>
      <c r="E1076" s="404" t="s">
        <v>5362</v>
      </c>
      <c r="F1076" s="405" t="s">
        <v>222</v>
      </c>
      <c r="G1076" s="324" t="s">
        <v>7589</v>
      </c>
      <c r="H1076" s="324" t="s">
        <v>7590</v>
      </c>
      <c r="I1076" s="324" t="s">
        <v>383</v>
      </c>
      <c r="J1076" s="324" t="s">
        <v>6632</v>
      </c>
      <c r="K1076" s="324" t="s">
        <v>3400</v>
      </c>
      <c r="L1076" s="392" t="s">
        <v>210</v>
      </c>
      <c r="M1076" s="324" t="s">
        <v>7457</v>
      </c>
      <c r="N1076" s="444" t="s">
        <v>7723</v>
      </c>
      <c r="O1076" s="324">
        <v>160</v>
      </c>
      <c r="P1076" s="458">
        <v>1218.1300000000001</v>
      </c>
      <c r="Q1076" s="459">
        <v>1161.83</v>
      </c>
      <c r="R1076" s="420" t="s">
        <v>7591</v>
      </c>
      <c r="S1076" s="400"/>
      <c r="T1076" s="400"/>
      <c r="U1076" s="400"/>
      <c r="V1076" s="400"/>
      <c r="W1076" s="460" t="s">
        <v>4140</v>
      </c>
      <c r="X1076" s="394" t="s">
        <v>11963</v>
      </c>
      <c r="Y1076" s="394" t="s">
        <v>11964</v>
      </c>
      <c r="Z1076" s="400"/>
      <c r="AA1076" s="394" t="s">
        <v>11965</v>
      </c>
      <c r="AB1076" s="416"/>
      <c r="AC1076" s="416"/>
      <c r="AD1076" s="334" t="s">
        <v>2326</v>
      </c>
      <c r="AE1076" s="499" t="s">
        <v>1038</v>
      </c>
      <c r="AF1076" s="462">
        <v>43279</v>
      </c>
      <c r="AG1076" s="748">
        <v>43384</v>
      </c>
      <c r="AH1076" s="417" t="s">
        <v>210</v>
      </c>
      <c r="AI1076" s="392" t="s">
        <v>210</v>
      </c>
      <c r="AJ1076" s="392" t="s">
        <v>210</v>
      </c>
      <c r="AK1076" s="340" t="s">
        <v>210</v>
      </c>
      <c r="AL1076" s="417" t="s">
        <v>210</v>
      </c>
      <c r="AM1076" s="392" t="s">
        <v>210</v>
      </c>
      <c r="AN1076" s="392" t="s">
        <v>210</v>
      </c>
      <c r="AO1076" s="341" t="s">
        <v>210</v>
      </c>
      <c r="AP1076" s="418" t="s">
        <v>210</v>
      </c>
      <c r="AQ1076" s="433" t="s">
        <v>4547</v>
      </c>
      <c r="AR1076" s="452">
        <f>97+1602</f>
        <v>1699</v>
      </c>
      <c r="AS1076" s="324">
        <v>100</v>
      </c>
      <c r="AT1076" s="432">
        <v>1</v>
      </c>
      <c r="AU1076" s="432" t="s">
        <v>6579</v>
      </c>
      <c r="AV1076" s="432">
        <v>1.5</v>
      </c>
      <c r="AW1076" s="490" t="s">
        <v>7738</v>
      </c>
      <c r="AX1076" s="417" t="s">
        <v>210</v>
      </c>
      <c r="AY1076" s="455" t="s">
        <v>210</v>
      </c>
      <c r="AZ1076" s="405" t="s">
        <v>4083</v>
      </c>
      <c r="BA1076" s="324" t="s">
        <v>210</v>
      </c>
      <c r="BB1076" s="324" t="s">
        <v>210</v>
      </c>
      <c r="BC1076" s="324" t="s">
        <v>7724</v>
      </c>
      <c r="BD1076" s="324" t="s">
        <v>5385</v>
      </c>
      <c r="BE1076" s="324" t="s">
        <v>7725</v>
      </c>
      <c r="BF1076" s="324" t="s">
        <v>3372</v>
      </c>
      <c r="BG1076" s="324" t="s">
        <v>7726</v>
      </c>
      <c r="BH1076" s="426" t="s">
        <v>6774</v>
      </c>
      <c r="BI1076" s="453">
        <v>1.5</v>
      </c>
      <c r="BJ1076" s="427" t="s">
        <v>210</v>
      </c>
      <c r="BK1076" s="428" t="s">
        <v>210</v>
      </c>
      <c r="BL1076" s="429" t="s">
        <v>8823</v>
      </c>
      <c r="BM1076" s="414"/>
      <c r="BN1076" s="453" t="s">
        <v>622</v>
      </c>
      <c r="BO1076" s="464">
        <v>1.19</v>
      </c>
      <c r="BP1076" s="455" t="s">
        <v>210</v>
      </c>
      <c r="BQ1076" s="456" t="s">
        <v>6407</v>
      </c>
      <c r="BR1076" s="342" t="s">
        <v>210</v>
      </c>
      <c r="BS1076" s="342" t="s">
        <v>622</v>
      </c>
      <c r="BT1076" s="342" t="s">
        <v>210</v>
      </c>
      <c r="BU1076" s="342" t="s">
        <v>210</v>
      </c>
      <c r="BV1076" s="342" t="s">
        <v>210</v>
      </c>
      <c r="BW1076" s="341" t="s">
        <v>210</v>
      </c>
      <c r="BX1076" s="341" t="s">
        <v>210</v>
      </c>
      <c r="BY1076" s="457"/>
      <c r="BZ1076" s="363"/>
      <c r="CA1076" s="363"/>
      <c r="CB1076" s="363"/>
      <c r="CC1076" s="363"/>
    </row>
    <row r="1077" spans="2:81" ht="22.5" customHeight="1">
      <c r="B1077" s="442">
        <v>180162</v>
      </c>
      <c r="C1077" s="443" t="s">
        <v>7603</v>
      </c>
      <c r="D1077" s="467" t="s">
        <v>4849</v>
      </c>
      <c r="E1077" s="404" t="s">
        <v>6879</v>
      </c>
      <c r="F1077" s="405" t="s">
        <v>839</v>
      </c>
      <c r="G1077" s="324" t="s">
        <v>1809</v>
      </c>
      <c r="H1077" s="324" t="s">
        <v>2185</v>
      </c>
      <c r="I1077" s="324" t="s">
        <v>383</v>
      </c>
      <c r="J1077" s="324" t="s">
        <v>214</v>
      </c>
      <c r="K1077" s="324" t="s">
        <v>247</v>
      </c>
      <c r="L1077" s="392" t="s">
        <v>210</v>
      </c>
      <c r="M1077" s="324" t="s">
        <v>7457</v>
      </c>
      <c r="N1077" s="444" t="s">
        <v>438</v>
      </c>
      <c r="O1077" s="324">
        <v>30</v>
      </c>
      <c r="P1077" s="458">
        <v>851</v>
      </c>
      <c r="Q1077" s="459">
        <v>781</v>
      </c>
      <c r="R1077" s="420" t="s">
        <v>7604</v>
      </c>
      <c r="S1077" s="394" t="s">
        <v>11959</v>
      </c>
      <c r="T1077" s="394" t="s">
        <v>11960</v>
      </c>
      <c r="U1077" s="394" t="s">
        <v>11961</v>
      </c>
      <c r="V1077" s="394" t="s">
        <v>11962</v>
      </c>
      <c r="W1077" s="460" t="s">
        <v>7608</v>
      </c>
      <c r="X1077" s="394" t="s">
        <v>11956</v>
      </c>
      <c r="Y1077" s="394" t="s">
        <v>11958</v>
      </c>
      <c r="Z1077" s="400"/>
      <c r="AA1077" s="394" t="s">
        <v>11957</v>
      </c>
      <c r="AB1077" s="416"/>
      <c r="AC1077" s="416"/>
      <c r="AD1077" s="447" t="s">
        <v>7985</v>
      </c>
      <c r="AE1077" s="499" t="s">
        <v>7984</v>
      </c>
      <c r="AF1077" s="462">
        <v>43283</v>
      </c>
      <c r="AG1077" s="748">
        <v>43342</v>
      </c>
      <c r="AH1077" s="417" t="s">
        <v>210</v>
      </c>
      <c r="AI1077" s="392" t="s">
        <v>210</v>
      </c>
      <c r="AJ1077" s="392" t="s">
        <v>210</v>
      </c>
      <c r="AK1077" s="340" t="s">
        <v>210</v>
      </c>
      <c r="AL1077" s="417" t="s">
        <v>210</v>
      </c>
      <c r="AM1077" s="392" t="s">
        <v>210</v>
      </c>
      <c r="AN1077" s="392" t="s">
        <v>210</v>
      </c>
      <c r="AO1077" s="341" t="s">
        <v>210</v>
      </c>
      <c r="AP1077" s="418" t="s">
        <v>210</v>
      </c>
      <c r="AQ1077" s="433" t="s">
        <v>4547</v>
      </c>
      <c r="AR1077" s="452">
        <v>1187</v>
      </c>
      <c r="AS1077" s="324">
        <v>100</v>
      </c>
      <c r="AT1077" s="432">
        <v>1</v>
      </c>
      <c r="AU1077" s="432" t="s">
        <v>5246</v>
      </c>
      <c r="AV1077" s="432">
        <v>1.5</v>
      </c>
      <c r="AW1077" s="490" t="s">
        <v>3434</v>
      </c>
      <c r="AX1077" s="417" t="s">
        <v>210</v>
      </c>
      <c r="AY1077" s="455" t="s">
        <v>210</v>
      </c>
      <c r="AZ1077" s="405" t="s">
        <v>622</v>
      </c>
      <c r="BA1077" s="324" t="s">
        <v>7611</v>
      </c>
      <c r="BB1077" s="324" t="s">
        <v>7612</v>
      </c>
      <c r="BC1077" s="324" t="s">
        <v>7613</v>
      </c>
      <c r="BD1077" s="324" t="s">
        <v>3434</v>
      </c>
      <c r="BE1077" s="324" t="s">
        <v>7614</v>
      </c>
      <c r="BF1077" s="324" t="s">
        <v>3434</v>
      </c>
      <c r="BG1077" s="324" t="s">
        <v>7615</v>
      </c>
      <c r="BH1077" s="324" t="s">
        <v>3434</v>
      </c>
      <c r="BI1077" s="453">
        <v>5</v>
      </c>
      <c r="BJ1077" s="427">
        <v>1.48</v>
      </c>
      <c r="BK1077" s="412"/>
      <c r="BL1077" s="413"/>
      <c r="BM1077" s="414"/>
      <c r="BN1077" s="453" t="s">
        <v>210</v>
      </c>
      <c r="BO1077" s="464" t="s">
        <v>7746</v>
      </c>
      <c r="BP1077" s="455" t="s">
        <v>622</v>
      </c>
      <c r="BQ1077" s="456" t="s">
        <v>6407</v>
      </c>
      <c r="BR1077" s="342" t="s">
        <v>622</v>
      </c>
      <c r="BS1077" s="342" t="s">
        <v>622</v>
      </c>
      <c r="BT1077" s="342" t="s">
        <v>210</v>
      </c>
      <c r="BU1077" s="342" t="s">
        <v>210</v>
      </c>
      <c r="BV1077" s="342" t="s">
        <v>210</v>
      </c>
      <c r="BW1077" s="341" t="s">
        <v>210</v>
      </c>
      <c r="BX1077" s="341" t="s">
        <v>210</v>
      </c>
      <c r="BY1077" s="457"/>
      <c r="BZ1077" s="363"/>
      <c r="CA1077" s="363"/>
      <c r="CB1077" s="363"/>
      <c r="CC1077" s="363"/>
    </row>
    <row r="1078" spans="2:81" ht="22.5" customHeight="1">
      <c r="B1078" s="442">
        <v>180163</v>
      </c>
      <c r="C1078" s="443" t="s">
        <v>11955</v>
      </c>
      <c r="D1078" s="467" t="s">
        <v>4849</v>
      </c>
      <c r="E1078" s="404" t="s">
        <v>6879</v>
      </c>
      <c r="F1078" s="405" t="s">
        <v>839</v>
      </c>
      <c r="G1078" s="324" t="s">
        <v>1809</v>
      </c>
      <c r="H1078" s="324" t="s">
        <v>7616</v>
      </c>
      <c r="I1078" s="324" t="s">
        <v>383</v>
      </c>
      <c r="J1078" s="324" t="s">
        <v>6632</v>
      </c>
      <c r="K1078" s="324" t="s">
        <v>917</v>
      </c>
      <c r="L1078" s="392" t="s">
        <v>210</v>
      </c>
      <c r="M1078" s="324" t="s">
        <v>7457</v>
      </c>
      <c r="N1078" s="444" t="s">
        <v>438</v>
      </c>
      <c r="O1078" s="324">
        <v>30</v>
      </c>
      <c r="P1078" s="458">
        <v>398</v>
      </c>
      <c r="Q1078" s="459">
        <v>510</v>
      </c>
      <c r="R1078" s="420" t="s">
        <v>7605</v>
      </c>
      <c r="S1078" s="394" t="s">
        <v>11959</v>
      </c>
      <c r="T1078" s="394" t="s">
        <v>11960</v>
      </c>
      <c r="U1078" s="394" t="s">
        <v>11961</v>
      </c>
      <c r="V1078" s="394" t="s">
        <v>11962</v>
      </c>
      <c r="W1078" s="460" t="s">
        <v>7608</v>
      </c>
      <c r="X1078" s="394" t="s">
        <v>11956</v>
      </c>
      <c r="Y1078" s="394" t="s">
        <v>11958</v>
      </c>
      <c r="Z1078" s="400"/>
      <c r="AA1078" s="394" t="s">
        <v>11957</v>
      </c>
      <c r="AB1078" s="416"/>
      <c r="AC1078" s="416"/>
      <c r="AD1078" s="447" t="s">
        <v>353</v>
      </c>
      <c r="AE1078" s="499" t="s">
        <v>7984</v>
      </c>
      <c r="AF1078" s="462">
        <v>43283</v>
      </c>
      <c r="AG1078" s="748">
        <v>43378</v>
      </c>
      <c r="AH1078" s="417" t="s">
        <v>210</v>
      </c>
      <c r="AI1078" s="392" t="s">
        <v>210</v>
      </c>
      <c r="AJ1078" s="392" t="s">
        <v>210</v>
      </c>
      <c r="AK1078" s="340" t="s">
        <v>210</v>
      </c>
      <c r="AL1078" s="417" t="s">
        <v>210</v>
      </c>
      <c r="AM1078" s="392" t="s">
        <v>210</v>
      </c>
      <c r="AN1078" s="392" t="s">
        <v>210</v>
      </c>
      <c r="AO1078" s="341" t="s">
        <v>210</v>
      </c>
      <c r="AP1078" s="418" t="s">
        <v>210</v>
      </c>
      <c r="AQ1078" s="433" t="s">
        <v>4547</v>
      </c>
      <c r="AR1078" s="452">
        <v>749</v>
      </c>
      <c r="AS1078" s="324">
        <v>100</v>
      </c>
      <c r="AT1078" s="432">
        <v>1</v>
      </c>
      <c r="AU1078" s="432" t="s">
        <v>5246</v>
      </c>
      <c r="AV1078" s="432">
        <v>1.5</v>
      </c>
      <c r="AW1078" s="490" t="s">
        <v>3372</v>
      </c>
      <c r="AX1078" s="417" t="s">
        <v>210</v>
      </c>
      <c r="AY1078" s="455" t="s">
        <v>210</v>
      </c>
      <c r="AZ1078" s="405" t="s">
        <v>622</v>
      </c>
      <c r="BA1078" s="324" t="s">
        <v>7617</v>
      </c>
      <c r="BB1078" s="324" t="s">
        <v>7612</v>
      </c>
      <c r="BC1078" s="324" t="s">
        <v>7618</v>
      </c>
      <c r="BD1078" s="324" t="s">
        <v>7612</v>
      </c>
      <c r="BE1078" s="324" t="s">
        <v>7619</v>
      </c>
      <c r="BF1078" s="324" t="s">
        <v>7612</v>
      </c>
      <c r="BG1078" s="324" t="s">
        <v>7620</v>
      </c>
      <c r="BH1078" s="426" t="s">
        <v>7620</v>
      </c>
      <c r="BI1078" s="453">
        <v>0.3</v>
      </c>
      <c r="BJ1078" s="427">
        <v>1.48</v>
      </c>
      <c r="BK1078" s="412"/>
      <c r="BL1078" s="413"/>
      <c r="BM1078" s="414"/>
      <c r="BN1078" s="453" t="s">
        <v>622</v>
      </c>
      <c r="BO1078" s="464">
        <v>1.01</v>
      </c>
      <c r="BP1078" s="455" t="s">
        <v>622</v>
      </c>
      <c r="BQ1078" s="456" t="s">
        <v>6407</v>
      </c>
      <c r="BR1078" s="342" t="s">
        <v>622</v>
      </c>
      <c r="BS1078" s="342" t="s">
        <v>622</v>
      </c>
      <c r="BT1078" s="342" t="s">
        <v>210</v>
      </c>
      <c r="BU1078" s="342" t="s">
        <v>210</v>
      </c>
      <c r="BV1078" s="342" t="s">
        <v>210</v>
      </c>
      <c r="BW1078" s="341" t="s">
        <v>210</v>
      </c>
      <c r="BX1078" s="341" t="s">
        <v>210</v>
      </c>
      <c r="BY1078" s="457"/>
      <c r="BZ1078" s="363"/>
      <c r="CA1078" s="363"/>
      <c r="CB1078" s="363"/>
      <c r="CC1078" s="363"/>
    </row>
    <row r="1079" spans="2:81" ht="22.5" customHeight="1">
      <c r="B1079" s="442">
        <v>180164</v>
      </c>
      <c r="C1079" s="443" t="s">
        <v>7644</v>
      </c>
      <c r="D1079" s="467" t="s">
        <v>7077</v>
      </c>
      <c r="E1079" s="404" t="s">
        <v>5363</v>
      </c>
      <c r="F1079" s="405" t="s">
        <v>226</v>
      </c>
      <c r="G1079" s="324" t="s">
        <v>7674</v>
      </c>
      <c r="H1079" s="324" t="s">
        <v>7910</v>
      </c>
      <c r="I1079" s="324" t="s">
        <v>383</v>
      </c>
      <c r="J1079" s="326" t="s">
        <v>399</v>
      </c>
      <c r="K1079" s="324" t="s">
        <v>917</v>
      </c>
      <c r="L1079" s="392" t="s">
        <v>210</v>
      </c>
      <c r="M1079" s="324" t="s">
        <v>6509</v>
      </c>
      <c r="N1079" s="444" t="s">
        <v>438</v>
      </c>
      <c r="O1079" s="324">
        <v>30</v>
      </c>
      <c r="P1079" s="458">
        <v>14022.13</v>
      </c>
      <c r="Q1079" s="459">
        <v>17653.66</v>
      </c>
      <c r="R1079" s="420" t="s">
        <v>4804</v>
      </c>
      <c r="S1079" s="394" t="s">
        <v>11953</v>
      </c>
      <c r="T1079" s="400"/>
      <c r="U1079" s="400"/>
      <c r="V1079" s="394" t="s">
        <v>11954</v>
      </c>
      <c r="W1079" s="332" t="s">
        <v>432</v>
      </c>
      <c r="X1079" s="331" t="s">
        <v>11079</v>
      </c>
      <c r="Y1079" s="331" t="s">
        <v>11080</v>
      </c>
      <c r="Z1079" s="331" t="s">
        <v>11080</v>
      </c>
      <c r="AA1079" s="331" t="s">
        <v>6574</v>
      </c>
      <c r="AB1079" s="416"/>
      <c r="AC1079" s="416"/>
      <c r="AD1079" s="447" t="s">
        <v>730</v>
      </c>
      <c r="AE1079" s="499" t="s">
        <v>2032</v>
      </c>
      <c r="AF1079" s="462">
        <v>43284</v>
      </c>
      <c r="AG1079" s="748">
        <v>43356</v>
      </c>
      <c r="AH1079" s="417">
        <v>19.600000000000001</v>
      </c>
      <c r="AI1079" s="392">
        <v>36.200000000000003</v>
      </c>
      <c r="AJ1079" s="392">
        <v>36.5</v>
      </c>
      <c r="AK1079" s="340">
        <v>92.3</v>
      </c>
      <c r="AL1079" s="417" t="s">
        <v>210</v>
      </c>
      <c r="AM1079" s="392" t="s">
        <v>210</v>
      </c>
      <c r="AN1079" s="392" t="s">
        <v>210</v>
      </c>
      <c r="AO1079" s="341" t="s">
        <v>210</v>
      </c>
      <c r="AP1079" s="418" t="s">
        <v>210</v>
      </c>
      <c r="AQ1079" s="433" t="s">
        <v>4547</v>
      </c>
      <c r="AR1079" s="452">
        <v>19601.163</v>
      </c>
      <c r="AS1079" s="324">
        <v>100</v>
      </c>
      <c r="AT1079" s="432">
        <v>1</v>
      </c>
      <c r="AU1079" s="432" t="s">
        <v>5246</v>
      </c>
      <c r="AV1079" s="432">
        <v>1.5</v>
      </c>
      <c r="AW1079" s="490" t="s">
        <v>5246</v>
      </c>
      <c r="AX1079" s="417" t="s">
        <v>210</v>
      </c>
      <c r="AY1079" s="455" t="s">
        <v>210</v>
      </c>
      <c r="AZ1079" s="405" t="s">
        <v>4083</v>
      </c>
      <c r="BA1079" s="324" t="s">
        <v>210</v>
      </c>
      <c r="BB1079" s="324" t="s">
        <v>210</v>
      </c>
      <c r="BC1079" s="324" t="s">
        <v>3555</v>
      </c>
      <c r="BD1079" s="324" t="s">
        <v>5246</v>
      </c>
      <c r="BE1079" s="324" t="s">
        <v>3555</v>
      </c>
      <c r="BF1079" s="324" t="s">
        <v>5246</v>
      </c>
      <c r="BG1079" s="324" t="s">
        <v>3555</v>
      </c>
      <c r="BH1079" s="324" t="s">
        <v>5246</v>
      </c>
      <c r="BI1079" s="453">
        <v>1.17</v>
      </c>
      <c r="BJ1079" s="427" t="s">
        <v>210</v>
      </c>
      <c r="BK1079" s="412"/>
      <c r="BL1079" s="413"/>
      <c r="BM1079" s="414"/>
      <c r="BN1079" s="453" t="s">
        <v>622</v>
      </c>
      <c r="BO1079" s="464">
        <v>1.23</v>
      </c>
      <c r="BP1079" s="455" t="s">
        <v>210</v>
      </c>
      <c r="BQ1079" s="456" t="s">
        <v>6623</v>
      </c>
      <c r="BR1079" s="342" t="s">
        <v>210</v>
      </c>
      <c r="BS1079" s="342" t="s">
        <v>210</v>
      </c>
      <c r="BT1079" s="342" t="s">
        <v>210</v>
      </c>
      <c r="BU1079" s="342" t="s">
        <v>210</v>
      </c>
      <c r="BV1079" s="342" t="s">
        <v>210</v>
      </c>
      <c r="BW1079" s="341" t="s">
        <v>210</v>
      </c>
      <c r="BX1079" s="341" t="s">
        <v>210</v>
      </c>
      <c r="BY1079" s="457" t="s">
        <v>7756</v>
      </c>
      <c r="BZ1079" s="363"/>
      <c r="CA1079" s="363"/>
      <c r="CB1079" s="363"/>
      <c r="CC1079" s="363"/>
    </row>
    <row r="1080" spans="2:81" ht="22.5" customHeight="1">
      <c r="B1080" s="442">
        <v>180165</v>
      </c>
      <c r="C1080" s="443" t="s">
        <v>11947</v>
      </c>
      <c r="D1080" s="467" t="s">
        <v>6135</v>
      </c>
      <c r="E1080" s="404" t="s">
        <v>5362</v>
      </c>
      <c r="F1080" s="405" t="s">
        <v>222</v>
      </c>
      <c r="G1080" s="324" t="s">
        <v>7649</v>
      </c>
      <c r="H1080" s="324" t="s">
        <v>7650</v>
      </c>
      <c r="I1080" s="324" t="s">
        <v>383</v>
      </c>
      <c r="J1080" s="324" t="s">
        <v>214</v>
      </c>
      <c r="K1080" s="324" t="s">
        <v>7661</v>
      </c>
      <c r="L1080" s="342">
        <v>33.5</v>
      </c>
      <c r="M1080" s="324" t="s">
        <v>7457</v>
      </c>
      <c r="N1080" s="444" t="s">
        <v>437</v>
      </c>
      <c r="O1080" s="324">
        <v>110</v>
      </c>
      <c r="P1080" s="458">
        <v>422.8</v>
      </c>
      <c r="Q1080" s="459">
        <v>445.1</v>
      </c>
      <c r="R1080" s="420" t="s">
        <v>7651</v>
      </c>
      <c r="S1080" s="394" t="s">
        <v>11951</v>
      </c>
      <c r="T1080" s="400"/>
      <c r="U1080" s="400"/>
      <c r="V1080" s="394" t="s">
        <v>11952</v>
      </c>
      <c r="W1080" s="460" t="s">
        <v>7654</v>
      </c>
      <c r="X1080" s="394" t="s">
        <v>11948</v>
      </c>
      <c r="Y1080" s="394" t="s">
        <v>11949</v>
      </c>
      <c r="Z1080" s="394" t="s">
        <v>16438</v>
      </c>
      <c r="AA1080" s="394" t="s">
        <v>11950</v>
      </c>
      <c r="AB1080" s="416"/>
      <c r="AC1080" s="416"/>
      <c r="AD1080" s="447" t="s">
        <v>8073</v>
      </c>
      <c r="AE1080" s="335" t="s">
        <v>210</v>
      </c>
      <c r="AF1080" s="462">
        <v>43284</v>
      </c>
      <c r="AG1080" s="748">
        <v>43371</v>
      </c>
      <c r="AH1080" s="417" t="s">
        <v>210</v>
      </c>
      <c r="AI1080" s="392" t="s">
        <v>210</v>
      </c>
      <c r="AJ1080" s="392" t="s">
        <v>210</v>
      </c>
      <c r="AK1080" s="340" t="s">
        <v>210</v>
      </c>
      <c r="AL1080" s="417" t="s">
        <v>210</v>
      </c>
      <c r="AM1080" s="392" t="s">
        <v>210</v>
      </c>
      <c r="AN1080" s="392" t="s">
        <v>210</v>
      </c>
      <c r="AO1080" s="341" t="s">
        <v>210</v>
      </c>
      <c r="AP1080" s="418" t="s">
        <v>210</v>
      </c>
      <c r="AQ1080" s="433" t="s">
        <v>4547</v>
      </c>
      <c r="AR1080" s="452">
        <v>635</v>
      </c>
      <c r="AS1080" s="324">
        <v>120</v>
      </c>
      <c r="AT1080" s="432">
        <v>1</v>
      </c>
      <c r="AU1080" s="432" t="s">
        <v>5246</v>
      </c>
      <c r="AV1080" s="432">
        <v>2.4</v>
      </c>
      <c r="AW1080" s="490" t="s">
        <v>3492</v>
      </c>
      <c r="AX1080" s="417" t="s">
        <v>210</v>
      </c>
      <c r="AY1080" s="455" t="s">
        <v>210</v>
      </c>
      <c r="AZ1080" s="405" t="s">
        <v>622</v>
      </c>
      <c r="BA1080" s="324" t="s">
        <v>7655</v>
      </c>
      <c r="BB1080" s="324" t="s">
        <v>7656</v>
      </c>
      <c r="BC1080" s="324" t="s">
        <v>7657</v>
      </c>
      <c r="BD1080" s="324" t="s">
        <v>7656</v>
      </c>
      <c r="BE1080" s="324" t="s">
        <v>7658</v>
      </c>
      <c r="BF1080" s="324" t="s">
        <v>7656</v>
      </c>
      <c r="BG1080" s="324" t="s">
        <v>7659</v>
      </c>
      <c r="BH1080" s="426" t="s">
        <v>3494</v>
      </c>
      <c r="BI1080" s="453">
        <v>1</v>
      </c>
      <c r="BJ1080" s="427">
        <v>1.58</v>
      </c>
      <c r="BK1080" s="428" t="s">
        <v>8821</v>
      </c>
      <c r="BL1080" s="429">
        <f>2+0.6+1.5+8</f>
        <v>12.1</v>
      </c>
      <c r="BM1080" s="414"/>
      <c r="BN1080" s="453" t="s">
        <v>622</v>
      </c>
      <c r="BO1080" s="464">
        <v>0.93</v>
      </c>
      <c r="BP1080" s="455" t="s">
        <v>622</v>
      </c>
      <c r="BQ1080" s="456" t="s">
        <v>6623</v>
      </c>
      <c r="BR1080" s="342" t="s">
        <v>210</v>
      </c>
      <c r="BS1080" s="342" t="s">
        <v>622</v>
      </c>
      <c r="BT1080" s="342" t="s">
        <v>210</v>
      </c>
      <c r="BU1080" s="342" t="s">
        <v>210</v>
      </c>
      <c r="BV1080" s="342" t="s">
        <v>210</v>
      </c>
      <c r="BW1080" s="341" t="s">
        <v>210</v>
      </c>
      <c r="BX1080" s="341" t="s">
        <v>210</v>
      </c>
      <c r="BY1080" s="457"/>
      <c r="BZ1080" s="363"/>
      <c r="CA1080" s="363"/>
      <c r="CB1080" s="363"/>
      <c r="CC1080" s="363"/>
    </row>
    <row r="1081" spans="2:81" ht="22.5" customHeight="1">
      <c r="B1081" s="442">
        <v>180166</v>
      </c>
      <c r="C1081" s="443" t="s">
        <v>7660</v>
      </c>
      <c r="D1081" s="467" t="s">
        <v>4847</v>
      </c>
      <c r="E1081" s="404" t="s">
        <v>5362</v>
      </c>
      <c r="F1081" s="405" t="s">
        <v>7135</v>
      </c>
      <c r="G1081" s="324" t="s">
        <v>7662</v>
      </c>
      <c r="H1081" s="324" t="s">
        <v>7663</v>
      </c>
      <c r="I1081" s="324" t="s">
        <v>383</v>
      </c>
      <c r="J1081" s="324" t="s">
        <v>214</v>
      </c>
      <c r="K1081" s="324" t="s">
        <v>6552</v>
      </c>
      <c r="L1081" s="342" t="s">
        <v>210</v>
      </c>
      <c r="M1081" s="324" t="s">
        <v>7457</v>
      </c>
      <c r="N1081" s="444" t="s">
        <v>438</v>
      </c>
      <c r="O1081" s="324">
        <v>30</v>
      </c>
      <c r="P1081" s="458">
        <v>1420.5</v>
      </c>
      <c r="Q1081" s="459">
        <v>1444.6</v>
      </c>
      <c r="R1081" s="420" t="s">
        <v>7667</v>
      </c>
      <c r="S1081" s="400"/>
      <c r="T1081" s="400"/>
      <c r="U1081" s="400"/>
      <c r="V1081" s="400"/>
      <c r="W1081" s="460" t="s">
        <v>7665</v>
      </c>
      <c r="X1081" s="394" t="s">
        <v>11945</v>
      </c>
      <c r="Y1081" s="394" t="s">
        <v>11946</v>
      </c>
      <c r="Z1081" s="394" t="s">
        <v>15042</v>
      </c>
      <c r="AA1081" s="394" t="s">
        <v>11944</v>
      </c>
      <c r="AB1081" s="416" t="s">
        <v>7664</v>
      </c>
      <c r="AC1081" s="416"/>
      <c r="AD1081" s="334" t="s">
        <v>7983</v>
      </c>
      <c r="AE1081" s="335" t="s">
        <v>210</v>
      </c>
      <c r="AF1081" s="462">
        <v>43286</v>
      </c>
      <c r="AG1081" s="748">
        <v>43347</v>
      </c>
      <c r="AH1081" s="417" t="s">
        <v>210</v>
      </c>
      <c r="AI1081" s="392" t="s">
        <v>210</v>
      </c>
      <c r="AJ1081" s="392" t="s">
        <v>210</v>
      </c>
      <c r="AK1081" s="340" t="s">
        <v>210</v>
      </c>
      <c r="AL1081" s="417" t="s">
        <v>210</v>
      </c>
      <c r="AM1081" s="392" t="s">
        <v>210</v>
      </c>
      <c r="AN1081" s="392" t="s">
        <v>210</v>
      </c>
      <c r="AO1081" s="341" t="s">
        <v>210</v>
      </c>
      <c r="AP1081" s="418" t="s">
        <v>210</v>
      </c>
      <c r="AQ1081" s="433" t="s">
        <v>4547</v>
      </c>
      <c r="AR1081" s="452">
        <f>862+422</f>
        <v>1284</v>
      </c>
      <c r="AS1081" s="324">
        <v>100</v>
      </c>
      <c r="AT1081" s="432">
        <v>1.5</v>
      </c>
      <c r="AU1081" s="432" t="s">
        <v>3627</v>
      </c>
      <c r="AV1081" s="432">
        <v>1.8</v>
      </c>
      <c r="AW1081" s="490" t="s">
        <v>3494</v>
      </c>
      <c r="AX1081" s="417" t="s">
        <v>210</v>
      </c>
      <c r="AY1081" s="455" t="s">
        <v>210</v>
      </c>
      <c r="AZ1081" s="405" t="s">
        <v>4083</v>
      </c>
      <c r="BA1081" s="324" t="s">
        <v>210</v>
      </c>
      <c r="BB1081" s="324" t="s">
        <v>210</v>
      </c>
      <c r="BC1081" s="324" t="s">
        <v>3738</v>
      </c>
      <c r="BD1081" s="324" t="s">
        <v>3434</v>
      </c>
      <c r="BE1081" s="324" t="s">
        <v>7666</v>
      </c>
      <c r="BF1081" s="324" t="s">
        <v>3372</v>
      </c>
      <c r="BG1081" s="324" t="s">
        <v>3459</v>
      </c>
      <c r="BH1081" s="324" t="s">
        <v>3372</v>
      </c>
      <c r="BI1081" s="453">
        <v>0.8</v>
      </c>
      <c r="BJ1081" s="427" t="s">
        <v>7711</v>
      </c>
      <c r="BK1081" s="412"/>
      <c r="BL1081" s="413"/>
      <c r="BM1081" s="414"/>
      <c r="BN1081" s="453" t="s">
        <v>622</v>
      </c>
      <c r="BO1081" s="464">
        <v>1.06</v>
      </c>
      <c r="BP1081" s="455" t="s">
        <v>622</v>
      </c>
      <c r="BQ1081" s="456" t="s">
        <v>917</v>
      </c>
      <c r="BR1081" s="342" t="s">
        <v>210</v>
      </c>
      <c r="BS1081" s="342" t="s">
        <v>622</v>
      </c>
      <c r="BT1081" s="342" t="s">
        <v>210</v>
      </c>
      <c r="BU1081" s="342" t="s">
        <v>210</v>
      </c>
      <c r="BV1081" s="342" t="s">
        <v>210</v>
      </c>
      <c r="BW1081" s="341" t="s">
        <v>210</v>
      </c>
      <c r="BX1081" s="341" t="s">
        <v>210</v>
      </c>
      <c r="BY1081" s="457" t="s">
        <v>7712</v>
      </c>
      <c r="BZ1081" s="363"/>
      <c r="CA1081" s="363"/>
      <c r="CB1081" s="363"/>
      <c r="CC1081" s="363"/>
    </row>
    <row r="1082" spans="2:81" ht="22.5" customHeight="1">
      <c r="B1082" s="442">
        <v>180167</v>
      </c>
      <c r="C1082" s="443" t="s">
        <v>7680</v>
      </c>
      <c r="D1082" s="467" t="s">
        <v>4849</v>
      </c>
      <c r="E1082" s="404" t="s">
        <v>5405</v>
      </c>
      <c r="F1082" s="405" t="s">
        <v>7337</v>
      </c>
      <c r="G1082" s="324" t="s">
        <v>7681</v>
      </c>
      <c r="H1082" s="324" t="s">
        <v>7682</v>
      </c>
      <c r="I1082" s="324" t="s">
        <v>383</v>
      </c>
      <c r="J1082" s="324" t="s">
        <v>214</v>
      </c>
      <c r="K1082" s="324" t="s">
        <v>7683</v>
      </c>
      <c r="L1082" s="392" t="s">
        <v>210</v>
      </c>
      <c r="M1082" s="324" t="s">
        <v>7457</v>
      </c>
      <c r="N1082" s="444" t="s">
        <v>438</v>
      </c>
      <c r="O1082" s="324">
        <v>30</v>
      </c>
      <c r="P1082" s="445">
        <v>950</v>
      </c>
      <c r="Q1082" s="446">
        <f>P1082</f>
        <v>950</v>
      </c>
      <c r="R1082" s="329" t="s">
        <v>1136</v>
      </c>
      <c r="S1082" s="394" t="s">
        <v>11942</v>
      </c>
      <c r="T1082" s="394" t="s">
        <v>11940</v>
      </c>
      <c r="U1082" s="394" t="s">
        <v>16215</v>
      </c>
      <c r="V1082" s="394" t="s">
        <v>11941</v>
      </c>
      <c r="W1082" s="332" t="s">
        <v>7839</v>
      </c>
      <c r="X1082" s="331" t="s">
        <v>11936</v>
      </c>
      <c r="Y1082" s="331" t="s">
        <v>11938</v>
      </c>
      <c r="Z1082" s="331" t="s">
        <v>11937</v>
      </c>
      <c r="AA1082" s="331" t="s">
        <v>11939</v>
      </c>
      <c r="AB1082" s="416"/>
      <c r="AC1082" s="416"/>
      <c r="AD1082" s="447" t="s">
        <v>337</v>
      </c>
      <c r="AE1082" s="499" t="s">
        <v>231</v>
      </c>
      <c r="AF1082" s="462">
        <v>43291</v>
      </c>
      <c r="AG1082" s="748">
        <v>43339</v>
      </c>
      <c r="AH1082" s="417" t="s">
        <v>210</v>
      </c>
      <c r="AI1082" s="392" t="s">
        <v>210</v>
      </c>
      <c r="AJ1082" s="392" t="s">
        <v>210</v>
      </c>
      <c r="AK1082" s="340" t="s">
        <v>210</v>
      </c>
      <c r="AL1082" s="417" t="s">
        <v>210</v>
      </c>
      <c r="AM1082" s="392" t="s">
        <v>210</v>
      </c>
      <c r="AN1082" s="392" t="s">
        <v>210</v>
      </c>
      <c r="AO1082" s="341" t="s">
        <v>210</v>
      </c>
      <c r="AP1082" s="418" t="s">
        <v>210</v>
      </c>
      <c r="AQ1082" s="433" t="s">
        <v>4547</v>
      </c>
      <c r="AR1082" s="452">
        <v>1188</v>
      </c>
      <c r="AS1082" s="324">
        <v>150</v>
      </c>
      <c r="AT1082" s="432">
        <v>1.5</v>
      </c>
      <c r="AU1082" s="432" t="s">
        <v>5246</v>
      </c>
      <c r="AV1082" s="432">
        <v>0.8</v>
      </c>
      <c r="AW1082" s="490" t="s">
        <v>7737</v>
      </c>
      <c r="AX1082" s="417" t="s">
        <v>210</v>
      </c>
      <c r="AY1082" s="455" t="s">
        <v>210</v>
      </c>
      <c r="AZ1082" s="405" t="s">
        <v>4083</v>
      </c>
      <c r="BA1082" s="324" t="s">
        <v>210</v>
      </c>
      <c r="BB1082" s="324" t="s">
        <v>210</v>
      </c>
      <c r="BC1082" s="324" t="s">
        <v>210</v>
      </c>
      <c r="BD1082" s="324" t="s">
        <v>210</v>
      </c>
      <c r="BE1082" s="324" t="s">
        <v>7684</v>
      </c>
      <c r="BF1082" s="324" t="s">
        <v>3372</v>
      </c>
      <c r="BG1082" s="324" t="s">
        <v>7685</v>
      </c>
      <c r="BH1082" s="324" t="s">
        <v>3372</v>
      </c>
      <c r="BI1082" s="453">
        <v>2.8</v>
      </c>
      <c r="BJ1082" s="427" t="s">
        <v>210</v>
      </c>
      <c r="BK1082" s="412"/>
      <c r="BL1082" s="413"/>
      <c r="BM1082" s="414"/>
      <c r="BN1082" s="453" t="s">
        <v>622</v>
      </c>
      <c r="BO1082" s="464">
        <v>5.82</v>
      </c>
      <c r="BP1082" s="455" t="s">
        <v>622</v>
      </c>
      <c r="BQ1082" s="456" t="s">
        <v>6623</v>
      </c>
      <c r="BR1082" s="342" t="s">
        <v>210</v>
      </c>
      <c r="BS1082" s="342" t="s">
        <v>210</v>
      </c>
      <c r="BT1082" s="342" t="s">
        <v>210</v>
      </c>
      <c r="BU1082" s="342" t="s">
        <v>210</v>
      </c>
      <c r="BV1082" s="342" t="s">
        <v>210</v>
      </c>
      <c r="BW1082" s="341" t="s">
        <v>210</v>
      </c>
      <c r="BX1082" s="341" t="s">
        <v>210</v>
      </c>
      <c r="BY1082" s="457"/>
      <c r="BZ1082" s="363"/>
      <c r="CA1082" s="363"/>
      <c r="CB1082" s="363"/>
      <c r="CC1082" s="363"/>
    </row>
    <row r="1083" spans="2:81" ht="22.5" customHeight="1">
      <c r="B1083" s="442">
        <v>180168</v>
      </c>
      <c r="C1083" s="443" t="s">
        <v>7686</v>
      </c>
      <c r="D1083" s="467" t="s">
        <v>4849</v>
      </c>
      <c r="E1083" s="404" t="s">
        <v>5362</v>
      </c>
      <c r="F1083" s="405" t="s">
        <v>1043</v>
      </c>
      <c r="G1083" s="324" t="s">
        <v>3377</v>
      </c>
      <c r="H1083" s="324" t="s">
        <v>7687</v>
      </c>
      <c r="I1083" s="324" t="s">
        <v>383</v>
      </c>
      <c r="J1083" s="324" t="s">
        <v>214</v>
      </c>
      <c r="K1083" s="324" t="s">
        <v>247</v>
      </c>
      <c r="L1083" s="342">
        <v>11</v>
      </c>
      <c r="M1083" s="324" t="s">
        <v>7457</v>
      </c>
      <c r="N1083" s="444" t="s">
        <v>437</v>
      </c>
      <c r="O1083" s="324">
        <v>110</v>
      </c>
      <c r="P1083" s="458">
        <v>925.11</v>
      </c>
      <c r="Q1083" s="459">
        <v>930.29</v>
      </c>
      <c r="R1083" s="329" t="s">
        <v>1082</v>
      </c>
      <c r="S1083" s="394" t="s">
        <v>11930</v>
      </c>
      <c r="T1083" s="394" t="s">
        <v>11932</v>
      </c>
      <c r="U1083" s="394" t="s">
        <v>16305</v>
      </c>
      <c r="V1083" s="394" t="s">
        <v>11931</v>
      </c>
      <c r="W1083" s="460" t="s">
        <v>7688</v>
      </c>
      <c r="X1083" s="394" t="s">
        <v>11933</v>
      </c>
      <c r="Y1083" s="394" t="s">
        <v>11934</v>
      </c>
      <c r="Z1083" s="394" t="s">
        <v>16329</v>
      </c>
      <c r="AA1083" s="394" t="s">
        <v>11935</v>
      </c>
      <c r="AB1083" s="416"/>
      <c r="AC1083" s="416"/>
      <c r="AD1083" s="447" t="s">
        <v>726</v>
      </c>
      <c r="AE1083" s="335" t="s">
        <v>210</v>
      </c>
      <c r="AF1083" s="462">
        <v>43292</v>
      </c>
      <c r="AG1083" s="748">
        <v>43361</v>
      </c>
      <c r="AH1083" s="417" t="s">
        <v>210</v>
      </c>
      <c r="AI1083" s="392" t="s">
        <v>210</v>
      </c>
      <c r="AJ1083" s="392" t="s">
        <v>210</v>
      </c>
      <c r="AK1083" s="340" t="s">
        <v>210</v>
      </c>
      <c r="AL1083" s="417" t="s">
        <v>210</v>
      </c>
      <c r="AM1083" s="392" t="s">
        <v>210</v>
      </c>
      <c r="AN1083" s="392" t="s">
        <v>210</v>
      </c>
      <c r="AO1083" s="341" t="s">
        <v>210</v>
      </c>
      <c r="AP1083" s="418" t="s">
        <v>210</v>
      </c>
      <c r="AQ1083" s="433" t="s">
        <v>4547</v>
      </c>
      <c r="AR1083" s="452">
        <f>1139.5+265.2</f>
        <v>1404.7</v>
      </c>
      <c r="AS1083" s="324">
        <v>130</v>
      </c>
      <c r="AT1083" s="432">
        <v>0.8</v>
      </c>
      <c r="AU1083" s="432" t="s">
        <v>3574</v>
      </c>
      <c r="AV1083" s="432">
        <v>0.8</v>
      </c>
      <c r="AW1083" s="490" t="s">
        <v>3574</v>
      </c>
      <c r="AX1083" s="991" t="s">
        <v>622</v>
      </c>
      <c r="AY1083" s="489" t="s">
        <v>622</v>
      </c>
      <c r="AZ1083" s="405" t="s">
        <v>4083</v>
      </c>
      <c r="BA1083" s="324" t="s">
        <v>210</v>
      </c>
      <c r="BB1083" s="324" t="s">
        <v>210</v>
      </c>
      <c r="BC1083" s="324" t="s">
        <v>210</v>
      </c>
      <c r="BD1083" s="324" t="s">
        <v>210</v>
      </c>
      <c r="BE1083" s="324" t="s">
        <v>210</v>
      </c>
      <c r="BF1083" s="324" t="s">
        <v>210</v>
      </c>
      <c r="BG1083" s="324" t="s">
        <v>7691</v>
      </c>
      <c r="BH1083" s="426" t="s">
        <v>3574</v>
      </c>
      <c r="BI1083" s="453">
        <v>6</v>
      </c>
      <c r="BJ1083" s="427" t="s">
        <v>210</v>
      </c>
      <c r="BK1083" s="412"/>
      <c r="BL1083" s="413"/>
      <c r="BM1083" s="414"/>
      <c r="BN1083" s="321" t="s">
        <v>210</v>
      </c>
      <c r="BO1083" s="326" t="s">
        <v>210</v>
      </c>
      <c r="BP1083" s="455" t="s">
        <v>210</v>
      </c>
      <c r="BQ1083" s="456" t="s">
        <v>7736</v>
      </c>
      <c r="BR1083" s="342" t="s">
        <v>210</v>
      </c>
      <c r="BS1083" s="342" t="s">
        <v>210</v>
      </c>
      <c r="BT1083" s="342" t="s">
        <v>210</v>
      </c>
      <c r="BU1083" s="342" t="s">
        <v>210</v>
      </c>
      <c r="BV1083" s="342" t="s">
        <v>210</v>
      </c>
      <c r="BW1083" s="341" t="s">
        <v>210</v>
      </c>
      <c r="BX1083" s="341" t="s">
        <v>210</v>
      </c>
      <c r="BY1083" s="457" t="s">
        <v>7731</v>
      </c>
      <c r="BZ1083" s="363"/>
      <c r="CA1083" s="363"/>
      <c r="CB1083" s="363"/>
      <c r="CC1083" s="363"/>
    </row>
    <row r="1084" spans="2:81" ht="22.5" customHeight="1">
      <c r="B1084" s="442">
        <v>180169</v>
      </c>
      <c r="C1084" s="366" t="s">
        <v>7697</v>
      </c>
      <c r="D1084" s="467" t="s">
        <v>6135</v>
      </c>
      <c r="E1084" s="404" t="s">
        <v>6879</v>
      </c>
      <c r="F1084" s="405" t="s">
        <v>839</v>
      </c>
      <c r="G1084" s="324" t="s">
        <v>7698</v>
      </c>
      <c r="H1084" s="324" t="s">
        <v>7699</v>
      </c>
      <c r="I1084" s="324" t="s">
        <v>383</v>
      </c>
      <c r="J1084" s="324" t="s">
        <v>214</v>
      </c>
      <c r="K1084" s="324" t="s">
        <v>247</v>
      </c>
      <c r="L1084" s="342">
        <v>8</v>
      </c>
      <c r="M1084" s="324" t="s">
        <v>7457</v>
      </c>
      <c r="N1084" s="444" t="s">
        <v>438</v>
      </c>
      <c r="O1084" s="324">
        <v>32</v>
      </c>
      <c r="P1084" s="445">
        <f>34*81.8</f>
        <v>2781.2</v>
      </c>
      <c r="Q1084" s="446">
        <f>P1084</f>
        <v>2781.2</v>
      </c>
      <c r="R1084" s="329" t="s">
        <v>1022</v>
      </c>
      <c r="S1084" s="394" t="s">
        <v>11923</v>
      </c>
      <c r="T1084" s="394" t="s">
        <v>11925</v>
      </c>
      <c r="U1084" s="394" t="s">
        <v>11924</v>
      </c>
      <c r="V1084" s="394" t="s">
        <v>11926</v>
      </c>
      <c r="W1084" s="332" t="s">
        <v>592</v>
      </c>
      <c r="X1084" s="331" t="s">
        <v>11927</v>
      </c>
      <c r="Y1084" s="331" t="s">
        <v>11929</v>
      </c>
      <c r="Z1084" s="331" t="s">
        <v>11346</v>
      </c>
      <c r="AA1084" s="331" t="s">
        <v>11928</v>
      </c>
      <c r="AB1084" s="416"/>
      <c r="AC1084" s="416"/>
      <c r="AD1084" s="447" t="s">
        <v>5522</v>
      </c>
      <c r="AE1084" s="948"/>
      <c r="AF1084" s="462">
        <v>43294</v>
      </c>
      <c r="AG1084" s="748">
        <v>43342</v>
      </c>
      <c r="AH1084" s="417" t="s">
        <v>210</v>
      </c>
      <c r="AI1084" s="392" t="s">
        <v>210</v>
      </c>
      <c r="AJ1084" s="392" t="s">
        <v>210</v>
      </c>
      <c r="AK1084" s="340" t="s">
        <v>210</v>
      </c>
      <c r="AL1084" s="417" t="s">
        <v>210</v>
      </c>
      <c r="AM1084" s="392" t="s">
        <v>210</v>
      </c>
      <c r="AN1084" s="392" t="s">
        <v>210</v>
      </c>
      <c r="AO1084" s="341" t="s">
        <v>210</v>
      </c>
      <c r="AP1084" s="418" t="s">
        <v>210</v>
      </c>
      <c r="AQ1084" s="433" t="s">
        <v>4547</v>
      </c>
      <c r="AR1084" s="452">
        <v>3214</v>
      </c>
      <c r="AS1084" s="324">
        <v>120</v>
      </c>
      <c r="AT1084" s="432">
        <v>1.2</v>
      </c>
      <c r="AU1084" s="432" t="s">
        <v>3627</v>
      </c>
      <c r="AV1084" s="432">
        <v>1.3</v>
      </c>
      <c r="AW1084" s="490" t="s">
        <v>3382</v>
      </c>
      <c r="AX1084" s="417" t="s">
        <v>210</v>
      </c>
      <c r="AY1084" s="455" t="s">
        <v>210</v>
      </c>
      <c r="AZ1084" s="405" t="s">
        <v>4083</v>
      </c>
      <c r="BA1084" s="324" t="s">
        <v>210</v>
      </c>
      <c r="BB1084" s="324" t="s">
        <v>210</v>
      </c>
      <c r="BC1084" s="324" t="s">
        <v>210</v>
      </c>
      <c r="BD1084" s="324" t="s">
        <v>210</v>
      </c>
      <c r="BE1084" s="324" t="s">
        <v>7701</v>
      </c>
      <c r="BF1084" s="324" t="s">
        <v>3627</v>
      </c>
      <c r="BG1084" s="324" t="s">
        <v>7700</v>
      </c>
      <c r="BH1084" s="324" t="s">
        <v>3627</v>
      </c>
      <c r="BI1084" s="453">
        <v>5</v>
      </c>
      <c r="BJ1084" s="427" t="s">
        <v>210</v>
      </c>
      <c r="BK1084" s="412"/>
      <c r="BL1084" s="413"/>
      <c r="BM1084" s="414"/>
      <c r="BN1084" s="453" t="s">
        <v>622</v>
      </c>
      <c r="BO1084" s="464">
        <v>1.79</v>
      </c>
      <c r="BP1084" s="455" t="s">
        <v>622</v>
      </c>
      <c r="BQ1084" s="456" t="s">
        <v>6623</v>
      </c>
      <c r="BR1084" s="342" t="s">
        <v>210</v>
      </c>
      <c r="BS1084" s="342" t="s">
        <v>622</v>
      </c>
      <c r="BT1084" s="342" t="s">
        <v>210</v>
      </c>
      <c r="BU1084" s="342" t="s">
        <v>210</v>
      </c>
      <c r="BV1084" s="342" t="s">
        <v>210</v>
      </c>
      <c r="BW1084" s="341" t="s">
        <v>210</v>
      </c>
      <c r="BX1084" s="904" t="s">
        <v>622</v>
      </c>
      <c r="BY1084" s="457" t="s">
        <v>7753</v>
      </c>
      <c r="BZ1084" s="363"/>
      <c r="CA1084" s="363"/>
      <c r="CB1084" s="363"/>
      <c r="CC1084" s="363"/>
    </row>
    <row r="1085" spans="2:81" ht="22.5" customHeight="1">
      <c r="B1085" s="442">
        <v>180170</v>
      </c>
      <c r="C1085" s="443" t="s">
        <v>7710</v>
      </c>
      <c r="D1085" s="467" t="s">
        <v>4849</v>
      </c>
      <c r="E1085" s="404" t="s">
        <v>5363</v>
      </c>
      <c r="F1085" s="405" t="s">
        <v>7708</v>
      </c>
      <c r="G1085" s="324" t="s">
        <v>5461</v>
      </c>
      <c r="H1085" s="324" t="s">
        <v>7709</v>
      </c>
      <c r="I1085" s="324" t="s">
        <v>383</v>
      </c>
      <c r="J1085" s="324" t="s">
        <v>6632</v>
      </c>
      <c r="K1085" s="324" t="s">
        <v>247</v>
      </c>
      <c r="L1085" s="392" t="s">
        <v>210</v>
      </c>
      <c r="M1085" s="324" t="s">
        <v>7457</v>
      </c>
      <c r="N1085" s="444" t="s">
        <v>438</v>
      </c>
      <c r="O1085" s="324">
        <f>620/20</f>
        <v>31</v>
      </c>
      <c r="P1085" s="458">
        <v>314.18</v>
      </c>
      <c r="Q1085" s="459">
        <v>251</v>
      </c>
      <c r="R1085" s="420" t="s">
        <v>673</v>
      </c>
      <c r="S1085" s="394" t="s">
        <v>11922</v>
      </c>
      <c r="T1085" s="331" t="s">
        <v>11123</v>
      </c>
      <c r="U1085" s="331" t="s">
        <v>16209</v>
      </c>
      <c r="V1085" s="331" t="s">
        <v>11124</v>
      </c>
      <c r="W1085" s="332" t="s">
        <v>432</v>
      </c>
      <c r="X1085" s="331" t="s">
        <v>11079</v>
      </c>
      <c r="Y1085" s="331" t="s">
        <v>11080</v>
      </c>
      <c r="Z1085" s="331" t="s">
        <v>11080</v>
      </c>
      <c r="AA1085" s="331" t="s">
        <v>6574</v>
      </c>
      <c r="AB1085" s="416" t="s">
        <v>16099</v>
      </c>
      <c r="AC1085" s="416" t="s">
        <v>1106</v>
      </c>
      <c r="AD1085" s="334" t="s">
        <v>2327</v>
      </c>
      <c r="AE1085" s="499" t="s">
        <v>2839</v>
      </c>
      <c r="AF1085" s="462">
        <v>43295</v>
      </c>
      <c r="AG1085" s="748">
        <v>43671</v>
      </c>
      <c r="AH1085" s="992" t="s">
        <v>8687</v>
      </c>
      <c r="AI1085" s="993" t="s">
        <v>8688</v>
      </c>
      <c r="AJ1085" s="993" t="s">
        <v>8689</v>
      </c>
      <c r="AK1085" s="994" t="s">
        <v>8690</v>
      </c>
      <c r="AL1085" s="417" t="s">
        <v>210</v>
      </c>
      <c r="AM1085" s="392" t="s">
        <v>210</v>
      </c>
      <c r="AN1085" s="392" t="s">
        <v>210</v>
      </c>
      <c r="AO1085" s="341" t="s">
        <v>210</v>
      </c>
      <c r="AP1085" s="418" t="s">
        <v>210</v>
      </c>
      <c r="AQ1085" s="433" t="s">
        <v>4547</v>
      </c>
      <c r="AR1085" s="452">
        <v>311</v>
      </c>
      <c r="AS1085" s="324">
        <v>130</v>
      </c>
      <c r="AT1085" s="432">
        <v>1</v>
      </c>
      <c r="AU1085" s="432" t="s">
        <v>3382</v>
      </c>
      <c r="AV1085" s="432">
        <v>2</v>
      </c>
      <c r="AW1085" s="490" t="s">
        <v>3434</v>
      </c>
      <c r="AX1085" s="417" t="s">
        <v>210</v>
      </c>
      <c r="AY1085" s="455" t="s">
        <v>210</v>
      </c>
      <c r="AZ1085" s="405" t="s">
        <v>622</v>
      </c>
      <c r="BA1085" s="324" t="s">
        <v>3475</v>
      </c>
      <c r="BB1085" s="324" t="s">
        <v>3372</v>
      </c>
      <c r="BC1085" s="324" t="s">
        <v>3555</v>
      </c>
      <c r="BD1085" s="324" t="s">
        <v>3372</v>
      </c>
      <c r="BE1085" s="324" t="s">
        <v>210</v>
      </c>
      <c r="BF1085" s="324" t="s">
        <v>210</v>
      </c>
      <c r="BG1085" s="324" t="s">
        <v>3459</v>
      </c>
      <c r="BH1085" s="426" t="s">
        <v>3424</v>
      </c>
      <c r="BI1085" s="453">
        <v>1.1000000000000001</v>
      </c>
      <c r="BJ1085" s="427">
        <v>1.25</v>
      </c>
      <c r="BK1085" s="995" t="s">
        <v>8803</v>
      </c>
      <c r="BL1085" s="429">
        <v>1.65</v>
      </c>
      <c r="BM1085" s="414"/>
      <c r="BN1085" s="453" t="s">
        <v>622</v>
      </c>
      <c r="BO1085" s="464">
        <v>1.25</v>
      </c>
      <c r="BP1085" s="455" t="s">
        <v>210</v>
      </c>
      <c r="BQ1085" s="456" t="s">
        <v>6623</v>
      </c>
      <c r="BR1085" s="342" t="s">
        <v>210</v>
      </c>
      <c r="BS1085" s="342" t="s">
        <v>622</v>
      </c>
      <c r="BT1085" s="342" t="s">
        <v>210</v>
      </c>
      <c r="BU1085" s="342" t="s">
        <v>210</v>
      </c>
      <c r="BV1085" s="342" t="s">
        <v>210</v>
      </c>
      <c r="BW1085" s="341" t="s">
        <v>210</v>
      </c>
      <c r="BX1085" s="341" t="s">
        <v>210</v>
      </c>
      <c r="BY1085" s="457" t="s">
        <v>16101</v>
      </c>
      <c r="BZ1085" s="363"/>
      <c r="CA1085" s="363"/>
      <c r="CB1085" s="363"/>
      <c r="CC1085" s="363"/>
    </row>
    <row r="1086" spans="2:81" ht="22.5" customHeight="1">
      <c r="B1086" s="442">
        <v>180171</v>
      </c>
      <c r="C1086" s="443" t="s">
        <v>7702</v>
      </c>
      <c r="D1086" s="467" t="s">
        <v>4849</v>
      </c>
      <c r="E1086" s="404" t="s">
        <v>5405</v>
      </c>
      <c r="F1086" s="405" t="s">
        <v>3715</v>
      </c>
      <c r="G1086" s="324" t="s">
        <v>2283</v>
      </c>
      <c r="H1086" s="324" t="s">
        <v>7703</v>
      </c>
      <c r="I1086" s="324" t="s">
        <v>10779</v>
      </c>
      <c r="J1086" s="324" t="s">
        <v>6632</v>
      </c>
      <c r="K1086" s="324" t="s">
        <v>3352</v>
      </c>
      <c r="L1086" s="392" t="s">
        <v>210</v>
      </c>
      <c r="M1086" s="324" t="s">
        <v>7457</v>
      </c>
      <c r="N1086" s="444" t="s">
        <v>437</v>
      </c>
      <c r="O1086" s="324">
        <v>60</v>
      </c>
      <c r="P1086" s="458">
        <v>573.17999999999995</v>
      </c>
      <c r="Q1086" s="459">
        <v>480.18</v>
      </c>
      <c r="R1086" s="329" t="s">
        <v>921</v>
      </c>
      <c r="S1086" s="394" t="s">
        <v>11918</v>
      </c>
      <c r="T1086" s="394" t="s">
        <v>11919</v>
      </c>
      <c r="U1086" s="394" t="s">
        <v>11921</v>
      </c>
      <c r="V1086" s="394" t="s">
        <v>11920</v>
      </c>
      <c r="W1086" s="332" t="s">
        <v>921</v>
      </c>
      <c r="X1086" s="394" t="s">
        <v>11918</v>
      </c>
      <c r="Y1086" s="394" t="s">
        <v>11919</v>
      </c>
      <c r="Z1086" s="394" t="s">
        <v>11921</v>
      </c>
      <c r="AA1086" s="394" t="s">
        <v>11920</v>
      </c>
      <c r="AB1086" s="416"/>
      <c r="AC1086" s="416"/>
      <c r="AD1086" s="447" t="s">
        <v>7823</v>
      </c>
      <c r="AE1086" s="335" t="s">
        <v>210</v>
      </c>
      <c r="AF1086" s="462">
        <v>43295</v>
      </c>
      <c r="AG1086" s="748">
        <v>43319</v>
      </c>
      <c r="AH1086" s="417" t="s">
        <v>210</v>
      </c>
      <c r="AI1086" s="392" t="s">
        <v>210</v>
      </c>
      <c r="AJ1086" s="392" t="s">
        <v>210</v>
      </c>
      <c r="AK1086" s="340" t="s">
        <v>210</v>
      </c>
      <c r="AL1086" s="417" t="s">
        <v>210</v>
      </c>
      <c r="AM1086" s="392" t="s">
        <v>210</v>
      </c>
      <c r="AN1086" s="392" t="s">
        <v>210</v>
      </c>
      <c r="AO1086" s="341" t="s">
        <v>210</v>
      </c>
      <c r="AP1086" s="418" t="s">
        <v>210</v>
      </c>
      <c r="AQ1086" s="433" t="s">
        <v>4548</v>
      </c>
      <c r="AR1086" s="452">
        <v>771.7</v>
      </c>
      <c r="AS1086" s="324">
        <v>80</v>
      </c>
      <c r="AT1086" s="432">
        <v>1</v>
      </c>
      <c r="AU1086" s="432" t="s">
        <v>5246</v>
      </c>
      <c r="AV1086" s="432">
        <v>2.2000000000000002</v>
      </c>
      <c r="AW1086" s="490" t="s">
        <v>5246</v>
      </c>
      <c r="AX1086" s="417" t="s">
        <v>210</v>
      </c>
      <c r="AY1086" s="340" t="s">
        <v>210</v>
      </c>
      <c r="AZ1086" s="405" t="s">
        <v>622</v>
      </c>
      <c r="BA1086" s="324" t="s">
        <v>7704</v>
      </c>
      <c r="BB1086" s="324" t="s">
        <v>3487</v>
      </c>
      <c r="BC1086" s="324" t="s">
        <v>7705</v>
      </c>
      <c r="BD1086" s="324" t="s">
        <v>210</v>
      </c>
      <c r="BE1086" s="324" t="s">
        <v>3476</v>
      </c>
      <c r="BF1086" s="324" t="s">
        <v>7706</v>
      </c>
      <c r="BG1086" s="324" t="s">
        <v>7707</v>
      </c>
      <c r="BH1086" s="426" t="s">
        <v>3574</v>
      </c>
      <c r="BI1086" s="453">
        <v>0.7</v>
      </c>
      <c r="BJ1086" s="427" t="s">
        <v>210</v>
      </c>
      <c r="BK1086" s="412"/>
      <c r="BL1086" s="413"/>
      <c r="BM1086" s="414"/>
      <c r="BN1086" s="453" t="s">
        <v>622</v>
      </c>
      <c r="BO1086" s="464">
        <v>0.88</v>
      </c>
      <c r="BP1086" s="455" t="s">
        <v>210</v>
      </c>
      <c r="BQ1086" s="456" t="s">
        <v>917</v>
      </c>
      <c r="BR1086" s="342" t="s">
        <v>210</v>
      </c>
      <c r="BS1086" s="342" t="s">
        <v>622</v>
      </c>
      <c r="BT1086" s="342" t="s">
        <v>210</v>
      </c>
      <c r="BU1086" s="342" t="s">
        <v>210</v>
      </c>
      <c r="BV1086" s="342" t="s">
        <v>210</v>
      </c>
      <c r="BW1086" s="341" t="s">
        <v>210</v>
      </c>
      <c r="BX1086" s="341" t="s">
        <v>210</v>
      </c>
      <c r="BY1086" s="457" t="s">
        <v>7735</v>
      </c>
      <c r="BZ1086" s="363"/>
      <c r="CA1086" s="363"/>
      <c r="CB1086" s="363"/>
      <c r="CC1086" s="363"/>
    </row>
    <row r="1087" spans="2:81" ht="22.5" customHeight="1">
      <c r="B1087" s="442">
        <v>180172</v>
      </c>
      <c r="C1087" s="443" t="s">
        <v>7713</v>
      </c>
      <c r="D1087" s="467" t="s">
        <v>4847</v>
      </c>
      <c r="E1087" s="404" t="s">
        <v>5362</v>
      </c>
      <c r="F1087" s="405" t="s">
        <v>222</v>
      </c>
      <c r="G1087" s="324" t="s">
        <v>7714</v>
      </c>
      <c r="H1087" s="324" t="s">
        <v>7715</v>
      </c>
      <c r="I1087" s="324" t="s">
        <v>7716</v>
      </c>
      <c r="J1087" s="324" t="s">
        <v>214</v>
      </c>
      <c r="K1087" s="324" t="s">
        <v>7717</v>
      </c>
      <c r="L1087" s="342">
        <v>5.5</v>
      </c>
      <c r="M1087" s="324" t="s">
        <v>7457</v>
      </c>
      <c r="N1087" s="444" t="s">
        <v>437</v>
      </c>
      <c r="O1087" s="324">
        <v>180</v>
      </c>
      <c r="P1087" s="458">
        <v>192</v>
      </c>
      <c r="Q1087" s="459">
        <v>192</v>
      </c>
      <c r="R1087" s="329" t="s">
        <v>1049</v>
      </c>
      <c r="S1087" s="394" t="s">
        <v>11915</v>
      </c>
      <c r="T1087" s="394" t="s">
        <v>11916</v>
      </c>
      <c r="U1087" s="394" t="s">
        <v>16434</v>
      </c>
      <c r="V1087" s="394" t="s">
        <v>11917</v>
      </c>
      <c r="W1087" s="460" t="s">
        <v>7654</v>
      </c>
      <c r="X1087" s="400"/>
      <c r="Y1087" s="400"/>
      <c r="Z1087" s="400"/>
      <c r="AA1087" s="400"/>
      <c r="AB1087" s="416"/>
      <c r="AC1087" s="416"/>
      <c r="AD1087" s="996"/>
      <c r="AE1087" s="335" t="s">
        <v>210</v>
      </c>
      <c r="AF1087" s="462">
        <v>43298</v>
      </c>
      <c r="AG1087" s="748">
        <v>43608</v>
      </c>
      <c r="AH1087" s="417" t="s">
        <v>210</v>
      </c>
      <c r="AI1087" s="392" t="s">
        <v>210</v>
      </c>
      <c r="AJ1087" s="392" t="s">
        <v>210</v>
      </c>
      <c r="AK1087" s="340" t="s">
        <v>210</v>
      </c>
      <c r="AL1087" s="417" t="s">
        <v>210</v>
      </c>
      <c r="AM1087" s="392" t="s">
        <v>210</v>
      </c>
      <c r="AN1087" s="392" t="s">
        <v>210</v>
      </c>
      <c r="AO1087" s="341" t="s">
        <v>210</v>
      </c>
      <c r="AP1087" s="418" t="s">
        <v>210</v>
      </c>
      <c r="AQ1087" s="433" t="s">
        <v>4547</v>
      </c>
      <c r="AR1087" s="452">
        <v>372</v>
      </c>
      <c r="AS1087" s="324">
        <v>100</v>
      </c>
      <c r="AT1087" s="432">
        <v>1.1000000000000001</v>
      </c>
      <c r="AU1087" s="432" t="s">
        <v>3491</v>
      </c>
      <c r="AV1087" s="432">
        <v>1.4</v>
      </c>
      <c r="AW1087" s="490" t="s">
        <v>3491</v>
      </c>
      <c r="AX1087" s="456" t="s">
        <v>210</v>
      </c>
      <c r="AY1087" s="429" t="s">
        <v>210</v>
      </c>
      <c r="AZ1087" s="405" t="s">
        <v>622</v>
      </c>
      <c r="BA1087" s="324" t="s">
        <v>7718</v>
      </c>
      <c r="BB1087" s="324" t="s">
        <v>3492</v>
      </c>
      <c r="BC1087" s="324" t="s">
        <v>7719</v>
      </c>
      <c r="BD1087" s="324" t="s">
        <v>3492</v>
      </c>
      <c r="BE1087" s="324" t="s">
        <v>3558</v>
      </c>
      <c r="BF1087" s="324" t="s">
        <v>3434</v>
      </c>
      <c r="BG1087" s="324" t="s">
        <v>7720</v>
      </c>
      <c r="BH1087" s="426" t="s">
        <v>5079</v>
      </c>
      <c r="BI1087" s="453">
        <v>1</v>
      </c>
      <c r="BJ1087" s="427">
        <v>1.18</v>
      </c>
      <c r="BK1087" s="428" t="s">
        <v>3492</v>
      </c>
      <c r="BL1087" s="429">
        <v>1.4</v>
      </c>
      <c r="BM1087" s="414"/>
      <c r="BN1087" s="453" t="s">
        <v>622</v>
      </c>
      <c r="BO1087" s="464">
        <v>1.0900000000000001</v>
      </c>
      <c r="BP1087" s="455" t="s">
        <v>622</v>
      </c>
      <c r="BQ1087" s="456" t="s">
        <v>5235</v>
      </c>
      <c r="BR1087" s="342" t="s">
        <v>210</v>
      </c>
      <c r="BS1087" s="342" t="s">
        <v>210</v>
      </c>
      <c r="BT1087" s="342" t="s">
        <v>210</v>
      </c>
      <c r="BU1087" s="342" t="s">
        <v>210</v>
      </c>
      <c r="BV1087" s="342" t="s">
        <v>210</v>
      </c>
      <c r="BW1087" s="341" t="s">
        <v>210</v>
      </c>
      <c r="BX1087" s="341" t="s">
        <v>210</v>
      </c>
      <c r="BY1087" s="457" t="s">
        <v>6009</v>
      </c>
      <c r="BZ1087" s="363"/>
      <c r="CA1087" s="363"/>
      <c r="CB1087" s="363"/>
      <c r="CC1087" s="363"/>
    </row>
    <row r="1088" spans="2:81" ht="22.5" customHeight="1">
      <c r="B1088" s="442">
        <v>180173</v>
      </c>
      <c r="C1088" s="443" t="s">
        <v>7739</v>
      </c>
      <c r="D1088" s="467" t="s">
        <v>4849</v>
      </c>
      <c r="E1088" s="404" t="s">
        <v>5362</v>
      </c>
      <c r="F1088" s="405" t="s">
        <v>266</v>
      </c>
      <c r="G1088" s="324" t="s">
        <v>7740</v>
      </c>
      <c r="H1088" s="324" t="s">
        <v>7741</v>
      </c>
      <c r="I1088" s="324" t="s">
        <v>10779</v>
      </c>
      <c r="J1088" s="326" t="s">
        <v>7171</v>
      </c>
      <c r="K1088" s="324" t="s">
        <v>3352</v>
      </c>
      <c r="L1088" s="342" t="s">
        <v>210</v>
      </c>
      <c r="M1088" s="324" t="s">
        <v>7457</v>
      </c>
      <c r="N1088" s="444" t="s">
        <v>437</v>
      </c>
      <c r="O1088" s="324">
        <v>30</v>
      </c>
      <c r="P1088" s="458">
        <v>338.3</v>
      </c>
      <c r="Q1088" s="458">
        <v>179</v>
      </c>
      <c r="R1088" s="329" t="s">
        <v>479</v>
      </c>
      <c r="S1088" s="394" t="s">
        <v>11912</v>
      </c>
      <c r="T1088" s="394" t="s">
        <v>11913</v>
      </c>
      <c r="U1088" s="400"/>
      <c r="V1088" s="394" t="s">
        <v>11914</v>
      </c>
      <c r="W1088" s="332" t="s">
        <v>479</v>
      </c>
      <c r="X1088" s="394" t="s">
        <v>11912</v>
      </c>
      <c r="Y1088" s="394" t="s">
        <v>11913</v>
      </c>
      <c r="Z1088" s="400"/>
      <c r="AA1088" s="394" t="s">
        <v>11914</v>
      </c>
      <c r="AB1088" s="416"/>
      <c r="AC1088" s="416"/>
      <c r="AD1088" s="447" t="s">
        <v>1410</v>
      </c>
      <c r="AE1088" s="335" t="s">
        <v>210</v>
      </c>
      <c r="AF1088" s="462">
        <v>43305</v>
      </c>
      <c r="AG1088" s="748">
        <v>43339</v>
      </c>
      <c r="AH1088" s="417" t="s">
        <v>210</v>
      </c>
      <c r="AI1088" s="392" t="s">
        <v>210</v>
      </c>
      <c r="AJ1088" s="392" t="s">
        <v>210</v>
      </c>
      <c r="AK1088" s="340" t="s">
        <v>210</v>
      </c>
      <c r="AL1088" s="417" t="s">
        <v>210</v>
      </c>
      <c r="AM1088" s="392" t="s">
        <v>210</v>
      </c>
      <c r="AN1088" s="392" t="s">
        <v>210</v>
      </c>
      <c r="AO1088" s="341" t="s">
        <v>210</v>
      </c>
      <c r="AP1088" s="418" t="s">
        <v>210</v>
      </c>
      <c r="AQ1088" s="433" t="s">
        <v>4548</v>
      </c>
      <c r="AR1088" s="452">
        <f>164.5+66.4</f>
        <v>230.9</v>
      </c>
      <c r="AS1088" s="324">
        <v>80</v>
      </c>
      <c r="AT1088" s="432">
        <v>1</v>
      </c>
      <c r="AU1088" s="432" t="s">
        <v>7405</v>
      </c>
      <c r="AV1088" s="432">
        <v>3.2</v>
      </c>
      <c r="AW1088" s="490" t="s">
        <v>7405</v>
      </c>
      <c r="AX1088" s="456" t="s">
        <v>210</v>
      </c>
      <c r="AY1088" s="429" t="s">
        <v>210</v>
      </c>
      <c r="AZ1088" s="405" t="s">
        <v>622</v>
      </c>
      <c r="BA1088" s="324" t="s">
        <v>7742</v>
      </c>
      <c r="BB1088" s="324" t="s">
        <v>3372</v>
      </c>
      <c r="BC1088" s="324" t="s">
        <v>3557</v>
      </c>
      <c r="BD1088" s="324" t="s">
        <v>3372</v>
      </c>
      <c r="BE1088" s="324" t="s">
        <v>7743</v>
      </c>
      <c r="BF1088" s="324" t="s">
        <v>3434</v>
      </c>
      <c r="BG1088" s="324" t="s">
        <v>3476</v>
      </c>
      <c r="BH1088" s="324" t="s">
        <v>3434</v>
      </c>
      <c r="BI1088" s="453">
        <v>1.6</v>
      </c>
      <c r="BJ1088" s="427" t="s">
        <v>210</v>
      </c>
      <c r="BK1088" s="412"/>
      <c r="BL1088" s="413"/>
      <c r="BM1088" s="414"/>
      <c r="BN1088" s="453" t="s">
        <v>622</v>
      </c>
      <c r="BO1088" s="464">
        <v>1.2</v>
      </c>
      <c r="BP1088" s="455" t="s">
        <v>622</v>
      </c>
      <c r="BQ1088" s="456" t="s">
        <v>7833</v>
      </c>
      <c r="BR1088" s="342" t="s">
        <v>210</v>
      </c>
      <c r="BS1088" s="342" t="s">
        <v>622</v>
      </c>
      <c r="BT1088" s="342" t="s">
        <v>210</v>
      </c>
      <c r="BU1088" s="342" t="s">
        <v>210</v>
      </c>
      <c r="BV1088" s="342" t="s">
        <v>210</v>
      </c>
      <c r="BW1088" s="341" t="s">
        <v>210</v>
      </c>
      <c r="BX1088" s="341" t="s">
        <v>210</v>
      </c>
      <c r="BY1088" s="457"/>
      <c r="BZ1088" s="363"/>
      <c r="CA1088" s="363"/>
      <c r="CB1088" s="363"/>
      <c r="CC1088" s="363"/>
    </row>
    <row r="1089" spans="1:82" s="1036" customFormat="1" ht="22.5" customHeight="1">
      <c r="A1089" s="287"/>
      <c r="B1089" s="997">
        <v>180174</v>
      </c>
      <c r="C1089" s="998" t="s">
        <v>7766</v>
      </c>
      <c r="D1089" s="999" t="s">
        <v>4847</v>
      </c>
      <c r="E1089" s="1000" t="s">
        <v>5362</v>
      </c>
      <c r="F1089" s="1001" t="s">
        <v>266</v>
      </c>
      <c r="G1089" s="1002" t="s">
        <v>1784</v>
      </c>
      <c r="H1089" s="1002" t="s">
        <v>7744</v>
      </c>
      <c r="I1089" s="1002" t="s">
        <v>383</v>
      </c>
      <c r="J1089" s="1002" t="s">
        <v>214</v>
      </c>
      <c r="K1089" s="1002" t="s">
        <v>917</v>
      </c>
      <c r="L1089" s="1003" t="s">
        <v>210</v>
      </c>
      <c r="M1089" s="1002" t="s">
        <v>7457</v>
      </c>
      <c r="N1089" s="1004" t="s">
        <v>437</v>
      </c>
      <c r="O1089" s="1002">
        <v>30</v>
      </c>
      <c r="P1089" s="1005">
        <v>1000</v>
      </c>
      <c r="Q1089" s="1006">
        <f>P1089</f>
        <v>1000</v>
      </c>
      <c r="R1089" s="1007" t="s">
        <v>924</v>
      </c>
      <c r="S1089" s="1008"/>
      <c r="T1089" s="1008"/>
      <c r="U1089" s="1008"/>
      <c r="V1089" s="1008"/>
      <c r="W1089" s="1009" t="s">
        <v>1106</v>
      </c>
      <c r="X1089" s="1008" t="s">
        <v>11908</v>
      </c>
      <c r="Y1089" s="1008" t="s">
        <v>11909</v>
      </c>
      <c r="Z1089" s="1008" t="s">
        <v>11910</v>
      </c>
      <c r="AA1089" s="1008" t="s">
        <v>11911</v>
      </c>
      <c r="AB1089" s="1010"/>
      <c r="AC1089" s="1010"/>
      <c r="AD1089" s="1011" t="s">
        <v>7904</v>
      </c>
      <c r="AE1089" s="1012" t="s">
        <v>210</v>
      </c>
      <c r="AF1089" s="1013">
        <v>43306</v>
      </c>
      <c r="AG1089" s="1014">
        <v>43336</v>
      </c>
      <c r="AH1089" s="1015" t="s">
        <v>210</v>
      </c>
      <c r="AI1089" s="1016" t="s">
        <v>210</v>
      </c>
      <c r="AJ1089" s="1016" t="s">
        <v>210</v>
      </c>
      <c r="AK1089" s="1017" t="s">
        <v>210</v>
      </c>
      <c r="AL1089" s="1015" t="s">
        <v>210</v>
      </c>
      <c r="AM1089" s="1016" t="s">
        <v>210</v>
      </c>
      <c r="AN1089" s="1016" t="s">
        <v>210</v>
      </c>
      <c r="AO1089" s="1018" t="s">
        <v>210</v>
      </c>
      <c r="AP1089" s="1019" t="s">
        <v>210</v>
      </c>
      <c r="AQ1089" s="1020" t="s">
        <v>4547</v>
      </c>
      <c r="AR1089" s="1021">
        <v>1299</v>
      </c>
      <c r="AS1089" s="1002">
        <v>100</v>
      </c>
      <c r="AT1089" s="1022">
        <v>0.8</v>
      </c>
      <c r="AU1089" s="1022" t="s">
        <v>7767</v>
      </c>
      <c r="AV1089" s="1022">
        <v>1.4</v>
      </c>
      <c r="AW1089" s="1023" t="s">
        <v>3512</v>
      </c>
      <c r="AX1089" s="1024" t="s">
        <v>210</v>
      </c>
      <c r="AY1089" s="1025" t="s">
        <v>210</v>
      </c>
      <c r="AZ1089" s="1001" t="s">
        <v>622</v>
      </c>
      <c r="BA1089" s="1002" t="s">
        <v>3475</v>
      </c>
      <c r="BB1089" s="1002" t="s">
        <v>6579</v>
      </c>
      <c r="BC1089" s="1002" t="s">
        <v>7745</v>
      </c>
      <c r="BD1089" s="1002" t="s">
        <v>3372</v>
      </c>
      <c r="BE1089" s="1002" t="s">
        <v>3555</v>
      </c>
      <c r="BF1089" s="1002" t="s">
        <v>3372</v>
      </c>
      <c r="BG1089" s="1002" t="s">
        <v>3555</v>
      </c>
      <c r="BH1089" s="1026" t="s">
        <v>3494</v>
      </c>
      <c r="BI1089" s="1027">
        <v>1.2</v>
      </c>
      <c r="BJ1089" s="1028" t="s">
        <v>210</v>
      </c>
      <c r="BK1089" s="1029"/>
      <c r="BL1089" s="1025"/>
      <c r="BM1089" s="1030"/>
      <c r="BN1089" s="1027" t="s">
        <v>622</v>
      </c>
      <c r="BO1089" s="1031">
        <v>0.68</v>
      </c>
      <c r="BP1089" s="1032" t="s">
        <v>210</v>
      </c>
      <c r="BQ1089" s="1024" t="s">
        <v>6623</v>
      </c>
      <c r="BR1089" s="1003" t="s">
        <v>210</v>
      </c>
      <c r="BS1089" s="1003" t="s">
        <v>622</v>
      </c>
      <c r="BT1089" s="1003" t="s">
        <v>210</v>
      </c>
      <c r="BU1089" s="1003" t="s">
        <v>210</v>
      </c>
      <c r="BV1089" s="1003" t="s">
        <v>210</v>
      </c>
      <c r="BW1089" s="1018" t="s">
        <v>210</v>
      </c>
      <c r="BX1089" s="1018" t="s">
        <v>210</v>
      </c>
      <c r="BY1089" s="1033"/>
      <c r="BZ1089" s="1034"/>
      <c r="CA1089" s="1034"/>
      <c r="CB1089" s="1034"/>
      <c r="CC1089" s="1034"/>
      <c r="CD1089" s="1035"/>
    </row>
    <row r="1090" spans="1:82" s="465" customFormat="1" ht="22.5" customHeight="1">
      <c r="A1090" s="287"/>
      <c r="B1090" s="749">
        <v>180175</v>
      </c>
      <c r="C1090" s="781" t="s">
        <v>7747</v>
      </c>
      <c r="D1090" s="829" t="s">
        <v>6135</v>
      </c>
      <c r="E1090" s="752" t="s">
        <v>5362</v>
      </c>
      <c r="F1090" s="753" t="s">
        <v>222</v>
      </c>
      <c r="G1090" s="754" t="s">
        <v>7748</v>
      </c>
      <c r="H1090" s="754" t="s">
        <v>3156</v>
      </c>
      <c r="I1090" s="754" t="s">
        <v>383</v>
      </c>
      <c r="J1090" s="754" t="s">
        <v>6632</v>
      </c>
      <c r="K1090" s="754" t="s">
        <v>247</v>
      </c>
      <c r="L1090" s="688"/>
      <c r="M1090" s="754" t="s">
        <v>7457</v>
      </c>
      <c r="N1090" s="755" t="s">
        <v>7858</v>
      </c>
      <c r="O1090" s="754">
        <v>70</v>
      </c>
      <c r="P1090" s="782"/>
      <c r="Q1090" s="783"/>
      <c r="R1090" s="756" t="s">
        <v>7749</v>
      </c>
      <c r="S1090" s="708"/>
      <c r="T1090" s="708"/>
      <c r="U1090" s="708"/>
      <c r="V1090" s="708"/>
      <c r="W1090" s="757" t="s">
        <v>4603</v>
      </c>
      <c r="X1090" s="708" t="s">
        <v>11905</v>
      </c>
      <c r="Y1090" s="708" t="s">
        <v>11906</v>
      </c>
      <c r="Z1090" s="1008" t="s">
        <v>12414</v>
      </c>
      <c r="AA1090" s="708" t="s">
        <v>11907</v>
      </c>
      <c r="AB1090" s="758"/>
      <c r="AC1090" s="758"/>
      <c r="AD1090" s="759"/>
      <c r="AE1090" s="760"/>
      <c r="AF1090" s="846">
        <v>43307</v>
      </c>
      <c r="AG1090" s="674" t="s">
        <v>10514</v>
      </c>
      <c r="AH1090" s="675" t="s">
        <v>210</v>
      </c>
      <c r="AI1090" s="676" t="s">
        <v>210</v>
      </c>
      <c r="AJ1090" s="676" t="s">
        <v>210</v>
      </c>
      <c r="AK1090" s="677" t="s">
        <v>210</v>
      </c>
      <c r="AL1090" s="675" t="s">
        <v>210</v>
      </c>
      <c r="AM1090" s="676" t="s">
        <v>210</v>
      </c>
      <c r="AN1090" s="676" t="s">
        <v>210</v>
      </c>
      <c r="AO1090" s="678" t="s">
        <v>210</v>
      </c>
      <c r="AP1090" s="784" t="s">
        <v>210</v>
      </c>
      <c r="AQ1090" s="762" t="s">
        <v>4547</v>
      </c>
      <c r="AR1090" s="763">
        <f>3307+2057</f>
        <v>5364</v>
      </c>
      <c r="AS1090" s="754">
        <v>120</v>
      </c>
      <c r="AT1090" s="785">
        <v>1</v>
      </c>
      <c r="AU1090" s="785" t="s">
        <v>7405</v>
      </c>
      <c r="AV1090" s="785">
        <v>1.4</v>
      </c>
      <c r="AW1090" s="764" t="s">
        <v>7859</v>
      </c>
      <c r="AX1090" s="687" t="s">
        <v>622</v>
      </c>
      <c r="AY1090" s="681" t="s">
        <v>622</v>
      </c>
      <c r="AZ1090" s="753" t="s">
        <v>4083</v>
      </c>
      <c r="BA1090" s="754" t="s">
        <v>210</v>
      </c>
      <c r="BB1090" s="754" t="s">
        <v>210</v>
      </c>
      <c r="BC1090" s="754" t="s">
        <v>210</v>
      </c>
      <c r="BD1090" s="754" t="s">
        <v>210</v>
      </c>
      <c r="BE1090" s="754" t="s">
        <v>3475</v>
      </c>
      <c r="BF1090" s="754" t="s">
        <v>5838</v>
      </c>
      <c r="BG1090" s="754" t="s">
        <v>7752</v>
      </c>
      <c r="BH1090" s="754" t="s">
        <v>5838</v>
      </c>
      <c r="BI1090" s="765">
        <v>5.7</v>
      </c>
      <c r="BJ1090" s="768" t="s">
        <v>210</v>
      </c>
      <c r="BK1090" s="769"/>
      <c r="BL1090" s="766"/>
      <c r="BM1090" s="770"/>
      <c r="BN1090" s="765" t="s">
        <v>622</v>
      </c>
      <c r="BO1090" s="771">
        <v>1.19</v>
      </c>
      <c r="BP1090" s="772" t="s">
        <v>622</v>
      </c>
      <c r="BQ1090" s="773" t="s">
        <v>5235</v>
      </c>
      <c r="BR1090" s="688" t="s">
        <v>210</v>
      </c>
      <c r="BS1090" s="688" t="s">
        <v>622</v>
      </c>
      <c r="BT1090" s="688" t="s">
        <v>210</v>
      </c>
      <c r="BU1090" s="688" t="s">
        <v>210</v>
      </c>
      <c r="BV1090" s="688" t="s">
        <v>210</v>
      </c>
      <c r="BW1090" s="678" t="s">
        <v>210</v>
      </c>
      <c r="BX1090" s="678" t="s">
        <v>210</v>
      </c>
      <c r="BY1090" s="774"/>
      <c r="BZ1090" s="483"/>
      <c r="CA1090" s="483"/>
      <c r="CB1090" s="483"/>
      <c r="CC1090" s="483"/>
      <c r="CD1090" s="484"/>
    </row>
    <row r="1091" spans="1:82" ht="22.5" customHeight="1">
      <c r="B1091" s="442">
        <v>180176</v>
      </c>
      <c r="C1091" s="443" t="s">
        <v>7757</v>
      </c>
      <c r="D1091" s="467" t="s">
        <v>7810</v>
      </c>
      <c r="E1091" s="404" t="s">
        <v>5405</v>
      </c>
      <c r="F1091" s="405" t="s">
        <v>3715</v>
      </c>
      <c r="G1091" s="324" t="s">
        <v>7758</v>
      </c>
      <c r="H1091" s="324" t="s">
        <v>7759</v>
      </c>
      <c r="I1091" s="324" t="s">
        <v>383</v>
      </c>
      <c r="J1091" s="324" t="s">
        <v>214</v>
      </c>
      <c r="K1091" s="324" t="s">
        <v>6374</v>
      </c>
      <c r="L1091" s="342">
        <v>23</v>
      </c>
      <c r="M1091" s="324" t="s">
        <v>7457</v>
      </c>
      <c r="N1091" s="444" t="s">
        <v>438</v>
      </c>
      <c r="O1091" s="324">
        <v>30</v>
      </c>
      <c r="P1091" s="445">
        <v>2100</v>
      </c>
      <c r="Q1091" s="446">
        <f>P1091</f>
        <v>2100</v>
      </c>
      <c r="R1091" s="420" t="s">
        <v>7197</v>
      </c>
      <c r="S1091" s="394" t="s">
        <v>11902</v>
      </c>
      <c r="T1091" s="394" t="s">
        <v>11903</v>
      </c>
      <c r="U1091" s="394" t="s">
        <v>12067</v>
      </c>
      <c r="V1091" s="394" t="s">
        <v>11904</v>
      </c>
      <c r="W1091" s="460" t="s">
        <v>7760</v>
      </c>
      <c r="X1091" s="394" t="s">
        <v>11899</v>
      </c>
      <c r="Y1091" s="394" t="s">
        <v>11900</v>
      </c>
      <c r="Z1091" s="400"/>
      <c r="AA1091" s="394" t="s">
        <v>11901</v>
      </c>
      <c r="AB1091" s="333" t="s">
        <v>1019</v>
      </c>
      <c r="AC1091" s="416"/>
      <c r="AD1091" s="996"/>
      <c r="AE1091" s="499" t="s">
        <v>966</v>
      </c>
      <c r="AF1091" s="462">
        <v>43308</v>
      </c>
      <c r="AG1091" s="748">
        <v>43350</v>
      </c>
      <c r="AH1091" s="417" t="s">
        <v>210</v>
      </c>
      <c r="AI1091" s="392" t="s">
        <v>210</v>
      </c>
      <c r="AJ1091" s="392" t="s">
        <v>210</v>
      </c>
      <c r="AK1091" s="340" t="s">
        <v>210</v>
      </c>
      <c r="AL1091" s="417" t="s">
        <v>210</v>
      </c>
      <c r="AM1091" s="392" t="s">
        <v>210</v>
      </c>
      <c r="AN1091" s="392" t="s">
        <v>210</v>
      </c>
      <c r="AO1091" s="341" t="s">
        <v>210</v>
      </c>
      <c r="AP1091" s="418" t="s">
        <v>210</v>
      </c>
      <c r="AQ1091" s="433" t="s">
        <v>4547</v>
      </c>
      <c r="AR1091" s="452">
        <v>2848</v>
      </c>
      <c r="AS1091" s="324">
        <v>80</v>
      </c>
      <c r="AT1091" s="432">
        <v>1</v>
      </c>
      <c r="AU1091" s="432" t="s">
        <v>3574</v>
      </c>
      <c r="AV1091" s="432">
        <v>1.5</v>
      </c>
      <c r="AW1091" s="490" t="s">
        <v>3574</v>
      </c>
      <c r="AX1091" s="456" t="s">
        <v>210</v>
      </c>
      <c r="AY1091" s="489" t="s">
        <v>622</v>
      </c>
      <c r="AZ1091" s="405" t="s">
        <v>622</v>
      </c>
      <c r="BA1091" s="324" t="s">
        <v>3459</v>
      </c>
      <c r="BB1091" s="324" t="s">
        <v>6579</v>
      </c>
      <c r="BC1091" s="324" t="s">
        <v>7763</v>
      </c>
      <c r="BD1091" s="324" t="s">
        <v>6579</v>
      </c>
      <c r="BE1091" s="324" t="s">
        <v>7764</v>
      </c>
      <c r="BF1091" s="324" t="s">
        <v>3512</v>
      </c>
      <c r="BG1091" s="324" t="s">
        <v>7765</v>
      </c>
      <c r="BH1091" s="426" t="s">
        <v>3574</v>
      </c>
      <c r="BI1091" s="453">
        <v>0.95</v>
      </c>
      <c r="BJ1091" s="427" t="s">
        <v>7834</v>
      </c>
      <c r="BK1091" s="412"/>
      <c r="BL1091" s="413"/>
      <c r="BM1091" s="414"/>
      <c r="BN1091" s="453" t="s">
        <v>622</v>
      </c>
      <c r="BO1091" s="464">
        <v>1.1499999999999999</v>
      </c>
      <c r="BP1091" s="455" t="s">
        <v>622</v>
      </c>
      <c r="BQ1091" s="456" t="s">
        <v>247</v>
      </c>
      <c r="BR1091" s="342" t="s">
        <v>210</v>
      </c>
      <c r="BS1091" s="342" t="s">
        <v>622</v>
      </c>
      <c r="BT1091" s="342" t="s">
        <v>210</v>
      </c>
      <c r="BU1091" s="342" t="s">
        <v>210</v>
      </c>
      <c r="BV1091" s="342" t="s">
        <v>210</v>
      </c>
      <c r="BW1091" s="342" t="s">
        <v>622</v>
      </c>
      <c r="BX1091" s="341" t="s">
        <v>210</v>
      </c>
      <c r="BY1091" s="457" t="s">
        <v>7835</v>
      </c>
      <c r="BZ1091" s="363"/>
      <c r="CA1091" s="363"/>
      <c r="CB1091" s="363"/>
      <c r="CC1091" s="363"/>
    </row>
    <row r="1092" spans="1:82" ht="22.5" customHeight="1">
      <c r="B1092" s="442">
        <v>180177</v>
      </c>
      <c r="C1092" s="443" t="s">
        <v>7966</v>
      </c>
      <c r="D1092" s="467" t="s">
        <v>7799</v>
      </c>
      <c r="E1092" s="404" t="s">
        <v>5362</v>
      </c>
      <c r="F1092" s="405" t="s">
        <v>1509</v>
      </c>
      <c r="G1092" s="324" t="s">
        <v>7800</v>
      </c>
      <c r="H1092" s="324" t="s">
        <v>7801</v>
      </c>
      <c r="I1092" s="324" t="s">
        <v>383</v>
      </c>
      <c r="J1092" s="324" t="s">
        <v>214</v>
      </c>
      <c r="K1092" s="324" t="s">
        <v>917</v>
      </c>
      <c r="L1092" s="342" t="s">
        <v>210</v>
      </c>
      <c r="M1092" s="324" t="s">
        <v>7457</v>
      </c>
      <c r="N1092" s="444" t="s">
        <v>438</v>
      </c>
      <c r="O1092" s="324">
        <v>100</v>
      </c>
      <c r="P1092" s="1037">
        <v>3681.71</v>
      </c>
      <c r="Q1092" s="446">
        <v>3682</v>
      </c>
      <c r="R1092" s="420" t="s">
        <v>7803</v>
      </c>
      <c r="S1092" s="394" t="s">
        <v>11896</v>
      </c>
      <c r="T1092" s="394" t="s">
        <v>11897</v>
      </c>
      <c r="U1092" s="394" t="s">
        <v>16337</v>
      </c>
      <c r="V1092" s="394" t="s">
        <v>11898</v>
      </c>
      <c r="W1092" s="332" t="s">
        <v>432</v>
      </c>
      <c r="X1092" s="331" t="s">
        <v>11079</v>
      </c>
      <c r="Y1092" s="331" t="s">
        <v>11080</v>
      </c>
      <c r="Z1092" s="331" t="s">
        <v>11080</v>
      </c>
      <c r="AA1092" s="331" t="s">
        <v>6574</v>
      </c>
      <c r="AB1092" s="416" t="s">
        <v>7802</v>
      </c>
      <c r="AC1092" s="416"/>
      <c r="AD1092" s="447" t="s">
        <v>4188</v>
      </c>
      <c r="AE1092" s="499" t="s">
        <v>3278</v>
      </c>
      <c r="AF1092" s="462">
        <v>43308</v>
      </c>
      <c r="AG1092" s="748">
        <v>43371</v>
      </c>
      <c r="AH1092" s="453">
        <v>10.5</v>
      </c>
      <c r="AI1092" s="432">
        <v>22</v>
      </c>
      <c r="AJ1092" s="432">
        <v>22.5</v>
      </c>
      <c r="AK1092" s="455">
        <f>SUM(AH1092:AJ1092)</f>
        <v>55</v>
      </c>
      <c r="AL1092" s="417" t="s">
        <v>210</v>
      </c>
      <c r="AM1092" s="392" t="s">
        <v>210</v>
      </c>
      <c r="AN1092" s="392" t="s">
        <v>210</v>
      </c>
      <c r="AO1092" s="341" t="s">
        <v>210</v>
      </c>
      <c r="AP1092" s="418" t="s">
        <v>210</v>
      </c>
      <c r="AQ1092" s="433" t="s">
        <v>4547</v>
      </c>
      <c r="AR1092" s="452">
        <v>4651.4949999999999</v>
      </c>
      <c r="AS1092" s="324">
        <v>80</v>
      </c>
      <c r="AT1092" s="432">
        <v>1.2</v>
      </c>
      <c r="AU1092" s="432" t="s">
        <v>6571</v>
      </c>
      <c r="AV1092" s="432">
        <v>1.3</v>
      </c>
      <c r="AW1092" s="490" t="s">
        <v>3372</v>
      </c>
      <c r="AX1092" s="456" t="s">
        <v>210</v>
      </c>
      <c r="AY1092" s="489" t="s">
        <v>622</v>
      </c>
      <c r="AZ1092" s="405" t="s">
        <v>4083</v>
      </c>
      <c r="BA1092" s="324" t="s">
        <v>210</v>
      </c>
      <c r="BB1092" s="324" t="s">
        <v>210</v>
      </c>
      <c r="BC1092" s="324" t="s">
        <v>3475</v>
      </c>
      <c r="BD1092" s="324" t="s">
        <v>4813</v>
      </c>
      <c r="BE1092" s="324" t="s">
        <v>210</v>
      </c>
      <c r="BF1092" s="324" t="s">
        <v>210</v>
      </c>
      <c r="BG1092" s="324" t="s">
        <v>3476</v>
      </c>
      <c r="BH1092" s="426" t="s">
        <v>3494</v>
      </c>
      <c r="BI1092" s="453">
        <v>1</v>
      </c>
      <c r="BJ1092" s="427" t="s">
        <v>210</v>
      </c>
      <c r="BK1092" s="412"/>
      <c r="BL1092" s="413"/>
      <c r="BM1092" s="414"/>
      <c r="BN1092" s="453" t="s">
        <v>622</v>
      </c>
      <c r="BO1092" s="372"/>
      <c r="BP1092" s="455" t="s">
        <v>622</v>
      </c>
      <c r="BQ1092" s="456" t="s">
        <v>5608</v>
      </c>
      <c r="BR1092" s="342" t="s">
        <v>622</v>
      </c>
      <c r="BS1092" s="342" t="s">
        <v>622</v>
      </c>
      <c r="BT1092" s="342" t="s">
        <v>210</v>
      </c>
      <c r="BU1092" s="342" t="s">
        <v>210</v>
      </c>
      <c r="BV1092" s="342" t="s">
        <v>210</v>
      </c>
      <c r="BW1092" s="341" t="s">
        <v>210</v>
      </c>
      <c r="BX1092" s="341" t="s">
        <v>210</v>
      </c>
      <c r="BY1092" s="457" t="s">
        <v>8106</v>
      </c>
      <c r="BZ1092" s="363"/>
      <c r="CA1092" s="363"/>
      <c r="CB1092" s="363"/>
      <c r="CC1092" s="363"/>
    </row>
    <row r="1093" spans="1:82" ht="22.5" customHeight="1">
      <c r="B1093" s="442">
        <v>180178</v>
      </c>
      <c r="C1093" s="443" t="s">
        <v>7804</v>
      </c>
      <c r="D1093" s="467" t="s">
        <v>7810</v>
      </c>
      <c r="E1093" s="404" t="s">
        <v>5362</v>
      </c>
      <c r="F1093" s="405" t="s">
        <v>5193</v>
      </c>
      <c r="G1093" s="324" t="s">
        <v>7805</v>
      </c>
      <c r="H1093" s="324" t="s">
        <v>7806</v>
      </c>
      <c r="I1093" s="324" t="s">
        <v>383</v>
      </c>
      <c r="J1093" s="324" t="s">
        <v>214</v>
      </c>
      <c r="K1093" s="324" t="s">
        <v>917</v>
      </c>
      <c r="L1093" s="342" t="s">
        <v>210</v>
      </c>
      <c r="M1093" s="324" t="s">
        <v>7457</v>
      </c>
      <c r="N1093" s="444" t="s">
        <v>438</v>
      </c>
      <c r="O1093" s="324">
        <v>20</v>
      </c>
      <c r="P1093" s="445">
        <v>8700</v>
      </c>
      <c r="Q1093" s="446">
        <v>8700</v>
      </c>
      <c r="R1093" s="777" t="s">
        <v>528</v>
      </c>
      <c r="S1093" s="394" t="s">
        <v>11892</v>
      </c>
      <c r="T1093" s="394" t="s">
        <v>11895</v>
      </c>
      <c r="U1093" s="394" t="s">
        <v>11893</v>
      </c>
      <c r="V1093" s="394" t="s">
        <v>11894</v>
      </c>
      <c r="W1093" s="332" t="s">
        <v>528</v>
      </c>
      <c r="X1093" s="331" t="s">
        <v>11334</v>
      </c>
      <c r="Y1093" s="331" t="s">
        <v>11335</v>
      </c>
      <c r="Z1093" s="331" t="s">
        <v>16363</v>
      </c>
      <c r="AA1093" s="331" t="s">
        <v>11336</v>
      </c>
      <c r="AB1093" s="416"/>
      <c r="AC1093" s="416"/>
      <c r="AD1093" s="447" t="s">
        <v>1410</v>
      </c>
      <c r="AE1093" s="499" t="s">
        <v>231</v>
      </c>
      <c r="AF1093" s="462">
        <v>43313</v>
      </c>
      <c r="AG1093" s="748">
        <v>43405</v>
      </c>
      <c r="AH1093" s="417" t="s">
        <v>210</v>
      </c>
      <c r="AI1093" s="392" t="s">
        <v>210</v>
      </c>
      <c r="AJ1093" s="392" t="s">
        <v>210</v>
      </c>
      <c r="AK1093" s="340" t="s">
        <v>210</v>
      </c>
      <c r="AL1093" s="417" t="s">
        <v>210</v>
      </c>
      <c r="AM1093" s="392" t="s">
        <v>210</v>
      </c>
      <c r="AN1093" s="392" t="s">
        <v>210</v>
      </c>
      <c r="AO1093" s="341" t="s">
        <v>210</v>
      </c>
      <c r="AP1093" s="418" t="s">
        <v>210</v>
      </c>
      <c r="AQ1093" s="433" t="s">
        <v>4547</v>
      </c>
      <c r="AR1093" s="452">
        <f>4590+5635</f>
        <v>10225</v>
      </c>
      <c r="AS1093" s="324">
        <v>100</v>
      </c>
      <c r="AT1093" s="432">
        <v>0.8</v>
      </c>
      <c r="AU1093" s="432" t="s">
        <v>7903</v>
      </c>
      <c r="AV1093" s="432">
        <v>1.2</v>
      </c>
      <c r="AW1093" s="490" t="s">
        <v>3482</v>
      </c>
      <c r="AX1093" s="456" t="s">
        <v>210</v>
      </c>
      <c r="AY1093" s="489" t="s">
        <v>622</v>
      </c>
      <c r="AZ1093" s="405" t="s">
        <v>4083</v>
      </c>
      <c r="BA1093" s="324" t="s">
        <v>210</v>
      </c>
      <c r="BB1093" s="324" t="s">
        <v>210</v>
      </c>
      <c r="BC1093" s="324" t="s">
        <v>7807</v>
      </c>
      <c r="BD1093" s="324" t="s">
        <v>5246</v>
      </c>
      <c r="BE1093" s="324" t="s">
        <v>210</v>
      </c>
      <c r="BF1093" s="324" t="s">
        <v>210</v>
      </c>
      <c r="BG1093" s="324" t="s">
        <v>7808</v>
      </c>
      <c r="BH1093" s="426" t="s">
        <v>3494</v>
      </c>
      <c r="BI1093" s="453">
        <v>0.35</v>
      </c>
      <c r="BJ1093" s="427" t="s">
        <v>210</v>
      </c>
      <c r="BK1093" s="412"/>
      <c r="BL1093" s="413"/>
      <c r="BM1093" s="414"/>
      <c r="BN1093" s="453" t="s">
        <v>622</v>
      </c>
      <c r="BO1093" s="464">
        <v>1.1000000000000001</v>
      </c>
      <c r="BP1093" s="455" t="s">
        <v>7901</v>
      </c>
      <c r="BQ1093" s="456" t="s">
        <v>7902</v>
      </c>
      <c r="BR1093" s="342" t="s">
        <v>622</v>
      </c>
      <c r="BS1093" s="342" t="s">
        <v>622</v>
      </c>
      <c r="BT1093" s="342" t="s">
        <v>210</v>
      </c>
      <c r="BU1093" s="342" t="s">
        <v>210</v>
      </c>
      <c r="BV1093" s="342" t="s">
        <v>210</v>
      </c>
      <c r="BW1093" s="341" t="s">
        <v>210</v>
      </c>
      <c r="BX1093" s="341" t="s">
        <v>210</v>
      </c>
      <c r="BY1093" s="457" t="s">
        <v>7905</v>
      </c>
      <c r="BZ1093" s="363"/>
      <c r="CA1093" s="363"/>
      <c r="CB1093" s="363"/>
      <c r="CC1093" s="363"/>
    </row>
    <row r="1094" spans="1:82" ht="22.5" customHeight="1">
      <c r="B1094" s="442">
        <v>180179</v>
      </c>
      <c r="C1094" s="443" t="s">
        <v>7811</v>
      </c>
      <c r="D1094" s="467" t="s">
        <v>4847</v>
      </c>
      <c r="E1094" s="404" t="s">
        <v>5362</v>
      </c>
      <c r="F1094" s="405" t="s">
        <v>222</v>
      </c>
      <c r="G1094" s="324" t="s">
        <v>7812</v>
      </c>
      <c r="H1094" s="324" t="s">
        <v>7813</v>
      </c>
      <c r="I1094" s="324" t="s">
        <v>383</v>
      </c>
      <c r="J1094" s="324" t="s">
        <v>214</v>
      </c>
      <c r="K1094" s="324" t="s">
        <v>7861</v>
      </c>
      <c r="L1094" s="342" t="s">
        <v>210</v>
      </c>
      <c r="M1094" s="324" t="s">
        <v>7457</v>
      </c>
      <c r="N1094" s="444" t="s">
        <v>438</v>
      </c>
      <c r="O1094" s="324">
        <v>180</v>
      </c>
      <c r="P1094" s="445">
        <v>1400</v>
      </c>
      <c r="Q1094" s="446">
        <v>1400</v>
      </c>
      <c r="R1094" s="420" t="s">
        <v>7814</v>
      </c>
      <c r="S1094" s="394" t="s">
        <v>11885</v>
      </c>
      <c r="T1094" s="394" t="s">
        <v>11887</v>
      </c>
      <c r="U1094" s="394" t="s">
        <v>16289</v>
      </c>
      <c r="V1094" s="394" t="s">
        <v>11886</v>
      </c>
      <c r="W1094" s="460" t="s">
        <v>7815</v>
      </c>
      <c r="X1094" s="332" t="s">
        <v>11888</v>
      </c>
      <c r="Y1094" s="332" t="s">
        <v>11891</v>
      </c>
      <c r="Z1094" s="332" t="s">
        <v>11890</v>
      </c>
      <c r="AA1094" s="332" t="s">
        <v>11889</v>
      </c>
      <c r="AB1094" s="416"/>
      <c r="AC1094" s="416"/>
      <c r="AD1094" s="447" t="s">
        <v>8223</v>
      </c>
      <c r="AE1094" s="499" t="s">
        <v>1038</v>
      </c>
      <c r="AF1094" s="462">
        <v>43315</v>
      </c>
      <c r="AG1094" s="748">
        <v>43420</v>
      </c>
      <c r="AH1094" s="417" t="s">
        <v>210</v>
      </c>
      <c r="AI1094" s="392" t="s">
        <v>210</v>
      </c>
      <c r="AJ1094" s="392" t="s">
        <v>210</v>
      </c>
      <c r="AK1094" s="340" t="s">
        <v>210</v>
      </c>
      <c r="AL1094" s="417" t="s">
        <v>210</v>
      </c>
      <c r="AM1094" s="392" t="s">
        <v>210</v>
      </c>
      <c r="AN1094" s="392" t="s">
        <v>210</v>
      </c>
      <c r="AO1094" s="341" t="s">
        <v>210</v>
      </c>
      <c r="AP1094" s="418" t="s">
        <v>210</v>
      </c>
      <c r="AQ1094" s="433" t="s">
        <v>4547</v>
      </c>
      <c r="AR1094" s="452">
        <v>2080</v>
      </c>
      <c r="AS1094" s="324">
        <v>150</v>
      </c>
      <c r="AT1094" s="432">
        <v>1</v>
      </c>
      <c r="AU1094" s="432" t="s">
        <v>6579</v>
      </c>
      <c r="AV1094" s="432">
        <v>1.5</v>
      </c>
      <c r="AW1094" s="490" t="s">
        <v>6579</v>
      </c>
      <c r="AX1094" s="456" t="s">
        <v>210</v>
      </c>
      <c r="AY1094" s="429" t="s">
        <v>210</v>
      </c>
      <c r="AZ1094" s="405" t="s">
        <v>622</v>
      </c>
      <c r="BA1094" s="324" t="s">
        <v>3459</v>
      </c>
      <c r="BB1094" s="324" t="s">
        <v>7816</v>
      </c>
      <c r="BC1094" s="324" t="s">
        <v>3476</v>
      </c>
      <c r="BD1094" s="324" t="s">
        <v>7817</v>
      </c>
      <c r="BE1094" s="324" t="s">
        <v>3555</v>
      </c>
      <c r="BF1094" s="324" t="s">
        <v>7818</v>
      </c>
      <c r="BG1094" s="324" t="s">
        <v>7819</v>
      </c>
      <c r="BH1094" s="426" t="s">
        <v>7820</v>
      </c>
      <c r="BI1094" s="453">
        <v>3</v>
      </c>
      <c r="BJ1094" s="427">
        <v>1.7</v>
      </c>
      <c r="BK1094" s="412"/>
      <c r="BL1094" s="413"/>
      <c r="BM1094" s="414"/>
      <c r="BN1094" s="453" t="s">
        <v>622</v>
      </c>
      <c r="BO1094" s="464">
        <v>1.06</v>
      </c>
      <c r="BP1094" s="455" t="s">
        <v>622</v>
      </c>
      <c r="BQ1094" s="456" t="s">
        <v>7862</v>
      </c>
      <c r="BR1094" s="342" t="s">
        <v>210</v>
      </c>
      <c r="BS1094" s="342" t="s">
        <v>622</v>
      </c>
      <c r="BT1094" s="342" t="s">
        <v>210</v>
      </c>
      <c r="BU1094" s="342" t="s">
        <v>210</v>
      </c>
      <c r="BV1094" s="342" t="s">
        <v>210</v>
      </c>
      <c r="BW1094" s="342" t="s">
        <v>622</v>
      </c>
      <c r="BX1094" s="341" t="s">
        <v>210</v>
      </c>
      <c r="BY1094" s="457" t="s">
        <v>6276</v>
      </c>
      <c r="BZ1094" s="363"/>
      <c r="CA1094" s="363"/>
      <c r="CB1094" s="363"/>
      <c r="CC1094" s="363"/>
    </row>
    <row r="1095" spans="1:82" ht="22.5" customHeight="1">
      <c r="B1095" s="442">
        <v>180180</v>
      </c>
      <c r="C1095" s="443" t="s">
        <v>7824</v>
      </c>
      <c r="D1095" s="467" t="s">
        <v>4847</v>
      </c>
      <c r="E1095" s="404" t="s">
        <v>5362</v>
      </c>
      <c r="F1095" s="405" t="s">
        <v>7825</v>
      </c>
      <c r="G1095" s="324" t="s">
        <v>3248</v>
      </c>
      <c r="H1095" s="324" t="s">
        <v>7826</v>
      </c>
      <c r="I1095" s="324" t="s">
        <v>383</v>
      </c>
      <c r="J1095" s="324" t="s">
        <v>214</v>
      </c>
      <c r="K1095" s="324" t="s">
        <v>363</v>
      </c>
      <c r="L1095" s="342">
        <v>45</v>
      </c>
      <c r="M1095" s="324" t="s">
        <v>7457</v>
      </c>
      <c r="N1095" s="444" t="s">
        <v>521</v>
      </c>
      <c r="O1095" s="324">
        <v>95</v>
      </c>
      <c r="P1095" s="445">
        <v>13000</v>
      </c>
      <c r="Q1095" s="446">
        <v>13000</v>
      </c>
      <c r="R1095" s="420" t="s">
        <v>7829</v>
      </c>
      <c r="S1095" s="400"/>
      <c r="T1095" s="400"/>
      <c r="U1095" s="400"/>
      <c r="V1095" s="400"/>
      <c r="W1095" s="460" t="s">
        <v>8002</v>
      </c>
      <c r="X1095" s="645"/>
      <c r="Y1095" s="332" t="s">
        <v>11883</v>
      </c>
      <c r="Z1095" s="332" t="s">
        <v>11882</v>
      </c>
      <c r="AA1095" s="332" t="s">
        <v>11884</v>
      </c>
      <c r="AB1095" s="416"/>
      <c r="AC1095" s="416"/>
      <c r="AD1095" s="334" t="s">
        <v>3592</v>
      </c>
      <c r="AE1095" s="335" t="s">
        <v>210</v>
      </c>
      <c r="AF1095" s="462">
        <v>43319</v>
      </c>
      <c r="AG1095" s="748">
        <v>43390</v>
      </c>
      <c r="AH1095" s="417" t="s">
        <v>210</v>
      </c>
      <c r="AI1095" s="392" t="s">
        <v>210</v>
      </c>
      <c r="AJ1095" s="392" t="s">
        <v>210</v>
      </c>
      <c r="AK1095" s="340" t="s">
        <v>210</v>
      </c>
      <c r="AL1095" s="417" t="s">
        <v>210</v>
      </c>
      <c r="AM1095" s="392" t="s">
        <v>210</v>
      </c>
      <c r="AN1095" s="392" t="s">
        <v>210</v>
      </c>
      <c r="AO1095" s="341" t="s">
        <v>210</v>
      </c>
      <c r="AP1095" s="418" t="s">
        <v>210</v>
      </c>
      <c r="AQ1095" s="433" t="s">
        <v>4547</v>
      </c>
      <c r="AR1095" s="452">
        <f>11104+3036</f>
        <v>14140</v>
      </c>
      <c r="AS1095" s="324">
        <v>130</v>
      </c>
      <c r="AT1095" s="432">
        <v>1.2</v>
      </c>
      <c r="AU1095" s="432" t="s">
        <v>7967</v>
      </c>
      <c r="AV1095" s="432">
        <v>1.5</v>
      </c>
      <c r="AW1095" s="490" t="s">
        <v>3434</v>
      </c>
      <c r="AX1095" s="456" t="s">
        <v>210</v>
      </c>
      <c r="AY1095" s="429" t="s">
        <v>210</v>
      </c>
      <c r="AZ1095" s="405" t="s">
        <v>622</v>
      </c>
      <c r="BA1095" s="324" t="s">
        <v>7830</v>
      </c>
      <c r="BB1095" s="324" t="s">
        <v>3482</v>
      </c>
      <c r="BC1095" s="324" t="s">
        <v>3555</v>
      </c>
      <c r="BD1095" s="324" t="s">
        <v>7831</v>
      </c>
      <c r="BE1095" s="324" t="s">
        <v>7832</v>
      </c>
      <c r="BF1095" s="324" t="s">
        <v>6579</v>
      </c>
      <c r="BG1095" s="324" t="s">
        <v>3476</v>
      </c>
      <c r="BH1095" s="324" t="s">
        <v>3482</v>
      </c>
      <c r="BI1095" s="453">
        <v>0.7</v>
      </c>
      <c r="BJ1095" s="427" t="s">
        <v>210</v>
      </c>
      <c r="BK1095" s="412"/>
      <c r="BL1095" s="413"/>
      <c r="BM1095" s="414"/>
      <c r="BN1095" s="453" t="s">
        <v>622</v>
      </c>
      <c r="BO1095" s="464">
        <v>0.94</v>
      </c>
      <c r="BP1095" s="455" t="s">
        <v>622</v>
      </c>
      <c r="BQ1095" s="456" t="s">
        <v>5608</v>
      </c>
      <c r="BR1095" s="342" t="s">
        <v>622</v>
      </c>
      <c r="BS1095" s="342" t="s">
        <v>210</v>
      </c>
      <c r="BT1095" s="342" t="s">
        <v>210</v>
      </c>
      <c r="BU1095" s="342" t="s">
        <v>210</v>
      </c>
      <c r="BV1095" s="342" t="s">
        <v>210</v>
      </c>
      <c r="BW1095" s="341" t="s">
        <v>210</v>
      </c>
      <c r="BX1095" s="904" t="s">
        <v>622</v>
      </c>
      <c r="BY1095" s="457"/>
      <c r="BZ1095" s="363"/>
      <c r="CA1095" s="363"/>
      <c r="CB1095" s="363"/>
      <c r="CC1095" s="363"/>
    </row>
    <row r="1096" spans="1:82" ht="22.5" customHeight="1">
      <c r="B1096" s="442">
        <v>180181</v>
      </c>
      <c r="C1096" s="443" t="s">
        <v>7842</v>
      </c>
      <c r="D1096" s="467" t="s">
        <v>7463</v>
      </c>
      <c r="E1096" s="404" t="s">
        <v>5405</v>
      </c>
      <c r="F1096" s="405" t="s">
        <v>7845</v>
      </c>
      <c r="G1096" s="324" t="s">
        <v>7846</v>
      </c>
      <c r="H1096" s="324" t="s">
        <v>7847</v>
      </c>
      <c r="I1096" s="324" t="s">
        <v>383</v>
      </c>
      <c r="J1096" s="324" t="s">
        <v>214</v>
      </c>
      <c r="K1096" s="324" t="s">
        <v>7848</v>
      </c>
      <c r="L1096" s="342" t="s">
        <v>210</v>
      </c>
      <c r="M1096" s="324" t="s">
        <v>7457</v>
      </c>
      <c r="N1096" s="444" t="s">
        <v>438</v>
      </c>
      <c r="O1096" s="324">
        <v>30</v>
      </c>
      <c r="P1096" s="445">
        <v>3200</v>
      </c>
      <c r="Q1096" s="446">
        <v>3200</v>
      </c>
      <c r="R1096" s="420" t="s">
        <v>7849</v>
      </c>
      <c r="S1096" s="394" t="s">
        <v>11878</v>
      </c>
      <c r="T1096" s="394" t="s">
        <v>11880</v>
      </c>
      <c r="U1096" s="394" t="s">
        <v>11879</v>
      </c>
      <c r="V1096" s="394" t="s">
        <v>11881</v>
      </c>
      <c r="W1096" s="332" t="s">
        <v>432</v>
      </c>
      <c r="X1096" s="331" t="s">
        <v>11079</v>
      </c>
      <c r="Y1096" s="331" t="s">
        <v>11080</v>
      </c>
      <c r="Z1096" s="331" t="s">
        <v>11080</v>
      </c>
      <c r="AA1096" s="331" t="s">
        <v>6574</v>
      </c>
      <c r="AB1096" s="416"/>
      <c r="AC1096" s="416"/>
      <c r="AD1096" s="334" t="s">
        <v>4294</v>
      </c>
      <c r="AE1096" s="499" t="s">
        <v>245</v>
      </c>
      <c r="AF1096" s="462">
        <v>43320</v>
      </c>
      <c r="AG1096" s="748">
        <v>43446</v>
      </c>
      <c r="AH1096" s="453">
        <v>28.7</v>
      </c>
      <c r="AI1096" s="432">
        <v>19.399999999999999</v>
      </c>
      <c r="AJ1096" s="432">
        <v>14.1</v>
      </c>
      <c r="AK1096" s="340">
        <f>SUM(AH1096:AJ1096)</f>
        <v>62.199999999999996</v>
      </c>
      <c r="AL1096" s="417" t="s">
        <v>210</v>
      </c>
      <c r="AM1096" s="392" t="s">
        <v>210</v>
      </c>
      <c r="AN1096" s="392" t="s">
        <v>210</v>
      </c>
      <c r="AO1096" s="341" t="s">
        <v>210</v>
      </c>
      <c r="AP1096" s="418" t="s">
        <v>210</v>
      </c>
      <c r="AQ1096" s="433" t="s">
        <v>4547</v>
      </c>
      <c r="AR1096" s="452">
        <v>6339</v>
      </c>
      <c r="AS1096" s="324">
        <v>100</v>
      </c>
      <c r="AT1096" s="432">
        <v>1</v>
      </c>
      <c r="AU1096" s="432" t="s">
        <v>6579</v>
      </c>
      <c r="AV1096" s="432">
        <v>1.2</v>
      </c>
      <c r="AW1096" s="490" t="s">
        <v>6579</v>
      </c>
      <c r="AX1096" s="456" t="s">
        <v>210</v>
      </c>
      <c r="AY1096" s="429" t="s">
        <v>210</v>
      </c>
      <c r="AZ1096" s="405" t="s">
        <v>622</v>
      </c>
      <c r="BA1096" s="324" t="s">
        <v>3459</v>
      </c>
      <c r="BB1096" s="324" t="s">
        <v>3434</v>
      </c>
      <c r="BC1096" s="324" t="s">
        <v>7853</v>
      </c>
      <c r="BD1096" s="324" t="s">
        <v>7854</v>
      </c>
      <c r="BE1096" s="324" t="s">
        <v>7855</v>
      </c>
      <c r="BF1096" s="324" t="s">
        <v>7855</v>
      </c>
      <c r="BG1096" s="324" t="s">
        <v>7856</v>
      </c>
      <c r="BH1096" s="426" t="s">
        <v>3574</v>
      </c>
      <c r="BI1096" s="453">
        <v>1.3</v>
      </c>
      <c r="BJ1096" s="427" t="s">
        <v>210</v>
      </c>
      <c r="BK1096" s="412"/>
      <c r="BL1096" s="413"/>
      <c r="BM1096" s="414"/>
      <c r="BN1096" s="453" t="s">
        <v>622</v>
      </c>
      <c r="BO1096" s="464">
        <v>1.1599999999999999</v>
      </c>
      <c r="BP1096" s="455" t="s">
        <v>622</v>
      </c>
      <c r="BQ1096" s="456" t="s">
        <v>7902</v>
      </c>
      <c r="BR1096" s="342" t="s">
        <v>622</v>
      </c>
      <c r="BS1096" s="342" t="s">
        <v>210</v>
      </c>
      <c r="BT1096" s="342" t="s">
        <v>210</v>
      </c>
      <c r="BU1096" s="342" t="s">
        <v>622</v>
      </c>
      <c r="BV1096" s="342" t="s">
        <v>210</v>
      </c>
      <c r="BW1096" s="341" t="s">
        <v>210</v>
      </c>
      <c r="BX1096" s="904" t="s">
        <v>622</v>
      </c>
      <c r="BY1096" s="457" t="s">
        <v>7857</v>
      </c>
      <c r="BZ1096" s="363"/>
      <c r="CA1096" s="363"/>
      <c r="CB1096" s="363"/>
      <c r="CC1096" s="363"/>
    </row>
    <row r="1097" spans="1:82" ht="22.5" customHeight="1">
      <c r="B1097" s="442" t="s">
        <v>7840</v>
      </c>
      <c r="C1097" s="443" t="s">
        <v>7843</v>
      </c>
      <c r="D1097" s="467" t="s">
        <v>4849</v>
      </c>
      <c r="E1097" s="404" t="s">
        <v>5405</v>
      </c>
      <c r="F1097" s="405" t="s">
        <v>7845</v>
      </c>
      <c r="G1097" s="324" t="s">
        <v>7846</v>
      </c>
      <c r="H1097" s="324" t="s">
        <v>7847</v>
      </c>
      <c r="I1097" s="324" t="s">
        <v>383</v>
      </c>
      <c r="J1097" s="326" t="s">
        <v>7171</v>
      </c>
      <c r="K1097" s="324" t="s">
        <v>3352</v>
      </c>
      <c r="L1097" s="342" t="s">
        <v>210</v>
      </c>
      <c r="M1097" s="324" t="s">
        <v>7457</v>
      </c>
      <c r="N1097" s="444" t="s">
        <v>438</v>
      </c>
      <c r="O1097" s="324">
        <v>30</v>
      </c>
      <c r="P1097" s="458">
        <v>665</v>
      </c>
      <c r="Q1097" s="459">
        <v>367</v>
      </c>
      <c r="R1097" s="420" t="s">
        <v>7849</v>
      </c>
      <c r="S1097" s="394" t="s">
        <v>11878</v>
      </c>
      <c r="T1097" s="394" t="s">
        <v>11880</v>
      </c>
      <c r="U1097" s="394" t="s">
        <v>11879</v>
      </c>
      <c r="V1097" s="394" t="s">
        <v>11881</v>
      </c>
      <c r="W1097" s="332" t="s">
        <v>432</v>
      </c>
      <c r="X1097" s="331" t="s">
        <v>11079</v>
      </c>
      <c r="Y1097" s="331" t="s">
        <v>11080</v>
      </c>
      <c r="Z1097" s="331" t="s">
        <v>11080</v>
      </c>
      <c r="AA1097" s="331" t="s">
        <v>6574</v>
      </c>
      <c r="AB1097" s="416"/>
      <c r="AC1097" s="416"/>
      <c r="AD1097" s="334" t="s">
        <v>4294</v>
      </c>
      <c r="AE1097" s="499" t="s">
        <v>245</v>
      </c>
      <c r="AF1097" s="462">
        <v>43320</v>
      </c>
      <c r="AG1097" s="748">
        <v>43446</v>
      </c>
      <c r="AH1097" s="1038" t="s">
        <v>8068</v>
      </c>
      <c r="AI1097" s="1039" t="s">
        <v>8069</v>
      </c>
      <c r="AJ1097" s="1039" t="s">
        <v>8070</v>
      </c>
      <c r="AK1097" s="1039" t="s">
        <v>8071</v>
      </c>
      <c r="AL1097" s="417" t="s">
        <v>210</v>
      </c>
      <c r="AM1097" s="392" t="s">
        <v>210</v>
      </c>
      <c r="AN1097" s="392" t="s">
        <v>210</v>
      </c>
      <c r="AO1097" s="341" t="s">
        <v>210</v>
      </c>
      <c r="AP1097" s="418" t="s">
        <v>210</v>
      </c>
      <c r="AQ1097" s="433" t="s">
        <v>4547</v>
      </c>
      <c r="AR1097" s="452">
        <v>629.20000000000005</v>
      </c>
      <c r="AS1097" s="324">
        <v>100</v>
      </c>
      <c r="AT1097" s="432">
        <v>1</v>
      </c>
      <c r="AU1097" s="432" t="s">
        <v>6579</v>
      </c>
      <c r="AV1097" s="432">
        <v>1</v>
      </c>
      <c r="AW1097" s="490" t="s">
        <v>6579</v>
      </c>
      <c r="AX1097" s="456" t="s">
        <v>210</v>
      </c>
      <c r="AY1097" s="429" t="s">
        <v>210</v>
      </c>
      <c r="AZ1097" s="405" t="s">
        <v>622</v>
      </c>
      <c r="BA1097" s="324" t="s">
        <v>3459</v>
      </c>
      <c r="BB1097" s="324" t="s">
        <v>3434</v>
      </c>
      <c r="BC1097" s="324" t="s">
        <v>7853</v>
      </c>
      <c r="BD1097" s="324" t="s">
        <v>7854</v>
      </c>
      <c r="BE1097" s="324" t="s">
        <v>7855</v>
      </c>
      <c r="BF1097" s="324" t="s">
        <v>7855</v>
      </c>
      <c r="BG1097" s="324" t="s">
        <v>7856</v>
      </c>
      <c r="BH1097" s="426" t="s">
        <v>3574</v>
      </c>
      <c r="BI1097" s="453">
        <v>1.3</v>
      </c>
      <c r="BJ1097" s="427" t="s">
        <v>210</v>
      </c>
      <c r="BK1097" s="412"/>
      <c r="BL1097" s="413"/>
      <c r="BM1097" s="414"/>
      <c r="BN1097" s="453" t="s">
        <v>622</v>
      </c>
      <c r="BO1097" s="464">
        <v>1.02</v>
      </c>
      <c r="BP1097" s="455" t="s">
        <v>622</v>
      </c>
      <c r="BQ1097" s="456" t="s">
        <v>7902</v>
      </c>
      <c r="BR1097" s="342" t="s">
        <v>622</v>
      </c>
      <c r="BS1097" s="342" t="s">
        <v>210</v>
      </c>
      <c r="BT1097" s="342" t="s">
        <v>210</v>
      </c>
      <c r="BU1097" s="342" t="s">
        <v>622</v>
      </c>
      <c r="BV1097" s="342" t="s">
        <v>210</v>
      </c>
      <c r="BW1097" s="341" t="s">
        <v>210</v>
      </c>
      <c r="BX1097" s="341" t="s">
        <v>210</v>
      </c>
      <c r="BY1097" s="457" t="s">
        <v>7857</v>
      </c>
      <c r="BZ1097" s="363"/>
      <c r="CA1097" s="363"/>
      <c r="CB1097" s="363"/>
      <c r="CC1097" s="363"/>
    </row>
    <row r="1098" spans="1:82" ht="22.5" customHeight="1">
      <c r="B1098" s="442" t="s">
        <v>7841</v>
      </c>
      <c r="C1098" s="443" t="s">
        <v>7844</v>
      </c>
      <c r="D1098" s="439" t="s">
        <v>4854</v>
      </c>
      <c r="E1098" s="404" t="s">
        <v>5405</v>
      </c>
      <c r="F1098" s="405" t="s">
        <v>7845</v>
      </c>
      <c r="G1098" s="324" t="s">
        <v>7846</v>
      </c>
      <c r="H1098" s="324" t="s">
        <v>7847</v>
      </c>
      <c r="I1098" s="324" t="s">
        <v>383</v>
      </c>
      <c r="J1098" s="326" t="s">
        <v>7171</v>
      </c>
      <c r="K1098" s="324" t="s">
        <v>8096</v>
      </c>
      <c r="L1098" s="342" t="s">
        <v>210</v>
      </c>
      <c r="M1098" s="324" t="s">
        <v>7457</v>
      </c>
      <c r="N1098" s="444" t="s">
        <v>437</v>
      </c>
      <c r="O1098" s="324">
        <v>30</v>
      </c>
      <c r="P1098" s="458">
        <v>84</v>
      </c>
      <c r="Q1098" s="459">
        <v>42</v>
      </c>
      <c r="R1098" s="420" t="s">
        <v>7849</v>
      </c>
      <c r="S1098" s="394" t="s">
        <v>11878</v>
      </c>
      <c r="T1098" s="394" t="s">
        <v>11880</v>
      </c>
      <c r="U1098" s="394" t="s">
        <v>11879</v>
      </c>
      <c r="V1098" s="394" t="s">
        <v>11881</v>
      </c>
      <c r="W1098" s="332" t="s">
        <v>432</v>
      </c>
      <c r="X1098" s="331" t="s">
        <v>11079</v>
      </c>
      <c r="Y1098" s="331" t="s">
        <v>11080</v>
      </c>
      <c r="Z1098" s="331" t="s">
        <v>11080</v>
      </c>
      <c r="AA1098" s="331" t="s">
        <v>6574</v>
      </c>
      <c r="AB1098" s="416"/>
      <c r="AC1098" s="416"/>
      <c r="AD1098" s="334" t="s">
        <v>4294</v>
      </c>
      <c r="AE1098" s="499" t="s">
        <v>245</v>
      </c>
      <c r="AF1098" s="462">
        <v>43320</v>
      </c>
      <c r="AG1098" s="748">
        <v>43446</v>
      </c>
      <c r="AH1098" s="1038" t="s">
        <v>8206</v>
      </c>
      <c r="AI1098" s="1039" t="s">
        <v>8207</v>
      </c>
      <c r="AJ1098" s="1039" t="s">
        <v>8208</v>
      </c>
      <c r="AK1098" s="1039" t="s">
        <v>8209</v>
      </c>
      <c r="AL1098" s="417" t="s">
        <v>210</v>
      </c>
      <c r="AM1098" s="392" t="s">
        <v>210</v>
      </c>
      <c r="AN1098" s="392" t="s">
        <v>210</v>
      </c>
      <c r="AO1098" s="341" t="s">
        <v>210</v>
      </c>
      <c r="AP1098" s="418" t="s">
        <v>210</v>
      </c>
      <c r="AQ1098" s="433" t="s">
        <v>4547</v>
      </c>
      <c r="AR1098" s="452">
        <v>98</v>
      </c>
      <c r="AS1098" s="324">
        <v>100</v>
      </c>
      <c r="AT1098" s="432">
        <v>0.8</v>
      </c>
      <c r="AU1098" s="432" t="s">
        <v>6579</v>
      </c>
      <c r="AV1098" s="432">
        <v>1.2</v>
      </c>
      <c r="AW1098" s="490" t="s">
        <v>6579</v>
      </c>
      <c r="AX1098" s="456" t="s">
        <v>210</v>
      </c>
      <c r="AY1098" s="429" t="s">
        <v>210</v>
      </c>
      <c r="AZ1098" s="405" t="s">
        <v>622</v>
      </c>
      <c r="BA1098" s="324" t="s">
        <v>3459</v>
      </c>
      <c r="BB1098" s="324" t="s">
        <v>3434</v>
      </c>
      <c r="BC1098" s="324" t="s">
        <v>7853</v>
      </c>
      <c r="BD1098" s="324" t="s">
        <v>7854</v>
      </c>
      <c r="BE1098" s="324" t="s">
        <v>7855</v>
      </c>
      <c r="BF1098" s="324" t="s">
        <v>7855</v>
      </c>
      <c r="BG1098" s="324" t="s">
        <v>7856</v>
      </c>
      <c r="BH1098" s="426" t="s">
        <v>3574</v>
      </c>
      <c r="BI1098" s="453">
        <v>1.3</v>
      </c>
      <c r="BJ1098" s="427" t="s">
        <v>210</v>
      </c>
      <c r="BK1098" s="412"/>
      <c r="BL1098" s="413"/>
      <c r="BM1098" s="414"/>
      <c r="BN1098" s="453" t="s">
        <v>622</v>
      </c>
      <c r="BO1098" s="464">
        <v>1.2</v>
      </c>
      <c r="BP1098" s="455" t="s">
        <v>622</v>
      </c>
      <c r="BQ1098" s="456" t="s">
        <v>7902</v>
      </c>
      <c r="BR1098" s="342" t="s">
        <v>622</v>
      </c>
      <c r="BS1098" s="342" t="s">
        <v>210</v>
      </c>
      <c r="BT1098" s="342" t="s">
        <v>210</v>
      </c>
      <c r="BU1098" s="342" t="s">
        <v>622</v>
      </c>
      <c r="BV1098" s="342" t="s">
        <v>210</v>
      </c>
      <c r="BW1098" s="341" t="s">
        <v>210</v>
      </c>
      <c r="BX1098" s="341" t="s">
        <v>210</v>
      </c>
      <c r="BY1098" s="457" t="s">
        <v>7857</v>
      </c>
      <c r="BZ1098" s="363"/>
      <c r="CA1098" s="363"/>
      <c r="CB1098" s="363"/>
      <c r="CC1098" s="363"/>
    </row>
    <row r="1099" spans="1:82" ht="22.5" customHeight="1">
      <c r="B1099" s="442">
        <v>180182</v>
      </c>
      <c r="C1099" s="443" t="s">
        <v>7883</v>
      </c>
      <c r="D1099" s="467" t="s">
        <v>6135</v>
      </c>
      <c r="E1099" s="404" t="s">
        <v>5362</v>
      </c>
      <c r="F1099" s="405" t="s">
        <v>2300</v>
      </c>
      <c r="G1099" s="324" t="s">
        <v>2239</v>
      </c>
      <c r="H1099" s="324" t="s">
        <v>7884</v>
      </c>
      <c r="I1099" s="324" t="s">
        <v>383</v>
      </c>
      <c r="J1099" s="326" t="s">
        <v>7171</v>
      </c>
      <c r="K1099" s="324" t="s">
        <v>247</v>
      </c>
      <c r="L1099" s="342">
        <v>7</v>
      </c>
      <c r="M1099" s="324" t="s">
        <v>7457</v>
      </c>
      <c r="N1099" s="444" t="s">
        <v>438</v>
      </c>
      <c r="O1099" s="324" t="s">
        <v>7925</v>
      </c>
      <c r="P1099" s="458">
        <v>1462</v>
      </c>
      <c r="Q1099" s="459">
        <v>1045</v>
      </c>
      <c r="R1099" s="420" t="s">
        <v>15041</v>
      </c>
      <c r="S1099" s="400"/>
      <c r="T1099" s="400"/>
      <c r="U1099" s="400"/>
      <c r="V1099" s="400"/>
      <c r="W1099" s="460" t="s">
        <v>7887</v>
      </c>
      <c r="X1099" s="394" t="s">
        <v>11874</v>
      </c>
      <c r="Y1099" s="394" t="s">
        <v>11875</v>
      </c>
      <c r="Z1099" s="394" t="s">
        <v>11876</v>
      </c>
      <c r="AA1099" s="394" t="s">
        <v>11877</v>
      </c>
      <c r="AB1099" s="416"/>
      <c r="AC1099" s="416"/>
      <c r="AD1099" s="447" t="s">
        <v>8932</v>
      </c>
      <c r="AE1099" s="499" t="s">
        <v>9371</v>
      </c>
      <c r="AF1099" s="462">
        <v>43329</v>
      </c>
      <c r="AG1099" s="748">
        <v>43629</v>
      </c>
      <c r="AH1099" s="417" t="s">
        <v>210</v>
      </c>
      <c r="AI1099" s="392" t="s">
        <v>210</v>
      </c>
      <c r="AJ1099" s="392" t="s">
        <v>210</v>
      </c>
      <c r="AK1099" s="340" t="s">
        <v>210</v>
      </c>
      <c r="AL1099" s="417" t="s">
        <v>210</v>
      </c>
      <c r="AM1099" s="392" t="s">
        <v>210</v>
      </c>
      <c r="AN1099" s="487" t="s">
        <v>8052</v>
      </c>
      <c r="AO1099" s="341" t="s">
        <v>210</v>
      </c>
      <c r="AP1099" s="418" t="s">
        <v>210</v>
      </c>
      <c r="AQ1099" s="433" t="s">
        <v>4547</v>
      </c>
      <c r="AR1099" s="452">
        <f>1672.2+15.8</f>
        <v>1688</v>
      </c>
      <c r="AS1099" s="324">
        <v>130</v>
      </c>
      <c r="AT1099" s="432">
        <v>1</v>
      </c>
      <c r="AU1099" s="432" t="s">
        <v>7926</v>
      </c>
      <c r="AV1099" s="432">
        <v>1.5</v>
      </c>
      <c r="AW1099" s="490" t="s">
        <v>7926</v>
      </c>
      <c r="AX1099" s="456" t="s">
        <v>210</v>
      </c>
      <c r="AY1099" s="429" t="s">
        <v>210</v>
      </c>
      <c r="AZ1099" s="405" t="s">
        <v>622</v>
      </c>
      <c r="BA1099" s="324" t="s">
        <v>7927</v>
      </c>
      <c r="BB1099" s="324" t="s">
        <v>3495</v>
      </c>
      <c r="BC1099" s="324" t="s">
        <v>7928</v>
      </c>
      <c r="BD1099" s="324" t="s">
        <v>5528</v>
      </c>
      <c r="BE1099" s="324" t="s">
        <v>7929</v>
      </c>
      <c r="BF1099" s="324" t="s">
        <v>5528</v>
      </c>
      <c r="BG1099" s="324" t="s">
        <v>7930</v>
      </c>
      <c r="BH1099" s="426" t="s">
        <v>210</v>
      </c>
      <c r="BI1099" s="453">
        <v>2</v>
      </c>
      <c r="BJ1099" s="886">
        <v>0.49</v>
      </c>
      <c r="BK1099" s="995" t="s">
        <v>210</v>
      </c>
      <c r="BL1099" s="1040" t="s">
        <v>210</v>
      </c>
      <c r="BM1099" s="414"/>
      <c r="BN1099" s="321" t="s">
        <v>210</v>
      </c>
      <c r="BO1099" s="326" t="s">
        <v>210</v>
      </c>
      <c r="BP1099" s="455" t="s">
        <v>622</v>
      </c>
      <c r="BQ1099" s="456" t="s">
        <v>5235</v>
      </c>
      <c r="BR1099" s="342" t="s">
        <v>210</v>
      </c>
      <c r="BS1099" s="342" t="s">
        <v>210</v>
      </c>
      <c r="BT1099" s="342" t="s">
        <v>210</v>
      </c>
      <c r="BU1099" s="342" t="s">
        <v>210</v>
      </c>
      <c r="BV1099" s="342" t="s">
        <v>210</v>
      </c>
      <c r="BW1099" s="341" t="s">
        <v>210</v>
      </c>
      <c r="BX1099" s="341" t="s">
        <v>210</v>
      </c>
      <c r="BY1099" s="457" t="s">
        <v>8075</v>
      </c>
      <c r="BZ1099" s="363"/>
      <c r="CA1099" s="363"/>
      <c r="CB1099" s="363"/>
      <c r="CC1099" s="363"/>
    </row>
    <row r="1100" spans="1:82" s="988" customFormat="1" ht="22.5" customHeight="1">
      <c r="A1100" s="287"/>
      <c r="B1100" s="949">
        <v>180183</v>
      </c>
      <c r="C1100" s="950" t="s">
        <v>7893</v>
      </c>
      <c r="D1100" s="1041" t="s">
        <v>4849</v>
      </c>
      <c r="E1100" s="952" t="s">
        <v>5405</v>
      </c>
      <c r="F1100" s="953" t="s">
        <v>709</v>
      </c>
      <c r="G1100" s="954" t="s">
        <v>2427</v>
      </c>
      <c r="H1100" s="954" t="s">
        <v>7894</v>
      </c>
      <c r="I1100" s="954" t="s">
        <v>383</v>
      </c>
      <c r="J1100" s="954" t="s">
        <v>214</v>
      </c>
      <c r="K1100" s="954" t="s">
        <v>3352</v>
      </c>
      <c r="L1100" s="984" t="s">
        <v>210</v>
      </c>
      <c r="M1100" s="954" t="s">
        <v>7457</v>
      </c>
      <c r="N1100" s="956" t="s">
        <v>438</v>
      </c>
      <c r="O1100" s="954">
        <v>30</v>
      </c>
      <c r="P1100" s="957">
        <v>86.6</v>
      </c>
      <c r="Q1100" s="957">
        <v>86.6</v>
      </c>
      <c r="R1100" s="959" t="s">
        <v>7895</v>
      </c>
      <c r="S1100" s="960" t="s">
        <v>11866</v>
      </c>
      <c r="T1100" s="960" t="s">
        <v>11868</v>
      </c>
      <c r="U1100" s="960" t="s">
        <v>11867</v>
      </c>
      <c r="V1100" s="960" t="s">
        <v>11869</v>
      </c>
      <c r="W1100" s="961" t="s">
        <v>7979</v>
      </c>
      <c r="X1100" s="960" t="s">
        <v>11871</v>
      </c>
      <c r="Y1100" s="960" t="s">
        <v>11873</v>
      </c>
      <c r="Z1100" s="960" t="s">
        <v>11872</v>
      </c>
      <c r="AA1100" s="960" t="s">
        <v>11870</v>
      </c>
      <c r="AB1100" s="962" t="s">
        <v>7978</v>
      </c>
      <c r="AC1100" s="962"/>
      <c r="AD1100" s="1042"/>
      <c r="AE1100" s="964" t="s">
        <v>210</v>
      </c>
      <c r="AF1100" s="965">
        <v>43329</v>
      </c>
      <c r="AG1100" s="966">
        <v>43347</v>
      </c>
      <c r="AH1100" s="967" t="s">
        <v>210</v>
      </c>
      <c r="AI1100" s="955" t="s">
        <v>210</v>
      </c>
      <c r="AJ1100" s="955" t="s">
        <v>210</v>
      </c>
      <c r="AK1100" s="968" t="s">
        <v>210</v>
      </c>
      <c r="AL1100" s="967" t="s">
        <v>210</v>
      </c>
      <c r="AM1100" s="955" t="s">
        <v>210</v>
      </c>
      <c r="AN1100" s="955" t="s">
        <v>210</v>
      </c>
      <c r="AO1100" s="969" t="s">
        <v>210</v>
      </c>
      <c r="AP1100" s="970" t="s">
        <v>210</v>
      </c>
      <c r="AQ1100" s="971" t="s">
        <v>4547</v>
      </c>
      <c r="AR1100" s="972">
        <v>141</v>
      </c>
      <c r="AS1100" s="954">
        <v>80</v>
      </c>
      <c r="AT1100" s="973">
        <v>1</v>
      </c>
      <c r="AU1100" s="973" t="s">
        <v>7976</v>
      </c>
      <c r="AV1100" s="973">
        <v>1.5</v>
      </c>
      <c r="AW1100" s="974" t="s">
        <v>3424</v>
      </c>
      <c r="AX1100" s="983" t="s">
        <v>210</v>
      </c>
      <c r="AY1100" s="980" t="s">
        <v>210</v>
      </c>
      <c r="AZ1100" s="953" t="s">
        <v>622</v>
      </c>
      <c r="BA1100" s="954" t="s">
        <v>3738</v>
      </c>
      <c r="BB1100" s="954" t="s">
        <v>3512</v>
      </c>
      <c r="BC1100" s="954" t="s">
        <v>210</v>
      </c>
      <c r="BD1100" s="954" t="s">
        <v>210</v>
      </c>
      <c r="BE1100" s="954" t="s">
        <v>7900</v>
      </c>
      <c r="BF1100" s="954" t="s">
        <v>3574</v>
      </c>
      <c r="BG1100" s="954" t="s">
        <v>3555</v>
      </c>
      <c r="BH1100" s="976" t="s">
        <v>5079</v>
      </c>
      <c r="BI1100" s="977">
        <v>1.3</v>
      </c>
      <c r="BJ1100" s="978" t="s">
        <v>210</v>
      </c>
      <c r="BK1100" s="979"/>
      <c r="BL1100" s="980"/>
      <c r="BM1100" s="981"/>
      <c r="BN1100" s="977" t="s">
        <v>622</v>
      </c>
      <c r="BO1100" s="982">
        <v>1.07</v>
      </c>
      <c r="BP1100" s="975" t="s">
        <v>622</v>
      </c>
      <c r="BQ1100" s="983" t="s">
        <v>6623</v>
      </c>
      <c r="BR1100" s="984" t="s">
        <v>210</v>
      </c>
      <c r="BS1100" s="984" t="s">
        <v>622</v>
      </c>
      <c r="BT1100" s="984" t="s">
        <v>210</v>
      </c>
      <c r="BU1100" s="984" t="s">
        <v>210</v>
      </c>
      <c r="BV1100" s="984" t="s">
        <v>210</v>
      </c>
      <c r="BW1100" s="969" t="s">
        <v>210</v>
      </c>
      <c r="BX1100" s="969" t="s">
        <v>210</v>
      </c>
      <c r="BY1100" s="985" t="s">
        <v>7977</v>
      </c>
      <c r="BZ1100" s="986"/>
      <c r="CA1100" s="986"/>
      <c r="CB1100" s="986"/>
      <c r="CC1100" s="986"/>
      <c r="CD1100" s="987"/>
    </row>
    <row r="1101" spans="1:82" ht="22.5" customHeight="1">
      <c r="B1101" s="442">
        <v>180184</v>
      </c>
      <c r="C1101" s="443" t="s">
        <v>7863</v>
      </c>
      <c r="D1101" s="467" t="s">
        <v>6135</v>
      </c>
      <c r="E1101" s="404" t="s">
        <v>5405</v>
      </c>
      <c r="F1101" s="405" t="s">
        <v>7864</v>
      </c>
      <c r="G1101" s="324" t="s">
        <v>2230</v>
      </c>
      <c r="H1101" s="324" t="s">
        <v>5267</v>
      </c>
      <c r="I1101" s="324" t="s">
        <v>383</v>
      </c>
      <c r="J1101" s="324" t="s">
        <v>214</v>
      </c>
      <c r="K1101" s="324" t="s">
        <v>247</v>
      </c>
      <c r="L1101" s="342" t="s">
        <v>210</v>
      </c>
      <c r="M1101" s="324" t="s">
        <v>7457</v>
      </c>
      <c r="N1101" s="444" t="s">
        <v>7973</v>
      </c>
      <c r="O1101" s="324">
        <v>130</v>
      </c>
      <c r="P1101" s="445">
        <v>290</v>
      </c>
      <c r="Q1101" s="446">
        <v>290</v>
      </c>
      <c r="R1101" s="420" t="s">
        <v>7865</v>
      </c>
      <c r="S1101" s="394" t="s">
        <v>11864</v>
      </c>
      <c r="T1101" s="400"/>
      <c r="U1101" s="400"/>
      <c r="V1101" s="394" t="s">
        <v>11865</v>
      </c>
      <c r="W1101" s="460" t="s">
        <v>1515</v>
      </c>
      <c r="X1101" s="394" t="s">
        <v>11860</v>
      </c>
      <c r="Y1101" s="394" t="s">
        <v>11862</v>
      </c>
      <c r="Z1101" s="394" t="s">
        <v>11861</v>
      </c>
      <c r="AA1101" s="394" t="s">
        <v>11863</v>
      </c>
      <c r="AB1101" s="416"/>
      <c r="AC1101" s="416"/>
      <c r="AD1101" s="334" t="s">
        <v>2329</v>
      </c>
      <c r="AE1101" s="499" t="s">
        <v>8067</v>
      </c>
      <c r="AF1101" s="462">
        <v>43333</v>
      </c>
      <c r="AG1101" s="748">
        <v>43368</v>
      </c>
      <c r="AH1101" s="417" t="s">
        <v>210</v>
      </c>
      <c r="AI1101" s="392" t="s">
        <v>210</v>
      </c>
      <c r="AJ1101" s="392" t="s">
        <v>210</v>
      </c>
      <c r="AK1101" s="340" t="s">
        <v>210</v>
      </c>
      <c r="AL1101" s="417" t="s">
        <v>210</v>
      </c>
      <c r="AM1101" s="392" t="s">
        <v>210</v>
      </c>
      <c r="AN1101" s="392" t="s">
        <v>210</v>
      </c>
      <c r="AO1101" s="341" t="s">
        <v>210</v>
      </c>
      <c r="AP1101" s="418" t="s">
        <v>210</v>
      </c>
      <c r="AQ1101" s="433" t="s">
        <v>4547</v>
      </c>
      <c r="AR1101" s="452">
        <f>493+517</f>
        <v>1010</v>
      </c>
      <c r="AS1101" s="324">
        <v>100</v>
      </c>
      <c r="AT1101" s="432">
        <v>1</v>
      </c>
      <c r="AU1101" s="432" t="s">
        <v>5079</v>
      </c>
      <c r="AV1101" s="432">
        <v>2</v>
      </c>
      <c r="AW1101" s="490" t="s">
        <v>3382</v>
      </c>
      <c r="AX1101" s="456" t="s">
        <v>210</v>
      </c>
      <c r="AY1101" s="429" t="s">
        <v>210</v>
      </c>
      <c r="AZ1101" s="405" t="s">
        <v>622</v>
      </c>
      <c r="BA1101" s="324" t="s">
        <v>3459</v>
      </c>
      <c r="BB1101" s="324" t="s">
        <v>3382</v>
      </c>
      <c r="BC1101" s="324" t="s">
        <v>7867</v>
      </c>
      <c r="BD1101" s="324" t="s">
        <v>3382</v>
      </c>
      <c r="BE1101" s="324" t="s">
        <v>7868</v>
      </c>
      <c r="BF1101" s="324" t="s">
        <v>4755</v>
      </c>
      <c r="BG1101" s="324" t="s">
        <v>7868</v>
      </c>
      <c r="BH1101" s="426" t="s">
        <v>3898</v>
      </c>
      <c r="BI1101" s="453">
        <v>0.7</v>
      </c>
      <c r="BJ1101" s="427" t="s">
        <v>7974</v>
      </c>
      <c r="BK1101" s="412"/>
      <c r="BL1101" s="413"/>
      <c r="BM1101" s="414"/>
      <c r="BN1101" s="453" t="s">
        <v>622</v>
      </c>
      <c r="BO1101" s="464">
        <v>3.86</v>
      </c>
      <c r="BP1101" s="455" t="s">
        <v>622</v>
      </c>
      <c r="BQ1101" s="456" t="s">
        <v>7975</v>
      </c>
      <c r="BR1101" s="342" t="s">
        <v>7974</v>
      </c>
      <c r="BS1101" s="342" t="s">
        <v>622</v>
      </c>
      <c r="BT1101" s="342" t="s">
        <v>210</v>
      </c>
      <c r="BU1101" s="342" t="s">
        <v>210</v>
      </c>
      <c r="BV1101" s="342" t="s">
        <v>210</v>
      </c>
      <c r="BW1101" s="341" t="s">
        <v>210</v>
      </c>
      <c r="BX1101" s="341" t="s">
        <v>210</v>
      </c>
      <c r="BY1101" s="457" t="s">
        <v>7866</v>
      </c>
      <c r="BZ1101" s="363"/>
      <c r="CA1101" s="363"/>
      <c r="CB1101" s="363"/>
      <c r="CC1101" s="363"/>
    </row>
    <row r="1102" spans="1:82" ht="22.5" customHeight="1">
      <c r="B1102" s="442">
        <v>180185</v>
      </c>
      <c r="C1102" s="443" t="s">
        <v>7913</v>
      </c>
      <c r="D1102" s="467" t="s">
        <v>6135</v>
      </c>
      <c r="E1102" s="404" t="s">
        <v>5362</v>
      </c>
      <c r="F1102" s="405" t="s">
        <v>1043</v>
      </c>
      <c r="G1102" s="324" t="s">
        <v>5249</v>
      </c>
      <c r="H1102" s="324" t="s">
        <v>7916</v>
      </c>
      <c r="I1102" s="324" t="s">
        <v>383</v>
      </c>
      <c r="J1102" s="326" t="s">
        <v>7171</v>
      </c>
      <c r="K1102" s="324" t="s">
        <v>3352</v>
      </c>
      <c r="L1102" s="342" t="s">
        <v>210</v>
      </c>
      <c r="M1102" s="324" t="s">
        <v>7457</v>
      </c>
      <c r="N1102" s="444" t="s">
        <v>438</v>
      </c>
      <c r="O1102" s="324">
        <v>230</v>
      </c>
      <c r="P1102" s="445">
        <v>470</v>
      </c>
      <c r="Q1102" s="446">
        <v>235</v>
      </c>
      <c r="R1102" s="779" t="s">
        <v>7918</v>
      </c>
      <c r="S1102" s="645"/>
      <c r="T1102" s="400"/>
      <c r="U1102" s="400"/>
      <c r="V1102" s="400"/>
      <c r="W1102" s="460" t="s">
        <v>5153</v>
      </c>
      <c r="X1102" s="394" t="s">
        <v>11857</v>
      </c>
      <c r="Y1102" s="394" t="s">
        <v>11858</v>
      </c>
      <c r="Z1102" s="400"/>
      <c r="AA1102" s="394" t="s">
        <v>11859</v>
      </c>
      <c r="AB1102" s="416"/>
      <c r="AC1102" s="416"/>
      <c r="AD1102" s="334" t="s">
        <v>2337</v>
      </c>
      <c r="AE1102" s="499" t="s">
        <v>353</v>
      </c>
      <c r="AF1102" s="462">
        <v>43334</v>
      </c>
      <c r="AG1102" s="748">
        <v>43404</v>
      </c>
      <c r="AH1102" s="417" t="s">
        <v>210</v>
      </c>
      <c r="AI1102" s="392" t="s">
        <v>210</v>
      </c>
      <c r="AJ1102" s="392" t="s">
        <v>210</v>
      </c>
      <c r="AK1102" s="340" t="s">
        <v>210</v>
      </c>
      <c r="AL1102" s="417" t="s">
        <v>210</v>
      </c>
      <c r="AM1102" s="392" t="s">
        <v>210</v>
      </c>
      <c r="AN1102" s="392" t="s">
        <v>210</v>
      </c>
      <c r="AO1102" s="341" t="s">
        <v>210</v>
      </c>
      <c r="AP1102" s="418" t="s">
        <v>210</v>
      </c>
      <c r="AQ1102" s="433" t="s">
        <v>4547</v>
      </c>
      <c r="AR1102" s="452">
        <v>430</v>
      </c>
      <c r="AS1102" s="324">
        <v>100</v>
      </c>
      <c r="AT1102" s="432">
        <v>0.8</v>
      </c>
      <c r="AU1102" s="432" t="s">
        <v>5246</v>
      </c>
      <c r="AV1102" s="432">
        <v>1.2</v>
      </c>
      <c r="AW1102" s="490" t="s">
        <v>3713</v>
      </c>
      <c r="AX1102" s="456" t="s">
        <v>210</v>
      </c>
      <c r="AY1102" s="429" t="s">
        <v>210</v>
      </c>
      <c r="AZ1102" s="405" t="s">
        <v>4083</v>
      </c>
      <c r="BA1102" s="324" t="s">
        <v>210</v>
      </c>
      <c r="BB1102" s="324" t="s">
        <v>210</v>
      </c>
      <c r="BC1102" s="324" t="s">
        <v>7921</v>
      </c>
      <c r="BD1102" s="324" t="s">
        <v>3845</v>
      </c>
      <c r="BE1102" s="324" t="s">
        <v>7922</v>
      </c>
      <c r="BF1102" s="324" t="s">
        <v>210</v>
      </c>
      <c r="BG1102" s="324" t="s">
        <v>4206</v>
      </c>
      <c r="BH1102" s="426" t="s">
        <v>7923</v>
      </c>
      <c r="BI1102" s="453">
        <v>1.5</v>
      </c>
      <c r="BJ1102" s="427" t="s">
        <v>210</v>
      </c>
      <c r="BK1102" s="412"/>
      <c r="BL1102" s="413"/>
      <c r="BM1102" s="414"/>
      <c r="BN1102" s="453" t="s">
        <v>622</v>
      </c>
      <c r="BO1102" s="464">
        <v>1.29</v>
      </c>
      <c r="BP1102" s="455" t="s">
        <v>210</v>
      </c>
      <c r="BQ1102" s="456" t="s">
        <v>7902</v>
      </c>
      <c r="BR1102" s="342" t="s">
        <v>622</v>
      </c>
      <c r="BS1102" s="342" t="s">
        <v>210</v>
      </c>
      <c r="BT1102" s="342" t="s">
        <v>210</v>
      </c>
      <c r="BU1102" s="342" t="s">
        <v>210</v>
      </c>
      <c r="BV1102" s="342" t="s">
        <v>210</v>
      </c>
      <c r="BW1102" s="341" t="s">
        <v>210</v>
      </c>
      <c r="BX1102" s="341" t="s">
        <v>210</v>
      </c>
      <c r="BY1102" s="457" t="s">
        <v>7924</v>
      </c>
      <c r="BZ1102" s="363"/>
      <c r="CA1102" s="363"/>
      <c r="CB1102" s="363"/>
      <c r="CC1102" s="363"/>
    </row>
    <row r="1103" spans="1:82" ht="22.5" customHeight="1">
      <c r="B1103" s="442" t="s">
        <v>7911</v>
      </c>
      <c r="C1103" s="443" t="s">
        <v>7914</v>
      </c>
      <c r="D1103" s="467" t="s">
        <v>6135</v>
      </c>
      <c r="E1103" s="404" t="s">
        <v>5362</v>
      </c>
      <c r="F1103" s="405" t="s">
        <v>1043</v>
      </c>
      <c r="G1103" s="324" t="s">
        <v>5249</v>
      </c>
      <c r="H1103" s="324" t="s">
        <v>7916</v>
      </c>
      <c r="I1103" s="324" t="s">
        <v>383</v>
      </c>
      <c r="J1103" s="324" t="s">
        <v>6632</v>
      </c>
      <c r="K1103" s="324" t="s">
        <v>7917</v>
      </c>
      <c r="L1103" s="342">
        <v>3</v>
      </c>
      <c r="M1103" s="324" t="s">
        <v>7457</v>
      </c>
      <c r="N1103" s="444" t="s">
        <v>438</v>
      </c>
      <c r="O1103" s="324">
        <v>230</v>
      </c>
      <c r="P1103" s="445">
        <f>Q1103+5*13</f>
        <v>235</v>
      </c>
      <c r="Q1103" s="446">
        <v>170</v>
      </c>
      <c r="R1103" s="779" t="s">
        <v>7918</v>
      </c>
      <c r="S1103" s="645"/>
      <c r="T1103" s="400"/>
      <c r="U1103" s="400"/>
      <c r="V1103" s="400"/>
      <c r="W1103" s="460" t="s">
        <v>5153</v>
      </c>
      <c r="X1103" s="394" t="s">
        <v>11857</v>
      </c>
      <c r="Y1103" s="394" t="s">
        <v>11858</v>
      </c>
      <c r="Z1103" s="400"/>
      <c r="AA1103" s="394" t="s">
        <v>11859</v>
      </c>
      <c r="AB1103" s="416"/>
      <c r="AC1103" s="416"/>
      <c r="AD1103" s="334" t="s">
        <v>2337</v>
      </c>
      <c r="AE1103" s="499" t="s">
        <v>353</v>
      </c>
      <c r="AF1103" s="462">
        <v>43334</v>
      </c>
      <c r="AG1103" s="748">
        <v>43404</v>
      </c>
      <c r="AH1103" s="417" t="s">
        <v>210</v>
      </c>
      <c r="AI1103" s="392" t="s">
        <v>210</v>
      </c>
      <c r="AJ1103" s="392" t="s">
        <v>210</v>
      </c>
      <c r="AK1103" s="340" t="s">
        <v>210</v>
      </c>
      <c r="AL1103" s="417" t="s">
        <v>210</v>
      </c>
      <c r="AM1103" s="392" t="s">
        <v>210</v>
      </c>
      <c r="AN1103" s="392" t="s">
        <v>210</v>
      </c>
      <c r="AO1103" s="341" t="s">
        <v>210</v>
      </c>
      <c r="AP1103" s="418" t="s">
        <v>210</v>
      </c>
      <c r="AQ1103" s="433" t="s">
        <v>4547</v>
      </c>
      <c r="AR1103" s="452">
        <v>576</v>
      </c>
      <c r="AS1103" s="324">
        <v>100</v>
      </c>
      <c r="AT1103" s="432">
        <v>1</v>
      </c>
      <c r="AU1103" s="432" t="s">
        <v>5246</v>
      </c>
      <c r="AV1103" s="432">
        <v>1</v>
      </c>
      <c r="AW1103" s="490" t="s">
        <v>3713</v>
      </c>
      <c r="AX1103" s="456" t="s">
        <v>210</v>
      </c>
      <c r="AY1103" s="429" t="s">
        <v>210</v>
      </c>
      <c r="AZ1103" s="405" t="s">
        <v>4083</v>
      </c>
      <c r="BA1103" s="324" t="s">
        <v>210</v>
      </c>
      <c r="BB1103" s="324" t="s">
        <v>210</v>
      </c>
      <c r="BC1103" s="324" t="s">
        <v>7921</v>
      </c>
      <c r="BD1103" s="324" t="s">
        <v>3845</v>
      </c>
      <c r="BE1103" s="324" t="s">
        <v>7922</v>
      </c>
      <c r="BF1103" s="324" t="s">
        <v>210</v>
      </c>
      <c r="BG1103" s="324" t="s">
        <v>4206</v>
      </c>
      <c r="BH1103" s="426" t="s">
        <v>7923</v>
      </c>
      <c r="BI1103" s="453">
        <v>1.5</v>
      </c>
      <c r="BJ1103" s="427" t="s">
        <v>210</v>
      </c>
      <c r="BK1103" s="412"/>
      <c r="BL1103" s="413"/>
      <c r="BM1103" s="414"/>
      <c r="BN1103" s="453" t="s">
        <v>622</v>
      </c>
      <c r="BO1103" s="464">
        <v>1.29</v>
      </c>
      <c r="BP1103" s="455" t="s">
        <v>210</v>
      </c>
      <c r="BQ1103" s="456" t="s">
        <v>7902</v>
      </c>
      <c r="BR1103" s="342" t="s">
        <v>622</v>
      </c>
      <c r="BS1103" s="342" t="s">
        <v>210</v>
      </c>
      <c r="BT1103" s="342" t="s">
        <v>210</v>
      </c>
      <c r="BU1103" s="342" t="s">
        <v>210</v>
      </c>
      <c r="BV1103" s="342" t="s">
        <v>210</v>
      </c>
      <c r="BW1103" s="341" t="s">
        <v>210</v>
      </c>
      <c r="BX1103" s="341" t="s">
        <v>210</v>
      </c>
      <c r="BY1103" s="457" t="s">
        <v>7924</v>
      </c>
      <c r="BZ1103" s="363"/>
      <c r="CA1103" s="363"/>
      <c r="CB1103" s="363"/>
      <c r="CC1103" s="363"/>
    </row>
    <row r="1104" spans="1:82" ht="22.5" customHeight="1">
      <c r="B1104" s="442" t="s">
        <v>7912</v>
      </c>
      <c r="C1104" s="443" t="s">
        <v>7915</v>
      </c>
      <c r="D1104" s="467" t="s">
        <v>6135</v>
      </c>
      <c r="E1104" s="404" t="s">
        <v>5362</v>
      </c>
      <c r="F1104" s="405" t="s">
        <v>1043</v>
      </c>
      <c r="G1104" s="324" t="s">
        <v>5249</v>
      </c>
      <c r="H1104" s="324" t="s">
        <v>7916</v>
      </c>
      <c r="I1104" s="324" t="s">
        <v>383</v>
      </c>
      <c r="J1104" s="324" t="s">
        <v>6632</v>
      </c>
      <c r="K1104" s="324" t="s">
        <v>247</v>
      </c>
      <c r="L1104" s="342">
        <v>3</v>
      </c>
      <c r="M1104" s="324" t="s">
        <v>7457</v>
      </c>
      <c r="N1104" s="444" t="s">
        <v>438</v>
      </c>
      <c r="O1104" s="324">
        <v>230</v>
      </c>
      <c r="P1104" s="445">
        <v>365</v>
      </c>
      <c r="Q1104" s="446">
        <f>13*25</f>
        <v>325</v>
      </c>
      <c r="R1104" s="779" t="s">
        <v>7918</v>
      </c>
      <c r="S1104" s="645"/>
      <c r="T1104" s="400"/>
      <c r="U1104" s="400"/>
      <c r="V1104" s="400"/>
      <c r="W1104" s="460" t="s">
        <v>5153</v>
      </c>
      <c r="X1104" s="394" t="s">
        <v>11857</v>
      </c>
      <c r="Y1104" s="394" t="s">
        <v>11858</v>
      </c>
      <c r="Z1104" s="400"/>
      <c r="AA1104" s="394" t="s">
        <v>11859</v>
      </c>
      <c r="AB1104" s="416"/>
      <c r="AC1104" s="416"/>
      <c r="AD1104" s="334" t="s">
        <v>2337</v>
      </c>
      <c r="AE1104" s="499" t="s">
        <v>353</v>
      </c>
      <c r="AF1104" s="462">
        <v>43334</v>
      </c>
      <c r="AG1104" s="748">
        <v>43404</v>
      </c>
      <c r="AH1104" s="417" t="s">
        <v>210</v>
      </c>
      <c r="AI1104" s="392" t="s">
        <v>210</v>
      </c>
      <c r="AJ1104" s="392" t="s">
        <v>210</v>
      </c>
      <c r="AK1104" s="340" t="s">
        <v>210</v>
      </c>
      <c r="AL1104" s="417" t="s">
        <v>210</v>
      </c>
      <c r="AM1104" s="392" t="s">
        <v>210</v>
      </c>
      <c r="AN1104" s="392" t="s">
        <v>210</v>
      </c>
      <c r="AO1104" s="341" t="s">
        <v>210</v>
      </c>
      <c r="AP1104" s="418" t="s">
        <v>210</v>
      </c>
      <c r="AQ1104" s="433" t="s">
        <v>4547</v>
      </c>
      <c r="AR1104" s="452">
        <v>291</v>
      </c>
      <c r="AS1104" s="324">
        <v>100</v>
      </c>
      <c r="AT1104" s="432">
        <v>1</v>
      </c>
      <c r="AU1104" s="432" t="s">
        <v>5246</v>
      </c>
      <c r="AV1104" s="432">
        <v>1</v>
      </c>
      <c r="AW1104" s="490" t="s">
        <v>3713</v>
      </c>
      <c r="AX1104" s="456" t="s">
        <v>210</v>
      </c>
      <c r="AY1104" s="429" t="s">
        <v>210</v>
      </c>
      <c r="AZ1104" s="405" t="s">
        <v>4083</v>
      </c>
      <c r="BA1104" s="324" t="s">
        <v>210</v>
      </c>
      <c r="BB1104" s="324" t="s">
        <v>210</v>
      </c>
      <c r="BC1104" s="324" t="s">
        <v>7921</v>
      </c>
      <c r="BD1104" s="324" t="s">
        <v>3845</v>
      </c>
      <c r="BE1104" s="324" t="s">
        <v>7922</v>
      </c>
      <c r="BF1104" s="324" t="s">
        <v>210</v>
      </c>
      <c r="BG1104" s="324" t="s">
        <v>4206</v>
      </c>
      <c r="BH1104" s="426" t="s">
        <v>7923</v>
      </c>
      <c r="BI1104" s="453">
        <v>1.5</v>
      </c>
      <c r="BJ1104" s="427" t="s">
        <v>210</v>
      </c>
      <c r="BK1104" s="412"/>
      <c r="BL1104" s="413"/>
      <c r="BM1104" s="414"/>
      <c r="BN1104" s="453" t="s">
        <v>622</v>
      </c>
      <c r="BO1104" s="464">
        <v>1.29</v>
      </c>
      <c r="BP1104" s="455" t="s">
        <v>210</v>
      </c>
      <c r="BQ1104" s="456" t="s">
        <v>7902</v>
      </c>
      <c r="BR1104" s="342" t="s">
        <v>622</v>
      </c>
      <c r="BS1104" s="342" t="s">
        <v>210</v>
      </c>
      <c r="BT1104" s="342" t="s">
        <v>210</v>
      </c>
      <c r="BU1104" s="342" t="s">
        <v>210</v>
      </c>
      <c r="BV1104" s="342" t="s">
        <v>210</v>
      </c>
      <c r="BW1104" s="341" t="s">
        <v>210</v>
      </c>
      <c r="BX1104" s="341" t="s">
        <v>210</v>
      </c>
      <c r="BY1104" s="457" t="s">
        <v>7924</v>
      </c>
      <c r="BZ1104" s="363"/>
      <c r="CA1104" s="363"/>
      <c r="CB1104" s="363"/>
      <c r="CC1104" s="363"/>
    </row>
    <row r="1105" spans="1:82" s="465" customFormat="1" ht="22.5" customHeight="1">
      <c r="A1105" s="287"/>
      <c r="B1105" s="749">
        <v>180186</v>
      </c>
      <c r="C1105" s="781" t="s">
        <v>7931</v>
      </c>
      <c r="D1105" s="829" t="s">
        <v>4849</v>
      </c>
      <c r="E1105" s="752" t="s">
        <v>6879</v>
      </c>
      <c r="F1105" s="753" t="s">
        <v>839</v>
      </c>
      <c r="G1105" s="754" t="s">
        <v>2228</v>
      </c>
      <c r="H1105" s="754" t="s">
        <v>7932</v>
      </c>
      <c r="I1105" s="754" t="s">
        <v>1066</v>
      </c>
      <c r="J1105" s="754" t="s">
        <v>216</v>
      </c>
      <c r="K1105" s="754" t="s">
        <v>806</v>
      </c>
      <c r="L1105" s="688" t="s">
        <v>210</v>
      </c>
      <c r="M1105" s="754" t="s">
        <v>7933</v>
      </c>
      <c r="N1105" s="755"/>
      <c r="O1105" s="754"/>
      <c r="P1105" s="782"/>
      <c r="Q1105" s="783"/>
      <c r="R1105" s="1046" t="s">
        <v>7935</v>
      </c>
      <c r="S1105" s="669"/>
      <c r="T1105" s="708"/>
      <c r="U1105" s="708"/>
      <c r="V1105" s="708"/>
      <c r="W1105" s="757" t="s">
        <v>7936</v>
      </c>
      <c r="X1105" s="708" t="s">
        <v>11854</v>
      </c>
      <c r="Y1105" s="708" t="s">
        <v>11855</v>
      </c>
      <c r="Z1105" s="708"/>
      <c r="AA1105" s="708" t="s">
        <v>11856</v>
      </c>
      <c r="AB1105" s="758"/>
      <c r="AC1105" s="758"/>
      <c r="AD1105" s="759"/>
      <c r="AE1105" s="760"/>
      <c r="AF1105" s="846">
        <v>43334</v>
      </c>
      <c r="AG1105" s="674" t="s">
        <v>10514</v>
      </c>
      <c r="AH1105" s="675" t="s">
        <v>210</v>
      </c>
      <c r="AI1105" s="676" t="s">
        <v>210</v>
      </c>
      <c r="AJ1105" s="676" t="s">
        <v>210</v>
      </c>
      <c r="AK1105" s="677" t="s">
        <v>210</v>
      </c>
      <c r="AL1105" s="675" t="s">
        <v>210</v>
      </c>
      <c r="AM1105" s="676" t="s">
        <v>210</v>
      </c>
      <c r="AN1105" s="785" t="s">
        <v>622</v>
      </c>
      <c r="AO1105" s="678" t="s">
        <v>210</v>
      </c>
      <c r="AP1105" s="784" t="s">
        <v>210</v>
      </c>
      <c r="AQ1105" s="762" t="s">
        <v>7940</v>
      </c>
      <c r="AR1105" s="763"/>
      <c r="AS1105" s="754"/>
      <c r="AT1105" s="785"/>
      <c r="AU1105" s="785"/>
      <c r="AV1105" s="785"/>
      <c r="AW1105" s="764"/>
      <c r="AX1105" s="773" t="s">
        <v>210</v>
      </c>
      <c r="AY1105" s="766" t="s">
        <v>210</v>
      </c>
      <c r="AZ1105" s="753" t="s">
        <v>4083</v>
      </c>
      <c r="BA1105" s="754" t="s">
        <v>210</v>
      </c>
      <c r="BB1105" s="754" t="s">
        <v>210</v>
      </c>
      <c r="BC1105" s="754" t="s">
        <v>7941</v>
      </c>
      <c r="BD1105" s="754" t="s">
        <v>7942</v>
      </c>
      <c r="BE1105" s="754" t="s">
        <v>3558</v>
      </c>
      <c r="BF1105" s="754" t="s">
        <v>7943</v>
      </c>
      <c r="BG1105" s="754" t="s">
        <v>7944</v>
      </c>
      <c r="BH1105" s="767" t="s">
        <v>6622</v>
      </c>
      <c r="BI1105" s="765"/>
      <c r="BJ1105" s="768"/>
      <c r="BK1105" s="769"/>
      <c r="BL1105" s="766"/>
      <c r="BM1105" s="770"/>
      <c r="BN1105" s="765"/>
      <c r="BO1105" s="771"/>
      <c r="BP1105" s="772"/>
      <c r="BQ1105" s="773"/>
      <c r="BR1105" s="688"/>
      <c r="BS1105" s="688" t="s">
        <v>622</v>
      </c>
      <c r="BT1105" s="688" t="s">
        <v>210</v>
      </c>
      <c r="BU1105" s="688" t="s">
        <v>210</v>
      </c>
      <c r="BV1105" s="688" t="s">
        <v>210</v>
      </c>
      <c r="BW1105" s="678" t="s">
        <v>210</v>
      </c>
      <c r="BX1105" s="678" t="s">
        <v>210</v>
      </c>
      <c r="BY1105" s="774" t="s">
        <v>7945</v>
      </c>
      <c r="BZ1105" s="483"/>
      <c r="CA1105" s="483"/>
      <c r="CB1105" s="483"/>
      <c r="CC1105" s="483"/>
      <c r="CD1105" s="484"/>
    </row>
    <row r="1106" spans="1:82" ht="22.5" customHeight="1">
      <c r="B1106" s="442">
        <v>180187</v>
      </c>
      <c r="C1106" s="443" t="s">
        <v>7946</v>
      </c>
      <c r="D1106" s="467" t="s">
        <v>4849</v>
      </c>
      <c r="E1106" s="404" t="s">
        <v>5362</v>
      </c>
      <c r="F1106" s="405" t="s">
        <v>7947</v>
      </c>
      <c r="G1106" s="324" t="s">
        <v>7948</v>
      </c>
      <c r="H1106" s="324" t="s">
        <v>7949</v>
      </c>
      <c r="I1106" s="324" t="s">
        <v>383</v>
      </c>
      <c r="J1106" s="324" t="s">
        <v>214</v>
      </c>
      <c r="K1106" s="324" t="s">
        <v>7950</v>
      </c>
      <c r="L1106" s="342">
        <v>50</v>
      </c>
      <c r="M1106" s="324" t="s">
        <v>7457</v>
      </c>
      <c r="N1106" s="444" t="s">
        <v>438</v>
      </c>
      <c r="O1106" s="324">
        <v>100</v>
      </c>
      <c r="P1106" s="445">
        <v>4300</v>
      </c>
      <c r="Q1106" s="446">
        <v>4300</v>
      </c>
      <c r="R1106" s="779" t="s">
        <v>7951</v>
      </c>
      <c r="S1106" s="645"/>
      <c r="T1106" s="400"/>
      <c r="U1106" s="400"/>
      <c r="V1106" s="400"/>
      <c r="W1106" s="460" t="s">
        <v>7953</v>
      </c>
      <c r="X1106" s="332" t="s">
        <v>11851</v>
      </c>
      <c r="Y1106" s="332" t="s">
        <v>11852</v>
      </c>
      <c r="Z1106" s="332" t="s">
        <v>16284</v>
      </c>
      <c r="AA1106" s="332" t="s">
        <v>11853</v>
      </c>
      <c r="AB1106" s="333" t="s">
        <v>592</v>
      </c>
      <c r="AC1106" s="416"/>
      <c r="AD1106" s="447" t="s">
        <v>8332</v>
      </c>
      <c r="AE1106" s="948"/>
      <c r="AF1106" s="462">
        <v>43335</v>
      </c>
      <c r="AG1106" s="748">
        <v>43437</v>
      </c>
      <c r="AH1106" s="417" t="s">
        <v>210</v>
      </c>
      <c r="AI1106" s="392" t="s">
        <v>210</v>
      </c>
      <c r="AJ1106" s="392" t="s">
        <v>210</v>
      </c>
      <c r="AK1106" s="340" t="s">
        <v>210</v>
      </c>
      <c r="AL1106" s="417" t="s">
        <v>210</v>
      </c>
      <c r="AM1106" s="392" t="s">
        <v>210</v>
      </c>
      <c r="AN1106" s="392" t="s">
        <v>210</v>
      </c>
      <c r="AO1106" s="341" t="s">
        <v>210</v>
      </c>
      <c r="AP1106" s="418" t="s">
        <v>210</v>
      </c>
      <c r="AQ1106" s="433" t="s">
        <v>5382</v>
      </c>
      <c r="AR1106" s="452">
        <v>4767</v>
      </c>
      <c r="AS1106" s="324">
        <v>100</v>
      </c>
      <c r="AT1106" s="432">
        <v>1</v>
      </c>
      <c r="AU1106" s="432" t="s">
        <v>6245</v>
      </c>
      <c r="AV1106" s="432">
        <v>1.5</v>
      </c>
      <c r="AW1106" s="490" t="s">
        <v>3372</v>
      </c>
      <c r="AX1106" s="456" t="s">
        <v>210</v>
      </c>
      <c r="AY1106" s="429" t="s">
        <v>210</v>
      </c>
      <c r="AZ1106" s="405" t="s">
        <v>622</v>
      </c>
      <c r="BA1106" s="324" t="s">
        <v>3459</v>
      </c>
      <c r="BB1106" s="324" t="s">
        <v>6245</v>
      </c>
      <c r="BC1106" s="324" t="s">
        <v>7954</v>
      </c>
      <c r="BD1106" s="324" t="s">
        <v>6245</v>
      </c>
      <c r="BE1106" s="324" t="s">
        <v>3458</v>
      </c>
      <c r="BF1106" s="324" t="s">
        <v>6579</v>
      </c>
      <c r="BG1106" s="324" t="s">
        <v>7954</v>
      </c>
      <c r="BH1106" s="426" t="s">
        <v>6622</v>
      </c>
      <c r="BI1106" s="453">
        <v>0.5</v>
      </c>
      <c r="BJ1106" s="427" t="s">
        <v>9793</v>
      </c>
      <c r="BK1106" s="412"/>
      <c r="BL1106" s="413"/>
      <c r="BM1106" s="414"/>
      <c r="BN1106" s="453" t="s">
        <v>622</v>
      </c>
      <c r="BO1106" s="464">
        <v>1.1000000000000001</v>
      </c>
      <c r="BP1106" s="455" t="s">
        <v>210</v>
      </c>
      <c r="BQ1106" s="456" t="s">
        <v>6874</v>
      </c>
      <c r="BR1106" s="342" t="s">
        <v>210</v>
      </c>
      <c r="BS1106" s="342" t="s">
        <v>622</v>
      </c>
      <c r="BT1106" s="342" t="s">
        <v>210</v>
      </c>
      <c r="BU1106" s="342" t="s">
        <v>210</v>
      </c>
      <c r="BV1106" s="342" t="s">
        <v>210</v>
      </c>
      <c r="BW1106" s="341" t="s">
        <v>210</v>
      </c>
      <c r="BX1106" s="341" t="s">
        <v>210</v>
      </c>
      <c r="BY1106" s="457"/>
      <c r="BZ1106" s="363"/>
      <c r="CA1106" s="363"/>
      <c r="CB1106" s="363"/>
      <c r="CC1106" s="363"/>
    </row>
    <row r="1107" spans="1:82" ht="22.5" customHeight="1">
      <c r="B1107" s="442">
        <v>180188</v>
      </c>
      <c r="C1107" s="443" t="s">
        <v>7955</v>
      </c>
      <c r="D1107" s="467" t="s">
        <v>4847</v>
      </c>
      <c r="E1107" s="404" t="s">
        <v>5362</v>
      </c>
      <c r="F1107" s="405" t="s">
        <v>7135</v>
      </c>
      <c r="G1107" s="324" t="s">
        <v>3832</v>
      </c>
      <c r="H1107" s="324" t="s">
        <v>7956</v>
      </c>
      <c r="I1107" s="324" t="s">
        <v>383</v>
      </c>
      <c r="J1107" s="324" t="s">
        <v>6513</v>
      </c>
      <c r="K1107" s="324" t="s">
        <v>5225</v>
      </c>
      <c r="L1107" s="342" t="s">
        <v>210</v>
      </c>
      <c r="M1107" s="324" t="s">
        <v>7957</v>
      </c>
      <c r="N1107" s="444" t="s">
        <v>438</v>
      </c>
      <c r="O1107" s="324">
        <v>30</v>
      </c>
      <c r="P1107" s="445">
        <v>2400</v>
      </c>
      <c r="Q1107" s="446">
        <v>2400</v>
      </c>
      <c r="R1107" s="779" t="s">
        <v>7958</v>
      </c>
      <c r="S1107" s="332" t="s">
        <v>11847</v>
      </c>
      <c r="T1107" s="394" t="s">
        <v>11849</v>
      </c>
      <c r="U1107" s="394" t="s">
        <v>11848</v>
      </c>
      <c r="V1107" s="394" t="s">
        <v>11850</v>
      </c>
      <c r="W1107" s="332" t="s">
        <v>7958</v>
      </c>
      <c r="X1107" s="394" t="s">
        <v>11847</v>
      </c>
      <c r="Y1107" s="394" t="s">
        <v>11849</v>
      </c>
      <c r="Z1107" s="394" t="s">
        <v>11848</v>
      </c>
      <c r="AA1107" s="394" t="s">
        <v>11850</v>
      </c>
      <c r="AB1107" s="416"/>
      <c r="AC1107" s="416"/>
      <c r="AD1107" s="989"/>
      <c r="AE1107" s="948"/>
      <c r="AF1107" s="462">
        <v>43335</v>
      </c>
      <c r="AG1107" s="748">
        <v>43444</v>
      </c>
      <c r="AH1107" s="417" t="s">
        <v>210</v>
      </c>
      <c r="AI1107" s="392" t="s">
        <v>210</v>
      </c>
      <c r="AJ1107" s="392" t="s">
        <v>210</v>
      </c>
      <c r="AK1107" s="340" t="s">
        <v>210</v>
      </c>
      <c r="AL1107" s="417" t="s">
        <v>210</v>
      </c>
      <c r="AM1107" s="392" t="s">
        <v>210</v>
      </c>
      <c r="AN1107" s="392" t="s">
        <v>210</v>
      </c>
      <c r="AO1107" s="341" t="s">
        <v>210</v>
      </c>
      <c r="AP1107" s="418" t="s">
        <v>210</v>
      </c>
      <c r="AQ1107" s="433" t="s">
        <v>4547</v>
      </c>
      <c r="AR1107" s="452">
        <v>2492</v>
      </c>
      <c r="AS1107" s="324">
        <v>100</v>
      </c>
      <c r="AT1107" s="432">
        <v>1</v>
      </c>
      <c r="AU1107" s="432" t="s">
        <v>8012</v>
      </c>
      <c r="AV1107" s="432">
        <v>1.5</v>
      </c>
      <c r="AW1107" s="490" t="s">
        <v>8012</v>
      </c>
      <c r="AX1107" s="456" t="s">
        <v>210</v>
      </c>
      <c r="AY1107" s="429" t="s">
        <v>210</v>
      </c>
      <c r="AZ1107" s="405" t="s">
        <v>622</v>
      </c>
      <c r="BA1107" s="324" t="s">
        <v>3555</v>
      </c>
      <c r="BB1107" s="324" t="s">
        <v>7961</v>
      </c>
      <c r="BC1107" s="324" t="s">
        <v>7962</v>
      </c>
      <c r="BD1107" s="324" t="s">
        <v>6622</v>
      </c>
      <c r="BE1107" s="324" t="s">
        <v>3555</v>
      </c>
      <c r="BF1107" s="324" t="s">
        <v>7963</v>
      </c>
      <c r="BG1107" s="324" t="s">
        <v>7964</v>
      </c>
      <c r="BH1107" s="426" t="s">
        <v>6579</v>
      </c>
      <c r="BI1107" s="453">
        <v>1</v>
      </c>
      <c r="BJ1107" s="427" t="s">
        <v>210</v>
      </c>
      <c r="BK1107" s="412"/>
      <c r="BL1107" s="413"/>
      <c r="BM1107" s="414"/>
      <c r="BN1107" s="453" t="s">
        <v>622</v>
      </c>
      <c r="BO1107" s="464">
        <v>0.72</v>
      </c>
      <c r="BP1107" s="455" t="s">
        <v>622</v>
      </c>
      <c r="BQ1107" s="456" t="s">
        <v>8013</v>
      </c>
      <c r="BR1107" s="342" t="s">
        <v>210</v>
      </c>
      <c r="BS1107" s="342" t="s">
        <v>622</v>
      </c>
      <c r="BT1107" s="342" t="s">
        <v>210</v>
      </c>
      <c r="BU1107" s="342" t="s">
        <v>210</v>
      </c>
      <c r="BV1107" s="342" t="s">
        <v>210</v>
      </c>
      <c r="BW1107" s="341" t="s">
        <v>210</v>
      </c>
      <c r="BX1107" s="341" t="s">
        <v>210</v>
      </c>
      <c r="BY1107" s="457" t="s">
        <v>8014</v>
      </c>
      <c r="BZ1107" s="363"/>
      <c r="CA1107" s="363"/>
      <c r="CB1107" s="363"/>
      <c r="CC1107" s="363"/>
    </row>
    <row r="1108" spans="1:82" ht="22.5" customHeight="1">
      <c r="B1108" s="442">
        <v>180189</v>
      </c>
      <c r="C1108" s="443" t="s">
        <v>7869</v>
      </c>
      <c r="D1108" s="467" t="s">
        <v>6135</v>
      </c>
      <c r="E1108" s="404" t="s">
        <v>5405</v>
      </c>
      <c r="F1108" s="405" t="s">
        <v>265</v>
      </c>
      <c r="G1108" s="324" t="s">
        <v>7870</v>
      </c>
      <c r="H1108" s="324" t="s">
        <v>7871</v>
      </c>
      <c r="I1108" s="324" t="s">
        <v>383</v>
      </c>
      <c r="J1108" s="324" t="s">
        <v>6632</v>
      </c>
      <c r="K1108" s="324" t="s">
        <v>247</v>
      </c>
      <c r="L1108" s="342" t="s">
        <v>210</v>
      </c>
      <c r="M1108" s="324" t="s">
        <v>7457</v>
      </c>
      <c r="N1108" s="444" t="s">
        <v>438</v>
      </c>
      <c r="O1108" s="324">
        <v>20</v>
      </c>
      <c r="P1108" s="445">
        <f>Q1108+500</f>
        <v>2200</v>
      </c>
      <c r="Q1108" s="446">
        <v>1700</v>
      </c>
      <c r="R1108" s="779" t="s">
        <v>8035</v>
      </c>
      <c r="S1108" s="332" t="s">
        <v>11845</v>
      </c>
      <c r="T1108" s="400"/>
      <c r="U1108" s="400"/>
      <c r="V1108" s="394" t="s">
        <v>11846</v>
      </c>
      <c r="W1108" s="460" t="s">
        <v>7872</v>
      </c>
      <c r="X1108" s="332" t="s">
        <v>11842</v>
      </c>
      <c r="Y1108" s="332" t="s">
        <v>11843</v>
      </c>
      <c r="Z1108" s="332" t="s">
        <v>16523</v>
      </c>
      <c r="AA1108" s="332" t="s">
        <v>11844</v>
      </c>
      <c r="AB1108" s="416"/>
      <c r="AC1108" s="416"/>
      <c r="AD1108" s="334" t="s">
        <v>2329</v>
      </c>
      <c r="AE1108" s="499" t="s">
        <v>245</v>
      </c>
      <c r="AF1108" s="462">
        <v>43340</v>
      </c>
      <c r="AG1108" s="748">
        <v>43496</v>
      </c>
      <c r="AH1108" s="417" t="s">
        <v>210</v>
      </c>
      <c r="AI1108" s="392" t="s">
        <v>210</v>
      </c>
      <c r="AJ1108" s="392" t="s">
        <v>210</v>
      </c>
      <c r="AK1108" s="340" t="s">
        <v>210</v>
      </c>
      <c r="AL1108" s="417" t="s">
        <v>210</v>
      </c>
      <c r="AM1108" s="392" t="s">
        <v>210</v>
      </c>
      <c r="AN1108" s="392" t="s">
        <v>210</v>
      </c>
      <c r="AO1108" s="341" t="s">
        <v>210</v>
      </c>
      <c r="AP1108" s="418" t="s">
        <v>210</v>
      </c>
      <c r="AQ1108" s="433" t="s">
        <v>4547</v>
      </c>
      <c r="AR1108" s="452">
        <v>2247</v>
      </c>
      <c r="AS1108" s="324">
        <v>80</v>
      </c>
      <c r="AT1108" s="432">
        <v>1</v>
      </c>
      <c r="AU1108" s="432" t="s">
        <v>8076</v>
      </c>
      <c r="AV1108" s="432">
        <v>1.5</v>
      </c>
      <c r="AW1108" s="490" t="s">
        <v>6622</v>
      </c>
      <c r="AX1108" s="456" t="s">
        <v>210</v>
      </c>
      <c r="AY1108" s="429" t="s">
        <v>210</v>
      </c>
      <c r="AZ1108" s="405" t="s">
        <v>622</v>
      </c>
      <c r="BA1108" s="324" t="s">
        <v>3459</v>
      </c>
      <c r="BB1108" s="324" t="s">
        <v>7875</v>
      </c>
      <c r="BC1108" s="324" t="s">
        <v>210</v>
      </c>
      <c r="BD1108" s="324" t="s">
        <v>7876</v>
      </c>
      <c r="BE1108" s="324" t="s">
        <v>3475</v>
      </c>
      <c r="BF1108" s="324" t="s">
        <v>7875</v>
      </c>
      <c r="BG1108" s="324" t="s">
        <v>3555</v>
      </c>
      <c r="BH1108" s="426" t="s">
        <v>3512</v>
      </c>
      <c r="BI1108" s="453">
        <v>1.1000000000000001</v>
      </c>
      <c r="BJ1108" s="427">
        <v>7.85</v>
      </c>
      <c r="BK1108" s="428" t="s">
        <v>8828</v>
      </c>
      <c r="BL1108" s="429">
        <v>2.2000000000000002</v>
      </c>
      <c r="BM1108" s="414"/>
      <c r="BN1108" s="453" t="s">
        <v>622</v>
      </c>
      <c r="BO1108" s="464">
        <v>2.31</v>
      </c>
      <c r="BP1108" s="455" t="s">
        <v>622</v>
      </c>
      <c r="BQ1108" s="456" t="s">
        <v>1059</v>
      </c>
      <c r="BR1108" s="342" t="s">
        <v>622</v>
      </c>
      <c r="BS1108" s="342" t="s">
        <v>622</v>
      </c>
      <c r="BT1108" s="342" t="s">
        <v>210</v>
      </c>
      <c r="BU1108" s="342" t="s">
        <v>210</v>
      </c>
      <c r="BV1108" s="342" t="s">
        <v>210</v>
      </c>
      <c r="BW1108" s="341" t="s">
        <v>210</v>
      </c>
      <c r="BX1108" s="341" t="s">
        <v>210</v>
      </c>
      <c r="BY1108" s="457"/>
      <c r="BZ1108" s="363"/>
      <c r="CA1108" s="363"/>
      <c r="CB1108" s="363"/>
      <c r="CC1108" s="363"/>
    </row>
    <row r="1109" spans="1:82" ht="22.5" customHeight="1">
      <c r="B1109" s="442">
        <v>180190</v>
      </c>
      <c r="C1109" s="443" t="s">
        <v>7877</v>
      </c>
      <c r="D1109" s="467" t="s">
        <v>4847</v>
      </c>
      <c r="E1109" s="404" t="s">
        <v>5362</v>
      </c>
      <c r="F1109" s="405" t="s">
        <v>222</v>
      </c>
      <c r="G1109" s="324" t="s">
        <v>7878</v>
      </c>
      <c r="H1109" s="324" t="s">
        <v>7879</v>
      </c>
      <c r="I1109" s="324" t="s">
        <v>383</v>
      </c>
      <c r="J1109" s="326" t="s">
        <v>7171</v>
      </c>
      <c r="K1109" s="324" t="s">
        <v>7880</v>
      </c>
      <c r="L1109" s="342" t="s">
        <v>210</v>
      </c>
      <c r="M1109" s="324" t="s">
        <v>8271</v>
      </c>
      <c r="N1109" s="444" t="s">
        <v>8046</v>
      </c>
      <c r="O1109" s="324">
        <v>160</v>
      </c>
      <c r="P1109" s="445">
        <v>1660</v>
      </c>
      <c r="Q1109" s="446">
        <v>830</v>
      </c>
      <c r="R1109" s="779" t="s">
        <v>2861</v>
      </c>
      <c r="S1109" s="332" t="s">
        <v>11839</v>
      </c>
      <c r="T1109" s="394" t="s">
        <v>16538</v>
      </c>
      <c r="U1109" s="394" t="s">
        <v>11840</v>
      </c>
      <c r="V1109" s="394" t="s">
        <v>11841</v>
      </c>
      <c r="W1109" s="332" t="s">
        <v>2861</v>
      </c>
      <c r="X1109" s="394" t="s">
        <v>11839</v>
      </c>
      <c r="Y1109" s="394" t="s">
        <v>13427</v>
      </c>
      <c r="Z1109" s="394" t="s">
        <v>11840</v>
      </c>
      <c r="AA1109" s="394" t="s">
        <v>11841</v>
      </c>
      <c r="AB1109" s="416"/>
      <c r="AC1109" s="416"/>
      <c r="AD1109" s="989"/>
      <c r="AE1109" s="335" t="s">
        <v>210</v>
      </c>
      <c r="AF1109" s="462">
        <v>43340</v>
      </c>
      <c r="AG1109" s="748">
        <v>43419</v>
      </c>
      <c r="AH1109" s="417" t="s">
        <v>210</v>
      </c>
      <c r="AI1109" s="392" t="s">
        <v>210</v>
      </c>
      <c r="AJ1109" s="392" t="s">
        <v>210</v>
      </c>
      <c r="AK1109" s="340" t="s">
        <v>210</v>
      </c>
      <c r="AL1109" s="417" t="s">
        <v>210</v>
      </c>
      <c r="AM1109" s="392" t="s">
        <v>210</v>
      </c>
      <c r="AN1109" s="487" t="s">
        <v>8052</v>
      </c>
      <c r="AO1109" s="341" t="s">
        <v>210</v>
      </c>
      <c r="AP1109" s="418" t="s">
        <v>210</v>
      </c>
      <c r="AQ1109" s="433" t="s">
        <v>4547</v>
      </c>
      <c r="AR1109" s="452">
        <v>2624</v>
      </c>
      <c r="AS1109" s="324">
        <v>150</v>
      </c>
      <c r="AT1109" s="432">
        <v>0.8</v>
      </c>
      <c r="AU1109" s="432" t="s">
        <v>5079</v>
      </c>
      <c r="AV1109" s="432">
        <v>1.5</v>
      </c>
      <c r="AW1109" s="490" t="s">
        <v>6579</v>
      </c>
      <c r="AX1109" s="1043" t="s">
        <v>210</v>
      </c>
      <c r="AY1109" s="373" t="s">
        <v>622</v>
      </c>
      <c r="AZ1109" s="405" t="s">
        <v>622</v>
      </c>
      <c r="BA1109" s="324" t="s">
        <v>7881</v>
      </c>
      <c r="BB1109" s="324" t="s">
        <v>6579</v>
      </c>
      <c r="BC1109" s="324" t="s">
        <v>3475</v>
      </c>
      <c r="BD1109" s="324" t="s">
        <v>6579</v>
      </c>
      <c r="BE1109" s="324" t="s">
        <v>7882</v>
      </c>
      <c r="BF1109" s="324" t="s">
        <v>3512</v>
      </c>
      <c r="BG1109" s="324" t="s">
        <v>3558</v>
      </c>
      <c r="BH1109" s="324" t="s">
        <v>3512</v>
      </c>
      <c r="BI1109" s="453">
        <v>1</v>
      </c>
      <c r="BJ1109" s="427">
        <v>0.74</v>
      </c>
      <c r="BK1109" s="428" t="s">
        <v>8822</v>
      </c>
      <c r="BL1109" s="429">
        <v>3</v>
      </c>
      <c r="BM1109" s="414"/>
      <c r="BN1109" s="453" t="s">
        <v>622</v>
      </c>
      <c r="BO1109" s="464">
        <v>1.01</v>
      </c>
      <c r="BP1109" s="455" t="s">
        <v>622</v>
      </c>
      <c r="BQ1109" s="456" t="s">
        <v>1059</v>
      </c>
      <c r="BR1109" s="342" t="s">
        <v>210</v>
      </c>
      <c r="BS1109" s="342" t="s">
        <v>622</v>
      </c>
      <c r="BT1109" s="342" t="s">
        <v>210</v>
      </c>
      <c r="BU1109" s="342" t="s">
        <v>210</v>
      </c>
      <c r="BV1109" s="342" t="s">
        <v>210</v>
      </c>
      <c r="BW1109" s="341" t="s">
        <v>210</v>
      </c>
      <c r="BX1109" s="341" t="s">
        <v>210</v>
      </c>
      <c r="BY1109" s="457" t="s">
        <v>8053</v>
      </c>
      <c r="BZ1109" s="363"/>
      <c r="CA1109" s="363"/>
      <c r="CB1109" s="363"/>
      <c r="CC1109" s="363"/>
    </row>
    <row r="1110" spans="1:82" ht="22.5" customHeight="1">
      <c r="B1110" s="442">
        <v>180191</v>
      </c>
      <c r="C1110" s="443" t="s">
        <v>7987</v>
      </c>
      <c r="D1110" s="467" t="s">
        <v>7077</v>
      </c>
      <c r="E1110" s="404" t="s">
        <v>7988</v>
      </c>
      <c r="F1110" s="405" t="s">
        <v>8006</v>
      </c>
      <c r="G1110" s="324" t="s">
        <v>8007</v>
      </c>
      <c r="H1110" s="324" t="s">
        <v>8364</v>
      </c>
      <c r="I1110" s="324" t="s">
        <v>383</v>
      </c>
      <c r="J1110" s="324" t="s">
        <v>6632</v>
      </c>
      <c r="K1110" s="324" t="s">
        <v>917</v>
      </c>
      <c r="L1110" s="342" t="s">
        <v>210</v>
      </c>
      <c r="M1110" s="324" t="s">
        <v>7457</v>
      </c>
      <c r="N1110" s="444" t="s">
        <v>438</v>
      </c>
      <c r="O1110" s="324">
        <v>20</v>
      </c>
      <c r="P1110" s="445">
        <v>1800</v>
      </c>
      <c r="Q1110" s="446">
        <v>1800</v>
      </c>
      <c r="R1110" s="333" t="s">
        <v>432</v>
      </c>
      <c r="S1110" s="332" t="s">
        <v>11079</v>
      </c>
      <c r="T1110" s="331" t="s">
        <v>11079</v>
      </c>
      <c r="U1110" s="331" t="s">
        <v>11079</v>
      </c>
      <c r="V1110" s="331" t="s">
        <v>295</v>
      </c>
      <c r="W1110" s="332" t="s">
        <v>432</v>
      </c>
      <c r="X1110" s="332" t="s">
        <v>11079</v>
      </c>
      <c r="Y1110" s="332" t="s">
        <v>11080</v>
      </c>
      <c r="Z1110" s="332" t="s">
        <v>11080</v>
      </c>
      <c r="AA1110" s="331" t="s">
        <v>6574</v>
      </c>
      <c r="AB1110" s="416"/>
      <c r="AC1110" s="416"/>
      <c r="AD1110" s="334" t="s">
        <v>2333</v>
      </c>
      <c r="AE1110" s="499" t="s">
        <v>245</v>
      </c>
      <c r="AF1110" s="847"/>
      <c r="AG1110" s="748">
        <v>43524</v>
      </c>
      <c r="AH1110" s="486" t="s">
        <v>8365</v>
      </c>
      <c r="AI1110" s="487" t="s">
        <v>8366</v>
      </c>
      <c r="AJ1110" s="487" t="s">
        <v>8367</v>
      </c>
      <c r="AK1110" s="451" t="s">
        <v>8368</v>
      </c>
      <c r="AL1110" s="417" t="s">
        <v>210</v>
      </c>
      <c r="AM1110" s="392" t="s">
        <v>210</v>
      </c>
      <c r="AN1110" s="392" t="s">
        <v>210</v>
      </c>
      <c r="AO1110" s="341" t="s">
        <v>210</v>
      </c>
      <c r="AP1110" s="418" t="s">
        <v>210</v>
      </c>
      <c r="AQ1110" s="433" t="s">
        <v>4547</v>
      </c>
      <c r="AR1110" s="452">
        <v>2078.6</v>
      </c>
      <c r="AS1110" s="324">
        <v>100</v>
      </c>
      <c r="AT1110" s="432">
        <v>0.8</v>
      </c>
      <c r="AU1110" s="432" t="s">
        <v>5246</v>
      </c>
      <c r="AV1110" s="432">
        <v>1.2</v>
      </c>
      <c r="AW1110" s="490" t="s">
        <v>6859</v>
      </c>
      <c r="AX1110" s="1043" t="s">
        <v>210</v>
      </c>
      <c r="AY1110" s="373" t="s">
        <v>622</v>
      </c>
      <c r="AZ1110" s="405" t="s">
        <v>4083</v>
      </c>
      <c r="BA1110" s="324" t="s">
        <v>210</v>
      </c>
      <c r="BB1110" s="324" t="s">
        <v>210</v>
      </c>
      <c r="BC1110" s="324" t="s">
        <v>210</v>
      </c>
      <c r="BD1110" s="324" t="s">
        <v>210</v>
      </c>
      <c r="BE1110" s="324" t="s">
        <v>8369</v>
      </c>
      <c r="BF1110" s="324" t="s">
        <v>5358</v>
      </c>
      <c r="BG1110" s="324" t="s">
        <v>3558</v>
      </c>
      <c r="BH1110" s="324" t="s">
        <v>8370</v>
      </c>
      <c r="BI1110" s="453">
        <v>3.5</v>
      </c>
      <c r="BJ1110" s="427" t="s">
        <v>210</v>
      </c>
      <c r="BK1110" s="412"/>
      <c r="BL1110" s="413"/>
      <c r="BM1110" s="414"/>
      <c r="BN1110" s="453" t="s">
        <v>622</v>
      </c>
      <c r="BO1110" s="464">
        <v>1.22</v>
      </c>
      <c r="BP1110" s="455" t="s">
        <v>210</v>
      </c>
      <c r="BQ1110" s="456" t="s">
        <v>1059</v>
      </c>
      <c r="BR1110" s="342" t="s">
        <v>210</v>
      </c>
      <c r="BS1110" s="342" t="s">
        <v>622</v>
      </c>
      <c r="BT1110" s="342" t="s">
        <v>210</v>
      </c>
      <c r="BU1110" s="342" t="s">
        <v>210</v>
      </c>
      <c r="BV1110" s="342" t="s">
        <v>210</v>
      </c>
      <c r="BW1110" s="341" t="s">
        <v>210</v>
      </c>
      <c r="BX1110" s="341" t="s">
        <v>210</v>
      </c>
      <c r="BY1110" s="457" t="s">
        <v>8111</v>
      </c>
      <c r="BZ1110" s="363"/>
      <c r="CA1110" s="363"/>
      <c r="CB1110" s="363"/>
      <c r="CC1110" s="363"/>
    </row>
    <row r="1111" spans="1:82" ht="22.5" customHeight="1">
      <c r="B1111" s="442">
        <v>180192</v>
      </c>
      <c r="C1111" s="443" t="s">
        <v>11838</v>
      </c>
      <c r="D1111" s="467" t="s">
        <v>4849</v>
      </c>
      <c r="E1111" s="404" t="s">
        <v>5362</v>
      </c>
      <c r="F1111" s="405" t="s">
        <v>222</v>
      </c>
      <c r="G1111" s="324" t="s">
        <v>7989</v>
      </c>
      <c r="H1111" s="324" t="s">
        <v>7990</v>
      </c>
      <c r="I1111" s="324" t="s">
        <v>383</v>
      </c>
      <c r="J1111" s="324" t="s">
        <v>214</v>
      </c>
      <c r="K1111" s="324" t="s">
        <v>917</v>
      </c>
      <c r="L1111" s="342">
        <v>5.4</v>
      </c>
      <c r="M1111" s="324" t="s">
        <v>7457</v>
      </c>
      <c r="N1111" s="444" t="s">
        <v>8005</v>
      </c>
      <c r="O1111" s="324">
        <v>85</v>
      </c>
      <c r="P1111" s="445">
        <v>220</v>
      </c>
      <c r="Q1111" s="446">
        <v>220</v>
      </c>
      <c r="R1111" s="779" t="s">
        <v>7991</v>
      </c>
      <c r="S1111" s="645"/>
      <c r="T1111" s="400"/>
      <c r="U1111" s="400"/>
      <c r="V1111" s="400"/>
      <c r="W1111" s="460" t="s">
        <v>1479</v>
      </c>
      <c r="X1111" s="332" t="s">
        <v>11834</v>
      </c>
      <c r="Y1111" s="332" t="s">
        <v>11836</v>
      </c>
      <c r="Z1111" s="332" t="s">
        <v>11835</v>
      </c>
      <c r="AA1111" s="332" t="s">
        <v>11837</v>
      </c>
      <c r="AB1111" s="416"/>
      <c r="AC1111" s="416"/>
      <c r="AD1111" s="447" t="s">
        <v>8073</v>
      </c>
      <c r="AE1111" s="335" t="s">
        <v>210</v>
      </c>
      <c r="AF1111" s="462">
        <v>43340</v>
      </c>
      <c r="AG1111" s="748">
        <v>43391</v>
      </c>
      <c r="AH1111" s="417" t="s">
        <v>210</v>
      </c>
      <c r="AI1111" s="392" t="s">
        <v>210</v>
      </c>
      <c r="AJ1111" s="392" t="s">
        <v>210</v>
      </c>
      <c r="AK1111" s="340" t="s">
        <v>210</v>
      </c>
      <c r="AL1111" s="417" t="s">
        <v>210</v>
      </c>
      <c r="AM1111" s="392" t="s">
        <v>210</v>
      </c>
      <c r="AN1111" s="392" t="s">
        <v>210</v>
      </c>
      <c r="AO1111" s="341" t="s">
        <v>210</v>
      </c>
      <c r="AP1111" s="418" t="s">
        <v>210</v>
      </c>
      <c r="AQ1111" s="433" t="s">
        <v>4547</v>
      </c>
      <c r="AR1111" s="452">
        <v>362</v>
      </c>
      <c r="AS1111" s="324">
        <v>100</v>
      </c>
      <c r="AT1111" s="432">
        <v>1</v>
      </c>
      <c r="AU1111" s="432" t="s">
        <v>8019</v>
      </c>
      <c r="AV1111" s="432">
        <v>1.5</v>
      </c>
      <c r="AW1111" s="490" t="s">
        <v>3494</v>
      </c>
      <c r="AX1111" s="456" t="s">
        <v>210</v>
      </c>
      <c r="AY1111" s="429" t="s">
        <v>210</v>
      </c>
      <c r="AZ1111" s="405" t="s">
        <v>4083</v>
      </c>
      <c r="BA1111" s="324" t="s">
        <v>210</v>
      </c>
      <c r="BB1111" s="324" t="s">
        <v>210</v>
      </c>
      <c r="BC1111" s="324" t="s">
        <v>7994</v>
      </c>
      <c r="BD1111" s="324" t="s">
        <v>3494</v>
      </c>
      <c r="BE1111" s="324" t="s">
        <v>3616</v>
      </c>
      <c r="BF1111" s="324" t="s">
        <v>6579</v>
      </c>
      <c r="BG1111" s="324" t="s">
        <v>7994</v>
      </c>
      <c r="BH1111" s="426" t="s">
        <v>3424</v>
      </c>
      <c r="BI1111" s="453">
        <v>0.5</v>
      </c>
      <c r="BJ1111" s="427" t="s">
        <v>210</v>
      </c>
      <c r="BK1111" s="412"/>
      <c r="BL1111" s="413"/>
      <c r="BM1111" s="414"/>
      <c r="BN1111" s="453" t="s">
        <v>622</v>
      </c>
      <c r="BO1111" s="464">
        <v>0.91</v>
      </c>
      <c r="BP1111" s="455" t="s">
        <v>622</v>
      </c>
      <c r="BQ1111" s="456" t="s">
        <v>917</v>
      </c>
      <c r="BR1111" s="342" t="s">
        <v>210</v>
      </c>
      <c r="BS1111" s="342" t="s">
        <v>622</v>
      </c>
      <c r="BT1111" s="342" t="s">
        <v>210</v>
      </c>
      <c r="BU1111" s="342" t="s">
        <v>210</v>
      </c>
      <c r="BV1111" s="342" t="s">
        <v>210</v>
      </c>
      <c r="BW1111" s="341" t="s">
        <v>210</v>
      </c>
      <c r="BX1111" s="341" t="s">
        <v>210</v>
      </c>
      <c r="BY1111" s="457"/>
      <c r="BZ1111" s="363"/>
      <c r="CA1111" s="363"/>
      <c r="CB1111" s="363"/>
      <c r="CC1111" s="363"/>
    </row>
    <row r="1112" spans="1:82" ht="22.5" customHeight="1">
      <c r="B1112" s="442">
        <v>180193</v>
      </c>
      <c r="C1112" s="443" t="s">
        <v>7995</v>
      </c>
      <c r="D1112" s="467" t="s">
        <v>6663</v>
      </c>
      <c r="E1112" s="404" t="s">
        <v>7988</v>
      </c>
      <c r="F1112" s="405" t="s">
        <v>265</v>
      </c>
      <c r="G1112" s="324" t="s">
        <v>7996</v>
      </c>
      <c r="H1112" s="324" t="s">
        <v>7997</v>
      </c>
      <c r="I1112" s="324" t="s">
        <v>383</v>
      </c>
      <c r="J1112" s="324" t="s">
        <v>214</v>
      </c>
      <c r="K1112" s="324" t="s">
        <v>247</v>
      </c>
      <c r="L1112" s="342" t="s">
        <v>210</v>
      </c>
      <c r="M1112" s="324" t="s">
        <v>6509</v>
      </c>
      <c r="N1112" s="444" t="s">
        <v>8333</v>
      </c>
      <c r="O1112" s="324">
        <v>27.5</v>
      </c>
      <c r="P1112" s="458">
        <v>1205.29</v>
      </c>
      <c r="Q1112" s="459">
        <v>1183.9000000000001</v>
      </c>
      <c r="R1112" s="779" t="s">
        <v>14986</v>
      </c>
      <c r="S1112" s="332" t="s">
        <v>11833</v>
      </c>
      <c r="T1112" s="394" t="s">
        <v>14985</v>
      </c>
      <c r="U1112" s="394" t="s">
        <v>14984</v>
      </c>
      <c r="V1112" s="394" t="s">
        <v>11832</v>
      </c>
      <c r="W1112" s="332" t="s">
        <v>432</v>
      </c>
      <c r="X1112" s="332" t="s">
        <v>11079</v>
      </c>
      <c r="Y1112" s="332" t="s">
        <v>11080</v>
      </c>
      <c r="Z1112" s="332" t="s">
        <v>11080</v>
      </c>
      <c r="AA1112" s="332" t="s">
        <v>6574</v>
      </c>
      <c r="AB1112" s="416" t="s">
        <v>16099</v>
      </c>
      <c r="AC1112" s="416" t="s">
        <v>1106</v>
      </c>
      <c r="AD1112" s="447" t="s">
        <v>8691</v>
      </c>
      <c r="AE1112" s="499" t="s">
        <v>245</v>
      </c>
      <c r="AF1112" s="462">
        <v>43340</v>
      </c>
      <c r="AG1112" s="748">
        <v>43524</v>
      </c>
      <c r="AH1112" s="453">
        <v>19.8</v>
      </c>
      <c r="AI1112" s="432">
        <v>43.2</v>
      </c>
      <c r="AJ1112" s="432">
        <v>30.4</v>
      </c>
      <c r="AK1112" s="340">
        <f>SUM(AH1112:AJ1112)</f>
        <v>93.4</v>
      </c>
      <c r="AL1112" s="417" t="s">
        <v>210</v>
      </c>
      <c r="AM1112" s="392" t="s">
        <v>210</v>
      </c>
      <c r="AN1112" s="392" t="s">
        <v>210</v>
      </c>
      <c r="AO1112" s="341" t="s">
        <v>210</v>
      </c>
      <c r="AP1112" s="418" t="s">
        <v>210</v>
      </c>
      <c r="AQ1112" s="433" t="s">
        <v>4547</v>
      </c>
      <c r="AR1112" s="452">
        <v>1746</v>
      </c>
      <c r="AS1112" s="324">
        <v>150</v>
      </c>
      <c r="AT1112" s="432">
        <v>1</v>
      </c>
      <c r="AU1112" s="432" t="s">
        <v>5079</v>
      </c>
      <c r="AV1112" s="432">
        <v>1.5</v>
      </c>
      <c r="AW1112" s="490" t="s">
        <v>5079</v>
      </c>
      <c r="AX1112" s="456" t="s">
        <v>210</v>
      </c>
      <c r="AY1112" s="429" t="s">
        <v>210</v>
      </c>
      <c r="AZ1112" s="405" t="s">
        <v>4083</v>
      </c>
      <c r="BA1112" s="324" t="s">
        <v>210</v>
      </c>
      <c r="BB1112" s="324" t="s">
        <v>210</v>
      </c>
      <c r="BC1112" s="324" t="s">
        <v>8334</v>
      </c>
      <c r="BD1112" s="324" t="s">
        <v>5528</v>
      </c>
      <c r="BE1112" s="324" t="s">
        <v>8335</v>
      </c>
      <c r="BF1112" s="324" t="s">
        <v>5528</v>
      </c>
      <c r="BG1112" s="324" t="s">
        <v>8334</v>
      </c>
      <c r="BH1112" s="426" t="s">
        <v>5079</v>
      </c>
      <c r="BI1112" s="453">
        <v>1.8</v>
      </c>
      <c r="BJ1112" s="427">
        <v>1.36</v>
      </c>
      <c r="BK1112" s="428" t="s">
        <v>8804</v>
      </c>
      <c r="BL1112" s="429" t="s">
        <v>8805</v>
      </c>
      <c r="BM1112" s="414"/>
      <c r="BN1112" s="453" t="s">
        <v>622</v>
      </c>
      <c r="BO1112" s="464">
        <v>1.31</v>
      </c>
      <c r="BP1112" s="455" t="s">
        <v>622</v>
      </c>
      <c r="BQ1112" s="456" t="s">
        <v>6623</v>
      </c>
      <c r="BR1112" s="342" t="s">
        <v>210</v>
      </c>
      <c r="BS1112" s="342" t="s">
        <v>622</v>
      </c>
      <c r="BT1112" s="342" t="s">
        <v>210</v>
      </c>
      <c r="BU1112" s="342" t="s">
        <v>210</v>
      </c>
      <c r="BV1112" s="342" t="s">
        <v>210</v>
      </c>
      <c r="BW1112" s="341" t="s">
        <v>210</v>
      </c>
      <c r="BX1112" s="341" t="s">
        <v>210</v>
      </c>
      <c r="BY1112" s="457"/>
      <c r="BZ1112" s="363"/>
      <c r="CA1112" s="363"/>
      <c r="CB1112" s="363"/>
      <c r="CC1112" s="363"/>
    </row>
    <row r="1113" spans="1:82" ht="22.5" customHeight="1">
      <c r="B1113" s="442">
        <v>180194</v>
      </c>
      <c r="C1113" s="443" t="s">
        <v>8008</v>
      </c>
      <c r="D1113" s="467" t="s">
        <v>6135</v>
      </c>
      <c r="E1113" s="404" t="s">
        <v>7988</v>
      </c>
      <c r="F1113" s="405" t="s">
        <v>8009</v>
      </c>
      <c r="G1113" s="324" t="s">
        <v>6372</v>
      </c>
      <c r="H1113" s="324" t="s">
        <v>8010</v>
      </c>
      <c r="I1113" s="324" t="s">
        <v>383</v>
      </c>
      <c r="J1113" s="324" t="s">
        <v>214</v>
      </c>
      <c r="K1113" s="324" t="s">
        <v>917</v>
      </c>
      <c r="L1113" s="342" t="s">
        <v>210</v>
      </c>
      <c r="M1113" s="324" t="s">
        <v>7457</v>
      </c>
      <c r="N1113" s="444" t="s">
        <v>438</v>
      </c>
      <c r="O1113" s="324">
        <v>120</v>
      </c>
      <c r="P1113" s="458">
        <v>2625</v>
      </c>
      <c r="Q1113" s="459">
        <v>2625</v>
      </c>
      <c r="R1113" s="777" t="s">
        <v>516</v>
      </c>
      <c r="S1113" s="332" t="s">
        <v>11827</v>
      </c>
      <c r="T1113" s="394" t="s">
        <v>11829</v>
      </c>
      <c r="U1113" s="394" t="s">
        <v>11828</v>
      </c>
      <c r="V1113" s="394" t="s">
        <v>11830</v>
      </c>
      <c r="W1113" s="332" t="s">
        <v>790</v>
      </c>
      <c r="X1113" s="332" t="s">
        <v>11831</v>
      </c>
      <c r="Y1113" s="394" t="s">
        <v>13170</v>
      </c>
      <c r="Z1113" s="394" t="s">
        <v>16507</v>
      </c>
      <c r="AA1113" s="394" t="s">
        <v>13169</v>
      </c>
      <c r="AB1113" s="416"/>
      <c r="AC1113" s="416"/>
      <c r="AD1113" s="334" t="s">
        <v>4294</v>
      </c>
      <c r="AE1113" s="499" t="s">
        <v>6202</v>
      </c>
      <c r="AF1113" s="462">
        <v>43342</v>
      </c>
      <c r="AG1113" s="748">
        <v>43426</v>
      </c>
      <c r="AH1113" s="417" t="s">
        <v>210</v>
      </c>
      <c r="AI1113" s="392" t="s">
        <v>210</v>
      </c>
      <c r="AJ1113" s="392" t="s">
        <v>210</v>
      </c>
      <c r="AK1113" s="340" t="s">
        <v>210</v>
      </c>
      <c r="AL1113" s="417" t="s">
        <v>210</v>
      </c>
      <c r="AM1113" s="392" t="s">
        <v>210</v>
      </c>
      <c r="AN1113" s="392" t="s">
        <v>210</v>
      </c>
      <c r="AO1113" s="341" t="s">
        <v>210</v>
      </c>
      <c r="AP1113" s="418" t="s">
        <v>210</v>
      </c>
      <c r="AQ1113" s="433" t="s">
        <v>4547</v>
      </c>
      <c r="AR1113" s="452">
        <v>4157</v>
      </c>
      <c r="AS1113" s="324">
        <v>100</v>
      </c>
      <c r="AT1113" s="432">
        <v>0.8</v>
      </c>
      <c r="AU1113" s="432" t="s">
        <v>3936</v>
      </c>
      <c r="AV1113" s="432">
        <v>1.5</v>
      </c>
      <c r="AW1113" s="490" t="s">
        <v>3845</v>
      </c>
      <c r="AX1113" s="456" t="s">
        <v>210</v>
      </c>
      <c r="AY1113" s="429" t="s">
        <v>210</v>
      </c>
      <c r="AZ1113" s="405" t="s">
        <v>622</v>
      </c>
      <c r="BA1113" s="324" t="s">
        <v>3555</v>
      </c>
      <c r="BB1113" s="324" t="s">
        <v>3845</v>
      </c>
      <c r="BC1113" s="324" t="s">
        <v>3459</v>
      </c>
      <c r="BD1113" s="324" t="s">
        <v>3494</v>
      </c>
      <c r="BE1113" s="324" t="s">
        <v>8011</v>
      </c>
      <c r="BF1113" s="324" t="s">
        <v>210</v>
      </c>
      <c r="BG1113" s="324" t="s">
        <v>210</v>
      </c>
      <c r="BH1113" s="324" t="s">
        <v>210</v>
      </c>
      <c r="BI1113" s="453">
        <v>1.5</v>
      </c>
      <c r="BJ1113" s="427">
        <v>1.87</v>
      </c>
      <c r="BK1113" s="428" t="s">
        <v>3845</v>
      </c>
      <c r="BL1113" s="429">
        <v>2.6</v>
      </c>
      <c r="BM1113" s="414"/>
      <c r="BN1113" s="453" t="s">
        <v>622</v>
      </c>
      <c r="BO1113" s="464">
        <v>2.4900000000000002</v>
      </c>
      <c r="BP1113" s="455" t="s">
        <v>622</v>
      </c>
      <c r="BQ1113" s="456" t="s">
        <v>6623</v>
      </c>
      <c r="BR1113" s="342" t="s">
        <v>210</v>
      </c>
      <c r="BS1113" s="342" t="s">
        <v>622</v>
      </c>
      <c r="BT1113" s="342" t="s">
        <v>210</v>
      </c>
      <c r="BU1113" s="342" t="s">
        <v>210</v>
      </c>
      <c r="BV1113" s="342" t="s">
        <v>210</v>
      </c>
      <c r="BW1113" s="341" t="s">
        <v>210</v>
      </c>
      <c r="BX1113" s="341" t="s">
        <v>210</v>
      </c>
      <c r="BY1113" s="457"/>
      <c r="BZ1113" s="363"/>
      <c r="CA1113" s="363"/>
      <c r="CB1113" s="363"/>
      <c r="CC1113" s="363"/>
    </row>
    <row r="1114" spans="1:82" ht="22.5" customHeight="1">
      <c r="B1114" s="442">
        <v>180195</v>
      </c>
      <c r="C1114" s="443" t="s">
        <v>8026</v>
      </c>
      <c r="D1114" s="467" t="s">
        <v>4847</v>
      </c>
      <c r="E1114" s="404" t="s">
        <v>6974</v>
      </c>
      <c r="F1114" s="405" t="s">
        <v>266</v>
      </c>
      <c r="G1114" s="324" t="s">
        <v>8027</v>
      </c>
      <c r="H1114" s="324" t="s">
        <v>8028</v>
      </c>
      <c r="I1114" s="324" t="s">
        <v>383</v>
      </c>
      <c r="J1114" s="324" t="s">
        <v>8029</v>
      </c>
      <c r="K1114" s="324" t="s">
        <v>5225</v>
      </c>
      <c r="L1114" s="342" t="s">
        <v>210</v>
      </c>
      <c r="M1114" s="324" t="s">
        <v>6509</v>
      </c>
      <c r="N1114" s="444" t="s">
        <v>438</v>
      </c>
      <c r="O1114" s="324">
        <v>30</v>
      </c>
      <c r="P1114" s="445">
        <f>1500*4</f>
        <v>6000</v>
      </c>
      <c r="Q1114" s="446">
        <v>1500</v>
      </c>
      <c r="R1114" s="779" t="s">
        <v>8024</v>
      </c>
      <c r="S1114" s="332" t="s">
        <v>11824</v>
      </c>
      <c r="T1114" s="394" t="s">
        <v>11825</v>
      </c>
      <c r="U1114" s="394" t="s">
        <v>16218</v>
      </c>
      <c r="V1114" s="394" t="s">
        <v>11826</v>
      </c>
      <c r="W1114" s="460" t="s">
        <v>15040</v>
      </c>
      <c r="X1114" s="332" t="s">
        <v>11821</v>
      </c>
      <c r="Y1114" s="332" t="s">
        <v>11823</v>
      </c>
      <c r="Z1114" s="645"/>
      <c r="AA1114" s="332" t="s">
        <v>11822</v>
      </c>
      <c r="AB1114" s="416"/>
      <c r="AC1114" s="416"/>
      <c r="AD1114" s="447" t="s">
        <v>337</v>
      </c>
      <c r="AE1114" s="499" t="s">
        <v>231</v>
      </c>
      <c r="AF1114" s="462">
        <v>43353</v>
      </c>
      <c r="AG1114" s="748">
        <v>43490</v>
      </c>
      <c r="AH1114" s="417" t="s">
        <v>210</v>
      </c>
      <c r="AI1114" s="392" t="s">
        <v>210</v>
      </c>
      <c r="AJ1114" s="392" t="s">
        <v>210</v>
      </c>
      <c r="AK1114" s="340" t="s">
        <v>210</v>
      </c>
      <c r="AL1114" s="417" t="s">
        <v>210</v>
      </c>
      <c r="AM1114" s="392" t="s">
        <v>210</v>
      </c>
      <c r="AN1114" s="392" t="s">
        <v>210</v>
      </c>
      <c r="AO1114" s="341" t="s">
        <v>210</v>
      </c>
      <c r="AP1114" s="418" t="s">
        <v>210</v>
      </c>
      <c r="AQ1114" s="433" t="s">
        <v>4547</v>
      </c>
      <c r="AR1114" s="452">
        <v>496</v>
      </c>
      <c r="AS1114" s="324">
        <v>150</v>
      </c>
      <c r="AT1114" s="432">
        <v>1</v>
      </c>
      <c r="AU1114" s="432" t="s">
        <v>8113</v>
      </c>
      <c r="AV1114" s="432">
        <v>2</v>
      </c>
      <c r="AW1114" s="490" t="s">
        <v>8113</v>
      </c>
      <c r="AX1114" s="456" t="s">
        <v>210</v>
      </c>
      <c r="AY1114" s="429" t="s">
        <v>210</v>
      </c>
      <c r="AZ1114" s="405" t="s">
        <v>622</v>
      </c>
      <c r="BA1114" s="324" t="s">
        <v>8030</v>
      </c>
      <c r="BB1114" s="324" t="s">
        <v>8031</v>
      </c>
      <c r="BC1114" s="324" t="s">
        <v>8032</v>
      </c>
      <c r="BD1114" s="324" t="s">
        <v>8031</v>
      </c>
      <c r="BE1114" s="324" t="s">
        <v>8033</v>
      </c>
      <c r="BF1114" s="324" t="s">
        <v>8031</v>
      </c>
      <c r="BG1114" s="324" t="s">
        <v>8034</v>
      </c>
      <c r="BH1114" s="324" t="s">
        <v>8031</v>
      </c>
      <c r="BI1114" s="453">
        <v>6.5</v>
      </c>
      <c r="BJ1114" s="427" t="s">
        <v>210</v>
      </c>
      <c r="BK1114" s="412"/>
      <c r="BL1114" s="413"/>
      <c r="BM1114" s="414"/>
      <c r="BN1114" s="453" t="s">
        <v>622</v>
      </c>
      <c r="BO1114" s="464">
        <v>1.43</v>
      </c>
      <c r="BP1114" s="455" t="s">
        <v>622</v>
      </c>
      <c r="BQ1114" s="456" t="s">
        <v>917</v>
      </c>
      <c r="BR1114" s="342" t="s">
        <v>210</v>
      </c>
      <c r="BS1114" s="342" t="s">
        <v>622</v>
      </c>
      <c r="BT1114" s="342" t="s">
        <v>210</v>
      </c>
      <c r="BU1114" s="342" t="s">
        <v>210</v>
      </c>
      <c r="BV1114" s="342" t="s">
        <v>210</v>
      </c>
      <c r="BW1114" s="341" t="s">
        <v>210</v>
      </c>
      <c r="BX1114" s="341" t="s">
        <v>210</v>
      </c>
      <c r="BY1114" s="457" t="s">
        <v>8114</v>
      </c>
      <c r="BZ1114" s="363"/>
      <c r="CA1114" s="363"/>
      <c r="CB1114" s="363"/>
      <c r="CC1114" s="363"/>
    </row>
    <row r="1115" spans="1:82" ht="22.5" customHeight="1">
      <c r="B1115" s="442">
        <v>180196</v>
      </c>
      <c r="C1115" s="443" t="s">
        <v>8016</v>
      </c>
      <c r="D1115" s="467" t="s">
        <v>4847</v>
      </c>
      <c r="E1115" s="404" t="s">
        <v>7988</v>
      </c>
      <c r="F1115" s="405" t="s">
        <v>264</v>
      </c>
      <c r="G1115" s="324" t="s">
        <v>8017</v>
      </c>
      <c r="H1115" s="324" t="s">
        <v>8018</v>
      </c>
      <c r="I1115" s="324" t="s">
        <v>1066</v>
      </c>
      <c r="J1115" s="326" t="s">
        <v>216</v>
      </c>
      <c r="K1115" s="326" t="s">
        <v>77</v>
      </c>
      <c r="L1115" s="342" t="s">
        <v>210</v>
      </c>
      <c r="M1115" s="324" t="s">
        <v>6518</v>
      </c>
      <c r="N1115" s="444" t="s">
        <v>438</v>
      </c>
      <c r="O1115" s="324">
        <v>30</v>
      </c>
      <c r="P1115" s="458">
        <v>528</v>
      </c>
      <c r="Q1115" s="459">
        <v>207</v>
      </c>
      <c r="R1115" s="777" t="s">
        <v>15037</v>
      </c>
      <c r="S1115" s="332" t="s">
        <v>15038</v>
      </c>
      <c r="T1115" s="394" t="s">
        <v>15039</v>
      </c>
      <c r="U1115" s="394" t="s">
        <v>16281</v>
      </c>
      <c r="V1115" s="394" t="s">
        <v>11820</v>
      </c>
      <c r="W1115" s="332" t="s">
        <v>543</v>
      </c>
      <c r="X1115" s="332" t="s">
        <v>11817</v>
      </c>
      <c r="Y1115" s="332" t="s">
        <v>11818</v>
      </c>
      <c r="Z1115" s="332" t="s">
        <v>16286</v>
      </c>
      <c r="AA1115" s="332" t="s">
        <v>11819</v>
      </c>
      <c r="AB1115" s="416"/>
      <c r="AC1115" s="416"/>
      <c r="AD1115" s="334" t="s">
        <v>2333</v>
      </c>
      <c r="AE1115" s="499" t="s">
        <v>1643</v>
      </c>
      <c r="AF1115" s="462">
        <v>43354</v>
      </c>
      <c r="AG1115" s="748">
        <v>43418</v>
      </c>
      <c r="AH1115" s="417" t="s">
        <v>210</v>
      </c>
      <c r="AI1115" s="392" t="s">
        <v>210</v>
      </c>
      <c r="AJ1115" s="392" t="s">
        <v>210</v>
      </c>
      <c r="AK1115" s="340" t="s">
        <v>210</v>
      </c>
      <c r="AL1115" s="417" t="s">
        <v>210</v>
      </c>
      <c r="AM1115" s="392" t="s">
        <v>210</v>
      </c>
      <c r="AN1115" s="392" t="s">
        <v>210</v>
      </c>
      <c r="AO1115" s="341" t="s">
        <v>210</v>
      </c>
      <c r="AP1115" s="418" t="s">
        <v>210</v>
      </c>
      <c r="AQ1115" s="433" t="s">
        <v>4548</v>
      </c>
      <c r="AR1115" s="452">
        <v>344</v>
      </c>
      <c r="AS1115" s="324">
        <v>150</v>
      </c>
      <c r="AT1115" s="432">
        <v>1</v>
      </c>
      <c r="AU1115" s="432" t="s">
        <v>8074</v>
      </c>
      <c r="AV1115" s="432">
        <v>1.5</v>
      </c>
      <c r="AW1115" s="490" t="s">
        <v>8074</v>
      </c>
      <c r="AX1115" s="456" t="s">
        <v>210</v>
      </c>
      <c r="AY1115" s="429" t="s">
        <v>210</v>
      </c>
      <c r="AZ1115" s="405" t="s">
        <v>4083</v>
      </c>
      <c r="BA1115" s="324" t="s">
        <v>210</v>
      </c>
      <c r="BB1115" s="324" t="s">
        <v>210</v>
      </c>
      <c r="BC1115" s="324" t="s">
        <v>3475</v>
      </c>
      <c r="BD1115" s="324" t="s">
        <v>3495</v>
      </c>
      <c r="BE1115" s="324" t="s">
        <v>3844</v>
      </c>
      <c r="BF1115" s="324" t="s">
        <v>3495</v>
      </c>
      <c r="BG1115" s="324" t="s">
        <v>3475</v>
      </c>
      <c r="BH1115" s="426" t="s">
        <v>6506</v>
      </c>
      <c r="BI1115" s="453">
        <v>1</v>
      </c>
      <c r="BJ1115" s="427" t="s">
        <v>210</v>
      </c>
      <c r="BK1115" s="412"/>
      <c r="BL1115" s="413"/>
      <c r="BM1115" s="414"/>
      <c r="BN1115" s="453" t="s">
        <v>622</v>
      </c>
      <c r="BO1115" s="464">
        <v>1.4</v>
      </c>
      <c r="BP1115" s="455" t="s">
        <v>622</v>
      </c>
      <c r="BQ1115" s="456" t="s">
        <v>1059</v>
      </c>
      <c r="BR1115" s="342" t="s">
        <v>210</v>
      </c>
      <c r="BS1115" s="342" t="s">
        <v>622</v>
      </c>
      <c r="BT1115" s="342" t="s">
        <v>210</v>
      </c>
      <c r="BU1115" s="342" t="s">
        <v>210</v>
      </c>
      <c r="BV1115" s="342" t="s">
        <v>210</v>
      </c>
      <c r="BW1115" s="341" t="s">
        <v>210</v>
      </c>
      <c r="BX1115" s="341" t="s">
        <v>210</v>
      </c>
      <c r="BY1115" s="457"/>
      <c r="BZ1115" s="363"/>
      <c r="CA1115" s="363"/>
      <c r="CB1115" s="363"/>
      <c r="CC1115" s="363"/>
    </row>
    <row r="1116" spans="1:82" ht="22.5" customHeight="1">
      <c r="B1116" s="442">
        <v>180197</v>
      </c>
      <c r="C1116" s="443" t="s">
        <v>8048</v>
      </c>
      <c r="D1116" s="439" t="s">
        <v>4854</v>
      </c>
      <c r="E1116" s="404" t="s">
        <v>5362</v>
      </c>
      <c r="F1116" s="405" t="s">
        <v>266</v>
      </c>
      <c r="G1116" s="324" t="s">
        <v>3257</v>
      </c>
      <c r="H1116" s="324" t="s">
        <v>8049</v>
      </c>
      <c r="I1116" s="324" t="s">
        <v>383</v>
      </c>
      <c r="J1116" s="326" t="s">
        <v>7171</v>
      </c>
      <c r="K1116" s="324" t="s">
        <v>917</v>
      </c>
      <c r="L1116" s="342" t="s">
        <v>210</v>
      </c>
      <c r="M1116" s="324" t="s">
        <v>7476</v>
      </c>
      <c r="N1116" s="444" t="s">
        <v>438</v>
      </c>
      <c r="O1116" s="324">
        <v>30</v>
      </c>
      <c r="P1116" s="445">
        <v>1800</v>
      </c>
      <c r="Q1116" s="446">
        <f>1800*2</f>
        <v>3600</v>
      </c>
      <c r="R1116" s="416" t="s">
        <v>1017</v>
      </c>
      <c r="S1116" s="332" t="s">
        <v>11815</v>
      </c>
      <c r="T1116" s="332" t="s">
        <v>11813</v>
      </c>
      <c r="U1116" s="332" t="s">
        <v>11812</v>
      </c>
      <c r="V1116" s="394" t="s">
        <v>11816</v>
      </c>
      <c r="W1116" s="460" t="s">
        <v>1017</v>
      </c>
      <c r="X1116" s="332" t="s">
        <v>11811</v>
      </c>
      <c r="Y1116" s="332" t="s">
        <v>11813</v>
      </c>
      <c r="Z1116" s="332" t="s">
        <v>11812</v>
      </c>
      <c r="AA1116" s="332" t="s">
        <v>11814</v>
      </c>
      <c r="AB1116" s="416"/>
      <c r="AC1116" s="416"/>
      <c r="AD1116" s="334" t="s">
        <v>2324</v>
      </c>
      <c r="AE1116" s="499" t="s">
        <v>8692</v>
      </c>
      <c r="AF1116" s="462">
        <v>43353</v>
      </c>
      <c r="AG1116" s="748">
        <v>43426</v>
      </c>
      <c r="AH1116" s="417" t="s">
        <v>210</v>
      </c>
      <c r="AI1116" s="392" t="s">
        <v>210</v>
      </c>
      <c r="AJ1116" s="392" t="s">
        <v>210</v>
      </c>
      <c r="AK1116" s="340" t="s">
        <v>210</v>
      </c>
      <c r="AL1116" s="417" t="s">
        <v>210</v>
      </c>
      <c r="AM1116" s="392" t="s">
        <v>210</v>
      </c>
      <c r="AN1116" s="392" t="s">
        <v>210</v>
      </c>
      <c r="AO1116" s="341" t="s">
        <v>210</v>
      </c>
      <c r="AP1116" s="418" t="s">
        <v>8050</v>
      </c>
      <c r="AQ1116" s="433" t="s">
        <v>4547</v>
      </c>
      <c r="AR1116" s="452">
        <v>2450</v>
      </c>
      <c r="AS1116" s="324">
        <v>100</v>
      </c>
      <c r="AT1116" s="432">
        <v>1.2</v>
      </c>
      <c r="AU1116" s="432" t="s">
        <v>8210</v>
      </c>
      <c r="AV1116" s="432">
        <v>1.6</v>
      </c>
      <c r="AW1116" s="490" t="s">
        <v>6579</v>
      </c>
      <c r="AX1116" s="456" t="s">
        <v>210</v>
      </c>
      <c r="AY1116" s="429" t="s">
        <v>210</v>
      </c>
      <c r="AZ1116" s="405" t="s">
        <v>622</v>
      </c>
      <c r="BA1116" s="324" t="s">
        <v>3555</v>
      </c>
      <c r="BB1116" s="324" t="s">
        <v>3434</v>
      </c>
      <c r="BC1116" s="324" t="s">
        <v>4869</v>
      </c>
      <c r="BD1116" s="324" t="s">
        <v>6579</v>
      </c>
      <c r="BE1116" s="324" t="s">
        <v>8051</v>
      </c>
      <c r="BF1116" s="324" t="s">
        <v>210</v>
      </c>
      <c r="BG1116" s="324" t="s">
        <v>210</v>
      </c>
      <c r="BH1116" s="426" t="s">
        <v>210</v>
      </c>
      <c r="BI1116" s="453">
        <v>2.6</v>
      </c>
      <c r="BJ1116" s="427">
        <v>1.29</v>
      </c>
      <c r="BK1116" s="428" t="s">
        <v>8826</v>
      </c>
      <c r="BL1116" s="429">
        <f>1.5+2.4</f>
        <v>3.9</v>
      </c>
      <c r="BM1116" s="414"/>
      <c r="BN1116" s="453" t="s">
        <v>622</v>
      </c>
      <c r="BO1116" s="464">
        <v>1.07</v>
      </c>
      <c r="BP1116" s="455" t="s">
        <v>622</v>
      </c>
      <c r="BQ1116" s="456" t="s">
        <v>7902</v>
      </c>
      <c r="BR1116" s="342" t="s">
        <v>210</v>
      </c>
      <c r="BS1116" s="342" t="s">
        <v>210</v>
      </c>
      <c r="BT1116" s="342" t="s">
        <v>210</v>
      </c>
      <c r="BU1116" s="342" t="s">
        <v>210</v>
      </c>
      <c r="BV1116" s="342" t="s">
        <v>210</v>
      </c>
      <c r="BW1116" s="341" t="s">
        <v>210</v>
      </c>
      <c r="BX1116" s="341" t="s">
        <v>210</v>
      </c>
      <c r="BY1116" s="457" t="s">
        <v>8229</v>
      </c>
      <c r="BZ1116" s="363"/>
      <c r="CA1116" s="363"/>
      <c r="CB1116" s="363"/>
      <c r="CC1116" s="363"/>
    </row>
    <row r="1117" spans="1:82" s="465" customFormat="1" ht="22.5" customHeight="1">
      <c r="A1117" s="287"/>
      <c r="B1117" s="749">
        <v>180198</v>
      </c>
      <c r="C1117" s="781" t="s">
        <v>8054</v>
      </c>
      <c r="D1117" s="829" t="s">
        <v>4847</v>
      </c>
      <c r="E1117" s="752" t="s">
        <v>5362</v>
      </c>
      <c r="F1117" s="753" t="s">
        <v>222</v>
      </c>
      <c r="G1117" s="754" t="s">
        <v>8055</v>
      </c>
      <c r="H1117" s="754" t="s">
        <v>8056</v>
      </c>
      <c r="I1117" s="754" t="s">
        <v>383</v>
      </c>
      <c r="J1117" s="754" t="s">
        <v>214</v>
      </c>
      <c r="K1117" s="754" t="s">
        <v>247</v>
      </c>
      <c r="L1117" s="688">
        <v>10</v>
      </c>
      <c r="M1117" s="754" t="s">
        <v>7457</v>
      </c>
      <c r="N1117" s="755" t="s">
        <v>521</v>
      </c>
      <c r="O1117" s="754">
        <v>180</v>
      </c>
      <c r="P1117" s="782">
        <v>3570</v>
      </c>
      <c r="Q1117" s="783">
        <v>3570</v>
      </c>
      <c r="R1117" s="756" t="s">
        <v>8057</v>
      </c>
      <c r="S1117" s="708"/>
      <c r="T1117" s="708"/>
      <c r="U1117" s="708"/>
      <c r="V1117" s="708"/>
      <c r="W1117" s="757" t="s">
        <v>9432</v>
      </c>
      <c r="X1117" s="669" t="s">
        <v>11808</v>
      </c>
      <c r="Y1117" s="669" t="s">
        <v>11809</v>
      </c>
      <c r="Z1117" s="669" t="s">
        <v>11404</v>
      </c>
      <c r="AA1117" s="669" t="s">
        <v>11810</v>
      </c>
      <c r="AB1117" s="758"/>
      <c r="AC1117" s="758"/>
      <c r="AD1117" s="759"/>
      <c r="AE1117" s="672" t="s">
        <v>210</v>
      </c>
      <c r="AF1117" s="846">
        <v>43356</v>
      </c>
      <c r="AG1117" s="674" t="s">
        <v>10514</v>
      </c>
      <c r="AH1117" s="675" t="s">
        <v>210</v>
      </c>
      <c r="AI1117" s="676" t="s">
        <v>210</v>
      </c>
      <c r="AJ1117" s="676" t="s">
        <v>210</v>
      </c>
      <c r="AK1117" s="677" t="s">
        <v>210</v>
      </c>
      <c r="AL1117" s="675" t="s">
        <v>210</v>
      </c>
      <c r="AM1117" s="676" t="s">
        <v>210</v>
      </c>
      <c r="AN1117" s="676" t="s">
        <v>210</v>
      </c>
      <c r="AO1117" s="678" t="s">
        <v>210</v>
      </c>
      <c r="AP1117" s="784" t="s">
        <v>210</v>
      </c>
      <c r="AQ1117" s="762" t="s">
        <v>4547</v>
      </c>
      <c r="AR1117" s="763">
        <v>4114</v>
      </c>
      <c r="AS1117" s="754">
        <v>130</v>
      </c>
      <c r="AT1117" s="785">
        <v>1</v>
      </c>
      <c r="AU1117" s="785" t="s">
        <v>8247</v>
      </c>
      <c r="AV1117" s="785">
        <v>0.8</v>
      </c>
      <c r="AW1117" s="764" t="s">
        <v>8247</v>
      </c>
      <c r="AX1117" s="765" t="s">
        <v>210</v>
      </c>
      <c r="AY1117" s="766" t="s">
        <v>210</v>
      </c>
      <c r="AZ1117" s="753" t="s">
        <v>4083</v>
      </c>
      <c r="BA1117" s="754" t="s">
        <v>210</v>
      </c>
      <c r="BB1117" s="754" t="s">
        <v>210</v>
      </c>
      <c r="BC1117" s="754" t="s">
        <v>8196</v>
      </c>
      <c r="BD1117" s="754" t="s">
        <v>3492</v>
      </c>
      <c r="BE1117" s="754" t="s">
        <v>210</v>
      </c>
      <c r="BF1117" s="754" t="s">
        <v>210</v>
      </c>
      <c r="BG1117" s="754" t="s">
        <v>8196</v>
      </c>
      <c r="BH1117" s="767" t="s">
        <v>3713</v>
      </c>
      <c r="BI1117" s="765">
        <v>3.2</v>
      </c>
      <c r="BJ1117" s="768"/>
      <c r="BK1117" s="769" t="s">
        <v>3492</v>
      </c>
      <c r="BL1117" s="766">
        <v>0.5</v>
      </c>
      <c r="BM1117" s="770"/>
      <c r="BN1117" s="765" t="s">
        <v>622</v>
      </c>
      <c r="BO1117" s="771">
        <v>1.1399999999999999</v>
      </c>
      <c r="BP1117" s="772" t="s">
        <v>622</v>
      </c>
      <c r="BQ1117" s="773" t="s">
        <v>9906</v>
      </c>
      <c r="BR1117" s="688" t="s">
        <v>210</v>
      </c>
      <c r="BS1117" s="688" t="s">
        <v>210</v>
      </c>
      <c r="BT1117" s="688" t="s">
        <v>210</v>
      </c>
      <c r="BU1117" s="688" t="s">
        <v>210</v>
      </c>
      <c r="BV1117" s="688" t="s">
        <v>210</v>
      </c>
      <c r="BW1117" s="678" t="s">
        <v>210</v>
      </c>
      <c r="BX1117" s="678" t="s">
        <v>210</v>
      </c>
      <c r="BY1117" s="774" t="s">
        <v>9423</v>
      </c>
      <c r="BZ1117" s="483"/>
      <c r="CA1117" s="483"/>
      <c r="CB1117" s="483"/>
      <c r="CC1117" s="483"/>
      <c r="CD1117" s="484"/>
    </row>
    <row r="1118" spans="1:82" ht="22.5" customHeight="1">
      <c r="B1118" s="442">
        <v>180199</v>
      </c>
      <c r="C1118" s="443" t="s">
        <v>8085</v>
      </c>
      <c r="D1118" s="467" t="s">
        <v>4849</v>
      </c>
      <c r="E1118" s="404" t="s">
        <v>6974</v>
      </c>
      <c r="F1118" s="405" t="s">
        <v>3715</v>
      </c>
      <c r="G1118" s="324" t="s">
        <v>4035</v>
      </c>
      <c r="H1118" s="324" t="s">
        <v>7388</v>
      </c>
      <c r="I1118" s="324" t="s">
        <v>383</v>
      </c>
      <c r="J1118" s="326" t="s">
        <v>7171</v>
      </c>
      <c r="K1118" s="324" t="s">
        <v>7140</v>
      </c>
      <c r="L1118" s="342" t="s">
        <v>210</v>
      </c>
      <c r="M1118" s="324" t="s">
        <v>7457</v>
      </c>
      <c r="N1118" s="444" t="s">
        <v>8089</v>
      </c>
      <c r="O1118" s="324">
        <v>100</v>
      </c>
      <c r="P1118" s="445">
        <f>Q1118*2</f>
        <v>680</v>
      </c>
      <c r="Q1118" s="446">
        <v>340</v>
      </c>
      <c r="R1118" s="329" t="s">
        <v>2975</v>
      </c>
      <c r="S1118" s="394" t="s">
        <v>11806</v>
      </c>
      <c r="T1118" s="400"/>
      <c r="U1118" s="400"/>
      <c r="V1118" s="394" t="s">
        <v>11807</v>
      </c>
      <c r="W1118" s="332" t="s">
        <v>1683</v>
      </c>
      <c r="X1118" s="331" t="s">
        <v>11803</v>
      </c>
      <c r="Y1118" s="331" t="s">
        <v>11804</v>
      </c>
      <c r="Z1118" s="331" t="s">
        <v>16512</v>
      </c>
      <c r="AA1118" s="331" t="s">
        <v>11805</v>
      </c>
      <c r="AB1118" s="416"/>
      <c r="AC1118" s="416"/>
      <c r="AD1118" s="447" t="s">
        <v>337</v>
      </c>
      <c r="AE1118" s="335" t="s">
        <v>210</v>
      </c>
      <c r="AF1118" s="462">
        <v>43363</v>
      </c>
      <c r="AG1118" s="748">
        <v>43388</v>
      </c>
      <c r="AH1118" s="417" t="s">
        <v>210</v>
      </c>
      <c r="AI1118" s="392" t="s">
        <v>210</v>
      </c>
      <c r="AJ1118" s="392" t="s">
        <v>210</v>
      </c>
      <c r="AK1118" s="340" t="s">
        <v>210</v>
      </c>
      <c r="AL1118" s="417" t="s">
        <v>210</v>
      </c>
      <c r="AM1118" s="392" t="s">
        <v>210</v>
      </c>
      <c r="AN1118" s="392" t="s">
        <v>210</v>
      </c>
      <c r="AO1118" s="341" t="s">
        <v>210</v>
      </c>
      <c r="AP1118" s="418" t="s">
        <v>210</v>
      </c>
      <c r="AQ1118" s="433" t="s">
        <v>4547</v>
      </c>
      <c r="AR1118" s="452">
        <v>477</v>
      </c>
      <c r="AS1118" s="324">
        <v>150</v>
      </c>
      <c r="AT1118" s="432">
        <v>0.8</v>
      </c>
      <c r="AU1118" s="432" t="s">
        <v>5079</v>
      </c>
      <c r="AV1118" s="432">
        <v>1.7</v>
      </c>
      <c r="AW1118" s="490" t="s">
        <v>5902</v>
      </c>
      <c r="AX1118" s="456" t="s">
        <v>210</v>
      </c>
      <c r="AY1118" s="429" t="s">
        <v>210</v>
      </c>
      <c r="AZ1118" s="405" t="s">
        <v>622</v>
      </c>
      <c r="BA1118" s="324" t="s">
        <v>3738</v>
      </c>
      <c r="BB1118" s="324" t="s">
        <v>3372</v>
      </c>
      <c r="BC1118" s="324" t="s">
        <v>3475</v>
      </c>
      <c r="BD1118" s="324" t="s">
        <v>3372</v>
      </c>
      <c r="BE1118" s="324" t="s">
        <v>3475</v>
      </c>
      <c r="BF1118" s="324" t="s">
        <v>3434</v>
      </c>
      <c r="BG1118" s="324" t="s">
        <v>3475</v>
      </c>
      <c r="BH1118" s="426" t="s">
        <v>3574</v>
      </c>
      <c r="BI1118" s="453">
        <v>1</v>
      </c>
      <c r="BJ1118" s="427">
        <v>1.08</v>
      </c>
      <c r="BK1118" s="428" t="s">
        <v>8827</v>
      </c>
      <c r="BL1118" s="429">
        <v>2.4500000000000002</v>
      </c>
      <c r="BM1118" s="414"/>
      <c r="BN1118" s="453" t="s">
        <v>622</v>
      </c>
      <c r="BO1118" s="464">
        <v>1.22</v>
      </c>
      <c r="BP1118" s="455" t="s">
        <v>622</v>
      </c>
      <c r="BQ1118" s="456" t="s">
        <v>7506</v>
      </c>
      <c r="BR1118" s="342" t="s">
        <v>210</v>
      </c>
      <c r="BS1118" s="342" t="s">
        <v>622</v>
      </c>
      <c r="BT1118" s="342" t="s">
        <v>210</v>
      </c>
      <c r="BU1118" s="342" t="s">
        <v>210</v>
      </c>
      <c r="BV1118" s="342" t="s">
        <v>210</v>
      </c>
      <c r="BW1118" s="341" t="s">
        <v>210</v>
      </c>
      <c r="BX1118" s="342" t="s">
        <v>210</v>
      </c>
      <c r="BY1118" s="457" t="s">
        <v>8112</v>
      </c>
      <c r="BZ1118" s="363"/>
      <c r="CA1118" s="363"/>
      <c r="CB1118" s="363"/>
      <c r="CC1118" s="363"/>
    </row>
    <row r="1119" spans="1:82" ht="22.5" customHeight="1">
      <c r="B1119" s="442">
        <v>180200</v>
      </c>
      <c r="C1119" s="443" t="s">
        <v>8086</v>
      </c>
      <c r="D1119" s="439" t="s">
        <v>4854</v>
      </c>
      <c r="E1119" s="404" t="s">
        <v>5362</v>
      </c>
      <c r="F1119" s="405" t="s">
        <v>308</v>
      </c>
      <c r="G1119" s="324" t="s">
        <v>8087</v>
      </c>
      <c r="H1119" s="324" t="s">
        <v>8088</v>
      </c>
      <c r="I1119" s="324" t="s">
        <v>383</v>
      </c>
      <c r="J1119" s="324" t="s">
        <v>214</v>
      </c>
      <c r="K1119" s="324" t="s">
        <v>247</v>
      </c>
      <c r="L1119" s="361"/>
      <c r="M1119" s="324" t="s">
        <v>7457</v>
      </c>
      <c r="N1119" s="444" t="s">
        <v>437</v>
      </c>
      <c r="O1119" s="324">
        <v>100</v>
      </c>
      <c r="P1119" s="458">
        <v>270</v>
      </c>
      <c r="Q1119" s="459">
        <v>276</v>
      </c>
      <c r="R1119" s="329" t="s">
        <v>15036</v>
      </c>
      <c r="S1119" s="400"/>
      <c r="T1119" s="331" t="s">
        <v>14113</v>
      </c>
      <c r="U1119" s="331" t="s">
        <v>14112</v>
      </c>
      <c r="V1119" s="400"/>
      <c r="W1119" s="332" t="s">
        <v>5517</v>
      </c>
      <c r="X1119" s="331" t="s">
        <v>11801</v>
      </c>
      <c r="Y1119" s="330"/>
      <c r="Z1119" s="330"/>
      <c r="AA1119" s="331" t="s">
        <v>11802</v>
      </c>
      <c r="AB1119" s="416"/>
      <c r="AC1119" s="416"/>
      <c r="AD1119" s="447" t="s">
        <v>8693</v>
      </c>
      <c r="AE1119" s="335" t="s">
        <v>210</v>
      </c>
      <c r="AF1119" s="462">
        <v>43363</v>
      </c>
      <c r="AG1119" s="748">
        <v>43419</v>
      </c>
      <c r="AH1119" s="417" t="s">
        <v>210</v>
      </c>
      <c r="AI1119" s="392" t="s">
        <v>210</v>
      </c>
      <c r="AJ1119" s="392" t="s">
        <v>210</v>
      </c>
      <c r="AK1119" s="340" t="s">
        <v>210</v>
      </c>
      <c r="AL1119" s="417" t="s">
        <v>210</v>
      </c>
      <c r="AM1119" s="392" t="s">
        <v>210</v>
      </c>
      <c r="AN1119" s="392" t="s">
        <v>210</v>
      </c>
      <c r="AO1119" s="341" t="s">
        <v>210</v>
      </c>
      <c r="AP1119" s="418" t="s">
        <v>210</v>
      </c>
      <c r="AQ1119" s="433" t="s">
        <v>4547</v>
      </c>
      <c r="AR1119" s="452">
        <v>441</v>
      </c>
      <c r="AS1119" s="324">
        <v>100</v>
      </c>
      <c r="AT1119" s="432">
        <v>1</v>
      </c>
      <c r="AU1119" s="432" t="s">
        <v>5246</v>
      </c>
      <c r="AV1119" s="432">
        <v>1.5</v>
      </c>
      <c r="AW1119" s="490" t="s">
        <v>3768</v>
      </c>
      <c r="AX1119" s="456" t="s">
        <v>210</v>
      </c>
      <c r="AY1119" s="429" t="s">
        <v>210</v>
      </c>
      <c r="AZ1119" s="405" t="s">
        <v>4083</v>
      </c>
      <c r="BA1119" s="324" t="s">
        <v>210</v>
      </c>
      <c r="BB1119" s="324" t="s">
        <v>210</v>
      </c>
      <c r="BC1119" s="324" t="s">
        <v>3555</v>
      </c>
      <c r="BD1119" s="324" t="s">
        <v>3768</v>
      </c>
      <c r="BE1119" s="324" t="s">
        <v>3565</v>
      </c>
      <c r="BF1119" s="324" t="s">
        <v>3412</v>
      </c>
      <c r="BG1119" s="324" t="s">
        <v>3557</v>
      </c>
      <c r="BH1119" s="324" t="s">
        <v>3412</v>
      </c>
      <c r="BI1119" s="453">
        <v>1.25</v>
      </c>
      <c r="BJ1119" s="427" t="s">
        <v>210</v>
      </c>
      <c r="BK1119" s="412"/>
      <c r="BL1119" s="413"/>
      <c r="BM1119" s="414"/>
      <c r="BN1119" s="453" t="s">
        <v>622</v>
      </c>
      <c r="BO1119" s="464">
        <v>1.42</v>
      </c>
      <c r="BP1119" s="455" t="s">
        <v>8211</v>
      </c>
      <c r="BQ1119" s="456" t="s">
        <v>5608</v>
      </c>
      <c r="BR1119" s="342" t="s">
        <v>210</v>
      </c>
      <c r="BS1119" s="342" t="s">
        <v>622</v>
      </c>
      <c r="BT1119" s="342" t="s">
        <v>210</v>
      </c>
      <c r="BU1119" s="342" t="s">
        <v>210</v>
      </c>
      <c r="BV1119" s="342" t="s">
        <v>210</v>
      </c>
      <c r="BW1119" s="341" t="s">
        <v>210</v>
      </c>
      <c r="BX1119" s="341" t="s">
        <v>210</v>
      </c>
      <c r="BY1119" s="457" t="s">
        <v>8184</v>
      </c>
      <c r="BZ1119" s="363"/>
      <c r="CA1119" s="363"/>
      <c r="CB1119" s="363"/>
      <c r="CC1119" s="363"/>
    </row>
    <row r="1120" spans="1:82" ht="22.5" customHeight="1">
      <c r="B1120" s="442">
        <v>180201</v>
      </c>
      <c r="C1120" s="443" t="s">
        <v>8097</v>
      </c>
      <c r="D1120" s="467" t="s">
        <v>6135</v>
      </c>
      <c r="E1120" s="404" t="s">
        <v>6974</v>
      </c>
      <c r="F1120" s="405" t="s">
        <v>264</v>
      </c>
      <c r="G1120" s="324" t="s">
        <v>8098</v>
      </c>
      <c r="H1120" s="324" t="s">
        <v>8099</v>
      </c>
      <c r="I1120" s="324" t="s">
        <v>383</v>
      </c>
      <c r="J1120" s="324" t="s">
        <v>7171</v>
      </c>
      <c r="K1120" s="324" t="s">
        <v>3352</v>
      </c>
      <c r="L1120" s="342" t="s">
        <v>210</v>
      </c>
      <c r="M1120" s="324" t="s">
        <v>7457</v>
      </c>
      <c r="N1120" s="444" t="s">
        <v>437</v>
      </c>
      <c r="O1120" s="324">
        <v>30</v>
      </c>
      <c r="P1120" s="445">
        <v>300</v>
      </c>
      <c r="Q1120" s="446">
        <v>150</v>
      </c>
      <c r="R1120" s="420" t="s">
        <v>4881</v>
      </c>
      <c r="S1120" s="394" t="s">
        <v>11798</v>
      </c>
      <c r="T1120" s="394" t="s">
        <v>11799</v>
      </c>
      <c r="U1120" s="394" t="s">
        <v>16274</v>
      </c>
      <c r="V1120" s="394" t="s">
        <v>11800</v>
      </c>
      <c r="W1120" s="460" t="s">
        <v>8100</v>
      </c>
      <c r="X1120" s="394" t="s">
        <v>11795</v>
      </c>
      <c r="Y1120" s="394" t="s">
        <v>11796</v>
      </c>
      <c r="Z1120" s="394" t="s">
        <v>16287</v>
      </c>
      <c r="AA1120" s="394" t="s">
        <v>11797</v>
      </c>
      <c r="AB1120" s="416"/>
      <c r="AC1120" s="416"/>
      <c r="AD1120" s="334" t="s">
        <v>8459</v>
      </c>
      <c r="AE1120" s="1044" t="s">
        <v>210</v>
      </c>
      <c r="AF1120" s="462">
        <v>43365</v>
      </c>
      <c r="AG1120" s="748">
        <v>43446</v>
      </c>
      <c r="AH1120" s="417" t="s">
        <v>210</v>
      </c>
      <c r="AI1120" s="392" t="s">
        <v>210</v>
      </c>
      <c r="AJ1120" s="392" t="s">
        <v>210</v>
      </c>
      <c r="AK1120" s="340" t="s">
        <v>210</v>
      </c>
      <c r="AL1120" s="417" t="s">
        <v>210</v>
      </c>
      <c r="AM1120" s="392" t="s">
        <v>210</v>
      </c>
      <c r="AN1120" s="392" t="s">
        <v>210</v>
      </c>
      <c r="AO1120" s="341" t="s">
        <v>210</v>
      </c>
      <c r="AP1120" s="418" t="s">
        <v>210</v>
      </c>
      <c r="AQ1120" s="433" t="s">
        <v>4547</v>
      </c>
      <c r="AR1120" s="452">
        <v>190</v>
      </c>
      <c r="AS1120" s="324">
        <v>150</v>
      </c>
      <c r="AT1120" s="432">
        <v>1</v>
      </c>
      <c r="AU1120" s="432" t="s">
        <v>3491</v>
      </c>
      <c r="AV1120" s="432">
        <v>1.5</v>
      </c>
      <c r="AW1120" s="490" t="s">
        <v>3491</v>
      </c>
      <c r="AX1120" s="456" t="s">
        <v>210</v>
      </c>
      <c r="AY1120" s="429" t="s">
        <v>210</v>
      </c>
      <c r="AZ1120" s="405" t="s">
        <v>4083</v>
      </c>
      <c r="BA1120" s="324" t="s">
        <v>210</v>
      </c>
      <c r="BB1120" s="324" t="s">
        <v>210</v>
      </c>
      <c r="BC1120" s="324" t="s">
        <v>3459</v>
      </c>
      <c r="BD1120" s="324" t="s">
        <v>8101</v>
      </c>
      <c r="BE1120" s="324" t="s">
        <v>8102</v>
      </c>
      <c r="BF1120" s="324" t="s">
        <v>3487</v>
      </c>
      <c r="BG1120" s="324" t="s">
        <v>8103</v>
      </c>
      <c r="BH1120" s="426" t="s">
        <v>6506</v>
      </c>
      <c r="BI1120" s="453">
        <v>2.2000000000000002</v>
      </c>
      <c r="BJ1120" s="427" t="s">
        <v>210</v>
      </c>
      <c r="BK1120" s="412"/>
      <c r="BL1120" s="413"/>
      <c r="BM1120" s="414"/>
      <c r="BN1120" s="453" t="s">
        <v>622</v>
      </c>
      <c r="BO1120" s="464">
        <v>1.17</v>
      </c>
      <c r="BP1120" s="455" t="s">
        <v>210</v>
      </c>
      <c r="BQ1120" s="456" t="s">
        <v>3352</v>
      </c>
      <c r="BR1120" s="342" t="s">
        <v>210</v>
      </c>
      <c r="BS1120" s="342" t="s">
        <v>622</v>
      </c>
      <c r="BT1120" s="342" t="s">
        <v>210</v>
      </c>
      <c r="BU1120" s="342" t="s">
        <v>210</v>
      </c>
      <c r="BV1120" s="342" t="s">
        <v>210</v>
      </c>
      <c r="BW1120" s="341" t="s">
        <v>210</v>
      </c>
      <c r="BX1120" s="341" t="s">
        <v>210</v>
      </c>
      <c r="BY1120" s="457" t="s">
        <v>8264</v>
      </c>
      <c r="BZ1120" s="363"/>
      <c r="CA1120" s="363"/>
      <c r="CB1120" s="363"/>
      <c r="CC1120" s="363"/>
    </row>
    <row r="1121" spans="1:82" ht="22.5" customHeight="1">
      <c r="B1121" s="442">
        <v>180202</v>
      </c>
      <c r="C1121" s="443" t="s">
        <v>8077</v>
      </c>
      <c r="D1121" s="467" t="s">
        <v>6135</v>
      </c>
      <c r="E1121" s="404" t="s">
        <v>5362</v>
      </c>
      <c r="F1121" s="405" t="s">
        <v>222</v>
      </c>
      <c r="G1121" s="324" t="s">
        <v>1860</v>
      </c>
      <c r="H1121" s="324" t="s">
        <v>1771</v>
      </c>
      <c r="I1121" s="324" t="s">
        <v>383</v>
      </c>
      <c r="J1121" s="324" t="s">
        <v>6632</v>
      </c>
      <c r="K1121" s="324" t="s">
        <v>8078</v>
      </c>
      <c r="L1121" s="342">
        <v>21</v>
      </c>
      <c r="M1121" s="324" t="s">
        <v>7457</v>
      </c>
      <c r="N1121" s="444" t="s">
        <v>438</v>
      </c>
      <c r="O1121" s="324">
        <v>180</v>
      </c>
      <c r="P1121" s="458">
        <v>825</v>
      </c>
      <c r="Q1121" s="459">
        <v>640</v>
      </c>
      <c r="R1121" s="420" t="s">
        <v>8079</v>
      </c>
      <c r="S1121" s="400"/>
      <c r="T1121" s="394" t="s">
        <v>15035</v>
      </c>
      <c r="U1121" s="394" t="s">
        <v>15034</v>
      </c>
      <c r="V1121" s="400"/>
      <c r="W1121" s="460" t="s">
        <v>8081</v>
      </c>
      <c r="X1121" s="394" t="s">
        <v>11793</v>
      </c>
      <c r="Y1121" s="400"/>
      <c r="Z1121" s="400"/>
      <c r="AA1121" s="394" t="s">
        <v>11794</v>
      </c>
      <c r="AB1121" s="416"/>
      <c r="AC1121" s="416"/>
      <c r="AD1121" s="447" t="s">
        <v>8340</v>
      </c>
      <c r="AE1121" s="499" t="s">
        <v>8275</v>
      </c>
      <c r="AF1121" s="462">
        <v>43368</v>
      </c>
      <c r="AG1121" s="748">
        <v>43424</v>
      </c>
      <c r="AH1121" s="417" t="s">
        <v>210</v>
      </c>
      <c r="AI1121" s="392" t="s">
        <v>210</v>
      </c>
      <c r="AJ1121" s="392" t="s">
        <v>210</v>
      </c>
      <c r="AK1121" s="340" t="s">
        <v>210</v>
      </c>
      <c r="AL1121" s="417" t="s">
        <v>210</v>
      </c>
      <c r="AM1121" s="392" t="s">
        <v>210</v>
      </c>
      <c r="AN1121" s="392" t="s">
        <v>210</v>
      </c>
      <c r="AO1121" s="341" t="s">
        <v>210</v>
      </c>
      <c r="AP1121" s="418" t="s">
        <v>210</v>
      </c>
      <c r="AQ1121" s="433" t="s">
        <v>4547</v>
      </c>
      <c r="AR1121" s="452">
        <f>820.1+23.9</f>
        <v>844</v>
      </c>
      <c r="AS1121" s="324">
        <v>150</v>
      </c>
      <c r="AT1121" s="432">
        <v>1</v>
      </c>
      <c r="AU1121" s="432" t="s">
        <v>3574</v>
      </c>
      <c r="AV1121" s="432">
        <v>1.5</v>
      </c>
      <c r="AW1121" s="490" t="s">
        <v>5079</v>
      </c>
      <c r="AX1121" s="453" t="s">
        <v>8126</v>
      </c>
      <c r="AY1121" s="429" t="s">
        <v>8127</v>
      </c>
      <c r="AZ1121" s="405" t="s">
        <v>622</v>
      </c>
      <c r="BA1121" s="324" t="s">
        <v>3555</v>
      </c>
      <c r="BB1121" s="324" t="s">
        <v>3434</v>
      </c>
      <c r="BC1121" s="324" t="s">
        <v>8083</v>
      </c>
      <c r="BD1121" s="324" t="s">
        <v>3372</v>
      </c>
      <c r="BE1121" s="324" t="s">
        <v>3555</v>
      </c>
      <c r="BF1121" s="324" t="s">
        <v>3372</v>
      </c>
      <c r="BG1121" s="324" t="s">
        <v>8084</v>
      </c>
      <c r="BH1121" s="426" t="s">
        <v>3494</v>
      </c>
      <c r="BI1121" s="453">
        <v>1</v>
      </c>
      <c r="BJ1121" s="427">
        <v>1.22</v>
      </c>
      <c r="BK1121" s="428" t="s">
        <v>8825</v>
      </c>
      <c r="BL1121" s="429">
        <f>0.45+0.5</f>
        <v>0.95</v>
      </c>
      <c r="BM1121" s="414"/>
      <c r="BN1121" s="453" t="s">
        <v>622</v>
      </c>
      <c r="BO1121" s="464">
        <v>1.03</v>
      </c>
      <c r="BP1121" s="455" t="s">
        <v>622</v>
      </c>
      <c r="BQ1121" s="456" t="s">
        <v>1059</v>
      </c>
      <c r="BR1121" s="342" t="s">
        <v>210</v>
      </c>
      <c r="BS1121" s="342" t="s">
        <v>622</v>
      </c>
      <c r="BT1121" s="342" t="s">
        <v>210</v>
      </c>
      <c r="BU1121" s="342" t="s">
        <v>210</v>
      </c>
      <c r="BV1121" s="342" t="s">
        <v>210</v>
      </c>
      <c r="BW1121" s="341" t="s">
        <v>210</v>
      </c>
      <c r="BX1121" s="341" t="s">
        <v>210</v>
      </c>
      <c r="BY1121" s="457"/>
      <c r="BZ1121" s="363"/>
      <c r="CA1121" s="363"/>
      <c r="CB1121" s="363"/>
      <c r="CC1121" s="363"/>
    </row>
    <row r="1122" spans="1:82" s="465" customFormat="1" ht="22.5" customHeight="1">
      <c r="A1122" s="287"/>
      <c r="B1122" s="749">
        <v>180203</v>
      </c>
      <c r="C1122" s="781" t="s">
        <v>8107</v>
      </c>
      <c r="D1122" s="751" t="s">
        <v>4854</v>
      </c>
      <c r="E1122" s="752" t="s">
        <v>7988</v>
      </c>
      <c r="F1122" s="753" t="s">
        <v>213</v>
      </c>
      <c r="G1122" s="754" t="s">
        <v>8109</v>
      </c>
      <c r="H1122" s="754" t="s">
        <v>8110</v>
      </c>
      <c r="I1122" s="754" t="s">
        <v>1066</v>
      </c>
      <c r="J1122" s="754" t="s">
        <v>214</v>
      </c>
      <c r="K1122" s="754" t="s">
        <v>1059</v>
      </c>
      <c r="L1122" s="688"/>
      <c r="M1122" s="754" t="s">
        <v>6518</v>
      </c>
      <c r="N1122" s="755"/>
      <c r="O1122" s="754"/>
      <c r="P1122" s="782"/>
      <c r="Q1122" s="783"/>
      <c r="R1122" s="756" t="s">
        <v>8108</v>
      </c>
      <c r="S1122" s="708" t="s">
        <v>11739</v>
      </c>
      <c r="T1122" s="708" t="s">
        <v>11741</v>
      </c>
      <c r="U1122" s="708" t="s">
        <v>11740</v>
      </c>
      <c r="V1122" s="708" t="s">
        <v>11742</v>
      </c>
      <c r="W1122" s="669" t="s">
        <v>432</v>
      </c>
      <c r="X1122" s="668" t="s">
        <v>11082</v>
      </c>
      <c r="Y1122" s="668" t="s">
        <v>11082</v>
      </c>
      <c r="Z1122" s="668" t="s">
        <v>11082</v>
      </c>
      <c r="AA1122" s="668" t="s">
        <v>210</v>
      </c>
      <c r="AB1122" s="758"/>
      <c r="AC1122" s="758"/>
      <c r="AD1122" s="759"/>
      <c r="AE1122" s="760"/>
      <c r="AF1122" s="846">
        <v>43368</v>
      </c>
      <c r="AG1122" s="674" t="s">
        <v>10514</v>
      </c>
      <c r="AH1122" s="675" t="s">
        <v>210</v>
      </c>
      <c r="AI1122" s="676" t="s">
        <v>210</v>
      </c>
      <c r="AJ1122" s="676" t="s">
        <v>210</v>
      </c>
      <c r="AK1122" s="677" t="s">
        <v>210</v>
      </c>
      <c r="AL1122" s="675" t="s">
        <v>210</v>
      </c>
      <c r="AM1122" s="785"/>
      <c r="AN1122" s="785"/>
      <c r="AO1122" s="678" t="s">
        <v>210</v>
      </c>
      <c r="AP1122" s="784" t="s">
        <v>210</v>
      </c>
      <c r="AQ1122" s="762"/>
      <c r="AR1122" s="763"/>
      <c r="AS1122" s="754"/>
      <c r="AT1122" s="785"/>
      <c r="AU1122" s="785"/>
      <c r="AV1122" s="785"/>
      <c r="AW1122" s="764"/>
      <c r="AX1122" s="765"/>
      <c r="AY1122" s="766"/>
      <c r="AZ1122" s="753"/>
      <c r="BA1122" s="754"/>
      <c r="BB1122" s="754"/>
      <c r="BC1122" s="754"/>
      <c r="BD1122" s="754"/>
      <c r="BE1122" s="754"/>
      <c r="BF1122" s="754"/>
      <c r="BG1122" s="754"/>
      <c r="BH1122" s="767"/>
      <c r="BI1122" s="765"/>
      <c r="BJ1122" s="768"/>
      <c r="BK1122" s="769"/>
      <c r="BL1122" s="766"/>
      <c r="BM1122" s="770"/>
      <c r="BN1122" s="765"/>
      <c r="BO1122" s="771"/>
      <c r="BP1122" s="772"/>
      <c r="BQ1122" s="773"/>
      <c r="BR1122" s="688"/>
      <c r="BS1122" s="688"/>
      <c r="BT1122" s="688" t="s">
        <v>210</v>
      </c>
      <c r="BU1122" s="688" t="s">
        <v>210</v>
      </c>
      <c r="BV1122" s="688" t="s">
        <v>210</v>
      </c>
      <c r="BW1122" s="678" t="s">
        <v>210</v>
      </c>
      <c r="BX1122" s="678" t="s">
        <v>210</v>
      </c>
      <c r="BY1122" s="893" t="s">
        <v>10032</v>
      </c>
      <c r="BZ1122" s="894"/>
      <c r="CA1122" s="894"/>
      <c r="CB1122" s="894"/>
      <c r="CC1122" s="894"/>
      <c r="CD1122" s="484"/>
    </row>
    <row r="1123" spans="1:82" ht="22.5" customHeight="1">
      <c r="B1123" s="442">
        <v>180204</v>
      </c>
      <c r="C1123" s="443" t="s">
        <v>11792</v>
      </c>
      <c r="D1123" s="467" t="s">
        <v>6135</v>
      </c>
      <c r="E1123" s="404" t="s">
        <v>5362</v>
      </c>
      <c r="F1123" s="405" t="s">
        <v>222</v>
      </c>
      <c r="G1123" s="324" t="s">
        <v>2139</v>
      </c>
      <c r="H1123" s="324" t="s">
        <v>7543</v>
      </c>
      <c r="I1123" s="324" t="s">
        <v>383</v>
      </c>
      <c r="J1123" s="324" t="s">
        <v>214</v>
      </c>
      <c r="K1123" s="324" t="s">
        <v>8117</v>
      </c>
      <c r="L1123" s="342" t="s">
        <v>210</v>
      </c>
      <c r="M1123" s="324" t="s">
        <v>7457</v>
      </c>
      <c r="N1123" s="444" t="s">
        <v>437</v>
      </c>
      <c r="O1123" s="324">
        <v>160</v>
      </c>
      <c r="P1123" s="445">
        <v>480</v>
      </c>
      <c r="Q1123" s="446">
        <v>480</v>
      </c>
      <c r="R1123" s="420" t="s">
        <v>8119</v>
      </c>
      <c r="S1123" s="400"/>
      <c r="T1123" s="400"/>
      <c r="U1123" s="400"/>
      <c r="V1123" s="400"/>
      <c r="W1123" s="460" t="s">
        <v>1096</v>
      </c>
      <c r="X1123" s="331" t="s">
        <v>11248</v>
      </c>
      <c r="Y1123" s="331" t="s">
        <v>11249</v>
      </c>
      <c r="Z1123" s="331" t="s">
        <v>16439</v>
      </c>
      <c r="AA1123" s="331" t="s">
        <v>11250</v>
      </c>
      <c r="AB1123" s="416"/>
      <c r="AC1123" s="416"/>
      <c r="AD1123" s="447" t="s">
        <v>8304</v>
      </c>
      <c r="AE1123" s="335" t="s">
        <v>210</v>
      </c>
      <c r="AF1123" s="462">
        <v>43374</v>
      </c>
      <c r="AG1123" s="748">
        <v>43417</v>
      </c>
      <c r="AH1123" s="417" t="s">
        <v>210</v>
      </c>
      <c r="AI1123" s="392" t="s">
        <v>210</v>
      </c>
      <c r="AJ1123" s="392" t="s">
        <v>210</v>
      </c>
      <c r="AK1123" s="340" t="s">
        <v>210</v>
      </c>
      <c r="AL1123" s="417" t="s">
        <v>210</v>
      </c>
      <c r="AM1123" s="392" t="s">
        <v>210</v>
      </c>
      <c r="AN1123" s="392" t="s">
        <v>210</v>
      </c>
      <c r="AO1123" s="341" t="s">
        <v>210</v>
      </c>
      <c r="AP1123" s="418" t="s">
        <v>210</v>
      </c>
      <c r="AQ1123" s="433" t="s">
        <v>4547</v>
      </c>
      <c r="AR1123" s="452">
        <v>686</v>
      </c>
      <c r="AS1123" s="324">
        <v>100</v>
      </c>
      <c r="AT1123" s="432">
        <v>1</v>
      </c>
      <c r="AU1123" s="432" t="s">
        <v>8157</v>
      </c>
      <c r="AV1123" s="432">
        <v>1.5</v>
      </c>
      <c r="AW1123" s="490" t="s">
        <v>3494</v>
      </c>
      <c r="AX1123" s="453" t="s">
        <v>210</v>
      </c>
      <c r="AY1123" s="429" t="s">
        <v>210</v>
      </c>
      <c r="AZ1123" s="405" t="s">
        <v>4083</v>
      </c>
      <c r="BA1123" s="324" t="s">
        <v>210</v>
      </c>
      <c r="BB1123" s="324" t="s">
        <v>210</v>
      </c>
      <c r="BC1123" s="324" t="s">
        <v>8122</v>
      </c>
      <c r="BD1123" s="324" t="s">
        <v>6579</v>
      </c>
      <c r="BE1123" s="324" t="s">
        <v>8123</v>
      </c>
      <c r="BF1123" s="324" t="s">
        <v>6579</v>
      </c>
      <c r="BG1123" s="324" t="s">
        <v>8124</v>
      </c>
      <c r="BH1123" s="426" t="s">
        <v>8125</v>
      </c>
      <c r="BI1123" s="453">
        <v>2.7</v>
      </c>
      <c r="BJ1123" s="427" t="s">
        <v>210</v>
      </c>
      <c r="BK1123" s="412"/>
      <c r="BL1123" s="413"/>
      <c r="BM1123" s="414"/>
      <c r="BN1123" s="453" t="s">
        <v>622</v>
      </c>
      <c r="BO1123" s="464">
        <v>1.03</v>
      </c>
      <c r="BP1123" s="455" t="s">
        <v>210</v>
      </c>
      <c r="BQ1123" s="456" t="s">
        <v>1059</v>
      </c>
      <c r="BR1123" s="342" t="s">
        <v>210</v>
      </c>
      <c r="BS1123" s="342" t="s">
        <v>622</v>
      </c>
      <c r="BT1123" s="342" t="s">
        <v>210</v>
      </c>
      <c r="BU1123" s="342" t="s">
        <v>210</v>
      </c>
      <c r="BV1123" s="342" t="s">
        <v>210</v>
      </c>
      <c r="BW1123" s="341" t="s">
        <v>210</v>
      </c>
      <c r="BX1123" s="341" t="s">
        <v>210</v>
      </c>
      <c r="BY1123" s="457" t="s">
        <v>8158</v>
      </c>
      <c r="BZ1123" s="363"/>
      <c r="CA1123" s="363"/>
      <c r="CB1123" s="363"/>
      <c r="CC1123" s="363"/>
    </row>
    <row r="1124" spans="1:82" ht="22.5" customHeight="1">
      <c r="B1124" s="442">
        <v>180205</v>
      </c>
      <c r="C1124" s="443" t="s">
        <v>8130</v>
      </c>
      <c r="D1124" s="467" t="s">
        <v>4847</v>
      </c>
      <c r="E1124" s="404" t="s">
        <v>5362</v>
      </c>
      <c r="F1124" s="405" t="s">
        <v>7135</v>
      </c>
      <c r="G1124" s="324" t="s">
        <v>8131</v>
      </c>
      <c r="H1124" s="324" t="s">
        <v>8132</v>
      </c>
      <c r="I1124" s="324" t="s">
        <v>383</v>
      </c>
      <c r="J1124" s="324" t="s">
        <v>214</v>
      </c>
      <c r="K1124" s="324" t="s">
        <v>6552</v>
      </c>
      <c r="L1124" s="342" t="s">
        <v>210</v>
      </c>
      <c r="M1124" s="324" t="s">
        <v>7457</v>
      </c>
      <c r="N1124" s="444" t="s">
        <v>8212</v>
      </c>
      <c r="O1124" s="324">
        <v>30</v>
      </c>
      <c r="P1124" s="458">
        <v>1325</v>
      </c>
      <c r="Q1124" s="459">
        <v>1342</v>
      </c>
      <c r="R1124" s="779" t="s">
        <v>8311</v>
      </c>
      <c r="S1124" s="394" t="s">
        <v>11785</v>
      </c>
      <c r="T1124" s="394" t="s">
        <v>11786</v>
      </c>
      <c r="U1124" s="394" t="s">
        <v>11787</v>
      </c>
      <c r="V1124" s="394" t="s">
        <v>11788</v>
      </c>
      <c r="W1124" s="332" t="s">
        <v>8133</v>
      </c>
      <c r="X1124" s="332" t="s">
        <v>11789</v>
      </c>
      <c r="Y1124" s="332" t="s">
        <v>11790</v>
      </c>
      <c r="Z1124" s="332" t="s">
        <v>16502</v>
      </c>
      <c r="AA1124" s="332" t="s">
        <v>11791</v>
      </c>
      <c r="AB1124" s="416"/>
      <c r="AC1124" s="416"/>
      <c r="AD1124" s="989"/>
      <c r="AE1124" s="335" t="s">
        <v>210</v>
      </c>
      <c r="AF1124" s="462">
        <v>43375</v>
      </c>
      <c r="AG1124" s="748">
        <v>43630</v>
      </c>
      <c r="AH1124" s="417" t="s">
        <v>210</v>
      </c>
      <c r="AI1124" s="392" t="s">
        <v>210</v>
      </c>
      <c r="AJ1124" s="392" t="s">
        <v>210</v>
      </c>
      <c r="AK1124" s="340" t="s">
        <v>210</v>
      </c>
      <c r="AL1124" s="417" t="s">
        <v>210</v>
      </c>
      <c r="AM1124" s="392" t="s">
        <v>210</v>
      </c>
      <c r="AN1124" s="392" t="s">
        <v>210</v>
      </c>
      <c r="AO1124" s="341" t="s">
        <v>210</v>
      </c>
      <c r="AP1124" s="418" t="s">
        <v>210</v>
      </c>
      <c r="AQ1124" s="433" t="s">
        <v>4547</v>
      </c>
      <c r="AR1124" s="452">
        <f>808+255</f>
        <v>1063</v>
      </c>
      <c r="AS1124" s="324">
        <v>100</v>
      </c>
      <c r="AT1124" s="432">
        <v>1.2</v>
      </c>
      <c r="AU1124" s="432" t="s">
        <v>8315</v>
      </c>
      <c r="AV1124" s="432">
        <v>2.5</v>
      </c>
      <c r="AW1124" s="490" t="s">
        <v>4755</v>
      </c>
      <c r="AX1124" s="321" t="s">
        <v>622</v>
      </c>
      <c r="AY1124" s="429" t="s">
        <v>210</v>
      </c>
      <c r="AZ1124" s="405" t="s">
        <v>622</v>
      </c>
      <c r="BA1124" s="324" t="s">
        <v>8316</v>
      </c>
      <c r="BB1124" s="324" t="s">
        <v>4755</v>
      </c>
      <c r="BC1124" s="324" t="s">
        <v>210</v>
      </c>
      <c r="BD1124" s="324" t="s">
        <v>210</v>
      </c>
      <c r="BE1124" s="324" t="s">
        <v>8317</v>
      </c>
      <c r="BF1124" s="324" t="s">
        <v>6579</v>
      </c>
      <c r="BG1124" s="324" t="s">
        <v>8316</v>
      </c>
      <c r="BH1124" s="426" t="s">
        <v>6579</v>
      </c>
      <c r="BI1124" s="453">
        <v>0.8</v>
      </c>
      <c r="BJ1124" s="427">
        <v>2.17</v>
      </c>
      <c r="BK1124" s="428" t="s">
        <v>4755</v>
      </c>
      <c r="BL1124" s="429">
        <v>2.2000000000000002</v>
      </c>
      <c r="BM1124" s="414"/>
      <c r="BN1124" s="453" t="s">
        <v>210</v>
      </c>
      <c r="BO1124" s="464" t="s">
        <v>8318</v>
      </c>
      <c r="BP1124" s="455" t="s">
        <v>622</v>
      </c>
      <c r="BQ1124" s="456" t="s">
        <v>917</v>
      </c>
      <c r="BR1124" s="342" t="s">
        <v>622</v>
      </c>
      <c r="BS1124" s="342" t="s">
        <v>622</v>
      </c>
      <c r="BT1124" s="342" t="s">
        <v>210</v>
      </c>
      <c r="BU1124" s="342" t="s">
        <v>210</v>
      </c>
      <c r="BV1124" s="342" t="s">
        <v>210</v>
      </c>
      <c r="BW1124" s="341" t="s">
        <v>210</v>
      </c>
      <c r="BX1124" s="341" t="s">
        <v>210</v>
      </c>
      <c r="BY1124" s="457"/>
      <c r="BZ1124" s="363"/>
      <c r="CA1124" s="363"/>
      <c r="CB1124" s="363"/>
      <c r="CC1124" s="363"/>
    </row>
    <row r="1125" spans="1:82" ht="22.5" customHeight="1">
      <c r="B1125" s="442">
        <v>180206</v>
      </c>
      <c r="C1125" s="443" t="s">
        <v>8160</v>
      </c>
      <c r="D1125" s="439" t="s">
        <v>4854</v>
      </c>
      <c r="E1125" s="404" t="s">
        <v>5362</v>
      </c>
      <c r="F1125" s="405" t="s">
        <v>8161</v>
      </c>
      <c r="G1125" s="324" t="s">
        <v>8162</v>
      </c>
      <c r="H1125" s="324" t="s">
        <v>8163</v>
      </c>
      <c r="I1125" s="324" t="s">
        <v>766</v>
      </c>
      <c r="J1125" s="324" t="s">
        <v>214</v>
      </c>
      <c r="K1125" s="324" t="s">
        <v>8164</v>
      </c>
      <c r="L1125" s="342" t="s">
        <v>210</v>
      </c>
      <c r="M1125" s="324" t="s">
        <v>7457</v>
      </c>
      <c r="N1125" s="444" t="s">
        <v>468</v>
      </c>
      <c r="O1125" s="324">
        <v>200</v>
      </c>
      <c r="P1125" s="458">
        <v>240</v>
      </c>
      <c r="Q1125" s="459">
        <v>240</v>
      </c>
      <c r="R1125" s="329" t="s">
        <v>8165</v>
      </c>
      <c r="S1125" s="394" t="s">
        <v>11783</v>
      </c>
      <c r="T1125" s="400"/>
      <c r="U1125" s="400"/>
      <c r="V1125" s="394" t="s">
        <v>11784</v>
      </c>
      <c r="W1125" s="332" t="s">
        <v>8165</v>
      </c>
      <c r="X1125" s="394" t="s">
        <v>11783</v>
      </c>
      <c r="Y1125" s="400"/>
      <c r="Z1125" s="400"/>
      <c r="AA1125" s="394" t="s">
        <v>11784</v>
      </c>
      <c r="AB1125" s="333"/>
      <c r="AC1125" s="333"/>
      <c r="AD1125" s="334" t="s">
        <v>3592</v>
      </c>
      <c r="AE1125" s="335" t="s">
        <v>210</v>
      </c>
      <c r="AF1125" s="462">
        <v>43377</v>
      </c>
      <c r="AG1125" s="748">
        <v>43409</v>
      </c>
      <c r="AH1125" s="417" t="s">
        <v>210</v>
      </c>
      <c r="AI1125" s="392" t="s">
        <v>210</v>
      </c>
      <c r="AJ1125" s="392" t="s">
        <v>210</v>
      </c>
      <c r="AK1125" s="340" t="s">
        <v>210</v>
      </c>
      <c r="AL1125" s="417" t="s">
        <v>210</v>
      </c>
      <c r="AM1125" s="392" t="s">
        <v>210</v>
      </c>
      <c r="AN1125" s="392" t="s">
        <v>210</v>
      </c>
      <c r="AO1125" s="341" t="s">
        <v>210</v>
      </c>
      <c r="AP1125" s="418" t="s">
        <v>210</v>
      </c>
      <c r="AQ1125" s="433" t="s">
        <v>4548</v>
      </c>
      <c r="AR1125" s="452">
        <v>361.7</v>
      </c>
      <c r="AS1125" s="324">
        <v>80</v>
      </c>
      <c r="AT1125" s="432">
        <v>1</v>
      </c>
      <c r="AU1125" s="432" t="s">
        <v>5528</v>
      </c>
      <c r="AV1125" s="432">
        <v>2.4</v>
      </c>
      <c r="AW1125" s="490" t="s">
        <v>3382</v>
      </c>
      <c r="AX1125" s="456" t="s">
        <v>210</v>
      </c>
      <c r="AY1125" s="429" t="s">
        <v>210</v>
      </c>
      <c r="AZ1125" s="405" t="s">
        <v>622</v>
      </c>
      <c r="BA1125" s="324" t="s">
        <v>3459</v>
      </c>
      <c r="BB1125" s="324" t="s">
        <v>3382</v>
      </c>
      <c r="BC1125" s="324" t="s">
        <v>8166</v>
      </c>
      <c r="BD1125" s="324" t="s">
        <v>3382</v>
      </c>
      <c r="BE1125" s="324" t="s">
        <v>8167</v>
      </c>
      <c r="BF1125" s="324" t="s">
        <v>3382</v>
      </c>
      <c r="BG1125" s="324" t="s">
        <v>5350</v>
      </c>
      <c r="BH1125" s="426" t="s">
        <v>3382</v>
      </c>
      <c r="BI1125" s="453">
        <v>0.87</v>
      </c>
      <c r="BJ1125" s="427" t="s">
        <v>210</v>
      </c>
      <c r="BK1125" s="412"/>
      <c r="BL1125" s="413"/>
      <c r="BM1125" s="414"/>
      <c r="BN1125" s="453" t="s">
        <v>8242</v>
      </c>
      <c r="BO1125" s="464" t="s">
        <v>8242</v>
      </c>
      <c r="BP1125" s="455" t="s">
        <v>8243</v>
      </c>
      <c r="BQ1125" s="456" t="s">
        <v>1059</v>
      </c>
      <c r="BR1125" s="342" t="s">
        <v>210</v>
      </c>
      <c r="BS1125" s="342" t="s">
        <v>8245</v>
      </c>
      <c r="BT1125" s="342" t="s">
        <v>210</v>
      </c>
      <c r="BU1125" s="342" t="s">
        <v>210</v>
      </c>
      <c r="BV1125" s="342" t="s">
        <v>210</v>
      </c>
      <c r="BW1125" s="341" t="s">
        <v>210</v>
      </c>
      <c r="BX1125" s="341" t="s">
        <v>210</v>
      </c>
      <c r="BY1125" s="457" t="s">
        <v>8213</v>
      </c>
      <c r="BZ1125" s="363"/>
      <c r="CA1125" s="363"/>
      <c r="CB1125" s="363"/>
      <c r="CC1125" s="363"/>
    </row>
    <row r="1126" spans="1:82" ht="22.5" customHeight="1">
      <c r="B1126" s="442">
        <v>180207</v>
      </c>
      <c r="C1126" s="443" t="s">
        <v>8182</v>
      </c>
      <c r="D1126" s="467" t="s">
        <v>4847</v>
      </c>
      <c r="E1126" s="404" t="s">
        <v>6879</v>
      </c>
      <c r="F1126" s="405" t="s">
        <v>266</v>
      </c>
      <c r="G1126" s="324" t="s">
        <v>1810</v>
      </c>
      <c r="H1126" s="324" t="s">
        <v>1811</v>
      </c>
      <c r="I1126" s="324" t="s">
        <v>383</v>
      </c>
      <c r="J1126" s="324" t="s">
        <v>214</v>
      </c>
      <c r="K1126" s="324" t="s">
        <v>917</v>
      </c>
      <c r="L1126" s="342" t="s">
        <v>210</v>
      </c>
      <c r="M1126" s="324" t="s">
        <v>7457</v>
      </c>
      <c r="N1126" s="444" t="s">
        <v>438</v>
      </c>
      <c r="O1126" s="324">
        <v>30</v>
      </c>
      <c r="P1126" s="458">
        <v>1089</v>
      </c>
      <c r="Q1126" s="459">
        <v>1135</v>
      </c>
      <c r="R1126" s="420" t="s">
        <v>8171</v>
      </c>
      <c r="S1126" s="394" t="s">
        <v>11781</v>
      </c>
      <c r="T1126" s="400"/>
      <c r="U1126" s="400"/>
      <c r="V1126" s="394" t="s">
        <v>11782</v>
      </c>
      <c r="W1126" s="460" t="s">
        <v>8170</v>
      </c>
      <c r="X1126" s="332" t="s">
        <v>11777</v>
      </c>
      <c r="Y1126" s="332" t="s">
        <v>11780</v>
      </c>
      <c r="Z1126" s="332" t="s">
        <v>11779</v>
      </c>
      <c r="AA1126" s="332" t="s">
        <v>11778</v>
      </c>
      <c r="AB1126" s="416"/>
      <c r="AC1126" s="416"/>
      <c r="AD1126" s="447" t="s">
        <v>10186</v>
      </c>
      <c r="AE1126" s="499" t="s">
        <v>10648</v>
      </c>
      <c r="AF1126" s="462">
        <v>43377</v>
      </c>
      <c r="AG1126" s="748">
        <v>43749</v>
      </c>
      <c r="AH1126" s="417" t="s">
        <v>210</v>
      </c>
      <c r="AI1126" s="392" t="s">
        <v>210</v>
      </c>
      <c r="AJ1126" s="392" t="s">
        <v>210</v>
      </c>
      <c r="AK1126" s="340" t="s">
        <v>210</v>
      </c>
      <c r="AL1126" s="417" t="s">
        <v>210</v>
      </c>
      <c r="AM1126" s="392" t="s">
        <v>210</v>
      </c>
      <c r="AN1126" s="392" t="s">
        <v>210</v>
      </c>
      <c r="AO1126" s="341" t="s">
        <v>210</v>
      </c>
      <c r="AP1126" s="418" t="s">
        <v>210</v>
      </c>
      <c r="AQ1126" s="433" t="s">
        <v>4547</v>
      </c>
      <c r="AR1126" s="452">
        <v>1667</v>
      </c>
      <c r="AS1126" s="324">
        <v>100</v>
      </c>
      <c r="AT1126" s="432">
        <v>1</v>
      </c>
      <c r="AU1126" s="432" t="s">
        <v>3627</v>
      </c>
      <c r="AV1126" s="432">
        <v>1.5</v>
      </c>
      <c r="AW1126" s="490" t="s">
        <v>8178</v>
      </c>
      <c r="AX1126" s="456" t="s">
        <v>210</v>
      </c>
      <c r="AY1126" s="429" t="s">
        <v>210</v>
      </c>
      <c r="AZ1126" s="405" t="s">
        <v>622</v>
      </c>
      <c r="BA1126" s="324" t="s">
        <v>3557</v>
      </c>
      <c r="BB1126" s="324" t="s">
        <v>8176</v>
      </c>
      <c r="BC1126" s="324" t="s">
        <v>8167</v>
      </c>
      <c r="BD1126" s="324" t="s">
        <v>8176</v>
      </c>
      <c r="BE1126" s="324" t="s">
        <v>8177</v>
      </c>
      <c r="BF1126" s="324" t="s">
        <v>8178</v>
      </c>
      <c r="BG1126" s="324" t="s">
        <v>8179</v>
      </c>
      <c r="BH1126" s="426" t="s">
        <v>8180</v>
      </c>
      <c r="BI1126" s="453">
        <v>1.5</v>
      </c>
      <c r="BJ1126" s="427">
        <v>1.1599999999999999</v>
      </c>
      <c r="BK1126" s="428" t="s">
        <v>8817</v>
      </c>
      <c r="BL1126" s="429">
        <v>2.95</v>
      </c>
      <c r="BM1126" s="414"/>
      <c r="BN1126" s="453" t="s">
        <v>622</v>
      </c>
      <c r="BO1126" s="464">
        <v>1.07</v>
      </c>
      <c r="BP1126" s="455" t="s">
        <v>622</v>
      </c>
      <c r="BQ1126" s="456" t="s">
        <v>6623</v>
      </c>
      <c r="BR1126" s="342" t="s">
        <v>210</v>
      </c>
      <c r="BS1126" s="342" t="s">
        <v>622</v>
      </c>
      <c r="BT1126" s="342" t="s">
        <v>210</v>
      </c>
      <c r="BU1126" s="342" t="s">
        <v>210</v>
      </c>
      <c r="BV1126" s="342" t="s">
        <v>210</v>
      </c>
      <c r="BW1126" s="341" t="s">
        <v>210</v>
      </c>
      <c r="BX1126" s="341" t="s">
        <v>210</v>
      </c>
      <c r="BY1126" s="457" t="s">
        <v>8181</v>
      </c>
      <c r="BZ1126" s="363"/>
      <c r="CA1126" s="363"/>
      <c r="CB1126" s="363"/>
      <c r="CC1126" s="363"/>
    </row>
    <row r="1127" spans="1:82" ht="22.5" customHeight="1">
      <c r="B1127" s="442" t="s">
        <v>8168</v>
      </c>
      <c r="C1127" s="443" t="s">
        <v>8183</v>
      </c>
      <c r="D1127" s="467" t="s">
        <v>4847</v>
      </c>
      <c r="E1127" s="404" t="s">
        <v>6879</v>
      </c>
      <c r="F1127" s="405" t="s">
        <v>266</v>
      </c>
      <c r="G1127" s="324" t="s">
        <v>1810</v>
      </c>
      <c r="H1127" s="324" t="s">
        <v>1811</v>
      </c>
      <c r="I1127" s="324" t="s">
        <v>383</v>
      </c>
      <c r="J1127" s="324" t="s">
        <v>214</v>
      </c>
      <c r="K1127" s="324" t="s">
        <v>8169</v>
      </c>
      <c r="L1127" s="342" t="s">
        <v>210</v>
      </c>
      <c r="M1127" s="324" t="s">
        <v>7457</v>
      </c>
      <c r="N1127" s="444" t="s">
        <v>438</v>
      </c>
      <c r="O1127" s="324">
        <v>30</v>
      </c>
      <c r="P1127" s="458">
        <v>391</v>
      </c>
      <c r="Q1127" s="459">
        <v>420</v>
      </c>
      <c r="R1127" s="420" t="s">
        <v>8171</v>
      </c>
      <c r="S1127" s="394" t="s">
        <v>11781</v>
      </c>
      <c r="T1127" s="400"/>
      <c r="U1127" s="400"/>
      <c r="V1127" s="394" t="s">
        <v>11782</v>
      </c>
      <c r="W1127" s="460" t="s">
        <v>8170</v>
      </c>
      <c r="X1127" s="332" t="s">
        <v>11777</v>
      </c>
      <c r="Y1127" s="332" t="s">
        <v>11780</v>
      </c>
      <c r="Z1127" s="332" t="s">
        <v>11779</v>
      </c>
      <c r="AA1127" s="332" t="s">
        <v>11778</v>
      </c>
      <c r="AB1127" s="416"/>
      <c r="AC1127" s="416"/>
      <c r="AD1127" s="447" t="s">
        <v>10186</v>
      </c>
      <c r="AE1127" s="499" t="s">
        <v>10648</v>
      </c>
      <c r="AF1127" s="462">
        <v>43377</v>
      </c>
      <c r="AG1127" s="748">
        <v>43749</v>
      </c>
      <c r="AH1127" s="417" t="s">
        <v>210</v>
      </c>
      <c r="AI1127" s="392" t="s">
        <v>210</v>
      </c>
      <c r="AJ1127" s="392" t="s">
        <v>210</v>
      </c>
      <c r="AK1127" s="340" t="s">
        <v>210</v>
      </c>
      <c r="AL1127" s="417" t="s">
        <v>210</v>
      </c>
      <c r="AM1127" s="392" t="s">
        <v>210</v>
      </c>
      <c r="AN1127" s="392" t="s">
        <v>210</v>
      </c>
      <c r="AO1127" s="341" t="s">
        <v>210</v>
      </c>
      <c r="AP1127" s="418" t="s">
        <v>210</v>
      </c>
      <c r="AQ1127" s="433" t="s">
        <v>4547</v>
      </c>
      <c r="AR1127" s="452">
        <v>487</v>
      </c>
      <c r="AS1127" s="324">
        <v>100</v>
      </c>
      <c r="AT1127" s="432">
        <v>1.3</v>
      </c>
      <c r="AU1127" s="432" t="s">
        <v>3627</v>
      </c>
      <c r="AV1127" s="432">
        <v>1.2</v>
      </c>
      <c r="AW1127" s="490" t="s">
        <v>8178</v>
      </c>
      <c r="AX1127" s="456" t="s">
        <v>210</v>
      </c>
      <c r="AY1127" s="429" t="s">
        <v>210</v>
      </c>
      <c r="AZ1127" s="405" t="s">
        <v>622</v>
      </c>
      <c r="BA1127" s="324" t="s">
        <v>3557</v>
      </c>
      <c r="BB1127" s="324" t="s">
        <v>8176</v>
      </c>
      <c r="BC1127" s="324" t="s">
        <v>8167</v>
      </c>
      <c r="BD1127" s="324" t="s">
        <v>8176</v>
      </c>
      <c r="BE1127" s="324" t="s">
        <v>8177</v>
      </c>
      <c r="BF1127" s="324" t="s">
        <v>8178</v>
      </c>
      <c r="BG1127" s="324" t="s">
        <v>8179</v>
      </c>
      <c r="BH1127" s="426" t="s">
        <v>8180</v>
      </c>
      <c r="BI1127" s="453">
        <v>1.5</v>
      </c>
      <c r="BJ1127" s="427">
        <v>1.1599999999999999</v>
      </c>
      <c r="BK1127" s="428" t="s">
        <v>8817</v>
      </c>
      <c r="BL1127" s="429">
        <v>2.95</v>
      </c>
      <c r="BM1127" s="414"/>
      <c r="BN1127" s="453" t="s">
        <v>622</v>
      </c>
      <c r="BO1127" s="464">
        <v>1.07</v>
      </c>
      <c r="BP1127" s="455" t="s">
        <v>622</v>
      </c>
      <c r="BQ1127" s="456" t="s">
        <v>6623</v>
      </c>
      <c r="BR1127" s="342" t="s">
        <v>210</v>
      </c>
      <c r="BS1127" s="342" t="s">
        <v>622</v>
      </c>
      <c r="BT1127" s="342" t="s">
        <v>210</v>
      </c>
      <c r="BU1127" s="342" t="s">
        <v>210</v>
      </c>
      <c r="BV1127" s="342" t="s">
        <v>210</v>
      </c>
      <c r="BW1127" s="341" t="s">
        <v>210</v>
      </c>
      <c r="BX1127" s="341" t="s">
        <v>210</v>
      </c>
      <c r="BY1127" s="457" t="s">
        <v>8181</v>
      </c>
      <c r="BZ1127" s="363"/>
      <c r="CA1127" s="363"/>
      <c r="CB1127" s="363"/>
      <c r="CC1127" s="363"/>
    </row>
    <row r="1128" spans="1:82" ht="22.5" customHeight="1">
      <c r="B1128" s="442">
        <v>180208</v>
      </c>
      <c r="C1128" s="443" t="s">
        <v>8185</v>
      </c>
      <c r="D1128" s="439" t="s">
        <v>4854</v>
      </c>
      <c r="E1128" s="404" t="s">
        <v>5362</v>
      </c>
      <c r="F1128" s="405" t="s">
        <v>237</v>
      </c>
      <c r="G1128" s="324" t="s">
        <v>8186</v>
      </c>
      <c r="H1128" s="324" t="s">
        <v>5344</v>
      </c>
      <c r="I1128" s="324" t="s">
        <v>383</v>
      </c>
      <c r="J1128" s="324" t="s">
        <v>214</v>
      </c>
      <c r="K1128" s="324" t="s">
        <v>293</v>
      </c>
      <c r="L1128" s="392">
        <v>0.6</v>
      </c>
      <c r="M1128" s="324" t="s">
        <v>7457</v>
      </c>
      <c r="N1128" s="444" t="s">
        <v>521</v>
      </c>
      <c r="O1128" s="324">
        <v>78</v>
      </c>
      <c r="P1128" s="445">
        <v>7500</v>
      </c>
      <c r="Q1128" s="446">
        <v>7500</v>
      </c>
      <c r="R1128" s="420" t="s">
        <v>5311</v>
      </c>
      <c r="S1128" s="394" t="s">
        <v>11773</v>
      </c>
      <c r="T1128" s="394" t="s">
        <v>11774</v>
      </c>
      <c r="U1128" s="394" t="s">
        <v>11775</v>
      </c>
      <c r="V1128" s="394" t="s">
        <v>11776</v>
      </c>
      <c r="W1128" s="645"/>
      <c r="X1128" s="645"/>
      <c r="Y1128" s="645"/>
      <c r="Z1128" s="645"/>
      <c r="AA1128" s="645"/>
      <c r="AB1128" s="416"/>
      <c r="AC1128" s="416"/>
      <c r="AD1128" s="447" t="s">
        <v>292</v>
      </c>
      <c r="AE1128" s="335" t="s">
        <v>210</v>
      </c>
      <c r="AF1128" s="462">
        <v>43378</v>
      </c>
      <c r="AG1128" s="748">
        <v>43490</v>
      </c>
      <c r="AH1128" s="417" t="s">
        <v>210</v>
      </c>
      <c r="AI1128" s="392" t="s">
        <v>210</v>
      </c>
      <c r="AJ1128" s="392" t="s">
        <v>210</v>
      </c>
      <c r="AK1128" s="340" t="s">
        <v>210</v>
      </c>
      <c r="AL1128" s="417" t="s">
        <v>210</v>
      </c>
      <c r="AM1128" s="392" t="s">
        <v>210</v>
      </c>
      <c r="AN1128" s="392" t="s">
        <v>210</v>
      </c>
      <c r="AO1128" s="341" t="s">
        <v>210</v>
      </c>
      <c r="AP1128" s="418" t="s">
        <v>210</v>
      </c>
      <c r="AQ1128" s="433" t="s">
        <v>4547</v>
      </c>
      <c r="AR1128" s="452">
        <v>9168.4</v>
      </c>
      <c r="AS1128" s="324">
        <v>120</v>
      </c>
      <c r="AT1128" s="432">
        <v>1</v>
      </c>
      <c r="AU1128" s="432" t="s">
        <v>5246</v>
      </c>
      <c r="AV1128" s="432">
        <v>0.8</v>
      </c>
      <c r="AW1128" s="490" t="s">
        <v>5246</v>
      </c>
      <c r="AX1128" s="456" t="s">
        <v>210</v>
      </c>
      <c r="AY1128" s="429" t="s">
        <v>210</v>
      </c>
      <c r="AZ1128" s="405" t="s">
        <v>4083</v>
      </c>
      <c r="BA1128" s="324" t="s">
        <v>210</v>
      </c>
      <c r="BB1128" s="324" t="s">
        <v>210</v>
      </c>
      <c r="BC1128" s="324" t="s">
        <v>210</v>
      </c>
      <c r="BD1128" s="324" t="s">
        <v>210</v>
      </c>
      <c r="BE1128" s="324" t="s">
        <v>3459</v>
      </c>
      <c r="BF1128" s="324" t="s">
        <v>5246</v>
      </c>
      <c r="BG1128" s="324" t="s">
        <v>8187</v>
      </c>
      <c r="BH1128" s="426" t="s">
        <v>8188</v>
      </c>
      <c r="BI1128" s="453">
        <v>11</v>
      </c>
      <c r="BJ1128" s="427" t="s">
        <v>210</v>
      </c>
      <c r="BK1128" s="412"/>
      <c r="BL1128" s="413"/>
      <c r="BM1128" s="414"/>
      <c r="BN1128" s="453" t="s">
        <v>8242</v>
      </c>
      <c r="BO1128" s="464" t="s">
        <v>8242</v>
      </c>
      <c r="BP1128" s="455" t="s">
        <v>8243</v>
      </c>
      <c r="BQ1128" s="456" t="s">
        <v>8244</v>
      </c>
      <c r="BR1128" s="342" t="s">
        <v>210</v>
      </c>
      <c r="BS1128" s="342" t="s">
        <v>8245</v>
      </c>
      <c r="BT1128" s="342" t="s">
        <v>210</v>
      </c>
      <c r="BU1128" s="342" t="s">
        <v>210</v>
      </c>
      <c r="BV1128" s="342" t="s">
        <v>210</v>
      </c>
      <c r="BW1128" s="341" t="s">
        <v>210</v>
      </c>
      <c r="BX1128" s="341" t="s">
        <v>210</v>
      </c>
      <c r="BY1128" s="457"/>
      <c r="BZ1128" s="363"/>
      <c r="CA1128" s="363"/>
      <c r="CB1128" s="363"/>
      <c r="CC1128" s="363"/>
    </row>
    <row r="1129" spans="1:82" ht="22.5" customHeight="1">
      <c r="B1129" s="442">
        <v>180209</v>
      </c>
      <c r="C1129" s="443" t="s">
        <v>8197</v>
      </c>
      <c r="D1129" s="439" t="s">
        <v>4849</v>
      </c>
      <c r="E1129" s="404" t="s">
        <v>7988</v>
      </c>
      <c r="F1129" s="405" t="s">
        <v>264</v>
      </c>
      <c r="G1129" s="324" t="s">
        <v>2829</v>
      </c>
      <c r="H1129" s="324" t="s">
        <v>8269</v>
      </c>
      <c r="I1129" s="324" t="s">
        <v>766</v>
      </c>
      <c r="J1129" s="324" t="s">
        <v>6632</v>
      </c>
      <c r="K1129" s="326" t="s">
        <v>993</v>
      </c>
      <c r="L1129" s="342" t="s">
        <v>210</v>
      </c>
      <c r="M1129" s="324" t="s">
        <v>7457</v>
      </c>
      <c r="N1129" s="444" t="s">
        <v>468</v>
      </c>
      <c r="O1129" s="324" t="s">
        <v>210</v>
      </c>
      <c r="P1129" s="445">
        <f>Q1129+120</f>
        <v>2920</v>
      </c>
      <c r="Q1129" s="446">
        <v>2800</v>
      </c>
      <c r="R1129" s="420" t="s">
        <v>712</v>
      </c>
      <c r="S1129" s="394" t="s">
        <v>11772</v>
      </c>
      <c r="T1129" s="394" t="s">
        <v>11771</v>
      </c>
      <c r="U1129" s="394" t="s">
        <v>16407</v>
      </c>
      <c r="V1129" s="394" t="s">
        <v>11357</v>
      </c>
      <c r="W1129" s="460" t="s">
        <v>8198</v>
      </c>
      <c r="X1129" s="394" t="s">
        <v>11772</v>
      </c>
      <c r="Y1129" s="394" t="s">
        <v>11771</v>
      </c>
      <c r="Z1129" s="394" t="s">
        <v>16410</v>
      </c>
      <c r="AA1129" s="394" t="s">
        <v>11357</v>
      </c>
      <c r="AB1129" s="416"/>
      <c r="AC1129" s="416"/>
      <c r="AD1129" s="447" t="s">
        <v>8484</v>
      </c>
      <c r="AE1129" s="335" t="s">
        <v>210</v>
      </c>
      <c r="AF1129" s="462">
        <v>43382</v>
      </c>
      <c r="AG1129" s="748">
        <v>43453</v>
      </c>
      <c r="AH1129" s="417" t="s">
        <v>210</v>
      </c>
      <c r="AI1129" s="392" t="s">
        <v>210</v>
      </c>
      <c r="AJ1129" s="392" t="s">
        <v>210</v>
      </c>
      <c r="AK1129" s="340" t="s">
        <v>210</v>
      </c>
      <c r="AL1129" s="417" t="s">
        <v>210</v>
      </c>
      <c r="AM1129" s="392" t="s">
        <v>210</v>
      </c>
      <c r="AN1129" s="392" t="s">
        <v>210</v>
      </c>
      <c r="AO1129" s="341" t="s">
        <v>210</v>
      </c>
      <c r="AP1129" s="418" t="s">
        <v>210</v>
      </c>
      <c r="AQ1129" s="433" t="s">
        <v>8270</v>
      </c>
      <c r="AR1129" s="452">
        <v>1317</v>
      </c>
      <c r="AS1129" s="324">
        <v>80</v>
      </c>
      <c r="AT1129" s="432">
        <v>1.2</v>
      </c>
      <c r="AU1129" s="432" t="s">
        <v>8201</v>
      </c>
      <c r="AV1129" s="432">
        <v>1</v>
      </c>
      <c r="AW1129" s="490" t="s">
        <v>8201</v>
      </c>
      <c r="AX1129" s="456" t="s">
        <v>210</v>
      </c>
      <c r="AY1129" s="429" t="s">
        <v>210</v>
      </c>
      <c r="AZ1129" s="405" t="s">
        <v>622</v>
      </c>
      <c r="BA1129" s="324" t="s">
        <v>3557</v>
      </c>
      <c r="BB1129" s="324" t="s">
        <v>3495</v>
      </c>
      <c r="BC1129" s="324" t="s">
        <v>3475</v>
      </c>
      <c r="BD1129" s="324" t="s">
        <v>6579</v>
      </c>
      <c r="BE1129" s="324" t="s">
        <v>8199</v>
      </c>
      <c r="BF1129" s="324" t="s">
        <v>6342</v>
      </c>
      <c r="BG1129" s="324" t="s">
        <v>8200</v>
      </c>
      <c r="BH1129" s="426" t="s">
        <v>8201</v>
      </c>
      <c r="BI1129" s="453">
        <v>0.5</v>
      </c>
      <c r="BJ1129" s="427">
        <v>1.36</v>
      </c>
      <c r="BK1129" s="428" t="s">
        <v>8804</v>
      </c>
      <c r="BL1129" s="429" t="s">
        <v>8805</v>
      </c>
      <c r="BM1129" s="414"/>
      <c r="BN1129" s="453" t="s">
        <v>622</v>
      </c>
      <c r="BO1129" s="464">
        <v>1.01</v>
      </c>
      <c r="BP1129" s="455" t="s">
        <v>622</v>
      </c>
      <c r="BQ1129" s="456" t="s">
        <v>6623</v>
      </c>
      <c r="BR1129" s="342" t="s">
        <v>210</v>
      </c>
      <c r="BS1129" s="342" t="s">
        <v>622</v>
      </c>
      <c r="BT1129" s="342" t="s">
        <v>210</v>
      </c>
      <c r="BU1129" s="342" t="s">
        <v>210</v>
      </c>
      <c r="BV1129" s="342" t="s">
        <v>210</v>
      </c>
      <c r="BW1129" s="341" t="s">
        <v>622</v>
      </c>
      <c r="BX1129" s="341" t="s">
        <v>210</v>
      </c>
      <c r="BY1129" s="457"/>
      <c r="BZ1129" s="363"/>
      <c r="CA1129" s="363"/>
      <c r="CB1129" s="363"/>
      <c r="CC1129" s="363"/>
    </row>
    <row r="1130" spans="1:82" ht="22.5" customHeight="1">
      <c r="B1130" s="442">
        <v>180210</v>
      </c>
      <c r="C1130" s="443" t="s">
        <v>8214</v>
      </c>
      <c r="D1130" s="467" t="s">
        <v>6663</v>
      </c>
      <c r="E1130" s="404" t="s">
        <v>6879</v>
      </c>
      <c r="F1130" s="405" t="s">
        <v>839</v>
      </c>
      <c r="G1130" s="324" t="s">
        <v>8146</v>
      </c>
      <c r="H1130" s="324" t="s">
        <v>8147</v>
      </c>
      <c r="I1130" s="324" t="s">
        <v>383</v>
      </c>
      <c r="J1130" s="324" t="s">
        <v>214</v>
      </c>
      <c r="K1130" s="324" t="s">
        <v>917</v>
      </c>
      <c r="L1130" s="342" t="s">
        <v>210</v>
      </c>
      <c r="M1130" s="324" t="s">
        <v>7457</v>
      </c>
      <c r="N1130" s="444" t="s">
        <v>438</v>
      </c>
      <c r="O1130" s="324">
        <v>30</v>
      </c>
      <c r="P1130" s="458">
        <v>827</v>
      </c>
      <c r="Q1130" s="459">
        <v>861</v>
      </c>
      <c r="R1130" s="420" t="s">
        <v>8148</v>
      </c>
      <c r="S1130" s="394" t="s">
        <v>11768</v>
      </c>
      <c r="T1130" s="394" t="s">
        <v>11769</v>
      </c>
      <c r="U1130" s="394" t="s">
        <v>16212</v>
      </c>
      <c r="V1130" s="394" t="s">
        <v>11770</v>
      </c>
      <c r="W1130" s="460" t="s">
        <v>8150</v>
      </c>
      <c r="X1130" s="332" t="s">
        <v>11764</v>
      </c>
      <c r="Y1130" s="332" t="s">
        <v>11766</v>
      </c>
      <c r="Z1130" s="332" t="s">
        <v>11765</v>
      </c>
      <c r="AA1130" s="332" t="s">
        <v>11767</v>
      </c>
      <c r="AB1130" s="416"/>
      <c r="AC1130" s="416"/>
      <c r="AD1130" s="447" t="s">
        <v>340</v>
      </c>
      <c r="AE1130" s="499" t="s">
        <v>8299</v>
      </c>
      <c r="AF1130" s="462">
        <v>43383</v>
      </c>
      <c r="AG1130" s="748">
        <v>43413</v>
      </c>
      <c r="AH1130" s="417" t="s">
        <v>210</v>
      </c>
      <c r="AI1130" s="392" t="s">
        <v>210</v>
      </c>
      <c r="AJ1130" s="392" t="s">
        <v>210</v>
      </c>
      <c r="AK1130" s="340" t="s">
        <v>210</v>
      </c>
      <c r="AL1130" s="417" t="s">
        <v>210</v>
      </c>
      <c r="AM1130" s="392" t="s">
        <v>210</v>
      </c>
      <c r="AN1130" s="487" t="s">
        <v>8225</v>
      </c>
      <c r="AO1130" s="341" t="s">
        <v>210</v>
      </c>
      <c r="AP1130" s="418" t="s">
        <v>210</v>
      </c>
      <c r="AQ1130" s="433" t="s">
        <v>4547</v>
      </c>
      <c r="AR1130" s="452">
        <v>1233</v>
      </c>
      <c r="AS1130" s="324">
        <v>100</v>
      </c>
      <c r="AT1130" s="432">
        <v>0.8</v>
      </c>
      <c r="AU1130" s="432" t="s">
        <v>5676</v>
      </c>
      <c r="AV1130" s="432">
        <v>1.7</v>
      </c>
      <c r="AW1130" s="490" t="s">
        <v>8224</v>
      </c>
      <c r="AX1130" s="456" t="s">
        <v>210</v>
      </c>
      <c r="AY1130" s="429" t="s">
        <v>210</v>
      </c>
      <c r="AZ1130" s="405" t="s">
        <v>4083</v>
      </c>
      <c r="BA1130" s="324" t="s">
        <v>210</v>
      </c>
      <c r="BB1130" s="324" t="s">
        <v>210</v>
      </c>
      <c r="BC1130" s="324" t="s">
        <v>8154</v>
      </c>
      <c r="BD1130" s="324" t="s">
        <v>5730</v>
      </c>
      <c r="BE1130" s="324" t="s">
        <v>8155</v>
      </c>
      <c r="BF1130" s="324" t="s">
        <v>8156</v>
      </c>
      <c r="BG1130" s="324" t="s">
        <v>3459</v>
      </c>
      <c r="BH1130" s="426" t="s">
        <v>3494</v>
      </c>
      <c r="BI1130" s="453">
        <v>1.9</v>
      </c>
      <c r="BJ1130" s="427" t="s">
        <v>210</v>
      </c>
      <c r="BK1130" s="412"/>
      <c r="BL1130" s="413"/>
      <c r="BM1130" s="414"/>
      <c r="BN1130" s="453" t="s">
        <v>622</v>
      </c>
      <c r="BO1130" s="464">
        <v>1.32</v>
      </c>
      <c r="BP1130" s="455" t="s">
        <v>210</v>
      </c>
      <c r="BQ1130" s="456" t="s">
        <v>1059</v>
      </c>
      <c r="BR1130" s="342" t="s">
        <v>210</v>
      </c>
      <c r="BS1130" s="342" t="s">
        <v>622</v>
      </c>
      <c r="BT1130" s="342" t="s">
        <v>210</v>
      </c>
      <c r="BU1130" s="342" t="s">
        <v>210</v>
      </c>
      <c r="BV1130" s="342" t="s">
        <v>210</v>
      </c>
      <c r="BW1130" s="341" t="s">
        <v>210</v>
      </c>
      <c r="BX1130" s="341" t="s">
        <v>210</v>
      </c>
      <c r="BY1130" s="457"/>
      <c r="BZ1130" s="363"/>
      <c r="CA1130" s="363"/>
      <c r="CB1130" s="363"/>
      <c r="CC1130" s="363"/>
    </row>
    <row r="1131" spans="1:82" ht="22.5" customHeight="1">
      <c r="B1131" s="442">
        <v>180211</v>
      </c>
      <c r="C1131" s="443" t="s">
        <v>8215</v>
      </c>
      <c r="D1131" s="467" t="s">
        <v>7463</v>
      </c>
      <c r="E1131" s="404" t="s">
        <v>5362</v>
      </c>
      <c r="F1131" s="405" t="s">
        <v>7337</v>
      </c>
      <c r="G1131" s="324" t="s">
        <v>4522</v>
      </c>
      <c r="H1131" s="324" t="s">
        <v>8216</v>
      </c>
      <c r="I1131" s="324" t="s">
        <v>383</v>
      </c>
      <c r="J1131" s="324" t="s">
        <v>214</v>
      </c>
      <c r="K1131" s="324" t="s">
        <v>363</v>
      </c>
      <c r="L1131" s="342">
        <v>30</v>
      </c>
      <c r="M1131" s="324" t="s">
        <v>7457</v>
      </c>
      <c r="N1131" s="444" t="s">
        <v>437</v>
      </c>
      <c r="O1131" s="324">
        <v>30</v>
      </c>
      <c r="P1131" s="445">
        <v>380</v>
      </c>
      <c r="Q1131" s="446">
        <v>380</v>
      </c>
      <c r="R1131" s="420" t="s">
        <v>8217</v>
      </c>
      <c r="S1131" s="400"/>
      <c r="T1131" s="400"/>
      <c r="U1131" s="400"/>
      <c r="V1131" s="400"/>
      <c r="W1131" s="460" t="s">
        <v>6177</v>
      </c>
      <c r="X1131" s="332" t="s">
        <v>11761</v>
      </c>
      <c r="Y1131" s="332" t="s">
        <v>11763</v>
      </c>
      <c r="Z1131" s="332" t="s">
        <v>15033</v>
      </c>
      <c r="AA1131" s="332" t="s">
        <v>11762</v>
      </c>
      <c r="AB1131" s="416"/>
      <c r="AC1131" s="416"/>
      <c r="AD1131" s="447" t="s">
        <v>8326</v>
      </c>
      <c r="AE1131" s="335" t="s">
        <v>210</v>
      </c>
      <c r="AF1131" s="462">
        <v>43385</v>
      </c>
      <c r="AG1131" s="748">
        <v>43426</v>
      </c>
      <c r="AH1131" s="417" t="s">
        <v>210</v>
      </c>
      <c r="AI1131" s="392" t="s">
        <v>210</v>
      </c>
      <c r="AJ1131" s="392" t="s">
        <v>210</v>
      </c>
      <c r="AK1131" s="340" t="s">
        <v>210</v>
      </c>
      <c r="AL1131" s="417" t="s">
        <v>210</v>
      </c>
      <c r="AM1131" s="392" t="s">
        <v>210</v>
      </c>
      <c r="AN1131" s="392" t="s">
        <v>210</v>
      </c>
      <c r="AO1131" s="341" t="s">
        <v>210</v>
      </c>
      <c r="AP1131" s="418" t="s">
        <v>210</v>
      </c>
      <c r="AQ1131" s="433" t="s">
        <v>4547</v>
      </c>
      <c r="AR1131" s="452">
        <v>492.3</v>
      </c>
      <c r="AS1131" s="324">
        <v>100</v>
      </c>
      <c r="AT1131" s="432">
        <v>1</v>
      </c>
      <c r="AU1131" s="432" t="s">
        <v>5246</v>
      </c>
      <c r="AV1131" s="432">
        <v>1.5</v>
      </c>
      <c r="AW1131" s="490" t="s">
        <v>4065</v>
      </c>
      <c r="AX1131" s="456" t="s">
        <v>210</v>
      </c>
      <c r="AY1131" s="429" t="s">
        <v>210</v>
      </c>
      <c r="AZ1131" s="405" t="s">
        <v>4083</v>
      </c>
      <c r="BA1131" s="324" t="s">
        <v>210</v>
      </c>
      <c r="BB1131" s="324" t="s">
        <v>210</v>
      </c>
      <c r="BC1131" s="324" t="s">
        <v>3558</v>
      </c>
      <c r="BD1131" s="324" t="s">
        <v>8220</v>
      </c>
      <c r="BE1131" s="324" t="s">
        <v>8221</v>
      </c>
      <c r="BF1131" s="324" t="s">
        <v>8220</v>
      </c>
      <c r="BG1131" s="324" t="s">
        <v>3558</v>
      </c>
      <c r="BH1131" s="426" t="s">
        <v>6579</v>
      </c>
      <c r="BI1131" s="453">
        <v>1.8</v>
      </c>
      <c r="BJ1131" s="427" t="s">
        <v>210</v>
      </c>
      <c r="BK1131" s="412"/>
      <c r="BL1131" s="413"/>
      <c r="BM1131" s="414"/>
      <c r="BN1131" s="453" t="s">
        <v>210</v>
      </c>
      <c r="BO1131" s="464" t="s">
        <v>210</v>
      </c>
      <c r="BP1131" s="455" t="s">
        <v>210</v>
      </c>
      <c r="BQ1131" s="456" t="s">
        <v>6623</v>
      </c>
      <c r="BR1131" s="342" t="s">
        <v>210</v>
      </c>
      <c r="BS1131" s="342" t="s">
        <v>622</v>
      </c>
      <c r="BT1131" s="342" t="s">
        <v>210</v>
      </c>
      <c r="BU1131" s="342" t="s">
        <v>210</v>
      </c>
      <c r="BV1131" s="342" t="s">
        <v>210</v>
      </c>
      <c r="BW1131" s="341" t="s">
        <v>210</v>
      </c>
      <c r="BX1131" s="341" t="s">
        <v>210</v>
      </c>
      <c r="BY1131" s="457" t="s">
        <v>8222</v>
      </c>
      <c r="BZ1131" s="363"/>
      <c r="CA1131" s="363"/>
      <c r="CB1131" s="363"/>
      <c r="CC1131" s="363"/>
    </row>
    <row r="1132" spans="1:82" s="465" customFormat="1" ht="22.5" customHeight="1">
      <c r="A1132" s="287"/>
      <c r="B1132" s="749">
        <v>180212</v>
      </c>
      <c r="C1132" s="781" t="s">
        <v>8194</v>
      </c>
      <c r="D1132" s="829" t="s">
        <v>6663</v>
      </c>
      <c r="E1132" s="752" t="s">
        <v>5362</v>
      </c>
      <c r="F1132" s="753" t="s">
        <v>8189</v>
      </c>
      <c r="G1132" s="754" t="s">
        <v>8190</v>
      </c>
      <c r="H1132" s="754" t="s">
        <v>8191</v>
      </c>
      <c r="I1132" s="754" t="s">
        <v>383</v>
      </c>
      <c r="J1132" s="754" t="s">
        <v>214</v>
      </c>
      <c r="K1132" s="754" t="s">
        <v>6552</v>
      </c>
      <c r="L1132" s="688" t="s">
        <v>210</v>
      </c>
      <c r="M1132" s="754" t="s">
        <v>7457</v>
      </c>
      <c r="N1132" s="755" t="s">
        <v>438</v>
      </c>
      <c r="O1132" s="754">
        <v>15</v>
      </c>
      <c r="P1132" s="782">
        <v>788</v>
      </c>
      <c r="Q1132" s="783">
        <v>788</v>
      </c>
      <c r="R1132" s="756" t="s">
        <v>8193</v>
      </c>
      <c r="S1132" s="708" t="s">
        <v>11755</v>
      </c>
      <c r="T1132" s="708" t="s">
        <v>11756</v>
      </c>
      <c r="U1132" s="708" t="s">
        <v>16232</v>
      </c>
      <c r="V1132" s="708" t="s">
        <v>11757</v>
      </c>
      <c r="W1132" s="757" t="s">
        <v>8192</v>
      </c>
      <c r="X1132" s="708" t="s">
        <v>11758</v>
      </c>
      <c r="Y1132" s="708" t="s">
        <v>11759</v>
      </c>
      <c r="Z1132" s="708" t="s">
        <v>16524</v>
      </c>
      <c r="AA1132" s="708" t="s">
        <v>11760</v>
      </c>
      <c r="AB1132" s="758"/>
      <c r="AC1132" s="758"/>
      <c r="AD1132" s="759"/>
      <c r="AE1132" s="760"/>
      <c r="AF1132" s="846">
        <v>43388</v>
      </c>
      <c r="AG1132" s="674" t="s">
        <v>10514</v>
      </c>
      <c r="AH1132" s="675" t="s">
        <v>210</v>
      </c>
      <c r="AI1132" s="676" t="s">
        <v>210</v>
      </c>
      <c r="AJ1132" s="676" t="s">
        <v>210</v>
      </c>
      <c r="AK1132" s="677" t="s">
        <v>210</v>
      </c>
      <c r="AL1132" s="675" t="s">
        <v>210</v>
      </c>
      <c r="AM1132" s="676" t="s">
        <v>210</v>
      </c>
      <c r="AN1132" s="676" t="s">
        <v>210</v>
      </c>
      <c r="AO1132" s="678" t="s">
        <v>210</v>
      </c>
      <c r="AP1132" s="784" t="s">
        <v>210</v>
      </c>
      <c r="AQ1132" s="762" t="s">
        <v>4547</v>
      </c>
      <c r="AR1132" s="763">
        <f>434+27</f>
        <v>461</v>
      </c>
      <c r="AS1132" s="754">
        <v>100</v>
      </c>
      <c r="AT1132" s="785">
        <v>1</v>
      </c>
      <c r="AU1132" s="785" t="s">
        <v>3382</v>
      </c>
      <c r="AV1132" s="785">
        <v>1.5</v>
      </c>
      <c r="AW1132" s="764" t="s">
        <v>3574</v>
      </c>
      <c r="AX1132" s="773" t="s">
        <v>210</v>
      </c>
      <c r="AY1132" s="766" t="s">
        <v>210</v>
      </c>
      <c r="AZ1132" s="753" t="s">
        <v>622</v>
      </c>
      <c r="BA1132" s="754" t="s">
        <v>3557</v>
      </c>
      <c r="BB1132" s="754" t="s">
        <v>3382</v>
      </c>
      <c r="BC1132" s="754" t="s">
        <v>8195</v>
      </c>
      <c r="BD1132" s="754" t="s">
        <v>3382</v>
      </c>
      <c r="BE1132" s="754" t="s">
        <v>3555</v>
      </c>
      <c r="BF1132" s="754" t="s">
        <v>3382</v>
      </c>
      <c r="BG1132" s="754" t="s">
        <v>3459</v>
      </c>
      <c r="BH1132" s="767" t="s">
        <v>3574</v>
      </c>
      <c r="BI1132" s="765">
        <v>0.6</v>
      </c>
      <c r="BJ1132" s="768">
        <v>1.54</v>
      </c>
      <c r="BK1132" s="769" t="s">
        <v>8809</v>
      </c>
      <c r="BL1132" s="766">
        <f>0.6+0.7+1.65</f>
        <v>2.9499999999999997</v>
      </c>
      <c r="BM1132" s="770"/>
      <c r="BN1132" s="765" t="s">
        <v>622</v>
      </c>
      <c r="BO1132" s="771">
        <v>1.32</v>
      </c>
      <c r="BP1132" s="772" t="s">
        <v>622</v>
      </c>
      <c r="BQ1132" s="773" t="s">
        <v>1059</v>
      </c>
      <c r="BR1132" s="688" t="s">
        <v>622</v>
      </c>
      <c r="BS1132" s="688" t="s">
        <v>622</v>
      </c>
      <c r="BT1132" s="688" t="s">
        <v>210</v>
      </c>
      <c r="BU1132" s="688" t="s">
        <v>210</v>
      </c>
      <c r="BV1132" s="688" t="s">
        <v>210</v>
      </c>
      <c r="BW1132" s="678" t="s">
        <v>210</v>
      </c>
      <c r="BX1132" s="678" t="s">
        <v>210</v>
      </c>
      <c r="BY1132" s="774"/>
      <c r="BZ1132" s="483"/>
      <c r="CA1132" s="483"/>
      <c r="CB1132" s="483"/>
      <c r="CC1132" s="483"/>
      <c r="CD1132" s="484"/>
    </row>
    <row r="1133" spans="1:82" ht="22.5" customHeight="1">
      <c r="B1133" s="442">
        <v>180213</v>
      </c>
      <c r="C1133" s="443" t="s">
        <v>11752</v>
      </c>
      <c r="D1133" s="467" t="s">
        <v>4854</v>
      </c>
      <c r="E1133" s="404" t="s">
        <v>6879</v>
      </c>
      <c r="F1133" s="405" t="s">
        <v>8226</v>
      </c>
      <c r="G1133" s="324" t="s">
        <v>8227</v>
      </c>
      <c r="H1133" s="324" t="s">
        <v>8228</v>
      </c>
      <c r="I1133" s="324" t="s">
        <v>383</v>
      </c>
      <c r="J1133" s="324" t="s">
        <v>214</v>
      </c>
      <c r="K1133" s="324" t="s">
        <v>917</v>
      </c>
      <c r="L1133" s="342" t="s">
        <v>210</v>
      </c>
      <c r="M1133" s="324" t="s">
        <v>7457</v>
      </c>
      <c r="N1133" s="444" t="s">
        <v>437</v>
      </c>
      <c r="O1133" s="324">
        <v>55</v>
      </c>
      <c r="P1133" s="445">
        <v>1000</v>
      </c>
      <c r="Q1133" s="446">
        <v>1000</v>
      </c>
      <c r="R1133" s="777" t="s">
        <v>1570</v>
      </c>
      <c r="S1133" s="332" t="s">
        <v>11753</v>
      </c>
      <c r="T1133" s="332" t="s">
        <v>11425</v>
      </c>
      <c r="U1133" s="332" t="s">
        <v>11754</v>
      </c>
      <c r="V1133" s="332" t="s">
        <v>11424</v>
      </c>
      <c r="W1133" s="332" t="s">
        <v>1570</v>
      </c>
      <c r="X1133" s="332" t="s">
        <v>11753</v>
      </c>
      <c r="Y1133" s="332" t="s">
        <v>11425</v>
      </c>
      <c r="Z1133" s="332" t="s">
        <v>11754</v>
      </c>
      <c r="AA1133" s="332" t="s">
        <v>11424</v>
      </c>
      <c r="AB1133" s="416"/>
      <c r="AC1133" s="416"/>
      <c r="AD1133" s="447" t="s">
        <v>8420</v>
      </c>
      <c r="AE1133" s="335" t="s">
        <v>210</v>
      </c>
      <c r="AF1133" s="462">
        <v>43389</v>
      </c>
      <c r="AG1133" s="748">
        <v>43447</v>
      </c>
      <c r="AH1133" s="417" t="s">
        <v>210</v>
      </c>
      <c r="AI1133" s="392" t="s">
        <v>210</v>
      </c>
      <c r="AJ1133" s="392" t="s">
        <v>210</v>
      </c>
      <c r="AK1133" s="340" t="s">
        <v>210</v>
      </c>
      <c r="AL1133" s="417" t="s">
        <v>210</v>
      </c>
      <c r="AM1133" s="392" t="s">
        <v>210</v>
      </c>
      <c r="AN1133" s="392" t="s">
        <v>210</v>
      </c>
      <c r="AO1133" s="341" t="s">
        <v>210</v>
      </c>
      <c r="AP1133" s="418" t="s">
        <v>210</v>
      </c>
      <c r="AQ1133" s="433" t="s">
        <v>4547</v>
      </c>
      <c r="AR1133" s="452">
        <v>1490</v>
      </c>
      <c r="AS1133" s="324">
        <v>120</v>
      </c>
      <c r="AT1133" s="432">
        <v>0.8</v>
      </c>
      <c r="AU1133" s="432" t="s">
        <v>5246</v>
      </c>
      <c r="AV1133" s="432">
        <v>1.2</v>
      </c>
      <c r="AW1133" s="490" t="s">
        <v>5246</v>
      </c>
      <c r="AX1133" s="456" t="s">
        <v>210</v>
      </c>
      <c r="AY1133" s="429" t="s">
        <v>210</v>
      </c>
      <c r="AZ1133" s="405" t="s">
        <v>4083</v>
      </c>
      <c r="BA1133" s="324" t="s">
        <v>210</v>
      </c>
      <c r="BB1133" s="324" t="s">
        <v>210</v>
      </c>
      <c r="BC1133" s="324" t="s">
        <v>210</v>
      </c>
      <c r="BD1133" s="324" t="s">
        <v>210</v>
      </c>
      <c r="BE1133" s="324" t="s">
        <v>210</v>
      </c>
      <c r="BF1133" s="324" t="s">
        <v>210</v>
      </c>
      <c r="BG1133" s="324" t="s">
        <v>210</v>
      </c>
      <c r="BH1133" s="426" t="s">
        <v>210</v>
      </c>
      <c r="BI1133" s="453">
        <v>4.2</v>
      </c>
      <c r="BJ1133" s="427" t="s">
        <v>210</v>
      </c>
      <c r="BK1133" s="412"/>
      <c r="BL1133" s="413"/>
      <c r="BM1133" s="429" t="s">
        <v>210</v>
      </c>
      <c r="BN1133" s="453" t="s">
        <v>210</v>
      </c>
      <c r="BO1133" s="464" t="s">
        <v>210</v>
      </c>
      <c r="BP1133" s="455" t="s">
        <v>210</v>
      </c>
      <c r="BQ1133" s="456" t="s">
        <v>8274</v>
      </c>
      <c r="BR1133" s="342" t="s">
        <v>210</v>
      </c>
      <c r="BS1133" s="342" t="s">
        <v>622</v>
      </c>
      <c r="BT1133" s="342" t="s">
        <v>210</v>
      </c>
      <c r="BU1133" s="342" t="s">
        <v>210</v>
      </c>
      <c r="BV1133" s="342" t="s">
        <v>210</v>
      </c>
      <c r="BW1133" s="341" t="s">
        <v>210</v>
      </c>
      <c r="BX1133" s="341" t="s">
        <v>210</v>
      </c>
      <c r="BY1133" s="457" t="s">
        <v>8265</v>
      </c>
      <c r="BZ1133" s="363"/>
      <c r="CA1133" s="363"/>
      <c r="CB1133" s="363"/>
      <c r="CC1133" s="363"/>
    </row>
    <row r="1134" spans="1:82" ht="22.5" customHeight="1">
      <c r="B1134" s="442">
        <v>180214</v>
      </c>
      <c r="C1134" s="443" t="s">
        <v>8231</v>
      </c>
      <c r="D1134" s="439" t="s">
        <v>4849</v>
      </c>
      <c r="E1134" s="404" t="s">
        <v>5362</v>
      </c>
      <c r="F1134" s="405" t="s">
        <v>8232</v>
      </c>
      <c r="G1134" s="324" t="s">
        <v>8233</v>
      </c>
      <c r="H1134" s="324" t="s">
        <v>8234</v>
      </c>
      <c r="I1134" s="324" t="s">
        <v>383</v>
      </c>
      <c r="J1134" s="324" t="s">
        <v>214</v>
      </c>
      <c r="K1134" s="324" t="s">
        <v>247</v>
      </c>
      <c r="L1134" s="342">
        <v>10</v>
      </c>
      <c r="M1134" s="324" t="s">
        <v>7457</v>
      </c>
      <c r="N1134" s="444" t="s">
        <v>468</v>
      </c>
      <c r="O1134" s="324" t="s">
        <v>8262</v>
      </c>
      <c r="P1134" s="445">
        <v>800</v>
      </c>
      <c r="Q1134" s="446">
        <v>800</v>
      </c>
      <c r="R1134" s="779" t="s">
        <v>15032</v>
      </c>
      <c r="S1134" s="332" t="s">
        <v>11749</v>
      </c>
      <c r="T1134" s="332" t="s">
        <v>11750</v>
      </c>
      <c r="U1134" s="645"/>
      <c r="V1134" s="332" t="s">
        <v>11751</v>
      </c>
      <c r="W1134" s="332" t="s">
        <v>8235</v>
      </c>
      <c r="X1134" s="332" t="s">
        <v>11749</v>
      </c>
      <c r="Y1134" s="332" t="s">
        <v>11750</v>
      </c>
      <c r="Z1134" s="645"/>
      <c r="AA1134" s="332" t="s">
        <v>11751</v>
      </c>
      <c r="AB1134" s="416"/>
      <c r="AC1134" s="416"/>
      <c r="AD1134" s="989"/>
      <c r="AE1134" s="335" t="s">
        <v>210</v>
      </c>
      <c r="AF1134" s="462">
        <v>43390</v>
      </c>
      <c r="AG1134" s="748">
        <v>43424</v>
      </c>
      <c r="AH1134" s="417" t="s">
        <v>210</v>
      </c>
      <c r="AI1134" s="392" t="s">
        <v>210</v>
      </c>
      <c r="AJ1134" s="392" t="s">
        <v>210</v>
      </c>
      <c r="AK1134" s="340" t="s">
        <v>210</v>
      </c>
      <c r="AL1134" s="417" t="s">
        <v>210</v>
      </c>
      <c r="AM1134" s="392" t="s">
        <v>210</v>
      </c>
      <c r="AN1134" s="392" t="s">
        <v>210</v>
      </c>
      <c r="AO1134" s="341" t="s">
        <v>210</v>
      </c>
      <c r="AP1134" s="418" t="s">
        <v>210</v>
      </c>
      <c r="AQ1134" s="433" t="s">
        <v>8238</v>
      </c>
      <c r="AR1134" s="452">
        <v>1600</v>
      </c>
      <c r="AS1134" s="324">
        <v>50</v>
      </c>
      <c r="AT1134" s="432">
        <v>1</v>
      </c>
      <c r="AU1134" s="432" t="s">
        <v>3627</v>
      </c>
      <c r="AV1134" s="432">
        <v>1.5</v>
      </c>
      <c r="AW1134" s="490" t="s">
        <v>3627</v>
      </c>
      <c r="AX1134" s="321" t="s">
        <v>622</v>
      </c>
      <c r="AY1134" s="1045" t="s">
        <v>622</v>
      </c>
      <c r="AZ1134" s="405" t="s">
        <v>4083</v>
      </c>
      <c r="BA1134" s="324" t="s">
        <v>210</v>
      </c>
      <c r="BB1134" s="324" t="s">
        <v>210</v>
      </c>
      <c r="BC1134" s="324" t="s">
        <v>3459</v>
      </c>
      <c r="BD1134" s="324" t="s">
        <v>6579</v>
      </c>
      <c r="BE1134" s="324" t="s">
        <v>8239</v>
      </c>
      <c r="BF1134" s="324" t="s">
        <v>6579</v>
      </c>
      <c r="BG1134" s="324" t="s">
        <v>8240</v>
      </c>
      <c r="BH1134" s="426" t="s">
        <v>8241</v>
      </c>
      <c r="BI1134" s="453">
        <v>1</v>
      </c>
      <c r="BJ1134" s="427" t="s">
        <v>210</v>
      </c>
      <c r="BK1134" s="412"/>
      <c r="BL1134" s="413"/>
      <c r="BM1134" s="429" t="s">
        <v>210</v>
      </c>
      <c r="BN1134" s="453" t="s">
        <v>622</v>
      </c>
      <c r="BO1134" s="464">
        <v>0.94</v>
      </c>
      <c r="BP1134" s="455" t="s">
        <v>210</v>
      </c>
      <c r="BQ1134" s="456" t="s">
        <v>247</v>
      </c>
      <c r="BR1134" s="342" t="s">
        <v>210</v>
      </c>
      <c r="BS1134" s="342" t="s">
        <v>210</v>
      </c>
      <c r="BT1134" s="342" t="s">
        <v>210</v>
      </c>
      <c r="BU1134" s="342" t="s">
        <v>210</v>
      </c>
      <c r="BV1134" s="342" t="s">
        <v>210</v>
      </c>
      <c r="BW1134" s="341" t="s">
        <v>210</v>
      </c>
      <c r="BX1134" s="341" t="s">
        <v>210</v>
      </c>
      <c r="BY1134" s="457" t="s">
        <v>8263</v>
      </c>
      <c r="BZ1134" s="363"/>
      <c r="CA1134" s="363"/>
      <c r="CB1134" s="363"/>
      <c r="CC1134" s="363"/>
    </row>
    <row r="1135" spans="1:82" ht="22.5" customHeight="1">
      <c r="B1135" s="442">
        <v>180215</v>
      </c>
      <c r="C1135" s="443" t="s">
        <v>8248</v>
      </c>
      <c r="D1135" s="467" t="s">
        <v>7463</v>
      </c>
      <c r="E1135" s="404" t="s">
        <v>7988</v>
      </c>
      <c r="F1135" s="405" t="s">
        <v>372</v>
      </c>
      <c r="G1135" s="324" t="s">
        <v>8249</v>
      </c>
      <c r="H1135" s="324" t="s">
        <v>8513</v>
      </c>
      <c r="I1135" s="324" t="s">
        <v>383</v>
      </c>
      <c r="J1135" s="324" t="s">
        <v>214</v>
      </c>
      <c r="K1135" s="324" t="s">
        <v>917</v>
      </c>
      <c r="L1135" s="342" t="s">
        <v>210</v>
      </c>
      <c r="M1135" s="324" t="s">
        <v>7457</v>
      </c>
      <c r="N1135" s="444" t="s">
        <v>437</v>
      </c>
      <c r="O1135" s="324">
        <v>30</v>
      </c>
      <c r="P1135" s="445">
        <v>350</v>
      </c>
      <c r="Q1135" s="446">
        <v>350</v>
      </c>
      <c r="R1135" s="777" t="s">
        <v>500</v>
      </c>
      <c r="S1135" s="332" t="s">
        <v>11748</v>
      </c>
      <c r="T1135" s="645"/>
      <c r="U1135" s="645"/>
      <c r="V1135" s="332" t="s">
        <v>11747</v>
      </c>
      <c r="W1135" s="332" t="s">
        <v>432</v>
      </c>
      <c r="X1135" s="331" t="s">
        <v>11079</v>
      </c>
      <c r="Y1135" s="331" t="s">
        <v>11080</v>
      </c>
      <c r="Z1135" s="331" t="s">
        <v>11080</v>
      </c>
      <c r="AA1135" s="331" t="s">
        <v>6574</v>
      </c>
      <c r="AB1135" s="416" t="s">
        <v>16099</v>
      </c>
      <c r="AC1135" s="416"/>
      <c r="AD1135" s="447" t="s">
        <v>10220</v>
      </c>
      <c r="AE1135" s="335" t="s">
        <v>210</v>
      </c>
      <c r="AF1135" s="462">
        <v>43395</v>
      </c>
      <c r="AG1135" s="748">
        <v>43340</v>
      </c>
      <c r="AH1135" s="417">
        <v>12.7</v>
      </c>
      <c r="AI1135" s="392">
        <v>19.2</v>
      </c>
      <c r="AJ1135" s="392">
        <v>11.5</v>
      </c>
      <c r="AK1135" s="340">
        <f>SUM(AH1135:AJ1135)</f>
        <v>43.4</v>
      </c>
      <c r="AL1135" s="417" t="s">
        <v>210</v>
      </c>
      <c r="AM1135" s="392" t="s">
        <v>210</v>
      </c>
      <c r="AN1135" s="392" t="s">
        <v>210</v>
      </c>
      <c r="AO1135" s="341" t="s">
        <v>210</v>
      </c>
      <c r="AP1135" s="418" t="s">
        <v>210</v>
      </c>
      <c r="AQ1135" s="433" t="s">
        <v>4547</v>
      </c>
      <c r="AR1135" s="452">
        <v>422</v>
      </c>
      <c r="AS1135" s="324">
        <v>120</v>
      </c>
      <c r="AT1135" s="432">
        <v>0.8</v>
      </c>
      <c r="AU1135" s="432" t="s">
        <v>5246</v>
      </c>
      <c r="AV1135" s="432">
        <v>0.4</v>
      </c>
      <c r="AW1135" s="490" t="s">
        <v>9808</v>
      </c>
      <c r="AX1135" s="456" t="s">
        <v>210</v>
      </c>
      <c r="AY1135" s="429" t="s">
        <v>210</v>
      </c>
      <c r="AZ1135" s="405" t="s">
        <v>4083</v>
      </c>
      <c r="BA1135" s="324" t="s">
        <v>210</v>
      </c>
      <c r="BB1135" s="324" t="s">
        <v>210</v>
      </c>
      <c r="BC1135" s="324" t="s">
        <v>210</v>
      </c>
      <c r="BD1135" s="324" t="s">
        <v>210</v>
      </c>
      <c r="BE1135" s="324" t="s">
        <v>3459</v>
      </c>
      <c r="BF1135" s="324" t="s">
        <v>8514</v>
      </c>
      <c r="BG1135" s="324" t="s">
        <v>3555</v>
      </c>
      <c r="BH1135" s="324" t="s">
        <v>8514</v>
      </c>
      <c r="BI1135" s="453">
        <v>2.5</v>
      </c>
      <c r="BJ1135" s="427" t="s">
        <v>210</v>
      </c>
      <c r="BK1135" s="428" t="s">
        <v>210</v>
      </c>
      <c r="BL1135" s="429" t="s">
        <v>8805</v>
      </c>
      <c r="BM1135" s="429" t="s">
        <v>210</v>
      </c>
      <c r="BN1135" s="453" t="s">
        <v>210</v>
      </c>
      <c r="BO1135" s="464" t="s">
        <v>210</v>
      </c>
      <c r="BP1135" s="455" t="s">
        <v>210</v>
      </c>
      <c r="BQ1135" s="456" t="s">
        <v>1059</v>
      </c>
      <c r="BR1135" s="342" t="s">
        <v>210</v>
      </c>
      <c r="BS1135" s="342" t="s">
        <v>622</v>
      </c>
      <c r="BT1135" s="342" t="s">
        <v>210</v>
      </c>
      <c r="BU1135" s="342" t="s">
        <v>210</v>
      </c>
      <c r="BV1135" s="342" t="s">
        <v>210</v>
      </c>
      <c r="BW1135" s="341" t="s">
        <v>210</v>
      </c>
      <c r="BX1135" s="341" t="s">
        <v>210</v>
      </c>
      <c r="BY1135" s="457"/>
      <c r="BZ1135" s="363"/>
      <c r="CA1135" s="363"/>
      <c r="CB1135" s="363"/>
      <c r="CC1135" s="363"/>
    </row>
    <row r="1136" spans="1:82" ht="22.5" customHeight="1">
      <c r="B1136" s="442">
        <v>180216</v>
      </c>
      <c r="C1136" s="443" t="s">
        <v>8251</v>
      </c>
      <c r="D1136" s="467" t="s">
        <v>6663</v>
      </c>
      <c r="E1136" s="404" t="s">
        <v>5362</v>
      </c>
      <c r="F1136" s="405" t="s">
        <v>8252</v>
      </c>
      <c r="G1136" s="324" t="s">
        <v>8253</v>
      </c>
      <c r="H1136" s="324" t="s">
        <v>8254</v>
      </c>
      <c r="I1136" s="324" t="s">
        <v>383</v>
      </c>
      <c r="J1136" s="324" t="s">
        <v>214</v>
      </c>
      <c r="K1136" s="324" t="s">
        <v>917</v>
      </c>
      <c r="L1136" s="342" t="s">
        <v>210</v>
      </c>
      <c r="M1136" s="324" t="s">
        <v>7457</v>
      </c>
      <c r="N1136" s="444" t="s">
        <v>437</v>
      </c>
      <c r="O1136" s="324">
        <v>100</v>
      </c>
      <c r="P1136" s="445">
        <v>1100</v>
      </c>
      <c r="Q1136" s="446">
        <v>1100</v>
      </c>
      <c r="R1136" s="779" t="s">
        <v>8255</v>
      </c>
      <c r="S1136" s="645"/>
      <c r="T1136" s="645"/>
      <c r="U1136" s="645"/>
      <c r="V1136" s="645"/>
      <c r="W1136" s="460" t="s">
        <v>8256</v>
      </c>
      <c r="X1136" s="394" t="s">
        <v>11744</v>
      </c>
      <c r="Y1136" s="394" t="s">
        <v>11746</v>
      </c>
      <c r="Z1136" s="394" t="s">
        <v>11745</v>
      </c>
      <c r="AA1136" s="394" t="s">
        <v>11743</v>
      </c>
      <c r="AB1136" s="416"/>
      <c r="AC1136" s="416"/>
      <c r="AD1136" s="447" t="s">
        <v>3094</v>
      </c>
      <c r="AE1136" s="335" t="s">
        <v>210</v>
      </c>
      <c r="AF1136" s="462">
        <v>43398</v>
      </c>
      <c r="AG1136" s="748">
        <v>43438</v>
      </c>
      <c r="AH1136" s="417" t="s">
        <v>210</v>
      </c>
      <c r="AI1136" s="392" t="s">
        <v>210</v>
      </c>
      <c r="AJ1136" s="392" t="s">
        <v>210</v>
      </c>
      <c r="AK1136" s="340" t="s">
        <v>210</v>
      </c>
      <c r="AL1136" s="417" t="s">
        <v>210</v>
      </c>
      <c r="AM1136" s="392" t="s">
        <v>210</v>
      </c>
      <c r="AN1136" s="392" t="s">
        <v>210</v>
      </c>
      <c r="AO1136" s="341" t="s">
        <v>210</v>
      </c>
      <c r="AP1136" s="418" t="s">
        <v>210</v>
      </c>
      <c r="AQ1136" s="433" t="s">
        <v>4547</v>
      </c>
      <c r="AR1136" s="452">
        <v>1640</v>
      </c>
      <c r="AS1136" s="324">
        <v>100</v>
      </c>
      <c r="AT1136" s="432">
        <v>1</v>
      </c>
      <c r="AU1136" s="432" t="s">
        <v>5246</v>
      </c>
      <c r="AV1136" s="432">
        <v>1.5</v>
      </c>
      <c r="AW1136" s="490" t="s">
        <v>8276</v>
      </c>
      <c r="AX1136" s="456" t="s">
        <v>210</v>
      </c>
      <c r="AY1136" s="429" t="s">
        <v>210</v>
      </c>
      <c r="AZ1136" s="405" t="s">
        <v>4083</v>
      </c>
      <c r="BA1136" s="324" t="s">
        <v>210</v>
      </c>
      <c r="BB1136" s="324" t="s">
        <v>210</v>
      </c>
      <c r="BC1136" s="324" t="s">
        <v>8258</v>
      </c>
      <c r="BD1136" s="324" t="s">
        <v>8259</v>
      </c>
      <c r="BE1136" s="324" t="s">
        <v>8260</v>
      </c>
      <c r="BF1136" s="324" t="s">
        <v>3574</v>
      </c>
      <c r="BG1136" s="324" t="s">
        <v>8261</v>
      </c>
      <c r="BH1136" s="426" t="s">
        <v>3494</v>
      </c>
      <c r="BI1136" s="453">
        <v>1</v>
      </c>
      <c r="BJ1136" s="427">
        <v>1.92</v>
      </c>
      <c r="BK1136" s="412"/>
      <c r="BL1136" s="413"/>
      <c r="BM1136" s="429" t="s">
        <v>210</v>
      </c>
      <c r="BN1136" s="453" t="s">
        <v>622</v>
      </c>
      <c r="BO1136" s="464">
        <v>0.78</v>
      </c>
      <c r="BP1136" s="492"/>
      <c r="BQ1136" s="456" t="s">
        <v>1059</v>
      </c>
      <c r="BR1136" s="342" t="s">
        <v>210</v>
      </c>
      <c r="BS1136" s="342" t="s">
        <v>622</v>
      </c>
      <c r="BT1136" s="342" t="s">
        <v>210</v>
      </c>
      <c r="BU1136" s="342" t="s">
        <v>210</v>
      </c>
      <c r="BV1136" s="342" t="s">
        <v>210</v>
      </c>
      <c r="BW1136" s="341" t="s">
        <v>210</v>
      </c>
      <c r="BX1136" s="341" t="s">
        <v>210</v>
      </c>
      <c r="BY1136" s="457" t="s">
        <v>8353</v>
      </c>
      <c r="BZ1136" s="363"/>
      <c r="CA1136" s="363"/>
      <c r="CB1136" s="363"/>
      <c r="CC1136" s="363"/>
    </row>
    <row r="1137" spans="1:82" s="465" customFormat="1" ht="22.5" customHeight="1">
      <c r="A1137" s="287"/>
      <c r="B1137" s="749">
        <v>180217</v>
      </c>
      <c r="C1137" s="781" t="s">
        <v>8266</v>
      </c>
      <c r="D1137" s="751" t="s">
        <v>4854</v>
      </c>
      <c r="E1137" s="752" t="s">
        <v>7988</v>
      </c>
      <c r="F1137" s="753" t="s">
        <v>265</v>
      </c>
      <c r="G1137" s="754" t="s">
        <v>8267</v>
      </c>
      <c r="H1137" s="754" t="s">
        <v>8268</v>
      </c>
      <c r="I1137" s="754" t="s">
        <v>1066</v>
      </c>
      <c r="J1137" s="754" t="s">
        <v>7171</v>
      </c>
      <c r="K1137" s="754" t="s">
        <v>1059</v>
      </c>
      <c r="L1137" s="688" t="s">
        <v>210</v>
      </c>
      <c r="M1137" s="754" t="s">
        <v>6518</v>
      </c>
      <c r="N1137" s="755" t="s">
        <v>8515</v>
      </c>
      <c r="O1137" s="754">
        <v>30</v>
      </c>
      <c r="P1137" s="782"/>
      <c r="Q1137" s="783"/>
      <c r="R1137" s="756" t="s">
        <v>2280</v>
      </c>
      <c r="S1137" s="708" t="s">
        <v>11739</v>
      </c>
      <c r="T1137" s="708" t="s">
        <v>11741</v>
      </c>
      <c r="U1137" s="708" t="s">
        <v>11740</v>
      </c>
      <c r="V1137" s="708" t="s">
        <v>11742</v>
      </c>
      <c r="W1137" s="669" t="s">
        <v>432</v>
      </c>
      <c r="X1137" s="668" t="s">
        <v>11082</v>
      </c>
      <c r="Y1137" s="668" t="s">
        <v>11082</v>
      </c>
      <c r="Z1137" s="668" t="s">
        <v>11082</v>
      </c>
      <c r="AA1137" s="668" t="s">
        <v>210</v>
      </c>
      <c r="AB1137" s="758"/>
      <c r="AC1137" s="758"/>
      <c r="AD1137" s="759"/>
      <c r="AE1137" s="760"/>
      <c r="AF1137" s="846">
        <v>43403</v>
      </c>
      <c r="AG1137" s="674" t="s">
        <v>10514</v>
      </c>
      <c r="AH1137" s="675" t="s">
        <v>210</v>
      </c>
      <c r="AI1137" s="676" t="s">
        <v>210</v>
      </c>
      <c r="AJ1137" s="676" t="s">
        <v>210</v>
      </c>
      <c r="AK1137" s="677" t="s">
        <v>210</v>
      </c>
      <c r="AL1137" s="675" t="s">
        <v>210</v>
      </c>
      <c r="AM1137" s="676" t="s">
        <v>210</v>
      </c>
      <c r="AN1137" s="676" t="s">
        <v>210</v>
      </c>
      <c r="AO1137" s="678" t="s">
        <v>210</v>
      </c>
      <c r="AP1137" s="784" t="s">
        <v>210</v>
      </c>
      <c r="AQ1137" s="762" t="s">
        <v>10780</v>
      </c>
      <c r="AR1137" s="763"/>
      <c r="AS1137" s="754"/>
      <c r="AT1137" s="785"/>
      <c r="AU1137" s="785"/>
      <c r="AV1137" s="785"/>
      <c r="AW1137" s="764"/>
      <c r="AX1137" s="773" t="s">
        <v>210</v>
      </c>
      <c r="AY1137" s="766" t="s">
        <v>210</v>
      </c>
      <c r="AZ1137" s="753" t="s">
        <v>4083</v>
      </c>
      <c r="BA1137" s="754" t="s">
        <v>210</v>
      </c>
      <c r="BB1137" s="754" t="s">
        <v>210</v>
      </c>
      <c r="BC1137" s="754" t="s">
        <v>210</v>
      </c>
      <c r="BD1137" s="754" t="s">
        <v>210</v>
      </c>
      <c r="BE1137" s="754" t="s">
        <v>3459</v>
      </c>
      <c r="BF1137" s="754" t="s">
        <v>3491</v>
      </c>
      <c r="BG1137" s="754" t="s">
        <v>3555</v>
      </c>
      <c r="BH1137" s="754" t="s">
        <v>3491</v>
      </c>
      <c r="BI1137" s="765"/>
      <c r="BJ1137" s="768"/>
      <c r="BK1137" s="769" t="s">
        <v>8804</v>
      </c>
      <c r="BL1137" s="766" t="s">
        <v>8805</v>
      </c>
      <c r="BM1137" s="766" t="s">
        <v>210</v>
      </c>
      <c r="BN1137" s="765"/>
      <c r="BO1137" s="771"/>
      <c r="BP1137" s="772"/>
      <c r="BQ1137" s="773" t="s">
        <v>1059</v>
      </c>
      <c r="BR1137" s="688" t="s">
        <v>210</v>
      </c>
      <c r="BS1137" s="688" t="s">
        <v>622</v>
      </c>
      <c r="BT1137" s="688" t="s">
        <v>210</v>
      </c>
      <c r="BU1137" s="688" t="s">
        <v>210</v>
      </c>
      <c r="BV1137" s="688" t="s">
        <v>210</v>
      </c>
      <c r="BW1137" s="678" t="s">
        <v>210</v>
      </c>
      <c r="BX1137" s="678" t="s">
        <v>210</v>
      </c>
      <c r="BY1137" s="774" t="s">
        <v>10033</v>
      </c>
      <c r="BZ1137" s="483"/>
      <c r="CA1137" s="483"/>
      <c r="CB1137" s="483"/>
      <c r="CC1137" s="483"/>
      <c r="CD1137" s="484"/>
    </row>
    <row r="1138" spans="1:82" ht="22.5" customHeight="1">
      <c r="B1138" s="442">
        <v>180218</v>
      </c>
      <c r="C1138" s="443" t="s">
        <v>8277</v>
      </c>
      <c r="D1138" s="439" t="s">
        <v>4849</v>
      </c>
      <c r="E1138" s="404" t="s">
        <v>7988</v>
      </c>
      <c r="F1138" s="405" t="s">
        <v>7348</v>
      </c>
      <c r="G1138" s="324" t="s">
        <v>8278</v>
      </c>
      <c r="H1138" s="324" t="s">
        <v>8279</v>
      </c>
      <c r="I1138" s="324" t="s">
        <v>383</v>
      </c>
      <c r="J1138" s="324" t="s">
        <v>6632</v>
      </c>
      <c r="K1138" s="324" t="s">
        <v>247</v>
      </c>
      <c r="L1138" s="342" t="s">
        <v>210</v>
      </c>
      <c r="M1138" s="324" t="s">
        <v>7457</v>
      </c>
      <c r="N1138" s="444" t="s">
        <v>438</v>
      </c>
      <c r="O1138" s="324">
        <v>55</v>
      </c>
      <c r="P1138" s="458">
        <v>397</v>
      </c>
      <c r="Q1138" s="459">
        <v>405</v>
      </c>
      <c r="R1138" s="329" t="s">
        <v>1437</v>
      </c>
      <c r="S1138" s="394" t="s">
        <v>11735</v>
      </c>
      <c r="T1138" s="394" t="s">
        <v>11736</v>
      </c>
      <c r="U1138" s="394" t="s">
        <v>11737</v>
      </c>
      <c r="V1138" s="394" t="s">
        <v>11738</v>
      </c>
      <c r="W1138" s="332" t="s">
        <v>432</v>
      </c>
      <c r="X1138" s="331" t="s">
        <v>11079</v>
      </c>
      <c r="Y1138" s="331" t="s">
        <v>11080</v>
      </c>
      <c r="Z1138" s="331" t="s">
        <v>11080</v>
      </c>
      <c r="AA1138" s="331" t="s">
        <v>6574</v>
      </c>
      <c r="AB1138" s="416"/>
      <c r="AC1138" s="416"/>
      <c r="AD1138" s="447" t="s">
        <v>8730</v>
      </c>
      <c r="AE1138" s="499" t="s">
        <v>8729</v>
      </c>
      <c r="AF1138" s="462">
        <v>43409</v>
      </c>
      <c r="AG1138" s="748">
        <v>43524</v>
      </c>
      <c r="AH1138" s="453">
        <v>21.9</v>
      </c>
      <c r="AI1138" s="432">
        <v>36</v>
      </c>
      <c r="AJ1138" s="432">
        <v>14.7</v>
      </c>
      <c r="AK1138" s="340">
        <f>SUM(AH1138:AJ1138)</f>
        <v>72.599999999999994</v>
      </c>
      <c r="AL1138" s="417" t="s">
        <v>210</v>
      </c>
      <c r="AM1138" s="392" t="s">
        <v>210</v>
      </c>
      <c r="AN1138" s="392" t="s">
        <v>210</v>
      </c>
      <c r="AO1138" s="341" t="s">
        <v>210</v>
      </c>
      <c r="AP1138" s="342" t="s">
        <v>622</v>
      </c>
      <c r="AQ1138" s="433" t="s">
        <v>4547</v>
      </c>
      <c r="AR1138" s="452">
        <v>440</v>
      </c>
      <c r="AS1138" s="324">
        <v>80</v>
      </c>
      <c r="AT1138" s="432">
        <v>0.6</v>
      </c>
      <c r="AU1138" s="432" t="s">
        <v>5246</v>
      </c>
      <c r="AV1138" s="432">
        <v>0.6</v>
      </c>
      <c r="AW1138" s="490" t="s">
        <v>3482</v>
      </c>
      <c r="AX1138" s="456" t="s">
        <v>210</v>
      </c>
      <c r="AY1138" s="429" t="s">
        <v>210</v>
      </c>
      <c r="AZ1138" s="405" t="s">
        <v>4083</v>
      </c>
      <c r="BA1138" s="324" t="s">
        <v>210</v>
      </c>
      <c r="BB1138" s="324" t="s">
        <v>210</v>
      </c>
      <c r="BC1138" s="324" t="s">
        <v>3555</v>
      </c>
      <c r="BD1138" s="324" t="s">
        <v>8280</v>
      </c>
      <c r="BE1138" s="324" t="s">
        <v>3616</v>
      </c>
      <c r="BF1138" s="324" t="s">
        <v>8281</v>
      </c>
      <c r="BG1138" s="324" t="s">
        <v>8282</v>
      </c>
      <c r="BH1138" s="324" t="s">
        <v>8281</v>
      </c>
      <c r="BI1138" s="453">
        <v>3</v>
      </c>
      <c r="BJ1138" s="427" t="s">
        <v>210</v>
      </c>
      <c r="BK1138" s="428" t="s">
        <v>8804</v>
      </c>
      <c r="BL1138" s="429" t="s">
        <v>8805</v>
      </c>
      <c r="BM1138" s="429" t="s">
        <v>210</v>
      </c>
      <c r="BN1138" s="453" t="s">
        <v>622</v>
      </c>
      <c r="BO1138" s="502"/>
      <c r="BP1138" s="492"/>
      <c r="BQ1138" s="456" t="s">
        <v>1059</v>
      </c>
      <c r="BR1138" s="342" t="s">
        <v>210</v>
      </c>
      <c r="BS1138" s="342" t="s">
        <v>622</v>
      </c>
      <c r="BT1138" s="342" t="s">
        <v>210</v>
      </c>
      <c r="BU1138" s="342" t="s">
        <v>210</v>
      </c>
      <c r="BV1138" s="342" t="s">
        <v>210</v>
      </c>
      <c r="BW1138" s="341" t="s">
        <v>210</v>
      </c>
      <c r="BX1138" s="341" t="s">
        <v>210</v>
      </c>
      <c r="BY1138" s="457"/>
      <c r="BZ1138" s="363"/>
      <c r="CA1138" s="363"/>
      <c r="CB1138" s="363"/>
      <c r="CC1138" s="363"/>
    </row>
    <row r="1139" spans="1:82" ht="22.5" customHeight="1">
      <c r="B1139" s="442">
        <v>180219</v>
      </c>
      <c r="C1139" s="443" t="s">
        <v>8287</v>
      </c>
      <c r="D1139" s="467" t="s">
        <v>6135</v>
      </c>
      <c r="E1139" s="404" t="s">
        <v>5362</v>
      </c>
      <c r="F1139" s="405" t="s">
        <v>8284</v>
      </c>
      <c r="G1139" s="324" t="s">
        <v>8285</v>
      </c>
      <c r="H1139" s="324" t="s">
        <v>8354</v>
      </c>
      <c r="I1139" s="324" t="s">
        <v>383</v>
      </c>
      <c r="J1139" s="324" t="s">
        <v>214</v>
      </c>
      <c r="K1139" s="324" t="s">
        <v>917</v>
      </c>
      <c r="L1139" s="342" t="s">
        <v>210</v>
      </c>
      <c r="M1139" s="324" t="s">
        <v>7457</v>
      </c>
      <c r="N1139" s="444" t="s">
        <v>438</v>
      </c>
      <c r="O1139" s="324">
        <v>40</v>
      </c>
      <c r="P1139" s="458">
        <v>2710</v>
      </c>
      <c r="Q1139" s="459">
        <f>P1139</f>
        <v>2710</v>
      </c>
      <c r="R1139" s="329" t="s">
        <v>1098</v>
      </c>
      <c r="S1139" s="394" t="s">
        <v>11732</v>
      </c>
      <c r="T1139" s="394" t="s">
        <v>12439</v>
      </c>
      <c r="U1139" s="394" t="s">
        <v>16310</v>
      </c>
      <c r="V1139" s="394" t="s">
        <v>11734</v>
      </c>
      <c r="W1139" s="460" t="s">
        <v>3800</v>
      </c>
      <c r="X1139" s="394" t="s">
        <v>11416</v>
      </c>
      <c r="Y1139" s="394" t="s">
        <v>11417</v>
      </c>
      <c r="Z1139" s="394" t="s">
        <v>11418</v>
      </c>
      <c r="AA1139" s="394" t="s">
        <v>11419</v>
      </c>
      <c r="AB1139" s="416"/>
      <c r="AC1139" s="416"/>
      <c r="AD1139" s="334" t="s">
        <v>2326</v>
      </c>
      <c r="AE1139" s="499" t="s">
        <v>305</v>
      </c>
      <c r="AF1139" s="462">
        <v>43410</v>
      </c>
      <c r="AG1139" s="748">
        <v>43511</v>
      </c>
      <c r="AH1139" s="417" t="s">
        <v>210</v>
      </c>
      <c r="AI1139" s="392" t="s">
        <v>210</v>
      </c>
      <c r="AJ1139" s="392" t="s">
        <v>210</v>
      </c>
      <c r="AK1139" s="340" t="s">
        <v>210</v>
      </c>
      <c r="AL1139" s="417" t="s">
        <v>210</v>
      </c>
      <c r="AM1139" s="392" t="s">
        <v>210</v>
      </c>
      <c r="AN1139" s="392" t="s">
        <v>210</v>
      </c>
      <c r="AO1139" s="341" t="s">
        <v>210</v>
      </c>
      <c r="AP1139" s="418" t="s">
        <v>210</v>
      </c>
      <c r="AQ1139" s="433" t="s">
        <v>4547</v>
      </c>
      <c r="AR1139" s="452">
        <v>4152</v>
      </c>
      <c r="AS1139" s="324">
        <v>100</v>
      </c>
      <c r="AT1139" s="432">
        <v>1</v>
      </c>
      <c r="AU1139" s="432" t="s">
        <v>6579</v>
      </c>
      <c r="AV1139" s="432">
        <v>1.5</v>
      </c>
      <c r="AW1139" s="490" t="s">
        <v>8178</v>
      </c>
      <c r="AX1139" s="456" t="s">
        <v>210</v>
      </c>
      <c r="AY1139" s="1045" t="s">
        <v>622</v>
      </c>
      <c r="AZ1139" s="405" t="s">
        <v>622</v>
      </c>
      <c r="BA1139" s="324" t="s">
        <v>8286</v>
      </c>
      <c r="BB1139" s="324" t="s">
        <v>8289</v>
      </c>
      <c r="BC1139" s="324" t="s">
        <v>8291</v>
      </c>
      <c r="BD1139" s="324" t="s">
        <v>6579</v>
      </c>
      <c r="BE1139" s="324" t="s">
        <v>3557</v>
      </c>
      <c r="BF1139" s="324" t="s">
        <v>3482</v>
      </c>
      <c r="BG1139" s="324" t="s">
        <v>3475</v>
      </c>
      <c r="BH1139" s="426" t="s">
        <v>6579</v>
      </c>
      <c r="BI1139" s="453">
        <v>1.3</v>
      </c>
      <c r="BJ1139" s="427">
        <v>1.87</v>
      </c>
      <c r="BK1139" s="428" t="s">
        <v>8810</v>
      </c>
      <c r="BL1139" s="429">
        <f>4+1+4</f>
        <v>9</v>
      </c>
      <c r="BM1139" s="429" t="s">
        <v>210</v>
      </c>
      <c r="BN1139" s="453" t="s">
        <v>622</v>
      </c>
      <c r="BO1139" s="464">
        <v>1.4</v>
      </c>
      <c r="BP1139" s="455" t="s">
        <v>622</v>
      </c>
      <c r="BQ1139" s="456" t="s">
        <v>6407</v>
      </c>
      <c r="BR1139" s="342" t="s">
        <v>210</v>
      </c>
      <c r="BS1139" s="342" t="s">
        <v>622</v>
      </c>
      <c r="BT1139" s="342" t="s">
        <v>210</v>
      </c>
      <c r="BU1139" s="342" t="s">
        <v>210</v>
      </c>
      <c r="BV1139" s="342" t="s">
        <v>210</v>
      </c>
      <c r="BW1139" s="341" t="s">
        <v>210</v>
      </c>
      <c r="BX1139" s="341" t="s">
        <v>210</v>
      </c>
      <c r="BY1139" s="457" t="s">
        <v>8399</v>
      </c>
      <c r="BZ1139" s="363"/>
      <c r="CA1139" s="363"/>
      <c r="CB1139" s="363"/>
      <c r="CC1139" s="363"/>
    </row>
    <row r="1140" spans="1:82" ht="22.5" customHeight="1">
      <c r="B1140" s="442" t="s">
        <v>8290</v>
      </c>
      <c r="C1140" s="443" t="s">
        <v>8288</v>
      </c>
      <c r="D1140" s="467" t="s">
        <v>6135</v>
      </c>
      <c r="E1140" s="404" t="s">
        <v>5362</v>
      </c>
      <c r="F1140" s="405" t="s">
        <v>304</v>
      </c>
      <c r="G1140" s="324" t="s">
        <v>8285</v>
      </c>
      <c r="H1140" s="324" t="s">
        <v>8355</v>
      </c>
      <c r="I1140" s="324" t="s">
        <v>383</v>
      </c>
      <c r="J1140" s="324" t="s">
        <v>214</v>
      </c>
      <c r="K1140" s="324" t="s">
        <v>917</v>
      </c>
      <c r="L1140" s="342" t="s">
        <v>210</v>
      </c>
      <c r="M1140" s="324" t="s">
        <v>7457</v>
      </c>
      <c r="N1140" s="444" t="s">
        <v>437</v>
      </c>
      <c r="O1140" s="324">
        <v>40</v>
      </c>
      <c r="P1140" s="458">
        <v>966</v>
      </c>
      <c r="Q1140" s="459">
        <f>P1140</f>
        <v>966</v>
      </c>
      <c r="R1140" s="329" t="s">
        <v>1098</v>
      </c>
      <c r="S1140" s="394" t="s">
        <v>11732</v>
      </c>
      <c r="T1140" s="394" t="s">
        <v>12439</v>
      </c>
      <c r="U1140" s="394" t="s">
        <v>16310</v>
      </c>
      <c r="V1140" s="394" t="s">
        <v>11734</v>
      </c>
      <c r="W1140" s="460" t="s">
        <v>3800</v>
      </c>
      <c r="X1140" s="394" t="s">
        <v>11416</v>
      </c>
      <c r="Y1140" s="394" t="s">
        <v>11417</v>
      </c>
      <c r="Z1140" s="394" t="s">
        <v>11418</v>
      </c>
      <c r="AA1140" s="394" t="s">
        <v>11419</v>
      </c>
      <c r="AB1140" s="416"/>
      <c r="AC1140" s="416"/>
      <c r="AD1140" s="334" t="s">
        <v>2326</v>
      </c>
      <c r="AE1140" s="335" t="s">
        <v>210</v>
      </c>
      <c r="AF1140" s="462">
        <v>43410</v>
      </c>
      <c r="AG1140" s="748">
        <v>43511</v>
      </c>
      <c r="AH1140" s="417" t="s">
        <v>210</v>
      </c>
      <c r="AI1140" s="392" t="s">
        <v>210</v>
      </c>
      <c r="AJ1140" s="392" t="s">
        <v>210</v>
      </c>
      <c r="AK1140" s="340" t="s">
        <v>210</v>
      </c>
      <c r="AL1140" s="417" t="s">
        <v>210</v>
      </c>
      <c r="AM1140" s="392" t="s">
        <v>210</v>
      </c>
      <c r="AN1140" s="392" t="s">
        <v>210</v>
      </c>
      <c r="AO1140" s="341" t="s">
        <v>210</v>
      </c>
      <c r="AP1140" s="418" t="s">
        <v>210</v>
      </c>
      <c r="AQ1140" s="433" t="s">
        <v>4547</v>
      </c>
      <c r="AR1140" s="452">
        <v>1357</v>
      </c>
      <c r="AS1140" s="324">
        <v>100</v>
      </c>
      <c r="AT1140" s="432">
        <v>1</v>
      </c>
      <c r="AU1140" s="432" t="s">
        <v>6579</v>
      </c>
      <c r="AV1140" s="432">
        <v>1.5</v>
      </c>
      <c r="AW1140" s="490" t="s">
        <v>8178</v>
      </c>
      <c r="AX1140" s="456" t="s">
        <v>210</v>
      </c>
      <c r="AY1140" s="429" t="s">
        <v>210</v>
      </c>
      <c r="AZ1140" s="405" t="s">
        <v>622</v>
      </c>
      <c r="BA1140" s="324" t="s">
        <v>8286</v>
      </c>
      <c r="BB1140" s="324" t="s">
        <v>8289</v>
      </c>
      <c r="BC1140" s="324" t="s">
        <v>8291</v>
      </c>
      <c r="BD1140" s="324" t="s">
        <v>6579</v>
      </c>
      <c r="BE1140" s="324" t="s">
        <v>3557</v>
      </c>
      <c r="BF1140" s="324" t="s">
        <v>3482</v>
      </c>
      <c r="BG1140" s="324" t="s">
        <v>3475</v>
      </c>
      <c r="BH1140" s="426" t="s">
        <v>6579</v>
      </c>
      <c r="BI1140" s="453">
        <v>1.3</v>
      </c>
      <c r="BJ1140" s="427">
        <v>1.87</v>
      </c>
      <c r="BK1140" s="428" t="s">
        <v>8810</v>
      </c>
      <c r="BL1140" s="429">
        <f>4+1+4</f>
        <v>9</v>
      </c>
      <c r="BM1140" s="429" t="s">
        <v>210</v>
      </c>
      <c r="BN1140" s="453" t="s">
        <v>622</v>
      </c>
      <c r="BO1140" s="464">
        <v>1.4</v>
      </c>
      <c r="BP1140" s="455" t="s">
        <v>622</v>
      </c>
      <c r="BQ1140" s="456" t="s">
        <v>6407</v>
      </c>
      <c r="BR1140" s="342" t="s">
        <v>210</v>
      </c>
      <c r="BS1140" s="342" t="s">
        <v>622</v>
      </c>
      <c r="BT1140" s="342" t="s">
        <v>210</v>
      </c>
      <c r="BU1140" s="342" t="s">
        <v>210</v>
      </c>
      <c r="BV1140" s="342" t="s">
        <v>210</v>
      </c>
      <c r="BW1140" s="341" t="s">
        <v>210</v>
      </c>
      <c r="BX1140" s="341" t="s">
        <v>210</v>
      </c>
      <c r="BY1140" s="457" t="s">
        <v>8399</v>
      </c>
      <c r="BZ1140" s="363"/>
      <c r="CA1140" s="363"/>
      <c r="CB1140" s="363"/>
      <c r="CC1140" s="363"/>
    </row>
    <row r="1141" spans="1:82" ht="22.5" customHeight="1">
      <c r="B1141" s="442" t="s">
        <v>8495</v>
      </c>
      <c r="C1141" s="443" t="s">
        <v>8496</v>
      </c>
      <c r="D1141" s="467" t="s">
        <v>6135</v>
      </c>
      <c r="E1141" s="404" t="s">
        <v>5362</v>
      </c>
      <c r="F1141" s="405" t="s">
        <v>304</v>
      </c>
      <c r="G1141" s="324" t="s">
        <v>8285</v>
      </c>
      <c r="H1141" s="324" t="s">
        <v>8354</v>
      </c>
      <c r="I1141" s="324" t="s">
        <v>383</v>
      </c>
      <c r="J1141" s="324" t="s">
        <v>214</v>
      </c>
      <c r="K1141" s="324" t="s">
        <v>917</v>
      </c>
      <c r="L1141" s="342" t="s">
        <v>210</v>
      </c>
      <c r="M1141" s="324" t="s">
        <v>7457</v>
      </c>
      <c r="N1141" s="444" t="s">
        <v>437</v>
      </c>
      <c r="O1141" s="324">
        <v>40</v>
      </c>
      <c r="P1141" s="458">
        <v>644</v>
      </c>
      <c r="Q1141" s="459">
        <v>644</v>
      </c>
      <c r="R1141" s="329" t="s">
        <v>1098</v>
      </c>
      <c r="S1141" s="394" t="s">
        <v>11732</v>
      </c>
      <c r="T1141" s="394" t="s">
        <v>12439</v>
      </c>
      <c r="U1141" s="394" t="s">
        <v>16310</v>
      </c>
      <c r="V1141" s="394" t="s">
        <v>11733</v>
      </c>
      <c r="W1141" s="460" t="s">
        <v>3800</v>
      </c>
      <c r="X1141" s="394" t="s">
        <v>11416</v>
      </c>
      <c r="Y1141" s="394" t="s">
        <v>11417</v>
      </c>
      <c r="Z1141" s="394" t="s">
        <v>11418</v>
      </c>
      <c r="AA1141" s="394" t="s">
        <v>11419</v>
      </c>
      <c r="AB1141" s="416"/>
      <c r="AC1141" s="416"/>
      <c r="AD1141" s="334" t="s">
        <v>2326</v>
      </c>
      <c r="AE1141" s="335" t="s">
        <v>210</v>
      </c>
      <c r="AF1141" s="462">
        <v>43410</v>
      </c>
      <c r="AG1141" s="748">
        <v>43535</v>
      </c>
      <c r="AH1141" s="417" t="s">
        <v>210</v>
      </c>
      <c r="AI1141" s="392" t="s">
        <v>210</v>
      </c>
      <c r="AJ1141" s="392" t="s">
        <v>210</v>
      </c>
      <c r="AK1141" s="340" t="s">
        <v>210</v>
      </c>
      <c r="AL1141" s="417" t="s">
        <v>210</v>
      </c>
      <c r="AM1141" s="392" t="s">
        <v>210</v>
      </c>
      <c r="AN1141" s="392" t="s">
        <v>210</v>
      </c>
      <c r="AO1141" s="341" t="s">
        <v>210</v>
      </c>
      <c r="AP1141" s="418" t="s">
        <v>210</v>
      </c>
      <c r="AQ1141" s="433" t="s">
        <v>4547</v>
      </c>
      <c r="AR1141" s="452">
        <v>1071</v>
      </c>
      <c r="AS1141" s="324">
        <v>100</v>
      </c>
      <c r="AT1141" s="432">
        <v>1</v>
      </c>
      <c r="AU1141" s="432" t="s">
        <v>6579</v>
      </c>
      <c r="AV1141" s="432">
        <v>1.5</v>
      </c>
      <c r="AW1141" s="490" t="s">
        <v>8178</v>
      </c>
      <c r="AX1141" s="456" t="s">
        <v>210</v>
      </c>
      <c r="AY1141" s="429" t="s">
        <v>210</v>
      </c>
      <c r="AZ1141" s="405" t="s">
        <v>622</v>
      </c>
      <c r="BA1141" s="324" t="s">
        <v>3555</v>
      </c>
      <c r="BB1141" s="324" t="s">
        <v>3372</v>
      </c>
      <c r="BC1141" s="324" t="s">
        <v>3475</v>
      </c>
      <c r="BD1141" s="324" t="s">
        <v>6579</v>
      </c>
      <c r="BE1141" s="324" t="s">
        <v>3557</v>
      </c>
      <c r="BF1141" s="324" t="s">
        <v>3482</v>
      </c>
      <c r="BG1141" s="324" t="s">
        <v>3475</v>
      </c>
      <c r="BH1141" s="426" t="s">
        <v>6579</v>
      </c>
      <c r="BI1141" s="453">
        <v>1.3</v>
      </c>
      <c r="BJ1141" s="427">
        <v>1.87</v>
      </c>
      <c r="BK1141" s="428" t="s">
        <v>8810</v>
      </c>
      <c r="BL1141" s="429">
        <f>4+1+4</f>
        <v>9</v>
      </c>
      <c r="BM1141" s="429" t="s">
        <v>210</v>
      </c>
      <c r="BN1141" s="453" t="s">
        <v>622</v>
      </c>
      <c r="BO1141" s="464">
        <v>1.4</v>
      </c>
      <c r="BP1141" s="455" t="s">
        <v>622</v>
      </c>
      <c r="BQ1141" s="456" t="s">
        <v>6407</v>
      </c>
      <c r="BR1141" s="342" t="s">
        <v>210</v>
      </c>
      <c r="BS1141" s="342" t="s">
        <v>622</v>
      </c>
      <c r="BT1141" s="342" t="s">
        <v>210</v>
      </c>
      <c r="BU1141" s="342" t="s">
        <v>210</v>
      </c>
      <c r="BV1141" s="342" t="s">
        <v>210</v>
      </c>
      <c r="BW1141" s="341" t="s">
        <v>210</v>
      </c>
      <c r="BX1141" s="341" t="s">
        <v>210</v>
      </c>
      <c r="BY1141" s="457" t="s">
        <v>8399</v>
      </c>
      <c r="BZ1141" s="363"/>
      <c r="CA1141" s="363"/>
      <c r="CB1141" s="363"/>
      <c r="CC1141" s="363"/>
    </row>
    <row r="1142" spans="1:82" ht="22.5" customHeight="1">
      <c r="B1142" s="442">
        <v>180220</v>
      </c>
      <c r="C1142" s="443" t="s">
        <v>8292</v>
      </c>
      <c r="D1142" s="467" t="s">
        <v>7463</v>
      </c>
      <c r="E1142" s="404" t="s">
        <v>5362</v>
      </c>
      <c r="F1142" s="405" t="s">
        <v>6678</v>
      </c>
      <c r="G1142" s="324" t="s">
        <v>8293</v>
      </c>
      <c r="H1142" s="324" t="s">
        <v>8294</v>
      </c>
      <c r="I1142" s="324" t="s">
        <v>383</v>
      </c>
      <c r="J1142" s="324" t="s">
        <v>214</v>
      </c>
      <c r="K1142" s="324" t="s">
        <v>917</v>
      </c>
      <c r="L1142" s="342" t="s">
        <v>210</v>
      </c>
      <c r="M1142" s="324" t="s">
        <v>7457</v>
      </c>
      <c r="N1142" s="444" t="s">
        <v>8298</v>
      </c>
      <c r="O1142" s="324">
        <v>150</v>
      </c>
      <c r="P1142" s="458">
        <v>2429</v>
      </c>
      <c r="Q1142" s="459">
        <v>2512</v>
      </c>
      <c r="R1142" s="420" t="s">
        <v>4095</v>
      </c>
      <c r="S1142" s="394" t="s">
        <v>11730</v>
      </c>
      <c r="T1142" s="394" t="s">
        <v>11546</v>
      </c>
      <c r="U1142" s="394" t="s">
        <v>14971</v>
      </c>
      <c r="V1142" s="394" t="s">
        <v>11731</v>
      </c>
      <c r="W1142" s="460" t="s">
        <v>3874</v>
      </c>
      <c r="X1142" s="394" t="s">
        <v>11075</v>
      </c>
      <c r="Y1142" s="394" t="s">
        <v>11076</v>
      </c>
      <c r="Z1142" s="394" t="s">
        <v>16364</v>
      </c>
      <c r="AA1142" s="394" t="s">
        <v>11132</v>
      </c>
      <c r="AB1142" s="416"/>
      <c r="AC1142" s="416"/>
      <c r="AD1142" s="447" t="s">
        <v>1410</v>
      </c>
      <c r="AE1142" s="335" t="s">
        <v>210</v>
      </c>
      <c r="AF1142" s="462">
        <v>43410</v>
      </c>
      <c r="AG1142" s="748">
        <v>43461</v>
      </c>
      <c r="AH1142" s="417" t="s">
        <v>210</v>
      </c>
      <c r="AI1142" s="392" t="s">
        <v>210</v>
      </c>
      <c r="AJ1142" s="392" t="s">
        <v>210</v>
      </c>
      <c r="AK1142" s="340" t="s">
        <v>210</v>
      </c>
      <c r="AL1142" s="417" t="s">
        <v>210</v>
      </c>
      <c r="AM1142" s="392" t="s">
        <v>210</v>
      </c>
      <c r="AN1142" s="392" t="s">
        <v>210</v>
      </c>
      <c r="AO1142" s="341" t="s">
        <v>210</v>
      </c>
      <c r="AP1142" s="418" t="s">
        <v>210</v>
      </c>
      <c r="AQ1142" s="433" t="s">
        <v>4547</v>
      </c>
      <c r="AR1142" s="452">
        <v>3000</v>
      </c>
      <c r="AS1142" s="324">
        <v>120</v>
      </c>
      <c r="AT1142" s="432">
        <v>1</v>
      </c>
      <c r="AU1142" s="432" t="s">
        <v>3512</v>
      </c>
      <c r="AV1142" s="432">
        <v>1.5</v>
      </c>
      <c r="AW1142" s="490" t="s">
        <v>3512</v>
      </c>
      <c r="AX1142" s="456" t="s">
        <v>210</v>
      </c>
      <c r="AY1142" s="1045" t="s">
        <v>622</v>
      </c>
      <c r="AZ1142" s="405" t="s">
        <v>622</v>
      </c>
      <c r="BA1142" s="324" t="s">
        <v>8295</v>
      </c>
      <c r="BB1142" s="324" t="s">
        <v>3372</v>
      </c>
      <c r="BC1142" s="324" t="s">
        <v>8296</v>
      </c>
      <c r="BD1142" s="324" t="s">
        <v>3372</v>
      </c>
      <c r="BE1142" s="324" t="s">
        <v>210</v>
      </c>
      <c r="BF1142" s="324" t="s">
        <v>210</v>
      </c>
      <c r="BG1142" s="324" t="s">
        <v>8297</v>
      </c>
      <c r="BH1142" s="426" t="s">
        <v>3512</v>
      </c>
      <c r="BI1142" s="453">
        <v>0.5</v>
      </c>
      <c r="BJ1142" s="427">
        <v>0.72</v>
      </c>
      <c r="BK1142" s="428" t="s">
        <v>8824</v>
      </c>
      <c r="BL1142" s="429">
        <v>4</v>
      </c>
      <c r="BM1142" s="430" t="s">
        <v>9137</v>
      </c>
      <c r="BN1142" s="453" t="s">
        <v>8405</v>
      </c>
      <c r="BO1142" s="454" t="s">
        <v>8336</v>
      </c>
      <c r="BP1142" s="455" t="s">
        <v>622</v>
      </c>
      <c r="BQ1142" s="456" t="s">
        <v>5608</v>
      </c>
      <c r="BR1142" s="342" t="s">
        <v>622</v>
      </c>
      <c r="BS1142" s="342" t="s">
        <v>622</v>
      </c>
      <c r="BT1142" s="342" t="s">
        <v>210</v>
      </c>
      <c r="BU1142" s="342" t="s">
        <v>210</v>
      </c>
      <c r="BV1142" s="342" t="s">
        <v>210</v>
      </c>
      <c r="BW1142" s="341" t="s">
        <v>210</v>
      </c>
      <c r="BX1142" s="341" t="s">
        <v>210</v>
      </c>
      <c r="BY1142" s="457"/>
      <c r="BZ1142" s="363"/>
      <c r="CA1142" s="363"/>
      <c r="CB1142" s="363"/>
      <c r="CC1142" s="363"/>
    </row>
    <row r="1143" spans="1:82" ht="22.5" customHeight="1">
      <c r="B1143" s="442">
        <v>180221</v>
      </c>
      <c r="C1143" s="443" t="s">
        <v>8324</v>
      </c>
      <c r="D1143" s="467" t="s">
        <v>8461</v>
      </c>
      <c r="E1143" s="899" t="s">
        <v>8460</v>
      </c>
      <c r="F1143" s="405" t="s">
        <v>8325</v>
      </c>
      <c r="G1143" s="324" t="s">
        <v>3239</v>
      </c>
      <c r="H1143" s="324" t="s">
        <v>1771</v>
      </c>
      <c r="I1143" s="324" t="s">
        <v>383</v>
      </c>
      <c r="J1143" s="324" t="s">
        <v>214</v>
      </c>
      <c r="K1143" s="324" t="s">
        <v>247</v>
      </c>
      <c r="L1143" s="342">
        <v>20</v>
      </c>
      <c r="M1143" s="324" t="s">
        <v>7457</v>
      </c>
      <c r="N1143" s="444" t="s">
        <v>8485</v>
      </c>
      <c r="O1143" s="324">
        <v>25</v>
      </c>
      <c r="P1143" s="445">
        <f>11.65*20</f>
        <v>233</v>
      </c>
      <c r="Q1143" s="446">
        <v>233</v>
      </c>
      <c r="R1143" s="332" t="s">
        <v>432</v>
      </c>
      <c r="S1143" s="331" t="s">
        <v>11079</v>
      </c>
      <c r="T1143" s="331" t="s">
        <v>11079</v>
      </c>
      <c r="U1143" s="331" t="s">
        <v>11079</v>
      </c>
      <c r="V1143" s="331" t="s">
        <v>295</v>
      </c>
      <c r="W1143" s="332" t="s">
        <v>432</v>
      </c>
      <c r="X1143" s="331" t="s">
        <v>11079</v>
      </c>
      <c r="Y1143" s="331" t="s">
        <v>11080</v>
      </c>
      <c r="Z1143" s="331" t="s">
        <v>11080</v>
      </c>
      <c r="AA1143" s="331" t="s">
        <v>6574</v>
      </c>
      <c r="AB1143" s="416"/>
      <c r="AC1143" s="416"/>
      <c r="AD1143" s="334" t="s">
        <v>2333</v>
      </c>
      <c r="AE1143" s="499" t="s">
        <v>2839</v>
      </c>
      <c r="AF1143" s="462">
        <v>43418</v>
      </c>
      <c r="AG1143" s="748">
        <v>43556</v>
      </c>
      <c r="AH1143" s="417">
        <v>12.4</v>
      </c>
      <c r="AI1143" s="392">
        <v>15.7</v>
      </c>
      <c r="AJ1143" s="392">
        <v>9.3000000000000007</v>
      </c>
      <c r="AK1143" s="340">
        <f>SUM(AH1143:AJ1143)</f>
        <v>37.400000000000006</v>
      </c>
      <c r="AL1143" s="417" t="s">
        <v>210</v>
      </c>
      <c r="AM1143" s="392" t="s">
        <v>210</v>
      </c>
      <c r="AN1143" s="392" t="s">
        <v>210</v>
      </c>
      <c r="AO1143" s="341" t="s">
        <v>210</v>
      </c>
      <c r="AP1143" s="418" t="s">
        <v>210</v>
      </c>
      <c r="AQ1143" s="433" t="s">
        <v>4547</v>
      </c>
      <c r="AR1143" s="452">
        <v>1276</v>
      </c>
      <c r="AS1143" s="324">
        <v>80</v>
      </c>
      <c r="AT1143" s="432">
        <v>1</v>
      </c>
      <c r="AU1143" s="432" t="s">
        <v>8157</v>
      </c>
      <c r="AV1143" s="432">
        <v>1.5</v>
      </c>
      <c r="AW1143" s="490" t="s">
        <v>8486</v>
      </c>
      <c r="AX1143" s="456" t="s">
        <v>210</v>
      </c>
      <c r="AY1143" s="429" t="s">
        <v>210</v>
      </c>
      <c r="AZ1143" s="405" t="s">
        <v>622</v>
      </c>
      <c r="BA1143" s="324" t="s">
        <v>3459</v>
      </c>
      <c r="BB1143" s="324" t="s">
        <v>3434</v>
      </c>
      <c r="BC1143" s="324" t="s">
        <v>8487</v>
      </c>
      <c r="BD1143" s="324" t="s">
        <v>3487</v>
      </c>
      <c r="BE1143" s="324" t="s">
        <v>8488</v>
      </c>
      <c r="BF1143" s="324" t="s">
        <v>3487</v>
      </c>
      <c r="BG1143" s="324" t="s">
        <v>8489</v>
      </c>
      <c r="BH1143" s="426" t="s">
        <v>3424</v>
      </c>
      <c r="BI1143" s="453">
        <v>1.3</v>
      </c>
      <c r="BJ1143" s="886" t="s">
        <v>8697</v>
      </c>
      <c r="BK1143" s="428" t="s">
        <v>8804</v>
      </c>
      <c r="BL1143" s="429" t="s">
        <v>8805</v>
      </c>
      <c r="BM1143" s="429" t="s">
        <v>210</v>
      </c>
      <c r="BN1143" s="453" t="s">
        <v>210</v>
      </c>
      <c r="BO1143" s="464" t="s">
        <v>210</v>
      </c>
      <c r="BP1143" s="455" t="s">
        <v>622</v>
      </c>
      <c r="BQ1143" s="456" t="s">
        <v>247</v>
      </c>
      <c r="BR1143" s="342" t="s">
        <v>210</v>
      </c>
      <c r="BS1143" s="342" t="s">
        <v>622</v>
      </c>
      <c r="BT1143" s="342" t="s">
        <v>210</v>
      </c>
      <c r="BU1143" s="342" t="s">
        <v>210</v>
      </c>
      <c r="BV1143" s="342" t="s">
        <v>210</v>
      </c>
      <c r="BW1143" s="341" t="s">
        <v>210</v>
      </c>
      <c r="BX1143" s="341" t="s">
        <v>210</v>
      </c>
      <c r="BY1143" s="457"/>
      <c r="BZ1143" s="363"/>
      <c r="CA1143" s="363"/>
      <c r="CB1143" s="363"/>
      <c r="CC1143" s="363"/>
    </row>
    <row r="1144" spans="1:82" ht="22.5" customHeight="1">
      <c r="B1144" s="442">
        <v>180222</v>
      </c>
      <c r="C1144" s="443" t="s">
        <v>11723</v>
      </c>
      <c r="D1144" s="467" t="s">
        <v>7463</v>
      </c>
      <c r="E1144" s="404" t="s">
        <v>5268</v>
      </c>
      <c r="F1144" s="405" t="s">
        <v>7337</v>
      </c>
      <c r="G1144" s="324" t="s">
        <v>3388</v>
      </c>
      <c r="H1144" s="324" t="s">
        <v>8302</v>
      </c>
      <c r="I1144" s="324" t="s">
        <v>383</v>
      </c>
      <c r="J1144" s="324" t="s">
        <v>214</v>
      </c>
      <c r="K1144" s="324" t="s">
        <v>247</v>
      </c>
      <c r="L1144" s="342">
        <v>4.2</v>
      </c>
      <c r="M1144" s="324" t="s">
        <v>7457</v>
      </c>
      <c r="N1144" s="444" t="s">
        <v>438</v>
      </c>
      <c r="O1144" s="324">
        <v>30</v>
      </c>
      <c r="P1144" s="445">
        <v>5200</v>
      </c>
      <c r="Q1144" s="446">
        <v>5200</v>
      </c>
      <c r="R1144" s="420" t="s">
        <v>8303</v>
      </c>
      <c r="S1144" s="394" t="s">
        <v>11724</v>
      </c>
      <c r="T1144" s="400"/>
      <c r="U1144" s="400"/>
      <c r="V1144" s="394" t="s">
        <v>11725</v>
      </c>
      <c r="W1144" s="332" t="s">
        <v>644</v>
      </c>
      <c r="X1144" s="394" t="s">
        <v>11726</v>
      </c>
      <c r="Y1144" s="394" t="s">
        <v>11727</v>
      </c>
      <c r="Z1144" s="394" t="s">
        <v>11729</v>
      </c>
      <c r="AA1144" s="394" t="s">
        <v>11728</v>
      </c>
      <c r="AB1144" s="416" t="s">
        <v>8505</v>
      </c>
      <c r="AC1144" s="416"/>
      <c r="AD1144" s="447" t="s">
        <v>8694</v>
      </c>
      <c r="AE1144" s="499" t="s">
        <v>302</v>
      </c>
      <c r="AF1144" s="462">
        <v>43418</v>
      </c>
      <c r="AG1144" s="748">
        <v>43494</v>
      </c>
      <c r="AH1144" s="417" t="s">
        <v>210</v>
      </c>
      <c r="AI1144" s="392" t="s">
        <v>210</v>
      </c>
      <c r="AJ1144" s="392" t="s">
        <v>210</v>
      </c>
      <c r="AK1144" s="340" t="s">
        <v>210</v>
      </c>
      <c r="AL1144" s="417" t="s">
        <v>210</v>
      </c>
      <c r="AM1144" s="392" t="s">
        <v>210</v>
      </c>
      <c r="AN1144" s="392" t="s">
        <v>210</v>
      </c>
      <c r="AO1144" s="341" t="s">
        <v>210</v>
      </c>
      <c r="AP1144" s="342" t="s">
        <v>210</v>
      </c>
      <c r="AQ1144" s="433" t="s">
        <v>4547</v>
      </c>
      <c r="AR1144" s="452">
        <v>6876.9</v>
      </c>
      <c r="AS1144" s="324">
        <v>100</v>
      </c>
      <c r="AT1144" s="432">
        <v>1</v>
      </c>
      <c r="AU1144" s="432" t="s">
        <v>5246</v>
      </c>
      <c r="AV1144" s="432">
        <v>1.5</v>
      </c>
      <c r="AW1144" s="490" t="s">
        <v>5246</v>
      </c>
      <c r="AX1144" s="321" t="s">
        <v>622</v>
      </c>
      <c r="AY1144" s="1045" t="s">
        <v>622</v>
      </c>
      <c r="AZ1144" s="405" t="s">
        <v>4083</v>
      </c>
      <c r="BA1144" s="324" t="s">
        <v>210</v>
      </c>
      <c r="BB1144" s="324" t="s">
        <v>210</v>
      </c>
      <c r="BC1144" s="324" t="s">
        <v>3475</v>
      </c>
      <c r="BD1144" s="324" t="s">
        <v>8506</v>
      </c>
      <c r="BE1144" s="324" t="s">
        <v>3475</v>
      </c>
      <c r="BF1144" s="324" t="s">
        <v>8506</v>
      </c>
      <c r="BG1144" s="324" t="s">
        <v>4673</v>
      </c>
      <c r="BH1144" s="426" t="s">
        <v>8507</v>
      </c>
      <c r="BI1144" s="453" t="s">
        <v>8508</v>
      </c>
      <c r="BJ1144" s="427" t="s">
        <v>210</v>
      </c>
      <c r="BK1144" s="412"/>
      <c r="BL1144" s="413"/>
      <c r="BM1144" s="429" t="s">
        <v>210</v>
      </c>
      <c r="BN1144" s="453" t="s">
        <v>210</v>
      </c>
      <c r="BO1144" s="464" t="s">
        <v>210</v>
      </c>
      <c r="BP1144" s="455" t="s">
        <v>622</v>
      </c>
      <c r="BQ1144" s="456" t="s">
        <v>247</v>
      </c>
      <c r="BR1144" s="342" t="s">
        <v>622</v>
      </c>
      <c r="BS1144" s="342" t="s">
        <v>210</v>
      </c>
      <c r="BT1144" s="342" t="s">
        <v>622</v>
      </c>
      <c r="BU1144" s="342" t="s">
        <v>210</v>
      </c>
      <c r="BV1144" s="342" t="s">
        <v>210</v>
      </c>
      <c r="BW1144" s="342" t="s">
        <v>210</v>
      </c>
      <c r="BX1144" s="341" t="s">
        <v>210</v>
      </c>
      <c r="BY1144" s="457"/>
      <c r="BZ1144" s="363"/>
      <c r="CA1144" s="363"/>
      <c r="CB1144" s="363"/>
      <c r="CC1144" s="363"/>
    </row>
    <row r="1145" spans="1:82" ht="22.5" customHeight="1">
      <c r="B1145" s="442">
        <v>180223</v>
      </c>
      <c r="C1145" s="443" t="s">
        <v>8319</v>
      </c>
      <c r="D1145" s="467" t="s">
        <v>4854</v>
      </c>
      <c r="E1145" s="404" t="s">
        <v>5362</v>
      </c>
      <c r="F1145" s="405" t="s">
        <v>8320</v>
      </c>
      <c r="G1145" s="324" t="s">
        <v>8321</v>
      </c>
      <c r="H1145" s="324" t="s">
        <v>8322</v>
      </c>
      <c r="I1145" s="324" t="s">
        <v>383</v>
      </c>
      <c r="J1145" s="324" t="s">
        <v>214</v>
      </c>
      <c r="K1145" s="324" t="s">
        <v>917</v>
      </c>
      <c r="L1145" s="342" t="s">
        <v>210</v>
      </c>
      <c r="M1145" s="324" t="s">
        <v>7457</v>
      </c>
      <c r="N1145" s="444" t="s">
        <v>438</v>
      </c>
      <c r="O1145" s="324">
        <v>250</v>
      </c>
      <c r="P1145" s="458">
        <v>3232.44</v>
      </c>
      <c r="Q1145" s="459">
        <v>3425.66</v>
      </c>
      <c r="R1145" s="329" t="s">
        <v>472</v>
      </c>
      <c r="S1145" s="394" t="s">
        <v>11720</v>
      </c>
      <c r="T1145" s="394" t="s">
        <v>11722</v>
      </c>
      <c r="U1145" s="394" t="s">
        <v>16446</v>
      </c>
      <c r="V1145" s="394" t="s">
        <v>11721</v>
      </c>
      <c r="W1145" s="332" t="s">
        <v>432</v>
      </c>
      <c r="X1145" s="331" t="s">
        <v>11079</v>
      </c>
      <c r="Y1145" s="331" t="s">
        <v>11080</v>
      </c>
      <c r="Z1145" s="331" t="s">
        <v>11080</v>
      </c>
      <c r="AA1145" s="331" t="s">
        <v>6574</v>
      </c>
      <c r="AB1145" s="416" t="s">
        <v>1106</v>
      </c>
      <c r="AC1145" s="416"/>
      <c r="AD1145" s="447" t="s">
        <v>8722</v>
      </c>
      <c r="AE1145" s="499" t="s">
        <v>8521</v>
      </c>
      <c r="AF1145" s="462">
        <v>43416</v>
      </c>
      <c r="AG1145" s="748">
        <v>43502</v>
      </c>
      <c r="AH1145" s="417">
        <v>12.2</v>
      </c>
      <c r="AI1145" s="392">
        <v>37.1</v>
      </c>
      <c r="AJ1145" s="392">
        <v>30.5</v>
      </c>
      <c r="AK1145" s="340">
        <f>SUM(AH1145:AJ1145)</f>
        <v>79.8</v>
      </c>
      <c r="AL1145" s="417" t="s">
        <v>210</v>
      </c>
      <c r="AM1145" s="392" t="s">
        <v>210</v>
      </c>
      <c r="AN1145" s="392" t="s">
        <v>210</v>
      </c>
      <c r="AO1145" s="341" t="s">
        <v>210</v>
      </c>
      <c r="AP1145" s="418" t="s">
        <v>210</v>
      </c>
      <c r="AQ1145" s="433" t="s">
        <v>4547</v>
      </c>
      <c r="AR1145" s="452">
        <v>4231.3999999999996</v>
      </c>
      <c r="AS1145" s="324">
        <v>150</v>
      </c>
      <c r="AT1145" s="432">
        <v>1</v>
      </c>
      <c r="AU1145" s="432" t="s">
        <v>5246</v>
      </c>
      <c r="AV1145" s="432">
        <v>1.5</v>
      </c>
      <c r="AW1145" s="490" t="s">
        <v>3495</v>
      </c>
      <c r="AX1145" s="456" t="s">
        <v>210</v>
      </c>
      <c r="AY1145" s="429" t="s">
        <v>210</v>
      </c>
      <c r="AZ1145" s="405" t="s">
        <v>4083</v>
      </c>
      <c r="BA1145" s="324" t="s">
        <v>210</v>
      </c>
      <c r="BB1145" s="324" t="s">
        <v>210</v>
      </c>
      <c r="BC1145" s="324" t="s">
        <v>8509</v>
      </c>
      <c r="BD1145" s="324" t="s">
        <v>5280</v>
      </c>
      <c r="BE1145" s="324" t="s">
        <v>8510</v>
      </c>
      <c r="BF1145" s="324" t="s">
        <v>8511</v>
      </c>
      <c r="BG1145" s="324" t="s">
        <v>8512</v>
      </c>
      <c r="BH1145" s="426" t="s">
        <v>3898</v>
      </c>
      <c r="BI1145" s="453">
        <v>1.1000000000000001</v>
      </c>
      <c r="BJ1145" s="427" t="s">
        <v>210</v>
      </c>
      <c r="BK1145" s="428" t="s">
        <v>3492</v>
      </c>
      <c r="BL1145" s="429">
        <f>1.45+3+2.1</f>
        <v>6.5500000000000007</v>
      </c>
      <c r="BM1145" s="429" t="s">
        <v>210</v>
      </c>
      <c r="BN1145" s="453" t="s">
        <v>210</v>
      </c>
      <c r="BO1145" s="464" t="s">
        <v>210</v>
      </c>
      <c r="BP1145" s="455" t="s">
        <v>622</v>
      </c>
      <c r="BQ1145" s="456" t="s">
        <v>1059</v>
      </c>
      <c r="BR1145" s="342" t="s">
        <v>210</v>
      </c>
      <c r="BS1145" s="342" t="s">
        <v>622</v>
      </c>
      <c r="BT1145" s="342" t="s">
        <v>210</v>
      </c>
      <c r="BU1145" s="342" t="s">
        <v>210</v>
      </c>
      <c r="BV1145" s="342" t="s">
        <v>210</v>
      </c>
      <c r="BW1145" s="341" t="s">
        <v>210</v>
      </c>
      <c r="BX1145" s="341" t="s">
        <v>210</v>
      </c>
      <c r="BY1145" s="457"/>
      <c r="BZ1145" s="363"/>
      <c r="CA1145" s="363"/>
      <c r="CB1145" s="363"/>
      <c r="CC1145" s="363"/>
    </row>
    <row r="1146" spans="1:82" ht="22.5" customHeight="1">
      <c r="B1146" s="442">
        <v>180224</v>
      </c>
      <c r="C1146" s="443" t="s">
        <v>8327</v>
      </c>
      <c r="D1146" s="439" t="s">
        <v>8339</v>
      </c>
      <c r="E1146" s="404" t="s">
        <v>5362</v>
      </c>
      <c r="F1146" s="405" t="s">
        <v>1390</v>
      </c>
      <c r="G1146" s="324" t="s">
        <v>8329</v>
      </c>
      <c r="H1146" s="324" t="s">
        <v>8400</v>
      </c>
      <c r="I1146" s="324" t="s">
        <v>383</v>
      </c>
      <c r="J1146" s="324" t="s">
        <v>214</v>
      </c>
      <c r="K1146" s="324" t="s">
        <v>247</v>
      </c>
      <c r="L1146" s="361"/>
      <c r="M1146" s="324" t="s">
        <v>7457</v>
      </c>
      <c r="N1146" s="444" t="s">
        <v>438</v>
      </c>
      <c r="O1146" s="324">
        <v>81</v>
      </c>
      <c r="P1146" s="445">
        <v>1200</v>
      </c>
      <c r="Q1146" s="446">
        <v>1200</v>
      </c>
      <c r="R1146" s="420" t="s">
        <v>8328</v>
      </c>
      <c r="S1146" s="394" t="s">
        <v>11718</v>
      </c>
      <c r="T1146" s="400"/>
      <c r="U1146" s="400"/>
      <c r="V1146" s="394" t="s">
        <v>11719</v>
      </c>
      <c r="W1146" s="332" t="s">
        <v>644</v>
      </c>
      <c r="X1146" s="400"/>
      <c r="Y1146" s="400"/>
      <c r="Z1146" s="400"/>
      <c r="AA1146" s="400"/>
      <c r="AB1146" s="416"/>
      <c r="AC1146" s="416"/>
      <c r="AD1146" s="334" t="s">
        <v>2321</v>
      </c>
      <c r="AE1146" s="499" t="s">
        <v>8597</v>
      </c>
      <c r="AF1146" s="462">
        <v>43418</v>
      </c>
      <c r="AG1146" s="748">
        <v>43504</v>
      </c>
      <c r="AH1146" s="417" t="s">
        <v>210</v>
      </c>
      <c r="AI1146" s="392" t="s">
        <v>210</v>
      </c>
      <c r="AJ1146" s="392" t="s">
        <v>210</v>
      </c>
      <c r="AK1146" s="340" t="s">
        <v>210</v>
      </c>
      <c r="AL1146" s="417" t="s">
        <v>210</v>
      </c>
      <c r="AM1146" s="392" t="s">
        <v>210</v>
      </c>
      <c r="AN1146" s="392" t="s">
        <v>210</v>
      </c>
      <c r="AO1146" s="341" t="s">
        <v>210</v>
      </c>
      <c r="AP1146" s="342" t="s">
        <v>622</v>
      </c>
      <c r="AQ1146" s="433" t="s">
        <v>4547</v>
      </c>
      <c r="AR1146" s="452">
        <v>1638</v>
      </c>
      <c r="AS1146" s="324">
        <v>80</v>
      </c>
      <c r="AT1146" s="432">
        <v>1</v>
      </c>
      <c r="AU1146" s="432" t="s">
        <v>8276</v>
      </c>
      <c r="AV1146" s="432">
        <v>1.5</v>
      </c>
      <c r="AW1146" s="490" t="s">
        <v>8404</v>
      </c>
      <c r="AX1146" s="456" t="s">
        <v>210</v>
      </c>
      <c r="AY1146" s="429" t="s">
        <v>210</v>
      </c>
      <c r="AZ1146" s="405" t="s">
        <v>4083</v>
      </c>
      <c r="BA1146" s="324" t="s">
        <v>210</v>
      </c>
      <c r="BB1146" s="324" t="s">
        <v>210</v>
      </c>
      <c r="BC1146" s="324" t="s">
        <v>3555</v>
      </c>
      <c r="BD1146" s="324" t="s">
        <v>6579</v>
      </c>
      <c r="BE1146" s="324" t="s">
        <v>3555</v>
      </c>
      <c r="BF1146" s="324" t="s">
        <v>8276</v>
      </c>
      <c r="BG1146" s="324" t="s">
        <v>8401</v>
      </c>
      <c r="BH1146" s="426" t="s">
        <v>6579</v>
      </c>
      <c r="BI1146" s="453">
        <v>2</v>
      </c>
      <c r="BJ1146" s="427" t="s">
        <v>210</v>
      </c>
      <c r="BK1146" s="412"/>
      <c r="BL1146" s="413"/>
      <c r="BM1146" s="429" t="s">
        <v>210</v>
      </c>
      <c r="BN1146" s="453" t="s">
        <v>622</v>
      </c>
      <c r="BO1146" s="464">
        <v>2.1800000000000002</v>
      </c>
      <c r="BP1146" s="455" t="s">
        <v>622</v>
      </c>
      <c r="BQ1146" s="456" t="s">
        <v>247</v>
      </c>
      <c r="BR1146" s="342" t="s">
        <v>622</v>
      </c>
      <c r="BS1146" s="342" t="s">
        <v>210</v>
      </c>
      <c r="BT1146" s="342" t="s">
        <v>210</v>
      </c>
      <c r="BU1146" s="342" t="s">
        <v>210</v>
      </c>
      <c r="BV1146" s="342" t="s">
        <v>210</v>
      </c>
      <c r="BW1146" s="341" t="s">
        <v>210</v>
      </c>
      <c r="BX1146" s="341" t="s">
        <v>210</v>
      </c>
      <c r="BY1146" s="457" t="s">
        <v>8421</v>
      </c>
      <c r="BZ1146" s="363"/>
      <c r="CA1146" s="363"/>
      <c r="CB1146" s="363"/>
      <c r="CC1146" s="363"/>
    </row>
    <row r="1147" spans="1:82" ht="22.5" customHeight="1">
      <c r="B1147" s="442">
        <v>180225</v>
      </c>
      <c r="C1147" s="443" t="s">
        <v>8341</v>
      </c>
      <c r="D1147" s="439" t="s">
        <v>4847</v>
      </c>
      <c r="E1147" s="404" t="s">
        <v>5362</v>
      </c>
      <c r="F1147" s="405" t="s">
        <v>7135</v>
      </c>
      <c r="G1147" s="324" t="s">
        <v>8342</v>
      </c>
      <c r="H1147" s="324" t="s">
        <v>8372</v>
      </c>
      <c r="I1147" s="324" t="s">
        <v>383</v>
      </c>
      <c r="J1147" s="324" t="s">
        <v>7171</v>
      </c>
      <c r="K1147" s="324" t="s">
        <v>8379</v>
      </c>
      <c r="L1147" s="342" t="s">
        <v>210</v>
      </c>
      <c r="M1147" s="324" t="s">
        <v>7457</v>
      </c>
      <c r="N1147" s="444" t="s">
        <v>438</v>
      </c>
      <c r="O1147" s="324">
        <v>25</v>
      </c>
      <c r="P1147" s="458">
        <f>1351.44+531.36</f>
        <v>1882.8000000000002</v>
      </c>
      <c r="Q1147" s="446">
        <v>1300</v>
      </c>
      <c r="R1147" s="420" t="s">
        <v>8343</v>
      </c>
      <c r="S1147" s="394" t="s">
        <v>11714</v>
      </c>
      <c r="T1147" s="394" t="s">
        <v>11717</v>
      </c>
      <c r="U1147" s="394" t="s">
        <v>11715</v>
      </c>
      <c r="V1147" s="394" t="s">
        <v>11716</v>
      </c>
      <c r="W1147" s="332" t="s">
        <v>9740</v>
      </c>
      <c r="X1147" s="400"/>
      <c r="Y1147" s="400"/>
      <c r="Z1147" s="400"/>
      <c r="AA1147" s="400"/>
      <c r="AB1147" s="416"/>
      <c r="AC1147" s="416"/>
      <c r="AD1147" s="447" t="s">
        <v>8723</v>
      </c>
      <c r="AE1147" s="499" t="s">
        <v>231</v>
      </c>
      <c r="AF1147" s="462">
        <v>43424</v>
      </c>
      <c r="AG1147" s="748">
        <v>43511</v>
      </c>
      <c r="AH1147" s="417" t="s">
        <v>210</v>
      </c>
      <c r="AI1147" s="392" t="s">
        <v>210</v>
      </c>
      <c r="AJ1147" s="392" t="s">
        <v>210</v>
      </c>
      <c r="AK1147" s="340" t="s">
        <v>210</v>
      </c>
      <c r="AL1147" s="417" t="s">
        <v>210</v>
      </c>
      <c r="AM1147" s="392" t="s">
        <v>210</v>
      </c>
      <c r="AN1147" s="392" t="s">
        <v>210</v>
      </c>
      <c r="AO1147" s="341" t="s">
        <v>210</v>
      </c>
      <c r="AP1147" s="418" t="s">
        <v>210</v>
      </c>
      <c r="AQ1147" s="433" t="s">
        <v>4547</v>
      </c>
      <c r="AR1147" s="452">
        <f>1298+681</f>
        <v>1979</v>
      </c>
      <c r="AS1147" s="324">
        <v>150</v>
      </c>
      <c r="AT1147" s="432">
        <v>1</v>
      </c>
      <c r="AU1147" s="432" t="s">
        <v>8438</v>
      </c>
      <c r="AV1147" s="432">
        <v>1.5</v>
      </c>
      <c r="AW1147" s="490" t="s">
        <v>8438</v>
      </c>
      <c r="AX1147" s="321" t="s">
        <v>622</v>
      </c>
      <c r="AY1147" s="429" t="s">
        <v>210</v>
      </c>
      <c r="AZ1147" s="405" t="s">
        <v>4083</v>
      </c>
      <c r="BA1147" s="324" t="s">
        <v>210</v>
      </c>
      <c r="BB1147" s="324" t="s">
        <v>210</v>
      </c>
      <c r="BC1147" s="324" t="s">
        <v>3459</v>
      </c>
      <c r="BD1147" s="324" t="s">
        <v>8375</v>
      </c>
      <c r="BE1147" s="324" t="s">
        <v>8376</v>
      </c>
      <c r="BF1147" s="324" t="s">
        <v>8375</v>
      </c>
      <c r="BG1147" s="324" t="s">
        <v>8376</v>
      </c>
      <c r="BH1147" s="426" t="s">
        <v>8377</v>
      </c>
      <c r="BI1147" s="453" t="s">
        <v>210</v>
      </c>
      <c r="BJ1147" s="427" t="s">
        <v>210</v>
      </c>
      <c r="BK1147" s="428" t="s">
        <v>8829</v>
      </c>
      <c r="BL1147" s="429">
        <v>1.9</v>
      </c>
      <c r="BM1147" s="429" t="s">
        <v>210</v>
      </c>
      <c r="BN1147" s="453" t="s">
        <v>8374</v>
      </c>
      <c r="BO1147" s="464" t="s">
        <v>210</v>
      </c>
      <c r="BP1147" s="455" t="s">
        <v>622</v>
      </c>
      <c r="BQ1147" s="456" t="s">
        <v>8373</v>
      </c>
      <c r="BR1147" s="342" t="s">
        <v>622</v>
      </c>
      <c r="BS1147" s="342" t="s">
        <v>210</v>
      </c>
      <c r="BT1147" s="342" t="s">
        <v>210</v>
      </c>
      <c r="BU1147" s="342" t="s">
        <v>210</v>
      </c>
      <c r="BV1147" s="342" t="s">
        <v>210</v>
      </c>
      <c r="BW1147" s="341" t="s">
        <v>210</v>
      </c>
      <c r="BX1147" s="341" t="s">
        <v>210</v>
      </c>
      <c r="BY1147" s="457" t="s">
        <v>8378</v>
      </c>
      <c r="BZ1147" s="363"/>
      <c r="CA1147" s="363"/>
      <c r="CB1147" s="363"/>
      <c r="CC1147" s="363"/>
    </row>
    <row r="1148" spans="1:82" ht="22.5" customHeight="1">
      <c r="B1148" s="442">
        <v>180226</v>
      </c>
      <c r="C1148" s="443" t="s">
        <v>8346</v>
      </c>
      <c r="D1148" s="467" t="s">
        <v>6135</v>
      </c>
      <c r="E1148" s="404" t="s">
        <v>5362</v>
      </c>
      <c r="F1148" s="405" t="s">
        <v>2300</v>
      </c>
      <c r="G1148" s="324" t="s">
        <v>8347</v>
      </c>
      <c r="H1148" s="324" t="s">
        <v>8348</v>
      </c>
      <c r="I1148" s="324" t="s">
        <v>383</v>
      </c>
      <c r="J1148" s="324" t="s">
        <v>3939</v>
      </c>
      <c r="K1148" s="324" t="s">
        <v>5225</v>
      </c>
      <c r="L1148" s="342" t="s">
        <v>210</v>
      </c>
      <c r="M1148" s="324" t="s">
        <v>6509</v>
      </c>
      <c r="N1148" s="444" t="s">
        <v>8393</v>
      </c>
      <c r="O1148" s="324" t="s">
        <v>8394</v>
      </c>
      <c r="P1148" s="458">
        <v>4529</v>
      </c>
      <c r="Q1148" s="459">
        <v>2264</v>
      </c>
      <c r="R1148" s="420" t="s">
        <v>8349</v>
      </c>
      <c r="S1148" s="400"/>
      <c r="T1148" s="400"/>
      <c r="U1148" s="400"/>
      <c r="V1148" s="400"/>
      <c r="W1148" s="460" t="s">
        <v>7177</v>
      </c>
      <c r="X1148" s="394" t="s">
        <v>11711</v>
      </c>
      <c r="Y1148" s="394" t="s">
        <v>11713</v>
      </c>
      <c r="Z1148" s="400"/>
      <c r="AA1148" s="394" t="s">
        <v>11712</v>
      </c>
      <c r="AB1148" s="416"/>
      <c r="AC1148" s="416"/>
      <c r="AD1148" s="447" t="s">
        <v>10069</v>
      </c>
      <c r="AE1148" s="499" t="s">
        <v>8685</v>
      </c>
      <c r="AF1148" s="462">
        <v>43424</v>
      </c>
      <c r="AG1148" s="748">
        <v>43509</v>
      </c>
      <c r="AH1148" s="417" t="s">
        <v>210</v>
      </c>
      <c r="AI1148" s="392" t="s">
        <v>210</v>
      </c>
      <c r="AJ1148" s="392" t="s">
        <v>210</v>
      </c>
      <c r="AK1148" s="340" t="s">
        <v>210</v>
      </c>
      <c r="AL1148" s="417" t="s">
        <v>210</v>
      </c>
      <c r="AM1148" s="392" t="s">
        <v>210</v>
      </c>
      <c r="AN1148" s="392" t="s">
        <v>210</v>
      </c>
      <c r="AO1148" s="341" t="s">
        <v>210</v>
      </c>
      <c r="AP1148" s="418" t="s">
        <v>210</v>
      </c>
      <c r="AQ1148" s="433" t="s">
        <v>4547</v>
      </c>
      <c r="AR1148" s="452">
        <f>2241+768</f>
        <v>3009</v>
      </c>
      <c r="AS1148" s="324">
        <v>100</v>
      </c>
      <c r="AT1148" s="432">
        <v>1</v>
      </c>
      <c r="AU1148" s="432" t="s">
        <v>3627</v>
      </c>
      <c r="AV1148" s="432">
        <v>2.5</v>
      </c>
      <c r="AW1148" s="490" t="s">
        <v>3627</v>
      </c>
      <c r="AX1148" s="456" t="s">
        <v>210</v>
      </c>
      <c r="AY1148" s="429" t="s">
        <v>210</v>
      </c>
      <c r="AZ1148" s="405" t="s">
        <v>622</v>
      </c>
      <c r="BA1148" s="324" t="s">
        <v>8395</v>
      </c>
      <c r="BB1148" s="324" t="s">
        <v>3434</v>
      </c>
      <c r="BC1148" s="324" t="s">
        <v>5350</v>
      </c>
      <c r="BD1148" s="324" t="s">
        <v>8396</v>
      </c>
      <c r="BE1148" s="324" t="s">
        <v>3459</v>
      </c>
      <c r="BF1148" s="324" t="s">
        <v>3627</v>
      </c>
      <c r="BG1148" s="324" t="s">
        <v>8397</v>
      </c>
      <c r="BH1148" s="426" t="s">
        <v>3936</v>
      </c>
      <c r="BI1148" s="453">
        <v>0.5</v>
      </c>
      <c r="BJ1148" s="427">
        <v>0.61</v>
      </c>
      <c r="BK1148" s="412"/>
      <c r="BL1148" s="413"/>
      <c r="BM1148" s="429" t="s">
        <v>210</v>
      </c>
      <c r="BN1148" s="453" t="s">
        <v>622</v>
      </c>
      <c r="BO1148" s="464">
        <v>1.4</v>
      </c>
      <c r="BP1148" s="455" t="s">
        <v>622</v>
      </c>
      <c r="BQ1148" s="456" t="s">
        <v>1059</v>
      </c>
      <c r="BR1148" s="342" t="s">
        <v>210</v>
      </c>
      <c r="BS1148" s="342" t="s">
        <v>622</v>
      </c>
      <c r="BT1148" s="342" t="s">
        <v>210</v>
      </c>
      <c r="BU1148" s="342" t="s">
        <v>210</v>
      </c>
      <c r="BV1148" s="342" t="s">
        <v>210</v>
      </c>
      <c r="BW1148" s="341" t="s">
        <v>210</v>
      </c>
      <c r="BX1148" s="341" t="s">
        <v>210</v>
      </c>
      <c r="BY1148" s="457" t="s">
        <v>8398</v>
      </c>
      <c r="BZ1148" s="363"/>
      <c r="CA1148" s="363"/>
      <c r="CB1148" s="363"/>
      <c r="CC1148" s="363"/>
    </row>
    <row r="1149" spans="1:82" ht="22.5" customHeight="1">
      <c r="B1149" s="442">
        <v>180227</v>
      </c>
      <c r="C1149" s="443" t="s">
        <v>8356</v>
      </c>
      <c r="D1149" s="467" t="s">
        <v>7463</v>
      </c>
      <c r="E1149" s="404" t="s">
        <v>5405</v>
      </c>
      <c r="F1149" s="405" t="s">
        <v>8357</v>
      </c>
      <c r="G1149" s="324" t="s">
        <v>8358</v>
      </c>
      <c r="H1149" s="324" t="s">
        <v>8359</v>
      </c>
      <c r="I1149" s="324" t="s">
        <v>383</v>
      </c>
      <c r="J1149" s="324" t="s">
        <v>214</v>
      </c>
      <c r="K1149" s="324" t="s">
        <v>8360</v>
      </c>
      <c r="L1149" s="342">
        <v>40</v>
      </c>
      <c r="M1149" s="324" t="s">
        <v>7457</v>
      </c>
      <c r="N1149" s="444" t="s">
        <v>438</v>
      </c>
      <c r="O1149" s="324">
        <v>30</v>
      </c>
      <c r="P1149" s="445">
        <f>18*60</f>
        <v>1080</v>
      </c>
      <c r="Q1149" s="446">
        <v>1080</v>
      </c>
      <c r="R1149" s="329" t="s">
        <v>456</v>
      </c>
      <c r="S1149" s="394" t="s">
        <v>11703</v>
      </c>
      <c r="T1149" s="394" t="s">
        <v>11705</v>
      </c>
      <c r="U1149" s="394" t="s">
        <v>11704</v>
      </c>
      <c r="V1149" s="394" t="s">
        <v>11706</v>
      </c>
      <c r="W1149" s="332" t="s">
        <v>457</v>
      </c>
      <c r="X1149" s="331" t="s">
        <v>11707</v>
      </c>
      <c r="Y1149" s="331" t="s">
        <v>11710</v>
      </c>
      <c r="Z1149" s="331" t="s">
        <v>11709</v>
      </c>
      <c r="AA1149" s="331" t="s">
        <v>11708</v>
      </c>
      <c r="AB1149" s="416"/>
      <c r="AC1149" s="416"/>
      <c r="AD1149" s="447" t="s">
        <v>8956</v>
      </c>
      <c r="AE1149" s="499" t="s">
        <v>9257</v>
      </c>
      <c r="AF1149" s="462">
        <v>43425</v>
      </c>
      <c r="AG1149" s="748">
        <v>43549</v>
      </c>
      <c r="AH1149" s="417" t="s">
        <v>210</v>
      </c>
      <c r="AI1149" s="392" t="s">
        <v>210</v>
      </c>
      <c r="AJ1149" s="392" t="s">
        <v>210</v>
      </c>
      <c r="AK1149" s="340" t="s">
        <v>210</v>
      </c>
      <c r="AL1149" s="417" t="s">
        <v>210</v>
      </c>
      <c r="AM1149" s="392" t="s">
        <v>210</v>
      </c>
      <c r="AN1149" s="392" t="s">
        <v>210</v>
      </c>
      <c r="AO1149" s="341" t="s">
        <v>210</v>
      </c>
      <c r="AP1149" s="342" t="s">
        <v>622</v>
      </c>
      <c r="AQ1149" s="433" t="s">
        <v>4547</v>
      </c>
      <c r="AR1149" s="452">
        <v>1627</v>
      </c>
      <c r="AS1149" s="324">
        <v>80</v>
      </c>
      <c r="AT1149" s="432">
        <v>1</v>
      </c>
      <c r="AU1149" s="432" t="s">
        <v>8517</v>
      </c>
      <c r="AV1149" s="432">
        <v>1.5</v>
      </c>
      <c r="AW1149" s="490" t="s">
        <v>6055</v>
      </c>
      <c r="AX1149" s="456" t="s">
        <v>210</v>
      </c>
      <c r="AY1149" s="429" t="s">
        <v>210</v>
      </c>
      <c r="AZ1149" s="405" t="s">
        <v>4083</v>
      </c>
      <c r="BA1149" s="324" t="s">
        <v>210</v>
      </c>
      <c r="BB1149" s="324" t="s">
        <v>210</v>
      </c>
      <c r="BC1149" s="324" t="s">
        <v>3459</v>
      </c>
      <c r="BD1149" s="324" t="s">
        <v>5833</v>
      </c>
      <c r="BE1149" s="324" t="s">
        <v>210</v>
      </c>
      <c r="BF1149" s="324" t="s">
        <v>210</v>
      </c>
      <c r="BG1149" s="324" t="s">
        <v>3555</v>
      </c>
      <c r="BH1149" s="426" t="s">
        <v>8518</v>
      </c>
      <c r="BI1149" s="453">
        <v>1.3</v>
      </c>
      <c r="BJ1149" s="886" t="s">
        <v>8892</v>
      </c>
      <c r="BK1149" s="995" t="s">
        <v>8811</v>
      </c>
      <c r="BL1149" s="429">
        <v>0.9</v>
      </c>
      <c r="BM1149" s="429" t="s">
        <v>210</v>
      </c>
      <c r="BN1149" s="453" t="s">
        <v>210</v>
      </c>
      <c r="BO1149" s="464" t="s">
        <v>210</v>
      </c>
      <c r="BP1149" s="455" t="s">
        <v>8519</v>
      </c>
      <c r="BQ1149" s="456" t="s">
        <v>247</v>
      </c>
      <c r="BR1149" s="342" t="s">
        <v>210</v>
      </c>
      <c r="BS1149" s="342" t="s">
        <v>210</v>
      </c>
      <c r="BT1149" s="342" t="s">
        <v>210</v>
      </c>
      <c r="BU1149" s="342" t="s">
        <v>210</v>
      </c>
      <c r="BV1149" s="342" t="s">
        <v>210</v>
      </c>
      <c r="BW1149" s="341" t="s">
        <v>210</v>
      </c>
      <c r="BX1149" s="341" t="s">
        <v>210</v>
      </c>
      <c r="BY1149" s="457"/>
      <c r="BZ1149" s="363"/>
      <c r="CA1149" s="363"/>
      <c r="CB1149" s="363"/>
      <c r="CC1149" s="363"/>
    </row>
    <row r="1150" spans="1:82" ht="22.5" customHeight="1">
      <c r="B1150" s="442">
        <v>180228</v>
      </c>
      <c r="C1150" s="443" t="s">
        <v>11702</v>
      </c>
      <c r="D1150" s="439" t="s">
        <v>4847</v>
      </c>
      <c r="E1150" s="404" t="s">
        <v>5362</v>
      </c>
      <c r="F1150" s="405" t="s">
        <v>8361</v>
      </c>
      <c r="G1150" s="324" t="s">
        <v>6014</v>
      </c>
      <c r="H1150" s="324" t="s">
        <v>8362</v>
      </c>
      <c r="I1150" s="324" t="s">
        <v>383</v>
      </c>
      <c r="J1150" s="324" t="s">
        <v>7171</v>
      </c>
      <c r="K1150" s="324" t="s">
        <v>247</v>
      </c>
      <c r="L1150" s="342">
        <v>10</v>
      </c>
      <c r="M1150" s="324" t="s">
        <v>7457</v>
      </c>
      <c r="N1150" s="444" t="s">
        <v>438</v>
      </c>
      <c r="O1150" s="324">
        <v>40</v>
      </c>
      <c r="P1150" s="458">
        <v>756.37</v>
      </c>
      <c r="Q1150" s="459">
        <v>594.6</v>
      </c>
      <c r="R1150" s="420" t="s">
        <v>8363</v>
      </c>
      <c r="S1150" s="394" t="s">
        <v>11528</v>
      </c>
      <c r="T1150" s="394" t="s">
        <v>11529</v>
      </c>
      <c r="U1150" s="394" t="s">
        <v>16415</v>
      </c>
      <c r="V1150" s="394" t="s">
        <v>11531</v>
      </c>
      <c r="W1150" s="332" t="s">
        <v>1040</v>
      </c>
      <c r="X1150" s="394" t="s">
        <v>11528</v>
      </c>
      <c r="Y1150" s="394" t="s">
        <v>11529</v>
      </c>
      <c r="Z1150" s="394" t="s">
        <v>11530</v>
      </c>
      <c r="AA1150" s="394" t="s">
        <v>11531</v>
      </c>
      <c r="AB1150" s="416"/>
      <c r="AC1150" s="416"/>
      <c r="AD1150" s="447" t="s">
        <v>8576</v>
      </c>
      <c r="AE1150" s="499" t="s">
        <v>1038</v>
      </c>
      <c r="AF1150" s="462">
        <v>43425</v>
      </c>
      <c r="AG1150" s="748">
        <v>43496</v>
      </c>
      <c r="AH1150" s="417" t="s">
        <v>210</v>
      </c>
      <c r="AI1150" s="392" t="s">
        <v>210</v>
      </c>
      <c r="AJ1150" s="392" t="s">
        <v>210</v>
      </c>
      <c r="AK1150" s="340" t="s">
        <v>210</v>
      </c>
      <c r="AL1150" s="417" t="s">
        <v>210</v>
      </c>
      <c r="AM1150" s="392" t="s">
        <v>210</v>
      </c>
      <c r="AN1150" s="392" t="s">
        <v>210</v>
      </c>
      <c r="AO1150" s="341" t="s">
        <v>210</v>
      </c>
      <c r="AP1150" s="418" t="s">
        <v>210</v>
      </c>
      <c r="AQ1150" s="433" t="s">
        <v>4547</v>
      </c>
      <c r="AR1150" s="452">
        <v>793</v>
      </c>
      <c r="AS1150" s="324">
        <v>130</v>
      </c>
      <c r="AT1150" s="432">
        <v>1</v>
      </c>
      <c r="AU1150" s="432" t="s">
        <v>5246</v>
      </c>
      <c r="AV1150" s="432">
        <v>1.5</v>
      </c>
      <c r="AW1150" s="490" t="s">
        <v>5246</v>
      </c>
      <c r="AX1150" s="456" t="s">
        <v>210</v>
      </c>
      <c r="AY1150" s="1045" t="s">
        <v>622</v>
      </c>
      <c r="AZ1150" s="405" t="s">
        <v>4083</v>
      </c>
      <c r="BA1150" s="324" t="s">
        <v>210</v>
      </c>
      <c r="BB1150" s="324" t="s">
        <v>210</v>
      </c>
      <c r="BC1150" s="324" t="s">
        <v>210</v>
      </c>
      <c r="BD1150" s="324" t="s">
        <v>210</v>
      </c>
      <c r="BE1150" s="324" t="s">
        <v>3555</v>
      </c>
      <c r="BF1150" s="324" t="s">
        <v>3434</v>
      </c>
      <c r="BG1150" s="324" t="s">
        <v>210</v>
      </c>
      <c r="BH1150" s="426" t="s">
        <v>210</v>
      </c>
      <c r="BI1150" s="453">
        <v>3.5</v>
      </c>
      <c r="BJ1150" s="427" t="s">
        <v>210</v>
      </c>
      <c r="BK1150" s="412"/>
      <c r="BL1150" s="413"/>
      <c r="BM1150" s="429" t="s">
        <v>210</v>
      </c>
      <c r="BN1150" s="453" t="s">
        <v>210</v>
      </c>
      <c r="BO1150" s="464">
        <v>1.32</v>
      </c>
      <c r="BP1150" s="455" t="s">
        <v>622</v>
      </c>
      <c r="BQ1150" s="456" t="s">
        <v>5235</v>
      </c>
      <c r="BR1150" s="342" t="s">
        <v>210</v>
      </c>
      <c r="BS1150" s="342" t="s">
        <v>622</v>
      </c>
      <c r="BT1150" s="342" t="s">
        <v>210</v>
      </c>
      <c r="BU1150" s="342" t="s">
        <v>210</v>
      </c>
      <c r="BV1150" s="342" t="s">
        <v>210</v>
      </c>
      <c r="BW1150" s="341" t="s">
        <v>210</v>
      </c>
      <c r="BX1150" s="341" t="s">
        <v>210</v>
      </c>
      <c r="BY1150" s="457" t="s">
        <v>8402</v>
      </c>
      <c r="BZ1150" s="363"/>
      <c r="CA1150" s="363"/>
      <c r="CB1150" s="363"/>
      <c r="CC1150" s="363"/>
    </row>
    <row r="1151" spans="1:82" ht="22.5" customHeight="1">
      <c r="B1151" s="442">
        <v>180229</v>
      </c>
      <c r="C1151" s="443" t="s">
        <v>8371</v>
      </c>
      <c r="D1151" s="467" t="s">
        <v>7463</v>
      </c>
      <c r="E1151" s="404" t="s">
        <v>7988</v>
      </c>
      <c r="F1151" s="405" t="s">
        <v>227</v>
      </c>
      <c r="G1151" s="324" t="s">
        <v>2350</v>
      </c>
      <c r="H1151" s="324" t="s">
        <v>8520</v>
      </c>
      <c r="I1151" s="324" t="s">
        <v>383</v>
      </c>
      <c r="J1151" s="324" t="s">
        <v>214</v>
      </c>
      <c r="K1151" s="324" t="s">
        <v>917</v>
      </c>
      <c r="L1151" s="342" t="s">
        <v>210</v>
      </c>
      <c r="M1151" s="324" t="s">
        <v>7457</v>
      </c>
      <c r="N1151" s="444" t="s">
        <v>438</v>
      </c>
      <c r="O1151" s="324">
        <v>30</v>
      </c>
      <c r="P1151" s="458">
        <v>2099</v>
      </c>
      <c r="Q1151" s="459">
        <v>2180</v>
      </c>
      <c r="R1151" s="329" t="s">
        <v>447</v>
      </c>
      <c r="S1151" s="394" t="s">
        <v>11697</v>
      </c>
      <c r="T1151" s="331" t="s">
        <v>11078</v>
      </c>
      <c r="U1151" s="331" t="s">
        <v>16355</v>
      </c>
      <c r="V1151" s="394" t="s">
        <v>11698</v>
      </c>
      <c r="W1151" s="460" t="s">
        <v>1438</v>
      </c>
      <c r="X1151" s="394" t="s">
        <v>11699</v>
      </c>
      <c r="Y1151" s="394" t="s">
        <v>11310</v>
      </c>
      <c r="Z1151" s="394" t="s">
        <v>11700</v>
      </c>
      <c r="AA1151" s="394" t="s">
        <v>11701</v>
      </c>
      <c r="AB1151" s="416"/>
      <c r="AC1151" s="416"/>
      <c r="AD1151" s="447" t="s">
        <v>730</v>
      </c>
      <c r="AE1151" s="499" t="s">
        <v>9258</v>
      </c>
      <c r="AF1151" s="462">
        <v>43430</v>
      </c>
      <c r="AG1151" s="748">
        <v>43563</v>
      </c>
      <c r="AH1151" s="417" t="s">
        <v>210</v>
      </c>
      <c r="AI1151" s="392" t="s">
        <v>210</v>
      </c>
      <c r="AJ1151" s="392" t="s">
        <v>210</v>
      </c>
      <c r="AK1151" s="340" t="s">
        <v>210</v>
      </c>
      <c r="AL1151" s="417" t="s">
        <v>210</v>
      </c>
      <c r="AM1151" s="392" t="s">
        <v>210</v>
      </c>
      <c r="AN1151" s="392" t="s">
        <v>210</v>
      </c>
      <c r="AO1151" s="341" t="s">
        <v>210</v>
      </c>
      <c r="AP1151" s="418" t="s">
        <v>210</v>
      </c>
      <c r="AQ1151" s="433" t="s">
        <v>4547</v>
      </c>
      <c r="AR1151" s="452">
        <f>2299+246</f>
        <v>2545</v>
      </c>
      <c r="AS1151" s="324">
        <v>100</v>
      </c>
      <c r="AT1151" s="432">
        <v>1.5</v>
      </c>
      <c r="AU1151" s="432" t="s">
        <v>3627</v>
      </c>
      <c r="AV1151" s="432">
        <v>1</v>
      </c>
      <c r="AW1151" s="490" t="s">
        <v>5246</v>
      </c>
      <c r="AX1151" s="456" t="s">
        <v>210</v>
      </c>
      <c r="AY1151" s="1045" t="s">
        <v>622</v>
      </c>
      <c r="AZ1151" s="405" t="s">
        <v>4083</v>
      </c>
      <c r="BA1151" s="324" t="s">
        <v>210</v>
      </c>
      <c r="BB1151" s="324" t="s">
        <v>210</v>
      </c>
      <c r="BC1151" s="324" t="s">
        <v>210</v>
      </c>
      <c r="BD1151" s="324" t="s">
        <v>210</v>
      </c>
      <c r="BE1151" s="324" t="s">
        <v>8380</v>
      </c>
      <c r="BF1151" s="324" t="s">
        <v>8381</v>
      </c>
      <c r="BG1151" s="324" t="s">
        <v>8382</v>
      </c>
      <c r="BH1151" s="324" t="s">
        <v>8381</v>
      </c>
      <c r="BI1151" s="453" t="s">
        <v>4083</v>
      </c>
      <c r="BJ1151" s="428">
        <f>100/(16*2.5)</f>
        <v>2.5</v>
      </c>
      <c r="BK1151" s="428" t="s">
        <v>435</v>
      </c>
      <c r="BL1151" s="429" t="s">
        <v>8805</v>
      </c>
      <c r="BM1151" s="429" t="s">
        <v>210</v>
      </c>
      <c r="BN1151" s="453" t="s">
        <v>210</v>
      </c>
      <c r="BO1151" s="464" t="s">
        <v>210</v>
      </c>
      <c r="BP1151" s="455" t="s">
        <v>210</v>
      </c>
      <c r="BQ1151" s="456" t="s">
        <v>6623</v>
      </c>
      <c r="BR1151" s="342" t="s">
        <v>622</v>
      </c>
      <c r="BS1151" s="342" t="s">
        <v>622</v>
      </c>
      <c r="BT1151" s="342" t="s">
        <v>210</v>
      </c>
      <c r="BU1151" s="342" t="s">
        <v>210</v>
      </c>
      <c r="BV1151" s="342" t="s">
        <v>210</v>
      </c>
      <c r="BW1151" s="341" t="s">
        <v>210</v>
      </c>
      <c r="BX1151" s="341" t="s">
        <v>210</v>
      </c>
      <c r="BY1151" s="457" t="s">
        <v>8383</v>
      </c>
      <c r="BZ1151" s="363"/>
      <c r="CA1151" s="363"/>
      <c r="CB1151" s="363"/>
      <c r="CC1151" s="363"/>
    </row>
    <row r="1152" spans="1:82" ht="22.5" customHeight="1">
      <c r="B1152" s="442">
        <v>180230</v>
      </c>
      <c r="C1152" s="443" t="s">
        <v>11691</v>
      </c>
      <c r="D1152" s="467" t="s">
        <v>6135</v>
      </c>
      <c r="E1152" s="404" t="s">
        <v>5362</v>
      </c>
      <c r="F1152" s="405" t="s">
        <v>8384</v>
      </c>
      <c r="G1152" s="324" t="s">
        <v>8385</v>
      </c>
      <c r="H1152" s="324" t="s">
        <v>8386</v>
      </c>
      <c r="I1152" s="324" t="s">
        <v>383</v>
      </c>
      <c r="J1152" s="324" t="s">
        <v>214</v>
      </c>
      <c r="K1152" s="324" t="s">
        <v>917</v>
      </c>
      <c r="L1152" s="342" t="s">
        <v>210</v>
      </c>
      <c r="M1152" s="324" t="s">
        <v>7457</v>
      </c>
      <c r="N1152" s="444" t="s">
        <v>521</v>
      </c>
      <c r="O1152" s="324">
        <v>150</v>
      </c>
      <c r="P1152" s="445">
        <v>1170</v>
      </c>
      <c r="Q1152" s="446">
        <v>1170</v>
      </c>
      <c r="R1152" s="420" t="s">
        <v>5746</v>
      </c>
      <c r="S1152" s="394" t="s">
        <v>11696</v>
      </c>
      <c r="T1152" s="394" t="s">
        <v>11694</v>
      </c>
      <c r="U1152" s="394" t="s">
        <v>16337</v>
      </c>
      <c r="V1152" s="394" t="s">
        <v>11695</v>
      </c>
      <c r="W1152" s="332" t="s">
        <v>3084</v>
      </c>
      <c r="X1152" s="394" t="s">
        <v>12542</v>
      </c>
      <c r="Y1152" s="394" t="s">
        <v>11693</v>
      </c>
      <c r="Z1152" s="394" t="s">
        <v>16340</v>
      </c>
      <c r="AA1152" s="394" t="s">
        <v>11692</v>
      </c>
      <c r="AB1152" s="416"/>
      <c r="AC1152" s="416"/>
      <c r="AD1152" s="989"/>
      <c r="AE1152" s="335" t="s">
        <v>210</v>
      </c>
      <c r="AF1152" s="462">
        <v>43430</v>
      </c>
      <c r="AG1152" s="748">
        <v>43477</v>
      </c>
      <c r="AH1152" s="417" t="s">
        <v>210</v>
      </c>
      <c r="AI1152" s="392" t="s">
        <v>210</v>
      </c>
      <c r="AJ1152" s="392" t="s">
        <v>210</v>
      </c>
      <c r="AK1152" s="340" t="s">
        <v>210</v>
      </c>
      <c r="AL1152" s="417" t="s">
        <v>210</v>
      </c>
      <c r="AM1152" s="392" t="s">
        <v>210</v>
      </c>
      <c r="AN1152" s="392" t="s">
        <v>210</v>
      </c>
      <c r="AO1152" s="341" t="s">
        <v>210</v>
      </c>
      <c r="AP1152" s="418" t="s">
        <v>210</v>
      </c>
      <c r="AQ1152" s="433" t="s">
        <v>4547</v>
      </c>
      <c r="AR1152" s="452">
        <v>1523</v>
      </c>
      <c r="AS1152" s="324">
        <v>100</v>
      </c>
      <c r="AT1152" s="432">
        <v>0.8</v>
      </c>
      <c r="AU1152" s="432" t="s">
        <v>8435</v>
      </c>
      <c r="AV1152" s="432">
        <v>1.2</v>
      </c>
      <c r="AW1152" s="490" t="s">
        <v>3494</v>
      </c>
      <c r="AX1152" s="456" t="s">
        <v>210</v>
      </c>
      <c r="AY1152" s="429" t="s">
        <v>210</v>
      </c>
      <c r="AZ1152" s="405" t="s">
        <v>622</v>
      </c>
      <c r="BA1152" s="324" t="s">
        <v>3555</v>
      </c>
      <c r="BB1152" s="324" t="s">
        <v>3372</v>
      </c>
      <c r="BC1152" s="324" t="s">
        <v>3459</v>
      </c>
      <c r="BD1152" s="324" t="s">
        <v>3372</v>
      </c>
      <c r="BE1152" s="324" t="s">
        <v>3475</v>
      </c>
      <c r="BF1152" s="324" t="s">
        <v>8391</v>
      </c>
      <c r="BG1152" s="324" t="s">
        <v>8392</v>
      </c>
      <c r="BH1152" s="426" t="s">
        <v>3768</v>
      </c>
      <c r="BI1152" s="453">
        <v>0.45</v>
      </c>
      <c r="BJ1152" s="427">
        <v>1.94</v>
      </c>
      <c r="BK1152" s="412"/>
      <c r="BL1152" s="413"/>
      <c r="BM1152" s="429" t="s">
        <v>210</v>
      </c>
      <c r="BN1152" s="453" t="s">
        <v>622</v>
      </c>
      <c r="BO1152" s="464">
        <v>1.33</v>
      </c>
      <c r="BP1152" s="492"/>
      <c r="BQ1152" s="456" t="s">
        <v>1059</v>
      </c>
      <c r="BR1152" s="342" t="s">
        <v>622</v>
      </c>
      <c r="BS1152" s="342" t="s">
        <v>622</v>
      </c>
      <c r="BT1152" s="342" t="s">
        <v>210</v>
      </c>
      <c r="BU1152" s="342" t="s">
        <v>210</v>
      </c>
      <c r="BV1152" s="342" t="s">
        <v>210</v>
      </c>
      <c r="BW1152" s="341" t="s">
        <v>210</v>
      </c>
      <c r="BX1152" s="341" t="s">
        <v>210</v>
      </c>
      <c r="BY1152" s="457" t="s">
        <v>8106</v>
      </c>
      <c r="BZ1152" s="363"/>
      <c r="CA1152" s="363"/>
      <c r="CB1152" s="363"/>
      <c r="CC1152" s="363"/>
    </row>
    <row r="1153" spans="1:82" ht="22.5" customHeight="1">
      <c r="B1153" s="442">
        <v>180231</v>
      </c>
      <c r="C1153" s="443" t="s">
        <v>11690</v>
      </c>
      <c r="D1153" s="467" t="s">
        <v>4849</v>
      </c>
      <c r="E1153" s="404" t="s">
        <v>5362</v>
      </c>
      <c r="F1153" s="405" t="s">
        <v>222</v>
      </c>
      <c r="G1153" s="324" t="s">
        <v>8407</v>
      </c>
      <c r="H1153" s="324" t="s">
        <v>8408</v>
      </c>
      <c r="I1153" s="324" t="s">
        <v>383</v>
      </c>
      <c r="J1153" s="324" t="s">
        <v>7171</v>
      </c>
      <c r="K1153" s="324" t="s">
        <v>3352</v>
      </c>
      <c r="L1153" s="342" t="s">
        <v>210</v>
      </c>
      <c r="M1153" s="324" t="s">
        <v>7457</v>
      </c>
      <c r="N1153" s="444" t="s">
        <v>437</v>
      </c>
      <c r="O1153" s="324">
        <v>85</v>
      </c>
      <c r="P1153" s="458">
        <v>403</v>
      </c>
      <c r="Q1153" s="459">
        <v>202</v>
      </c>
      <c r="R1153" s="420" t="s">
        <v>8409</v>
      </c>
      <c r="S1153" s="394" t="s">
        <v>11686</v>
      </c>
      <c r="T1153" s="394" t="s">
        <v>11689</v>
      </c>
      <c r="U1153" s="394" t="s">
        <v>11688</v>
      </c>
      <c r="V1153" s="394" t="s">
        <v>11687</v>
      </c>
      <c r="W1153" s="460" t="s">
        <v>8423</v>
      </c>
      <c r="X1153" s="400"/>
      <c r="Y1153" s="400"/>
      <c r="Z1153" s="400"/>
      <c r="AA1153" s="400"/>
      <c r="AB1153" s="416"/>
      <c r="AC1153" s="416"/>
      <c r="AD1153" s="447" t="s">
        <v>8425</v>
      </c>
      <c r="AE1153" s="335" t="s">
        <v>210</v>
      </c>
      <c r="AF1153" s="462">
        <v>43437</v>
      </c>
      <c r="AG1153" s="748">
        <v>43518</v>
      </c>
      <c r="AH1153" s="417" t="s">
        <v>210</v>
      </c>
      <c r="AI1153" s="392" t="s">
        <v>210</v>
      </c>
      <c r="AJ1153" s="392" t="s">
        <v>210</v>
      </c>
      <c r="AK1153" s="340" t="s">
        <v>210</v>
      </c>
      <c r="AL1153" s="417" t="s">
        <v>210</v>
      </c>
      <c r="AM1153" s="392" t="s">
        <v>210</v>
      </c>
      <c r="AN1153" s="392" t="s">
        <v>210</v>
      </c>
      <c r="AO1153" s="341" t="s">
        <v>210</v>
      </c>
      <c r="AP1153" s="418" t="s">
        <v>210</v>
      </c>
      <c r="AQ1153" s="433" t="s">
        <v>4547</v>
      </c>
      <c r="AR1153" s="452">
        <v>385</v>
      </c>
      <c r="AS1153" s="324">
        <v>120</v>
      </c>
      <c r="AT1153" s="432">
        <v>0.8</v>
      </c>
      <c r="AU1153" s="432" t="s">
        <v>5246</v>
      </c>
      <c r="AV1153" s="432">
        <v>1.5</v>
      </c>
      <c r="AW1153" s="490" t="s">
        <v>5838</v>
      </c>
      <c r="AX1153" s="321" t="s">
        <v>622</v>
      </c>
      <c r="AY1153" s="429" t="s">
        <v>210</v>
      </c>
      <c r="AZ1153" s="405" t="s">
        <v>4083</v>
      </c>
      <c r="BA1153" s="324" t="s">
        <v>210</v>
      </c>
      <c r="BB1153" s="324" t="s">
        <v>210</v>
      </c>
      <c r="BC1153" s="324" t="s">
        <v>3555</v>
      </c>
      <c r="BD1153" s="324" t="s">
        <v>3372</v>
      </c>
      <c r="BE1153" s="324" t="s">
        <v>8412</v>
      </c>
      <c r="BF1153" s="324" t="s">
        <v>3512</v>
      </c>
      <c r="BG1153" s="324" t="s">
        <v>8413</v>
      </c>
      <c r="BH1153" s="426" t="s">
        <v>5838</v>
      </c>
      <c r="BI1153" s="453">
        <v>1.9</v>
      </c>
      <c r="BJ1153" s="427" t="s">
        <v>210</v>
      </c>
      <c r="BK1153" s="428" t="s">
        <v>8804</v>
      </c>
      <c r="BL1153" s="429" t="s">
        <v>8805</v>
      </c>
      <c r="BM1153" s="429" t="s">
        <v>210</v>
      </c>
      <c r="BN1153" s="453" t="s">
        <v>622</v>
      </c>
      <c r="BO1153" s="464">
        <v>0.83</v>
      </c>
      <c r="BP1153" s="455" t="s">
        <v>210</v>
      </c>
      <c r="BQ1153" s="456" t="s">
        <v>5862</v>
      </c>
      <c r="BR1153" s="342" t="s">
        <v>210</v>
      </c>
      <c r="BS1153" s="342" t="s">
        <v>622</v>
      </c>
      <c r="BT1153" s="342" t="s">
        <v>210</v>
      </c>
      <c r="BU1153" s="342" t="s">
        <v>210</v>
      </c>
      <c r="BV1153" s="342" t="s">
        <v>210</v>
      </c>
      <c r="BW1153" s="341" t="s">
        <v>210</v>
      </c>
      <c r="BX1153" s="341" t="s">
        <v>210</v>
      </c>
      <c r="BY1153" s="457" t="s">
        <v>8436</v>
      </c>
      <c r="BZ1153" s="363"/>
      <c r="CA1153" s="363"/>
      <c r="CB1153" s="363"/>
      <c r="CC1153" s="363"/>
    </row>
    <row r="1154" spans="1:82" s="465" customFormat="1" ht="22.5" customHeight="1">
      <c r="A1154" s="287"/>
      <c r="B1154" s="749">
        <v>180232</v>
      </c>
      <c r="C1154" s="781" t="s">
        <v>8426</v>
      </c>
      <c r="D1154" s="829" t="s">
        <v>4849</v>
      </c>
      <c r="E1154" s="752" t="s">
        <v>5362</v>
      </c>
      <c r="F1154" s="753" t="s">
        <v>839</v>
      </c>
      <c r="G1154" s="754" t="s">
        <v>8427</v>
      </c>
      <c r="H1154" s="754" t="s">
        <v>8428</v>
      </c>
      <c r="I1154" s="754" t="s">
        <v>383</v>
      </c>
      <c r="J1154" s="754" t="s">
        <v>7171</v>
      </c>
      <c r="K1154" s="754" t="s">
        <v>3352</v>
      </c>
      <c r="L1154" s="688" t="s">
        <v>210</v>
      </c>
      <c r="M1154" s="754" t="s">
        <v>7457</v>
      </c>
      <c r="N1154" s="755" t="s">
        <v>8437</v>
      </c>
      <c r="O1154" s="754">
        <v>35</v>
      </c>
      <c r="P1154" s="782">
        <f>Q1154*2</f>
        <v>770</v>
      </c>
      <c r="Q1154" s="783">
        <v>385</v>
      </c>
      <c r="R1154" s="1046" t="s">
        <v>8429</v>
      </c>
      <c r="S1154" s="1047"/>
      <c r="T1154" s="1047"/>
      <c r="U1154" s="1047"/>
      <c r="V1154" s="1047"/>
      <c r="W1154" s="669" t="s">
        <v>716</v>
      </c>
      <c r="X1154" s="1047"/>
      <c r="Y1154" s="1047"/>
      <c r="Z1154" s="1047"/>
      <c r="AA1154" s="1047"/>
      <c r="AB1154" s="758"/>
      <c r="AC1154" s="758"/>
      <c r="AD1154" s="759" t="s">
        <v>1410</v>
      </c>
      <c r="AE1154" s="760"/>
      <c r="AF1154" s="846">
        <v>43439</v>
      </c>
      <c r="AG1154" s="674" t="s">
        <v>10514</v>
      </c>
      <c r="AH1154" s="675" t="s">
        <v>210</v>
      </c>
      <c r="AI1154" s="676" t="s">
        <v>210</v>
      </c>
      <c r="AJ1154" s="676" t="s">
        <v>210</v>
      </c>
      <c r="AK1154" s="677" t="s">
        <v>210</v>
      </c>
      <c r="AL1154" s="675" t="s">
        <v>210</v>
      </c>
      <c r="AM1154" s="676" t="s">
        <v>210</v>
      </c>
      <c r="AN1154" s="676" t="s">
        <v>210</v>
      </c>
      <c r="AO1154" s="678" t="s">
        <v>210</v>
      </c>
      <c r="AP1154" s="784" t="s">
        <v>210</v>
      </c>
      <c r="AQ1154" s="762" t="s">
        <v>4547</v>
      </c>
      <c r="AR1154" s="763">
        <v>550</v>
      </c>
      <c r="AS1154" s="754">
        <v>150</v>
      </c>
      <c r="AT1154" s="785">
        <v>0.8</v>
      </c>
      <c r="AU1154" s="785" t="s">
        <v>8471</v>
      </c>
      <c r="AV1154" s="785">
        <v>1.2</v>
      </c>
      <c r="AW1154" s="764" t="s">
        <v>3702</v>
      </c>
      <c r="AX1154" s="773" t="s">
        <v>210</v>
      </c>
      <c r="AY1154" s="766" t="s">
        <v>210</v>
      </c>
      <c r="AZ1154" s="753" t="s">
        <v>4083</v>
      </c>
      <c r="BA1154" s="754" t="s">
        <v>210</v>
      </c>
      <c r="BB1154" s="754" t="s">
        <v>210</v>
      </c>
      <c r="BC1154" s="754" t="s">
        <v>8432</v>
      </c>
      <c r="BD1154" s="754" t="s">
        <v>3702</v>
      </c>
      <c r="BE1154" s="754" t="s">
        <v>8433</v>
      </c>
      <c r="BF1154" s="754" t="s">
        <v>3702</v>
      </c>
      <c r="BG1154" s="754" t="s">
        <v>8433</v>
      </c>
      <c r="BH1154" s="767" t="s">
        <v>8434</v>
      </c>
      <c r="BI1154" s="765" t="s">
        <v>4083</v>
      </c>
      <c r="BJ1154" s="768">
        <v>10.9</v>
      </c>
      <c r="BK1154" s="769" t="s">
        <v>8804</v>
      </c>
      <c r="BL1154" s="766" t="s">
        <v>8805</v>
      </c>
      <c r="BM1154" s="766" t="s">
        <v>8804</v>
      </c>
      <c r="BN1154" s="765" t="s">
        <v>210</v>
      </c>
      <c r="BO1154" s="771" t="s">
        <v>8721</v>
      </c>
      <c r="BP1154" s="772" t="s">
        <v>210</v>
      </c>
      <c r="BQ1154" s="773" t="s">
        <v>6511</v>
      </c>
      <c r="BR1154" s="688" t="s">
        <v>210</v>
      </c>
      <c r="BS1154" s="688" t="s">
        <v>622</v>
      </c>
      <c r="BT1154" s="688" t="s">
        <v>210</v>
      </c>
      <c r="BU1154" s="688" t="s">
        <v>210</v>
      </c>
      <c r="BV1154" s="688" t="s">
        <v>210</v>
      </c>
      <c r="BW1154" s="678" t="s">
        <v>210</v>
      </c>
      <c r="BX1154" s="678" t="s">
        <v>210</v>
      </c>
      <c r="BY1154" s="774" t="s">
        <v>8501</v>
      </c>
      <c r="BZ1154" s="483"/>
      <c r="CA1154" s="483"/>
      <c r="CB1154" s="483"/>
      <c r="CC1154" s="483"/>
      <c r="CD1154" s="484"/>
    </row>
    <row r="1155" spans="1:82" ht="22.5" customHeight="1">
      <c r="B1155" s="442">
        <v>180233</v>
      </c>
      <c r="C1155" s="443" t="s">
        <v>8439</v>
      </c>
      <c r="D1155" s="467" t="s">
        <v>8462</v>
      </c>
      <c r="E1155" s="404" t="s">
        <v>5405</v>
      </c>
      <c r="F1155" s="405" t="s">
        <v>8440</v>
      </c>
      <c r="G1155" s="324" t="s">
        <v>7359</v>
      </c>
      <c r="H1155" s="324" t="s">
        <v>8441</v>
      </c>
      <c r="I1155" s="324" t="s">
        <v>383</v>
      </c>
      <c r="J1155" s="324" t="s">
        <v>214</v>
      </c>
      <c r="K1155" s="324" t="s">
        <v>8442</v>
      </c>
      <c r="L1155" s="342">
        <v>10</v>
      </c>
      <c r="M1155" s="324" t="s">
        <v>7457</v>
      </c>
      <c r="N1155" s="444" t="s">
        <v>8449</v>
      </c>
      <c r="O1155" s="324">
        <v>19</v>
      </c>
      <c r="P1155" s="458">
        <v>7626.96</v>
      </c>
      <c r="Q1155" s="459">
        <v>7637.96</v>
      </c>
      <c r="R1155" s="779" t="s">
        <v>8443</v>
      </c>
      <c r="S1155" s="394" t="s">
        <v>11682</v>
      </c>
      <c r="T1155" s="400"/>
      <c r="U1155" s="400"/>
      <c r="V1155" s="394" t="s">
        <v>11683</v>
      </c>
      <c r="W1155" s="460" t="s">
        <v>8446</v>
      </c>
      <c r="X1155" s="332" t="s">
        <v>11684</v>
      </c>
      <c r="Y1155" s="645"/>
      <c r="Z1155" s="645"/>
      <c r="AA1155" s="332" t="s">
        <v>11685</v>
      </c>
      <c r="AB1155" s="416"/>
      <c r="AC1155" s="416"/>
      <c r="AD1155" s="447" t="s">
        <v>5277</v>
      </c>
      <c r="AE1155" s="335" t="s">
        <v>210</v>
      </c>
      <c r="AF1155" s="462">
        <v>43439</v>
      </c>
      <c r="AG1155" s="748">
        <v>43538</v>
      </c>
      <c r="AH1155" s="417" t="s">
        <v>210</v>
      </c>
      <c r="AI1155" s="392" t="s">
        <v>210</v>
      </c>
      <c r="AJ1155" s="392" t="s">
        <v>210</v>
      </c>
      <c r="AK1155" s="340" t="s">
        <v>210</v>
      </c>
      <c r="AL1155" s="417" t="s">
        <v>210</v>
      </c>
      <c r="AM1155" s="392" t="s">
        <v>210</v>
      </c>
      <c r="AN1155" s="425" t="s">
        <v>8758</v>
      </c>
      <c r="AO1155" s="341" t="s">
        <v>210</v>
      </c>
      <c r="AP1155" s="418" t="s">
        <v>210</v>
      </c>
      <c r="AQ1155" s="433" t="s">
        <v>4547</v>
      </c>
      <c r="AR1155" s="452">
        <v>10270</v>
      </c>
      <c r="AS1155" s="324">
        <v>80</v>
      </c>
      <c r="AT1155" s="432">
        <v>1</v>
      </c>
      <c r="AU1155" s="432" t="s">
        <v>8497</v>
      </c>
      <c r="AV1155" s="432">
        <v>1.5</v>
      </c>
      <c r="AW1155" s="490" t="s">
        <v>8497</v>
      </c>
      <c r="AX1155" s="456" t="s">
        <v>210</v>
      </c>
      <c r="AY1155" s="429" t="s">
        <v>210</v>
      </c>
      <c r="AZ1155" s="405" t="s">
        <v>622</v>
      </c>
      <c r="BA1155" s="324" t="s">
        <v>8450</v>
      </c>
      <c r="BB1155" s="324" t="s">
        <v>8451</v>
      </c>
      <c r="BC1155" s="324" t="s">
        <v>8452</v>
      </c>
      <c r="BD1155" s="324" t="s">
        <v>3574</v>
      </c>
      <c r="BE1155" s="324" t="s">
        <v>8453</v>
      </c>
      <c r="BF1155" s="324" t="s">
        <v>3574</v>
      </c>
      <c r="BG1155" s="324" t="s">
        <v>8450</v>
      </c>
      <c r="BH1155" s="426" t="s">
        <v>5077</v>
      </c>
      <c r="BI1155" s="453">
        <v>2.2000000000000002</v>
      </c>
      <c r="BJ1155" s="886" t="s">
        <v>8527</v>
      </c>
      <c r="BK1155" s="428" t="s">
        <v>8804</v>
      </c>
      <c r="BL1155" s="429" t="s">
        <v>8805</v>
      </c>
      <c r="BM1155" s="429" t="s">
        <v>210</v>
      </c>
      <c r="BN1155" s="453" t="s">
        <v>622</v>
      </c>
      <c r="BO1155" s="464">
        <v>1.07</v>
      </c>
      <c r="BP1155" s="455" t="s">
        <v>622</v>
      </c>
      <c r="BQ1155" s="456" t="s">
        <v>6160</v>
      </c>
      <c r="BR1155" s="342" t="s">
        <v>622</v>
      </c>
      <c r="BS1155" s="342" t="s">
        <v>622</v>
      </c>
      <c r="BT1155" s="342" t="s">
        <v>210</v>
      </c>
      <c r="BU1155" s="342" t="s">
        <v>210</v>
      </c>
      <c r="BV1155" s="342" t="s">
        <v>210</v>
      </c>
      <c r="BW1155" s="341" t="s">
        <v>210</v>
      </c>
      <c r="BX1155" s="341" t="s">
        <v>210</v>
      </c>
      <c r="BY1155" s="457" t="s">
        <v>6818</v>
      </c>
      <c r="BZ1155" s="363"/>
      <c r="CA1155" s="363"/>
      <c r="CB1155" s="363"/>
      <c r="CC1155" s="363"/>
    </row>
    <row r="1156" spans="1:82" ht="22.5" customHeight="1">
      <c r="B1156" s="442">
        <v>180234</v>
      </c>
      <c r="C1156" s="443" t="s">
        <v>8454</v>
      </c>
      <c r="D1156" s="467" t="s">
        <v>7463</v>
      </c>
      <c r="E1156" s="404" t="s">
        <v>6879</v>
      </c>
      <c r="F1156" s="405" t="s">
        <v>839</v>
      </c>
      <c r="G1156" s="324" t="s">
        <v>6082</v>
      </c>
      <c r="H1156" s="324" t="s">
        <v>8516</v>
      </c>
      <c r="I1156" s="324" t="s">
        <v>383</v>
      </c>
      <c r="J1156" s="324" t="s">
        <v>214</v>
      </c>
      <c r="K1156" s="324" t="s">
        <v>1647</v>
      </c>
      <c r="L1156" s="361"/>
      <c r="M1156" s="324" t="s">
        <v>7457</v>
      </c>
      <c r="N1156" s="444" t="s">
        <v>438</v>
      </c>
      <c r="O1156" s="324">
        <v>30</v>
      </c>
      <c r="P1156" s="445">
        <f>12*13</f>
        <v>156</v>
      </c>
      <c r="Q1156" s="446">
        <f>P1156</f>
        <v>156</v>
      </c>
      <c r="R1156" s="779" t="s">
        <v>8455</v>
      </c>
      <c r="S1156" s="394" t="s">
        <v>11678</v>
      </c>
      <c r="T1156" s="394" t="s">
        <v>11680</v>
      </c>
      <c r="U1156" s="394" t="s">
        <v>11679</v>
      </c>
      <c r="V1156" s="394" t="s">
        <v>11681</v>
      </c>
      <c r="W1156" s="332" t="s">
        <v>432</v>
      </c>
      <c r="X1156" s="332" t="s">
        <v>11079</v>
      </c>
      <c r="Y1156" s="332" t="s">
        <v>11080</v>
      </c>
      <c r="Z1156" s="332" t="s">
        <v>11080</v>
      </c>
      <c r="AA1156" s="332" t="s">
        <v>6574</v>
      </c>
      <c r="AB1156" s="416"/>
      <c r="AC1156" s="416"/>
      <c r="AD1156" s="1048"/>
      <c r="AE1156" s="948"/>
      <c r="AF1156" s="462">
        <v>43440</v>
      </c>
      <c r="AG1156" s="748">
        <v>43622</v>
      </c>
      <c r="AH1156" s="410">
        <v>40.200000000000003</v>
      </c>
      <c r="AI1156" s="500">
        <v>21.2</v>
      </c>
      <c r="AJ1156" s="500">
        <v>10.3</v>
      </c>
      <c r="AK1156" s="340">
        <f>SUM(AH1156:AJ1156)</f>
        <v>71.7</v>
      </c>
      <c r="AL1156" s="417" t="s">
        <v>210</v>
      </c>
      <c r="AM1156" s="392" t="s">
        <v>210</v>
      </c>
      <c r="AN1156" s="392" t="s">
        <v>210</v>
      </c>
      <c r="AO1156" s="341" t="s">
        <v>210</v>
      </c>
      <c r="AP1156" s="418" t="s">
        <v>210</v>
      </c>
      <c r="AQ1156" s="433" t="s">
        <v>4547</v>
      </c>
      <c r="AR1156" s="452">
        <v>285</v>
      </c>
      <c r="AS1156" s="324">
        <v>80</v>
      </c>
      <c r="AT1156" s="432">
        <v>1</v>
      </c>
      <c r="AU1156" s="432" t="s">
        <v>3627</v>
      </c>
      <c r="AV1156" s="432">
        <v>1.2</v>
      </c>
      <c r="AW1156" s="490" t="s">
        <v>3492</v>
      </c>
      <c r="AX1156" s="456" t="s">
        <v>210</v>
      </c>
      <c r="AY1156" s="429" t="s">
        <v>210</v>
      </c>
      <c r="AZ1156" s="405" t="s">
        <v>4083</v>
      </c>
      <c r="BA1156" s="324" t="s">
        <v>210</v>
      </c>
      <c r="BB1156" s="324" t="s">
        <v>210</v>
      </c>
      <c r="BC1156" s="324" t="s">
        <v>8544</v>
      </c>
      <c r="BD1156" s="324" t="s">
        <v>3492</v>
      </c>
      <c r="BE1156" s="324" t="s">
        <v>8545</v>
      </c>
      <c r="BF1156" s="324" t="s">
        <v>8546</v>
      </c>
      <c r="BG1156" s="324" t="s">
        <v>3555</v>
      </c>
      <c r="BH1156" s="426" t="s">
        <v>3494</v>
      </c>
      <c r="BI1156" s="453">
        <v>1.95</v>
      </c>
      <c r="BJ1156" s="427">
        <v>3.8</v>
      </c>
      <c r="BK1156" s="428" t="s">
        <v>3492</v>
      </c>
      <c r="BL1156" s="429">
        <v>0.9</v>
      </c>
      <c r="BM1156" s="429" t="s">
        <v>210</v>
      </c>
      <c r="BN1156" s="453" t="s">
        <v>622</v>
      </c>
      <c r="BO1156" s="464">
        <v>1.08</v>
      </c>
      <c r="BP1156" s="455" t="s">
        <v>622</v>
      </c>
      <c r="BQ1156" s="456" t="s">
        <v>5225</v>
      </c>
      <c r="BR1156" s="342" t="s">
        <v>210</v>
      </c>
      <c r="BS1156" s="342" t="s">
        <v>622</v>
      </c>
      <c r="BT1156" s="342" t="s">
        <v>210</v>
      </c>
      <c r="BU1156" s="342" t="s">
        <v>210</v>
      </c>
      <c r="BV1156" s="342" t="s">
        <v>210</v>
      </c>
      <c r="BW1156" s="341" t="s">
        <v>210</v>
      </c>
      <c r="BX1156" s="341" t="s">
        <v>210</v>
      </c>
      <c r="BY1156" s="457"/>
      <c r="BZ1156" s="363"/>
      <c r="CA1156" s="363"/>
      <c r="CB1156" s="363"/>
      <c r="CC1156" s="363"/>
    </row>
    <row r="1157" spans="1:82" ht="22.5" customHeight="1">
      <c r="B1157" s="442">
        <v>180235</v>
      </c>
      <c r="C1157" s="443" t="s">
        <v>8463</v>
      </c>
      <c r="D1157" s="439" t="s">
        <v>4849</v>
      </c>
      <c r="E1157" s="404" t="s">
        <v>6879</v>
      </c>
      <c r="F1157" s="405" t="s">
        <v>225</v>
      </c>
      <c r="G1157" s="324" t="s">
        <v>8464</v>
      </c>
      <c r="H1157" s="324" t="s">
        <v>8465</v>
      </c>
      <c r="I1157" s="324" t="s">
        <v>383</v>
      </c>
      <c r="J1157" s="324" t="s">
        <v>214</v>
      </c>
      <c r="K1157" s="324" t="s">
        <v>8466</v>
      </c>
      <c r="L1157" s="342">
        <v>20</v>
      </c>
      <c r="M1157" s="324" t="s">
        <v>7457</v>
      </c>
      <c r="N1157" s="444" t="s">
        <v>437</v>
      </c>
      <c r="O1157" s="324">
        <v>37</v>
      </c>
      <c r="P1157" s="445">
        <v>180</v>
      </c>
      <c r="Q1157" s="446">
        <f>P1157</f>
        <v>180</v>
      </c>
      <c r="R1157" s="779" t="s">
        <v>8467</v>
      </c>
      <c r="S1157" s="394" t="s">
        <v>11675</v>
      </c>
      <c r="T1157" s="394" t="s">
        <v>11676</v>
      </c>
      <c r="U1157" s="394" t="s">
        <v>16346</v>
      </c>
      <c r="V1157" s="394" t="s">
        <v>11677</v>
      </c>
      <c r="W1157" s="460" t="s">
        <v>8498</v>
      </c>
      <c r="X1157" s="645"/>
      <c r="Y1157" s="645"/>
      <c r="Z1157" s="645"/>
      <c r="AA1157" s="645"/>
      <c r="AB1157" s="416"/>
      <c r="AC1157" s="416"/>
      <c r="AD1157" s="989"/>
      <c r="AE1157" s="335" t="s">
        <v>210</v>
      </c>
      <c r="AF1157" s="462">
        <v>43445</v>
      </c>
      <c r="AG1157" s="748">
        <v>43475</v>
      </c>
      <c r="AH1157" s="417" t="s">
        <v>210</v>
      </c>
      <c r="AI1157" s="392" t="s">
        <v>210</v>
      </c>
      <c r="AJ1157" s="392" t="s">
        <v>210</v>
      </c>
      <c r="AK1157" s="340" t="s">
        <v>210</v>
      </c>
      <c r="AL1157" s="417" t="s">
        <v>210</v>
      </c>
      <c r="AM1157" s="392" t="s">
        <v>210</v>
      </c>
      <c r="AN1157" s="392" t="s">
        <v>210</v>
      </c>
      <c r="AO1157" s="341" t="s">
        <v>210</v>
      </c>
      <c r="AP1157" s="418" t="s">
        <v>210</v>
      </c>
      <c r="AQ1157" s="433" t="s">
        <v>4547</v>
      </c>
      <c r="AR1157" s="452">
        <v>290</v>
      </c>
      <c r="AS1157" s="324">
        <v>80</v>
      </c>
      <c r="AT1157" s="432">
        <v>1</v>
      </c>
      <c r="AU1157" s="432" t="s">
        <v>8157</v>
      </c>
      <c r="AV1157" s="432">
        <v>1.2</v>
      </c>
      <c r="AW1157" s="490" t="s">
        <v>3574</v>
      </c>
      <c r="AX1157" s="456" t="s">
        <v>210</v>
      </c>
      <c r="AY1157" s="429" t="s">
        <v>210</v>
      </c>
      <c r="AZ1157" s="405" t="s">
        <v>4083</v>
      </c>
      <c r="BA1157" s="324" t="s">
        <v>210</v>
      </c>
      <c r="BB1157" s="324" t="s">
        <v>210</v>
      </c>
      <c r="BC1157" s="324" t="s">
        <v>210</v>
      </c>
      <c r="BD1157" s="324" t="s">
        <v>210</v>
      </c>
      <c r="BE1157" s="324" t="s">
        <v>210</v>
      </c>
      <c r="BF1157" s="324" t="s">
        <v>210</v>
      </c>
      <c r="BG1157" s="324" t="s">
        <v>8470</v>
      </c>
      <c r="BH1157" s="426" t="s">
        <v>3574</v>
      </c>
      <c r="BI1157" s="453">
        <v>2.2999999999999998</v>
      </c>
      <c r="BJ1157" s="427">
        <v>1.46</v>
      </c>
      <c r="BK1157" s="412"/>
      <c r="BL1157" s="413"/>
      <c r="BM1157" s="429" t="s">
        <v>210</v>
      </c>
      <c r="BN1157" s="453" t="s">
        <v>622</v>
      </c>
      <c r="BO1157" s="464">
        <v>1.5</v>
      </c>
      <c r="BP1157" s="455" t="s">
        <v>210</v>
      </c>
      <c r="BQ1157" s="456" t="s">
        <v>247</v>
      </c>
      <c r="BR1157" s="342" t="s">
        <v>210</v>
      </c>
      <c r="BS1157" s="342" t="s">
        <v>622</v>
      </c>
      <c r="BT1157" s="342" t="s">
        <v>210</v>
      </c>
      <c r="BU1157" s="342" t="s">
        <v>210</v>
      </c>
      <c r="BV1157" s="342" t="s">
        <v>210</v>
      </c>
      <c r="BW1157" s="341" t="s">
        <v>210</v>
      </c>
      <c r="BX1157" s="341" t="s">
        <v>210</v>
      </c>
      <c r="BY1157" s="457" t="s">
        <v>5587</v>
      </c>
      <c r="BZ1157" s="363"/>
      <c r="CA1157" s="363"/>
      <c r="CB1157" s="363"/>
      <c r="CC1157" s="363"/>
    </row>
    <row r="1158" spans="1:82" ht="22.5" customHeight="1">
      <c r="B1158" s="442">
        <v>180236</v>
      </c>
      <c r="C1158" s="443" t="s">
        <v>8473</v>
      </c>
      <c r="D1158" s="439" t="s">
        <v>4854</v>
      </c>
      <c r="E1158" s="404" t="s">
        <v>7988</v>
      </c>
      <c r="F1158" s="405" t="s">
        <v>240</v>
      </c>
      <c r="G1158" s="324" t="s">
        <v>2271</v>
      </c>
      <c r="H1158" s="324" t="s">
        <v>8472</v>
      </c>
      <c r="I1158" s="324" t="s">
        <v>383</v>
      </c>
      <c r="J1158" s="324" t="s">
        <v>214</v>
      </c>
      <c r="K1158" s="324" t="s">
        <v>917</v>
      </c>
      <c r="L1158" s="342" t="s">
        <v>210</v>
      </c>
      <c r="M1158" s="324" t="s">
        <v>7457</v>
      </c>
      <c r="N1158" s="444" t="s">
        <v>438</v>
      </c>
      <c r="O1158" s="324">
        <v>37.200000000000003</v>
      </c>
      <c r="P1158" s="445">
        <v>1100</v>
      </c>
      <c r="Q1158" s="446">
        <f>P1158</f>
        <v>1100</v>
      </c>
      <c r="R1158" s="329" t="s">
        <v>615</v>
      </c>
      <c r="S1158" s="394" t="s">
        <v>11204</v>
      </c>
      <c r="T1158" s="394" t="s">
        <v>11205</v>
      </c>
      <c r="U1158" s="394" t="s">
        <v>11207</v>
      </c>
      <c r="V1158" s="394" t="s">
        <v>11206</v>
      </c>
      <c r="W1158" s="332" t="s">
        <v>432</v>
      </c>
      <c r="X1158" s="332" t="s">
        <v>11079</v>
      </c>
      <c r="Y1158" s="332" t="s">
        <v>11080</v>
      </c>
      <c r="Z1158" s="332" t="s">
        <v>11080</v>
      </c>
      <c r="AA1158" s="332" t="s">
        <v>6574</v>
      </c>
      <c r="AB1158" s="416"/>
      <c r="AC1158" s="416"/>
      <c r="AD1158" s="334" t="s">
        <v>2325</v>
      </c>
      <c r="AE1158" s="499" t="s">
        <v>2032</v>
      </c>
      <c r="AF1158" s="462">
        <v>43446</v>
      </c>
      <c r="AG1158" s="748">
        <v>43533</v>
      </c>
      <c r="AH1158" s="453">
        <v>6.7</v>
      </c>
      <c r="AI1158" s="432">
        <v>13.5</v>
      </c>
      <c r="AJ1158" s="432">
        <v>12.1</v>
      </c>
      <c r="AK1158" s="340">
        <f>SUM(AH1158:AJ1158)</f>
        <v>32.299999999999997</v>
      </c>
      <c r="AL1158" s="417" t="s">
        <v>210</v>
      </c>
      <c r="AM1158" s="392" t="s">
        <v>210</v>
      </c>
      <c r="AN1158" s="392" t="s">
        <v>210</v>
      </c>
      <c r="AO1158" s="341" t="s">
        <v>210</v>
      </c>
      <c r="AP1158" s="418" t="s">
        <v>210</v>
      </c>
      <c r="AQ1158" s="433" t="s">
        <v>4547</v>
      </c>
      <c r="AR1158" s="452">
        <v>1283</v>
      </c>
      <c r="AS1158" s="324">
        <v>100</v>
      </c>
      <c r="AT1158" s="432">
        <v>0.8</v>
      </c>
      <c r="AU1158" s="432" t="s">
        <v>3936</v>
      </c>
      <c r="AV1158" s="432">
        <v>1.2</v>
      </c>
      <c r="AW1158" s="490" t="s">
        <v>6579</v>
      </c>
      <c r="AX1158" s="456" t="s">
        <v>210</v>
      </c>
      <c r="AY1158" s="429" t="s">
        <v>8601</v>
      </c>
      <c r="AZ1158" s="405" t="s">
        <v>4083</v>
      </c>
      <c r="BA1158" s="324" t="s">
        <v>210</v>
      </c>
      <c r="BB1158" s="324" t="s">
        <v>210</v>
      </c>
      <c r="BC1158" s="324" t="s">
        <v>210</v>
      </c>
      <c r="BD1158" s="324" t="s">
        <v>210</v>
      </c>
      <c r="BE1158" s="324" t="s">
        <v>3558</v>
      </c>
      <c r="BF1158" s="324" t="s">
        <v>3424</v>
      </c>
      <c r="BG1158" s="324" t="s">
        <v>8474</v>
      </c>
      <c r="BH1158" s="426" t="s">
        <v>8475</v>
      </c>
      <c r="BI1158" s="453">
        <v>4</v>
      </c>
      <c r="BJ1158" s="886" t="s">
        <v>8893</v>
      </c>
      <c r="BK1158" s="428" t="s">
        <v>435</v>
      </c>
      <c r="BL1158" s="429" t="s">
        <v>8805</v>
      </c>
      <c r="BM1158" s="429" t="s">
        <v>210</v>
      </c>
      <c r="BN1158" s="453" t="s">
        <v>622</v>
      </c>
      <c r="BO1158" s="464">
        <v>1.74</v>
      </c>
      <c r="BP1158" s="455" t="s">
        <v>210</v>
      </c>
      <c r="BQ1158" s="456" t="s">
        <v>1059</v>
      </c>
      <c r="BR1158" s="342" t="s">
        <v>210</v>
      </c>
      <c r="BS1158" s="342" t="s">
        <v>622</v>
      </c>
      <c r="BT1158" s="342" t="s">
        <v>210</v>
      </c>
      <c r="BU1158" s="342" t="s">
        <v>210</v>
      </c>
      <c r="BV1158" s="342" t="s">
        <v>210</v>
      </c>
      <c r="BW1158" s="341" t="s">
        <v>210</v>
      </c>
      <c r="BX1158" s="341" t="s">
        <v>210</v>
      </c>
      <c r="BY1158" s="457"/>
      <c r="BZ1158" s="363"/>
      <c r="CA1158" s="363"/>
      <c r="CB1158" s="363"/>
      <c r="CC1158" s="363"/>
    </row>
    <row r="1159" spans="1:82" ht="22.5" customHeight="1">
      <c r="B1159" s="442">
        <v>180237</v>
      </c>
      <c r="C1159" s="443" t="s">
        <v>8483</v>
      </c>
      <c r="D1159" s="467" t="s">
        <v>6135</v>
      </c>
      <c r="E1159" s="404" t="s">
        <v>5362</v>
      </c>
      <c r="F1159" s="405" t="s">
        <v>1043</v>
      </c>
      <c r="G1159" s="324" t="s">
        <v>16330</v>
      </c>
      <c r="H1159" s="324" t="s">
        <v>8476</v>
      </c>
      <c r="I1159" s="324" t="s">
        <v>383</v>
      </c>
      <c r="J1159" s="324" t="s">
        <v>214</v>
      </c>
      <c r="K1159" s="324" t="s">
        <v>8477</v>
      </c>
      <c r="L1159" s="342" t="s">
        <v>210</v>
      </c>
      <c r="M1159" s="324" t="s">
        <v>7457</v>
      </c>
      <c r="N1159" s="444" t="s">
        <v>8627</v>
      </c>
      <c r="O1159" s="324">
        <v>140</v>
      </c>
      <c r="P1159" s="445">
        <v>3000</v>
      </c>
      <c r="Q1159" s="446">
        <v>1500</v>
      </c>
      <c r="R1159" s="779" t="s">
        <v>5021</v>
      </c>
      <c r="S1159" s="394" t="s">
        <v>11672</v>
      </c>
      <c r="T1159" s="394" t="s">
        <v>11673</v>
      </c>
      <c r="U1159" s="394" t="s">
        <v>16301</v>
      </c>
      <c r="V1159" s="394" t="s">
        <v>11674</v>
      </c>
      <c r="W1159" s="460" t="s">
        <v>8479</v>
      </c>
      <c r="X1159" s="332" t="s">
        <v>11669</v>
      </c>
      <c r="Y1159" s="332" t="s">
        <v>11671</v>
      </c>
      <c r="Z1159" s="332" t="s">
        <v>16331</v>
      </c>
      <c r="AA1159" s="332" t="s">
        <v>11670</v>
      </c>
      <c r="AB1159" s="416"/>
      <c r="AC1159" s="416"/>
      <c r="AD1159" s="334" t="s">
        <v>8725</v>
      </c>
      <c r="AE1159" s="499" t="s">
        <v>8747</v>
      </c>
      <c r="AF1159" s="462">
        <v>43446</v>
      </c>
      <c r="AG1159" s="748">
        <v>43551</v>
      </c>
      <c r="AH1159" s="417" t="s">
        <v>210</v>
      </c>
      <c r="AI1159" s="392" t="s">
        <v>210</v>
      </c>
      <c r="AJ1159" s="392" t="s">
        <v>210</v>
      </c>
      <c r="AK1159" s="340" t="s">
        <v>210</v>
      </c>
      <c r="AL1159" s="417" t="s">
        <v>210</v>
      </c>
      <c r="AM1159" s="392" t="s">
        <v>210</v>
      </c>
      <c r="AN1159" s="392" t="s">
        <v>210</v>
      </c>
      <c r="AO1159" s="341" t="s">
        <v>210</v>
      </c>
      <c r="AP1159" s="418" t="s">
        <v>210</v>
      </c>
      <c r="AQ1159" s="433" t="s">
        <v>4547</v>
      </c>
      <c r="AR1159" s="452">
        <f>1039+724</f>
        <v>1763</v>
      </c>
      <c r="AS1159" s="324">
        <v>150</v>
      </c>
      <c r="AT1159" s="432">
        <v>0.8</v>
      </c>
      <c r="AU1159" s="432" t="s">
        <v>3627</v>
      </c>
      <c r="AV1159" s="432">
        <v>0.8</v>
      </c>
      <c r="AW1159" s="490" t="s">
        <v>6579</v>
      </c>
      <c r="AX1159" s="456" t="s">
        <v>210</v>
      </c>
      <c r="AY1159" s="429" t="s">
        <v>210</v>
      </c>
      <c r="AZ1159" s="405" t="s">
        <v>4083</v>
      </c>
      <c r="BA1159" s="324" t="s">
        <v>210</v>
      </c>
      <c r="BB1159" s="324" t="s">
        <v>210</v>
      </c>
      <c r="BC1159" s="324" t="s">
        <v>210</v>
      </c>
      <c r="BD1159" s="324" t="s">
        <v>210</v>
      </c>
      <c r="BE1159" s="324" t="s">
        <v>210</v>
      </c>
      <c r="BF1159" s="324" t="s">
        <v>210</v>
      </c>
      <c r="BG1159" s="324" t="s">
        <v>3476</v>
      </c>
      <c r="BH1159" s="426" t="s">
        <v>3491</v>
      </c>
      <c r="BI1159" s="453">
        <v>4</v>
      </c>
      <c r="BJ1159" s="427" t="s">
        <v>8845</v>
      </c>
      <c r="BK1159" s="428" t="s">
        <v>8808</v>
      </c>
      <c r="BL1159" s="429">
        <v>1.6</v>
      </c>
      <c r="BM1159" s="429" t="s">
        <v>210</v>
      </c>
      <c r="BN1159" s="453" t="s">
        <v>622</v>
      </c>
      <c r="BO1159" s="464">
        <v>1.64</v>
      </c>
      <c r="BP1159" s="455" t="s">
        <v>210</v>
      </c>
      <c r="BQ1159" s="456" t="s">
        <v>6623</v>
      </c>
      <c r="BR1159" s="342" t="s">
        <v>210</v>
      </c>
      <c r="BS1159" s="342" t="s">
        <v>622</v>
      </c>
      <c r="BT1159" s="342" t="s">
        <v>210</v>
      </c>
      <c r="BU1159" s="342" t="s">
        <v>210</v>
      </c>
      <c r="BV1159" s="342" t="s">
        <v>210</v>
      </c>
      <c r="BW1159" s="341" t="s">
        <v>210</v>
      </c>
      <c r="BX1159" s="341" t="s">
        <v>210</v>
      </c>
      <c r="BY1159" s="457" t="s">
        <v>8628</v>
      </c>
      <c r="BZ1159" s="363"/>
      <c r="CA1159" s="363"/>
      <c r="CB1159" s="363"/>
      <c r="CC1159" s="363"/>
    </row>
    <row r="1160" spans="1:82" ht="22.5" customHeight="1">
      <c r="B1160" s="442">
        <v>180238</v>
      </c>
      <c r="C1160" s="443" t="s">
        <v>8414</v>
      </c>
      <c r="D1160" s="467" t="s">
        <v>6663</v>
      </c>
      <c r="E1160" s="404" t="s">
        <v>7988</v>
      </c>
      <c r="F1160" s="405" t="s">
        <v>239</v>
      </c>
      <c r="G1160" s="324" t="s">
        <v>1941</v>
      </c>
      <c r="H1160" s="324" t="s">
        <v>5919</v>
      </c>
      <c r="I1160" s="326" t="s">
        <v>383</v>
      </c>
      <c r="J1160" s="324" t="s">
        <v>214</v>
      </c>
      <c r="K1160" s="324" t="s">
        <v>917</v>
      </c>
      <c r="L1160" s="342" t="s">
        <v>210</v>
      </c>
      <c r="M1160" s="324" t="s">
        <v>7457</v>
      </c>
      <c r="N1160" s="444" t="s">
        <v>438</v>
      </c>
      <c r="O1160" s="324">
        <v>30</v>
      </c>
      <c r="P1160" s="445">
        <v>630</v>
      </c>
      <c r="Q1160" s="446">
        <v>630</v>
      </c>
      <c r="R1160" s="460" t="s">
        <v>1438</v>
      </c>
      <c r="S1160" s="394" t="s">
        <v>11662</v>
      </c>
      <c r="T1160" s="394" t="s">
        <v>11664</v>
      </c>
      <c r="U1160" s="394" t="s">
        <v>11663</v>
      </c>
      <c r="V1160" s="394" t="s">
        <v>11665</v>
      </c>
      <c r="W1160" s="332" t="s">
        <v>554</v>
      </c>
      <c r="X1160" s="332" t="s">
        <v>11667</v>
      </c>
      <c r="Y1160" s="332" t="s">
        <v>11381</v>
      </c>
      <c r="Z1160" s="332" t="s">
        <v>11666</v>
      </c>
      <c r="AA1160" s="332" t="s">
        <v>11668</v>
      </c>
      <c r="AB1160" s="1049" t="s">
        <v>5462</v>
      </c>
      <c r="AC1160" s="416"/>
      <c r="AD1160" s="334" t="s">
        <v>2327</v>
      </c>
      <c r="AE1160" s="499" t="s">
        <v>8684</v>
      </c>
      <c r="AF1160" s="462">
        <v>43451</v>
      </c>
      <c r="AG1160" s="748">
        <v>43504</v>
      </c>
      <c r="AH1160" s="417" t="s">
        <v>210</v>
      </c>
      <c r="AI1160" s="392" t="s">
        <v>210</v>
      </c>
      <c r="AJ1160" s="392" t="s">
        <v>210</v>
      </c>
      <c r="AK1160" s="340" t="s">
        <v>210</v>
      </c>
      <c r="AL1160" s="417" t="s">
        <v>210</v>
      </c>
      <c r="AM1160" s="392" t="s">
        <v>210</v>
      </c>
      <c r="AN1160" s="392" t="s">
        <v>210</v>
      </c>
      <c r="AO1160" s="341" t="s">
        <v>210</v>
      </c>
      <c r="AP1160" s="418" t="s">
        <v>210</v>
      </c>
      <c r="AQ1160" s="433" t="s">
        <v>4547</v>
      </c>
      <c r="AR1160" s="452">
        <v>164</v>
      </c>
      <c r="AS1160" s="324">
        <v>100</v>
      </c>
      <c r="AT1160" s="432">
        <v>1</v>
      </c>
      <c r="AU1160" s="432" t="s">
        <v>5246</v>
      </c>
      <c r="AV1160" s="432">
        <v>1.4</v>
      </c>
      <c r="AW1160" s="490" t="s">
        <v>3382</v>
      </c>
      <c r="AX1160" s="456" t="s">
        <v>210</v>
      </c>
      <c r="AY1160" s="429" t="s">
        <v>210</v>
      </c>
      <c r="AZ1160" s="405" t="s">
        <v>4083</v>
      </c>
      <c r="BA1160" s="324" t="s">
        <v>210</v>
      </c>
      <c r="BB1160" s="324" t="s">
        <v>210</v>
      </c>
      <c r="BC1160" s="324" t="s">
        <v>210</v>
      </c>
      <c r="BD1160" s="324" t="s">
        <v>210</v>
      </c>
      <c r="BE1160" s="324" t="s">
        <v>3459</v>
      </c>
      <c r="BF1160" s="324" t="s">
        <v>5920</v>
      </c>
      <c r="BG1160" s="324" t="s">
        <v>3475</v>
      </c>
      <c r="BH1160" s="426" t="s">
        <v>5921</v>
      </c>
      <c r="BI1160" s="453">
        <v>0.4</v>
      </c>
      <c r="BJ1160" s="427" t="s">
        <v>8502</v>
      </c>
      <c r="BK1160" s="428" t="s">
        <v>8804</v>
      </c>
      <c r="BL1160" s="429" t="s">
        <v>8805</v>
      </c>
      <c r="BM1160" s="429" t="s">
        <v>210</v>
      </c>
      <c r="BN1160" s="453" t="s">
        <v>622</v>
      </c>
      <c r="BO1160" s="464">
        <v>1.17</v>
      </c>
      <c r="BP1160" s="455" t="s">
        <v>8503</v>
      </c>
      <c r="BQ1160" s="456" t="s">
        <v>6407</v>
      </c>
      <c r="BR1160" s="342" t="s">
        <v>622</v>
      </c>
      <c r="BS1160" s="342" t="s">
        <v>622</v>
      </c>
      <c r="BT1160" s="342" t="s">
        <v>210</v>
      </c>
      <c r="BU1160" s="342" t="s">
        <v>210</v>
      </c>
      <c r="BV1160" s="342" t="s">
        <v>210</v>
      </c>
      <c r="BW1160" s="341" t="s">
        <v>210</v>
      </c>
      <c r="BX1160" s="341" t="s">
        <v>210</v>
      </c>
      <c r="BY1160" s="457" t="s">
        <v>8504</v>
      </c>
      <c r="BZ1160" s="363"/>
      <c r="CA1160" s="363"/>
      <c r="CB1160" s="363"/>
      <c r="CC1160" s="363"/>
    </row>
    <row r="1161" spans="1:82" ht="22.5" customHeight="1">
      <c r="B1161" s="442">
        <v>180239</v>
      </c>
      <c r="C1161" s="443" t="s">
        <v>8415</v>
      </c>
      <c r="D1161" s="439" t="s">
        <v>4849</v>
      </c>
      <c r="E1161" s="404" t="s">
        <v>5362</v>
      </c>
      <c r="F1161" s="405" t="s">
        <v>240</v>
      </c>
      <c r="G1161" s="324" t="s">
        <v>8416</v>
      </c>
      <c r="H1161" s="324" t="s">
        <v>8417</v>
      </c>
      <c r="I1161" s="326" t="s">
        <v>383</v>
      </c>
      <c r="J1161" s="324" t="s">
        <v>6632</v>
      </c>
      <c r="K1161" s="324" t="s">
        <v>8490</v>
      </c>
      <c r="L1161" s="342">
        <v>30</v>
      </c>
      <c r="M1161" s="324" t="s">
        <v>7457</v>
      </c>
      <c r="N1161" s="444" t="s">
        <v>438</v>
      </c>
      <c r="O1161" s="324">
        <v>30</v>
      </c>
      <c r="P1161" s="445">
        <f>Q1161+400</f>
        <v>2700</v>
      </c>
      <c r="Q1161" s="446">
        <f>400+1850+50</f>
        <v>2300</v>
      </c>
      <c r="R1161" s="779" t="s">
        <v>8418</v>
      </c>
      <c r="S1161" s="394" t="s">
        <v>11659</v>
      </c>
      <c r="T1161" s="394" t="s">
        <v>11660</v>
      </c>
      <c r="U1161" s="394" t="s">
        <v>16358</v>
      </c>
      <c r="V1161" s="394" t="s">
        <v>11661</v>
      </c>
      <c r="W1161" s="332" t="s">
        <v>592</v>
      </c>
      <c r="X1161" s="332" t="s">
        <v>11656</v>
      </c>
      <c r="Y1161" s="332" t="s">
        <v>11657</v>
      </c>
      <c r="Z1161" s="332" t="s">
        <v>16509</v>
      </c>
      <c r="AA1161" s="332" t="s">
        <v>11658</v>
      </c>
      <c r="AB1161" s="416"/>
      <c r="AC1161" s="416"/>
      <c r="AD1161" s="1048"/>
      <c r="AE1161" s="948"/>
      <c r="AF1161" s="462">
        <v>43452</v>
      </c>
      <c r="AG1161" s="748">
        <v>43609</v>
      </c>
      <c r="AH1161" s="417" t="s">
        <v>210</v>
      </c>
      <c r="AI1161" s="392" t="s">
        <v>210</v>
      </c>
      <c r="AJ1161" s="392" t="s">
        <v>210</v>
      </c>
      <c r="AK1161" s="340" t="s">
        <v>210</v>
      </c>
      <c r="AL1161" s="417" t="s">
        <v>210</v>
      </c>
      <c r="AM1161" s="392" t="s">
        <v>210</v>
      </c>
      <c r="AN1161" s="392" t="s">
        <v>210</v>
      </c>
      <c r="AO1161" s="341" t="s">
        <v>210</v>
      </c>
      <c r="AP1161" s="418" t="s">
        <v>210</v>
      </c>
      <c r="AQ1161" s="1050" t="s">
        <v>8491</v>
      </c>
      <c r="AR1161" s="452">
        <f>3252+94</f>
        <v>3346</v>
      </c>
      <c r="AS1161" s="324">
        <v>100</v>
      </c>
      <c r="AT1161" s="432">
        <v>1</v>
      </c>
      <c r="AU1161" s="432" t="s">
        <v>5246</v>
      </c>
      <c r="AV1161" s="432">
        <v>1.8</v>
      </c>
      <c r="AW1161" s="490" t="s">
        <v>5352</v>
      </c>
      <c r="AX1161" s="453" t="s">
        <v>622</v>
      </c>
      <c r="AY1161" s="429" t="s">
        <v>8556</v>
      </c>
      <c r="AZ1161" s="405" t="s">
        <v>4083</v>
      </c>
      <c r="BA1161" s="324" t="s">
        <v>210</v>
      </c>
      <c r="BB1161" s="324" t="s">
        <v>210</v>
      </c>
      <c r="BC1161" s="324" t="s">
        <v>8492</v>
      </c>
      <c r="BD1161" s="324" t="s">
        <v>6579</v>
      </c>
      <c r="BE1161" s="324" t="s">
        <v>8493</v>
      </c>
      <c r="BF1161" s="324" t="s">
        <v>6579</v>
      </c>
      <c r="BG1161" s="324" t="s">
        <v>3738</v>
      </c>
      <c r="BH1161" s="426" t="s">
        <v>5921</v>
      </c>
      <c r="BI1161" s="453">
        <v>0.5</v>
      </c>
      <c r="BJ1161" s="427">
        <v>4.7</v>
      </c>
      <c r="BK1161" s="428" t="s">
        <v>8804</v>
      </c>
      <c r="BL1161" s="429" t="s">
        <v>8805</v>
      </c>
      <c r="BM1161" s="429" t="s">
        <v>210</v>
      </c>
      <c r="BN1161" s="453" t="s">
        <v>622</v>
      </c>
      <c r="BO1161" s="464">
        <v>1.3</v>
      </c>
      <c r="BP1161" s="455" t="s">
        <v>622</v>
      </c>
      <c r="BQ1161" s="456" t="s">
        <v>247</v>
      </c>
      <c r="BR1161" s="342" t="s">
        <v>622</v>
      </c>
      <c r="BS1161" s="342" t="s">
        <v>622</v>
      </c>
      <c r="BT1161" s="342" t="s">
        <v>210</v>
      </c>
      <c r="BU1161" s="342" t="s">
        <v>210</v>
      </c>
      <c r="BV1161" s="786">
        <v>-25</v>
      </c>
      <c r="BW1161" s="341" t="s">
        <v>210</v>
      </c>
      <c r="BX1161" s="341" t="s">
        <v>210</v>
      </c>
      <c r="BY1161" s="457" t="s">
        <v>8557</v>
      </c>
      <c r="BZ1161" s="363"/>
      <c r="CA1161" s="363"/>
      <c r="CB1161" s="363"/>
      <c r="CC1161" s="363"/>
    </row>
    <row r="1162" spans="1:82" ht="22.5" customHeight="1">
      <c r="B1162" s="442">
        <v>180240</v>
      </c>
      <c r="C1162" s="443" t="s">
        <v>8522</v>
      </c>
      <c r="D1162" s="439" t="s">
        <v>4854</v>
      </c>
      <c r="E1162" s="404" t="s">
        <v>5362</v>
      </c>
      <c r="F1162" s="405" t="s">
        <v>839</v>
      </c>
      <c r="G1162" s="324" t="s">
        <v>2228</v>
      </c>
      <c r="H1162" s="324" t="s">
        <v>8523</v>
      </c>
      <c r="I1162" s="326" t="s">
        <v>383</v>
      </c>
      <c r="J1162" s="324" t="s">
        <v>6632</v>
      </c>
      <c r="K1162" s="324" t="s">
        <v>247</v>
      </c>
      <c r="L1162" s="342" t="s">
        <v>210</v>
      </c>
      <c r="M1162" s="324" t="s">
        <v>7457</v>
      </c>
      <c r="N1162" s="444" t="s">
        <v>438</v>
      </c>
      <c r="O1162" s="324">
        <v>39</v>
      </c>
      <c r="P1162" s="445">
        <v>1100</v>
      </c>
      <c r="Q1162" s="446">
        <v>960</v>
      </c>
      <c r="R1162" s="779" t="s">
        <v>8429</v>
      </c>
      <c r="S1162" s="394" t="s">
        <v>11652</v>
      </c>
      <c r="T1162" s="394" t="s">
        <v>11654</v>
      </c>
      <c r="U1162" s="394" t="s">
        <v>11653</v>
      </c>
      <c r="V1162" s="394" t="s">
        <v>11655</v>
      </c>
      <c r="W1162" s="332" t="s">
        <v>8429</v>
      </c>
      <c r="X1162" s="645"/>
      <c r="Y1162" s="394" t="s">
        <v>11654</v>
      </c>
      <c r="Z1162" s="394" t="s">
        <v>11653</v>
      </c>
      <c r="AA1162" s="645"/>
      <c r="AB1162" s="416"/>
      <c r="AC1162" s="416"/>
      <c r="AD1162" s="334" t="s">
        <v>9333</v>
      </c>
      <c r="AE1162" s="499" t="s">
        <v>9158</v>
      </c>
      <c r="AF1162" s="462">
        <v>43460</v>
      </c>
      <c r="AG1162" s="748">
        <v>43593</v>
      </c>
      <c r="AH1162" s="417" t="s">
        <v>210</v>
      </c>
      <c r="AI1162" s="392" t="s">
        <v>210</v>
      </c>
      <c r="AJ1162" s="392" t="s">
        <v>210</v>
      </c>
      <c r="AK1162" s="340" t="s">
        <v>210</v>
      </c>
      <c r="AL1162" s="417" t="s">
        <v>210</v>
      </c>
      <c r="AM1162" s="392" t="s">
        <v>210</v>
      </c>
      <c r="AN1162" s="392" t="s">
        <v>210</v>
      </c>
      <c r="AO1162" s="341" t="s">
        <v>210</v>
      </c>
      <c r="AP1162" s="418" t="s">
        <v>210</v>
      </c>
      <c r="AQ1162" s="433" t="s">
        <v>4547</v>
      </c>
      <c r="AR1162" s="452">
        <v>1410</v>
      </c>
      <c r="AS1162" s="324">
        <v>100</v>
      </c>
      <c r="AT1162" s="432">
        <v>1</v>
      </c>
      <c r="AU1162" s="432" t="s">
        <v>8558</v>
      </c>
      <c r="AV1162" s="432">
        <v>1.5</v>
      </c>
      <c r="AW1162" s="490" t="s">
        <v>3702</v>
      </c>
      <c r="AX1162" s="456" t="s">
        <v>210</v>
      </c>
      <c r="AY1162" s="429" t="s">
        <v>210</v>
      </c>
      <c r="AZ1162" s="405" t="s">
        <v>622</v>
      </c>
      <c r="BA1162" s="324" t="s">
        <v>8524</v>
      </c>
      <c r="BB1162" s="324" t="s">
        <v>5730</v>
      </c>
      <c r="BC1162" s="324" t="s">
        <v>3475</v>
      </c>
      <c r="BD1162" s="324" t="s">
        <v>3702</v>
      </c>
      <c r="BE1162" s="324" t="s">
        <v>8525</v>
      </c>
      <c r="BF1162" s="324" t="s">
        <v>3702</v>
      </c>
      <c r="BG1162" s="324" t="s">
        <v>8525</v>
      </c>
      <c r="BH1162" s="426" t="s">
        <v>6622</v>
      </c>
      <c r="BI1162" s="453">
        <v>2.6</v>
      </c>
      <c r="BJ1162" s="427">
        <v>1.6</v>
      </c>
      <c r="BK1162" s="428" t="s">
        <v>8815</v>
      </c>
      <c r="BL1162" s="429">
        <v>1.3</v>
      </c>
      <c r="BM1162" s="429" t="s">
        <v>210</v>
      </c>
      <c r="BN1162" s="453" t="s">
        <v>622</v>
      </c>
      <c r="BO1162" s="464">
        <v>1.95</v>
      </c>
      <c r="BP1162" s="455" t="s">
        <v>622</v>
      </c>
      <c r="BQ1162" s="456" t="s">
        <v>247</v>
      </c>
      <c r="BR1162" s="342" t="s">
        <v>210</v>
      </c>
      <c r="BS1162" s="342" t="s">
        <v>622</v>
      </c>
      <c r="BT1162" s="342" t="s">
        <v>210</v>
      </c>
      <c r="BU1162" s="342" t="s">
        <v>210</v>
      </c>
      <c r="BV1162" s="342" t="s">
        <v>210</v>
      </c>
      <c r="BW1162" s="341" t="s">
        <v>210</v>
      </c>
      <c r="BX1162" s="341" t="s">
        <v>210</v>
      </c>
      <c r="BY1162" s="457" t="s">
        <v>8614</v>
      </c>
      <c r="BZ1162" s="363"/>
      <c r="CA1162" s="363"/>
      <c r="CB1162" s="363"/>
      <c r="CC1162" s="363"/>
    </row>
    <row r="1163" spans="1:82" ht="22.5" customHeight="1">
      <c r="B1163" s="442">
        <v>180241</v>
      </c>
      <c r="C1163" s="443" t="s">
        <v>11649</v>
      </c>
      <c r="D1163" s="439" t="s">
        <v>4849</v>
      </c>
      <c r="E1163" s="404" t="s">
        <v>5405</v>
      </c>
      <c r="F1163" s="405" t="s">
        <v>229</v>
      </c>
      <c r="G1163" s="324" t="s">
        <v>8528</v>
      </c>
      <c r="H1163" s="324" t="s">
        <v>8529</v>
      </c>
      <c r="I1163" s="326" t="s">
        <v>383</v>
      </c>
      <c r="J1163" s="324" t="s">
        <v>214</v>
      </c>
      <c r="K1163" s="324" t="s">
        <v>247</v>
      </c>
      <c r="L1163" s="342">
        <v>20</v>
      </c>
      <c r="M1163" s="324" t="s">
        <v>7457</v>
      </c>
      <c r="N1163" s="444" t="s">
        <v>438</v>
      </c>
      <c r="O1163" s="324" t="s">
        <v>8599</v>
      </c>
      <c r="P1163" s="445">
        <v>3500</v>
      </c>
      <c r="Q1163" s="446">
        <v>3500</v>
      </c>
      <c r="R1163" s="779" t="s">
        <v>8530</v>
      </c>
      <c r="S1163" s="394" t="s">
        <v>11650</v>
      </c>
      <c r="T1163" s="400"/>
      <c r="U1163" s="400"/>
      <c r="V1163" s="394" t="s">
        <v>11651</v>
      </c>
      <c r="W1163" s="332" t="s">
        <v>644</v>
      </c>
      <c r="X1163" s="394" t="s">
        <v>11291</v>
      </c>
      <c r="Y1163" s="394" t="s">
        <v>11292</v>
      </c>
      <c r="Z1163" s="394" t="s">
        <v>16526</v>
      </c>
      <c r="AA1163" s="394" t="s">
        <v>11293</v>
      </c>
      <c r="AB1163" s="416"/>
      <c r="AC1163" s="416"/>
      <c r="AD1163" s="447" t="s">
        <v>8755</v>
      </c>
      <c r="AE1163" s="499" t="s">
        <v>8856</v>
      </c>
      <c r="AF1163" s="462">
        <v>43462</v>
      </c>
      <c r="AG1163" s="748">
        <v>43532</v>
      </c>
      <c r="AH1163" s="417" t="s">
        <v>210</v>
      </c>
      <c r="AI1163" s="392" t="s">
        <v>210</v>
      </c>
      <c r="AJ1163" s="392" t="s">
        <v>210</v>
      </c>
      <c r="AK1163" s="340" t="s">
        <v>210</v>
      </c>
      <c r="AL1163" s="417" t="s">
        <v>210</v>
      </c>
      <c r="AM1163" s="392" t="s">
        <v>210</v>
      </c>
      <c r="AN1163" s="425" t="s">
        <v>8759</v>
      </c>
      <c r="AO1163" s="341" t="s">
        <v>210</v>
      </c>
      <c r="AP1163" s="418" t="s">
        <v>210</v>
      </c>
      <c r="AQ1163" s="433" t="s">
        <v>4547</v>
      </c>
      <c r="AR1163" s="452">
        <v>4452</v>
      </c>
      <c r="AS1163" s="324">
        <v>80</v>
      </c>
      <c r="AT1163" s="432">
        <v>1.2</v>
      </c>
      <c r="AU1163" s="432" t="s">
        <v>5246</v>
      </c>
      <c r="AV1163" s="432">
        <v>1.6</v>
      </c>
      <c r="AW1163" s="490" t="s">
        <v>3372</v>
      </c>
      <c r="AX1163" s="456" t="s">
        <v>210</v>
      </c>
      <c r="AY1163" s="429" t="s">
        <v>210</v>
      </c>
      <c r="AZ1163" s="405" t="s">
        <v>622</v>
      </c>
      <c r="BA1163" s="324" t="s">
        <v>8531</v>
      </c>
      <c r="BB1163" s="324" t="s">
        <v>8532</v>
      </c>
      <c r="BC1163" s="324" t="s">
        <v>8533</v>
      </c>
      <c r="BD1163" s="324" t="s">
        <v>8532</v>
      </c>
      <c r="BE1163" s="324" t="s">
        <v>210</v>
      </c>
      <c r="BF1163" s="324" t="s">
        <v>210</v>
      </c>
      <c r="BG1163" s="324" t="s">
        <v>3555</v>
      </c>
      <c r="BH1163" s="426" t="s">
        <v>3936</v>
      </c>
      <c r="BI1163" s="453">
        <v>0.3</v>
      </c>
      <c r="BJ1163" s="886" t="s">
        <v>8600</v>
      </c>
      <c r="BK1163" s="995" t="s">
        <v>8806</v>
      </c>
      <c r="BL1163" s="1040">
        <v>6.1</v>
      </c>
      <c r="BM1163" s="429" t="s">
        <v>210</v>
      </c>
      <c r="BN1163" s="453" t="s">
        <v>622</v>
      </c>
      <c r="BO1163" s="464">
        <v>1.04</v>
      </c>
      <c r="BP1163" s="455" t="s">
        <v>622</v>
      </c>
      <c r="BQ1163" s="456" t="s">
        <v>247</v>
      </c>
      <c r="BR1163" s="342" t="s">
        <v>622</v>
      </c>
      <c r="BS1163" s="342" t="s">
        <v>210</v>
      </c>
      <c r="BT1163" s="342" t="s">
        <v>210</v>
      </c>
      <c r="BU1163" s="342" t="s">
        <v>210</v>
      </c>
      <c r="BV1163" s="342" t="s">
        <v>210</v>
      </c>
      <c r="BW1163" s="341" t="s">
        <v>210</v>
      </c>
      <c r="BX1163" s="341" t="s">
        <v>210</v>
      </c>
      <c r="BY1163" s="457" t="s">
        <v>8585</v>
      </c>
      <c r="BZ1163" s="363"/>
      <c r="CA1163" s="363"/>
      <c r="CB1163" s="363"/>
      <c r="CC1163" s="363"/>
    </row>
    <row r="1164" spans="1:82" ht="22.5" customHeight="1">
      <c r="B1164" s="442">
        <v>180242</v>
      </c>
      <c r="C1164" s="443" t="s">
        <v>8543</v>
      </c>
      <c r="D1164" s="467" t="s">
        <v>7463</v>
      </c>
      <c r="E1164" s="404" t="s">
        <v>5362</v>
      </c>
      <c r="F1164" s="405" t="s">
        <v>8537</v>
      </c>
      <c r="G1164" s="324" t="s">
        <v>8538</v>
      </c>
      <c r="H1164" s="324" t="s">
        <v>8539</v>
      </c>
      <c r="I1164" s="326" t="s">
        <v>383</v>
      </c>
      <c r="J1164" s="324" t="s">
        <v>6632</v>
      </c>
      <c r="K1164" s="324" t="s">
        <v>6380</v>
      </c>
      <c r="L1164" s="342">
        <v>40</v>
      </c>
      <c r="M1164" s="324" t="s">
        <v>7457</v>
      </c>
      <c r="N1164" s="444" t="s">
        <v>438</v>
      </c>
      <c r="O1164" s="324">
        <v>200</v>
      </c>
      <c r="P1164" s="445">
        <v>10500</v>
      </c>
      <c r="Q1164" s="446">
        <f>P1164</f>
        <v>10500</v>
      </c>
      <c r="R1164" s="779" t="s">
        <v>8540</v>
      </c>
      <c r="S1164" s="400"/>
      <c r="T1164" s="400"/>
      <c r="U1164" s="400"/>
      <c r="V1164" s="400"/>
      <c r="W1164" s="332" t="s">
        <v>1491</v>
      </c>
      <c r="X1164" s="332" t="s">
        <v>11646</v>
      </c>
      <c r="Y1164" s="332" t="s">
        <v>11648</v>
      </c>
      <c r="Z1164" s="332" t="s">
        <v>16478</v>
      </c>
      <c r="AA1164" s="332" t="s">
        <v>11647</v>
      </c>
      <c r="AB1164" s="416"/>
      <c r="AC1164" s="416"/>
      <c r="AD1164" s="334" t="s">
        <v>2326</v>
      </c>
      <c r="AE1164" s="499" t="s">
        <v>1038</v>
      </c>
      <c r="AF1164" s="462">
        <v>43472</v>
      </c>
      <c r="AG1164" s="748">
        <v>43553</v>
      </c>
      <c r="AH1164" s="417" t="s">
        <v>210</v>
      </c>
      <c r="AI1164" s="392" t="s">
        <v>210</v>
      </c>
      <c r="AJ1164" s="392" t="s">
        <v>210</v>
      </c>
      <c r="AK1164" s="340" t="s">
        <v>210</v>
      </c>
      <c r="AL1164" s="417" t="s">
        <v>210</v>
      </c>
      <c r="AM1164" s="392" t="s">
        <v>210</v>
      </c>
      <c r="AN1164" s="392" t="s">
        <v>210</v>
      </c>
      <c r="AO1164" s="341" t="s">
        <v>210</v>
      </c>
      <c r="AP1164" s="418" t="s">
        <v>210</v>
      </c>
      <c r="AQ1164" s="433" t="s">
        <v>4547</v>
      </c>
      <c r="AR1164" s="452">
        <v>11818</v>
      </c>
      <c r="AS1164" s="324">
        <v>120</v>
      </c>
      <c r="AT1164" s="432">
        <v>1</v>
      </c>
      <c r="AU1164" s="432" t="s">
        <v>5246</v>
      </c>
      <c r="AV1164" s="432">
        <v>1.5</v>
      </c>
      <c r="AW1164" s="490" t="s">
        <v>6579</v>
      </c>
      <c r="AX1164" s="456" t="s">
        <v>210</v>
      </c>
      <c r="AY1164" s="429" t="s">
        <v>210</v>
      </c>
      <c r="AZ1164" s="405" t="s">
        <v>4083</v>
      </c>
      <c r="BA1164" s="324" t="s">
        <v>210</v>
      </c>
      <c r="BB1164" s="324" t="s">
        <v>210</v>
      </c>
      <c r="BC1164" s="324" t="s">
        <v>210</v>
      </c>
      <c r="BD1164" s="324" t="s">
        <v>210</v>
      </c>
      <c r="BE1164" s="324" t="s">
        <v>3459</v>
      </c>
      <c r="BF1164" s="324" t="s">
        <v>6579</v>
      </c>
      <c r="BG1164" s="324" t="s">
        <v>3557</v>
      </c>
      <c r="BH1164" s="324" t="s">
        <v>6579</v>
      </c>
      <c r="BI1164" s="453">
        <v>1</v>
      </c>
      <c r="BJ1164" s="427">
        <v>1.39</v>
      </c>
      <c r="BK1164" s="428" t="s">
        <v>8804</v>
      </c>
      <c r="BL1164" s="429" t="s">
        <v>8805</v>
      </c>
      <c r="BM1164" s="429" t="s">
        <v>210</v>
      </c>
      <c r="BN1164" s="453" t="s">
        <v>622</v>
      </c>
      <c r="BO1164" s="464">
        <v>1.29</v>
      </c>
      <c r="BP1164" s="455" t="s">
        <v>622</v>
      </c>
      <c r="BQ1164" s="456" t="s">
        <v>6407</v>
      </c>
      <c r="BR1164" s="342" t="s">
        <v>622</v>
      </c>
      <c r="BS1164" s="342" t="s">
        <v>622</v>
      </c>
      <c r="BT1164" s="342" t="s">
        <v>210</v>
      </c>
      <c r="BU1164" s="342" t="s">
        <v>210</v>
      </c>
      <c r="BV1164" s="342" t="s">
        <v>210</v>
      </c>
      <c r="BW1164" s="341" t="s">
        <v>210</v>
      </c>
      <c r="BX1164" s="341" t="s">
        <v>210</v>
      </c>
      <c r="BY1164" s="457" t="s">
        <v>8637</v>
      </c>
      <c r="BZ1164" s="363"/>
      <c r="CA1164" s="363"/>
      <c r="CB1164" s="363"/>
      <c r="CC1164" s="363"/>
    </row>
    <row r="1165" spans="1:82" ht="22.5" customHeight="1">
      <c r="B1165" s="442">
        <v>180243</v>
      </c>
      <c r="C1165" s="443" t="s">
        <v>8547</v>
      </c>
      <c r="D1165" s="439" t="s">
        <v>4854</v>
      </c>
      <c r="E1165" s="404" t="s">
        <v>5362</v>
      </c>
      <c r="F1165" s="405" t="s">
        <v>7135</v>
      </c>
      <c r="G1165" s="324" t="s">
        <v>8548</v>
      </c>
      <c r="H1165" s="324" t="s">
        <v>8549</v>
      </c>
      <c r="I1165" s="324" t="s">
        <v>766</v>
      </c>
      <c r="J1165" s="324" t="s">
        <v>214</v>
      </c>
      <c r="K1165" s="324" t="s">
        <v>917</v>
      </c>
      <c r="L1165" s="342" t="s">
        <v>210</v>
      </c>
      <c r="M1165" s="324" t="s">
        <v>766</v>
      </c>
      <c r="N1165" s="444" t="s">
        <v>8550</v>
      </c>
      <c r="O1165" s="324">
        <v>30</v>
      </c>
      <c r="P1165" s="458">
        <v>323</v>
      </c>
      <c r="Q1165" s="459">
        <v>299</v>
      </c>
      <c r="R1165" s="779" t="s">
        <v>8551</v>
      </c>
      <c r="S1165" s="394" t="s">
        <v>11640</v>
      </c>
      <c r="T1165" s="394" t="s">
        <v>11639</v>
      </c>
      <c r="U1165" s="394" t="s">
        <v>16459</v>
      </c>
      <c r="V1165" s="394" t="s">
        <v>11641</v>
      </c>
      <c r="W1165" s="460" t="s">
        <v>8552</v>
      </c>
      <c r="X1165" s="332" t="s">
        <v>11642</v>
      </c>
      <c r="Y1165" s="332" t="s">
        <v>11643</v>
      </c>
      <c r="Z1165" s="332" t="s">
        <v>11644</v>
      </c>
      <c r="AA1165" s="332" t="s">
        <v>11645</v>
      </c>
      <c r="AB1165" s="416"/>
      <c r="AC1165" s="416"/>
      <c r="AD1165" s="989"/>
      <c r="AE1165" s="335" t="s">
        <v>210</v>
      </c>
      <c r="AF1165" s="462">
        <v>43473</v>
      </c>
      <c r="AG1165" s="748">
        <v>43511</v>
      </c>
      <c r="AH1165" s="417" t="s">
        <v>210</v>
      </c>
      <c r="AI1165" s="392" t="s">
        <v>210</v>
      </c>
      <c r="AJ1165" s="392" t="s">
        <v>210</v>
      </c>
      <c r="AK1165" s="340" t="s">
        <v>210</v>
      </c>
      <c r="AL1165" s="417" t="s">
        <v>210</v>
      </c>
      <c r="AM1165" s="392" t="s">
        <v>210</v>
      </c>
      <c r="AN1165" s="392" t="s">
        <v>210</v>
      </c>
      <c r="AO1165" s="341" t="s">
        <v>210</v>
      </c>
      <c r="AP1165" s="418" t="s">
        <v>210</v>
      </c>
      <c r="AQ1165" s="433" t="s">
        <v>4548</v>
      </c>
      <c r="AR1165" s="452">
        <v>511</v>
      </c>
      <c r="AS1165" s="324">
        <v>80</v>
      </c>
      <c r="AT1165" s="432">
        <v>1</v>
      </c>
      <c r="AU1165" s="432" t="s">
        <v>6579</v>
      </c>
      <c r="AV1165" s="432">
        <v>1.5</v>
      </c>
      <c r="AW1165" s="490" t="s">
        <v>6622</v>
      </c>
      <c r="AX1165" s="456" t="s">
        <v>210</v>
      </c>
      <c r="AY1165" s="429" t="s">
        <v>210</v>
      </c>
      <c r="AZ1165" s="405" t="s">
        <v>4083</v>
      </c>
      <c r="BA1165" s="324" t="s">
        <v>210</v>
      </c>
      <c r="BB1165" s="324" t="s">
        <v>210</v>
      </c>
      <c r="BC1165" s="324" t="s">
        <v>8553</v>
      </c>
      <c r="BD1165" s="324" t="s">
        <v>3512</v>
      </c>
      <c r="BE1165" s="324" t="s">
        <v>8554</v>
      </c>
      <c r="BF1165" s="324" t="s">
        <v>6622</v>
      </c>
      <c r="BG1165" s="324" t="s">
        <v>8555</v>
      </c>
      <c r="BH1165" s="324" t="s">
        <v>6622</v>
      </c>
      <c r="BI1165" s="453">
        <v>1.8</v>
      </c>
      <c r="BJ1165" s="427">
        <v>2.4</v>
      </c>
      <c r="BK1165" s="995" t="s">
        <v>210</v>
      </c>
      <c r="BL1165" s="1040" t="s">
        <v>210</v>
      </c>
      <c r="BM1165" s="429" t="s">
        <v>210</v>
      </c>
      <c r="BN1165" s="453" t="s">
        <v>622</v>
      </c>
      <c r="BO1165" s="464">
        <v>0.89</v>
      </c>
      <c r="BP1165" s="455" t="s">
        <v>622</v>
      </c>
      <c r="BQ1165" s="456" t="s">
        <v>917</v>
      </c>
      <c r="BR1165" s="342" t="s">
        <v>210</v>
      </c>
      <c r="BS1165" s="342" t="s">
        <v>210</v>
      </c>
      <c r="BT1165" s="342" t="s">
        <v>210</v>
      </c>
      <c r="BU1165" s="342" t="s">
        <v>210</v>
      </c>
      <c r="BV1165" s="342" t="s">
        <v>210</v>
      </c>
      <c r="BW1165" s="341" t="s">
        <v>210</v>
      </c>
      <c r="BX1165" s="341" t="s">
        <v>210</v>
      </c>
      <c r="BY1165" s="457" t="s">
        <v>8596</v>
      </c>
      <c r="BZ1165" s="363"/>
      <c r="CA1165" s="363"/>
      <c r="CB1165" s="363"/>
      <c r="CC1165" s="363"/>
    </row>
    <row r="1166" spans="1:82" ht="22.5" customHeight="1">
      <c r="B1166" s="442">
        <v>180244</v>
      </c>
      <c r="C1166" s="443" t="s">
        <v>8559</v>
      </c>
      <c r="D1166" s="467" t="s">
        <v>6663</v>
      </c>
      <c r="E1166" s="404" t="s">
        <v>5362</v>
      </c>
      <c r="F1166" s="405" t="s">
        <v>6678</v>
      </c>
      <c r="G1166" s="324" t="s">
        <v>8560</v>
      </c>
      <c r="H1166" s="324" t="s">
        <v>8561</v>
      </c>
      <c r="I1166" s="326" t="s">
        <v>383</v>
      </c>
      <c r="J1166" s="324" t="s">
        <v>214</v>
      </c>
      <c r="K1166" s="324" t="s">
        <v>917</v>
      </c>
      <c r="L1166" s="342" t="s">
        <v>210</v>
      </c>
      <c r="M1166" s="324" t="s">
        <v>7457</v>
      </c>
      <c r="N1166" s="444" t="s">
        <v>437</v>
      </c>
      <c r="O1166" s="324">
        <v>100</v>
      </c>
      <c r="P1166" s="458">
        <v>600</v>
      </c>
      <c r="Q1166" s="459">
        <v>600</v>
      </c>
      <c r="R1166" s="779" t="s">
        <v>8562</v>
      </c>
      <c r="S1166" s="394" t="s">
        <v>11635</v>
      </c>
      <c r="T1166" s="394" t="s">
        <v>11637</v>
      </c>
      <c r="U1166" s="394" t="s">
        <v>11636</v>
      </c>
      <c r="V1166" s="394" t="s">
        <v>11638</v>
      </c>
      <c r="W1166" s="460" t="s">
        <v>8571</v>
      </c>
      <c r="X1166" s="645"/>
      <c r="Y1166" s="394" t="s">
        <v>11637</v>
      </c>
      <c r="Z1166" s="394" t="s">
        <v>11636</v>
      </c>
      <c r="AA1166" s="394" t="s">
        <v>11638</v>
      </c>
      <c r="AB1166" s="416"/>
      <c r="AC1166" s="416"/>
      <c r="AD1166" s="334" t="s">
        <v>2322</v>
      </c>
      <c r="AE1166" s="335" t="s">
        <v>210</v>
      </c>
      <c r="AF1166" s="462">
        <v>43476</v>
      </c>
      <c r="AG1166" s="748">
        <v>43535</v>
      </c>
      <c r="AH1166" s="417" t="s">
        <v>210</v>
      </c>
      <c r="AI1166" s="392" t="s">
        <v>210</v>
      </c>
      <c r="AJ1166" s="392" t="s">
        <v>210</v>
      </c>
      <c r="AK1166" s="340" t="s">
        <v>210</v>
      </c>
      <c r="AL1166" s="417" t="s">
        <v>210</v>
      </c>
      <c r="AM1166" s="392" t="s">
        <v>210</v>
      </c>
      <c r="AN1166" s="392" t="s">
        <v>210</v>
      </c>
      <c r="AO1166" s="341" t="s">
        <v>210</v>
      </c>
      <c r="AP1166" s="418" t="s">
        <v>210</v>
      </c>
      <c r="AQ1166" s="433" t="s">
        <v>4547</v>
      </c>
      <c r="AR1166" s="452">
        <v>942</v>
      </c>
      <c r="AS1166" s="324">
        <v>100</v>
      </c>
      <c r="AT1166" s="432">
        <v>1</v>
      </c>
      <c r="AU1166" s="432" t="s">
        <v>3574</v>
      </c>
      <c r="AV1166" s="432">
        <v>1.5</v>
      </c>
      <c r="AW1166" s="490" t="s">
        <v>3372</v>
      </c>
      <c r="AX1166" s="456" t="s">
        <v>210</v>
      </c>
      <c r="AY1166" s="429" t="s">
        <v>8601</v>
      </c>
      <c r="AZ1166" s="405" t="s">
        <v>622</v>
      </c>
      <c r="BA1166" s="324" t="s">
        <v>8573</v>
      </c>
      <c r="BB1166" s="324" t="s">
        <v>8572</v>
      </c>
      <c r="BC1166" s="324" t="s">
        <v>3555</v>
      </c>
      <c r="BD1166" s="324" t="s">
        <v>8572</v>
      </c>
      <c r="BE1166" s="324" t="s">
        <v>8574</v>
      </c>
      <c r="BF1166" s="324" t="s">
        <v>8572</v>
      </c>
      <c r="BG1166" s="324" t="s">
        <v>8574</v>
      </c>
      <c r="BH1166" s="426" t="s">
        <v>5077</v>
      </c>
      <c r="BI1166" s="453">
        <v>0.8</v>
      </c>
      <c r="BJ1166" s="427">
        <v>2.54</v>
      </c>
      <c r="BK1166" s="428" t="s">
        <v>8804</v>
      </c>
      <c r="BL1166" s="429" t="s">
        <v>8805</v>
      </c>
      <c r="BM1166" s="429" t="s">
        <v>210</v>
      </c>
      <c r="BN1166" s="453" t="s">
        <v>622</v>
      </c>
      <c r="BO1166" s="464">
        <v>1.04</v>
      </c>
      <c r="BP1166" s="455" t="s">
        <v>622</v>
      </c>
      <c r="BQ1166" s="456" t="s">
        <v>1059</v>
      </c>
      <c r="BR1166" s="342" t="s">
        <v>622</v>
      </c>
      <c r="BS1166" s="342" t="s">
        <v>622</v>
      </c>
      <c r="BT1166" s="342" t="s">
        <v>210</v>
      </c>
      <c r="BU1166" s="342" t="s">
        <v>210</v>
      </c>
      <c r="BV1166" s="342" t="s">
        <v>210</v>
      </c>
      <c r="BW1166" s="341" t="s">
        <v>210</v>
      </c>
      <c r="BX1166" s="341" t="s">
        <v>210</v>
      </c>
      <c r="BY1166" s="457"/>
      <c r="BZ1166" s="363"/>
      <c r="CA1166" s="363"/>
      <c r="CB1166" s="363"/>
      <c r="CC1166" s="363"/>
    </row>
    <row r="1167" spans="1:82" ht="22.5" customHeight="1">
      <c r="B1167" s="442">
        <v>180245</v>
      </c>
      <c r="C1167" s="443" t="s">
        <v>8577</v>
      </c>
      <c r="D1167" s="439" t="s">
        <v>8595</v>
      </c>
      <c r="E1167" s="404" t="s">
        <v>7988</v>
      </c>
      <c r="F1167" s="405" t="s">
        <v>1048</v>
      </c>
      <c r="G1167" s="324" t="s">
        <v>2651</v>
      </c>
      <c r="H1167" s="324" t="s">
        <v>8578</v>
      </c>
      <c r="I1167" s="326" t="s">
        <v>383</v>
      </c>
      <c r="J1167" s="324" t="s">
        <v>214</v>
      </c>
      <c r="K1167" s="324" t="s">
        <v>3352</v>
      </c>
      <c r="L1167" s="342" t="s">
        <v>210</v>
      </c>
      <c r="M1167" s="324" t="s">
        <v>7457</v>
      </c>
      <c r="N1167" s="444" t="s">
        <v>437</v>
      </c>
      <c r="O1167" s="324">
        <v>60</v>
      </c>
      <c r="P1167" s="458">
        <v>671</v>
      </c>
      <c r="Q1167" s="459">
        <v>514</v>
      </c>
      <c r="R1167" s="329" t="s">
        <v>458</v>
      </c>
      <c r="S1167" s="394" t="s">
        <v>11634</v>
      </c>
      <c r="T1167" s="331" t="s">
        <v>11187</v>
      </c>
      <c r="U1167" s="331" t="s">
        <v>11186</v>
      </c>
      <c r="V1167" s="331" t="s">
        <v>11184</v>
      </c>
      <c r="W1167" s="460" t="s">
        <v>8579</v>
      </c>
      <c r="X1167" s="394" t="s">
        <v>11634</v>
      </c>
      <c r="Y1167" s="331" t="s">
        <v>11187</v>
      </c>
      <c r="Z1167" s="331" t="s">
        <v>11186</v>
      </c>
      <c r="AA1167" s="331" t="s">
        <v>11184</v>
      </c>
      <c r="AB1167" s="416"/>
      <c r="AC1167" s="416"/>
      <c r="AD1167" s="447" t="s">
        <v>8768</v>
      </c>
      <c r="AE1167" s="335" t="s">
        <v>210</v>
      </c>
      <c r="AF1167" s="462">
        <v>43476</v>
      </c>
      <c r="AG1167" s="748">
        <v>43556</v>
      </c>
      <c r="AH1167" s="417" t="s">
        <v>210</v>
      </c>
      <c r="AI1167" s="392" t="s">
        <v>210</v>
      </c>
      <c r="AJ1167" s="392" t="s">
        <v>210</v>
      </c>
      <c r="AK1167" s="340" t="s">
        <v>210</v>
      </c>
      <c r="AL1167" s="417" t="s">
        <v>210</v>
      </c>
      <c r="AM1167" s="392" t="s">
        <v>210</v>
      </c>
      <c r="AN1167" s="392" t="s">
        <v>210</v>
      </c>
      <c r="AO1167" s="341" t="s">
        <v>210</v>
      </c>
      <c r="AP1167" s="418" t="s">
        <v>210</v>
      </c>
      <c r="AQ1167" s="433" t="s">
        <v>4547</v>
      </c>
      <c r="AR1167" s="452">
        <f>13+350+37</f>
        <v>400</v>
      </c>
      <c r="AS1167" s="324">
        <v>80</v>
      </c>
      <c r="AT1167" s="432">
        <v>1</v>
      </c>
      <c r="AU1167" s="432" t="s">
        <v>3424</v>
      </c>
      <c r="AV1167" s="432">
        <v>1.5</v>
      </c>
      <c r="AW1167" s="490" t="s">
        <v>8598</v>
      </c>
      <c r="AX1167" s="456" t="s">
        <v>210</v>
      </c>
      <c r="AY1167" s="429" t="s">
        <v>210</v>
      </c>
      <c r="AZ1167" s="405" t="s">
        <v>4083</v>
      </c>
      <c r="BA1167" s="324" t="s">
        <v>210</v>
      </c>
      <c r="BB1167" s="324" t="s">
        <v>210</v>
      </c>
      <c r="BC1167" s="324" t="s">
        <v>8580</v>
      </c>
      <c r="BD1167" s="324" t="s">
        <v>8581</v>
      </c>
      <c r="BE1167" s="324" t="s">
        <v>8582</v>
      </c>
      <c r="BF1167" s="324" t="s">
        <v>4755</v>
      </c>
      <c r="BG1167" s="324" t="s">
        <v>210</v>
      </c>
      <c r="BH1167" s="426" t="s">
        <v>8583</v>
      </c>
      <c r="BI1167" s="453">
        <v>1.2</v>
      </c>
      <c r="BJ1167" s="427">
        <v>1.64</v>
      </c>
      <c r="BK1167" s="428" t="s">
        <v>8807</v>
      </c>
      <c r="BL1167" s="429">
        <v>0.9</v>
      </c>
      <c r="BM1167" s="429" t="s">
        <v>210</v>
      </c>
      <c r="BN1167" s="453" t="s">
        <v>622</v>
      </c>
      <c r="BO1167" s="464">
        <v>1.51</v>
      </c>
      <c r="BP1167" s="455" t="s">
        <v>622</v>
      </c>
      <c r="BQ1167" s="456" t="s">
        <v>1059</v>
      </c>
      <c r="BR1167" s="342" t="s">
        <v>210</v>
      </c>
      <c r="BS1167" s="342" t="s">
        <v>622</v>
      </c>
      <c r="BT1167" s="342" t="s">
        <v>210</v>
      </c>
      <c r="BU1167" s="342" t="s">
        <v>210</v>
      </c>
      <c r="BV1167" s="342" t="s">
        <v>210</v>
      </c>
      <c r="BW1167" s="341" t="s">
        <v>210</v>
      </c>
      <c r="BX1167" s="341" t="s">
        <v>210</v>
      </c>
      <c r="BY1167" s="457" t="s">
        <v>8584</v>
      </c>
      <c r="BZ1167" s="363"/>
      <c r="CA1167" s="363"/>
      <c r="CB1167" s="363"/>
      <c r="CC1167" s="363"/>
    </row>
    <row r="1168" spans="1:82" s="465" customFormat="1" ht="22.5" customHeight="1">
      <c r="B1168" s="749">
        <v>180246</v>
      </c>
      <c r="C1168" s="781" t="s">
        <v>8588</v>
      </c>
      <c r="D1168" s="751" t="s">
        <v>4847</v>
      </c>
      <c r="E1168" s="752" t="s">
        <v>5362</v>
      </c>
      <c r="F1168" s="753" t="s">
        <v>1043</v>
      </c>
      <c r="G1168" s="754" t="s">
        <v>3299</v>
      </c>
      <c r="H1168" s="754" t="s">
        <v>8589</v>
      </c>
      <c r="I1168" s="662" t="s">
        <v>383</v>
      </c>
      <c r="J1168" s="754" t="s">
        <v>214</v>
      </c>
      <c r="K1168" s="754" t="s">
        <v>917</v>
      </c>
      <c r="L1168" s="688" t="s">
        <v>210</v>
      </c>
      <c r="M1168" s="754" t="s">
        <v>7457</v>
      </c>
      <c r="N1168" s="755" t="s">
        <v>8590</v>
      </c>
      <c r="O1168" s="754">
        <v>140</v>
      </c>
      <c r="P1168" s="782">
        <v>9800</v>
      </c>
      <c r="Q1168" s="783">
        <v>9800</v>
      </c>
      <c r="R1168" s="667" t="s">
        <v>14983</v>
      </c>
      <c r="S1168" s="708" t="s">
        <v>11632</v>
      </c>
      <c r="T1168" s="708" t="s">
        <v>14982</v>
      </c>
      <c r="U1168" s="708" t="s">
        <v>16306</v>
      </c>
      <c r="V1168" s="708" t="s">
        <v>11633</v>
      </c>
      <c r="W1168" s="757" t="s">
        <v>8591</v>
      </c>
      <c r="X1168" s="669"/>
      <c r="Y1168" s="669"/>
      <c r="Z1168" s="669"/>
      <c r="AA1168" s="669"/>
      <c r="AB1168" s="758"/>
      <c r="AC1168" s="758"/>
      <c r="AD1168" s="759"/>
      <c r="AE1168" s="760" t="s">
        <v>16203</v>
      </c>
      <c r="AF1168" s="846">
        <v>43480</v>
      </c>
      <c r="AG1168" s="674" t="s">
        <v>10514</v>
      </c>
      <c r="AH1168" s="675" t="s">
        <v>210</v>
      </c>
      <c r="AI1168" s="676" t="s">
        <v>210</v>
      </c>
      <c r="AJ1168" s="676" t="s">
        <v>210</v>
      </c>
      <c r="AK1168" s="677" t="s">
        <v>210</v>
      </c>
      <c r="AL1168" s="675" t="s">
        <v>210</v>
      </c>
      <c r="AM1168" s="676" t="s">
        <v>210</v>
      </c>
      <c r="AN1168" s="1274" t="s">
        <v>8757</v>
      </c>
      <c r="AO1168" s="678" t="s">
        <v>210</v>
      </c>
      <c r="AP1168" s="784" t="s">
        <v>8592</v>
      </c>
      <c r="AQ1168" s="762" t="s">
        <v>4547</v>
      </c>
      <c r="AR1168" s="763">
        <v>12453</v>
      </c>
      <c r="AS1168" s="754">
        <v>100</v>
      </c>
      <c r="AT1168" s="785">
        <v>1</v>
      </c>
      <c r="AU1168" s="785" t="s">
        <v>8602</v>
      </c>
      <c r="AV1168" s="785">
        <v>1.9</v>
      </c>
      <c r="AW1168" s="764" t="s">
        <v>3380</v>
      </c>
      <c r="AX1168" s="773" t="s">
        <v>210</v>
      </c>
      <c r="AY1168" s="766" t="s">
        <v>210</v>
      </c>
      <c r="AZ1168" s="753" t="s">
        <v>622</v>
      </c>
      <c r="BA1168" s="754" t="s">
        <v>3558</v>
      </c>
      <c r="BB1168" s="754" t="s">
        <v>3372</v>
      </c>
      <c r="BC1168" s="754" t="s">
        <v>8593</v>
      </c>
      <c r="BD1168" s="754" t="s">
        <v>3372</v>
      </c>
      <c r="BE1168" s="754" t="s">
        <v>3555</v>
      </c>
      <c r="BF1168" s="754" t="s">
        <v>3380</v>
      </c>
      <c r="BG1168" s="754" t="s">
        <v>8594</v>
      </c>
      <c r="BH1168" s="767" t="s">
        <v>3574</v>
      </c>
      <c r="BI1168" s="765">
        <v>1</v>
      </c>
      <c r="BJ1168" s="768">
        <v>1.17</v>
      </c>
      <c r="BK1168" s="769" t="s">
        <v>3412</v>
      </c>
      <c r="BL1168" s="766">
        <v>1.9</v>
      </c>
      <c r="BM1168" s="770" t="s">
        <v>9137</v>
      </c>
      <c r="BN1168" s="765" t="s">
        <v>622</v>
      </c>
      <c r="BO1168" s="771">
        <v>1.1200000000000001</v>
      </c>
      <c r="BP1168" s="772" t="s">
        <v>622</v>
      </c>
      <c r="BQ1168" s="773" t="s">
        <v>6623</v>
      </c>
      <c r="BR1168" s="688" t="s">
        <v>210</v>
      </c>
      <c r="BS1168" s="688" t="s">
        <v>622</v>
      </c>
      <c r="BT1168" s="688" t="s">
        <v>210</v>
      </c>
      <c r="BU1168" s="688" t="s">
        <v>210</v>
      </c>
      <c r="BV1168" s="688" t="s">
        <v>210</v>
      </c>
      <c r="BW1168" s="678" t="s">
        <v>210</v>
      </c>
      <c r="BX1168" s="678" t="s">
        <v>210</v>
      </c>
      <c r="BY1168" s="774" t="s">
        <v>16079</v>
      </c>
      <c r="BZ1168" s="483"/>
      <c r="CA1168" s="483"/>
      <c r="CB1168" s="483"/>
      <c r="CC1168" s="483"/>
      <c r="CD1168" s="484"/>
    </row>
    <row r="1169" spans="1:82" ht="22.5" customHeight="1">
      <c r="B1169" s="442">
        <v>180247</v>
      </c>
      <c r="C1169" s="443" t="s">
        <v>8603</v>
      </c>
      <c r="D1169" s="439" t="s">
        <v>4849</v>
      </c>
      <c r="E1169" s="404" t="s">
        <v>7988</v>
      </c>
      <c r="F1169" s="405" t="s">
        <v>6678</v>
      </c>
      <c r="G1169" s="324" t="s">
        <v>8560</v>
      </c>
      <c r="H1169" s="324" t="s">
        <v>8604</v>
      </c>
      <c r="I1169" s="326" t="s">
        <v>383</v>
      </c>
      <c r="J1169" s="324" t="s">
        <v>214</v>
      </c>
      <c r="K1169" s="324" t="s">
        <v>917</v>
      </c>
      <c r="L1169" s="342" t="s">
        <v>210</v>
      </c>
      <c r="M1169" s="324" t="s">
        <v>7457</v>
      </c>
      <c r="N1169" s="444" t="s">
        <v>8720</v>
      </c>
      <c r="O1169" s="324">
        <v>150</v>
      </c>
      <c r="P1169" s="445">
        <v>3000</v>
      </c>
      <c r="Q1169" s="446">
        <v>3000</v>
      </c>
      <c r="R1169" s="329" t="s">
        <v>486</v>
      </c>
      <c r="S1169" s="331" t="s">
        <v>11299</v>
      </c>
      <c r="T1169" s="331" t="s">
        <v>11301</v>
      </c>
      <c r="U1169" s="331" t="s">
        <v>11300</v>
      </c>
      <c r="V1169" s="331" t="s">
        <v>11302</v>
      </c>
      <c r="W1169" s="460" t="s">
        <v>8605</v>
      </c>
      <c r="X1169" s="332" t="s">
        <v>11628</v>
      </c>
      <c r="Y1169" s="332" t="s">
        <v>11629</v>
      </c>
      <c r="Z1169" s="332" t="s">
        <v>11631</v>
      </c>
      <c r="AA1169" s="332" t="s">
        <v>11630</v>
      </c>
      <c r="AB1169" s="416"/>
      <c r="AC1169" s="416"/>
      <c r="AD1169" s="334" t="s">
        <v>2322</v>
      </c>
      <c r="AE1169" s="499" t="s">
        <v>8978</v>
      </c>
      <c r="AF1169" s="462">
        <v>43486</v>
      </c>
      <c r="AG1169" s="748">
        <v>43551</v>
      </c>
      <c r="AH1169" s="417" t="s">
        <v>210</v>
      </c>
      <c r="AI1169" s="392" t="s">
        <v>210</v>
      </c>
      <c r="AJ1169" s="392" t="s">
        <v>210</v>
      </c>
      <c r="AK1169" s="340" t="s">
        <v>210</v>
      </c>
      <c r="AL1169" s="417" t="s">
        <v>210</v>
      </c>
      <c r="AM1169" s="392" t="s">
        <v>210</v>
      </c>
      <c r="AN1169" s="392" t="s">
        <v>210</v>
      </c>
      <c r="AO1169" s="341" t="s">
        <v>210</v>
      </c>
      <c r="AP1169" s="418" t="s">
        <v>210</v>
      </c>
      <c r="AQ1169" s="433" t="s">
        <v>4547</v>
      </c>
      <c r="AR1169" s="452">
        <v>4706</v>
      </c>
      <c r="AS1169" s="324">
        <v>130</v>
      </c>
      <c r="AT1169" s="432">
        <v>0.8</v>
      </c>
      <c r="AU1169" s="432" t="s">
        <v>3627</v>
      </c>
      <c r="AV1169" s="432">
        <v>1.5</v>
      </c>
      <c r="AW1169" s="490" t="s">
        <v>3627</v>
      </c>
      <c r="AX1169" s="456" t="s">
        <v>210</v>
      </c>
      <c r="AY1169" s="451" t="s">
        <v>622</v>
      </c>
      <c r="AZ1169" s="405" t="s">
        <v>4083</v>
      </c>
      <c r="BA1169" s="324" t="s">
        <v>210</v>
      </c>
      <c r="BB1169" s="324" t="s">
        <v>210</v>
      </c>
      <c r="BC1169" s="324" t="s">
        <v>210</v>
      </c>
      <c r="BD1169" s="324" t="s">
        <v>210</v>
      </c>
      <c r="BE1169" s="324" t="s">
        <v>210</v>
      </c>
      <c r="BF1169" s="324" t="s">
        <v>210</v>
      </c>
      <c r="BG1169" s="324" t="s">
        <v>210</v>
      </c>
      <c r="BH1169" s="324" t="s">
        <v>210</v>
      </c>
      <c r="BI1169" s="453">
        <v>1.5</v>
      </c>
      <c r="BJ1169" s="427" t="s">
        <v>8845</v>
      </c>
      <c r="BK1169" s="428" t="s">
        <v>8804</v>
      </c>
      <c r="BL1169" s="429" t="s">
        <v>8805</v>
      </c>
      <c r="BM1169" s="429" t="s">
        <v>210</v>
      </c>
      <c r="BN1169" s="453" t="s">
        <v>622</v>
      </c>
      <c r="BO1169" s="454" t="s">
        <v>8726</v>
      </c>
      <c r="BP1169" s="455" t="s">
        <v>210</v>
      </c>
      <c r="BQ1169" s="456" t="s">
        <v>6623</v>
      </c>
      <c r="BR1169" s="342" t="s">
        <v>210</v>
      </c>
      <c r="BS1169" s="342" t="s">
        <v>622</v>
      </c>
      <c r="BT1169" s="342" t="s">
        <v>210</v>
      </c>
      <c r="BU1169" s="342" t="s">
        <v>210</v>
      </c>
      <c r="BV1169" s="342" t="s">
        <v>210</v>
      </c>
      <c r="BW1169" s="341" t="s">
        <v>210</v>
      </c>
      <c r="BX1169" s="341" t="s">
        <v>210</v>
      </c>
      <c r="BY1169" s="457" t="s">
        <v>8608</v>
      </c>
      <c r="BZ1169" s="363"/>
      <c r="CA1169" s="363"/>
      <c r="CB1169" s="363"/>
      <c r="CC1169" s="363"/>
    </row>
    <row r="1170" spans="1:82" ht="22.5" customHeight="1">
      <c r="B1170" s="442">
        <v>180248</v>
      </c>
      <c r="C1170" s="443" t="s">
        <v>8624</v>
      </c>
      <c r="D1170" s="439" t="s">
        <v>4849</v>
      </c>
      <c r="E1170" s="404" t="s">
        <v>5362</v>
      </c>
      <c r="F1170" s="405" t="s">
        <v>304</v>
      </c>
      <c r="G1170" s="324" t="s">
        <v>8615</v>
      </c>
      <c r="H1170" s="324" t="s">
        <v>8616</v>
      </c>
      <c r="I1170" s="326" t="s">
        <v>383</v>
      </c>
      <c r="J1170" s="324" t="s">
        <v>214</v>
      </c>
      <c r="K1170" s="324" t="s">
        <v>917</v>
      </c>
      <c r="L1170" s="342" t="s">
        <v>210</v>
      </c>
      <c r="M1170" s="324" t="s">
        <v>7457</v>
      </c>
      <c r="N1170" s="444" t="s">
        <v>437</v>
      </c>
      <c r="O1170" s="324">
        <v>48</v>
      </c>
      <c r="P1170" s="445">
        <v>700</v>
      </c>
      <c r="Q1170" s="446">
        <v>700</v>
      </c>
      <c r="R1170" s="779" t="s">
        <v>8613</v>
      </c>
      <c r="S1170" s="400"/>
      <c r="T1170" s="400"/>
      <c r="U1170" s="400"/>
      <c r="V1170" s="400"/>
      <c r="W1170" s="460" t="s">
        <v>8611</v>
      </c>
      <c r="X1170" s="332" t="s">
        <v>11626</v>
      </c>
      <c r="Y1170" s="332" t="s">
        <v>11625</v>
      </c>
      <c r="Z1170" s="332" t="s">
        <v>16479</v>
      </c>
      <c r="AA1170" s="332" t="s">
        <v>11627</v>
      </c>
      <c r="AB1170" s="416"/>
      <c r="AC1170" s="416"/>
      <c r="AD1170" s="447" t="s">
        <v>8789</v>
      </c>
      <c r="AE1170" s="335" t="s">
        <v>210</v>
      </c>
      <c r="AF1170" s="462">
        <v>43486</v>
      </c>
      <c r="AG1170" s="748">
        <v>43547</v>
      </c>
      <c r="AH1170" s="417" t="s">
        <v>210</v>
      </c>
      <c r="AI1170" s="392" t="s">
        <v>210</v>
      </c>
      <c r="AJ1170" s="392" t="s">
        <v>210</v>
      </c>
      <c r="AK1170" s="340" t="s">
        <v>210</v>
      </c>
      <c r="AL1170" s="417" t="s">
        <v>210</v>
      </c>
      <c r="AM1170" s="392" t="s">
        <v>210</v>
      </c>
      <c r="AN1170" s="425" t="s">
        <v>8757</v>
      </c>
      <c r="AO1170" s="341" t="s">
        <v>210</v>
      </c>
      <c r="AP1170" s="418" t="s">
        <v>210</v>
      </c>
      <c r="AQ1170" s="433" t="s">
        <v>4547</v>
      </c>
      <c r="AR1170" s="452">
        <v>864</v>
      </c>
      <c r="AS1170" s="324">
        <v>100</v>
      </c>
      <c r="AT1170" s="432">
        <v>1</v>
      </c>
      <c r="AU1170" s="432" t="s">
        <v>5246</v>
      </c>
      <c r="AV1170" s="432">
        <v>1.5</v>
      </c>
      <c r="AW1170" s="490" t="s">
        <v>8391</v>
      </c>
      <c r="AX1170" s="456" t="s">
        <v>210</v>
      </c>
      <c r="AY1170" s="429" t="s">
        <v>210</v>
      </c>
      <c r="AZ1170" s="405" t="s">
        <v>622</v>
      </c>
      <c r="BA1170" s="324" t="s">
        <v>8617</v>
      </c>
      <c r="BB1170" s="324" t="s">
        <v>6579</v>
      </c>
      <c r="BC1170" s="324" t="s">
        <v>8618</v>
      </c>
      <c r="BD1170" s="324" t="s">
        <v>8619</v>
      </c>
      <c r="BE1170" s="324" t="s">
        <v>3459</v>
      </c>
      <c r="BF1170" s="324" t="s">
        <v>8619</v>
      </c>
      <c r="BG1170" s="324" t="s">
        <v>8620</v>
      </c>
      <c r="BH1170" s="426" t="s">
        <v>4813</v>
      </c>
      <c r="BI1170" s="453">
        <v>1.8</v>
      </c>
      <c r="BJ1170" s="427">
        <v>1.44</v>
      </c>
      <c r="BK1170" s="428" t="s">
        <v>8619</v>
      </c>
      <c r="BL1170" s="429">
        <f>1.35+0.95+1.1</f>
        <v>3.4</v>
      </c>
      <c r="BM1170" s="429" t="s">
        <v>210</v>
      </c>
      <c r="BN1170" s="453" t="s">
        <v>622</v>
      </c>
      <c r="BO1170" s="464">
        <v>0.87</v>
      </c>
      <c r="BP1170" s="492"/>
      <c r="BQ1170" s="456" t="s">
        <v>8655</v>
      </c>
      <c r="BR1170" s="342" t="s">
        <v>210</v>
      </c>
      <c r="BS1170" s="342" t="s">
        <v>622</v>
      </c>
      <c r="BT1170" s="342" t="s">
        <v>210</v>
      </c>
      <c r="BU1170" s="342" t="s">
        <v>210</v>
      </c>
      <c r="BV1170" s="342" t="s">
        <v>210</v>
      </c>
      <c r="BW1170" s="341" t="s">
        <v>210</v>
      </c>
      <c r="BX1170" s="341" t="s">
        <v>210</v>
      </c>
      <c r="BY1170" s="457" t="s">
        <v>8623</v>
      </c>
      <c r="BZ1170" s="363"/>
      <c r="CA1170" s="363"/>
      <c r="CB1170" s="363"/>
      <c r="CC1170" s="363"/>
    </row>
    <row r="1171" spans="1:82" ht="22.5" customHeight="1">
      <c r="B1171" s="442">
        <v>180249</v>
      </c>
      <c r="C1171" s="443" t="s">
        <v>8625</v>
      </c>
      <c r="D1171" s="439" t="s">
        <v>4849</v>
      </c>
      <c r="E1171" s="404" t="s">
        <v>5362</v>
      </c>
      <c r="F1171" s="405" t="s">
        <v>304</v>
      </c>
      <c r="G1171" s="324" t="s">
        <v>8615</v>
      </c>
      <c r="H1171" s="324" t="s">
        <v>8616</v>
      </c>
      <c r="I1171" s="326" t="s">
        <v>383</v>
      </c>
      <c r="J1171" s="324" t="s">
        <v>214</v>
      </c>
      <c r="K1171" s="324" t="s">
        <v>917</v>
      </c>
      <c r="L1171" s="342" t="s">
        <v>210</v>
      </c>
      <c r="M1171" s="324" t="s">
        <v>7457</v>
      </c>
      <c r="N1171" s="444" t="s">
        <v>437</v>
      </c>
      <c r="O1171" s="324">
        <v>48</v>
      </c>
      <c r="P1171" s="445">
        <v>1700</v>
      </c>
      <c r="Q1171" s="446">
        <v>1700</v>
      </c>
      <c r="R1171" s="779" t="s">
        <v>1084</v>
      </c>
      <c r="S1171" s="400"/>
      <c r="T1171" s="400"/>
      <c r="U1171" s="400"/>
      <c r="V1171" s="400"/>
      <c r="W1171" s="460" t="s">
        <v>8611</v>
      </c>
      <c r="X1171" s="332" t="s">
        <v>11626</v>
      </c>
      <c r="Y1171" s="332" t="s">
        <v>11625</v>
      </c>
      <c r="Z1171" s="332" t="s">
        <v>16479</v>
      </c>
      <c r="AA1171" s="332" t="s">
        <v>11627</v>
      </c>
      <c r="AB1171" s="416"/>
      <c r="AC1171" s="416"/>
      <c r="AD1171" s="447" t="s">
        <v>8789</v>
      </c>
      <c r="AE1171" s="335" t="s">
        <v>210</v>
      </c>
      <c r="AF1171" s="462">
        <v>43486</v>
      </c>
      <c r="AG1171" s="748">
        <v>43547</v>
      </c>
      <c r="AH1171" s="417" t="s">
        <v>210</v>
      </c>
      <c r="AI1171" s="392" t="s">
        <v>210</v>
      </c>
      <c r="AJ1171" s="392" t="s">
        <v>210</v>
      </c>
      <c r="AK1171" s="340" t="s">
        <v>210</v>
      </c>
      <c r="AL1171" s="417" t="s">
        <v>210</v>
      </c>
      <c r="AM1171" s="392" t="s">
        <v>210</v>
      </c>
      <c r="AN1171" s="425" t="s">
        <v>8756</v>
      </c>
      <c r="AO1171" s="341" t="s">
        <v>210</v>
      </c>
      <c r="AP1171" s="418" t="s">
        <v>210</v>
      </c>
      <c r="AQ1171" s="433" t="s">
        <v>4547</v>
      </c>
      <c r="AR1171" s="452">
        <v>2109</v>
      </c>
      <c r="AS1171" s="324">
        <v>100</v>
      </c>
      <c r="AT1171" s="432">
        <v>1</v>
      </c>
      <c r="AU1171" s="432" t="s">
        <v>5246</v>
      </c>
      <c r="AV1171" s="432">
        <v>1.5</v>
      </c>
      <c r="AW1171" s="490" t="s">
        <v>8391</v>
      </c>
      <c r="AX1171" s="456" t="s">
        <v>210</v>
      </c>
      <c r="AY1171" s="429" t="s">
        <v>210</v>
      </c>
      <c r="AZ1171" s="405" t="s">
        <v>622</v>
      </c>
      <c r="BA1171" s="324" t="s">
        <v>8617</v>
      </c>
      <c r="BB1171" s="324" t="s">
        <v>6579</v>
      </c>
      <c r="BC1171" s="324" t="s">
        <v>8618</v>
      </c>
      <c r="BD1171" s="324" t="s">
        <v>8619</v>
      </c>
      <c r="BE1171" s="324" t="s">
        <v>3459</v>
      </c>
      <c r="BF1171" s="324" t="s">
        <v>8619</v>
      </c>
      <c r="BG1171" s="324" t="s">
        <v>8620</v>
      </c>
      <c r="BH1171" s="426" t="s">
        <v>4813</v>
      </c>
      <c r="BI1171" s="453">
        <v>1.8</v>
      </c>
      <c r="BJ1171" s="427">
        <v>1.44</v>
      </c>
      <c r="BK1171" s="428" t="s">
        <v>8619</v>
      </c>
      <c r="BL1171" s="429">
        <f>1.35+0.95+1.1</f>
        <v>3.4</v>
      </c>
      <c r="BM1171" s="429" t="s">
        <v>210</v>
      </c>
      <c r="BN1171" s="453" t="s">
        <v>622</v>
      </c>
      <c r="BO1171" s="464">
        <v>0.87</v>
      </c>
      <c r="BP1171" s="492"/>
      <c r="BQ1171" s="456" t="s">
        <v>8655</v>
      </c>
      <c r="BR1171" s="342" t="s">
        <v>210</v>
      </c>
      <c r="BS1171" s="342" t="s">
        <v>622</v>
      </c>
      <c r="BT1171" s="342" t="s">
        <v>210</v>
      </c>
      <c r="BU1171" s="342" t="s">
        <v>210</v>
      </c>
      <c r="BV1171" s="342" t="s">
        <v>210</v>
      </c>
      <c r="BW1171" s="341" t="s">
        <v>210</v>
      </c>
      <c r="BX1171" s="341" t="s">
        <v>210</v>
      </c>
      <c r="BY1171" s="457" t="s">
        <v>8623</v>
      </c>
      <c r="BZ1171" s="363"/>
      <c r="CA1171" s="363"/>
      <c r="CB1171" s="363"/>
      <c r="CC1171" s="363"/>
    </row>
    <row r="1172" spans="1:82" ht="22.5" customHeight="1">
      <c r="B1172" s="442">
        <v>180250</v>
      </c>
      <c r="C1172" s="443" t="s">
        <v>15230</v>
      </c>
      <c r="D1172" s="439" t="s">
        <v>4849</v>
      </c>
      <c r="E1172" s="404" t="s">
        <v>5362</v>
      </c>
      <c r="F1172" s="405" t="s">
        <v>304</v>
      </c>
      <c r="G1172" s="324" t="s">
        <v>6190</v>
      </c>
      <c r="H1172" s="324" t="s">
        <v>8621</v>
      </c>
      <c r="I1172" s="326" t="s">
        <v>383</v>
      </c>
      <c r="J1172" s="324" t="s">
        <v>214</v>
      </c>
      <c r="K1172" s="324" t="s">
        <v>917</v>
      </c>
      <c r="L1172" s="342" t="s">
        <v>210</v>
      </c>
      <c r="M1172" s="324" t="s">
        <v>7457</v>
      </c>
      <c r="N1172" s="444" t="s">
        <v>8629</v>
      </c>
      <c r="O1172" s="324">
        <v>50</v>
      </c>
      <c r="P1172" s="458">
        <v>1324</v>
      </c>
      <c r="Q1172" s="459">
        <v>1442</v>
      </c>
      <c r="R1172" s="329" t="s">
        <v>999</v>
      </c>
      <c r="S1172" s="400"/>
      <c r="T1172" s="394" t="s">
        <v>11262</v>
      </c>
      <c r="U1172" s="394" t="s">
        <v>16414</v>
      </c>
      <c r="V1172" s="394" t="s">
        <v>11263</v>
      </c>
      <c r="W1172" s="332" t="s">
        <v>8946</v>
      </c>
      <c r="X1172" s="331" t="s">
        <v>11248</v>
      </c>
      <c r="Y1172" s="331" t="s">
        <v>11249</v>
      </c>
      <c r="Z1172" s="331" t="s">
        <v>16440</v>
      </c>
      <c r="AA1172" s="331" t="s">
        <v>11250</v>
      </c>
      <c r="AB1172" s="416"/>
      <c r="AC1172" s="416"/>
      <c r="AD1172" s="334" t="s">
        <v>2321</v>
      </c>
      <c r="AE1172" s="335" t="s">
        <v>210</v>
      </c>
      <c r="AF1172" s="462">
        <v>43487</v>
      </c>
      <c r="AG1172" s="748">
        <v>43524</v>
      </c>
      <c r="AH1172" s="417" t="s">
        <v>210</v>
      </c>
      <c r="AI1172" s="392" t="s">
        <v>210</v>
      </c>
      <c r="AJ1172" s="392" t="s">
        <v>210</v>
      </c>
      <c r="AK1172" s="340" t="s">
        <v>210</v>
      </c>
      <c r="AL1172" s="417" t="s">
        <v>210</v>
      </c>
      <c r="AM1172" s="392" t="s">
        <v>210</v>
      </c>
      <c r="AN1172" s="425" t="s">
        <v>8759</v>
      </c>
      <c r="AO1172" s="341" t="s">
        <v>210</v>
      </c>
      <c r="AP1172" s="418" t="s">
        <v>622</v>
      </c>
      <c r="AQ1172" s="433" t="s">
        <v>4547</v>
      </c>
      <c r="AR1172" s="452">
        <v>1661</v>
      </c>
      <c r="AS1172" s="324">
        <v>100</v>
      </c>
      <c r="AT1172" s="432">
        <v>1</v>
      </c>
      <c r="AU1172" s="432" t="s">
        <v>5246</v>
      </c>
      <c r="AV1172" s="432">
        <v>1.5</v>
      </c>
      <c r="AW1172" s="490" t="s">
        <v>5275</v>
      </c>
      <c r="AX1172" s="456" t="s">
        <v>210</v>
      </c>
      <c r="AY1172" s="429" t="s">
        <v>210</v>
      </c>
      <c r="AZ1172" s="405" t="s">
        <v>4083</v>
      </c>
      <c r="BA1172" s="324" t="s">
        <v>210</v>
      </c>
      <c r="BB1172" s="324" t="s">
        <v>210</v>
      </c>
      <c r="BC1172" s="324" t="s">
        <v>3738</v>
      </c>
      <c r="BD1172" s="324" t="s">
        <v>8622</v>
      </c>
      <c r="BE1172" s="324" t="s">
        <v>3555</v>
      </c>
      <c r="BF1172" s="324" t="s">
        <v>8622</v>
      </c>
      <c r="BG1172" s="324" t="s">
        <v>3459</v>
      </c>
      <c r="BH1172" s="426" t="s">
        <v>3434</v>
      </c>
      <c r="BI1172" s="453">
        <v>1.85</v>
      </c>
      <c r="BJ1172" s="427">
        <v>1.51</v>
      </c>
      <c r="BK1172" s="428" t="s">
        <v>5275</v>
      </c>
      <c r="BL1172" s="429">
        <v>4.51</v>
      </c>
      <c r="BM1172" s="429" t="s">
        <v>210</v>
      </c>
      <c r="BN1172" s="453" t="s">
        <v>622</v>
      </c>
      <c r="BO1172" s="464">
        <v>1.05</v>
      </c>
      <c r="BP1172" s="455" t="s">
        <v>622</v>
      </c>
      <c r="BQ1172" s="456" t="s">
        <v>917</v>
      </c>
      <c r="BR1172" s="342" t="s">
        <v>210</v>
      </c>
      <c r="BS1172" s="342" t="s">
        <v>622</v>
      </c>
      <c r="BT1172" s="342" t="s">
        <v>210</v>
      </c>
      <c r="BU1172" s="342" t="s">
        <v>210</v>
      </c>
      <c r="BV1172" s="342" t="s">
        <v>210</v>
      </c>
      <c r="BW1172" s="341" t="s">
        <v>210</v>
      </c>
      <c r="BX1172" s="341" t="s">
        <v>210</v>
      </c>
      <c r="BY1172" s="457" t="s">
        <v>8654</v>
      </c>
      <c r="BZ1172" s="363"/>
      <c r="CA1172" s="363"/>
      <c r="CB1172" s="363"/>
      <c r="CC1172" s="363"/>
    </row>
    <row r="1173" spans="1:82" ht="22.5" customHeight="1">
      <c r="B1173" s="442">
        <v>180251</v>
      </c>
      <c r="C1173" s="443" t="s">
        <v>8630</v>
      </c>
      <c r="D1173" s="439" t="s">
        <v>4849</v>
      </c>
      <c r="E1173" s="404" t="s">
        <v>5362</v>
      </c>
      <c r="F1173" s="405" t="s">
        <v>5193</v>
      </c>
      <c r="G1173" s="324" t="s">
        <v>8631</v>
      </c>
      <c r="H1173" s="324" t="s">
        <v>8632</v>
      </c>
      <c r="I1173" s="326" t="s">
        <v>383</v>
      </c>
      <c r="J1173" s="324" t="s">
        <v>214</v>
      </c>
      <c r="K1173" s="324" t="s">
        <v>977</v>
      </c>
      <c r="L1173" s="342">
        <v>24</v>
      </c>
      <c r="M1173" s="324" t="s">
        <v>7457</v>
      </c>
      <c r="N1173" s="444" t="s">
        <v>438</v>
      </c>
      <c r="O1173" s="324">
        <v>30</v>
      </c>
      <c r="P1173" s="445">
        <v>560</v>
      </c>
      <c r="Q1173" s="446">
        <v>560</v>
      </c>
      <c r="R1173" s="779" t="s">
        <v>8633</v>
      </c>
      <c r="S1173" s="394" t="s">
        <v>11622</v>
      </c>
      <c r="T1173" s="394" t="s">
        <v>11623</v>
      </c>
      <c r="U1173" s="394" t="s">
        <v>14981</v>
      </c>
      <c r="V1173" s="394" t="s">
        <v>11624</v>
      </c>
      <c r="W1173" s="332" t="s">
        <v>592</v>
      </c>
      <c r="X1173" s="394" t="s">
        <v>11506</v>
      </c>
      <c r="Y1173" s="394" t="s">
        <v>11508</v>
      </c>
      <c r="Z1173" s="394" t="s">
        <v>11507</v>
      </c>
      <c r="AA1173" s="394" t="s">
        <v>11509</v>
      </c>
      <c r="AB1173" s="416"/>
      <c r="AC1173" s="416"/>
      <c r="AD1173" s="447" t="s">
        <v>949</v>
      </c>
      <c r="AE1173" s="335" t="s">
        <v>210</v>
      </c>
      <c r="AF1173" s="462">
        <v>43487</v>
      </c>
      <c r="AG1173" s="748">
        <v>43528</v>
      </c>
      <c r="AH1173" s="417" t="s">
        <v>210</v>
      </c>
      <c r="AI1173" s="392" t="s">
        <v>210</v>
      </c>
      <c r="AJ1173" s="392" t="s">
        <v>210</v>
      </c>
      <c r="AK1173" s="340" t="s">
        <v>210</v>
      </c>
      <c r="AL1173" s="417" t="s">
        <v>210</v>
      </c>
      <c r="AM1173" s="392" t="s">
        <v>210</v>
      </c>
      <c r="AN1173" s="392" t="s">
        <v>210</v>
      </c>
      <c r="AO1173" s="341" t="s">
        <v>210</v>
      </c>
      <c r="AP1173" s="418" t="s">
        <v>210</v>
      </c>
      <c r="AQ1173" s="433" t="s">
        <v>6405</v>
      </c>
      <c r="AR1173" s="452">
        <v>677</v>
      </c>
      <c r="AS1173" s="324">
        <v>100</v>
      </c>
      <c r="AT1173" s="432">
        <v>1</v>
      </c>
      <c r="AU1173" s="432" t="s">
        <v>3627</v>
      </c>
      <c r="AV1173" s="432" t="s">
        <v>8719</v>
      </c>
      <c r="AW1173" s="490" t="s">
        <v>3627</v>
      </c>
      <c r="AX1173" s="456" t="s">
        <v>210</v>
      </c>
      <c r="AY1173" s="429" t="s">
        <v>210</v>
      </c>
      <c r="AZ1173" s="405" t="s">
        <v>4083</v>
      </c>
      <c r="BA1173" s="324" t="s">
        <v>210</v>
      </c>
      <c r="BB1173" s="324" t="s">
        <v>210</v>
      </c>
      <c r="BC1173" s="324" t="s">
        <v>8634</v>
      </c>
      <c r="BD1173" s="324" t="s">
        <v>3627</v>
      </c>
      <c r="BE1173" s="324" t="s">
        <v>8635</v>
      </c>
      <c r="BF1173" s="324" t="s">
        <v>3627</v>
      </c>
      <c r="BG1173" s="324" t="s">
        <v>8636</v>
      </c>
      <c r="BH1173" s="426" t="s">
        <v>3494</v>
      </c>
      <c r="BI1173" s="453">
        <v>11.5</v>
      </c>
      <c r="BJ1173" s="411"/>
      <c r="BK1173" s="428" t="s">
        <v>8804</v>
      </c>
      <c r="BL1173" s="429" t="s">
        <v>8805</v>
      </c>
      <c r="BM1173" s="429" t="s">
        <v>210</v>
      </c>
      <c r="BN1173" s="453" t="s">
        <v>622</v>
      </c>
      <c r="BO1173" s="464">
        <v>2.0699999999999998</v>
      </c>
      <c r="BP1173" s="492"/>
      <c r="BQ1173" s="456" t="s">
        <v>5862</v>
      </c>
      <c r="BR1173" s="342" t="s">
        <v>210</v>
      </c>
      <c r="BS1173" s="342" t="s">
        <v>622</v>
      </c>
      <c r="BT1173" s="342" t="s">
        <v>210</v>
      </c>
      <c r="BU1173" s="342" t="s">
        <v>210</v>
      </c>
      <c r="BV1173" s="342" t="s">
        <v>210</v>
      </c>
      <c r="BW1173" s="341" t="s">
        <v>210</v>
      </c>
      <c r="BX1173" s="341" t="s">
        <v>210</v>
      </c>
      <c r="BY1173" s="457" t="s">
        <v>8696</v>
      </c>
      <c r="BZ1173" s="363"/>
      <c r="CA1173" s="363"/>
      <c r="CB1173" s="363"/>
      <c r="CC1173" s="363"/>
    </row>
    <row r="1174" spans="1:82" ht="22.5" customHeight="1">
      <c r="B1174" s="442">
        <v>180252</v>
      </c>
      <c r="C1174" s="443" t="s">
        <v>11621</v>
      </c>
      <c r="D1174" s="439" t="s">
        <v>4847</v>
      </c>
      <c r="E1174" s="404" t="s">
        <v>5362</v>
      </c>
      <c r="F1174" s="405" t="s">
        <v>1043</v>
      </c>
      <c r="G1174" s="324" t="s">
        <v>16324</v>
      </c>
      <c r="H1174" s="324" t="s">
        <v>4913</v>
      </c>
      <c r="I1174" s="326" t="s">
        <v>383</v>
      </c>
      <c r="J1174" s="324" t="s">
        <v>6632</v>
      </c>
      <c r="K1174" s="324" t="s">
        <v>8700</v>
      </c>
      <c r="L1174" s="342">
        <v>20</v>
      </c>
      <c r="M1174" s="324" t="s">
        <v>7457</v>
      </c>
      <c r="N1174" s="444" t="s">
        <v>438</v>
      </c>
      <c r="O1174" s="324">
        <v>140</v>
      </c>
      <c r="P1174" s="445">
        <v>7000</v>
      </c>
      <c r="Q1174" s="446">
        <v>7000</v>
      </c>
      <c r="R1174" s="779" t="s">
        <v>8638</v>
      </c>
      <c r="S1174" s="394" t="s">
        <v>11617</v>
      </c>
      <c r="T1174" s="400"/>
      <c r="U1174" s="400"/>
      <c r="V1174" s="400"/>
      <c r="W1174" s="460" t="s">
        <v>8641</v>
      </c>
      <c r="X1174" s="332" t="s">
        <v>11618</v>
      </c>
      <c r="Y1174" s="332" t="s">
        <v>11619</v>
      </c>
      <c r="Z1174" s="332" t="s">
        <v>16332</v>
      </c>
      <c r="AA1174" s="332" t="s">
        <v>11620</v>
      </c>
      <c r="AB1174" s="416"/>
      <c r="AC1174" s="416"/>
      <c r="AD1174" s="334" t="s">
        <v>2337</v>
      </c>
      <c r="AE1174" s="499" t="s">
        <v>9163</v>
      </c>
      <c r="AF1174" s="462">
        <v>43488</v>
      </c>
      <c r="AG1174" s="748">
        <v>43581</v>
      </c>
      <c r="AH1174" s="417" t="s">
        <v>210</v>
      </c>
      <c r="AI1174" s="392" t="s">
        <v>210</v>
      </c>
      <c r="AJ1174" s="392" t="s">
        <v>210</v>
      </c>
      <c r="AK1174" s="340" t="s">
        <v>210</v>
      </c>
      <c r="AL1174" s="417" t="s">
        <v>210</v>
      </c>
      <c r="AM1174" s="392" t="s">
        <v>210</v>
      </c>
      <c r="AN1174" s="392" t="s">
        <v>210</v>
      </c>
      <c r="AO1174" s="341" t="s">
        <v>210</v>
      </c>
      <c r="AP1174" s="418" t="s">
        <v>210</v>
      </c>
      <c r="AQ1174" s="433" t="s">
        <v>4547</v>
      </c>
      <c r="AR1174" s="452">
        <f>8165+1183</f>
        <v>9348</v>
      </c>
      <c r="AS1174" s="324">
        <v>150</v>
      </c>
      <c r="AT1174" s="432">
        <v>1.2</v>
      </c>
      <c r="AU1174" s="432" t="s">
        <v>3494</v>
      </c>
      <c r="AV1174" s="432">
        <v>1.5</v>
      </c>
      <c r="AW1174" s="490" t="s">
        <v>3494</v>
      </c>
      <c r="AX1174" s="450" t="s">
        <v>622</v>
      </c>
      <c r="AY1174" s="429" t="s">
        <v>8601</v>
      </c>
      <c r="AZ1174" s="405" t="s">
        <v>4083</v>
      </c>
      <c r="BA1174" s="324" t="s">
        <v>210</v>
      </c>
      <c r="BB1174" s="324" t="s">
        <v>210</v>
      </c>
      <c r="BC1174" s="324" t="s">
        <v>210</v>
      </c>
      <c r="BD1174" s="324" t="s">
        <v>210</v>
      </c>
      <c r="BE1174" s="324" t="s">
        <v>210</v>
      </c>
      <c r="BF1174" s="324" t="s">
        <v>210</v>
      </c>
      <c r="BG1174" s="324" t="s">
        <v>3459</v>
      </c>
      <c r="BH1174" s="426" t="s">
        <v>3494</v>
      </c>
      <c r="BI1174" s="453">
        <v>1.3</v>
      </c>
      <c r="BJ1174" s="427" t="s">
        <v>210</v>
      </c>
      <c r="BK1174" s="428" t="s">
        <v>210</v>
      </c>
      <c r="BL1174" s="429" t="s">
        <v>210</v>
      </c>
      <c r="BM1174" s="429" t="s">
        <v>210</v>
      </c>
      <c r="BN1174" s="453" t="s">
        <v>622</v>
      </c>
      <c r="BO1174" s="464">
        <v>1.3</v>
      </c>
      <c r="BP1174" s="455" t="s">
        <v>8698</v>
      </c>
      <c r="BQ1174" s="456" t="s">
        <v>8699</v>
      </c>
      <c r="BR1174" s="342" t="s">
        <v>622</v>
      </c>
      <c r="BS1174" s="342" t="s">
        <v>622</v>
      </c>
      <c r="BT1174" s="342" t="s">
        <v>210</v>
      </c>
      <c r="BU1174" s="342" t="s">
        <v>210</v>
      </c>
      <c r="BV1174" s="786">
        <v>-25</v>
      </c>
      <c r="BW1174" s="341" t="s">
        <v>210</v>
      </c>
      <c r="BX1174" s="341" t="s">
        <v>210</v>
      </c>
      <c r="BY1174" s="457"/>
      <c r="BZ1174" s="363"/>
      <c r="CA1174" s="363"/>
      <c r="CB1174" s="363"/>
      <c r="CC1174" s="363"/>
    </row>
    <row r="1175" spans="1:82" s="465" customFormat="1" ht="22.5" customHeight="1">
      <c r="A1175" s="287"/>
      <c r="B1175" s="749">
        <v>180253</v>
      </c>
      <c r="C1175" s="781" t="s">
        <v>8300</v>
      </c>
      <c r="D1175" s="829" t="s">
        <v>4854</v>
      </c>
      <c r="E1175" s="752" t="s">
        <v>6879</v>
      </c>
      <c r="F1175" s="753" t="s">
        <v>237</v>
      </c>
      <c r="G1175" s="754" t="s">
        <v>2107</v>
      </c>
      <c r="H1175" s="754" t="s">
        <v>8301</v>
      </c>
      <c r="I1175" s="754" t="s">
        <v>383</v>
      </c>
      <c r="J1175" s="754" t="s">
        <v>6632</v>
      </c>
      <c r="K1175" s="754" t="s">
        <v>6374</v>
      </c>
      <c r="L1175" s="688"/>
      <c r="M1175" s="754" t="s">
        <v>7457</v>
      </c>
      <c r="N1175" s="755" t="s">
        <v>438</v>
      </c>
      <c r="O1175" s="754">
        <v>75</v>
      </c>
      <c r="P1175" s="782">
        <v>1700</v>
      </c>
      <c r="Q1175" s="783">
        <v>1700</v>
      </c>
      <c r="R1175" s="1046" t="s">
        <v>8666</v>
      </c>
      <c r="S1175" s="1047"/>
      <c r="T1175" s="1047"/>
      <c r="U1175" s="1047"/>
      <c r="V1175" s="1047"/>
      <c r="W1175" s="669" t="s">
        <v>4452</v>
      </c>
      <c r="X1175" s="669"/>
      <c r="Y1175" s="669"/>
      <c r="Z1175" s="669"/>
      <c r="AA1175" s="669"/>
      <c r="AB1175" s="758"/>
      <c r="AC1175" s="758"/>
      <c r="AD1175" s="759"/>
      <c r="AE1175" s="760"/>
      <c r="AF1175" s="846">
        <v>43488</v>
      </c>
      <c r="AG1175" s="674" t="s">
        <v>10514</v>
      </c>
      <c r="AH1175" s="675" t="s">
        <v>210</v>
      </c>
      <c r="AI1175" s="676" t="s">
        <v>210</v>
      </c>
      <c r="AJ1175" s="676" t="s">
        <v>210</v>
      </c>
      <c r="AK1175" s="677" t="s">
        <v>210</v>
      </c>
      <c r="AL1175" s="675" t="s">
        <v>210</v>
      </c>
      <c r="AM1175" s="676" t="s">
        <v>210</v>
      </c>
      <c r="AN1175" s="785"/>
      <c r="AO1175" s="678" t="s">
        <v>210</v>
      </c>
      <c r="AP1175" s="784" t="s">
        <v>210</v>
      </c>
      <c r="AQ1175" s="762" t="s">
        <v>4547</v>
      </c>
      <c r="AR1175" s="763"/>
      <c r="AS1175" s="754"/>
      <c r="AT1175" s="785"/>
      <c r="AU1175" s="785"/>
      <c r="AV1175" s="785"/>
      <c r="AW1175" s="764"/>
      <c r="AX1175" s="1051" t="s">
        <v>622</v>
      </c>
      <c r="AY1175" s="766" t="s">
        <v>210</v>
      </c>
      <c r="AZ1175" s="753"/>
      <c r="BA1175" s="754"/>
      <c r="BB1175" s="754"/>
      <c r="BC1175" s="754"/>
      <c r="BD1175" s="754"/>
      <c r="BE1175" s="754"/>
      <c r="BF1175" s="754"/>
      <c r="BG1175" s="754"/>
      <c r="BH1175" s="767"/>
      <c r="BI1175" s="765"/>
      <c r="BJ1175" s="768"/>
      <c r="BK1175" s="769"/>
      <c r="BL1175" s="766"/>
      <c r="BM1175" s="766" t="s">
        <v>210</v>
      </c>
      <c r="BN1175" s="765"/>
      <c r="BO1175" s="771"/>
      <c r="BP1175" s="772"/>
      <c r="BQ1175" s="773" t="s">
        <v>9910</v>
      </c>
      <c r="BR1175" s="688"/>
      <c r="BS1175" s="688" t="s">
        <v>210</v>
      </c>
      <c r="BT1175" s="688" t="s">
        <v>210</v>
      </c>
      <c r="BU1175" s="688" t="s">
        <v>210</v>
      </c>
      <c r="BV1175" s="688" t="s">
        <v>210</v>
      </c>
      <c r="BW1175" s="678" t="s">
        <v>210</v>
      </c>
      <c r="BX1175" s="678" t="s">
        <v>210</v>
      </c>
      <c r="BY1175" s="774" t="s">
        <v>9777</v>
      </c>
      <c r="BZ1175" s="483"/>
      <c r="CA1175" s="483"/>
      <c r="CB1175" s="483"/>
      <c r="CC1175" s="483"/>
      <c r="CD1175" s="484"/>
    </row>
    <row r="1176" spans="1:82" ht="22.5" customHeight="1">
      <c r="B1176" s="442">
        <v>180254</v>
      </c>
      <c r="C1176" s="443" t="s">
        <v>15231</v>
      </c>
      <c r="D1176" s="439" t="s">
        <v>4849</v>
      </c>
      <c r="E1176" s="404" t="s">
        <v>5362</v>
      </c>
      <c r="F1176" s="405" t="s">
        <v>1043</v>
      </c>
      <c r="G1176" s="324" t="s">
        <v>3299</v>
      </c>
      <c r="H1176" s="324" t="s">
        <v>8647</v>
      </c>
      <c r="I1176" s="326" t="s">
        <v>383</v>
      </c>
      <c r="J1176" s="324" t="s">
        <v>214</v>
      </c>
      <c r="K1176" s="324" t="s">
        <v>917</v>
      </c>
      <c r="L1176" s="342" t="s">
        <v>210</v>
      </c>
      <c r="M1176" s="324" t="s">
        <v>7457</v>
      </c>
      <c r="N1176" s="444" t="s">
        <v>8648</v>
      </c>
      <c r="O1176" s="324">
        <v>140</v>
      </c>
      <c r="P1176" s="445">
        <v>1600</v>
      </c>
      <c r="Q1176" s="446">
        <v>1600</v>
      </c>
      <c r="R1176" s="420" t="s">
        <v>3350</v>
      </c>
      <c r="S1176" s="394" t="s">
        <v>11612</v>
      </c>
      <c r="T1176" s="394" t="s">
        <v>11613</v>
      </c>
      <c r="U1176" s="394" t="s">
        <v>16302</v>
      </c>
      <c r="V1176" s="394" t="s">
        <v>11614</v>
      </c>
      <c r="W1176" s="460" t="s">
        <v>3499</v>
      </c>
      <c r="X1176" s="332" t="s">
        <v>11615</v>
      </c>
      <c r="Y1176" s="645"/>
      <c r="Z1176" s="645"/>
      <c r="AA1176" s="332" t="s">
        <v>11616</v>
      </c>
      <c r="AB1176" s="416"/>
      <c r="AC1176" s="416"/>
      <c r="AD1176" s="334" t="s">
        <v>2337</v>
      </c>
      <c r="AE1176" s="335" t="s">
        <v>210</v>
      </c>
      <c r="AF1176" s="462">
        <v>43489</v>
      </c>
      <c r="AG1176" s="748">
        <v>43570</v>
      </c>
      <c r="AH1176" s="417" t="s">
        <v>210</v>
      </c>
      <c r="AI1176" s="392" t="s">
        <v>210</v>
      </c>
      <c r="AJ1176" s="392" t="s">
        <v>210</v>
      </c>
      <c r="AK1176" s="340" t="s">
        <v>210</v>
      </c>
      <c r="AL1176" s="417" t="s">
        <v>210</v>
      </c>
      <c r="AM1176" s="392" t="s">
        <v>210</v>
      </c>
      <c r="AN1176" s="425" t="s">
        <v>9054</v>
      </c>
      <c r="AO1176" s="341" t="s">
        <v>210</v>
      </c>
      <c r="AP1176" s="418" t="s">
        <v>210</v>
      </c>
      <c r="AQ1176" s="433" t="s">
        <v>4547</v>
      </c>
      <c r="AR1176" s="452">
        <v>2207</v>
      </c>
      <c r="AS1176" s="324">
        <v>150</v>
      </c>
      <c r="AT1176" s="432">
        <v>1</v>
      </c>
      <c r="AU1176" s="432" t="s">
        <v>5246</v>
      </c>
      <c r="AV1176" s="432">
        <v>1.5</v>
      </c>
      <c r="AW1176" s="490" t="s">
        <v>3380</v>
      </c>
      <c r="AX1176" s="456" t="s">
        <v>210</v>
      </c>
      <c r="AY1176" s="429" t="s">
        <v>210</v>
      </c>
      <c r="AZ1176" s="405" t="s">
        <v>622</v>
      </c>
      <c r="BA1176" s="324" t="s">
        <v>3616</v>
      </c>
      <c r="BB1176" s="324" t="s">
        <v>3382</v>
      </c>
      <c r="BC1176" s="324" t="s">
        <v>8649</v>
      </c>
      <c r="BD1176" s="324" t="s">
        <v>8650</v>
      </c>
      <c r="BE1176" s="324" t="s">
        <v>8651</v>
      </c>
      <c r="BF1176" s="324" t="s">
        <v>6579</v>
      </c>
      <c r="BG1176" s="324" t="s">
        <v>8652</v>
      </c>
      <c r="BH1176" s="324" t="s">
        <v>6579</v>
      </c>
      <c r="BI1176" s="453">
        <v>1.2</v>
      </c>
      <c r="BJ1176" s="427">
        <v>0.75</v>
      </c>
      <c r="BK1176" s="428" t="s">
        <v>8813</v>
      </c>
      <c r="BL1176" s="429">
        <v>2</v>
      </c>
      <c r="BM1176" s="430" t="s">
        <v>9137</v>
      </c>
      <c r="BN1176" s="453" t="s">
        <v>622</v>
      </c>
      <c r="BO1176" s="464">
        <v>1.25</v>
      </c>
      <c r="BP1176" s="455" t="s">
        <v>622</v>
      </c>
      <c r="BQ1176" s="456" t="s">
        <v>1059</v>
      </c>
      <c r="BR1176" s="342" t="s">
        <v>210</v>
      </c>
      <c r="BS1176" s="342" t="s">
        <v>622</v>
      </c>
      <c r="BT1176" s="342" t="s">
        <v>210</v>
      </c>
      <c r="BU1176" s="342" t="s">
        <v>210</v>
      </c>
      <c r="BV1176" s="342" t="s">
        <v>210</v>
      </c>
      <c r="BW1176" s="341" t="s">
        <v>210</v>
      </c>
      <c r="BX1176" s="341" t="s">
        <v>210</v>
      </c>
      <c r="BY1176" s="457" t="s">
        <v>9055</v>
      </c>
      <c r="BZ1176" s="363"/>
      <c r="CA1176" s="363"/>
      <c r="CB1176" s="363"/>
      <c r="CC1176" s="363"/>
    </row>
    <row r="1177" spans="1:82" ht="22.5" customHeight="1">
      <c r="B1177" s="442">
        <v>180255</v>
      </c>
      <c r="C1177" s="443" t="s">
        <v>8656</v>
      </c>
      <c r="D1177" s="467" t="s">
        <v>7463</v>
      </c>
      <c r="E1177" s="404" t="s">
        <v>5362</v>
      </c>
      <c r="F1177" s="405" t="s">
        <v>227</v>
      </c>
      <c r="G1177" s="324" t="s">
        <v>1774</v>
      </c>
      <c r="H1177" s="324" t="s">
        <v>8657</v>
      </c>
      <c r="I1177" s="326" t="s">
        <v>383</v>
      </c>
      <c r="J1177" s="324" t="s">
        <v>7171</v>
      </c>
      <c r="K1177" s="324" t="s">
        <v>247</v>
      </c>
      <c r="L1177" s="342">
        <v>15</v>
      </c>
      <c r="M1177" s="324" t="s">
        <v>7457</v>
      </c>
      <c r="N1177" s="444" t="s">
        <v>521</v>
      </c>
      <c r="O1177" s="324">
        <v>30</v>
      </c>
      <c r="P1177" s="445">
        <v>3600</v>
      </c>
      <c r="Q1177" s="446">
        <v>1800</v>
      </c>
      <c r="R1177" s="779" t="s">
        <v>8658</v>
      </c>
      <c r="S1177" s="400"/>
      <c r="T1177" s="400"/>
      <c r="U1177" s="400"/>
      <c r="V1177" s="400"/>
      <c r="W1177" s="460" t="s">
        <v>8659</v>
      </c>
      <c r="X1177" s="332" t="s">
        <v>11608</v>
      </c>
      <c r="Y1177" s="332" t="s">
        <v>11610</v>
      </c>
      <c r="Z1177" s="332" t="s">
        <v>11609</v>
      </c>
      <c r="AA1177" s="332" t="s">
        <v>11611</v>
      </c>
      <c r="AB1177" s="416"/>
      <c r="AC1177" s="416"/>
      <c r="AD1177" s="996"/>
      <c r="AE1177" s="335" t="s">
        <v>210</v>
      </c>
      <c r="AF1177" s="462">
        <v>43490</v>
      </c>
      <c r="AG1177" s="748">
        <v>43706</v>
      </c>
      <c r="AH1177" s="417" t="s">
        <v>210</v>
      </c>
      <c r="AI1177" s="392" t="s">
        <v>210</v>
      </c>
      <c r="AJ1177" s="392" t="s">
        <v>210</v>
      </c>
      <c r="AK1177" s="340" t="s">
        <v>210</v>
      </c>
      <c r="AL1177" s="417" t="s">
        <v>210</v>
      </c>
      <c r="AM1177" s="392" t="s">
        <v>210</v>
      </c>
      <c r="AN1177" s="392" t="s">
        <v>210</v>
      </c>
      <c r="AO1177" s="341" t="s">
        <v>622</v>
      </c>
      <c r="AP1177" s="418" t="s">
        <v>210</v>
      </c>
      <c r="AQ1177" s="433" t="s">
        <v>4547</v>
      </c>
      <c r="AR1177" s="452">
        <v>2438</v>
      </c>
      <c r="AS1177" s="324">
        <v>150</v>
      </c>
      <c r="AT1177" s="432">
        <v>1</v>
      </c>
      <c r="AU1177" s="432" t="s">
        <v>3627</v>
      </c>
      <c r="AV1177" s="432">
        <v>2</v>
      </c>
      <c r="AW1177" s="490" t="s">
        <v>8707</v>
      </c>
      <c r="AX1177" s="456" t="s">
        <v>210</v>
      </c>
      <c r="AY1177" s="429" t="s">
        <v>210</v>
      </c>
      <c r="AZ1177" s="405" t="s">
        <v>4083</v>
      </c>
      <c r="BA1177" s="324" t="s">
        <v>210</v>
      </c>
      <c r="BB1177" s="324" t="s">
        <v>210</v>
      </c>
      <c r="BC1177" s="324" t="s">
        <v>3555</v>
      </c>
      <c r="BD1177" s="324" t="s">
        <v>3372</v>
      </c>
      <c r="BE1177" s="324" t="s">
        <v>8660</v>
      </c>
      <c r="BF1177" s="324" t="s">
        <v>3372</v>
      </c>
      <c r="BG1177" s="324" t="s">
        <v>3558</v>
      </c>
      <c r="BH1177" s="426" t="s">
        <v>6579</v>
      </c>
      <c r="BI1177" s="453">
        <v>1</v>
      </c>
      <c r="BJ1177" s="427">
        <v>1.7</v>
      </c>
      <c r="BK1177" s="428" t="s">
        <v>8812</v>
      </c>
      <c r="BL1177" s="429">
        <v>9</v>
      </c>
      <c r="BM1177" s="429" t="s">
        <v>210</v>
      </c>
      <c r="BN1177" s="453" t="s">
        <v>622</v>
      </c>
      <c r="BO1177" s="464">
        <v>2.62</v>
      </c>
      <c r="BP1177" s="455" t="s">
        <v>622</v>
      </c>
      <c r="BQ1177" s="456" t="s">
        <v>9904</v>
      </c>
      <c r="BR1177" s="342" t="s">
        <v>210</v>
      </c>
      <c r="BS1177" s="342" t="s">
        <v>622</v>
      </c>
      <c r="BT1177" s="342" t="s">
        <v>210</v>
      </c>
      <c r="BU1177" s="342" t="s">
        <v>210</v>
      </c>
      <c r="BV1177" s="342" t="s">
        <v>210</v>
      </c>
      <c r="BW1177" s="341" t="s">
        <v>210</v>
      </c>
      <c r="BX1177" s="341" t="s">
        <v>210</v>
      </c>
      <c r="BY1177" s="457" t="s">
        <v>8708</v>
      </c>
      <c r="BZ1177" s="363"/>
      <c r="CA1177" s="363"/>
      <c r="CB1177" s="363"/>
      <c r="CC1177" s="363"/>
    </row>
    <row r="1178" spans="1:82" ht="22.5" customHeight="1">
      <c r="B1178" s="442">
        <v>180256</v>
      </c>
      <c r="C1178" s="443" t="s">
        <v>11602</v>
      </c>
      <c r="D1178" s="439" t="s">
        <v>8706</v>
      </c>
      <c r="E1178" s="404" t="s">
        <v>5362</v>
      </c>
      <c r="F1178" s="405" t="s">
        <v>1043</v>
      </c>
      <c r="G1178" s="324" t="s">
        <v>8662</v>
      </c>
      <c r="H1178" s="324" t="s">
        <v>8663</v>
      </c>
      <c r="I1178" s="326" t="s">
        <v>383</v>
      </c>
      <c r="J1178" s="324" t="s">
        <v>6632</v>
      </c>
      <c r="K1178" s="324" t="s">
        <v>977</v>
      </c>
      <c r="L1178" s="342">
        <v>20</v>
      </c>
      <c r="M1178" s="324" t="s">
        <v>7457</v>
      </c>
      <c r="N1178" s="444" t="s">
        <v>438</v>
      </c>
      <c r="O1178" s="324">
        <v>140</v>
      </c>
      <c r="P1178" s="458">
        <v>3379</v>
      </c>
      <c r="Q1178" s="459">
        <v>3183</v>
      </c>
      <c r="R1178" s="779" t="s">
        <v>8664</v>
      </c>
      <c r="S1178" s="394" t="s">
        <v>11379</v>
      </c>
      <c r="T1178" s="394" t="s">
        <v>11603</v>
      </c>
      <c r="U1178" s="394" t="s">
        <v>16297</v>
      </c>
      <c r="V1178" s="394" t="s">
        <v>11604</v>
      </c>
      <c r="W1178" s="460" t="s">
        <v>8672</v>
      </c>
      <c r="X1178" s="332" t="s">
        <v>11605</v>
      </c>
      <c r="Y1178" s="332" t="s">
        <v>11606</v>
      </c>
      <c r="Z1178" s="645"/>
      <c r="AA1178" s="332" t="s">
        <v>11607</v>
      </c>
      <c r="AB1178" s="416"/>
      <c r="AC1178" s="416"/>
      <c r="AD1178" s="334" t="s">
        <v>8834</v>
      </c>
      <c r="AE1178" s="499" t="s">
        <v>303</v>
      </c>
      <c r="AF1178" s="462">
        <v>43490</v>
      </c>
      <c r="AG1178" s="748">
        <v>43533</v>
      </c>
      <c r="AH1178" s="417" t="s">
        <v>210</v>
      </c>
      <c r="AI1178" s="392" t="s">
        <v>210</v>
      </c>
      <c r="AJ1178" s="392" t="s">
        <v>210</v>
      </c>
      <c r="AK1178" s="340" t="s">
        <v>210</v>
      </c>
      <c r="AL1178" s="417" t="s">
        <v>210</v>
      </c>
      <c r="AM1178" s="425" t="s">
        <v>8761</v>
      </c>
      <c r="AN1178" s="392" t="s">
        <v>210</v>
      </c>
      <c r="AO1178" s="341" t="s">
        <v>210</v>
      </c>
      <c r="AP1178" s="418" t="s">
        <v>622</v>
      </c>
      <c r="AQ1178" s="433" t="s">
        <v>4547</v>
      </c>
      <c r="AR1178" s="452">
        <f>958+1252+1135+823</f>
        <v>4168</v>
      </c>
      <c r="AS1178" s="324">
        <v>150</v>
      </c>
      <c r="AT1178" s="432">
        <v>1.5</v>
      </c>
      <c r="AU1178" s="432" t="s">
        <v>3574</v>
      </c>
      <c r="AV1178" s="432">
        <v>1.5</v>
      </c>
      <c r="AW1178" s="490" t="s">
        <v>3574</v>
      </c>
      <c r="AX1178" s="450" t="s">
        <v>622</v>
      </c>
      <c r="AY1178" s="429" t="s">
        <v>210</v>
      </c>
      <c r="AZ1178" s="405" t="s">
        <v>4083</v>
      </c>
      <c r="BA1178" s="324" t="s">
        <v>210</v>
      </c>
      <c r="BB1178" s="324" t="s">
        <v>210</v>
      </c>
      <c r="BC1178" s="324" t="s">
        <v>3459</v>
      </c>
      <c r="BD1178" s="324" t="s">
        <v>3372</v>
      </c>
      <c r="BE1178" s="324" t="s">
        <v>210</v>
      </c>
      <c r="BF1178" s="324" t="s">
        <v>210</v>
      </c>
      <c r="BG1178" s="324" t="s">
        <v>8675</v>
      </c>
      <c r="BH1178" s="426" t="s">
        <v>8676</v>
      </c>
      <c r="BI1178" s="453">
        <v>0.7</v>
      </c>
      <c r="BJ1178" s="427" t="s">
        <v>210</v>
      </c>
      <c r="BK1178" s="428" t="s">
        <v>8804</v>
      </c>
      <c r="BL1178" s="429" t="s">
        <v>8805</v>
      </c>
      <c r="BM1178" s="429" t="s">
        <v>210</v>
      </c>
      <c r="BN1178" s="453" t="s">
        <v>622</v>
      </c>
      <c r="BO1178" s="464">
        <v>1.4</v>
      </c>
      <c r="BP1178" s="455" t="s">
        <v>210</v>
      </c>
      <c r="BQ1178" s="456" t="s">
        <v>6623</v>
      </c>
      <c r="BR1178" s="342" t="s">
        <v>210</v>
      </c>
      <c r="BS1178" s="342" t="s">
        <v>210</v>
      </c>
      <c r="BT1178" s="342" t="s">
        <v>210</v>
      </c>
      <c r="BU1178" s="342" t="s">
        <v>210</v>
      </c>
      <c r="BV1178" s="786">
        <v>-25</v>
      </c>
      <c r="BW1178" s="341" t="s">
        <v>210</v>
      </c>
      <c r="BX1178" s="904" t="s">
        <v>622</v>
      </c>
      <c r="BY1178" s="457" t="s">
        <v>8764</v>
      </c>
      <c r="BZ1178" s="363"/>
      <c r="CA1178" s="363"/>
      <c r="CB1178" s="363"/>
      <c r="CC1178" s="363"/>
    </row>
    <row r="1179" spans="1:82" ht="22.5" customHeight="1">
      <c r="B1179" s="442">
        <v>180257</v>
      </c>
      <c r="C1179" s="443" t="s">
        <v>11598</v>
      </c>
      <c r="D1179" s="467" t="s">
        <v>4854</v>
      </c>
      <c r="E1179" s="404" t="s">
        <v>5405</v>
      </c>
      <c r="F1179" s="405" t="s">
        <v>709</v>
      </c>
      <c r="G1179" s="324" t="s">
        <v>8682</v>
      </c>
      <c r="H1179" s="324" t="s">
        <v>3294</v>
      </c>
      <c r="I1179" s="326" t="s">
        <v>383</v>
      </c>
      <c r="J1179" s="324" t="s">
        <v>7171</v>
      </c>
      <c r="K1179" s="324" t="s">
        <v>8681</v>
      </c>
      <c r="L1179" s="342" t="s">
        <v>8744</v>
      </c>
      <c r="M1179" s="324" t="s">
        <v>7457</v>
      </c>
      <c r="N1179" s="444" t="s">
        <v>438</v>
      </c>
      <c r="O1179" s="324">
        <v>30</v>
      </c>
      <c r="P1179" s="458">
        <v>546.20000000000005</v>
      </c>
      <c r="Q1179" s="459">
        <v>314.5</v>
      </c>
      <c r="R1179" s="420" t="s">
        <v>6992</v>
      </c>
      <c r="S1179" s="394" t="s">
        <v>11599</v>
      </c>
      <c r="T1179" s="394" t="s">
        <v>11600</v>
      </c>
      <c r="U1179" s="400"/>
      <c r="V1179" s="394" t="s">
        <v>11601</v>
      </c>
      <c r="W1179" s="332" t="s">
        <v>432</v>
      </c>
      <c r="X1179" s="332" t="s">
        <v>11079</v>
      </c>
      <c r="Y1179" s="332" t="s">
        <v>11080</v>
      </c>
      <c r="Z1179" s="332" t="s">
        <v>11080</v>
      </c>
      <c r="AA1179" s="332" t="s">
        <v>6574</v>
      </c>
      <c r="AB1179" s="416" t="s">
        <v>8678</v>
      </c>
      <c r="AC1179" s="416"/>
      <c r="AD1179" s="447" t="s">
        <v>1748</v>
      </c>
      <c r="AE1179" s="499" t="s">
        <v>8964</v>
      </c>
      <c r="AF1179" s="462">
        <v>43491</v>
      </c>
      <c r="AG1179" s="748">
        <v>43566</v>
      </c>
      <c r="AH1179" s="486" t="s">
        <v>10832</v>
      </c>
      <c r="AI1179" s="487" t="s">
        <v>10833</v>
      </c>
      <c r="AJ1179" s="487" t="s">
        <v>10834</v>
      </c>
      <c r="AK1179" s="451" t="s">
        <v>10835</v>
      </c>
      <c r="AL1179" s="417" t="s">
        <v>210</v>
      </c>
      <c r="AM1179" s="392" t="s">
        <v>210</v>
      </c>
      <c r="AN1179" s="392" t="s">
        <v>210</v>
      </c>
      <c r="AO1179" s="341" t="s">
        <v>210</v>
      </c>
      <c r="AP1179" s="418" t="s">
        <v>210</v>
      </c>
      <c r="AQ1179" s="433" t="s">
        <v>4547</v>
      </c>
      <c r="AR1179" s="452">
        <v>488.5</v>
      </c>
      <c r="AS1179" s="324">
        <v>150</v>
      </c>
      <c r="AT1179" s="432">
        <v>1</v>
      </c>
      <c r="AU1179" s="432" t="s">
        <v>8743</v>
      </c>
      <c r="AV1179" s="432">
        <v>1.5</v>
      </c>
      <c r="AW1179" s="490" t="s">
        <v>6486</v>
      </c>
      <c r="AX1179" s="453" t="s">
        <v>210</v>
      </c>
      <c r="AY1179" s="429" t="s">
        <v>210</v>
      </c>
      <c r="AZ1179" s="405" t="s">
        <v>4083</v>
      </c>
      <c r="BA1179" s="324" t="s">
        <v>210</v>
      </c>
      <c r="BB1179" s="324" t="s">
        <v>210</v>
      </c>
      <c r="BC1179" s="324" t="s">
        <v>8683</v>
      </c>
      <c r="BD1179" s="324" t="s">
        <v>3495</v>
      </c>
      <c r="BE1179" s="324" t="s">
        <v>3565</v>
      </c>
      <c r="BF1179" s="324" t="s">
        <v>3434</v>
      </c>
      <c r="BG1179" s="324" t="s">
        <v>3565</v>
      </c>
      <c r="BH1179" s="426" t="s">
        <v>6342</v>
      </c>
      <c r="BI1179" s="453">
        <v>0.9</v>
      </c>
      <c r="BJ1179" s="427">
        <v>1.4</v>
      </c>
      <c r="BK1179" s="428" t="s">
        <v>8804</v>
      </c>
      <c r="BL1179" s="429" t="s">
        <v>8805</v>
      </c>
      <c r="BM1179" s="429" t="s">
        <v>210</v>
      </c>
      <c r="BN1179" s="453" t="s">
        <v>622</v>
      </c>
      <c r="BO1179" s="464">
        <v>1.32</v>
      </c>
      <c r="BP1179" s="455" t="s">
        <v>622</v>
      </c>
      <c r="BQ1179" s="456" t="s">
        <v>1059</v>
      </c>
      <c r="BR1179" s="342" t="s">
        <v>210</v>
      </c>
      <c r="BS1179" s="342" t="s">
        <v>622</v>
      </c>
      <c r="BT1179" s="342" t="s">
        <v>210</v>
      </c>
      <c r="BU1179" s="342" t="s">
        <v>210</v>
      </c>
      <c r="BV1179" s="342" t="s">
        <v>210</v>
      </c>
      <c r="BW1179" s="341" t="s">
        <v>210</v>
      </c>
      <c r="BX1179" s="341" t="s">
        <v>210</v>
      </c>
      <c r="BY1179" s="457"/>
      <c r="BZ1179" s="363"/>
      <c r="CA1179" s="363"/>
      <c r="CB1179" s="363"/>
      <c r="CC1179" s="363"/>
    </row>
    <row r="1180" spans="1:82" ht="22.5" customHeight="1">
      <c r="B1180" s="442">
        <v>180258</v>
      </c>
      <c r="C1180" s="443" t="s">
        <v>8879</v>
      </c>
      <c r="D1180" s="467" t="s">
        <v>8728</v>
      </c>
      <c r="E1180" s="404" t="s">
        <v>5362</v>
      </c>
      <c r="F1180" s="405" t="s">
        <v>2300</v>
      </c>
      <c r="G1180" s="324" t="s">
        <v>8701</v>
      </c>
      <c r="H1180" s="324" t="s">
        <v>8702</v>
      </c>
      <c r="I1180" s="326" t="s">
        <v>383</v>
      </c>
      <c r="J1180" s="324" t="s">
        <v>214</v>
      </c>
      <c r="K1180" s="324" t="s">
        <v>917</v>
      </c>
      <c r="L1180" s="342" t="s">
        <v>210</v>
      </c>
      <c r="M1180" s="324" t="s">
        <v>7457</v>
      </c>
      <c r="N1180" s="444" t="s">
        <v>438</v>
      </c>
      <c r="O1180" s="324" t="s">
        <v>210</v>
      </c>
      <c r="P1180" s="445">
        <v>2200</v>
      </c>
      <c r="Q1180" s="446">
        <v>2200</v>
      </c>
      <c r="R1180" s="779" t="s">
        <v>8703</v>
      </c>
      <c r="S1180" s="394" t="s">
        <v>11562</v>
      </c>
      <c r="T1180" s="394" t="s">
        <v>11563</v>
      </c>
      <c r="U1180" s="394" t="s">
        <v>11564</v>
      </c>
      <c r="V1180" s="394" t="s">
        <v>11565</v>
      </c>
      <c r="W1180" s="460" t="s">
        <v>8704</v>
      </c>
      <c r="X1180" s="332" t="s">
        <v>11594</v>
      </c>
      <c r="Y1180" s="332" t="s">
        <v>11596</v>
      </c>
      <c r="Z1180" s="332" t="s">
        <v>11595</v>
      </c>
      <c r="AA1180" s="332" t="s">
        <v>11597</v>
      </c>
      <c r="AB1180" s="416"/>
      <c r="AC1180" s="416"/>
      <c r="AD1180" s="996"/>
      <c r="AE1180" s="499" t="s">
        <v>9208</v>
      </c>
      <c r="AF1180" s="462">
        <v>43497</v>
      </c>
      <c r="AG1180" s="748">
        <v>43581</v>
      </c>
      <c r="AH1180" s="417" t="s">
        <v>210</v>
      </c>
      <c r="AI1180" s="392" t="s">
        <v>210</v>
      </c>
      <c r="AJ1180" s="392" t="s">
        <v>210</v>
      </c>
      <c r="AK1180" s="340" t="s">
        <v>210</v>
      </c>
      <c r="AL1180" s="417" t="s">
        <v>210</v>
      </c>
      <c r="AM1180" s="392" t="s">
        <v>210</v>
      </c>
      <c r="AN1180" s="392" t="s">
        <v>210</v>
      </c>
      <c r="AO1180" s="341" t="s">
        <v>210</v>
      </c>
      <c r="AP1180" s="418" t="s">
        <v>210</v>
      </c>
      <c r="AQ1180" s="433" t="s">
        <v>4547</v>
      </c>
      <c r="AR1180" s="452">
        <f>1231+433+1207</f>
        <v>2871</v>
      </c>
      <c r="AS1180" s="324">
        <v>100</v>
      </c>
      <c r="AT1180" s="432">
        <v>0.8</v>
      </c>
      <c r="AU1180" s="432" t="s">
        <v>3627</v>
      </c>
      <c r="AV1180" s="432">
        <v>1.5</v>
      </c>
      <c r="AW1180" s="490" t="s">
        <v>3495</v>
      </c>
      <c r="AX1180" s="456" t="s">
        <v>210</v>
      </c>
      <c r="AY1180" s="451" t="s">
        <v>622</v>
      </c>
      <c r="AZ1180" s="405" t="s">
        <v>4083</v>
      </c>
      <c r="BA1180" s="324" t="s">
        <v>210</v>
      </c>
      <c r="BB1180" s="324" t="s">
        <v>210</v>
      </c>
      <c r="BC1180" s="324" t="s">
        <v>8739</v>
      </c>
      <c r="BD1180" s="324" t="s">
        <v>3512</v>
      </c>
      <c r="BE1180" s="324" t="s">
        <v>3558</v>
      </c>
      <c r="BF1180" s="324" t="s">
        <v>3495</v>
      </c>
      <c r="BG1180" s="324" t="s">
        <v>8740</v>
      </c>
      <c r="BH1180" s="324" t="s">
        <v>3495</v>
      </c>
      <c r="BI1180" s="453">
        <v>1.6</v>
      </c>
      <c r="BJ1180" s="427" t="s">
        <v>210</v>
      </c>
      <c r="BK1180" s="428" t="s">
        <v>8804</v>
      </c>
      <c r="BL1180" s="429" t="s">
        <v>8805</v>
      </c>
      <c r="BM1180" s="429" t="s">
        <v>210</v>
      </c>
      <c r="BN1180" s="453" t="s">
        <v>8741</v>
      </c>
      <c r="BO1180" s="464" t="s">
        <v>210</v>
      </c>
      <c r="BP1180" s="455" t="s">
        <v>210</v>
      </c>
      <c r="BQ1180" s="456" t="s">
        <v>917</v>
      </c>
      <c r="BR1180" s="342" t="s">
        <v>210</v>
      </c>
      <c r="BS1180" s="342" t="s">
        <v>622</v>
      </c>
      <c r="BT1180" s="342" t="s">
        <v>210</v>
      </c>
      <c r="BU1180" s="342" t="s">
        <v>210</v>
      </c>
      <c r="BV1180" s="342" t="s">
        <v>210</v>
      </c>
      <c r="BW1180" s="341" t="s">
        <v>210</v>
      </c>
      <c r="BX1180" s="341" t="s">
        <v>210</v>
      </c>
      <c r="BY1180" s="457" t="s">
        <v>8742</v>
      </c>
      <c r="BZ1180" s="363"/>
      <c r="CA1180" s="363"/>
      <c r="CB1180" s="363"/>
      <c r="CC1180" s="363"/>
    </row>
    <row r="1181" spans="1:82" ht="22.5" customHeight="1">
      <c r="B1181" s="442">
        <v>180259</v>
      </c>
      <c r="C1181" s="443" t="s">
        <v>8711</v>
      </c>
      <c r="D1181" s="439" t="s">
        <v>4847</v>
      </c>
      <c r="E1181" s="404" t="s">
        <v>5362</v>
      </c>
      <c r="F1181" s="405" t="s">
        <v>1043</v>
      </c>
      <c r="G1181" s="324" t="s">
        <v>8709</v>
      </c>
      <c r="H1181" s="324" t="s">
        <v>8710</v>
      </c>
      <c r="I1181" s="326" t="s">
        <v>383</v>
      </c>
      <c r="J1181" s="324" t="s">
        <v>6632</v>
      </c>
      <c r="K1181" s="324" t="s">
        <v>3930</v>
      </c>
      <c r="L1181" s="342" t="s">
        <v>210</v>
      </c>
      <c r="M1181" s="324" t="s">
        <v>7457</v>
      </c>
      <c r="N1181" s="444" t="s">
        <v>8712</v>
      </c>
      <c r="O1181" s="324">
        <v>140</v>
      </c>
      <c r="P1181" s="458">
        <v>1880.46</v>
      </c>
      <c r="Q1181" s="459">
        <v>2163.6999999999998</v>
      </c>
      <c r="R1181" s="420" t="s">
        <v>8713</v>
      </c>
      <c r="S1181" s="400"/>
      <c r="T1181" s="400"/>
      <c r="U1181" s="400"/>
      <c r="V1181" s="400"/>
      <c r="W1181" s="460" t="s">
        <v>8715</v>
      </c>
      <c r="X1181" s="332" t="s">
        <v>11208</v>
      </c>
      <c r="Y1181" s="332" t="s">
        <v>11210</v>
      </c>
      <c r="Z1181" s="332" t="s">
        <v>11209</v>
      </c>
      <c r="AA1181" s="332" t="s">
        <v>11211</v>
      </c>
      <c r="AB1181" s="416"/>
      <c r="AC1181" s="416"/>
      <c r="AD1181" s="334" t="s">
        <v>2337</v>
      </c>
      <c r="AE1181" s="335" t="s">
        <v>210</v>
      </c>
      <c r="AF1181" s="462">
        <v>43497</v>
      </c>
      <c r="AG1181" s="748">
        <v>43581</v>
      </c>
      <c r="AH1181" s="417" t="s">
        <v>210</v>
      </c>
      <c r="AI1181" s="392" t="s">
        <v>210</v>
      </c>
      <c r="AJ1181" s="392" t="s">
        <v>210</v>
      </c>
      <c r="AK1181" s="340" t="s">
        <v>210</v>
      </c>
      <c r="AL1181" s="417" t="s">
        <v>210</v>
      </c>
      <c r="AM1181" s="392" t="s">
        <v>210</v>
      </c>
      <c r="AN1181" s="392" t="s">
        <v>210</v>
      </c>
      <c r="AO1181" s="341" t="s">
        <v>210</v>
      </c>
      <c r="AP1181" s="418" t="s">
        <v>210</v>
      </c>
      <c r="AQ1181" s="433" t="s">
        <v>4547</v>
      </c>
      <c r="AR1181" s="452">
        <v>3179</v>
      </c>
      <c r="AS1181" s="324">
        <v>130</v>
      </c>
      <c r="AT1181" s="432">
        <v>1</v>
      </c>
      <c r="AU1181" s="432" t="s">
        <v>5246</v>
      </c>
      <c r="AV1181" s="432">
        <v>1.2</v>
      </c>
      <c r="AW1181" s="490" t="s">
        <v>8241</v>
      </c>
      <c r="AX1181" s="456" t="s">
        <v>210</v>
      </c>
      <c r="AY1181" s="429" t="s">
        <v>8601</v>
      </c>
      <c r="AZ1181" s="405" t="s">
        <v>4083</v>
      </c>
      <c r="BA1181" s="324" t="s">
        <v>210</v>
      </c>
      <c r="BB1181" s="324" t="s">
        <v>210</v>
      </c>
      <c r="BC1181" s="324" t="s">
        <v>210</v>
      </c>
      <c r="BD1181" s="324" t="s">
        <v>210</v>
      </c>
      <c r="BE1181" s="324" t="s">
        <v>210</v>
      </c>
      <c r="BF1181" s="324" t="s">
        <v>210</v>
      </c>
      <c r="BG1181" s="324" t="s">
        <v>8724</v>
      </c>
      <c r="BH1181" s="426" t="s">
        <v>8241</v>
      </c>
      <c r="BI1181" s="453">
        <v>4.4000000000000004</v>
      </c>
      <c r="BJ1181" s="427">
        <f>500/(16*4.5)</f>
        <v>6.9444444444444446</v>
      </c>
      <c r="BK1181" s="428" t="s">
        <v>8804</v>
      </c>
      <c r="BL1181" s="429" t="s">
        <v>8805</v>
      </c>
      <c r="BM1181" s="429" t="s">
        <v>210</v>
      </c>
      <c r="BN1181" s="410"/>
      <c r="BO1181" s="502"/>
      <c r="BP1181" s="492"/>
      <c r="BQ1181" s="456" t="s">
        <v>7449</v>
      </c>
      <c r="BR1181" s="342" t="s">
        <v>622</v>
      </c>
      <c r="BS1181" s="342" t="s">
        <v>622</v>
      </c>
      <c r="BT1181" s="342" t="s">
        <v>210</v>
      </c>
      <c r="BU1181" s="342" t="s">
        <v>210</v>
      </c>
      <c r="BV1181" s="342" t="s">
        <v>210</v>
      </c>
      <c r="BW1181" s="341" t="s">
        <v>210</v>
      </c>
      <c r="BX1181" s="341" t="s">
        <v>210</v>
      </c>
      <c r="BY1181" s="457"/>
      <c r="BZ1181" s="363"/>
      <c r="CA1181" s="363"/>
      <c r="CB1181" s="363"/>
      <c r="CC1181" s="363"/>
    </row>
    <row r="1182" spans="1:82" ht="22.5" customHeight="1">
      <c r="B1182" s="442">
        <v>180260</v>
      </c>
      <c r="C1182" s="443" t="s">
        <v>8731</v>
      </c>
      <c r="D1182" s="439" t="s">
        <v>8595</v>
      </c>
      <c r="E1182" s="404" t="s">
        <v>5362</v>
      </c>
      <c r="F1182" s="405" t="s">
        <v>1058</v>
      </c>
      <c r="G1182" s="324" t="s">
        <v>8732</v>
      </c>
      <c r="H1182" s="324" t="s">
        <v>8733</v>
      </c>
      <c r="I1182" s="326" t="s">
        <v>383</v>
      </c>
      <c r="J1182" s="324" t="s">
        <v>214</v>
      </c>
      <c r="K1182" s="324" t="s">
        <v>977</v>
      </c>
      <c r="L1182" s="342">
        <v>70</v>
      </c>
      <c r="M1182" s="324" t="s">
        <v>7457</v>
      </c>
      <c r="N1182" s="444" t="s">
        <v>438</v>
      </c>
      <c r="O1182" s="324">
        <v>42</v>
      </c>
      <c r="P1182" s="445">
        <v>11000</v>
      </c>
      <c r="Q1182" s="446">
        <v>11000</v>
      </c>
      <c r="R1182" s="420" t="s">
        <v>8737</v>
      </c>
      <c r="S1182" s="400"/>
      <c r="T1182" s="400"/>
      <c r="U1182" s="400"/>
      <c r="V1182" s="400"/>
      <c r="W1182" s="332" t="s">
        <v>644</v>
      </c>
      <c r="X1182" s="400"/>
      <c r="Y1182" s="400"/>
      <c r="Z1182" s="400"/>
      <c r="AA1182" s="400"/>
      <c r="AB1182" s="416"/>
      <c r="AC1182" s="416"/>
      <c r="AD1182" s="996"/>
      <c r="AE1182" s="499" t="s">
        <v>1038</v>
      </c>
      <c r="AF1182" s="462">
        <v>43509</v>
      </c>
      <c r="AG1182" s="748">
        <v>43601</v>
      </c>
      <c r="AH1182" s="417" t="s">
        <v>210</v>
      </c>
      <c r="AI1182" s="392" t="s">
        <v>210</v>
      </c>
      <c r="AJ1182" s="392" t="s">
        <v>210</v>
      </c>
      <c r="AK1182" s="340" t="s">
        <v>210</v>
      </c>
      <c r="AL1182" s="417" t="s">
        <v>210</v>
      </c>
      <c r="AM1182" s="392" t="s">
        <v>210</v>
      </c>
      <c r="AN1182" s="392" t="s">
        <v>210</v>
      </c>
      <c r="AO1182" s="341" t="s">
        <v>210</v>
      </c>
      <c r="AP1182" s="418" t="s">
        <v>622</v>
      </c>
      <c r="AQ1182" s="433" t="s">
        <v>4547</v>
      </c>
      <c r="AR1182" s="452">
        <f>12260+297</f>
        <v>12557</v>
      </c>
      <c r="AS1182" s="324">
        <v>150</v>
      </c>
      <c r="AT1182" s="432">
        <v>1</v>
      </c>
      <c r="AU1182" s="487" t="s">
        <v>8780</v>
      </c>
      <c r="AV1182" s="432">
        <v>1</v>
      </c>
      <c r="AW1182" s="902" t="s">
        <v>8780</v>
      </c>
      <c r="AX1182" s="456" t="s">
        <v>210</v>
      </c>
      <c r="AY1182" s="429" t="s">
        <v>210</v>
      </c>
      <c r="AZ1182" s="405" t="s">
        <v>4083</v>
      </c>
      <c r="BA1182" s="324" t="s">
        <v>210</v>
      </c>
      <c r="BB1182" s="324" t="s">
        <v>210</v>
      </c>
      <c r="BC1182" s="324" t="s">
        <v>210</v>
      </c>
      <c r="BD1182" s="324" t="s">
        <v>210</v>
      </c>
      <c r="BE1182" s="324" t="s">
        <v>8734</v>
      </c>
      <c r="BF1182" s="324" t="s">
        <v>5246</v>
      </c>
      <c r="BG1182" s="324" t="s">
        <v>8735</v>
      </c>
      <c r="BH1182" s="324" t="s">
        <v>5246</v>
      </c>
      <c r="BI1182" s="453">
        <v>8.1999999999999993</v>
      </c>
      <c r="BJ1182" s="427" t="s">
        <v>8845</v>
      </c>
      <c r="BK1182" s="428" t="s">
        <v>8804</v>
      </c>
      <c r="BL1182" s="429" t="s">
        <v>8805</v>
      </c>
      <c r="BM1182" s="429" t="s">
        <v>210</v>
      </c>
      <c r="BN1182" s="453" t="s">
        <v>210</v>
      </c>
      <c r="BO1182" s="464" t="s">
        <v>8781</v>
      </c>
      <c r="BP1182" s="455" t="s">
        <v>210</v>
      </c>
      <c r="BQ1182" s="456" t="s">
        <v>5235</v>
      </c>
      <c r="BR1182" s="342" t="s">
        <v>210</v>
      </c>
      <c r="BS1182" s="342" t="s">
        <v>210</v>
      </c>
      <c r="BT1182" s="342" t="s">
        <v>210</v>
      </c>
      <c r="BU1182" s="342" t="s">
        <v>210</v>
      </c>
      <c r="BV1182" s="342" t="s">
        <v>210</v>
      </c>
      <c r="BW1182" s="341" t="s">
        <v>210</v>
      </c>
      <c r="BX1182" s="341" t="s">
        <v>210</v>
      </c>
      <c r="BY1182" s="457" t="s">
        <v>8835</v>
      </c>
      <c r="BZ1182" s="363"/>
      <c r="CA1182" s="363"/>
      <c r="CB1182" s="363"/>
      <c r="CC1182" s="363"/>
    </row>
    <row r="1183" spans="1:82" ht="22.5" customHeight="1">
      <c r="B1183" s="442">
        <v>180261</v>
      </c>
      <c r="C1183" s="443" t="s">
        <v>8765</v>
      </c>
      <c r="D1183" s="467" t="s">
        <v>7463</v>
      </c>
      <c r="E1183" s="404" t="s">
        <v>8766</v>
      </c>
      <c r="F1183" s="405" t="s">
        <v>238</v>
      </c>
      <c r="G1183" s="324" t="s">
        <v>5922</v>
      </c>
      <c r="H1183" s="324" t="s">
        <v>8767</v>
      </c>
      <c r="I1183" s="326" t="s">
        <v>383</v>
      </c>
      <c r="J1183" s="324" t="s">
        <v>214</v>
      </c>
      <c r="K1183" s="324" t="s">
        <v>917</v>
      </c>
      <c r="L1183" s="342" t="s">
        <v>210</v>
      </c>
      <c r="M1183" s="324" t="s">
        <v>7457</v>
      </c>
      <c r="N1183" s="444" t="s">
        <v>438</v>
      </c>
      <c r="O1183" s="324">
        <v>30</v>
      </c>
      <c r="P1183" s="458">
        <v>2965</v>
      </c>
      <c r="Q1183" s="459">
        <v>3160</v>
      </c>
      <c r="R1183" s="329" t="s">
        <v>3649</v>
      </c>
      <c r="S1183" s="394" t="s">
        <v>11497</v>
      </c>
      <c r="T1183" s="394" t="s">
        <v>11326</v>
      </c>
      <c r="U1183" s="394" t="s">
        <v>11328</v>
      </c>
      <c r="V1183" s="394" t="s">
        <v>11583</v>
      </c>
      <c r="W1183" s="460" t="s">
        <v>3864</v>
      </c>
      <c r="X1183" s="394" t="s">
        <v>11499</v>
      </c>
      <c r="Y1183" s="394" t="s">
        <v>11329</v>
      </c>
      <c r="Z1183" s="394" t="s">
        <v>11502</v>
      </c>
      <c r="AA1183" s="394" t="s">
        <v>11504</v>
      </c>
      <c r="AB1183" s="416"/>
      <c r="AC1183" s="416"/>
      <c r="AD1183" s="334" t="s">
        <v>2327</v>
      </c>
      <c r="AE1183" s="499" t="s">
        <v>2839</v>
      </c>
      <c r="AF1183" s="462">
        <v>43516</v>
      </c>
      <c r="AG1183" s="748">
        <v>43622</v>
      </c>
      <c r="AH1183" s="417" t="s">
        <v>210</v>
      </c>
      <c r="AI1183" s="392" t="s">
        <v>210</v>
      </c>
      <c r="AJ1183" s="392" t="s">
        <v>210</v>
      </c>
      <c r="AK1183" s="340" t="s">
        <v>210</v>
      </c>
      <c r="AL1183" s="417" t="s">
        <v>210</v>
      </c>
      <c r="AM1183" s="392" t="s">
        <v>210</v>
      </c>
      <c r="AN1183" s="392" t="s">
        <v>210</v>
      </c>
      <c r="AO1183" s="341" t="s">
        <v>210</v>
      </c>
      <c r="AP1183" s="418" t="s">
        <v>210</v>
      </c>
      <c r="AQ1183" s="433" t="s">
        <v>4547</v>
      </c>
      <c r="AR1183" s="452">
        <v>3495</v>
      </c>
      <c r="AS1183" s="324">
        <v>120</v>
      </c>
      <c r="AT1183" s="432">
        <v>1</v>
      </c>
      <c r="AU1183" s="432" t="s">
        <v>3627</v>
      </c>
      <c r="AV1183" s="432">
        <v>1.5</v>
      </c>
      <c r="AW1183" s="490" t="s">
        <v>5079</v>
      </c>
      <c r="AX1183" s="453" t="s">
        <v>210</v>
      </c>
      <c r="AY1183" s="429" t="s">
        <v>210</v>
      </c>
      <c r="AZ1183" s="405" t="s">
        <v>4083</v>
      </c>
      <c r="BA1183" s="324" t="s">
        <v>210</v>
      </c>
      <c r="BB1183" s="324" t="s">
        <v>210</v>
      </c>
      <c r="BC1183" s="324" t="s">
        <v>3555</v>
      </c>
      <c r="BD1183" s="324" t="s">
        <v>3434</v>
      </c>
      <c r="BE1183" s="324" t="s">
        <v>8793</v>
      </c>
      <c r="BF1183" s="324" t="s">
        <v>3434</v>
      </c>
      <c r="BG1183" s="324" t="s">
        <v>8794</v>
      </c>
      <c r="BH1183" s="426" t="s">
        <v>3424</v>
      </c>
      <c r="BI1183" s="453">
        <v>0.9</v>
      </c>
      <c r="BJ1183" s="427">
        <v>2.58</v>
      </c>
      <c r="BK1183" s="995" t="s">
        <v>8814</v>
      </c>
      <c r="BL1183" s="429">
        <v>5.8</v>
      </c>
      <c r="BM1183" s="429" t="s">
        <v>210</v>
      </c>
      <c r="BN1183" s="453" t="s">
        <v>622</v>
      </c>
      <c r="BO1183" s="464">
        <v>1.33</v>
      </c>
      <c r="BP1183" s="455" t="s">
        <v>622</v>
      </c>
      <c r="BQ1183" s="456" t="s">
        <v>6623</v>
      </c>
      <c r="BR1183" s="342" t="s">
        <v>622</v>
      </c>
      <c r="BS1183" s="342" t="s">
        <v>622</v>
      </c>
      <c r="BT1183" s="342" t="s">
        <v>210</v>
      </c>
      <c r="BU1183" s="342" t="s">
        <v>210</v>
      </c>
      <c r="BV1183" s="342" t="s">
        <v>210</v>
      </c>
      <c r="BW1183" s="341" t="s">
        <v>210</v>
      </c>
      <c r="BX1183" s="341" t="s">
        <v>210</v>
      </c>
      <c r="BY1183" s="457"/>
      <c r="BZ1183" s="363"/>
      <c r="CA1183" s="363"/>
      <c r="CB1183" s="363"/>
      <c r="CC1183" s="363"/>
    </row>
    <row r="1184" spans="1:82" ht="22.5" customHeight="1">
      <c r="B1184" s="442">
        <v>180262</v>
      </c>
      <c r="C1184" s="443" t="s">
        <v>8772</v>
      </c>
      <c r="D1184" s="1052" t="s">
        <v>4854</v>
      </c>
      <c r="E1184" s="404" t="s">
        <v>5362</v>
      </c>
      <c r="F1184" s="405" t="s">
        <v>240</v>
      </c>
      <c r="G1184" s="324" t="s">
        <v>8773</v>
      </c>
      <c r="H1184" s="324" t="s">
        <v>8774</v>
      </c>
      <c r="I1184" s="326" t="s">
        <v>8860</v>
      </c>
      <c r="J1184" s="324" t="s">
        <v>6632</v>
      </c>
      <c r="K1184" s="324" t="s">
        <v>977</v>
      </c>
      <c r="L1184" s="361"/>
      <c r="M1184" s="324" t="s">
        <v>7457</v>
      </c>
      <c r="N1184" s="444" t="s">
        <v>8861</v>
      </c>
      <c r="O1184" s="324">
        <v>43</v>
      </c>
      <c r="P1184" s="458">
        <v>5414</v>
      </c>
      <c r="Q1184" s="459">
        <v>5131</v>
      </c>
      <c r="R1184" s="420" t="s">
        <v>8862</v>
      </c>
      <c r="S1184" s="400"/>
      <c r="T1184" s="400"/>
      <c r="U1184" s="400"/>
      <c r="V1184" s="400"/>
      <c r="W1184" s="460" t="s">
        <v>8777</v>
      </c>
      <c r="X1184" s="394" t="s">
        <v>11579</v>
      </c>
      <c r="Y1184" s="394" t="s">
        <v>11580</v>
      </c>
      <c r="Z1184" s="394" t="s">
        <v>11581</v>
      </c>
      <c r="AA1184" s="394" t="s">
        <v>11582</v>
      </c>
      <c r="AB1184" s="416"/>
      <c r="AC1184" s="416"/>
      <c r="AD1184" s="447" t="s">
        <v>9655</v>
      </c>
      <c r="AE1184" s="499" t="s">
        <v>2032</v>
      </c>
      <c r="AF1184" s="462">
        <v>43518</v>
      </c>
      <c r="AG1184" s="748">
        <v>43713</v>
      </c>
      <c r="AH1184" s="417" t="s">
        <v>8863</v>
      </c>
      <c r="AI1184" s="392" t="s">
        <v>8863</v>
      </c>
      <c r="AJ1184" s="392" t="s">
        <v>8863</v>
      </c>
      <c r="AK1184" s="340" t="s">
        <v>8863</v>
      </c>
      <c r="AL1184" s="417" t="s">
        <v>8863</v>
      </c>
      <c r="AM1184" s="392" t="s">
        <v>8863</v>
      </c>
      <c r="AN1184" s="392" t="s">
        <v>8863</v>
      </c>
      <c r="AO1184" s="341" t="s">
        <v>8863</v>
      </c>
      <c r="AP1184" s="418" t="s">
        <v>210</v>
      </c>
      <c r="AQ1184" s="433" t="s">
        <v>4547</v>
      </c>
      <c r="AR1184" s="452">
        <v>6196</v>
      </c>
      <c r="AS1184" s="324">
        <v>120</v>
      </c>
      <c r="AT1184" s="432">
        <v>1</v>
      </c>
      <c r="AU1184" s="432" t="s">
        <v>5246</v>
      </c>
      <c r="AV1184" s="432">
        <v>1.2</v>
      </c>
      <c r="AW1184" s="490" t="s">
        <v>5246</v>
      </c>
      <c r="AX1184" s="453" t="s">
        <v>8863</v>
      </c>
      <c r="AY1184" s="429" t="s">
        <v>8863</v>
      </c>
      <c r="AZ1184" s="405" t="s">
        <v>4083</v>
      </c>
      <c r="BA1184" s="324" t="s">
        <v>8864</v>
      </c>
      <c r="BB1184" s="324" t="s">
        <v>8864</v>
      </c>
      <c r="BC1184" s="324" t="s">
        <v>8864</v>
      </c>
      <c r="BD1184" s="324" t="s">
        <v>8864</v>
      </c>
      <c r="BE1184" s="324" t="s">
        <v>8865</v>
      </c>
      <c r="BF1184" s="324" t="s">
        <v>3627</v>
      </c>
      <c r="BG1184" s="324" t="s">
        <v>8866</v>
      </c>
      <c r="BH1184" s="324" t="s">
        <v>3627</v>
      </c>
      <c r="BI1184" s="453" t="s">
        <v>4083</v>
      </c>
      <c r="BJ1184" s="427">
        <v>0.75</v>
      </c>
      <c r="BK1184" s="428" t="s">
        <v>8867</v>
      </c>
      <c r="BL1184" s="429">
        <v>5</v>
      </c>
      <c r="BM1184" s="430" t="s">
        <v>9137</v>
      </c>
      <c r="BN1184" s="410"/>
      <c r="BO1184" s="502"/>
      <c r="BP1184" s="492"/>
      <c r="BQ1184" s="456" t="s">
        <v>5235</v>
      </c>
      <c r="BR1184" s="342" t="s">
        <v>8868</v>
      </c>
      <c r="BS1184" s="342" t="s">
        <v>8864</v>
      </c>
      <c r="BT1184" s="342" t="s">
        <v>8864</v>
      </c>
      <c r="BU1184" s="342" t="s">
        <v>8864</v>
      </c>
      <c r="BV1184" s="342" t="s">
        <v>8864</v>
      </c>
      <c r="BW1184" s="341" t="s">
        <v>8864</v>
      </c>
      <c r="BX1184" s="341" t="s">
        <v>8864</v>
      </c>
      <c r="BY1184" s="457" t="s">
        <v>9050</v>
      </c>
      <c r="BZ1184" s="363"/>
      <c r="CA1184" s="363"/>
      <c r="CB1184" s="363"/>
      <c r="CC1184" s="363"/>
    </row>
    <row r="1185" spans="1:82" ht="22.5" customHeight="1">
      <c r="B1185" s="442">
        <v>180263</v>
      </c>
      <c r="C1185" s="443" t="s">
        <v>11586</v>
      </c>
      <c r="D1185" s="1052" t="s">
        <v>7463</v>
      </c>
      <c r="E1185" s="404" t="s">
        <v>6879</v>
      </c>
      <c r="F1185" s="405" t="s">
        <v>839</v>
      </c>
      <c r="G1185" s="324" t="s">
        <v>8782</v>
      </c>
      <c r="H1185" s="324" t="s">
        <v>8783</v>
      </c>
      <c r="I1185" s="326" t="s">
        <v>383</v>
      </c>
      <c r="J1185" s="324" t="s">
        <v>7171</v>
      </c>
      <c r="K1185" s="324" t="s">
        <v>8904</v>
      </c>
      <c r="L1185" s="342">
        <v>5</v>
      </c>
      <c r="M1185" s="324" t="s">
        <v>7457</v>
      </c>
      <c r="N1185" s="444" t="s">
        <v>438</v>
      </c>
      <c r="O1185" s="324">
        <v>30</v>
      </c>
      <c r="P1185" s="458">
        <v>1942</v>
      </c>
      <c r="Q1185" s="459">
        <v>1002</v>
      </c>
      <c r="R1185" s="420" t="s">
        <v>8784</v>
      </c>
      <c r="S1185" s="394" t="s">
        <v>11587</v>
      </c>
      <c r="T1185" s="394" t="s">
        <v>11589</v>
      </c>
      <c r="U1185" s="394" t="s">
        <v>11588</v>
      </c>
      <c r="V1185" s="394" t="s">
        <v>11590</v>
      </c>
      <c r="W1185" s="460" t="s">
        <v>8785</v>
      </c>
      <c r="X1185" s="394" t="s">
        <v>11514</v>
      </c>
      <c r="Y1185" s="394" t="s">
        <v>11593</v>
      </c>
      <c r="Z1185" s="394" t="s">
        <v>11592</v>
      </c>
      <c r="AA1185" s="394" t="s">
        <v>11591</v>
      </c>
      <c r="AB1185" s="416"/>
      <c r="AC1185" s="416"/>
      <c r="AD1185" s="447" t="s">
        <v>9229</v>
      </c>
      <c r="AE1185" s="499" t="s">
        <v>9244</v>
      </c>
      <c r="AF1185" s="462">
        <v>43522</v>
      </c>
      <c r="AG1185" s="748">
        <v>43594</v>
      </c>
      <c r="AH1185" s="417" t="s">
        <v>210</v>
      </c>
      <c r="AI1185" s="392" t="s">
        <v>210</v>
      </c>
      <c r="AJ1185" s="392" t="s">
        <v>210</v>
      </c>
      <c r="AK1185" s="340" t="s">
        <v>210</v>
      </c>
      <c r="AL1185" s="417" t="s">
        <v>210</v>
      </c>
      <c r="AM1185" s="392" t="s">
        <v>210</v>
      </c>
      <c r="AN1185" s="392" t="s">
        <v>210</v>
      </c>
      <c r="AO1185" s="341" t="s">
        <v>622</v>
      </c>
      <c r="AP1185" s="418" t="s">
        <v>210</v>
      </c>
      <c r="AQ1185" s="433" t="s">
        <v>4547</v>
      </c>
      <c r="AR1185" s="452">
        <v>1370</v>
      </c>
      <c r="AS1185" s="324">
        <v>100</v>
      </c>
      <c r="AT1185" s="432">
        <v>1</v>
      </c>
      <c r="AU1185" s="432" t="s">
        <v>8905</v>
      </c>
      <c r="AV1185" s="432">
        <v>1.9</v>
      </c>
      <c r="AW1185" s="490" t="s">
        <v>8906</v>
      </c>
      <c r="AX1185" s="453" t="s">
        <v>210</v>
      </c>
      <c r="AY1185" s="429" t="s">
        <v>210</v>
      </c>
      <c r="AZ1185" s="405" t="s">
        <v>622</v>
      </c>
      <c r="BA1185" s="324" t="s">
        <v>8907</v>
      </c>
      <c r="BB1185" s="324" t="s">
        <v>3392</v>
      </c>
      <c r="BC1185" s="324" t="s">
        <v>8908</v>
      </c>
      <c r="BD1185" s="324" t="s">
        <v>3392</v>
      </c>
      <c r="BE1185" s="324" t="s">
        <v>210</v>
      </c>
      <c r="BF1185" s="324" t="s">
        <v>210</v>
      </c>
      <c r="BG1185" s="324" t="s">
        <v>210</v>
      </c>
      <c r="BH1185" s="426" t="s">
        <v>210</v>
      </c>
      <c r="BI1185" s="453">
        <v>1</v>
      </c>
      <c r="BJ1185" s="427">
        <v>1.05</v>
      </c>
      <c r="BK1185" s="428" t="s">
        <v>8906</v>
      </c>
      <c r="BL1185" s="429">
        <v>1</v>
      </c>
      <c r="BM1185" s="430" t="s">
        <v>9137</v>
      </c>
      <c r="BN1185" s="453" t="s">
        <v>622</v>
      </c>
      <c r="BO1185" s="464">
        <v>0.86</v>
      </c>
      <c r="BP1185" s="455" t="s">
        <v>622</v>
      </c>
      <c r="BQ1185" s="456" t="s">
        <v>1059</v>
      </c>
      <c r="BR1185" s="342" t="s">
        <v>210</v>
      </c>
      <c r="BS1185" s="342" t="s">
        <v>622</v>
      </c>
      <c r="BT1185" s="342" t="s">
        <v>210</v>
      </c>
      <c r="BU1185" s="342" t="s">
        <v>210</v>
      </c>
      <c r="BV1185" s="342" t="s">
        <v>210</v>
      </c>
      <c r="BW1185" s="341" t="s">
        <v>210</v>
      </c>
      <c r="BX1185" s="341" t="s">
        <v>210</v>
      </c>
      <c r="BY1185" s="457"/>
      <c r="BZ1185" s="363"/>
      <c r="CA1185" s="363"/>
      <c r="CB1185" s="363"/>
      <c r="CC1185" s="363"/>
    </row>
    <row r="1186" spans="1:82" ht="22.5" customHeight="1">
      <c r="B1186" s="442">
        <v>180264</v>
      </c>
      <c r="C1186" s="443" t="s">
        <v>8790</v>
      </c>
      <c r="D1186" s="1052" t="s">
        <v>8462</v>
      </c>
      <c r="E1186" s="404" t="s">
        <v>5362</v>
      </c>
      <c r="F1186" s="405" t="s">
        <v>266</v>
      </c>
      <c r="G1186" s="324" t="s">
        <v>8791</v>
      </c>
      <c r="H1186" s="324" t="s">
        <v>8792</v>
      </c>
      <c r="I1186" s="326" t="s">
        <v>383</v>
      </c>
      <c r="J1186" s="324" t="s">
        <v>214</v>
      </c>
      <c r="K1186" s="324" t="s">
        <v>917</v>
      </c>
      <c r="L1186" s="342" t="s">
        <v>210</v>
      </c>
      <c r="M1186" s="324" t="s">
        <v>7457</v>
      </c>
      <c r="N1186" s="444" t="s">
        <v>437</v>
      </c>
      <c r="O1186" s="324">
        <v>30</v>
      </c>
      <c r="P1186" s="445">
        <f>405*2+520</f>
        <v>1330</v>
      </c>
      <c r="Q1186" s="446">
        <f>P1186</f>
        <v>1330</v>
      </c>
      <c r="R1186" s="420" t="s">
        <v>8881</v>
      </c>
      <c r="S1186" s="400"/>
      <c r="T1186" s="400"/>
      <c r="U1186" s="400"/>
      <c r="V1186" s="400"/>
      <c r="W1186" s="460" t="s">
        <v>8796</v>
      </c>
      <c r="X1186" s="394" t="s">
        <v>11585</v>
      </c>
      <c r="Y1186" s="400"/>
      <c r="Z1186" s="400"/>
      <c r="AA1186" s="400"/>
      <c r="AB1186" s="416"/>
      <c r="AC1186" s="416"/>
      <c r="AD1186" s="996"/>
      <c r="AE1186" s="335" t="s">
        <v>210</v>
      </c>
      <c r="AF1186" s="462">
        <v>43524</v>
      </c>
      <c r="AG1186" s="748">
        <v>43671</v>
      </c>
      <c r="AH1186" s="417" t="s">
        <v>210</v>
      </c>
      <c r="AI1186" s="392" t="s">
        <v>210</v>
      </c>
      <c r="AJ1186" s="392" t="s">
        <v>210</v>
      </c>
      <c r="AK1186" s="340" t="s">
        <v>210</v>
      </c>
      <c r="AL1186" s="417" t="s">
        <v>210</v>
      </c>
      <c r="AM1186" s="392" t="s">
        <v>210</v>
      </c>
      <c r="AN1186" s="392" t="s">
        <v>210</v>
      </c>
      <c r="AO1186" s="341" t="s">
        <v>210</v>
      </c>
      <c r="AP1186" s="418" t="s">
        <v>210</v>
      </c>
      <c r="AQ1186" s="433" t="s">
        <v>8883</v>
      </c>
      <c r="AR1186" s="452">
        <f>35+371+34+28+393+5+54+479</f>
        <v>1399</v>
      </c>
      <c r="AS1186" s="324">
        <v>80</v>
      </c>
      <c r="AT1186" s="432" t="s">
        <v>8884</v>
      </c>
      <c r="AU1186" s="432" t="s">
        <v>3627</v>
      </c>
      <c r="AV1186" s="432">
        <v>1.65</v>
      </c>
      <c r="AW1186" s="490" t="s">
        <v>6579</v>
      </c>
      <c r="AX1186" s="453" t="s">
        <v>210</v>
      </c>
      <c r="AY1186" s="429" t="s">
        <v>210</v>
      </c>
      <c r="AZ1186" s="405" t="s">
        <v>622</v>
      </c>
      <c r="BA1186" s="324" t="s">
        <v>3616</v>
      </c>
      <c r="BB1186" s="324" t="s">
        <v>8885</v>
      </c>
      <c r="BC1186" s="324" t="s">
        <v>8886</v>
      </c>
      <c r="BD1186" s="324" t="s">
        <v>6579</v>
      </c>
      <c r="BE1186" s="324" t="s">
        <v>3476</v>
      </c>
      <c r="BF1186" s="324" t="s">
        <v>3434</v>
      </c>
      <c r="BG1186" s="324" t="s">
        <v>210</v>
      </c>
      <c r="BH1186" s="426" t="s">
        <v>210</v>
      </c>
      <c r="BI1186" s="453">
        <v>0.9</v>
      </c>
      <c r="BJ1186" s="411"/>
      <c r="BK1186" s="995" t="s">
        <v>8814</v>
      </c>
      <c r="BL1186" s="429">
        <v>1.75</v>
      </c>
      <c r="BM1186" s="429" t="s">
        <v>210</v>
      </c>
      <c r="BN1186" s="453" t="s">
        <v>622</v>
      </c>
      <c r="BO1186" s="464">
        <v>1.17</v>
      </c>
      <c r="BP1186" s="492"/>
      <c r="BQ1186" s="456" t="s">
        <v>8887</v>
      </c>
      <c r="BR1186" s="342" t="s">
        <v>622</v>
      </c>
      <c r="BS1186" s="342" t="s">
        <v>622</v>
      </c>
      <c r="BT1186" s="342" t="s">
        <v>210</v>
      </c>
      <c r="BU1186" s="342" t="s">
        <v>210</v>
      </c>
      <c r="BV1186" s="342" t="s">
        <v>210</v>
      </c>
      <c r="BW1186" s="341" t="s">
        <v>210</v>
      </c>
      <c r="BX1186" s="341" t="s">
        <v>210</v>
      </c>
      <c r="BY1186" s="457" t="s">
        <v>8888</v>
      </c>
      <c r="BZ1186" s="363"/>
      <c r="CA1186" s="363"/>
      <c r="CB1186" s="363"/>
      <c r="CC1186" s="363"/>
    </row>
    <row r="1187" spans="1:82" ht="22.5" customHeight="1">
      <c r="B1187" s="442">
        <v>180265</v>
      </c>
      <c r="C1187" s="443" t="s">
        <v>11578</v>
      </c>
      <c r="D1187" s="439" t="s">
        <v>8595</v>
      </c>
      <c r="E1187" s="404" t="s">
        <v>5638</v>
      </c>
      <c r="F1187" s="405" t="s">
        <v>8836</v>
      </c>
      <c r="G1187" s="324" t="s">
        <v>8837</v>
      </c>
      <c r="H1187" s="324" t="s">
        <v>8838</v>
      </c>
      <c r="I1187" s="326" t="s">
        <v>383</v>
      </c>
      <c r="J1187" s="324" t="s">
        <v>214</v>
      </c>
      <c r="K1187" s="324" t="s">
        <v>917</v>
      </c>
      <c r="L1187" s="342" t="s">
        <v>210</v>
      </c>
      <c r="M1187" s="324" t="s">
        <v>7457</v>
      </c>
      <c r="N1187" s="444" t="s">
        <v>438</v>
      </c>
      <c r="O1187" s="324">
        <v>38.4</v>
      </c>
      <c r="P1187" s="445">
        <v>1320</v>
      </c>
      <c r="Q1187" s="446">
        <v>1320</v>
      </c>
      <c r="R1187" s="329" t="s">
        <v>615</v>
      </c>
      <c r="S1187" s="394" t="s">
        <v>11204</v>
      </c>
      <c r="T1187" s="394" t="s">
        <v>11205</v>
      </c>
      <c r="U1187" s="394" t="s">
        <v>11207</v>
      </c>
      <c r="V1187" s="394" t="s">
        <v>11206</v>
      </c>
      <c r="W1187" s="332" t="s">
        <v>432</v>
      </c>
      <c r="X1187" s="331" t="s">
        <v>11079</v>
      </c>
      <c r="Y1187" s="331" t="s">
        <v>11080</v>
      </c>
      <c r="Z1187" s="331" t="s">
        <v>11080</v>
      </c>
      <c r="AA1187" s="331" t="s">
        <v>6574</v>
      </c>
      <c r="AB1187" s="416"/>
      <c r="AC1187" s="416"/>
      <c r="AD1187" s="334" t="s">
        <v>2325</v>
      </c>
      <c r="AE1187" s="499" t="s">
        <v>9228</v>
      </c>
      <c r="AF1187" s="462">
        <v>43528</v>
      </c>
      <c r="AG1187" s="748">
        <v>43615</v>
      </c>
      <c r="AH1187" s="453">
        <v>6.5</v>
      </c>
      <c r="AI1187" s="432">
        <v>14.4</v>
      </c>
      <c r="AJ1187" s="432">
        <v>12.7</v>
      </c>
      <c r="AK1187" s="340">
        <f>SUM(AH1187:AJ1187)</f>
        <v>33.599999999999994</v>
      </c>
      <c r="AL1187" s="417" t="s">
        <v>210</v>
      </c>
      <c r="AM1187" s="392" t="s">
        <v>210</v>
      </c>
      <c r="AN1187" s="392" t="s">
        <v>210</v>
      </c>
      <c r="AO1187" s="341" t="s">
        <v>210</v>
      </c>
      <c r="AP1187" s="418" t="s">
        <v>210</v>
      </c>
      <c r="AQ1187" s="433" t="s">
        <v>4547</v>
      </c>
      <c r="AR1187" s="452">
        <v>1698</v>
      </c>
      <c r="AS1187" s="324">
        <v>100</v>
      </c>
      <c r="AT1187" s="432">
        <v>0.8</v>
      </c>
      <c r="AU1187" s="432" t="s">
        <v>9067</v>
      </c>
      <c r="AV1187" s="432">
        <v>1.4</v>
      </c>
      <c r="AW1187" s="490" t="s">
        <v>9068</v>
      </c>
      <c r="AX1187" s="453" t="s">
        <v>210</v>
      </c>
      <c r="AY1187" s="429" t="s">
        <v>8601</v>
      </c>
      <c r="AZ1187" s="405" t="s">
        <v>4083</v>
      </c>
      <c r="BA1187" s="324" t="s">
        <v>210</v>
      </c>
      <c r="BB1187" s="324" t="s">
        <v>210</v>
      </c>
      <c r="BC1187" s="324" t="s">
        <v>9069</v>
      </c>
      <c r="BD1187" s="324" t="s">
        <v>6579</v>
      </c>
      <c r="BE1187" s="324" t="s">
        <v>9070</v>
      </c>
      <c r="BF1187" s="324" t="s">
        <v>6579</v>
      </c>
      <c r="BG1187" s="324" t="s">
        <v>9071</v>
      </c>
      <c r="BH1187" s="426" t="s">
        <v>9072</v>
      </c>
      <c r="BI1187" s="453">
        <v>5</v>
      </c>
      <c r="BJ1187" s="427">
        <v>1.2</v>
      </c>
      <c r="BK1187" s="428" t="s">
        <v>210</v>
      </c>
      <c r="BL1187" s="429" t="s">
        <v>210</v>
      </c>
      <c r="BM1187" s="429" t="s">
        <v>210</v>
      </c>
      <c r="BN1187" s="453" t="s">
        <v>622</v>
      </c>
      <c r="BO1187" s="464">
        <v>1.58</v>
      </c>
      <c r="BP1187" s="455" t="s">
        <v>622</v>
      </c>
      <c r="BQ1187" s="456" t="s">
        <v>6623</v>
      </c>
      <c r="BR1187" s="342" t="s">
        <v>622</v>
      </c>
      <c r="BS1187" s="342" t="s">
        <v>622</v>
      </c>
      <c r="BT1187" s="342" t="s">
        <v>210</v>
      </c>
      <c r="BU1187" s="342" t="s">
        <v>210</v>
      </c>
      <c r="BV1187" s="342" t="s">
        <v>210</v>
      </c>
      <c r="BW1187" s="341" t="s">
        <v>210</v>
      </c>
      <c r="BX1187" s="341" t="s">
        <v>210</v>
      </c>
      <c r="BY1187" s="457" t="s">
        <v>9066</v>
      </c>
      <c r="BZ1187" s="363"/>
      <c r="CA1187" s="363"/>
      <c r="CB1187" s="363"/>
      <c r="CC1187" s="363"/>
    </row>
    <row r="1188" spans="1:82" ht="22.5" customHeight="1">
      <c r="B1188" s="442">
        <v>180266</v>
      </c>
      <c r="C1188" s="443" t="s">
        <v>11577</v>
      </c>
      <c r="D1188" s="367" t="s">
        <v>4849</v>
      </c>
      <c r="E1188" s="404" t="s">
        <v>5362</v>
      </c>
      <c r="F1188" s="405" t="s">
        <v>8840</v>
      </c>
      <c r="G1188" s="324" t="s">
        <v>1806</v>
      </c>
      <c r="H1188" s="324" t="s">
        <v>1807</v>
      </c>
      <c r="I1188" s="326" t="s">
        <v>383</v>
      </c>
      <c r="J1188" s="324" t="s">
        <v>214</v>
      </c>
      <c r="K1188" s="324" t="s">
        <v>5987</v>
      </c>
      <c r="L1188" s="342">
        <v>10</v>
      </c>
      <c r="M1188" s="324" t="s">
        <v>7457</v>
      </c>
      <c r="N1188" s="444" t="s">
        <v>437</v>
      </c>
      <c r="O1188" s="324">
        <v>40</v>
      </c>
      <c r="P1188" s="458">
        <v>189</v>
      </c>
      <c r="Q1188" s="459">
        <v>206</v>
      </c>
      <c r="R1188" s="420" t="s">
        <v>1040</v>
      </c>
      <c r="S1188" s="394" t="s">
        <v>11528</v>
      </c>
      <c r="T1188" s="394" t="s">
        <v>11529</v>
      </c>
      <c r="U1188" s="394" t="s">
        <v>16415</v>
      </c>
      <c r="V1188" s="394" t="s">
        <v>11531</v>
      </c>
      <c r="W1188" s="460" t="s">
        <v>8839</v>
      </c>
      <c r="X1188" s="394" t="s">
        <v>11528</v>
      </c>
      <c r="Y1188" s="394" t="s">
        <v>11529</v>
      </c>
      <c r="Z1188" s="394" t="s">
        <v>11530</v>
      </c>
      <c r="AA1188" s="394" t="s">
        <v>11531</v>
      </c>
      <c r="AB1188" s="416"/>
      <c r="AC1188" s="416"/>
      <c r="AD1188" s="447" t="s">
        <v>9080</v>
      </c>
      <c r="AE1188" s="335" t="s">
        <v>210</v>
      </c>
      <c r="AF1188" s="462">
        <v>43529</v>
      </c>
      <c r="AG1188" s="748">
        <v>43560</v>
      </c>
      <c r="AH1188" s="417" t="s">
        <v>210</v>
      </c>
      <c r="AI1188" s="392" t="s">
        <v>210</v>
      </c>
      <c r="AJ1188" s="392" t="s">
        <v>210</v>
      </c>
      <c r="AK1188" s="340" t="s">
        <v>210</v>
      </c>
      <c r="AL1188" s="417" t="s">
        <v>210</v>
      </c>
      <c r="AM1188" s="392" t="s">
        <v>210</v>
      </c>
      <c r="AN1188" s="392" t="s">
        <v>210</v>
      </c>
      <c r="AO1188" s="341" t="s">
        <v>210</v>
      </c>
      <c r="AP1188" s="418" t="s">
        <v>210</v>
      </c>
      <c r="AQ1188" s="433" t="s">
        <v>4547</v>
      </c>
      <c r="AR1188" s="452">
        <v>305</v>
      </c>
      <c r="AS1188" s="324">
        <v>80</v>
      </c>
      <c r="AT1188" s="432">
        <v>0.8</v>
      </c>
      <c r="AU1188" s="432" t="s">
        <v>8920</v>
      </c>
      <c r="AV1188" s="432">
        <v>1.4</v>
      </c>
      <c r="AW1188" s="490" t="s">
        <v>8890</v>
      </c>
      <c r="AX1188" s="453" t="s">
        <v>210</v>
      </c>
      <c r="AY1188" s="451" t="s">
        <v>622</v>
      </c>
      <c r="AZ1188" s="405" t="s">
        <v>4083</v>
      </c>
      <c r="BA1188" s="324" t="s">
        <v>210</v>
      </c>
      <c r="BB1188" s="324" t="s">
        <v>210</v>
      </c>
      <c r="BC1188" s="324" t="s">
        <v>210</v>
      </c>
      <c r="BD1188" s="324" t="s">
        <v>210</v>
      </c>
      <c r="BE1188" s="324" t="s">
        <v>8841</v>
      </c>
      <c r="BF1188" s="324" t="s">
        <v>6579</v>
      </c>
      <c r="BG1188" s="324" t="s">
        <v>8842</v>
      </c>
      <c r="BH1188" s="426" t="s">
        <v>210</v>
      </c>
      <c r="BI1188" s="453">
        <v>3.3</v>
      </c>
      <c r="BJ1188" s="427" t="s">
        <v>8845</v>
      </c>
      <c r="BK1188" s="428" t="s">
        <v>8842</v>
      </c>
      <c r="BL1188" s="429" t="s">
        <v>8843</v>
      </c>
      <c r="BM1188" s="429" t="s">
        <v>210</v>
      </c>
      <c r="BN1188" s="453" t="s">
        <v>622</v>
      </c>
      <c r="BO1188" s="464">
        <v>1.02</v>
      </c>
      <c r="BP1188" s="455" t="s">
        <v>210</v>
      </c>
      <c r="BQ1188" s="456" t="s">
        <v>8891</v>
      </c>
      <c r="BR1188" s="342" t="s">
        <v>210</v>
      </c>
      <c r="BS1188" s="342" t="s">
        <v>622</v>
      </c>
      <c r="BT1188" s="342" t="s">
        <v>210</v>
      </c>
      <c r="BU1188" s="342" t="s">
        <v>210</v>
      </c>
      <c r="BV1188" s="1053" t="s">
        <v>9798</v>
      </c>
      <c r="BW1188" s="341" t="s">
        <v>210</v>
      </c>
      <c r="BX1188" s="341" t="s">
        <v>210</v>
      </c>
      <c r="BY1188" s="457" t="s">
        <v>8844</v>
      </c>
      <c r="BZ1188" s="363"/>
      <c r="CA1188" s="363"/>
      <c r="CB1188" s="363"/>
      <c r="CC1188" s="363"/>
    </row>
    <row r="1189" spans="1:82" ht="22.5" customHeight="1">
      <c r="B1189" s="442">
        <v>180267</v>
      </c>
      <c r="C1189" s="443" t="s">
        <v>11575</v>
      </c>
      <c r="D1189" s="1052" t="s">
        <v>4854</v>
      </c>
      <c r="E1189" s="404" t="s">
        <v>6879</v>
      </c>
      <c r="F1189" s="405" t="s">
        <v>266</v>
      </c>
      <c r="G1189" s="324" t="s">
        <v>3257</v>
      </c>
      <c r="H1189" s="324" t="s">
        <v>8869</v>
      </c>
      <c r="I1189" s="326" t="s">
        <v>383</v>
      </c>
      <c r="J1189" s="324" t="s">
        <v>6632</v>
      </c>
      <c r="K1189" s="324" t="s">
        <v>3400</v>
      </c>
      <c r="L1189" s="342" t="s">
        <v>210</v>
      </c>
      <c r="M1189" s="324" t="s">
        <v>7457</v>
      </c>
      <c r="N1189" s="444" t="s">
        <v>438</v>
      </c>
      <c r="O1189" s="324">
        <v>38</v>
      </c>
      <c r="P1189" s="445">
        <f>Q1189+65</f>
        <v>1065</v>
      </c>
      <c r="Q1189" s="446">
        <v>1000</v>
      </c>
      <c r="R1189" s="420" t="s">
        <v>8870</v>
      </c>
      <c r="S1189" s="394" t="s">
        <v>11443</v>
      </c>
      <c r="T1189" s="394" t="s">
        <v>11444</v>
      </c>
      <c r="U1189" s="394" t="s">
        <v>16213</v>
      </c>
      <c r="V1189" s="394" t="s">
        <v>11576</v>
      </c>
      <c r="W1189" s="460" t="s">
        <v>8871</v>
      </c>
      <c r="X1189" s="394"/>
      <c r="Y1189" s="394"/>
      <c r="Z1189" s="394"/>
      <c r="AA1189" s="394"/>
      <c r="AB1189" s="416"/>
      <c r="AC1189" s="416"/>
      <c r="AD1189" s="996"/>
      <c r="AE1189" s="391"/>
      <c r="AF1189" s="462">
        <v>43531</v>
      </c>
      <c r="AG1189" s="748">
        <v>43577</v>
      </c>
      <c r="AH1189" s="417" t="s">
        <v>210</v>
      </c>
      <c r="AI1189" s="392" t="s">
        <v>210</v>
      </c>
      <c r="AJ1189" s="392" t="s">
        <v>210</v>
      </c>
      <c r="AK1189" s="340" t="s">
        <v>210</v>
      </c>
      <c r="AL1189" s="417" t="s">
        <v>210</v>
      </c>
      <c r="AM1189" s="392" t="s">
        <v>210</v>
      </c>
      <c r="AN1189" s="392" t="s">
        <v>210</v>
      </c>
      <c r="AO1189" s="341" t="s">
        <v>210</v>
      </c>
      <c r="AP1189" s="418" t="s">
        <v>210</v>
      </c>
      <c r="AQ1189" s="433" t="s">
        <v>4547</v>
      </c>
      <c r="AR1189" s="452">
        <v>1355</v>
      </c>
      <c r="AS1189" s="324">
        <v>150</v>
      </c>
      <c r="AT1189" s="432">
        <v>1</v>
      </c>
      <c r="AU1189" s="432" t="s">
        <v>8894</v>
      </c>
      <c r="AV1189" s="432">
        <v>1.5</v>
      </c>
      <c r="AW1189" s="490" t="s">
        <v>8895</v>
      </c>
      <c r="AX1189" s="453" t="s">
        <v>210</v>
      </c>
      <c r="AY1189" s="429" t="s">
        <v>210</v>
      </c>
      <c r="AZ1189" s="405" t="s">
        <v>4083</v>
      </c>
      <c r="BA1189" s="324" t="s">
        <v>210</v>
      </c>
      <c r="BB1189" s="324" t="s">
        <v>210</v>
      </c>
      <c r="BC1189" s="324" t="s">
        <v>8896</v>
      </c>
      <c r="BD1189" s="324" t="s">
        <v>8897</v>
      </c>
      <c r="BE1189" s="324" t="s">
        <v>8898</v>
      </c>
      <c r="BF1189" s="324" t="s">
        <v>8899</v>
      </c>
      <c r="BG1189" s="324" t="s">
        <v>8900</v>
      </c>
      <c r="BH1189" s="426" t="s">
        <v>8901</v>
      </c>
      <c r="BI1189" s="453">
        <v>0.6</v>
      </c>
      <c r="BJ1189" s="427">
        <v>7.9</v>
      </c>
      <c r="BK1189" s="428" t="s">
        <v>8902</v>
      </c>
      <c r="BL1189" s="429">
        <f>1.1+5.5+6+4.7+4.8+5.5</f>
        <v>27.6</v>
      </c>
      <c r="BM1189" s="429" t="s">
        <v>210</v>
      </c>
      <c r="BN1189" s="453" t="s">
        <v>622</v>
      </c>
      <c r="BO1189" s="464">
        <v>1.04</v>
      </c>
      <c r="BP1189" s="455" t="s">
        <v>622</v>
      </c>
      <c r="BQ1189" s="456" t="s">
        <v>6623</v>
      </c>
      <c r="BR1189" s="342" t="s">
        <v>210</v>
      </c>
      <c r="BS1189" s="342" t="s">
        <v>622</v>
      </c>
      <c r="BT1189" s="342" t="s">
        <v>210</v>
      </c>
      <c r="BU1189" s="342" t="s">
        <v>210</v>
      </c>
      <c r="BV1189" s="342" t="s">
        <v>210</v>
      </c>
      <c r="BW1189" s="341" t="s">
        <v>210</v>
      </c>
      <c r="BX1189" s="341" t="s">
        <v>210</v>
      </c>
      <c r="BY1189" s="457"/>
      <c r="BZ1189" s="363"/>
      <c r="CA1189" s="363"/>
      <c r="CB1189" s="363"/>
      <c r="CC1189" s="363"/>
    </row>
    <row r="1190" spans="1:82" ht="22.5" customHeight="1">
      <c r="B1190" s="442">
        <v>180268</v>
      </c>
      <c r="C1190" s="443" t="s">
        <v>8872</v>
      </c>
      <c r="D1190" s="367" t="s">
        <v>4849</v>
      </c>
      <c r="E1190" s="404" t="s">
        <v>6879</v>
      </c>
      <c r="F1190" s="405" t="s">
        <v>8874</v>
      </c>
      <c r="G1190" s="324" t="s">
        <v>8875</v>
      </c>
      <c r="H1190" s="324" t="s">
        <v>8876</v>
      </c>
      <c r="I1190" s="326" t="s">
        <v>383</v>
      </c>
      <c r="J1190" s="324" t="s">
        <v>214</v>
      </c>
      <c r="K1190" s="324" t="s">
        <v>8873</v>
      </c>
      <c r="L1190" s="342" t="s">
        <v>210</v>
      </c>
      <c r="M1190" s="324" t="s">
        <v>7457</v>
      </c>
      <c r="N1190" s="444" t="s">
        <v>8930</v>
      </c>
      <c r="O1190" s="324">
        <v>30</v>
      </c>
      <c r="P1190" s="445">
        <v>998</v>
      </c>
      <c r="Q1190" s="446">
        <v>1196</v>
      </c>
      <c r="R1190" s="420" t="s">
        <v>8878</v>
      </c>
      <c r="S1190" s="394" t="s">
        <v>11568</v>
      </c>
      <c r="T1190" s="394" t="s">
        <v>14980</v>
      </c>
      <c r="U1190" s="394" t="s">
        <v>16353</v>
      </c>
      <c r="V1190" s="394" t="s">
        <v>11569</v>
      </c>
      <c r="W1190" s="460" t="s">
        <v>14979</v>
      </c>
      <c r="X1190" s="394" t="s">
        <v>11566</v>
      </c>
      <c r="Y1190" s="400"/>
      <c r="Z1190" s="400"/>
      <c r="AA1190" s="394" t="s">
        <v>11567</v>
      </c>
      <c r="AB1190" s="416"/>
      <c r="AC1190" s="416"/>
      <c r="AD1190" s="447" t="s">
        <v>730</v>
      </c>
      <c r="AE1190" s="335" t="s">
        <v>210</v>
      </c>
      <c r="AF1190" s="462">
        <v>43531</v>
      </c>
      <c r="AG1190" s="748">
        <v>43579</v>
      </c>
      <c r="AH1190" s="417" t="s">
        <v>210</v>
      </c>
      <c r="AI1190" s="392" t="s">
        <v>210</v>
      </c>
      <c r="AJ1190" s="392" t="s">
        <v>210</v>
      </c>
      <c r="AK1190" s="340" t="s">
        <v>210</v>
      </c>
      <c r="AL1190" s="417" t="s">
        <v>210</v>
      </c>
      <c r="AM1190" s="392" t="s">
        <v>210</v>
      </c>
      <c r="AN1190" s="392" t="s">
        <v>210</v>
      </c>
      <c r="AO1190" s="341" t="s">
        <v>210</v>
      </c>
      <c r="AP1190" s="418" t="s">
        <v>210</v>
      </c>
      <c r="AQ1190" s="433" t="s">
        <v>4547</v>
      </c>
      <c r="AR1190" s="452">
        <v>1523</v>
      </c>
      <c r="AS1190" s="324">
        <v>100</v>
      </c>
      <c r="AT1190" s="432">
        <v>1</v>
      </c>
      <c r="AU1190" s="432" t="s">
        <v>8957</v>
      </c>
      <c r="AV1190" s="432">
        <v>1.5</v>
      </c>
      <c r="AW1190" s="490" t="s">
        <v>8958</v>
      </c>
      <c r="AX1190" s="453" t="s">
        <v>210</v>
      </c>
      <c r="AY1190" s="429" t="s">
        <v>8601</v>
      </c>
      <c r="AZ1190" s="405" t="s">
        <v>622</v>
      </c>
      <c r="BA1190" s="324" t="s">
        <v>8959</v>
      </c>
      <c r="BB1190" s="324" t="s">
        <v>8960</v>
      </c>
      <c r="BC1190" s="324" t="s">
        <v>210</v>
      </c>
      <c r="BD1190" s="324" t="s">
        <v>210</v>
      </c>
      <c r="BE1190" s="324" t="s">
        <v>8961</v>
      </c>
      <c r="BF1190" s="324" t="s">
        <v>8958</v>
      </c>
      <c r="BG1190" s="324" t="s">
        <v>8962</v>
      </c>
      <c r="BH1190" s="426" t="s">
        <v>8963</v>
      </c>
      <c r="BI1190" s="453">
        <v>0.9</v>
      </c>
      <c r="BJ1190" s="427">
        <v>0.98</v>
      </c>
      <c r="BK1190" s="428" t="s">
        <v>210</v>
      </c>
      <c r="BL1190" s="429" t="s">
        <v>210</v>
      </c>
      <c r="BM1190" s="429" t="s">
        <v>210</v>
      </c>
      <c r="BN1190" s="453" t="s">
        <v>622</v>
      </c>
      <c r="BO1190" s="464">
        <v>1.1000000000000001</v>
      </c>
      <c r="BP1190" s="455" t="s">
        <v>622</v>
      </c>
      <c r="BQ1190" s="456" t="s">
        <v>6407</v>
      </c>
      <c r="BR1190" s="342" t="s">
        <v>622</v>
      </c>
      <c r="BS1190" s="342" t="s">
        <v>210</v>
      </c>
      <c r="BT1190" s="342" t="s">
        <v>210</v>
      </c>
      <c r="BU1190" s="342" t="s">
        <v>210</v>
      </c>
      <c r="BV1190" s="342" t="s">
        <v>210</v>
      </c>
      <c r="BW1190" s="341" t="s">
        <v>210</v>
      </c>
      <c r="BX1190" s="341" t="s">
        <v>210</v>
      </c>
      <c r="BY1190" s="457" t="s">
        <v>8903</v>
      </c>
      <c r="BZ1190" s="363"/>
      <c r="CA1190" s="363"/>
      <c r="CB1190" s="363"/>
      <c r="CC1190" s="363"/>
    </row>
    <row r="1191" spans="1:82" ht="22.5" customHeight="1">
      <c r="B1191" s="442">
        <v>180269</v>
      </c>
      <c r="C1191" s="443" t="s">
        <v>8880</v>
      </c>
      <c r="D1191" s="1052" t="s">
        <v>7463</v>
      </c>
      <c r="E1191" s="404" t="s">
        <v>5362</v>
      </c>
      <c r="F1191" s="405" t="s">
        <v>2300</v>
      </c>
      <c r="G1191" s="324" t="s">
        <v>8701</v>
      </c>
      <c r="H1191" s="324" t="s">
        <v>8702</v>
      </c>
      <c r="I1191" s="326" t="s">
        <v>383</v>
      </c>
      <c r="J1191" s="324" t="s">
        <v>214</v>
      </c>
      <c r="K1191" s="324" t="s">
        <v>917</v>
      </c>
      <c r="L1191" s="342" t="s">
        <v>210</v>
      </c>
      <c r="M1191" s="324" t="s">
        <v>7457</v>
      </c>
      <c r="N1191" s="444" t="s">
        <v>438</v>
      </c>
      <c r="O1191" s="324">
        <v>0</v>
      </c>
      <c r="P1191" s="445">
        <v>1100</v>
      </c>
      <c r="Q1191" s="446">
        <v>1100</v>
      </c>
      <c r="R1191" s="779" t="s">
        <v>8703</v>
      </c>
      <c r="S1191" s="394" t="s">
        <v>11562</v>
      </c>
      <c r="T1191" s="394" t="s">
        <v>11563</v>
      </c>
      <c r="U1191" s="394" t="s">
        <v>11564</v>
      </c>
      <c r="V1191" s="394" t="s">
        <v>11565</v>
      </c>
      <c r="W1191" s="332" t="s">
        <v>432</v>
      </c>
      <c r="X1191" s="331" t="s">
        <v>11079</v>
      </c>
      <c r="Y1191" s="331" t="s">
        <v>11080</v>
      </c>
      <c r="Z1191" s="331" t="s">
        <v>11080</v>
      </c>
      <c r="AA1191" s="331" t="s">
        <v>6574</v>
      </c>
      <c r="AB1191" s="416"/>
      <c r="AC1191" s="416"/>
      <c r="AD1191" s="447" t="s">
        <v>10069</v>
      </c>
      <c r="AE1191" s="499" t="s">
        <v>9208</v>
      </c>
      <c r="AF1191" s="462">
        <v>43531</v>
      </c>
      <c r="AG1191" s="748">
        <v>43630</v>
      </c>
      <c r="AH1191" s="453">
        <v>7.7</v>
      </c>
      <c r="AI1191" s="432">
        <v>15.6</v>
      </c>
      <c r="AJ1191" s="432">
        <v>8.1999999999999993</v>
      </c>
      <c r="AK1191" s="340">
        <f>SUM(AH1191:AJ1191)</f>
        <v>31.5</v>
      </c>
      <c r="AL1191" s="417" t="s">
        <v>210</v>
      </c>
      <c r="AM1191" s="392" t="s">
        <v>210</v>
      </c>
      <c r="AN1191" s="392" t="s">
        <v>210</v>
      </c>
      <c r="AO1191" s="341" t="s">
        <v>210</v>
      </c>
      <c r="AP1191" s="418" t="s">
        <v>210</v>
      </c>
      <c r="AQ1191" s="433" t="s">
        <v>4547</v>
      </c>
      <c r="AR1191" s="452">
        <v>1658.2</v>
      </c>
      <c r="AS1191" s="324">
        <v>100</v>
      </c>
      <c r="AT1191" s="432">
        <v>1</v>
      </c>
      <c r="AU1191" s="432" t="s">
        <v>9133</v>
      </c>
      <c r="AV1191" s="432">
        <v>1.5</v>
      </c>
      <c r="AW1191" s="490" t="s">
        <v>9134</v>
      </c>
      <c r="AX1191" s="453" t="s">
        <v>210</v>
      </c>
      <c r="AY1191" s="429" t="s">
        <v>210</v>
      </c>
      <c r="AZ1191" s="405" t="s">
        <v>4083</v>
      </c>
      <c r="BA1191" s="324" t="s">
        <v>210</v>
      </c>
      <c r="BB1191" s="324" t="s">
        <v>210</v>
      </c>
      <c r="BC1191" s="324" t="s">
        <v>3475</v>
      </c>
      <c r="BD1191" s="324" t="s">
        <v>3512</v>
      </c>
      <c r="BE1191" s="324" t="s">
        <v>3558</v>
      </c>
      <c r="BF1191" s="324" t="s">
        <v>3495</v>
      </c>
      <c r="BG1191" s="324" t="s">
        <v>3555</v>
      </c>
      <c r="BH1191" s="324" t="s">
        <v>3495</v>
      </c>
      <c r="BI1191" s="453">
        <v>1.6</v>
      </c>
      <c r="BJ1191" s="427" t="s">
        <v>210</v>
      </c>
      <c r="BK1191" s="428" t="s">
        <v>210</v>
      </c>
      <c r="BL1191" s="429" t="s">
        <v>210</v>
      </c>
      <c r="BM1191" s="429" t="s">
        <v>210</v>
      </c>
      <c r="BN1191" s="453" t="s">
        <v>210</v>
      </c>
      <c r="BO1191" s="464" t="s">
        <v>210</v>
      </c>
      <c r="BP1191" s="455" t="s">
        <v>210</v>
      </c>
      <c r="BQ1191" s="456" t="s">
        <v>917</v>
      </c>
      <c r="BR1191" s="342" t="s">
        <v>210</v>
      </c>
      <c r="BS1191" s="342" t="s">
        <v>622</v>
      </c>
      <c r="BT1191" s="342" t="s">
        <v>210</v>
      </c>
      <c r="BU1191" s="342" t="s">
        <v>210</v>
      </c>
      <c r="BV1191" s="342" t="s">
        <v>210</v>
      </c>
      <c r="BW1191" s="341" t="s">
        <v>210</v>
      </c>
      <c r="BX1191" s="341" t="s">
        <v>210</v>
      </c>
      <c r="BY1191" s="457"/>
      <c r="BZ1191" s="363"/>
      <c r="CA1191" s="363"/>
      <c r="CB1191" s="363"/>
      <c r="CC1191" s="363"/>
    </row>
    <row r="1192" spans="1:82" ht="22.5" customHeight="1">
      <c r="B1192" s="442">
        <v>180270</v>
      </c>
      <c r="C1192" s="443" t="s">
        <v>8857</v>
      </c>
      <c r="D1192" s="439" t="s">
        <v>4847</v>
      </c>
      <c r="E1192" s="404" t="s">
        <v>5362</v>
      </c>
      <c r="F1192" s="405" t="s">
        <v>8858</v>
      </c>
      <c r="G1192" s="324" t="s">
        <v>2158</v>
      </c>
      <c r="H1192" s="324" t="s">
        <v>8859</v>
      </c>
      <c r="I1192" s="326" t="s">
        <v>383</v>
      </c>
      <c r="J1192" s="324" t="s">
        <v>214</v>
      </c>
      <c r="K1192" s="324" t="s">
        <v>917</v>
      </c>
      <c r="L1192" s="342" t="s">
        <v>210</v>
      </c>
      <c r="M1192" s="324" t="s">
        <v>7457</v>
      </c>
      <c r="N1192" s="444" t="s">
        <v>437</v>
      </c>
      <c r="O1192" s="324">
        <v>40</v>
      </c>
      <c r="P1192" s="458">
        <v>1106</v>
      </c>
      <c r="Q1192" s="459">
        <v>1113</v>
      </c>
      <c r="R1192" s="420" t="s">
        <v>4784</v>
      </c>
      <c r="S1192" s="400"/>
      <c r="T1192" s="394" t="s">
        <v>11560</v>
      </c>
      <c r="U1192" s="394" t="s">
        <v>11559</v>
      </c>
      <c r="V1192" s="394" t="s">
        <v>11561</v>
      </c>
      <c r="W1192" s="460" t="s">
        <v>6108</v>
      </c>
      <c r="X1192" s="394" t="s">
        <v>11570</v>
      </c>
      <c r="Y1192" s="394" t="s">
        <v>11571</v>
      </c>
      <c r="Z1192" s="400"/>
      <c r="AA1192" s="394" t="s">
        <v>11572</v>
      </c>
      <c r="AB1192" s="416"/>
      <c r="AC1192" s="416"/>
      <c r="AD1192" s="334" t="s">
        <v>2326</v>
      </c>
      <c r="AE1192" s="335" t="s">
        <v>210</v>
      </c>
      <c r="AF1192" s="462">
        <v>43532</v>
      </c>
      <c r="AG1192" s="748">
        <v>43643</v>
      </c>
      <c r="AH1192" s="417" t="s">
        <v>210</v>
      </c>
      <c r="AI1192" s="392" t="s">
        <v>210</v>
      </c>
      <c r="AJ1192" s="392" t="s">
        <v>210</v>
      </c>
      <c r="AK1192" s="340" t="s">
        <v>210</v>
      </c>
      <c r="AL1192" s="417" t="s">
        <v>210</v>
      </c>
      <c r="AM1192" s="392" t="s">
        <v>210</v>
      </c>
      <c r="AN1192" s="392" t="s">
        <v>210</v>
      </c>
      <c r="AO1192" s="341" t="s">
        <v>210</v>
      </c>
      <c r="AP1192" s="418" t="s">
        <v>210</v>
      </c>
      <c r="AQ1192" s="433" t="s">
        <v>4547</v>
      </c>
      <c r="AR1192" s="452">
        <v>1449</v>
      </c>
      <c r="AS1192" s="324">
        <v>80</v>
      </c>
      <c r="AT1192" s="432">
        <v>0.6</v>
      </c>
      <c r="AU1192" s="432" t="s">
        <v>8979</v>
      </c>
      <c r="AV1192" s="432">
        <v>0.6</v>
      </c>
      <c r="AW1192" s="490" t="s">
        <v>8979</v>
      </c>
      <c r="AX1192" s="453" t="s">
        <v>210</v>
      </c>
      <c r="AY1192" s="429" t="s">
        <v>210</v>
      </c>
      <c r="AZ1192" s="405" t="s">
        <v>4083</v>
      </c>
      <c r="BA1192" s="324" t="s">
        <v>210</v>
      </c>
      <c r="BB1192" s="324" t="s">
        <v>210</v>
      </c>
      <c r="BC1192" s="324" t="s">
        <v>8980</v>
      </c>
      <c r="BD1192" s="324" t="s">
        <v>8981</v>
      </c>
      <c r="BE1192" s="324" t="s">
        <v>8982</v>
      </c>
      <c r="BF1192" s="324" t="s">
        <v>8983</v>
      </c>
      <c r="BG1192" s="324" t="s">
        <v>8984</v>
      </c>
      <c r="BH1192" s="426" t="s">
        <v>8985</v>
      </c>
      <c r="BI1192" s="453">
        <v>2.5</v>
      </c>
      <c r="BJ1192" s="427">
        <v>1.74</v>
      </c>
      <c r="BK1192" s="418" t="s">
        <v>210</v>
      </c>
      <c r="BL1192" s="429" t="s">
        <v>210</v>
      </c>
      <c r="BM1192" s="429" t="s">
        <v>210</v>
      </c>
      <c r="BN1192" s="453" t="s">
        <v>622</v>
      </c>
      <c r="BO1192" s="464">
        <v>1.31</v>
      </c>
      <c r="BP1192" s="455" t="s">
        <v>622</v>
      </c>
      <c r="BQ1192" s="456" t="s">
        <v>8986</v>
      </c>
      <c r="BR1192" s="342" t="s">
        <v>622</v>
      </c>
      <c r="BS1192" s="342" t="s">
        <v>622</v>
      </c>
      <c r="BT1192" s="342" t="s">
        <v>210</v>
      </c>
      <c r="BU1192" s="342" t="s">
        <v>622</v>
      </c>
      <c r="BV1192" s="342" t="s">
        <v>210</v>
      </c>
      <c r="BW1192" s="341" t="s">
        <v>210</v>
      </c>
      <c r="BX1192" s="341" t="s">
        <v>210</v>
      </c>
      <c r="BY1192" s="457" t="s">
        <v>9051</v>
      </c>
      <c r="BZ1192" s="363"/>
      <c r="CA1192" s="363"/>
      <c r="CB1192" s="363"/>
      <c r="CC1192" s="363"/>
    </row>
    <row r="1193" spans="1:82" ht="22.5" customHeight="1">
      <c r="B1193" s="442">
        <v>180271</v>
      </c>
      <c r="C1193" s="443" t="s">
        <v>8909</v>
      </c>
      <c r="D1193" s="467" t="s">
        <v>8941</v>
      </c>
      <c r="E1193" s="404" t="s">
        <v>8910</v>
      </c>
      <c r="F1193" s="405" t="s">
        <v>229</v>
      </c>
      <c r="G1193" s="324" t="s">
        <v>8911</v>
      </c>
      <c r="H1193" s="324" t="s">
        <v>8912</v>
      </c>
      <c r="I1193" s="326" t="s">
        <v>383</v>
      </c>
      <c r="J1193" s="324" t="s">
        <v>6632</v>
      </c>
      <c r="K1193" s="324" t="s">
        <v>977</v>
      </c>
      <c r="L1193" s="342">
        <v>21</v>
      </c>
      <c r="M1193" s="324" t="s">
        <v>7457</v>
      </c>
      <c r="N1193" s="444" t="s">
        <v>438</v>
      </c>
      <c r="O1193" s="324" t="s">
        <v>9033</v>
      </c>
      <c r="P1193" s="458">
        <v>1864</v>
      </c>
      <c r="Q1193" s="459">
        <v>1629</v>
      </c>
      <c r="R1193" s="420" t="s">
        <v>8913</v>
      </c>
      <c r="S1193" s="394" t="s">
        <v>11480</v>
      </c>
      <c r="T1193" s="394" t="s">
        <v>11476</v>
      </c>
      <c r="U1193" s="394" t="s">
        <v>16384</v>
      </c>
      <c r="V1193" s="394" t="s">
        <v>11477</v>
      </c>
      <c r="W1193" s="332" t="s">
        <v>644</v>
      </c>
      <c r="X1193" s="400"/>
      <c r="Y1193" s="400"/>
      <c r="Z1193" s="400"/>
      <c r="AA1193" s="400"/>
      <c r="AB1193" s="416"/>
      <c r="AC1193" s="416"/>
      <c r="AD1193" s="447" t="s">
        <v>5277</v>
      </c>
      <c r="AE1193" s="499" t="s">
        <v>9364</v>
      </c>
      <c r="AF1193" s="462">
        <v>43536</v>
      </c>
      <c r="AG1193" s="748">
        <v>43615</v>
      </c>
      <c r="AH1193" s="417" t="s">
        <v>210</v>
      </c>
      <c r="AI1193" s="392" t="s">
        <v>210</v>
      </c>
      <c r="AJ1193" s="392" t="s">
        <v>210</v>
      </c>
      <c r="AK1193" s="340" t="s">
        <v>210</v>
      </c>
      <c r="AL1193" s="417" t="s">
        <v>210</v>
      </c>
      <c r="AM1193" s="392" t="s">
        <v>210</v>
      </c>
      <c r="AN1193" s="392" t="s">
        <v>210</v>
      </c>
      <c r="AO1193" s="341" t="s">
        <v>210</v>
      </c>
      <c r="AP1193" s="418" t="s">
        <v>210</v>
      </c>
      <c r="AQ1193" s="433" t="s">
        <v>4547</v>
      </c>
      <c r="AR1193" s="452">
        <f>780+404+72+496</f>
        <v>1752</v>
      </c>
      <c r="AS1193" s="324">
        <v>150</v>
      </c>
      <c r="AT1193" s="432">
        <v>1</v>
      </c>
      <c r="AU1193" s="432" t="s">
        <v>9034</v>
      </c>
      <c r="AV1193" s="432">
        <v>1.8</v>
      </c>
      <c r="AW1193" s="490" t="s">
        <v>9035</v>
      </c>
      <c r="AX1193" s="453" t="s">
        <v>9036</v>
      </c>
      <c r="AY1193" s="429" t="s">
        <v>8601</v>
      </c>
      <c r="AZ1193" s="405" t="s">
        <v>4083</v>
      </c>
      <c r="BA1193" s="324" t="s">
        <v>210</v>
      </c>
      <c r="BB1193" s="324" t="s">
        <v>210</v>
      </c>
      <c r="BC1193" s="324" t="s">
        <v>9037</v>
      </c>
      <c r="BD1193" s="324" t="s">
        <v>9038</v>
      </c>
      <c r="BE1193" s="324" t="s">
        <v>9039</v>
      </c>
      <c r="BF1193" s="324" t="s">
        <v>9040</v>
      </c>
      <c r="BG1193" s="324" t="s">
        <v>9041</v>
      </c>
      <c r="BH1193" s="426" t="s">
        <v>9040</v>
      </c>
      <c r="BI1193" s="453">
        <v>1.5</v>
      </c>
      <c r="BJ1193" s="427">
        <v>3.3</v>
      </c>
      <c r="BK1193" s="428" t="s">
        <v>9042</v>
      </c>
      <c r="BL1193" s="429">
        <f>0.9+2.8</f>
        <v>3.6999999999999997</v>
      </c>
      <c r="BM1193" s="429" t="s">
        <v>210</v>
      </c>
      <c r="BN1193" s="453" t="s">
        <v>622</v>
      </c>
      <c r="BO1193" s="464">
        <v>1.26</v>
      </c>
      <c r="BP1193" s="455" t="s">
        <v>622</v>
      </c>
      <c r="BQ1193" s="456" t="s">
        <v>5608</v>
      </c>
      <c r="BR1193" s="342" t="s">
        <v>622</v>
      </c>
      <c r="BS1193" s="342" t="s">
        <v>622</v>
      </c>
      <c r="BT1193" s="342" t="s">
        <v>210</v>
      </c>
      <c r="BU1193" s="342" t="s">
        <v>210</v>
      </c>
      <c r="BV1193" s="786">
        <v>-20</v>
      </c>
      <c r="BW1193" s="341" t="s">
        <v>210</v>
      </c>
      <c r="BX1193" s="341" t="s">
        <v>210</v>
      </c>
      <c r="BY1193" s="457"/>
      <c r="BZ1193" s="363"/>
      <c r="CA1193" s="363"/>
      <c r="CB1193" s="363"/>
      <c r="CC1193" s="363"/>
    </row>
    <row r="1194" spans="1:82" ht="22.5" customHeight="1">
      <c r="B1194" s="442">
        <v>180272</v>
      </c>
      <c r="C1194" s="443" t="s">
        <v>8915</v>
      </c>
      <c r="D1194" s="439" t="s">
        <v>8942</v>
      </c>
      <c r="E1194" s="404" t="s">
        <v>5362</v>
      </c>
      <c r="F1194" s="405" t="s">
        <v>839</v>
      </c>
      <c r="G1194" s="324" t="s">
        <v>8916</v>
      </c>
      <c r="H1194" s="324" t="s">
        <v>8917</v>
      </c>
      <c r="I1194" s="326" t="s">
        <v>383</v>
      </c>
      <c r="J1194" s="324" t="s">
        <v>214</v>
      </c>
      <c r="K1194" s="324" t="s">
        <v>247</v>
      </c>
      <c r="L1194" s="342">
        <v>4.3</v>
      </c>
      <c r="M1194" s="324" t="s">
        <v>7457</v>
      </c>
      <c r="N1194" s="444" t="s">
        <v>438</v>
      </c>
      <c r="O1194" s="324">
        <v>30</v>
      </c>
      <c r="P1194" s="458">
        <v>289</v>
      </c>
      <c r="Q1194" s="459">
        <v>289</v>
      </c>
      <c r="R1194" s="420" t="s">
        <v>9162</v>
      </c>
      <c r="S1194" s="394" t="s">
        <v>11573</v>
      </c>
      <c r="T1194" s="394" t="s">
        <v>12435</v>
      </c>
      <c r="U1194" s="394" t="s">
        <v>12434</v>
      </c>
      <c r="V1194" s="394" t="s">
        <v>11574</v>
      </c>
      <c r="W1194" s="332" t="s">
        <v>644</v>
      </c>
      <c r="X1194" s="394" t="s">
        <v>11478</v>
      </c>
      <c r="Y1194" s="394" t="s">
        <v>11292</v>
      </c>
      <c r="Z1194" s="394" t="s">
        <v>16527</v>
      </c>
      <c r="AA1194" s="394" t="s">
        <v>11479</v>
      </c>
      <c r="AB1194" s="416" t="s">
        <v>9161</v>
      </c>
      <c r="AC1194" s="416"/>
      <c r="AD1194" s="447" t="s">
        <v>10004</v>
      </c>
      <c r="AE1194" s="499" t="s">
        <v>353</v>
      </c>
      <c r="AF1194" s="462">
        <v>43536</v>
      </c>
      <c r="AG1194" s="748">
        <v>43697</v>
      </c>
      <c r="AH1194" s="417" t="s">
        <v>210</v>
      </c>
      <c r="AI1194" s="392" t="s">
        <v>210</v>
      </c>
      <c r="AJ1194" s="392" t="s">
        <v>210</v>
      </c>
      <c r="AK1194" s="340" t="s">
        <v>210</v>
      </c>
      <c r="AL1194" s="417" t="s">
        <v>210</v>
      </c>
      <c r="AM1194" s="392" t="s">
        <v>210</v>
      </c>
      <c r="AN1194" s="392" t="s">
        <v>210</v>
      </c>
      <c r="AO1194" s="341" t="s">
        <v>210</v>
      </c>
      <c r="AP1194" s="418" t="s">
        <v>660</v>
      </c>
      <c r="AQ1194" s="433" t="s">
        <v>4547</v>
      </c>
      <c r="AR1194" s="452">
        <v>394.5</v>
      </c>
      <c r="AS1194" s="324">
        <v>100</v>
      </c>
      <c r="AT1194" s="432">
        <v>1</v>
      </c>
      <c r="AU1194" s="432" t="s">
        <v>9138</v>
      </c>
      <c r="AV1194" s="432">
        <v>1.5</v>
      </c>
      <c r="AW1194" s="432" t="s">
        <v>9138</v>
      </c>
      <c r="AX1194" s="453" t="s">
        <v>210</v>
      </c>
      <c r="AY1194" s="429" t="s">
        <v>210</v>
      </c>
      <c r="AZ1194" s="405" t="s">
        <v>622</v>
      </c>
      <c r="BA1194" s="324" t="s">
        <v>9139</v>
      </c>
      <c r="BB1194" s="324" t="s">
        <v>9140</v>
      </c>
      <c r="BC1194" s="324" t="s">
        <v>9139</v>
      </c>
      <c r="BD1194" s="324" t="s">
        <v>9141</v>
      </c>
      <c r="BE1194" s="324" t="s">
        <v>9142</v>
      </c>
      <c r="BF1194" s="324" t="s">
        <v>9141</v>
      </c>
      <c r="BG1194" s="324" t="s">
        <v>9143</v>
      </c>
      <c r="BH1194" s="426" t="s">
        <v>9144</v>
      </c>
      <c r="BI1194" s="453">
        <v>1.3</v>
      </c>
      <c r="BJ1194" s="427">
        <v>1.05</v>
      </c>
      <c r="BK1194" s="428" t="s">
        <v>9145</v>
      </c>
      <c r="BL1194" s="429">
        <f>1.9+2.1</f>
        <v>4</v>
      </c>
      <c r="BM1194" s="429" t="s">
        <v>210</v>
      </c>
      <c r="BN1194" s="453" t="s">
        <v>622</v>
      </c>
      <c r="BO1194" s="464">
        <v>0.97</v>
      </c>
      <c r="BP1194" s="455" t="s">
        <v>622</v>
      </c>
      <c r="BQ1194" s="456" t="s">
        <v>9146</v>
      </c>
      <c r="BR1194" s="342" t="s">
        <v>210</v>
      </c>
      <c r="BS1194" s="342" t="s">
        <v>622</v>
      </c>
      <c r="BT1194" s="342" t="s">
        <v>210</v>
      </c>
      <c r="BU1194" s="342" t="s">
        <v>210</v>
      </c>
      <c r="BV1194" s="342" t="s">
        <v>210</v>
      </c>
      <c r="BW1194" s="341" t="s">
        <v>210</v>
      </c>
      <c r="BX1194" s="341" t="s">
        <v>210</v>
      </c>
      <c r="BY1194" s="457" t="s">
        <v>9147</v>
      </c>
      <c r="BZ1194" s="363"/>
      <c r="CA1194" s="363"/>
      <c r="CB1194" s="363"/>
      <c r="CC1194" s="363"/>
    </row>
    <row r="1195" spans="1:82" s="465" customFormat="1" ht="22.5" customHeight="1">
      <c r="A1195" s="287"/>
      <c r="B1195" s="749">
        <v>180273</v>
      </c>
      <c r="C1195" s="658" t="s">
        <v>9552</v>
      </c>
      <c r="D1195" s="1054" t="s">
        <v>4854</v>
      </c>
      <c r="E1195" s="660" t="s">
        <v>5363</v>
      </c>
      <c r="F1195" s="661" t="s">
        <v>265</v>
      </c>
      <c r="G1195" s="662" t="s">
        <v>8919</v>
      </c>
      <c r="H1195" s="662" t="s">
        <v>5770</v>
      </c>
      <c r="I1195" s="662" t="s">
        <v>11</v>
      </c>
      <c r="J1195" s="754" t="s">
        <v>214</v>
      </c>
      <c r="K1195" s="754" t="s">
        <v>3400</v>
      </c>
      <c r="L1195" s="676" t="s">
        <v>210</v>
      </c>
      <c r="M1195" s="754" t="s">
        <v>9103</v>
      </c>
      <c r="N1195" s="755" t="s">
        <v>438</v>
      </c>
      <c r="O1195" s="662">
        <v>29</v>
      </c>
      <c r="P1195" s="782">
        <v>1700</v>
      </c>
      <c r="Q1195" s="783">
        <v>1700</v>
      </c>
      <c r="R1195" s="667" t="s">
        <v>431</v>
      </c>
      <c r="S1195" s="708" t="s">
        <v>12407</v>
      </c>
      <c r="T1195" s="708" t="s">
        <v>12408</v>
      </c>
      <c r="U1195" s="708" t="s">
        <v>16411</v>
      </c>
      <c r="V1195" s="708" t="s">
        <v>12409</v>
      </c>
      <c r="W1195" s="669" t="s">
        <v>432</v>
      </c>
      <c r="X1195" s="668" t="s">
        <v>11082</v>
      </c>
      <c r="Y1195" s="668" t="s">
        <v>11082</v>
      </c>
      <c r="Z1195" s="668" t="s">
        <v>11082</v>
      </c>
      <c r="AA1195" s="668" t="s">
        <v>210</v>
      </c>
      <c r="AB1195" s="670"/>
      <c r="AC1195" s="670"/>
      <c r="AD1195" s="671" t="s">
        <v>9550</v>
      </c>
      <c r="AE1195" s="672" t="s">
        <v>9551</v>
      </c>
      <c r="AF1195" s="1055">
        <v>43536</v>
      </c>
      <c r="AG1195" s="1056">
        <v>43626</v>
      </c>
      <c r="AH1195" s="675">
        <v>32.6</v>
      </c>
      <c r="AI1195" s="676">
        <v>45</v>
      </c>
      <c r="AJ1195" s="676">
        <v>29.9</v>
      </c>
      <c r="AK1195" s="677">
        <f>SUM(AH1195:AJ1195)</f>
        <v>107.5</v>
      </c>
      <c r="AL1195" s="675" t="s">
        <v>210</v>
      </c>
      <c r="AM1195" s="676" t="s">
        <v>210</v>
      </c>
      <c r="AN1195" s="676" t="s">
        <v>210</v>
      </c>
      <c r="AO1195" s="678" t="s">
        <v>210</v>
      </c>
      <c r="AP1195" s="784" t="s">
        <v>210</v>
      </c>
      <c r="AQ1195" s="762" t="s">
        <v>4547</v>
      </c>
      <c r="AR1195" s="680"/>
      <c r="AS1195" s="662">
        <v>150</v>
      </c>
      <c r="AT1195" s="676"/>
      <c r="AU1195" s="676" t="s">
        <v>9154</v>
      </c>
      <c r="AV1195" s="676"/>
      <c r="AW1195" s="678" t="s">
        <v>9155</v>
      </c>
      <c r="AX1195" s="765" t="s">
        <v>210</v>
      </c>
      <c r="AY1195" s="766" t="s">
        <v>210</v>
      </c>
      <c r="AZ1195" s="753" t="s">
        <v>622</v>
      </c>
      <c r="BA1195" s="662" t="s">
        <v>9148</v>
      </c>
      <c r="BB1195" s="662" t="s">
        <v>9150</v>
      </c>
      <c r="BC1195" s="662" t="s">
        <v>9151</v>
      </c>
      <c r="BD1195" s="662" t="s">
        <v>9150</v>
      </c>
      <c r="BE1195" s="662" t="s">
        <v>9152</v>
      </c>
      <c r="BF1195" s="662" t="s">
        <v>9150</v>
      </c>
      <c r="BG1195" s="662" t="s">
        <v>9153</v>
      </c>
      <c r="BH1195" s="657" t="s">
        <v>4813</v>
      </c>
      <c r="BI1195" s="675">
        <v>1</v>
      </c>
      <c r="BJ1195" s="683">
        <v>0.9</v>
      </c>
      <c r="BK1195" s="784" t="s">
        <v>210</v>
      </c>
      <c r="BL1195" s="766" t="s">
        <v>210</v>
      </c>
      <c r="BM1195" s="770" t="s">
        <v>622</v>
      </c>
      <c r="BN1195" s="765" t="s">
        <v>622</v>
      </c>
      <c r="BO1195" s="684">
        <v>1.86</v>
      </c>
      <c r="BP1195" s="677"/>
      <c r="BQ1195" s="679"/>
      <c r="BR1195" s="688" t="s">
        <v>210</v>
      </c>
      <c r="BS1195" s="688" t="s">
        <v>622</v>
      </c>
      <c r="BT1195" s="676" t="s">
        <v>210</v>
      </c>
      <c r="BU1195" s="676" t="s">
        <v>210</v>
      </c>
      <c r="BV1195" s="676" t="s">
        <v>210</v>
      </c>
      <c r="BW1195" s="676" t="s">
        <v>210</v>
      </c>
      <c r="BX1195" s="676" t="s">
        <v>210</v>
      </c>
      <c r="BY1195" s="689"/>
      <c r="BZ1195" s="483"/>
      <c r="CA1195" s="483"/>
      <c r="CB1195" s="483"/>
      <c r="CC1195" s="483"/>
      <c r="CD1195" s="484"/>
    </row>
    <row r="1196" spans="1:82" s="465" customFormat="1" ht="22.5" customHeight="1">
      <c r="A1196" s="287"/>
      <c r="B1196" s="749">
        <v>180274</v>
      </c>
      <c r="C1196" s="781" t="s">
        <v>8940</v>
      </c>
      <c r="D1196" s="751" t="s">
        <v>4849</v>
      </c>
      <c r="E1196" s="752" t="s">
        <v>5362</v>
      </c>
      <c r="F1196" s="753" t="s">
        <v>222</v>
      </c>
      <c r="G1196" s="754" t="s">
        <v>8934</v>
      </c>
      <c r="H1196" s="754" t="s">
        <v>8935</v>
      </c>
      <c r="I1196" s="662" t="s">
        <v>383</v>
      </c>
      <c r="J1196" s="754" t="s">
        <v>214</v>
      </c>
      <c r="K1196" s="754" t="s">
        <v>917</v>
      </c>
      <c r="L1196" s="676" t="s">
        <v>210</v>
      </c>
      <c r="M1196" s="754" t="s">
        <v>7457</v>
      </c>
      <c r="N1196" s="755" t="s">
        <v>437</v>
      </c>
      <c r="O1196" s="754">
        <v>160</v>
      </c>
      <c r="P1196" s="782">
        <v>1054.5</v>
      </c>
      <c r="Q1196" s="783">
        <v>1176.5</v>
      </c>
      <c r="R1196" s="667" t="s">
        <v>999</v>
      </c>
      <c r="S1196" s="668"/>
      <c r="T1196" s="919" t="s">
        <v>11262</v>
      </c>
      <c r="U1196" s="919" t="s">
        <v>16414</v>
      </c>
      <c r="V1196" s="919" t="s">
        <v>11263</v>
      </c>
      <c r="W1196" s="757" t="s">
        <v>8945</v>
      </c>
      <c r="X1196" s="669" t="s">
        <v>11808</v>
      </c>
      <c r="Y1196" s="669" t="s">
        <v>11809</v>
      </c>
      <c r="Z1196" s="669" t="s">
        <v>11404</v>
      </c>
      <c r="AA1196" s="669" t="s">
        <v>11810</v>
      </c>
      <c r="AB1196" s="670" t="s">
        <v>8947</v>
      </c>
      <c r="AC1196" s="758"/>
      <c r="AD1196" s="759"/>
      <c r="AE1196" s="672" t="s">
        <v>210</v>
      </c>
      <c r="AF1196" s="1055">
        <v>43543</v>
      </c>
      <c r="AG1196" s="674" t="s">
        <v>10514</v>
      </c>
      <c r="AH1196" s="675" t="s">
        <v>210</v>
      </c>
      <c r="AI1196" s="676" t="s">
        <v>210</v>
      </c>
      <c r="AJ1196" s="676" t="s">
        <v>210</v>
      </c>
      <c r="AK1196" s="677" t="s">
        <v>210</v>
      </c>
      <c r="AL1196" s="675" t="s">
        <v>210</v>
      </c>
      <c r="AM1196" s="676" t="s">
        <v>210</v>
      </c>
      <c r="AN1196" s="1057" t="s">
        <v>8052</v>
      </c>
      <c r="AO1196" s="678" t="s">
        <v>210</v>
      </c>
      <c r="AP1196" s="784" t="s">
        <v>622</v>
      </c>
      <c r="AQ1196" s="762" t="s">
        <v>4547</v>
      </c>
      <c r="AR1196" s="763">
        <v>1640</v>
      </c>
      <c r="AS1196" s="754">
        <v>80</v>
      </c>
      <c r="AT1196" s="785">
        <v>1</v>
      </c>
      <c r="AU1196" s="785" t="s">
        <v>8948</v>
      </c>
      <c r="AV1196" s="785">
        <v>1.5</v>
      </c>
      <c r="AW1196" s="764" t="s">
        <v>8949</v>
      </c>
      <c r="AX1196" s="765" t="s">
        <v>8950</v>
      </c>
      <c r="AY1196" s="766" t="s">
        <v>8951</v>
      </c>
      <c r="AZ1196" s="753" t="s">
        <v>622</v>
      </c>
      <c r="BA1196" s="754" t="s">
        <v>8952</v>
      </c>
      <c r="BB1196" s="754" t="s">
        <v>9149</v>
      </c>
      <c r="BC1196" s="754" t="s">
        <v>8953</v>
      </c>
      <c r="BD1196" s="754" t="s">
        <v>3372</v>
      </c>
      <c r="BE1196" s="754" t="s">
        <v>8952</v>
      </c>
      <c r="BF1196" s="754" t="s">
        <v>3372</v>
      </c>
      <c r="BG1196" s="754" t="s">
        <v>8954</v>
      </c>
      <c r="BH1196" s="754" t="s">
        <v>3372</v>
      </c>
      <c r="BI1196" s="765">
        <v>6.8</v>
      </c>
      <c r="BJ1196" s="768">
        <v>0.78</v>
      </c>
      <c r="BK1196" s="769" t="s">
        <v>210</v>
      </c>
      <c r="BL1196" s="766" t="s">
        <v>210</v>
      </c>
      <c r="BM1196" s="766" t="s">
        <v>210</v>
      </c>
      <c r="BN1196" s="765" t="s">
        <v>622</v>
      </c>
      <c r="BO1196" s="771">
        <v>1.45</v>
      </c>
      <c r="BP1196" s="772" t="s">
        <v>622</v>
      </c>
      <c r="BQ1196" s="773" t="s">
        <v>6623</v>
      </c>
      <c r="BR1196" s="676" t="s">
        <v>210</v>
      </c>
      <c r="BS1196" s="688" t="s">
        <v>622</v>
      </c>
      <c r="BT1196" s="676" t="s">
        <v>210</v>
      </c>
      <c r="BU1196" s="676" t="s">
        <v>210</v>
      </c>
      <c r="BV1196" s="676" t="s">
        <v>210</v>
      </c>
      <c r="BW1196" s="676" t="s">
        <v>210</v>
      </c>
      <c r="BX1196" s="676" t="s">
        <v>210</v>
      </c>
      <c r="BY1196" s="774" t="s">
        <v>10331</v>
      </c>
      <c r="BZ1196" s="483"/>
      <c r="CA1196" s="483"/>
      <c r="CB1196" s="483"/>
      <c r="CC1196" s="483"/>
      <c r="CD1196" s="484"/>
    </row>
    <row r="1197" spans="1:82" ht="22.5" customHeight="1">
      <c r="B1197" s="442">
        <v>180275</v>
      </c>
      <c r="C1197" s="443" t="s">
        <v>8936</v>
      </c>
      <c r="D1197" s="439" t="s">
        <v>4849</v>
      </c>
      <c r="E1197" s="404" t="s">
        <v>5362</v>
      </c>
      <c r="F1197" s="405" t="s">
        <v>8937</v>
      </c>
      <c r="G1197" s="324" t="s">
        <v>8938</v>
      </c>
      <c r="H1197" s="324" t="s">
        <v>8939</v>
      </c>
      <c r="I1197" s="326" t="s">
        <v>383</v>
      </c>
      <c r="J1197" s="324" t="s">
        <v>214</v>
      </c>
      <c r="K1197" s="324" t="s">
        <v>917</v>
      </c>
      <c r="L1197" s="392" t="s">
        <v>210</v>
      </c>
      <c r="M1197" s="324" t="s">
        <v>7457</v>
      </c>
      <c r="N1197" s="444" t="s">
        <v>437</v>
      </c>
      <c r="O1197" s="324">
        <v>100</v>
      </c>
      <c r="P1197" s="458">
        <v>1142</v>
      </c>
      <c r="Q1197" s="459">
        <v>1148</v>
      </c>
      <c r="R1197" s="420" t="s">
        <v>4784</v>
      </c>
      <c r="S1197" s="394" t="s">
        <v>11558</v>
      </c>
      <c r="T1197" s="394" t="s">
        <v>11560</v>
      </c>
      <c r="U1197" s="394" t="s">
        <v>11559</v>
      </c>
      <c r="V1197" s="394" t="s">
        <v>11561</v>
      </c>
      <c r="W1197" s="460" t="s">
        <v>8611</v>
      </c>
      <c r="X1197" s="332" t="s">
        <v>11557</v>
      </c>
      <c r="Y1197" s="332" t="s">
        <v>11625</v>
      </c>
      <c r="Z1197" s="332" t="s">
        <v>16479</v>
      </c>
      <c r="AA1197" s="332" t="s">
        <v>11627</v>
      </c>
      <c r="AB1197" s="416"/>
      <c r="AC1197" s="416"/>
      <c r="AD1197" s="334" t="s">
        <v>2326</v>
      </c>
      <c r="AE1197" s="335" t="s">
        <v>210</v>
      </c>
      <c r="AF1197" s="448">
        <v>43543</v>
      </c>
      <c r="AG1197" s="748">
        <v>43579</v>
      </c>
      <c r="AH1197" s="417" t="s">
        <v>210</v>
      </c>
      <c r="AI1197" s="392" t="s">
        <v>210</v>
      </c>
      <c r="AJ1197" s="392" t="s">
        <v>210</v>
      </c>
      <c r="AK1197" s="340" t="s">
        <v>210</v>
      </c>
      <c r="AL1197" s="417" t="s">
        <v>210</v>
      </c>
      <c r="AM1197" s="392" t="s">
        <v>210</v>
      </c>
      <c r="AN1197" s="392" t="s">
        <v>210</v>
      </c>
      <c r="AO1197" s="341" t="s">
        <v>210</v>
      </c>
      <c r="AP1197" s="392" t="s">
        <v>210</v>
      </c>
      <c r="AQ1197" s="433" t="s">
        <v>4547</v>
      </c>
      <c r="AR1197" s="452">
        <v>1533</v>
      </c>
      <c r="AS1197" s="324">
        <v>120</v>
      </c>
      <c r="AT1197" s="432">
        <v>1</v>
      </c>
      <c r="AU1197" s="432" t="s">
        <v>8996</v>
      </c>
      <c r="AV1197" s="432">
        <v>1.5</v>
      </c>
      <c r="AW1197" s="490" t="s">
        <v>8997</v>
      </c>
      <c r="AX1197" s="453" t="s">
        <v>8950</v>
      </c>
      <c r="AY1197" s="429" t="s">
        <v>8951</v>
      </c>
      <c r="AZ1197" s="405" t="s">
        <v>4083</v>
      </c>
      <c r="BA1197" s="324" t="s">
        <v>210</v>
      </c>
      <c r="BB1197" s="324" t="s">
        <v>210</v>
      </c>
      <c r="BC1197" s="324" t="s">
        <v>8998</v>
      </c>
      <c r="BD1197" s="324" t="s">
        <v>8999</v>
      </c>
      <c r="BE1197" s="324" t="s">
        <v>9000</v>
      </c>
      <c r="BF1197" s="324" t="s">
        <v>9001</v>
      </c>
      <c r="BG1197" s="324" t="s">
        <v>9002</v>
      </c>
      <c r="BH1197" s="426" t="s">
        <v>9003</v>
      </c>
      <c r="BI1197" s="453">
        <v>0.6</v>
      </c>
      <c r="BJ1197" s="427">
        <v>1.8</v>
      </c>
      <c r="BK1197" s="428" t="s">
        <v>8999</v>
      </c>
      <c r="BL1197" s="429">
        <v>4</v>
      </c>
      <c r="BM1197" s="429" t="s">
        <v>210</v>
      </c>
      <c r="BN1197" s="453" t="s">
        <v>622</v>
      </c>
      <c r="BO1197" s="464">
        <v>1.17</v>
      </c>
      <c r="BP1197" s="455" t="s">
        <v>622</v>
      </c>
      <c r="BQ1197" s="456" t="s">
        <v>6623</v>
      </c>
      <c r="BR1197" s="392" t="s">
        <v>210</v>
      </c>
      <c r="BS1197" s="392" t="s">
        <v>210</v>
      </c>
      <c r="BT1197" s="392" t="s">
        <v>210</v>
      </c>
      <c r="BU1197" s="392" t="s">
        <v>210</v>
      </c>
      <c r="BV1197" s="392" t="s">
        <v>210</v>
      </c>
      <c r="BW1197" s="392" t="s">
        <v>210</v>
      </c>
      <c r="BX1197" s="392" t="s">
        <v>210</v>
      </c>
      <c r="BY1197" s="457"/>
      <c r="BZ1197" s="363"/>
      <c r="CA1197" s="363"/>
      <c r="CB1197" s="363"/>
      <c r="CC1197" s="363"/>
    </row>
    <row r="1198" spans="1:82" s="465" customFormat="1" ht="22.5" customHeight="1">
      <c r="A1198" s="287"/>
      <c r="B1198" s="749">
        <v>180276</v>
      </c>
      <c r="C1198" s="781" t="s">
        <v>8993</v>
      </c>
      <c r="D1198" s="829" t="s">
        <v>9409</v>
      </c>
      <c r="E1198" s="752" t="s">
        <v>8995</v>
      </c>
      <c r="F1198" s="753" t="s">
        <v>709</v>
      </c>
      <c r="G1198" s="754" t="s">
        <v>8994</v>
      </c>
      <c r="H1198" s="754"/>
      <c r="I1198" s="754"/>
      <c r="J1198" s="754"/>
      <c r="K1198" s="754" t="s">
        <v>9031</v>
      </c>
      <c r="L1198" s="688"/>
      <c r="M1198" s="754"/>
      <c r="N1198" s="755"/>
      <c r="O1198" s="754"/>
      <c r="P1198" s="782"/>
      <c r="Q1198" s="783"/>
      <c r="R1198" s="669" t="s">
        <v>432</v>
      </c>
      <c r="S1198" s="668" t="s">
        <v>295</v>
      </c>
      <c r="T1198" s="668" t="s">
        <v>295</v>
      </c>
      <c r="U1198" s="668" t="s">
        <v>11082</v>
      </c>
      <c r="V1198" s="668" t="s">
        <v>295</v>
      </c>
      <c r="W1198" s="669" t="s">
        <v>432</v>
      </c>
      <c r="X1198" s="668" t="s">
        <v>11082</v>
      </c>
      <c r="Y1198" s="668" t="s">
        <v>11082</v>
      </c>
      <c r="Z1198" s="668" t="s">
        <v>11082</v>
      </c>
      <c r="AA1198" s="668" t="s">
        <v>210</v>
      </c>
      <c r="AB1198" s="758"/>
      <c r="AC1198" s="758"/>
      <c r="AD1198" s="759"/>
      <c r="AE1198" s="760"/>
      <c r="AF1198" s="846"/>
      <c r="AG1198" s="674" t="s">
        <v>10514</v>
      </c>
      <c r="AH1198" s="765"/>
      <c r="AI1198" s="785"/>
      <c r="AJ1198" s="785"/>
      <c r="AK1198" s="677"/>
      <c r="AL1198" s="765"/>
      <c r="AM1198" s="785"/>
      <c r="AN1198" s="785"/>
      <c r="AO1198" s="764"/>
      <c r="AP1198" s="784"/>
      <c r="AQ1198" s="762"/>
      <c r="AR1198" s="763"/>
      <c r="AS1198" s="754"/>
      <c r="AT1198" s="785"/>
      <c r="AU1198" s="785"/>
      <c r="AV1198" s="785"/>
      <c r="AW1198" s="764"/>
      <c r="AX1198" s="765"/>
      <c r="AY1198" s="766"/>
      <c r="AZ1198" s="753"/>
      <c r="BA1198" s="754"/>
      <c r="BB1198" s="754"/>
      <c r="BC1198" s="754"/>
      <c r="BD1198" s="754"/>
      <c r="BE1198" s="754"/>
      <c r="BF1198" s="754"/>
      <c r="BG1198" s="754"/>
      <c r="BH1198" s="767"/>
      <c r="BI1198" s="765"/>
      <c r="BJ1198" s="768"/>
      <c r="BK1198" s="769"/>
      <c r="BL1198" s="766"/>
      <c r="BM1198" s="770"/>
      <c r="BN1198" s="765"/>
      <c r="BO1198" s="771"/>
      <c r="BP1198" s="772"/>
      <c r="BQ1198" s="773"/>
      <c r="BR1198" s="688"/>
      <c r="BS1198" s="688"/>
      <c r="BT1198" s="688"/>
      <c r="BU1198" s="688"/>
      <c r="BV1198" s="784"/>
      <c r="BW1198" s="764"/>
      <c r="BX1198" s="772"/>
      <c r="BY1198" s="774" t="s">
        <v>9915</v>
      </c>
      <c r="BZ1198" s="483"/>
      <c r="CA1198" s="483"/>
      <c r="CB1198" s="483"/>
      <c r="CC1198" s="483"/>
      <c r="CD1198" s="484"/>
    </row>
    <row r="1199" spans="1:82" s="465" customFormat="1" ht="22.5" customHeight="1">
      <c r="A1199" s="287"/>
      <c r="B1199" s="749">
        <v>180277</v>
      </c>
      <c r="C1199" s="781" t="s">
        <v>8965</v>
      </c>
      <c r="D1199" s="1054" t="s">
        <v>8462</v>
      </c>
      <c r="E1199" s="752" t="s">
        <v>5362</v>
      </c>
      <c r="F1199" s="753" t="s">
        <v>8006</v>
      </c>
      <c r="G1199" s="754" t="s">
        <v>8966</v>
      </c>
      <c r="H1199" s="754" t="s">
        <v>8967</v>
      </c>
      <c r="I1199" s="754" t="s">
        <v>8968</v>
      </c>
      <c r="J1199" s="754" t="s">
        <v>8969</v>
      </c>
      <c r="K1199" s="754" t="s">
        <v>8970</v>
      </c>
      <c r="L1199" s="688" t="s">
        <v>9020</v>
      </c>
      <c r="M1199" s="754" t="s">
        <v>8971</v>
      </c>
      <c r="N1199" s="755" t="s">
        <v>9331</v>
      </c>
      <c r="O1199" s="754" t="s">
        <v>9021</v>
      </c>
      <c r="P1199" s="782">
        <f>Q1199*3</f>
        <v>1020</v>
      </c>
      <c r="Q1199" s="783">
        <v>340</v>
      </c>
      <c r="R1199" s="756" t="s">
        <v>8972</v>
      </c>
      <c r="S1199" s="668" t="s">
        <v>11551</v>
      </c>
      <c r="T1199" s="668" t="s">
        <v>11552</v>
      </c>
      <c r="U1199" s="668"/>
      <c r="V1199" s="668" t="s">
        <v>11553</v>
      </c>
      <c r="W1199" s="757" t="s">
        <v>8973</v>
      </c>
      <c r="X1199" s="708" t="s">
        <v>11554</v>
      </c>
      <c r="Y1199" s="708" t="s">
        <v>11491</v>
      </c>
      <c r="Z1199" s="708" t="s">
        <v>11555</v>
      </c>
      <c r="AA1199" s="708" t="s">
        <v>11556</v>
      </c>
      <c r="AB1199" s="758"/>
      <c r="AC1199" s="758"/>
      <c r="AD1199" s="759" t="s">
        <v>9332</v>
      </c>
      <c r="AE1199" s="760" t="s">
        <v>231</v>
      </c>
      <c r="AF1199" s="1055">
        <v>43547</v>
      </c>
      <c r="AG1199" s="674"/>
      <c r="AH1199" s="675" t="s">
        <v>210</v>
      </c>
      <c r="AI1199" s="676" t="s">
        <v>210</v>
      </c>
      <c r="AJ1199" s="676" t="s">
        <v>210</v>
      </c>
      <c r="AK1199" s="677" t="s">
        <v>210</v>
      </c>
      <c r="AL1199" s="675" t="s">
        <v>210</v>
      </c>
      <c r="AM1199" s="676" t="s">
        <v>210</v>
      </c>
      <c r="AN1199" s="676" t="s">
        <v>210</v>
      </c>
      <c r="AO1199" s="678" t="s">
        <v>210</v>
      </c>
      <c r="AP1199" s="784" t="s">
        <v>210</v>
      </c>
      <c r="AQ1199" s="762" t="s">
        <v>4551</v>
      </c>
      <c r="AR1199" s="763">
        <v>452</v>
      </c>
      <c r="AS1199" s="754"/>
      <c r="AT1199" s="785">
        <v>1.2</v>
      </c>
      <c r="AU1199" s="785" t="s">
        <v>9022</v>
      </c>
      <c r="AV1199" s="785">
        <v>1.2</v>
      </c>
      <c r="AW1199" s="764" t="s">
        <v>9023</v>
      </c>
      <c r="AX1199" s="765" t="s">
        <v>210</v>
      </c>
      <c r="AY1199" s="766" t="s">
        <v>210</v>
      </c>
      <c r="AZ1199" s="753" t="s">
        <v>4083</v>
      </c>
      <c r="BA1199" s="754" t="s">
        <v>210</v>
      </c>
      <c r="BB1199" s="754" t="s">
        <v>210</v>
      </c>
      <c r="BC1199" s="754" t="s">
        <v>9024</v>
      </c>
      <c r="BD1199" s="754" t="s">
        <v>9025</v>
      </c>
      <c r="BE1199" s="754" t="s">
        <v>9026</v>
      </c>
      <c r="BF1199" s="754" t="s">
        <v>9025</v>
      </c>
      <c r="BG1199" s="754" t="s">
        <v>9027</v>
      </c>
      <c r="BH1199" s="767" t="s">
        <v>9028</v>
      </c>
      <c r="BI1199" s="765">
        <v>3</v>
      </c>
      <c r="BJ1199" s="768">
        <v>1.75</v>
      </c>
      <c r="BK1199" s="769" t="s">
        <v>9029</v>
      </c>
      <c r="BL1199" s="766">
        <v>2.7</v>
      </c>
      <c r="BM1199" s="766" t="s">
        <v>210</v>
      </c>
      <c r="BN1199" s="765" t="s">
        <v>622</v>
      </c>
      <c r="BO1199" s="1058" t="s">
        <v>9030</v>
      </c>
      <c r="BP1199" s="772" t="s">
        <v>622</v>
      </c>
      <c r="BQ1199" s="773" t="s">
        <v>6623</v>
      </c>
      <c r="BR1199" s="676" t="s">
        <v>210</v>
      </c>
      <c r="BS1199" s="688" t="s">
        <v>622</v>
      </c>
      <c r="BT1199" s="676" t="s">
        <v>210</v>
      </c>
      <c r="BU1199" s="676" t="s">
        <v>210</v>
      </c>
      <c r="BV1199" s="676" t="s">
        <v>210</v>
      </c>
      <c r="BW1199" s="676" t="s">
        <v>210</v>
      </c>
      <c r="BX1199" s="676" t="s">
        <v>210</v>
      </c>
      <c r="BY1199" s="774" t="s">
        <v>10566</v>
      </c>
      <c r="BZ1199" s="483"/>
      <c r="CA1199" s="483"/>
      <c r="CB1199" s="483"/>
      <c r="CC1199" s="483"/>
      <c r="CD1199" s="484"/>
    </row>
    <row r="1200" spans="1:82" ht="22.5" customHeight="1">
      <c r="B1200" s="442">
        <v>180278</v>
      </c>
      <c r="C1200" s="443" t="s">
        <v>8988</v>
      </c>
      <c r="D1200" s="439" t="s">
        <v>4849</v>
      </c>
      <c r="E1200" s="404" t="s">
        <v>5405</v>
      </c>
      <c r="F1200" s="405" t="s">
        <v>8989</v>
      </c>
      <c r="G1200" s="324" t="s">
        <v>8990</v>
      </c>
      <c r="H1200" s="324" t="s">
        <v>8991</v>
      </c>
      <c r="I1200" s="326" t="s">
        <v>383</v>
      </c>
      <c r="J1200" s="324" t="s">
        <v>214</v>
      </c>
      <c r="K1200" s="324" t="s">
        <v>917</v>
      </c>
      <c r="L1200" s="392" t="s">
        <v>210</v>
      </c>
      <c r="M1200" s="324" t="s">
        <v>7457</v>
      </c>
      <c r="N1200" s="444" t="s">
        <v>521</v>
      </c>
      <c r="O1200" s="324">
        <v>35</v>
      </c>
      <c r="P1200" s="458">
        <v>2224</v>
      </c>
      <c r="Q1200" s="459">
        <v>2317</v>
      </c>
      <c r="R1200" s="420" t="s">
        <v>4095</v>
      </c>
      <c r="S1200" s="394" t="s">
        <v>11545</v>
      </c>
      <c r="T1200" s="394" t="s">
        <v>11546</v>
      </c>
      <c r="U1200" s="394" t="s">
        <v>14971</v>
      </c>
      <c r="V1200" s="394" t="s">
        <v>11547</v>
      </c>
      <c r="W1200" s="460" t="s">
        <v>4349</v>
      </c>
      <c r="X1200" s="394" t="s">
        <v>11548</v>
      </c>
      <c r="Y1200" s="394" t="s">
        <v>11549</v>
      </c>
      <c r="Z1200" s="394" t="s">
        <v>16495</v>
      </c>
      <c r="AA1200" s="394" t="s">
        <v>11550</v>
      </c>
      <c r="AB1200" s="416"/>
      <c r="AC1200" s="416"/>
      <c r="AD1200" s="447" t="s">
        <v>9245</v>
      </c>
      <c r="AE1200" s="335" t="s">
        <v>210</v>
      </c>
      <c r="AF1200" s="448">
        <v>43550</v>
      </c>
      <c r="AG1200" s="748">
        <v>43578</v>
      </c>
      <c r="AH1200" s="417" t="s">
        <v>210</v>
      </c>
      <c r="AI1200" s="392" t="s">
        <v>210</v>
      </c>
      <c r="AJ1200" s="392" t="s">
        <v>210</v>
      </c>
      <c r="AK1200" s="340" t="s">
        <v>210</v>
      </c>
      <c r="AL1200" s="417" t="s">
        <v>210</v>
      </c>
      <c r="AM1200" s="392" t="s">
        <v>210</v>
      </c>
      <c r="AN1200" s="392" t="s">
        <v>210</v>
      </c>
      <c r="AO1200" s="341" t="s">
        <v>210</v>
      </c>
      <c r="AP1200" s="418" t="s">
        <v>622</v>
      </c>
      <c r="AQ1200" s="433" t="s">
        <v>4547</v>
      </c>
      <c r="AR1200" s="452">
        <v>2950</v>
      </c>
      <c r="AS1200" s="324">
        <v>100</v>
      </c>
      <c r="AT1200" s="432">
        <v>1</v>
      </c>
      <c r="AU1200" s="432" t="s">
        <v>9056</v>
      </c>
      <c r="AV1200" s="432">
        <v>1.5</v>
      </c>
      <c r="AW1200" s="432" t="s">
        <v>9056</v>
      </c>
      <c r="AX1200" s="453" t="s">
        <v>9057</v>
      </c>
      <c r="AY1200" s="429" t="s">
        <v>9058</v>
      </c>
      <c r="AZ1200" s="405" t="s">
        <v>622</v>
      </c>
      <c r="BA1200" s="324" t="s">
        <v>3475</v>
      </c>
      <c r="BB1200" s="324" t="s">
        <v>9059</v>
      </c>
      <c r="BC1200" s="324" t="s">
        <v>9060</v>
      </c>
      <c r="BD1200" s="324" t="s">
        <v>9059</v>
      </c>
      <c r="BE1200" s="324" t="s">
        <v>9061</v>
      </c>
      <c r="BF1200" s="324" t="s">
        <v>9062</v>
      </c>
      <c r="BG1200" s="324" t="s">
        <v>8842</v>
      </c>
      <c r="BH1200" s="426" t="s">
        <v>210</v>
      </c>
      <c r="BI1200" s="453">
        <v>2.7</v>
      </c>
      <c r="BJ1200" s="427">
        <v>1.63</v>
      </c>
      <c r="BK1200" s="428" t="s">
        <v>210</v>
      </c>
      <c r="BL1200" s="429" t="s">
        <v>210</v>
      </c>
      <c r="BM1200" s="429" t="s">
        <v>210</v>
      </c>
      <c r="BN1200" s="453" t="s">
        <v>622</v>
      </c>
      <c r="BO1200" s="464">
        <v>1.34</v>
      </c>
      <c r="BP1200" s="455" t="s">
        <v>622</v>
      </c>
      <c r="BQ1200" s="456" t="s">
        <v>9063</v>
      </c>
      <c r="BR1200" s="392" t="s">
        <v>210</v>
      </c>
      <c r="BS1200" s="342" t="s">
        <v>622</v>
      </c>
      <c r="BT1200" s="392" t="s">
        <v>210</v>
      </c>
      <c r="BU1200" s="392" t="s">
        <v>210</v>
      </c>
      <c r="BV1200" s="392" t="s">
        <v>210</v>
      </c>
      <c r="BW1200" s="392" t="s">
        <v>210</v>
      </c>
      <c r="BX1200" s="392" t="s">
        <v>210</v>
      </c>
      <c r="BY1200" s="457" t="s">
        <v>9064</v>
      </c>
      <c r="BZ1200" s="363"/>
      <c r="CA1200" s="363"/>
      <c r="CB1200" s="363"/>
      <c r="CC1200" s="363"/>
    </row>
    <row r="1201" spans="2:81" ht="22.5" customHeight="1">
      <c r="B1201" s="442">
        <v>180279</v>
      </c>
      <c r="C1201" s="443" t="s">
        <v>9009</v>
      </c>
      <c r="D1201" s="439" t="s">
        <v>9081</v>
      </c>
      <c r="E1201" s="404" t="s">
        <v>5362</v>
      </c>
      <c r="F1201" s="405" t="s">
        <v>5193</v>
      </c>
      <c r="G1201" s="324" t="s">
        <v>9010</v>
      </c>
      <c r="H1201" s="324" t="s">
        <v>9011</v>
      </c>
      <c r="I1201" s="326" t="s">
        <v>383</v>
      </c>
      <c r="J1201" s="324" t="s">
        <v>214</v>
      </c>
      <c r="K1201" s="324" t="s">
        <v>977</v>
      </c>
      <c r="L1201" s="342" t="s">
        <v>9121</v>
      </c>
      <c r="M1201" s="324" t="s">
        <v>7457</v>
      </c>
      <c r="N1201" s="444" t="s">
        <v>9122</v>
      </c>
      <c r="O1201" s="324">
        <v>30</v>
      </c>
      <c r="P1201" s="458">
        <v>3344</v>
      </c>
      <c r="Q1201" s="459">
        <v>3843</v>
      </c>
      <c r="R1201" s="420" t="s">
        <v>14977</v>
      </c>
      <c r="S1201" s="394" t="s">
        <v>11542</v>
      </c>
      <c r="T1201" s="394" t="s">
        <v>11543</v>
      </c>
      <c r="U1201" s="394" t="s">
        <v>14978</v>
      </c>
      <c r="V1201" s="394" t="s">
        <v>11544</v>
      </c>
      <c r="W1201" s="332" t="s">
        <v>644</v>
      </c>
      <c r="X1201" s="400"/>
      <c r="Y1201" s="400"/>
      <c r="Z1201" s="400"/>
      <c r="AA1201" s="400"/>
      <c r="AB1201" s="416"/>
      <c r="AC1201" s="416"/>
      <c r="AD1201" s="447" t="s">
        <v>3524</v>
      </c>
      <c r="AE1201" s="335" t="s">
        <v>843</v>
      </c>
      <c r="AF1201" s="448">
        <v>43552</v>
      </c>
      <c r="AG1201" s="748">
        <v>43601</v>
      </c>
      <c r="AH1201" s="417" t="s">
        <v>210</v>
      </c>
      <c r="AI1201" s="392" t="s">
        <v>210</v>
      </c>
      <c r="AJ1201" s="392" t="s">
        <v>210</v>
      </c>
      <c r="AK1201" s="340" t="s">
        <v>210</v>
      </c>
      <c r="AL1201" s="417" t="s">
        <v>210</v>
      </c>
      <c r="AM1201" s="392" t="s">
        <v>210</v>
      </c>
      <c r="AN1201" s="496" t="s">
        <v>9136</v>
      </c>
      <c r="AO1201" s="341" t="s">
        <v>210</v>
      </c>
      <c r="AP1201" s="418" t="s">
        <v>210</v>
      </c>
      <c r="AQ1201" s="433" t="s">
        <v>4547</v>
      </c>
      <c r="AR1201" s="452">
        <v>5123.2</v>
      </c>
      <c r="AS1201" s="324">
        <v>100</v>
      </c>
      <c r="AT1201" s="432">
        <v>1</v>
      </c>
      <c r="AU1201" s="432" t="s">
        <v>9123</v>
      </c>
      <c r="AV1201" s="432">
        <v>2.2000000000000002</v>
      </c>
      <c r="AW1201" s="490" t="s">
        <v>9124</v>
      </c>
      <c r="AX1201" s="486" t="s">
        <v>9125</v>
      </c>
      <c r="AY1201" s="429" t="s">
        <v>210</v>
      </c>
      <c r="AZ1201" s="405" t="s">
        <v>622</v>
      </c>
      <c r="BA1201" s="324" t="s">
        <v>9126</v>
      </c>
      <c r="BB1201" s="324" t="s">
        <v>9127</v>
      </c>
      <c r="BC1201" s="324" t="s">
        <v>9128</v>
      </c>
      <c r="BD1201" s="324" t="s">
        <v>9127</v>
      </c>
      <c r="BE1201" s="324" t="s">
        <v>9129</v>
      </c>
      <c r="BF1201" s="324" t="s">
        <v>3372</v>
      </c>
      <c r="BG1201" s="324" t="s">
        <v>9130</v>
      </c>
      <c r="BH1201" s="426" t="s">
        <v>9131</v>
      </c>
      <c r="BI1201" s="453">
        <v>2.6</v>
      </c>
      <c r="BJ1201" s="427">
        <v>0.85</v>
      </c>
      <c r="BK1201" s="428" t="s">
        <v>9132</v>
      </c>
      <c r="BL1201" s="429">
        <v>2</v>
      </c>
      <c r="BM1201" s="430" t="s">
        <v>9137</v>
      </c>
      <c r="BN1201" s="453" t="s">
        <v>622</v>
      </c>
      <c r="BO1201" s="464">
        <v>1.45</v>
      </c>
      <c r="BP1201" s="455" t="s">
        <v>622</v>
      </c>
      <c r="BQ1201" s="456" t="s">
        <v>8655</v>
      </c>
      <c r="BR1201" s="342" t="s">
        <v>622</v>
      </c>
      <c r="BS1201" s="392" t="s">
        <v>210</v>
      </c>
      <c r="BT1201" s="392" t="s">
        <v>210</v>
      </c>
      <c r="BU1201" s="392" t="s">
        <v>210</v>
      </c>
      <c r="BV1201" s="392" t="s">
        <v>210</v>
      </c>
      <c r="BW1201" s="392" t="s">
        <v>210</v>
      </c>
      <c r="BX1201" s="392" t="s">
        <v>210</v>
      </c>
      <c r="BY1201" s="457" t="s">
        <v>9135</v>
      </c>
      <c r="BZ1201" s="363"/>
      <c r="CA1201" s="363"/>
      <c r="CB1201" s="363"/>
      <c r="CC1201" s="363"/>
    </row>
    <row r="1202" spans="2:81" ht="22.5" customHeight="1">
      <c r="B1202" s="442">
        <v>180280</v>
      </c>
      <c r="C1202" s="443" t="s">
        <v>9012</v>
      </c>
      <c r="D1202" s="439" t="s">
        <v>9082</v>
      </c>
      <c r="E1202" s="404" t="s">
        <v>5362</v>
      </c>
      <c r="F1202" s="405" t="s">
        <v>222</v>
      </c>
      <c r="G1202" s="324" t="s">
        <v>9013</v>
      </c>
      <c r="H1202" s="324" t="s">
        <v>9014</v>
      </c>
      <c r="I1202" s="326" t="s">
        <v>383</v>
      </c>
      <c r="J1202" s="324" t="s">
        <v>6632</v>
      </c>
      <c r="K1202" s="324" t="s">
        <v>9015</v>
      </c>
      <c r="L1202" s="342">
        <v>2</v>
      </c>
      <c r="M1202" s="324" t="s">
        <v>7457</v>
      </c>
      <c r="N1202" s="444" t="s">
        <v>9089</v>
      </c>
      <c r="O1202" s="324">
        <v>120</v>
      </c>
      <c r="P1202" s="458">
        <v>518</v>
      </c>
      <c r="Q1202" s="459">
        <v>558</v>
      </c>
      <c r="R1202" s="420" t="s">
        <v>9016</v>
      </c>
      <c r="S1202" s="394" t="s">
        <v>11539</v>
      </c>
      <c r="T1202" s="394" t="s">
        <v>11541</v>
      </c>
      <c r="U1202" s="394" t="s">
        <v>16423</v>
      </c>
      <c r="V1202" s="394" t="s">
        <v>11540</v>
      </c>
      <c r="W1202" s="460" t="s">
        <v>9017</v>
      </c>
      <c r="X1202" s="394" t="s">
        <v>11539</v>
      </c>
      <c r="Y1202" s="394" t="s">
        <v>11541</v>
      </c>
      <c r="Z1202" s="394" t="s">
        <v>16424</v>
      </c>
      <c r="AA1202" s="394" t="s">
        <v>11540</v>
      </c>
      <c r="AB1202" s="416"/>
      <c r="AC1202" s="416"/>
      <c r="AD1202" s="996"/>
      <c r="AE1202" s="499" t="s">
        <v>1038</v>
      </c>
      <c r="AF1202" s="448">
        <v>43552</v>
      </c>
      <c r="AG1202" s="748">
        <v>43637</v>
      </c>
      <c r="AH1202" s="417" t="s">
        <v>210</v>
      </c>
      <c r="AI1202" s="392" t="s">
        <v>210</v>
      </c>
      <c r="AJ1202" s="392" t="s">
        <v>210</v>
      </c>
      <c r="AK1202" s="340" t="s">
        <v>210</v>
      </c>
      <c r="AL1202" s="417" t="s">
        <v>210</v>
      </c>
      <c r="AM1202" s="392" t="s">
        <v>210</v>
      </c>
      <c r="AN1202" s="496" t="s">
        <v>9279</v>
      </c>
      <c r="AO1202" s="341" t="s">
        <v>210</v>
      </c>
      <c r="AP1202" s="418" t="s">
        <v>210</v>
      </c>
      <c r="AQ1202" s="433" t="s">
        <v>4547</v>
      </c>
      <c r="AR1202" s="452">
        <v>794</v>
      </c>
      <c r="AS1202" s="324">
        <v>100</v>
      </c>
      <c r="AT1202" s="432">
        <v>1</v>
      </c>
      <c r="AU1202" s="432" t="s">
        <v>9090</v>
      </c>
      <c r="AV1202" s="432" t="s">
        <v>9280</v>
      </c>
      <c r="AW1202" s="490" t="s">
        <v>9091</v>
      </c>
      <c r="AX1202" s="453" t="s">
        <v>9057</v>
      </c>
      <c r="AY1202" s="429" t="s">
        <v>3442</v>
      </c>
      <c r="AZ1202" s="405" t="s">
        <v>622</v>
      </c>
      <c r="BA1202" s="324" t="s">
        <v>9092</v>
      </c>
      <c r="BB1202" s="324" t="s">
        <v>9093</v>
      </c>
      <c r="BC1202" s="324" t="s">
        <v>9094</v>
      </c>
      <c r="BD1202" s="324" t="s">
        <v>9095</v>
      </c>
      <c r="BE1202" s="324" t="s">
        <v>9096</v>
      </c>
      <c r="BF1202" s="324" t="s">
        <v>9095</v>
      </c>
      <c r="BG1202" s="324" t="s">
        <v>9097</v>
      </c>
      <c r="BH1202" s="324" t="s">
        <v>9095</v>
      </c>
      <c r="BI1202" s="453">
        <v>1</v>
      </c>
      <c r="BJ1202" s="427">
        <v>0.88</v>
      </c>
      <c r="BK1202" s="428" t="s">
        <v>9090</v>
      </c>
      <c r="BL1202" s="429">
        <v>1.5</v>
      </c>
      <c r="BM1202" s="430" t="s">
        <v>9137</v>
      </c>
      <c r="BN1202" s="453" t="s">
        <v>622</v>
      </c>
      <c r="BO1202" s="464">
        <v>1.08</v>
      </c>
      <c r="BP1202" s="455" t="s">
        <v>622</v>
      </c>
      <c r="BQ1202" s="456" t="s">
        <v>6623</v>
      </c>
      <c r="BR1202" s="392" t="s">
        <v>210</v>
      </c>
      <c r="BS1202" s="342" t="s">
        <v>622</v>
      </c>
      <c r="BT1202" s="392" t="s">
        <v>210</v>
      </c>
      <c r="BU1202" s="392" t="s">
        <v>210</v>
      </c>
      <c r="BV1202" s="392" t="s">
        <v>210</v>
      </c>
      <c r="BW1202" s="392" t="s">
        <v>210</v>
      </c>
      <c r="BX1202" s="392" t="s">
        <v>210</v>
      </c>
      <c r="BY1202" s="457" t="s">
        <v>9098</v>
      </c>
      <c r="BZ1202" s="363"/>
      <c r="CA1202" s="363"/>
      <c r="CB1202" s="363"/>
      <c r="CC1202" s="363"/>
    </row>
    <row r="1203" spans="2:81" ht="22.5" customHeight="1">
      <c r="B1203" s="442">
        <v>180281</v>
      </c>
      <c r="C1203" s="443" t="s">
        <v>11532</v>
      </c>
      <c r="D1203" s="467" t="s">
        <v>9912</v>
      </c>
      <c r="E1203" s="404" t="s">
        <v>6879</v>
      </c>
      <c r="F1203" s="405" t="s">
        <v>225</v>
      </c>
      <c r="G1203" s="324" t="s">
        <v>8464</v>
      </c>
      <c r="H1203" s="324" t="s">
        <v>9043</v>
      </c>
      <c r="I1203" s="326" t="s">
        <v>383</v>
      </c>
      <c r="J1203" s="324" t="s">
        <v>214</v>
      </c>
      <c r="K1203" s="324" t="s">
        <v>917</v>
      </c>
      <c r="L1203" s="392" t="s">
        <v>210</v>
      </c>
      <c r="M1203" s="324" t="s">
        <v>7457</v>
      </c>
      <c r="N1203" s="444" t="s">
        <v>521</v>
      </c>
      <c r="O1203" s="324">
        <v>30</v>
      </c>
      <c r="P1203" s="458">
        <v>1996.72</v>
      </c>
      <c r="Q1203" s="459">
        <v>2015.56</v>
      </c>
      <c r="R1203" s="420" t="s">
        <v>9044</v>
      </c>
      <c r="S1203" s="394" t="s">
        <v>11536</v>
      </c>
      <c r="T1203" s="394" t="s">
        <v>11537</v>
      </c>
      <c r="U1203" s="394" t="s">
        <v>16347</v>
      </c>
      <c r="V1203" s="394" t="s">
        <v>11538</v>
      </c>
      <c r="W1203" s="460" t="s">
        <v>9046</v>
      </c>
      <c r="X1203" s="394" t="s">
        <v>11533</v>
      </c>
      <c r="Y1203" s="394" t="s">
        <v>11534</v>
      </c>
      <c r="Z1203" s="394" t="s">
        <v>16348</v>
      </c>
      <c r="AA1203" s="394" t="s">
        <v>11535</v>
      </c>
      <c r="AB1203" s="416"/>
      <c r="AC1203" s="416"/>
      <c r="AD1203" s="447" t="s">
        <v>9809</v>
      </c>
      <c r="AE1203" s="335" t="s">
        <v>210</v>
      </c>
      <c r="AF1203" s="448">
        <v>43556</v>
      </c>
      <c r="AG1203" s="748">
        <v>43672</v>
      </c>
      <c r="AH1203" s="417" t="s">
        <v>210</v>
      </c>
      <c r="AI1203" s="392" t="s">
        <v>210</v>
      </c>
      <c r="AJ1203" s="392" t="s">
        <v>210</v>
      </c>
      <c r="AK1203" s="340" t="s">
        <v>210</v>
      </c>
      <c r="AL1203" s="417" t="s">
        <v>210</v>
      </c>
      <c r="AM1203" s="392" t="s">
        <v>210</v>
      </c>
      <c r="AN1203" s="392" t="s">
        <v>210</v>
      </c>
      <c r="AO1203" s="341" t="s">
        <v>210</v>
      </c>
      <c r="AP1203" s="418" t="s">
        <v>210</v>
      </c>
      <c r="AQ1203" s="433" t="s">
        <v>4547</v>
      </c>
      <c r="AR1203" s="452">
        <f>2362+419</f>
        <v>2781</v>
      </c>
      <c r="AS1203" s="324">
        <v>100</v>
      </c>
      <c r="AT1203" s="432">
        <v>0.8</v>
      </c>
      <c r="AU1203" s="432" t="s">
        <v>9198</v>
      </c>
      <c r="AV1203" s="432">
        <v>1.5</v>
      </c>
      <c r="AW1203" s="490" t="s">
        <v>9199</v>
      </c>
      <c r="AX1203" s="453" t="s">
        <v>210</v>
      </c>
      <c r="AY1203" s="429" t="s">
        <v>210</v>
      </c>
      <c r="AZ1203" s="405" t="s">
        <v>4083</v>
      </c>
      <c r="BA1203" s="324" t="s">
        <v>210</v>
      </c>
      <c r="BB1203" s="324" t="s">
        <v>210</v>
      </c>
      <c r="BC1203" s="324" t="s">
        <v>9200</v>
      </c>
      <c r="BD1203" s="324" t="s">
        <v>3372</v>
      </c>
      <c r="BE1203" s="324" t="s">
        <v>9201</v>
      </c>
      <c r="BF1203" s="324" t="s">
        <v>3372</v>
      </c>
      <c r="BG1203" s="324" t="s">
        <v>9202</v>
      </c>
      <c r="BH1203" s="324" t="s">
        <v>3372</v>
      </c>
      <c r="BI1203" s="453">
        <v>1.3</v>
      </c>
      <c r="BJ1203" s="427">
        <v>1.44</v>
      </c>
      <c r="BK1203" s="428" t="s">
        <v>9203</v>
      </c>
      <c r="BL1203" s="429">
        <f>1.2+0.9+9.7</f>
        <v>11.799999999999999</v>
      </c>
      <c r="BM1203" s="430" t="s">
        <v>9204</v>
      </c>
      <c r="BN1203" s="453" t="s">
        <v>622</v>
      </c>
      <c r="BO1203" s="464">
        <v>1.1299999999999999</v>
      </c>
      <c r="BP1203" s="455" t="s">
        <v>622</v>
      </c>
      <c r="BQ1203" s="456" t="s">
        <v>6623</v>
      </c>
      <c r="BR1203" s="392" t="s">
        <v>210</v>
      </c>
      <c r="BS1203" s="342" t="s">
        <v>622</v>
      </c>
      <c r="BT1203" s="392" t="s">
        <v>210</v>
      </c>
      <c r="BU1203" s="392" t="s">
        <v>210</v>
      </c>
      <c r="BV1203" s="392" t="s">
        <v>210</v>
      </c>
      <c r="BW1203" s="392" t="s">
        <v>210</v>
      </c>
      <c r="BX1203" s="392" t="s">
        <v>210</v>
      </c>
      <c r="BY1203" s="457" t="s">
        <v>9205</v>
      </c>
      <c r="BZ1203" s="363"/>
      <c r="CA1203" s="363"/>
      <c r="CB1203" s="363"/>
      <c r="CC1203" s="363"/>
    </row>
    <row r="1204" spans="2:81" ht="22.5" customHeight="1">
      <c r="B1204" s="442">
        <v>180282</v>
      </c>
      <c r="C1204" s="443" t="s">
        <v>9075</v>
      </c>
      <c r="D1204" s="439" t="s">
        <v>8595</v>
      </c>
      <c r="E1204" s="368" t="s">
        <v>5363</v>
      </c>
      <c r="F1204" s="321" t="s">
        <v>39</v>
      </c>
      <c r="G1204" s="326" t="s">
        <v>2651</v>
      </c>
      <c r="H1204" s="324" t="s">
        <v>9330</v>
      </c>
      <c r="I1204" s="326" t="s">
        <v>383</v>
      </c>
      <c r="J1204" s="324" t="s">
        <v>9073</v>
      </c>
      <c r="K1204" s="324" t="s">
        <v>9074</v>
      </c>
      <c r="L1204" s="392" t="s">
        <v>210</v>
      </c>
      <c r="M1204" s="324" t="s">
        <v>9633</v>
      </c>
      <c r="N1204" s="444" t="s">
        <v>9634</v>
      </c>
      <c r="O1204" s="324">
        <v>61</v>
      </c>
      <c r="P1204" s="445">
        <v>500</v>
      </c>
      <c r="Q1204" s="446">
        <v>250</v>
      </c>
      <c r="R1204" s="329" t="s">
        <v>458</v>
      </c>
      <c r="S1204" s="331" t="s">
        <v>11185</v>
      </c>
      <c r="T1204" s="331" t="s">
        <v>11187</v>
      </c>
      <c r="U1204" s="331" t="s">
        <v>11186</v>
      </c>
      <c r="V1204" s="331" t="s">
        <v>11184</v>
      </c>
      <c r="W1204" s="332" t="s">
        <v>432</v>
      </c>
      <c r="X1204" s="331" t="s">
        <v>11079</v>
      </c>
      <c r="Y1204" s="331" t="s">
        <v>11080</v>
      </c>
      <c r="Z1204" s="331" t="s">
        <v>11080</v>
      </c>
      <c r="AA1204" s="331" t="s">
        <v>6574</v>
      </c>
      <c r="AB1204" s="333"/>
      <c r="AC1204" s="416"/>
      <c r="AD1204" s="447" t="s">
        <v>10043</v>
      </c>
      <c r="AE1204" s="499" t="s">
        <v>2839</v>
      </c>
      <c r="AF1204" s="448">
        <v>43557</v>
      </c>
      <c r="AG1204" s="748">
        <v>43732</v>
      </c>
      <c r="AH1204" s="486" t="s">
        <v>9635</v>
      </c>
      <c r="AI1204" s="487" t="s">
        <v>9636</v>
      </c>
      <c r="AJ1204" s="487" t="s">
        <v>9637</v>
      </c>
      <c r="AK1204" s="451" t="s">
        <v>9638</v>
      </c>
      <c r="AL1204" s="417" t="s">
        <v>210</v>
      </c>
      <c r="AM1204" s="392" t="s">
        <v>210</v>
      </c>
      <c r="AN1204" s="392" t="s">
        <v>210</v>
      </c>
      <c r="AO1204" s="341" t="s">
        <v>210</v>
      </c>
      <c r="AP1204" s="418" t="s">
        <v>210</v>
      </c>
      <c r="AQ1204" s="433" t="s">
        <v>4547</v>
      </c>
      <c r="AR1204" s="452">
        <v>365</v>
      </c>
      <c r="AS1204" s="324">
        <v>120</v>
      </c>
      <c r="AT1204" s="432">
        <v>1</v>
      </c>
      <c r="AU1204" s="432" t="s">
        <v>9639</v>
      </c>
      <c r="AV1204" s="432">
        <v>1.5</v>
      </c>
      <c r="AW1204" s="490" t="s">
        <v>9640</v>
      </c>
      <c r="AX1204" s="453" t="s">
        <v>210</v>
      </c>
      <c r="AY1204" s="429" t="s">
        <v>210</v>
      </c>
      <c r="AZ1204" s="405" t="s">
        <v>4083</v>
      </c>
      <c r="BA1204" s="324" t="s">
        <v>210</v>
      </c>
      <c r="BB1204" s="324" t="s">
        <v>210</v>
      </c>
      <c r="BC1204" s="324" t="s">
        <v>9641</v>
      </c>
      <c r="BD1204" s="324" t="s">
        <v>9642</v>
      </c>
      <c r="BE1204" s="324" t="s">
        <v>9641</v>
      </c>
      <c r="BF1204" s="324" t="s">
        <v>9640</v>
      </c>
      <c r="BG1204" s="324" t="s">
        <v>8842</v>
      </c>
      <c r="BH1204" s="426" t="s">
        <v>210</v>
      </c>
      <c r="BI1204" s="453">
        <v>0.9</v>
      </c>
      <c r="BJ1204" s="427">
        <v>1.65</v>
      </c>
      <c r="BK1204" s="428" t="s">
        <v>9642</v>
      </c>
      <c r="BL1204" s="429">
        <v>0.9</v>
      </c>
      <c r="BM1204" s="430" t="s">
        <v>295</v>
      </c>
      <c r="BN1204" s="453" t="s">
        <v>622</v>
      </c>
      <c r="BO1204" s="464">
        <v>1.48</v>
      </c>
      <c r="BP1204" s="455" t="s">
        <v>622</v>
      </c>
      <c r="BQ1204" s="456" t="s">
        <v>9643</v>
      </c>
      <c r="BR1204" s="392" t="s">
        <v>210</v>
      </c>
      <c r="BS1204" s="342" t="s">
        <v>622</v>
      </c>
      <c r="BT1204" s="392" t="s">
        <v>210</v>
      </c>
      <c r="BU1204" s="392" t="s">
        <v>210</v>
      </c>
      <c r="BV1204" s="392" t="s">
        <v>210</v>
      </c>
      <c r="BW1204" s="392" t="s">
        <v>210</v>
      </c>
      <c r="BX1204" s="392" t="s">
        <v>210</v>
      </c>
      <c r="BY1204" s="457" t="s">
        <v>9644</v>
      </c>
      <c r="BZ1204" s="363"/>
      <c r="CA1204" s="363"/>
      <c r="CB1204" s="363"/>
      <c r="CC1204" s="363"/>
    </row>
    <row r="1205" spans="2:81" ht="22.5" customHeight="1">
      <c r="B1205" s="442">
        <v>180283</v>
      </c>
      <c r="C1205" s="443" t="s">
        <v>11527</v>
      </c>
      <c r="D1205" s="1059" t="s">
        <v>9913</v>
      </c>
      <c r="E1205" s="404" t="s">
        <v>5362</v>
      </c>
      <c r="F1205" s="405" t="s">
        <v>9077</v>
      </c>
      <c r="G1205" s="324" t="s">
        <v>9078</v>
      </c>
      <c r="H1205" s="324" t="s">
        <v>9079</v>
      </c>
      <c r="I1205" s="326" t="s">
        <v>383</v>
      </c>
      <c r="J1205" s="324" t="s">
        <v>7171</v>
      </c>
      <c r="K1205" s="324" t="s">
        <v>247</v>
      </c>
      <c r="L1205" s="342">
        <v>10</v>
      </c>
      <c r="M1205" s="324" t="s">
        <v>7457</v>
      </c>
      <c r="N1205" s="444" t="s">
        <v>9184</v>
      </c>
      <c r="O1205" s="324">
        <v>30</v>
      </c>
      <c r="P1205" s="458">
        <v>1247.8</v>
      </c>
      <c r="Q1205" s="459">
        <v>893.8</v>
      </c>
      <c r="R1205" s="420" t="s">
        <v>1040</v>
      </c>
      <c r="S1205" s="394" t="s">
        <v>11528</v>
      </c>
      <c r="T1205" s="394" t="s">
        <v>11529</v>
      </c>
      <c r="U1205" s="394" t="s">
        <v>16415</v>
      </c>
      <c r="V1205" s="394" t="s">
        <v>11531</v>
      </c>
      <c r="W1205" s="332" t="s">
        <v>432</v>
      </c>
      <c r="X1205" s="331" t="s">
        <v>11079</v>
      </c>
      <c r="Y1205" s="331" t="s">
        <v>11080</v>
      </c>
      <c r="Z1205" s="331" t="s">
        <v>11080</v>
      </c>
      <c r="AA1205" s="331" t="s">
        <v>6574</v>
      </c>
      <c r="AB1205" s="333"/>
      <c r="AC1205" s="416"/>
      <c r="AD1205" s="447" t="s">
        <v>7110</v>
      </c>
      <c r="AE1205" s="499" t="s">
        <v>9654</v>
      </c>
      <c r="AF1205" s="448">
        <v>43559</v>
      </c>
      <c r="AG1205" s="748">
        <v>43670</v>
      </c>
      <c r="AH1205" s="486" t="s">
        <v>9185</v>
      </c>
      <c r="AI1205" s="487" t="s">
        <v>9186</v>
      </c>
      <c r="AJ1205" s="487" t="s">
        <v>9187</v>
      </c>
      <c r="AK1205" s="451" t="s">
        <v>9188</v>
      </c>
      <c r="AL1205" s="417" t="s">
        <v>210</v>
      </c>
      <c r="AM1205" s="392" t="s">
        <v>210</v>
      </c>
      <c r="AN1205" s="392" t="s">
        <v>210</v>
      </c>
      <c r="AO1205" s="341" t="s">
        <v>210</v>
      </c>
      <c r="AP1205" s="418" t="s">
        <v>622</v>
      </c>
      <c r="AQ1205" s="433" t="s">
        <v>4547</v>
      </c>
      <c r="AR1205" s="452">
        <v>1504</v>
      </c>
      <c r="AS1205" s="324">
        <v>100</v>
      </c>
      <c r="AT1205" s="432">
        <v>1</v>
      </c>
      <c r="AU1205" s="432" t="s">
        <v>9293</v>
      </c>
      <c r="AV1205" s="432">
        <v>1.5</v>
      </c>
      <c r="AW1205" s="432" t="s">
        <v>9293</v>
      </c>
      <c r="AX1205" s="453" t="s">
        <v>210</v>
      </c>
      <c r="AY1205" s="413"/>
      <c r="AZ1205" s="405" t="s">
        <v>4083</v>
      </c>
      <c r="BA1205" s="324" t="s">
        <v>210</v>
      </c>
      <c r="BB1205" s="324" t="s">
        <v>210</v>
      </c>
      <c r="BC1205" s="324" t="s">
        <v>9190</v>
      </c>
      <c r="BD1205" s="324" t="s">
        <v>9191</v>
      </c>
      <c r="BE1205" s="324" t="s">
        <v>9192</v>
      </c>
      <c r="BF1205" s="324" t="s">
        <v>9193</v>
      </c>
      <c r="BG1205" s="324" t="s">
        <v>9194</v>
      </c>
      <c r="BH1205" s="426" t="s">
        <v>9195</v>
      </c>
      <c r="BI1205" s="453">
        <v>1.6</v>
      </c>
      <c r="BJ1205" s="427">
        <v>1.56</v>
      </c>
      <c r="BK1205" s="428" t="s">
        <v>9196</v>
      </c>
      <c r="BL1205" s="429">
        <v>1.8</v>
      </c>
      <c r="BM1205" s="430" t="s">
        <v>210</v>
      </c>
      <c r="BN1205" s="453" t="s">
        <v>622</v>
      </c>
      <c r="BO1205" s="464">
        <v>2.14</v>
      </c>
      <c r="BP1205" s="455" t="s">
        <v>622</v>
      </c>
      <c r="BQ1205" s="456" t="s">
        <v>5235</v>
      </c>
      <c r="BR1205" s="392" t="s">
        <v>210</v>
      </c>
      <c r="BS1205" s="392" t="s">
        <v>210</v>
      </c>
      <c r="BT1205" s="392" t="s">
        <v>210</v>
      </c>
      <c r="BU1205" s="392" t="s">
        <v>210</v>
      </c>
      <c r="BV1205" s="392" t="s">
        <v>210</v>
      </c>
      <c r="BW1205" s="392" t="s">
        <v>210</v>
      </c>
      <c r="BX1205" s="392" t="s">
        <v>210</v>
      </c>
      <c r="BY1205" s="457" t="s">
        <v>9189</v>
      </c>
      <c r="BZ1205" s="363"/>
      <c r="CA1205" s="363"/>
      <c r="CB1205" s="363"/>
      <c r="CC1205" s="363"/>
    </row>
    <row r="1206" spans="2:81" ht="22.5" customHeight="1">
      <c r="B1206" s="442">
        <v>180284</v>
      </c>
      <c r="C1206" s="443" t="s">
        <v>9083</v>
      </c>
      <c r="D1206" s="403" t="s">
        <v>9157</v>
      </c>
      <c r="E1206" s="404" t="s">
        <v>5362</v>
      </c>
      <c r="F1206" s="405" t="s">
        <v>1043</v>
      </c>
      <c r="G1206" s="324" t="s">
        <v>9084</v>
      </c>
      <c r="H1206" s="324" t="s">
        <v>9085</v>
      </c>
      <c r="I1206" s="326" t="s">
        <v>383</v>
      </c>
      <c r="J1206" s="324" t="s">
        <v>214</v>
      </c>
      <c r="K1206" s="324" t="s">
        <v>7495</v>
      </c>
      <c r="L1206" s="342">
        <v>20.399999999999999</v>
      </c>
      <c r="M1206" s="324" t="s">
        <v>7457</v>
      </c>
      <c r="N1206" s="444" t="s">
        <v>9167</v>
      </c>
      <c r="O1206" s="324">
        <v>160</v>
      </c>
      <c r="P1206" s="458">
        <v>653</v>
      </c>
      <c r="Q1206" s="459">
        <v>653</v>
      </c>
      <c r="R1206" s="420" t="s">
        <v>9086</v>
      </c>
      <c r="S1206" s="394" t="s">
        <v>11520</v>
      </c>
      <c r="T1206" s="394" t="s">
        <v>11521</v>
      </c>
      <c r="U1206" s="394" t="s">
        <v>16303</v>
      </c>
      <c r="V1206" s="394" t="s">
        <v>11522</v>
      </c>
      <c r="W1206" s="332" t="s">
        <v>644</v>
      </c>
      <c r="X1206" s="394" t="s">
        <v>11523</v>
      </c>
      <c r="Y1206" s="394" t="s">
        <v>11525</v>
      </c>
      <c r="Z1206" s="394" t="s">
        <v>11524</v>
      </c>
      <c r="AA1206" s="394" t="s">
        <v>11526</v>
      </c>
      <c r="AB1206" s="416"/>
      <c r="AC1206" s="416"/>
      <c r="AD1206" s="447" t="s">
        <v>321</v>
      </c>
      <c r="AE1206" s="499" t="s">
        <v>353</v>
      </c>
      <c r="AF1206" s="448">
        <v>43560</v>
      </c>
      <c r="AG1206" s="748">
        <v>43608</v>
      </c>
      <c r="AH1206" s="417" t="s">
        <v>210</v>
      </c>
      <c r="AI1206" s="392" t="s">
        <v>210</v>
      </c>
      <c r="AJ1206" s="392" t="s">
        <v>210</v>
      </c>
      <c r="AK1206" s="340" t="s">
        <v>210</v>
      </c>
      <c r="AL1206" s="417" t="s">
        <v>210</v>
      </c>
      <c r="AM1206" s="392" t="s">
        <v>210</v>
      </c>
      <c r="AN1206" s="392" t="s">
        <v>210</v>
      </c>
      <c r="AO1206" s="341" t="s">
        <v>210</v>
      </c>
      <c r="AP1206" s="418" t="s">
        <v>210</v>
      </c>
      <c r="AQ1206" s="433" t="s">
        <v>4547</v>
      </c>
      <c r="AR1206" s="452">
        <v>998</v>
      </c>
      <c r="AS1206" s="324">
        <v>100</v>
      </c>
      <c r="AT1206" s="432">
        <v>1</v>
      </c>
      <c r="AU1206" s="432" t="s">
        <v>9168</v>
      </c>
      <c r="AV1206" s="432">
        <v>1.5</v>
      </c>
      <c r="AW1206" s="490" t="s">
        <v>9169</v>
      </c>
      <c r="AX1206" s="453" t="s">
        <v>9057</v>
      </c>
      <c r="AY1206" s="429" t="s">
        <v>295</v>
      </c>
      <c r="AZ1206" s="405" t="s">
        <v>4083</v>
      </c>
      <c r="BA1206" s="324" t="s">
        <v>210</v>
      </c>
      <c r="BB1206" s="324" t="s">
        <v>210</v>
      </c>
      <c r="BC1206" s="324" t="s">
        <v>9170</v>
      </c>
      <c r="BD1206" s="324" t="s">
        <v>9171</v>
      </c>
      <c r="BE1206" s="324" t="s">
        <v>210</v>
      </c>
      <c r="BF1206" s="324" t="s">
        <v>210</v>
      </c>
      <c r="BG1206" s="324" t="s">
        <v>9170</v>
      </c>
      <c r="BH1206" s="426" t="s">
        <v>9169</v>
      </c>
      <c r="BI1206" s="453">
        <v>2.2999999999999998</v>
      </c>
      <c r="BJ1206" s="427" t="s">
        <v>8845</v>
      </c>
      <c r="BK1206" s="428" t="s">
        <v>9171</v>
      </c>
      <c r="BL1206" s="429">
        <v>0.2</v>
      </c>
      <c r="BM1206" s="429" t="s">
        <v>210</v>
      </c>
      <c r="BN1206" s="453" t="s">
        <v>622</v>
      </c>
      <c r="BO1206" s="454" t="s">
        <v>9197</v>
      </c>
      <c r="BP1206" s="455" t="s">
        <v>210</v>
      </c>
      <c r="BQ1206" s="456" t="s">
        <v>6874</v>
      </c>
      <c r="BR1206" s="392" t="s">
        <v>210</v>
      </c>
      <c r="BS1206" s="392" t="s">
        <v>210</v>
      </c>
      <c r="BT1206" s="392" t="s">
        <v>210</v>
      </c>
      <c r="BU1206" s="392" t="s">
        <v>210</v>
      </c>
      <c r="BV1206" s="392" t="s">
        <v>210</v>
      </c>
      <c r="BW1206" s="392" t="s">
        <v>210</v>
      </c>
      <c r="BX1206" s="392" t="s">
        <v>210</v>
      </c>
      <c r="BY1206" s="457"/>
      <c r="BZ1206" s="363"/>
      <c r="CA1206" s="363"/>
      <c r="CB1206" s="363"/>
      <c r="CC1206" s="363"/>
    </row>
    <row r="1207" spans="2:81" ht="22.5" customHeight="1">
      <c r="B1207" s="442">
        <v>180285</v>
      </c>
      <c r="C1207" s="443" t="s">
        <v>9209</v>
      </c>
      <c r="D1207" s="403" t="s">
        <v>5268</v>
      </c>
      <c r="E1207" s="404" t="s">
        <v>9474</v>
      </c>
      <c r="F1207" s="405" t="s">
        <v>9210</v>
      </c>
      <c r="G1207" s="324" t="s">
        <v>9475</v>
      </c>
      <c r="H1207" s="324" t="s">
        <v>9946</v>
      </c>
      <c r="I1207" s="326" t="s">
        <v>383</v>
      </c>
      <c r="J1207" s="324" t="s">
        <v>214</v>
      </c>
      <c r="K1207" s="324" t="s">
        <v>7456</v>
      </c>
      <c r="L1207" s="392" t="s">
        <v>210</v>
      </c>
      <c r="M1207" s="324" t="s">
        <v>7457</v>
      </c>
      <c r="N1207" s="444" t="s">
        <v>438</v>
      </c>
      <c r="O1207" s="324">
        <v>30</v>
      </c>
      <c r="P1207" s="445">
        <v>70</v>
      </c>
      <c r="Q1207" s="446">
        <f>P1207</f>
        <v>70</v>
      </c>
      <c r="R1207" s="332" t="s">
        <v>432</v>
      </c>
      <c r="S1207" s="331" t="s">
        <v>11079</v>
      </c>
      <c r="T1207" s="331" t="s">
        <v>11079</v>
      </c>
      <c r="U1207" s="331" t="s">
        <v>11079</v>
      </c>
      <c r="V1207" s="331" t="s">
        <v>295</v>
      </c>
      <c r="W1207" s="332" t="s">
        <v>432</v>
      </c>
      <c r="X1207" s="331" t="s">
        <v>11079</v>
      </c>
      <c r="Y1207" s="331" t="s">
        <v>11079</v>
      </c>
      <c r="Z1207" s="331" t="s">
        <v>11079</v>
      </c>
      <c r="AA1207" s="331" t="s">
        <v>11079</v>
      </c>
      <c r="AB1207" s="416" t="s">
        <v>7465</v>
      </c>
      <c r="AC1207" s="416"/>
      <c r="AD1207" s="447" t="s">
        <v>944</v>
      </c>
      <c r="AE1207" s="335" t="s">
        <v>210</v>
      </c>
      <c r="AF1207" s="448">
        <v>43561</v>
      </c>
      <c r="AG1207" s="449"/>
      <c r="AH1207" s="450" t="s">
        <v>9947</v>
      </c>
      <c r="AI1207" s="425" t="s">
        <v>9948</v>
      </c>
      <c r="AJ1207" s="425" t="s">
        <v>9949</v>
      </c>
      <c r="AK1207" s="451" t="s">
        <v>9950</v>
      </c>
      <c r="AL1207" s="417" t="s">
        <v>210</v>
      </c>
      <c r="AM1207" s="418" t="s">
        <v>622</v>
      </c>
      <c r="AN1207" s="392" t="s">
        <v>210</v>
      </c>
      <c r="AO1207" s="341" t="s">
        <v>210</v>
      </c>
      <c r="AP1207" s="418" t="s">
        <v>210</v>
      </c>
      <c r="AQ1207" s="433" t="s">
        <v>4547</v>
      </c>
      <c r="AR1207" s="452">
        <v>700</v>
      </c>
      <c r="AS1207" s="324">
        <v>80</v>
      </c>
      <c r="AT1207" s="432">
        <v>1</v>
      </c>
      <c r="AU1207" s="432" t="s">
        <v>5246</v>
      </c>
      <c r="AV1207" s="432">
        <v>1.5</v>
      </c>
      <c r="AW1207" s="432" t="s">
        <v>5246</v>
      </c>
      <c r="AX1207" s="453" t="s">
        <v>210</v>
      </c>
      <c r="AY1207" s="429" t="s">
        <v>295</v>
      </c>
      <c r="AZ1207" s="405" t="s">
        <v>4083</v>
      </c>
      <c r="BA1207" s="324" t="s">
        <v>210</v>
      </c>
      <c r="BB1207" s="324" t="s">
        <v>210</v>
      </c>
      <c r="BC1207" s="324" t="s">
        <v>10248</v>
      </c>
      <c r="BD1207" s="324" t="s">
        <v>10249</v>
      </c>
      <c r="BE1207" s="324" t="s">
        <v>10250</v>
      </c>
      <c r="BF1207" s="324" t="s">
        <v>10249</v>
      </c>
      <c r="BG1207" s="324" t="s">
        <v>10251</v>
      </c>
      <c r="BH1207" s="426" t="s">
        <v>10252</v>
      </c>
      <c r="BI1207" s="453">
        <v>1.35</v>
      </c>
      <c r="BJ1207" s="427" t="s">
        <v>8845</v>
      </c>
      <c r="BK1207" s="428" t="s">
        <v>10253</v>
      </c>
      <c r="BL1207" s="429" t="s">
        <v>10254</v>
      </c>
      <c r="BM1207" s="429" t="s">
        <v>210</v>
      </c>
      <c r="BN1207" s="453" t="s">
        <v>622</v>
      </c>
      <c r="BO1207" s="454">
        <v>1.1100000000000001</v>
      </c>
      <c r="BP1207" s="455" t="s">
        <v>210</v>
      </c>
      <c r="BQ1207" s="456" t="s">
        <v>9893</v>
      </c>
      <c r="BR1207" s="392" t="s">
        <v>210</v>
      </c>
      <c r="BS1207" s="342" t="s">
        <v>622</v>
      </c>
      <c r="BT1207" s="392" t="s">
        <v>210</v>
      </c>
      <c r="BU1207" s="392" t="s">
        <v>210</v>
      </c>
      <c r="BV1207" s="392" t="s">
        <v>210</v>
      </c>
      <c r="BW1207" s="392" t="s">
        <v>210</v>
      </c>
      <c r="BX1207" s="392" t="s">
        <v>210</v>
      </c>
      <c r="BY1207" s="457" t="s">
        <v>9951</v>
      </c>
      <c r="BZ1207" s="363"/>
      <c r="CA1207" s="363"/>
      <c r="CB1207" s="363"/>
      <c r="CC1207" s="363"/>
    </row>
    <row r="1208" spans="2:81" ht="22.5" customHeight="1">
      <c r="B1208" s="442">
        <v>180286</v>
      </c>
      <c r="C1208" s="443" t="s">
        <v>9182</v>
      </c>
      <c r="D1208" s="467" t="s">
        <v>9866</v>
      </c>
      <c r="E1208" s="404" t="s">
        <v>5362</v>
      </c>
      <c r="F1208" s="405" t="s">
        <v>9104</v>
      </c>
      <c r="G1208" s="324" t="s">
        <v>9105</v>
      </c>
      <c r="H1208" s="324" t="s">
        <v>9106</v>
      </c>
      <c r="I1208" s="326" t="s">
        <v>383</v>
      </c>
      <c r="J1208" s="324" t="s">
        <v>214</v>
      </c>
      <c r="K1208" s="324" t="s">
        <v>247</v>
      </c>
      <c r="L1208" s="342">
        <v>2.9</v>
      </c>
      <c r="M1208" s="324" t="s">
        <v>7457</v>
      </c>
      <c r="N1208" s="444" t="s">
        <v>9294</v>
      </c>
      <c r="O1208" s="324">
        <v>40</v>
      </c>
      <c r="P1208" s="445">
        <v>900</v>
      </c>
      <c r="Q1208" s="446">
        <v>900</v>
      </c>
      <c r="R1208" s="420" t="s">
        <v>14976</v>
      </c>
      <c r="S1208" s="394" t="s">
        <v>11514</v>
      </c>
      <c r="T1208" s="400"/>
      <c r="U1208" s="400"/>
      <c r="V1208" s="394" t="s">
        <v>11515</v>
      </c>
      <c r="W1208" s="460" t="s">
        <v>9109</v>
      </c>
      <c r="X1208" s="394" t="s">
        <v>11516</v>
      </c>
      <c r="Y1208" s="394" t="s">
        <v>11517</v>
      </c>
      <c r="Z1208" s="394" t="s">
        <v>11518</v>
      </c>
      <c r="AA1208" s="394" t="s">
        <v>11519</v>
      </c>
      <c r="AB1208" s="416" t="s">
        <v>9107</v>
      </c>
      <c r="AC1208" s="416"/>
      <c r="AD1208" s="498" t="s">
        <v>4685</v>
      </c>
      <c r="AE1208" s="499" t="s">
        <v>231</v>
      </c>
      <c r="AF1208" s="462">
        <v>43570</v>
      </c>
      <c r="AG1208" s="748">
        <v>43629</v>
      </c>
      <c r="AH1208" s="417" t="s">
        <v>210</v>
      </c>
      <c r="AI1208" s="392" t="s">
        <v>210</v>
      </c>
      <c r="AJ1208" s="392" t="s">
        <v>210</v>
      </c>
      <c r="AK1208" s="340" t="s">
        <v>210</v>
      </c>
      <c r="AL1208" s="417" t="s">
        <v>210</v>
      </c>
      <c r="AM1208" s="392" t="s">
        <v>210</v>
      </c>
      <c r="AN1208" s="496" t="s">
        <v>9296</v>
      </c>
      <c r="AO1208" s="341" t="s">
        <v>210</v>
      </c>
      <c r="AP1208" s="392" t="s">
        <v>210</v>
      </c>
      <c r="AQ1208" s="433" t="s">
        <v>4547</v>
      </c>
      <c r="AR1208" s="452">
        <v>1357</v>
      </c>
      <c r="AS1208" s="324">
        <v>80</v>
      </c>
      <c r="AT1208" s="432">
        <v>1</v>
      </c>
      <c r="AU1208" s="432" t="s">
        <v>3627</v>
      </c>
      <c r="AV1208" s="432">
        <v>1.5</v>
      </c>
      <c r="AW1208" s="490" t="s">
        <v>9297</v>
      </c>
      <c r="AX1208" s="453" t="s">
        <v>210</v>
      </c>
      <c r="AY1208" s="429" t="s">
        <v>295</v>
      </c>
      <c r="AZ1208" s="405" t="s">
        <v>622</v>
      </c>
      <c r="BA1208" s="324" t="s">
        <v>9300</v>
      </c>
      <c r="BB1208" s="324" t="s">
        <v>9301</v>
      </c>
      <c r="BC1208" s="324" t="s">
        <v>9302</v>
      </c>
      <c r="BD1208" s="324" t="s">
        <v>9297</v>
      </c>
      <c r="BE1208" s="324" t="s">
        <v>9303</v>
      </c>
      <c r="BF1208" s="324" t="s">
        <v>9297</v>
      </c>
      <c r="BG1208" s="324" t="s">
        <v>9300</v>
      </c>
      <c r="BH1208" s="324" t="s">
        <v>9297</v>
      </c>
      <c r="BI1208" s="453">
        <v>1.1000000000000001</v>
      </c>
      <c r="BJ1208" s="427">
        <v>1.6</v>
      </c>
      <c r="BK1208" s="428" t="s">
        <v>9239</v>
      </c>
      <c r="BL1208" s="429">
        <f>1.8+0.95</f>
        <v>2.75</v>
      </c>
      <c r="BM1208" s="429" t="s">
        <v>622</v>
      </c>
      <c r="BN1208" s="453" t="s">
        <v>9298</v>
      </c>
      <c r="BO1208" s="464" t="s">
        <v>9299</v>
      </c>
      <c r="BP1208" s="455" t="s">
        <v>622</v>
      </c>
      <c r="BQ1208" s="456" t="s">
        <v>5862</v>
      </c>
      <c r="BR1208" s="342" t="s">
        <v>622</v>
      </c>
      <c r="BS1208" s="342" t="s">
        <v>622</v>
      </c>
      <c r="BT1208" s="392" t="s">
        <v>210</v>
      </c>
      <c r="BU1208" s="392" t="s">
        <v>210</v>
      </c>
      <c r="BV1208" s="786">
        <v>-20</v>
      </c>
      <c r="BW1208" s="392" t="s">
        <v>210</v>
      </c>
      <c r="BX1208" s="392" t="s">
        <v>210</v>
      </c>
      <c r="BY1208" s="457" t="s">
        <v>9818</v>
      </c>
      <c r="BZ1208" s="363"/>
      <c r="CA1208" s="363"/>
      <c r="CB1208" s="363"/>
      <c r="CC1208" s="363"/>
    </row>
    <row r="1209" spans="2:81" ht="22.5" customHeight="1">
      <c r="B1209" s="442">
        <v>180287</v>
      </c>
      <c r="C1209" s="443" t="s">
        <v>9183</v>
      </c>
      <c r="D1209" s="403" t="s">
        <v>4849</v>
      </c>
      <c r="E1209" s="404" t="s">
        <v>5362</v>
      </c>
      <c r="F1209" s="405" t="s">
        <v>9118</v>
      </c>
      <c r="G1209" s="324" t="s">
        <v>9119</v>
      </c>
      <c r="H1209" s="324" t="s">
        <v>9120</v>
      </c>
      <c r="I1209" s="326" t="s">
        <v>383</v>
      </c>
      <c r="J1209" s="324" t="s">
        <v>214</v>
      </c>
      <c r="K1209" s="324" t="s">
        <v>9233</v>
      </c>
      <c r="L1209" s="342">
        <v>30</v>
      </c>
      <c r="M1209" s="324" t="s">
        <v>7457</v>
      </c>
      <c r="N1209" s="444" t="s">
        <v>9295</v>
      </c>
      <c r="O1209" s="324">
        <v>30</v>
      </c>
      <c r="P1209" s="445">
        <f>Q1209</f>
        <v>2240</v>
      </c>
      <c r="Q1209" s="446">
        <f>1540+700</f>
        <v>2240</v>
      </c>
      <c r="R1209" s="420" t="s">
        <v>9179</v>
      </c>
      <c r="S1209" s="394" t="s">
        <v>11510</v>
      </c>
      <c r="T1209" s="394" t="s">
        <v>11511</v>
      </c>
      <c r="U1209" s="394" t="s">
        <v>11512</v>
      </c>
      <c r="V1209" s="394" t="s">
        <v>11513</v>
      </c>
      <c r="W1209" s="332" t="s">
        <v>9174</v>
      </c>
      <c r="X1209" s="394" t="s">
        <v>11506</v>
      </c>
      <c r="Y1209" s="394" t="s">
        <v>11508</v>
      </c>
      <c r="Z1209" s="394" t="s">
        <v>11507</v>
      </c>
      <c r="AA1209" s="394" t="s">
        <v>11509</v>
      </c>
      <c r="AB1209" s="416"/>
      <c r="AC1209" s="416"/>
      <c r="AD1209" s="334" t="s">
        <v>7404</v>
      </c>
      <c r="AE1209" s="499" t="s">
        <v>7446</v>
      </c>
      <c r="AF1209" s="462">
        <v>43570</v>
      </c>
      <c r="AG1209" s="748">
        <v>43732</v>
      </c>
      <c r="AH1209" s="417" t="s">
        <v>210</v>
      </c>
      <c r="AI1209" s="392" t="s">
        <v>210</v>
      </c>
      <c r="AJ1209" s="392" t="s">
        <v>210</v>
      </c>
      <c r="AK1209" s="340" t="s">
        <v>210</v>
      </c>
      <c r="AL1209" s="417" t="s">
        <v>210</v>
      </c>
      <c r="AM1209" s="392" t="s">
        <v>210</v>
      </c>
      <c r="AN1209" s="392" t="s">
        <v>210</v>
      </c>
      <c r="AO1209" s="341" t="s">
        <v>210</v>
      </c>
      <c r="AP1209" s="418" t="s">
        <v>210</v>
      </c>
      <c r="AQ1209" s="433" t="s">
        <v>6405</v>
      </c>
      <c r="AR1209" s="452">
        <v>3035</v>
      </c>
      <c r="AS1209" s="324">
        <v>50</v>
      </c>
      <c r="AT1209" s="432">
        <v>1</v>
      </c>
      <c r="AU1209" s="432" t="s">
        <v>9234</v>
      </c>
      <c r="AV1209" s="432">
        <v>1.5</v>
      </c>
      <c r="AW1209" s="490" t="s">
        <v>9235</v>
      </c>
      <c r="AX1209" s="453" t="s">
        <v>210</v>
      </c>
      <c r="AY1209" s="429" t="s">
        <v>8601</v>
      </c>
      <c r="AZ1209" s="405" t="s">
        <v>4083</v>
      </c>
      <c r="BA1209" s="324" t="s">
        <v>210</v>
      </c>
      <c r="BB1209" s="324" t="s">
        <v>210</v>
      </c>
      <c r="BC1209" s="324" t="s">
        <v>9236</v>
      </c>
      <c r="BD1209" s="324" t="s">
        <v>9235</v>
      </c>
      <c r="BE1209" s="324" t="s">
        <v>9237</v>
      </c>
      <c r="BF1209" s="324" t="s">
        <v>9235</v>
      </c>
      <c r="BG1209" s="324" t="s">
        <v>9238</v>
      </c>
      <c r="BH1209" s="426" t="s">
        <v>9238</v>
      </c>
      <c r="BI1209" s="453">
        <v>0.7</v>
      </c>
      <c r="BJ1209" s="427">
        <v>4.0599999999999996</v>
      </c>
      <c r="BK1209" s="428" t="s">
        <v>9239</v>
      </c>
      <c r="BL1209" s="429">
        <v>6.5</v>
      </c>
      <c r="BM1209" s="429" t="s">
        <v>210</v>
      </c>
      <c r="BN1209" s="453" t="s">
        <v>622</v>
      </c>
      <c r="BO1209" s="454" t="s">
        <v>9240</v>
      </c>
      <c r="BP1209" s="455" t="s">
        <v>622</v>
      </c>
      <c r="BQ1209" s="456" t="s">
        <v>9241</v>
      </c>
      <c r="BR1209" s="392" t="s">
        <v>210</v>
      </c>
      <c r="BS1209" s="342" t="s">
        <v>622</v>
      </c>
      <c r="BT1209" s="392" t="s">
        <v>210</v>
      </c>
      <c r="BU1209" s="392" t="s">
        <v>210</v>
      </c>
      <c r="BV1209" s="392" t="s">
        <v>210</v>
      </c>
      <c r="BW1209" s="392" t="s">
        <v>210</v>
      </c>
      <c r="BX1209" s="392" t="s">
        <v>210</v>
      </c>
      <c r="BY1209" s="457" t="s">
        <v>9178</v>
      </c>
      <c r="BZ1209" s="363"/>
      <c r="CA1209" s="363"/>
      <c r="CB1209" s="363"/>
      <c r="CC1209" s="363"/>
    </row>
    <row r="1210" spans="2:81" ht="22.5" customHeight="1">
      <c r="B1210" s="442">
        <v>180288</v>
      </c>
      <c r="C1210" s="443" t="s">
        <v>9099</v>
      </c>
      <c r="D1210" s="367" t="s">
        <v>5345</v>
      </c>
      <c r="E1210" s="368" t="s">
        <v>5363</v>
      </c>
      <c r="F1210" s="405" t="s">
        <v>9100</v>
      </c>
      <c r="G1210" s="324" t="s">
        <v>9101</v>
      </c>
      <c r="H1210" s="324" t="s">
        <v>9102</v>
      </c>
      <c r="I1210" s="326" t="s">
        <v>383</v>
      </c>
      <c r="J1210" s="324" t="s">
        <v>7171</v>
      </c>
      <c r="K1210" s="324" t="s">
        <v>917</v>
      </c>
      <c r="L1210" s="392" t="s">
        <v>210</v>
      </c>
      <c r="M1210" s="324" t="s">
        <v>9103</v>
      </c>
      <c r="N1210" s="444" t="s">
        <v>9266</v>
      </c>
      <c r="O1210" s="324">
        <v>20</v>
      </c>
      <c r="P1210" s="445">
        <f>Q1210+2300</f>
        <v>8500</v>
      </c>
      <c r="Q1210" s="446">
        <v>6200</v>
      </c>
      <c r="R1210" s="329" t="s">
        <v>3649</v>
      </c>
      <c r="S1210" s="394" t="s">
        <v>11497</v>
      </c>
      <c r="T1210" s="394" t="s">
        <v>11323</v>
      </c>
      <c r="U1210" s="394" t="s">
        <v>11328</v>
      </c>
      <c r="V1210" s="394" t="s">
        <v>11505</v>
      </c>
      <c r="W1210" s="460" t="s">
        <v>3864</v>
      </c>
      <c r="X1210" s="394" t="s">
        <v>11499</v>
      </c>
      <c r="Y1210" s="394" t="s">
        <v>11329</v>
      </c>
      <c r="Z1210" s="394" t="s">
        <v>11502</v>
      </c>
      <c r="AA1210" s="394" t="s">
        <v>11504</v>
      </c>
      <c r="AB1210" s="416"/>
      <c r="AC1210" s="416"/>
      <c r="AD1210" s="447" t="s">
        <v>1748</v>
      </c>
      <c r="AE1210" s="499" t="s">
        <v>2839</v>
      </c>
      <c r="AF1210" s="462">
        <v>43571</v>
      </c>
      <c r="AG1210" s="748">
        <v>43642</v>
      </c>
      <c r="AH1210" s="417" t="s">
        <v>210</v>
      </c>
      <c r="AI1210" s="392" t="s">
        <v>210</v>
      </c>
      <c r="AJ1210" s="392" t="s">
        <v>210</v>
      </c>
      <c r="AK1210" s="340" t="s">
        <v>210</v>
      </c>
      <c r="AL1210" s="417" t="s">
        <v>210</v>
      </c>
      <c r="AM1210" s="392" t="s">
        <v>210</v>
      </c>
      <c r="AN1210" s="392" t="s">
        <v>210</v>
      </c>
      <c r="AO1210" s="341" t="s">
        <v>210</v>
      </c>
      <c r="AP1210" s="418" t="s">
        <v>210</v>
      </c>
      <c r="AQ1210" s="433" t="s">
        <v>4547</v>
      </c>
      <c r="AR1210" s="452">
        <v>7676</v>
      </c>
      <c r="AS1210" s="324">
        <v>150</v>
      </c>
      <c r="AT1210" s="432">
        <v>1</v>
      </c>
      <c r="AU1210" s="432" t="s">
        <v>9267</v>
      </c>
      <c r="AV1210" s="432">
        <v>1.5</v>
      </c>
      <c r="AW1210" s="490" t="s">
        <v>9268</v>
      </c>
      <c r="AX1210" s="453" t="s">
        <v>210</v>
      </c>
      <c r="AY1210" s="429" t="s">
        <v>210</v>
      </c>
      <c r="AZ1210" s="405" t="s">
        <v>4083</v>
      </c>
      <c r="BA1210" s="324" t="s">
        <v>210</v>
      </c>
      <c r="BB1210" s="324" t="s">
        <v>210</v>
      </c>
      <c r="BC1210" s="324" t="s">
        <v>210</v>
      </c>
      <c r="BD1210" s="324" t="s">
        <v>210</v>
      </c>
      <c r="BE1210" s="324" t="s">
        <v>9269</v>
      </c>
      <c r="BF1210" s="324" t="s">
        <v>9267</v>
      </c>
      <c r="BG1210" s="324" t="s">
        <v>9270</v>
      </c>
      <c r="BH1210" s="324" t="s">
        <v>9267</v>
      </c>
      <c r="BI1210" s="453">
        <v>1.8</v>
      </c>
      <c r="BJ1210" s="427" t="s">
        <v>8845</v>
      </c>
      <c r="BK1210" s="428" t="s">
        <v>210</v>
      </c>
      <c r="BL1210" s="429" t="s">
        <v>210</v>
      </c>
      <c r="BM1210" s="429" t="s">
        <v>210</v>
      </c>
      <c r="BN1210" s="453" t="s">
        <v>622</v>
      </c>
      <c r="BO1210" s="464">
        <v>1.04</v>
      </c>
      <c r="BP1210" s="455" t="s">
        <v>210</v>
      </c>
      <c r="BQ1210" s="456" t="s">
        <v>9271</v>
      </c>
      <c r="BR1210" s="392" t="s">
        <v>210</v>
      </c>
      <c r="BS1210" s="342" t="s">
        <v>622</v>
      </c>
      <c r="BT1210" s="392" t="s">
        <v>210</v>
      </c>
      <c r="BU1210" s="392" t="s">
        <v>210</v>
      </c>
      <c r="BV1210" s="392" t="s">
        <v>210</v>
      </c>
      <c r="BW1210" s="392" t="s">
        <v>210</v>
      </c>
      <c r="BX1210" s="392" t="s">
        <v>210</v>
      </c>
      <c r="BY1210" s="457"/>
      <c r="BZ1210" s="363"/>
      <c r="CA1210" s="363"/>
      <c r="CB1210" s="363"/>
      <c r="CC1210" s="363"/>
    </row>
    <row r="1211" spans="2:81" ht="22.5" customHeight="1">
      <c r="B1211" s="442">
        <v>180289</v>
      </c>
      <c r="C1211" s="443" t="s">
        <v>9207</v>
      </c>
      <c r="D1211" s="439" t="s">
        <v>4849</v>
      </c>
      <c r="E1211" s="404" t="s">
        <v>5362</v>
      </c>
      <c r="F1211" s="405" t="s">
        <v>222</v>
      </c>
      <c r="G1211" s="324" t="s">
        <v>10114</v>
      </c>
      <c r="H1211" s="324" t="s">
        <v>10115</v>
      </c>
      <c r="I1211" s="326" t="s">
        <v>383</v>
      </c>
      <c r="J1211" s="326" t="s">
        <v>399</v>
      </c>
      <c r="K1211" s="324" t="s">
        <v>8700</v>
      </c>
      <c r="L1211" s="342">
        <v>47.5</v>
      </c>
      <c r="M1211" s="324" t="s">
        <v>7457</v>
      </c>
      <c r="N1211" s="444" t="s">
        <v>9213</v>
      </c>
      <c r="O1211" s="324">
        <v>160</v>
      </c>
      <c r="P1211" s="458">
        <v>2307</v>
      </c>
      <c r="Q1211" s="459">
        <v>1960</v>
      </c>
      <c r="R1211" s="329" t="s">
        <v>999</v>
      </c>
      <c r="S1211" s="400"/>
      <c r="T1211" s="394" t="s">
        <v>11262</v>
      </c>
      <c r="U1211" s="394" t="s">
        <v>16414</v>
      </c>
      <c r="V1211" s="394" t="s">
        <v>11263</v>
      </c>
      <c r="W1211" s="332" t="s">
        <v>1096</v>
      </c>
      <c r="X1211" s="331" t="s">
        <v>11248</v>
      </c>
      <c r="Y1211" s="331" t="s">
        <v>11249</v>
      </c>
      <c r="Z1211" s="331" t="s">
        <v>16439</v>
      </c>
      <c r="AA1211" s="331" t="s">
        <v>11250</v>
      </c>
      <c r="AB1211" s="416"/>
      <c r="AC1211" s="416"/>
      <c r="AD1211" s="334" t="s">
        <v>2321</v>
      </c>
      <c r="AE1211" s="335" t="s">
        <v>210</v>
      </c>
      <c r="AF1211" s="462">
        <v>43571</v>
      </c>
      <c r="AG1211" s="748">
        <v>43623</v>
      </c>
      <c r="AH1211" s="417" t="s">
        <v>210</v>
      </c>
      <c r="AI1211" s="392" t="s">
        <v>210</v>
      </c>
      <c r="AJ1211" s="392" t="s">
        <v>210</v>
      </c>
      <c r="AK1211" s="340" t="s">
        <v>210</v>
      </c>
      <c r="AL1211" s="417" t="s">
        <v>210</v>
      </c>
      <c r="AM1211" s="392" t="s">
        <v>210</v>
      </c>
      <c r="AN1211" s="392" t="s">
        <v>210</v>
      </c>
      <c r="AO1211" s="341" t="s">
        <v>210</v>
      </c>
      <c r="AP1211" s="418" t="s">
        <v>210</v>
      </c>
      <c r="AQ1211" s="433" t="s">
        <v>4547</v>
      </c>
      <c r="AR1211" s="452">
        <v>2782</v>
      </c>
      <c r="AS1211" s="324">
        <v>120</v>
      </c>
      <c r="AT1211" s="432">
        <v>1</v>
      </c>
      <c r="AU1211" s="432" t="s">
        <v>9263</v>
      </c>
      <c r="AV1211" s="432">
        <v>2</v>
      </c>
      <c r="AW1211" s="490" t="s">
        <v>9264</v>
      </c>
      <c r="AX1211" s="453" t="s">
        <v>309</v>
      </c>
      <c r="AY1211" s="429" t="s">
        <v>295</v>
      </c>
      <c r="AZ1211" s="405" t="s">
        <v>4083</v>
      </c>
      <c r="BA1211" s="324" t="s">
        <v>210</v>
      </c>
      <c r="BB1211" s="324" t="s">
        <v>210</v>
      </c>
      <c r="BC1211" s="324" t="s">
        <v>9214</v>
      </c>
      <c r="BD1211" s="324" t="s">
        <v>9215</v>
      </c>
      <c r="BE1211" s="324" t="s">
        <v>9216</v>
      </c>
      <c r="BF1211" s="324" t="s">
        <v>9215</v>
      </c>
      <c r="BG1211" s="324" t="s">
        <v>9217</v>
      </c>
      <c r="BH1211" s="426" t="s">
        <v>9218</v>
      </c>
      <c r="BI1211" s="453">
        <v>2.2999999999999998</v>
      </c>
      <c r="BJ1211" s="427">
        <v>1.93</v>
      </c>
      <c r="BK1211" s="428" t="s">
        <v>9219</v>
      </c>
      <c r="BL1211" s="429">
        <v>4.5</v>
      </c>
      <c r="BM1211" s="429" t="s">
        <v>210</v>
      </c>
      <c r="BN1211" s="453" t="s">
        <v>210</v>
      </c>
      <c r="BO1211" s="464" t="s">
        <v>210</v>
      </c>
      <c r="BP1211" s="455" t="s">
        <v>210</v>
      </c>
      <c r="BQ1211" s="456" t="s">
        <v>6874</v>
      </c>
      <c r="BR1211" s="392" t="s">
        <v>210</v>
      </c>
      <c r="BS1211" s="392" t="s">
        <v>210</v>
      </c>
      <c r="BT1211" s="392" t="s">
        <v>210</v>
      </c>
      <c r="BU1211" s="392" t="s">
        <v>210</v>
      </c>
      <c r="BV1211" s="392" t="s">
        <v>210</v>
      </c>
      <c r="BW1211" s="392" t="s">
        <v>210</v>
      </c>
      <c r="BX1211" s="392" t="s">
        <v>210</v>
      </c>
      <c r="BY1211" s="457" t="s">
        <v>9265</v>
      </c>
      <c r="BZ1211" s="363"/>
      <c r="CA1211" s="363"/>
      <c r="CB1211" s="363"/>
      <c r="CC1211" s="363"/>
    </row>
    <row r="1212" spans="2:81" ht="22.5" customHeight="1">
      <c r="B1212" s="442">
        <v>180290</v>
      </c>
      <c r="C1212" s="443" t="s">
        <v>11489</v>
      </c>
      <c r="D1212" s="439" t="s">
        <v>9250</v>
      </c>
      <c r="E1212" s="404" t="s">
        <v>6879</v>
      </c>
      <c r="F1212" s="405" t="s">
        <v>839</v>
      </c>
      <c r="G1212" s="324" t="s">
        <v>1809</v>
      </c>
      <c r="H1212" s="324" t="s">
        <v>9220</v>
      </c>
      <c r="I1212" s="326" t="s">
        <v>383</v>
      </c>
      <c r="J1212" s="326" t="s">
        <v>399</v>
      </c>
      <c r="K1212" s="324" t="s">
        <v>247</v>
      </c>
      <c r="L1212" s="342">
        <v>7.9</v>
      </c>
      <c r="M1212" s="324" t="s">
        <v>7457</v>
      </c>
      <c r="N1212" s="444" t="s">
        <v>9312</v>
      </c>
      <c r="O1212" s="324">
        <v>30</v>
      </c>
      <c r="P1212" s="445">
        <v>300</v>
      </c>
      <c r="Q1212" s="446">
        <v>300</v>
      </c>
      <c r="R1212" s="420" t="s">
        <v>9222</v>
      </c>
      <c r="S1212" s="394" t="s">
        <v>11496</v>
      </c>
      <c r="T1212" s="394" t="s">
        <v>11494</v>
      </c>
      <c r="U1212" s="394" t="s">
        <v>16279</v>
      </c>
      <c r="V1212" s="394" t="s">
        <v>11495</v>
      </c>
      <c r="W1212" s="460" t="s">
        <v>9221</v>
      </c>
      <c r="X1212" s="394" t="s">
        <v>11490</v>
      </c>
      <c r="Y1212" s="394" t="s">
        <v>11491</v>
      </c>
      <c r="Z1212" s="394" t="s">
        <v>11492</v>
      </c>
      <c r="AA1212" s="394" t="s">
        <v>11493</v>
      </c>
      <c r="AB1212" s="416"/>
      <c r="AC1212" s="416"/>
      <c r="AD1212" s="996"/>
      <c r="AE1212" s="499" t="s">
        <v>9511</v>
      </c>
      <c r="AF1212" s="462">
        <v>43574</v>
      </c>
      <c r="AG1212" s="748">
        <v>43636</v>
      </c>
      <c r="AH1212" s="417" t="s">
        <v>210</v>
      </c>
      <c r="AI1212" s="392" t="s">
        <v>210</v>
      </c>
      <c r="AJ1212" s="392" t="s">
        <v>210</v>
      </c>
      <c r="AK1212" s="340" t="s">
        <v>210</v>
      </c>
      <c r="AL1212" s="417" t="s">
        <v>210</v>
      </c>
      <c r="AM1212" s="392" t="s">
        <v>210</v>
      </c>
      <c r="AN1212" s="392" t="s">
        <v>210</v>
      </c>
      <c r="AO1212" s="341" t="s">
        <v>210</v>
      </c>
      <c r="AP1212" s="418" t="s">
        <v>622</v>
      </c>
      <c r="AQ1212" s="433" t="s">
        <v>4547</v>
      </c>
      <c r="AR1212" s="452">
        <v>527</v>
      </c>
      <c r="AS1212" s="324">
        <v>100</v>
      </c>
      <c r="AT1212" s="432">
        <v>1</v>
      </c>
      <c r="AU1212" s="432" t="s">
        <v>3627</v>
      </c>
      <c r="AV1212" s="432">
        <v>1.5</v>
      </c>
      <c r="AW1212" s="490" t="s">
        <v>9313</v>
      </c>
      <c r="AX1212" s="453" t="s">
        <v>210</v>
      </c>
      <c r="AY1212" s="429" t="s">
        <v>210</v>
      </c>
      <c r="AZ1212" s="405" t="s">
        <v>622</v>
      </c>
      <c r="BA1212" s="324" t="s">
        <v>9314</v>
      </c>
      <c r="BB1212" s="324" t="s">
        <v>9315</v>
      </c>
      <c r="BC1212" s="324" t="s">
        <v>9316</v>
      </c>
      <c r="BD1212" s="324" t="s">
        <v>9315</v>
      </c>
      <c r="BE1212" s="324" t="s">
        <v>9317</v>
      </c>
      <c r="BF1212" s="490" t="s">
        <v>9313</v>
      </c>
      <c r="BG1212" s="324" t="s">
        <v>9318</v>
      </c>
      <c r="BH1212" s="426" t="s">
        <v>9319</v>
      </c>
      <c r="BI1212" s="453">
        <v>3.2</v>
      </c>
      <c r="BJ1212" s="427">
        <v>1.1000000000000001</v>
      </c>
      <c r="BK1212" s="428" t="s">
        <v>9320</v>
      </c>
      <c r="BL1212" s="429" t="s">
        <v>9320</v>
      </c>
      <c r="BM1212" s="429" t="s">
        <v>210</v>
      </c>
      <c r="BN1212" s="453" t="s">
        <v>622</v>
      </c>
      <c r="BO1212" s="464">
        <v>1.61</v>
      </c>
      <c r="BP1212" s="455" t="s">
        <v>622</v>
      </c>
      <c r="BQ1212" s="456" t="s">
        <v>9598</v>
      </c>
      <c r="BR1212" s="392" t="s">
        <v>210</v>
      </c>
      <c r="BS1212" s="342" t="s">
        <v>622</v>
      </c>
      <c r="BT1212" s="392" t="s">
        <v>210</v>
      </c>
      <c r="BU1212" s="392" t="s">
        <v>210</v>
      </c>
      <c r="BV1212" s="392" t="s">
        <v>210</v>
      </c>
      <c r="BW1212" s="392" t="s">
        <v>210</v>
      </c>
      <c r="BX1212" s="392" t="s">
        <v>210</v>
      </c>
      <c r="BY1212" s="457"/>
      <c r="BZ1212" s="363"/>
      <c r="CA1212" s="363"/>
      <c r="CB1212" s="363"/>
      <c r="CC1212" s="363"/>
    </row>
    <row r="1213" spans="2:81" ht="22.5" customHeight="1">
      <c r="B1213" s="442">
        <v>180291</v>
      </c>
      <c r="C1213" s="443" t="s">
        <v>11481</v>
      </c>
      <c r="D1213" s="439" t="s">
        <v>5345</v>
      </c>
      <c r="E1213" s="368" t="s">
        <v>5363</v>
      </c>
      <c r="F1213" s="405" t="s">
        <v>9112</v>
      </c>
      <c r="G1213" s="324" t="s">
        <v>9113</v>
      </c>
      <c r="H1213" s="324" t="s">
        <v>9114</v>
      </c>
      <c r="I1213" s="326" t="s">
        <v>383</v>
      </c>
      <c r="J1213" s="324" t="s">
        <v>6632</v>
      </c>
      <c r="K1213" s="324" t="s">
        <v>9115</v>
      </c>
      <c r="L1213" s="392" t="s">
        <v>210</v>
      </c>
      <c r="M1213" s="324" t="s">
        <v>7457</v>
      </c>
      <c r="N1213" s="444" t="s">
        <v>438</v>
      </c>
      <c r="O1213" s="324">
        <v>31</v>
      </c>
      <c r="P1213" s="445">
        <v>4900</v>
      </c>
      <c r="Q1213" s="446">
        <v>4000</v>
      </c>
      <c r="R1213" s="329" t="s">
        <v>9226</v>
      </c>
      <c r="S1213" s="394" t="s">
        <v>11482</v>
      </c>
      <c r="T1213" s="394" t="s">
        <v>11483</v>
      </c>
      <c r="U1213" s="394" t="s">
        <v>16379</v>
      </c>
      <c r="V1213" s="394" t="s">
        <v>11484</v>
      </c>
      <c r="W1213" s="460" t="s">
        <v>9227</v>
      </c>
      <c r="X1213" s="394" t="s">
        <v>11485</v>
      </c>
      <c r="Y1213" s="394" t="s">
        <v>11486</v>
      </c>
      <c r="Z1213" s="394" t="s">
        <v>11487</v>
      </c>
      <c r="AA1213" s="394" t="s">
        <v>11488</v>
      </c>
      <c r="AB1213" s="416" t="s">
        <v>9225</v>
      </c>
      <c r="AC1213" s="416"/>
      <c r="AD1213" s="447" t="s">
        <v>9442</v>
      </c>
      <c r="AE1213" s="499" t="s">
        <v>9441</v>
      </c>
      <c r="AF1213" s="462">
        <v>43577</v>
      </c>
      <c r="AG1213" s="748">
        <v>43635</v>
      </c>
      <c r="AH1213" s="417" t="s">
        <v>210</v>
      </c>
      <c r="AI1213" s="392" t="s">
        <v>210</v>
      </c>
      <c r="AJ1213" s="392" t="s">
        <v>210</v>
      </c>
      <c r="AK1213" s="340" t="s">
        <v>210</v>
      </c>
      <c r="AL1213" s="417" t="s">
        <v>210</v>
      </c>
      <c r="AM1213" s="392" t="s">
        <v>210</v>
      </c>
      <c r="AN1213" s="392" t="s">
        <v>210</v>
      </c>
      <c r="AO1213" s="341" t="s">
        <v>210</v>
      </c>
      <c r="AP1213" s="418" t="s">
        <v>210</v>
      </c>
      <c r="AQ1213" s="433" t="s">
        <v>4547</v>
      </c>
      <c r="AR1213" s="452">
        <v>4535</v>
      </c>
      <c r="AS1213" s="324">
        <v>120</v>
      </c>
      <c r="AT1213" s="432">
        <v>1</v>
      </c>
      <c r="AU1213" s="432" t="s">
        <v>3627</v>
      </c>
      <c r="AV1213" s="432">
        <v>1.5</v>
      </c>
      <c r="AW1213" s="490" t="s">
        <v>3627</v>
      </c>
      <c r="AX1213" s="453" t="s">
        <v>210</v>
      </c>
      <c r="AY1213" s="429" t="s">
        <v>210</v>
      </c>
      <c r="AZ1213" s="405" t="s">
        <v>4083</v>
      </c>
      <c r="BA1213" s="324" t="s">
        <v>210</v>
      </c>
      <c r="BB1213" s="324" t="s">
        <v>210</v>
      </c>
      <c r="BC1213" s="324" t="s">
        <v>9321</v>
      </c>
      <c r="BD1213" s="324" t="s">
        <v>3627</v>
      </c>
      <c r="BE1213" s="324" t="s">
        <v>9322</v>
      </c>
      <c r="BF1213" s="324" t="s">
        <v>3627</v>
      </c>
      <c r="BG1213" s="324" t="s">
        <v>9323</v>
      </c>
      <c r="BH1213" s="324" t="s">
        <v>3627</v>
      </c>
      <c r="BI1213" s="453">
        <v>3.7</v>
      </c>
      <c r="BJ1213" s="427">
        <v>2.67</v>
      </c>
      <c r="BK1213" s="428" t="s">
        <v>9324</v>
      </c>
      <c r="BL1213" s="429" t="s">
        <v>9324</v>
      </c>
      <c r="BM1213" s="430" t="s">
        <v>9325</v>
      </c>
      <c r="BN1213" s="453" t="s">
        <v>9298</v>
      </c>
      <c r="BO1213" s="464" t="s">
        <v>9589</v>
      </c>
      <c r="BP1213" s="455" t="s">
        <v>210</v>
      </c>
      <c r="BQ1213" s="456" t="s">
        <v>6623</v>
      </c>
      <c r="BR1213" s="342" t="s">
        <v>622</v>
      </c>
      <c r="BS1213" s="342" t="s">
        <v>622</v>
      </c>
      <c r="BT1213" s="392" t="s">
        <v>210</v>
      </c>
      <c r="BU1213" s="392" t="s">
        <v>210</v>
      </c>
      <c r="BV1213" s="392" t="s">
        <v>210</v>
      </c>
      <c r="BW1213" s="392" t="s">
        <v>210</v>
      </c>
      <c r="BX1213" s="392" t="s">
        <v>210</v>
      </c>
      <c r="BY1213" s="457" t="s">
        <v>9326</v>
      </c>
      <c r="BZ1213" s="363"/>
      <c r="CA1213" s="363"/>
      <c r="CB1213" s="363"/>
      <c r="CC1213" s="363"/>
    </row>
    <row r="1214" spans="2:81" ht="22.5" customHeight="1">
      <c r="B1214" s="442">
        <v>180292</v>
      </c>
      <c r="C1214" s="443" t="s">
        <v>11475</v>
      </c>
      <c r="D1214" s="467" t="s">
        <v>9337</v>
      </c>
      <c r="E1214" s="404" t="s">
        <v>5405</v>
      </c>
      <c r="F1214" s="405" t="s">
        <v>9230</v>
      </c>
      <c r="G1214" s="324" t="s">
        <v>9231</v>
      </c>
      <c r="H1214" s="324" t="s">
        <v>9232</v>
      </c>
      <c r="I1214" s="326" t="s">
        <v>383</v>
      </c>
      <c r="J1214" s="324" t="s">
        <v>6632</v>
      </c>
      <c r="K1214" s="324" t="s">
        <v>977</v>
      </c>
      <c r="L1214" s="342">
        <v>8</v>
      </c>
      <c r="M1214" s="324" t="s">
        <v>7457</v>
      </c>
      <c r="N1214" s="444" t="s">
        <v>438</v>
      </c>
      <c r="O1214" s="324">
        <v>30</v>
      </c>
      <c r="P1214" s="458">
        <v>1972.74</v>
      </c>
      <c r="Q1214" s="459">
        <v>1827.48</v>
      </c>
      <c r="R1214" s="420" t="s">
        <v>8913</v>
      </c>
      <c r="S1214" s="394" t="s">
        <v>11480</v>
      </c>
      <c r="T1214" s="394" t="s">
        <v>11476</v>
      </c>
      <c r="U1214" s="394" t="s">
        <v>16384</v>
      </c>
      <c r="V1214" s="394" t="s">
        <v>11477</v>
      </c>
      <c r="W1214" s="332" t="s">
        <v>644</v>
      </c>
      <c r="X1214" s="394" t="s">
        <v>11478</v>
      </c>
      <c r="Y1214" s="394" t="s">
        <v>11292</v>
      </c>
      <c r="Z1214" s="394" t="s">
        <v>16527</v>
      </c>
      <c r="AA1214" s="394" t="s">
        <v>11479</v>
      </c>
      <c r="AB1214" s="416"/>
      <c r="AC1214" s="416"/>
      <c r="AD1214" s="447" t="s">
        <v>5277</v>
      </c>
      <c r="AE1214" s="499" t="s">
        <v>9792</v>
      </c>
      <c r="AF1214" s="462">
        <v>43580</v>
      </c>
      <c r="AG1214" s="748">
        <v>43636</v>
      </c>
      <c r="AH1214" s="417" t="s">
        <v>210</v>
      </c>
      <c r="AI1214" s="392" t="s">
        <v>210</v>
      </c>
      <c r="AJ1214" s="392" t="s">
        <v>210</v>
      </c>
      <c r="AK1214" s="340" t="s">
        <v>210</v>
      </c>
      <c r="AL1214" s="417" t="s">
        <v>210</v>
      </c>
      <c r="AM1214" s="392" t="s">
        <v>210</v>
      </c>
      <c r="AN1214" s="392" t="s">
        <v>210</v>
      </c>
      <c r="AO1214" s="341" t="s">
        <v>210</v>
      </c>
      <c r="AP1214" s="418" t="s">
        <v>210</v>
      </c>
      <c r="AQ1214" s="433" t="s">
        <v>4547</v>
      </c>
      <c r="AR1214" s="452">
        <v>2282</v>
      </c>
      <c r="AS1214" s="324">
        <v>130</v>
      </c>
      <c r="AT1214" s="432">
        <v>1.6</v>
      </c>
      <c r="AU1214" s="432" t="s">
        <v>3627</v>
      </c>
      <c r="AV1214" s="432">
        <v>1.5</v>
      </c>
      <c r="AW1214" s="490" t="s">
        <v>3627</v>
      </c>
      <c r="AX1214" s="453" t="s">
        <v>9383</v>
      </c>
      <c r="AY1214" s="429" t="s">
        <v>8601</v>
      </c>
      <c r="AZ1214" s="405" t="s">
        <v>622</v>
      </c>
      <c r="BA1214" s="324" t="s">
        <v>9384</v>
      </c>
      <c r="BB1214" s="324" t="s">
        <v>9385</v>
      </c>
      <c r="BC1214" s="324" t="s">
        <v>9386</v>
      </c>
      <c r="BD1214" s="324" t="s">
        <v>9387</v>
      </c>
      <c r="BE1214" s="324" t="s">
        <v>9388</v>
      </c>
      <c r="BF1214" s="324" t="s">
        <v>9389</v>
      </c>
      <c r="BG1214" s="324" t="s">
        <v>9388</v>
      </c>
      <c r="BH1214" s="324" t="s">
        <v>9389</v>
      </c>
      <c r="BI1214" s="453">
        <v>2.4</v>
      </c>
      <c r="BJ1214" s="427" t="s">
        <v>9392</v>
      </c>
      <c r="BK1214" s="428" t="s">
        <v>9390</v>
      </c>
      <c r="BL1214" s="429">
        <v>2.5</v>
      </c>
      <c r="BM1214" s="430" t="s">
        <v>8211</v>
      </c>
      <c r="BN1214" s="453" t="s">
        <v>622</v>
      </c>
      <c r="BO1214" s="464">
        <v>1.1299999999999999</v>
      </c>
      <c r="BP1214" s="455" t="s">
        <v>622</v>
      </c>
      <c r="BQ1214" s="456" t="s">
        <v>9391</v>
      </c>
      <c r="BR1214" s="342" t="s">
        <v>622</v>
      </c>
      <c r="BS1214" s="342" t="s">
        <v>622</v>
      </c>
      <c r="BT1214" s="342" t="s">
        <v>210</v>
      </c>
      <c r="BU1214" s="342" t="s">
        <v>210</v>
      </c>
      <c r="BV1214" s="786">
        <v>-20</v>
      </c>
      <c r="BW1214" s="341" t="s">
        <v>210</v>
      </c>
      <c r="BX1214" s="341" t="s">
        <v>210</v>
      </c>
      <c r="BY1214" s="457"/>
      <c r="BZ1214" s="363"/>
      <c r="CA1214" s="363"/>
      <c r="CB1214" s="363"/>
      <c r="CC1214" s="363"/>
    </row>
    <row r="1215" spans="2:81" ht="22.5" customHeight="1">
      <c r="B1215" s="442">
        <v>180293</v>
      </c>
      <c r="C1215" s="443" t="s">
        <v>9246</v>
      </c>
      <c r="D1215" s="439" t="s">
        <v>4847</v>
      </c>
      <c r="E1215" s="404" t="s">
        <v>5362</v>
      </c>
      <c r="F1215" s="405" t="s">
        <v>1043</v>
      </c>
      <c r="G1215" s="324" t="s">
        <v>9247</v>
      </c>
      <c r="H1215" s="324" t="s">
        <v>9248</v>
      </c>
      <c r="I1215" s="326" t="s">
        <v>383</v>
      </c>
      <c r="J1215" s="326" t="s">
        <v>399</v>
      </c>
      <c r="K1215" s="324" t="s">
        <v>247</v>
      </c>
      <c r="L1215" s="342">
        <v>20</v>
      </c>
      <c r="M1215" s="324" t="s">
        <v>7457</v>
      </c>
      <c r="N1215" s="444" t="s">
        <v>438</v>
      </c>
      <c r="O1215" s="324">
        <v>140</v>
      </c>
      <c r="P1215" s="458">
        <v>2700</v>
      </c>
      <c r="Q1215" s="459">
        <v>2700</v>
      </c>
      <c r="R1215" s="420" t="s">
        <v>9249</v>
      </c>
      <c r="S1215" s="394" t="s">
        <v>11218</v>
      </c>
      <c r="T1215" s="394" t="s">
        <v>11219</v>
      </c>
      <c r="U1215" s="394" t="s">
        <v>16305</v>
      </c>
      <c r="V1215" s="394" t="s">
        <v>11220</v>
      </c>
      <c r="W1215" s="332" t="s">
        <v>644</v>
      </c>
      <c r="X1215" s="394" t="s">
        <v>11474</v>
      </c>
      <c r="Y1215" s="400"/>
      <c r="Z1215" s="400"/>
      <c r="AA1215" s="400"/>
      <c r="AB1215" s="416"/>
      <c r="AC1215" s="416"/>
      <c r="AD1215" s="447" t="s">
        <v>726</v>
      </c>
      <c r="AE1215" s="499" t="s">
        <v>9813</v>
      </c>
      <c r="AF1215" s="462">
        <v>43581</v>
      </c>
      <c r="AG1215" s="705">
        <v>43678</v>
      </c>
      <c r="AH1215" s="417" t="s">
        <v>210</v>
      </c>
      <c r="AI1215" s="392" t="s">
        <v>210</v>
      </c>
      <c r="AJ1215" s="392" t="s">
        <v>210</v>
      </c>
      <c r="AK1215" s="340" t="s">
        <v>210</v>
      </c>
      <c r="AL1215" s="417" t="s">
        <v>210</v>
      </c>
      <c r="AM1215" s="392" t="s">
        <v>210</v>
      </c>
      <c r="AN1215" s="392" t="s">
        <v>210</v>
      </c>
      <c r="AO1215" s="341" t="s">
        <v>210</v>
      </c>
      <c r="AP1215" s="418" t="s">
        <v>622</v>
      </c>
      <c r="AQ1215" s="433" t="s">
        <v>4547</v>
      </c>
      <c r="AR1215" s="452">
        <v>4065</v>
      </c>
      <c r="AS1215" s="324">
        <v>100</v>
      </c>
      <c r="AT1215" s="432">
        <v>1</v>
      </c>
      <c r="AU1215" s="432" t="s">
        <v>9393</v>
      </c>
      <c r="AV1215" s="432">
        <v>1.5</v>
      </c>
      <c r="AW1215" s="490" t="s">
        <v>9394</v>
      </c>
      <c r="AX1215" s="453" t="s">
        <v>309</v>
      </c>
      <c r="AY1215" s="429" t="s">
        <v>295</v>
      </c>
      <c r="AZ1215" s="405" t="s">
        <v>4083</v>
      </c>
      <c r="BA1215" s="324" t="s">
        <v>210</v>
      </c>
      <c r="BB1215" s="324" t="s">
        <v>210</v>
      </c>
      <c r="BC1215" s="324" t="s">
        <v>9395</v>
      </c>
      <c r="BD1215" s="324" t="s">
        <v>9396</v>
      </c>
      <c r="BE1215" s="324" t="s">
        <v>9397</v>
      </c>
      <c r="BF1215" s="324" t="s">
        <v>9396</v>
      </c>
      <c r="BG1215" s="324" t="s">
        <v>9398</v>
      </c>
      <c r="BH1215" s="426" t="s">
        <v>9394</v>
      </c>
      <c r="BI1215" s="453">
        <v>2</v>
      </c>
      <c r="BJ1215" s="427" t="s">
        <v>9399</v>
      </c>
      <c r="BK1215" s="428" t="s">
        <v>9400</v>
      </c>
      <c r="BL1215" s="429" t="s">
        <v>3185</v>
      </c>
      <c r="BM1215" s="430" t="s">
        <v>295</v>
      </c>
      <c r="BN1215" s="453" t="s">
        <v>622</v>
      </c>
      <c r="BO1215" s="464">
        <v>1.2</v>
      </c>
      <c r="BP1215" s="455" t="s">
        <v>622</v>
      </c>
      <c r="BQ1215" s="456" t="s">
        <v>5862</v>
      </c>
      <c r="BR1215" s="392" t="s">
        <v>210</v>
      </c>
      <c r="BS1215" s="342" t="s">
        <v>622</v>
      </c>
      <c r="BT1215" s="392" t="s">
        <v>210</v>
      </c>
      <c r="BU1215" s="392" t="s">
        <v>210</v>
      </c>
      <c r="BV1215" s="392" t="s">
        <v>210</v>
      </c>
      <c r="BW1215" s="392" t="s">
        <v>210</v>
      </c>
      <c r="BX1215" s="392" t="s">
        <v>210</v>
      </c>
      <c r="BY1215" s="457"/>
      <c r="BZ1215" s="363"/>
      <c r="CA1215" s="363"/>
      <c r="CB1215" s="363"/>
      <c r="CC1215" s="363"/>
    </row>
    <row r="1216" spans="2:81" ht="22.5" customHeight="1">
      <c r="B1216" s="442">
        <v>180294</v>
      </c>
      <c r="C1216" s="443" t="s">
        <v>9251</v>
      </c>
      <c r="D1216" s="439" t="s">
        <v>4849</v>
      </c>
      <c r="E1216" s="404" t="s">
        <v>5362</v>
      </c>
      <c r="F1216" s="405" t="s">
        <v>222</v>
      </c>
      <c r="G1216" s="324" t="s">
        <v>9252</v>
      </c>
      <c r="H1216" s="324" t="s">
        <v>9253</v>
      </c>
      <c r="I1216" s="326" t="s">
        <v>383</v>
      </c>
      <c r="J1216" s="324" t="s">
        <v>7171</v>
      </c>
      <c r="K1216" s="324" t="s">
        <v>3352</v>
      </c>
      <c r="L1216" s="392" t="s">
        <v>210</v>
      </c>
      <c r="M1216" s="324" t="s">
        <v>7457</v>
      </c>
      <c r="N1216" s="444" t="s">
        <v>437</v>
      </c>
      <c r="O1216" s="324">
        <v>85</v>
      </c>
      <c r="P1216" s="445">
        <v>400</v>
      </c>
      <c r="Q1216" s="446">
        <v>200</v>
      </c>
      <c r="R1216" s="420" t="s">
        <v>9256</v>
      </c>
      <c r="S1216" s="394" t="s">
        <v>11470</v>
      </c>
      <c r="T1216" s="394" t="s">
        <v>11471</v>
      </c>
      <c r="U1216" s="394" t="s">
        <v>11472</v>
      </c>
      <c r="V1216" s="394" t="s">
        <v>11473</v>
      </c>
      <c r="W1216" s="460" t="s">
        <v>9255</v>
      </c>
      <c r="X1216" s="394" t="s">
        <v>11466</v>
      </c>
      <c r="Y1216" s="394" t="s">
        <v>11467</v>
      </c>
      <c r="Z1216" s="394" t="s">
        <v>11468</v>
      </c>
      <c r="AA1216" s="394" t="s">
        <v>11469</v>
      </c>
      <c r="AB1216" s="416"/>
      <c r="AC1216" s="416"/>
      <c r="AD1216" s="334" t="s">
        <v>2321</v>
      </c>
      <c r="AE1216" s="335" t="s">
        <v>210</v>
      </c>
      <c r="AF1216" s="462">
        <v>43581</v>
      </c>
      <c r="AG1216" s="748">
        <v>43644</v>
      </c>
      <c r="AH1216" s="417" t="s">
        <v>210</v>
      </c>
      <c r="AI1216" s="392" t="s">
        <v>210</v>
      </c>
      <c r="AJ1216" s="392" t="s">
        <v>210</v>
      </c>
      <c r="AK1216" s="340" t="s">
        <v>210</v>
      </c>
      <c r="AL1216" s="417" t="s">
        <v>210</v>
      </c>
      <c r="AM1216" s="392" t="s">
        <v>210</v>
      </c>
      <c r="AN1216" s="392" t="s">
        <v>210</v>
      </c>
      <c r="AO1216" s="341" t="s">
        <v>210</v>
      </c>
      <c r="AP1216" s="418" t="s">
        <v>210</v>
      </c>
      <c r="AQ1216" s="433" t="s">
        <v>4547</v>
      </c>
      <c r="AR1216" s="452">
        <v>265</v>
      </c>
      <c r="AS1216" s="324">
        <v>120</v>
      </c>
      <c r="AT1216" s="432">
        <v>1</v>
      </c>
      <c r="AU1216" s="432" t="s">
        <v>9357</v>
      </c>
      <c r="AV1216" s="432">
        <v>1.5</v>
      </c>
      <c r="AW1216" s="432" t="s">
        <v>9357</v>
      </c>
      <c r="AX1216" s="453" t="s">
        <v>210</v>
      </c>
      <c r="AY1216" s="429" t="s">
        <v>8601</v>
      </c>
      <c r="AZ1216" s="405" t="s">
        <v>4083</v>
      </c>
      <c r="BA1216" s="324" t="s">
        <v>210</v>
      </c>
      <c r="BB1216" s="324" t="s">
        <v>210</v>
      </c>
      <c r="BC1216" s="324" t="s">
        <v>9358</v>
      </c>
      <c r="BD1216" s="324" t="s">
        <v>9359</v>
      </c>
      <c r="BE1216" s="324" t="s">
        <v>9360</v>
      </c>
      <c r="BF1216" s="324" t="s">
        <v>9359</v>
      </c>
      <c r="BG1216" s="324" t="s">
        <v>9361</v>
      </c>
      <c r="BH1216" s="324" t="s">
        <v>9359</v>
      </c>
      <c r="BI1216" s="453">
        <v>7.5</v>
      </c>
      <c r="BJ1216" s="427">
        <v>1.39</v>
      </c>
      <c r="BK1216" s="428" t="s">
        <v>3185</v>
      </c>
      <c r="BL1216" s="429" t="s">
        <v>3185</v>
      </c>
      <c r="BM1216" s="430" t="s">
        <v>9325</v>
      </c>
      <c r="BN1216" s="453" t="s">
        <v>622</v>
      </c>
      <c r="BO1216" s="464">
        <v>1.39</v>
      </c>
      <c r="BP1216" s="455" t="s">
        <v>622</v>
      </c>
      <c r="BQ1216" s="456" t="s">
        <v>9362</v>
      </c>
      <c r="BR1216" s="392" t="s">
        <v>210</v>
      </c>
      <c r="BS1216" s="342" t="s">
        <v>622</v>
      </c>
      <c r="BT1216" s="392" t="s">
        <v>210</v>
      </c>
      <c r="BU1216" s="392" t="s">
        <v>210</v>
      </c>
      <c r="BV1216" s="392" t="s">
        <v>210</v>
      </c>
      <c r="BW1216" s="392" t="s">
        <v>210</v>
      </c>
      <c r="BX1216" s="392" t="s">
        <v>210</v>
      </c>
      <c r="BY1216" s="457" t="s">
        <v>9363</v>
      </c>
      <c r="BZ1216" s="363"/>
      <c r="CA1216" s="363"/>
      <c r="CB1216" s="363"/>
      <c r="CC1216" s="363"/>
    </row>
    <row r="1217" spans="1:82" ht="22.5" customHeight="1">
      <c r="B1217" s="442">
        <v>180295</v>
      </c>
      <c r="C1217" s="443" t="s">
        <v>11459</v>
      </c>
      <c r="D1217" s="439" t="s">
        <v>4849</v>
      </c>
      <c r="E1217" s="368" t="s">
        <v>5363</v>
      </c>
      <c r="F1217" s="405" t="s">
        <v>9259</v>
      </c>
      <c r="G1217" s="324" t="s">
        <v>9260</v>
      </c>
      <c r="H1217" s="324" t="s">
        <v>9261</v>
      </c>
      <c r="I1217" s="326" t="s">
        <v>383</v>
      </c>
      <c r="J1217" s="326" t="s">
        <v>399</v>
      </c>
      <c r="K1217" s="324" t="s">
        <v>917</v>
      </c>
      <c r="L1217" s="392" t="s">
        <v>210</v>
      </c>
      <c r="M1217" s="324" t="s">
        <v>7457</v>
      </c>
      <c r="N1217" s="444" t="s">
        <v>437</v>
      </c>
      <c r="O1217" s="324">
        <v>30</v>
      </c>
      <c r="P1217" s="458">
        <v>1220.51</v>
      </c>
      <c r="Q1217" s="459">
        <v>1199.48</v>
      </c>
      <c r="R1217" s="460" t="s">
        <v>9262</v>
      </c>
      <c r="S1217" s="394" t="s">
        <v>11460</v>
      </c>
      <c r="T1217" s="394" t="s">
        <v>11461</v>
      </c>
      <c r="U1217" s="394" t="s">
        <v>11462</v>
      </c>
      <c r="V1217" s="394" t="s">
        <v>11463</v>
      </c>
      <c r="W1217" s="460" t="s">
        <v>9327</v>
      </c>
      <c r="X1217" s="460" t="s">
        <v>11464</v>
      </c>
      <c r="Y1217" s="825"/>
      <c r="Z1217" s="825"/>
      <c r="AA1217" s="460" t="s">
        <v>11465</v>
      </c>
      <c r="AB1217" s="416"/>
      <c r="AC1217" s="416"/>
      <c r="AD1217" s="334" t="s">
        <v>2327</v>
      </c>
      <c r="AE1217" s="335" t="s">
        <v>210</v>
      </c>
      <c r="AF1217" s="462">
        <v>43592</v>
      </c>
      <c r="AG1217" s="748">
        <v>43629</v>
      </c>
      <c r="AH1217" s="417" t="s">
        <v>210</v>
      </c>
      <c r="AI1217" s="392" t="s">
        <v>210</v>
      </c>
      <c r="AJ1217" s="392" t="s">
        <v>210</v>
      </c>
      <c r="AK1217" s="340" t="s">
        <v>210</v>
      </c>
      <c r="AL1217" s="417" t="s">
        <v>210</v>
      </c>
      <c r="AM1217" s="392" t="s">
        <v>210</v>
      </c>
      <c r="AN1217" s="392" t="s">
        <v>210</v>
      </c>
      <c r="AO1217" s="341" t="s">
        <v>210</v>
      </c>
      <c r="AP1217" s="418" t="s">
        <v>622</v>
      </c>
      <c r="AQ1217" s="433" t="s">
        <v>4547</v>
      </c>
      <c r="AR1217" s="452">
        <v>1500</v>
      </c>
      <c r="AS1217" s="324">
        <v>100</v>
      </c>
      <c r="AT1217" s="432">
        <v>0.8</v>
      </c>
      <c r="AU1217" s="432" t="s">
        <v>9304</v>
      </c>
      <c r="AV1217" s="432">
        <v>1.2</v>
      </c>
      <c r="AW1217" s="432" t="s">
        <v>9304</v>
      </c>
      <c r="AX1217" s="453" t="s">
        <v>210</v>
      </c>
      <c r="AY1217" s="429" t="s">
        <v>295</v>
      </c>
      <c r="AZ1217" s="405" t="s">
        <v>4083</v>
      </c>
      <c r="BA1217" s="324" t="s">
        <v>210</v>
      </c>
      <c r="BB1217" s="324" t="s">
        <v>210</v>
      </c>
      <c r="BC1217" s="324" t="s">
        <v>210</v>
      </c>
      <c r="BD1217" s="324" t="s">
        <v>210</v>
      </c>
      <c r="BE1217" s="324" t="s">
        <v>9306</v>
      </c>
      <c r="BF1217" s="324" t="s">
        <v>3627</v>
      </c>
      <c r="BG1217" s="324" t="s">
        <v>9307</v>
      </c>
      <c r="BH1217" s="426" t="s">
        <v>9308</v>
      </c>
      <c r="BI1217" s="453">
        <v>1.1000000000000001</v>
      </c>
      <c r="BJ1217" s="427" t="s">
        <v>422</v>
      </c>
      <c r="BK1217" s="428" t="s">
        <v>9305</v>
      </c>
      <c r="BL1217" s="429">
        <v>0.9</v>
      </c>
      <c r="BM1217" s="429" t="s">
        <v>210</v>
      </c>
      <c r="BN1217" s="453" t="s">
        <v>622</v>
      </c>
      <c r="BO1217" s="464">
        <v>1.03</v>
      </c>
      <c r="BP1217" s="455" t="s">
        <v>210</v>
      </c>
      <c r="BQ1217" s="456" t="s">
        <v>6623</v>
      </c>
      <c r="BR1217" s="392" t="s">
        <v>210</v>
      </c>
      <c r="BS1217" s="342" t="s">
        <v>622</v>
      </c>
      <c r="BT1217" s="392" t="s">
        <v>210</v>
      </c>
      <c r="BU1217" s="392" t="s">
        <v>210</v>
      </c>
      <c r="BV1217" s="392" t="s">
        <v>210</v>
      </c>
      <c r="BW1217" s="392" t="s">
        <v>210</v>
      </c>
      <c r="BX1217" s="392" t="s">
        <v>210</v>
      </c>
      <c r="BY1217" s="457"/>
      <c r="BZ1217" s="363"/>
      <c r="CA1217" s="363"/>
      <c r="CB1217" s="363"/>
      <c r="CC1217" s="363"/>
    </row>
    <row r="1218" spans="1:82" ht="22.5" customHeight="1">
      <c r="B1218" s="442">
        <v>180296</v>
      </c>
      <c r="C1218" s="443" t="s">
        <v>9272</v>
      </c>
      <c r="D1218" s="439" t="s">
        <v>8595</v>
      </c>
      <c r="E1218" s="404" t="s">
        <v>5405</v>
      </c>
      <c r="F1218" s="405" t="s">
        <v>9273</v>
      </c>
      <c r="G1218" s="324" t="s">
        <v>9274</v>
      </c>
      <c r="H1218" s="324" t="s">
        <v>9275</v>
      </c>
      <c r="I1218" s="326" t="s">
        <v>383</v>
      </c>
      <c r="J1218" s="326" t="s">
        <v>399</v>
      </c>
      <c r="K1218" s="324" t="s">
        <v>9276</v>
      </c>
      <c r="L1218" s="342">
        <v>30</v>
      </c>
      <c r="M1218" s="324" t="s">
        <v>7457</v>
      </c>
      <c r="N1218" s="444" t="s">
        <v>9487</v>
      </c>
      <c r="O1218" s="324">
        <v>61</v>
      </c>
      <c r="P1218" s="445">
        <f>2430+250</f>
        <v>2680</v>
      </c>
      <c r="Q1218" s="446">
        <f>P1218</f>
        <v>2680</v>
      </c>
      <c r="R1218" s="420" t="s">
        <v>9277</v>
      </c>
      <c r="S1218" s="394" t="s">
        <v>11456</v>
      </c>
      <c r="T1218" s="394" t="s">
        <v>11457</v>
      </c>
      <c r="U1218" s="394" t="s">
        <v>12067</v>
      </c>
      <c r="V1218" s="394" t="s">
        <v>11458</v>
      </c>
      <c r="W1218" s="460" t="s">
        <v>9278</v>
      </c>
      <c r="X1218" s="394" t="s">
        <v>11456</v>
      </c>
      <c r="Y1218" s="394" t="s">
        <v>11457</v>
      </c>
      <c r="Z1218" s="394" t="s">
        <v>12067</v>
      </c>
      <c r="AA1218" s="394" t="s">
        <v>11458</v>
      </c>
      <c r="AB1218" s="416"/>
      <c r="AC1218" s="416"/>
      <c r="AD1218" s="996"/>
      <c r="AE1218" s="499" t="s">
        <v>966</v>
      </c>
      <c r="AF1218" s="462">
        <v>43593</v>
      </c>
      <c r="AG1218" s="748">
        <v>43658</v>
      </c>
      <c r="AH1218" s="417" t="s">
        <v>210</v>
      </c>
      <c r="AI1218" s="392" t="s">
        <v>210</v>
      </c>
      <c r="AJ1218" s="392" t="s">
        <v>210</v>
      </c>
      <c r="AK1218" s="340" t="s">
        <v>210</v>
      </c>
      <c r="AL1218" s="417" t="s">
        <v>210</v>
      </c>
      <c r="AM1218" s="392" t="s">
        <v>210</v>
      </c>
      <c r="AN1218" s="392" t="s">
        <v>210</v>
      </c>
      <c r="AO1218" s="341" t="s">
        <v>210</v>
      </c>
      <c r="AP1218" s="418" t="s">
        <v>210</v>
      </c>
      <c r="AQ1218" s="433" t="s">
        <v>4547</v>
      </c>
      <c r="AR1218" s="452">
        <f>2806+967</f>
        <v>3773</v>
      </c>
      <c r="AS1218" s="324">
        <v>100</v>
      </c>
      <c r="AT1218" s="432">
        <v>1.2</v>
      </c>
      <c r="AU1218" s="432" t="s">
        <v>9488</v>
      </c>
      <c r="AV1218" s="432">
        <v>1.5</v>
      </c>
      <c r="AW1218" s="432" t="s">
        <v>9488</v>
      </c>
      <c r="AX1218" s="453" t="s">
        <v>3483</v>
      </c>
      <c r="AY1218" s="429" t="s">
        <v>9489</v>
      </c>
      <c r="AZ1218" s="405" t="s">
        <v>622</v>
      </c>
      <c r="BA1218" s="324" t="s">
        <v>9490</v>
      </c>
      <c r="BB1218" s="324" t="s">
        <v>9491</v>
      </c>
      <c r="BC1218" s="324" t="s">
        <v>9492</v>
      </c>
      <c r="BD1218" s="324" t="s">
        <v>9491</v>
      </c>
      <c r="BE1218" s="324" t="s">
        <v>9493</v>
      </c>
      <c r="BF1218" s="324" t="s">
        <v>9491</v>
      </c>
      <c r="BG1218" s="324" t="s">
        <v>9494</v>
      </c>
      <c r="BH1218" s="426" t="s">
        <v>9495</v>
      </c>
      <c r="BI1218" s="453">
        <v>1.45</v>
      </c>
      <c r="BJ1218" s="427">
        <v>1.3</v>
      </c>
      <c r="BK1218" s="428" t="s">
        <v>9496</v>
      </c>
      <c r="BL1218" s="429">
        <v>2.7</v>
      </c>
      <c r="BM1218" s="429" t="s">
        <v>210</v>
      </c>
      <c r="BN1218" s="453" t="s">
        <v>622</v>
      </c>
      <c r="BO1218" s="464">
        <v>1.57</v>
      </c>
      <c r="BP1218" s="455" t="s">
        <v>622</v>
      </c>
      <c r="BQ1218" s="456" t="s">
        <v>9497</v>
      </c>
      <c r="BR1218" s="342" t="s">
        <v>622</v>
      </c>
      <c r="BS1218" s="342" t="s">
        <v>622</v>
      </c>
      <c r="BT1218" s="342" t="s">
        <v>622</v>
      </c>
      <c r="BU1218" s="392" t="s">
        <v>210</v>
      </c>
      <c r="BV1218" s="392" t="s">
        <v>210</v>
      </c>
      <c r="BW1218" s="392" t="s">
        <v>210</v>
      </c>
      <c r="BX1218" s="392" t="s">
        <v>210</v>
      </c>
      <c r="BY1218" s="457" t="s">
        <v>9597</v>
      </c>
      <c r="BZ1218" s="363"/>
      <c r="CA1218" s="363"/>
      <c r="CB1218" s="363"/>
      <c r="CC1218" s="363"/>
    </row>
    <row r="1219" spans="1:82" ht="22.5" customHeight="1">
      <c r="B1219" s="442">
        <v>180297</v>
      </c>
      <c r="C1219" s="443" t="s">
        <v>16798</v>
      </c>
      <c r="D1219" s="439" t="s">
        <v>4849</v>
      </c>
      <c r="E1219" s="404" t="s">
        <v>5405</v>
      </c>
      <c r="F1219" s="405" t="s">
        <v>9281</v>
      </c>
      <c r="G1219" s="324" t="s">
        <v>9282</v>
      </c>
      <c r="H1219" s="324" t="s">
        <v>9283</v>
      </c>
      <c r="I1219" s="326" t="s">
        <v>383</v>
      </c>
      <c r="J1219" s="326" t="s">
        <v>399</v>
      </c>
      <c r="K1219" s="324" t="s">
        <v>9284</v>
      </c>
      <c r="L1219" s="361"/>
      <c r="M1219" s="324" t="s">
        <v>7457</v>
      </c>
      <c r="N1219" s="444" t="s">
        <v>438</v>
      </c>
      <c r="O1219" s="324">
        <v>20</v>
      </c>
      <c r="P1219" s="445">
        <f>20*24</f>
        <v>480</v>
      </c>
      <c r="Q1219" s="446">
        <f>P1219</f>
        <v>480</v>
      </c>
      <c r="R1219" s="779" t="s">
        <v>9285</v>
      </c>
      <c r="S1219" s="394" t="s">
        <v>11309</v>
      </c>
      <c r="T1219" s="394" t="s">
        <v>11310</v>
      </c>
      <c r="U1219" s="400"/>
      <c r="V1219" s="394" t="s">
        <v>11311</v>
      </c>
      <c r="W1219" s="332" t="s">
        <v>9309</v>
      </c>
      <c r="X1219" s="332" t="s">
        <v>11452</v>
      </c>
      <c r="Y1219" s="332" t="s">
        <v>11455</v>
      </c>
      <c r="Z1219" s="332" t="s">
        <v>11454</v>
      </c>
      <c r="AA1219" s="1049" t="s">
        <v>11453</v>
      </c>
      <c r="AB1219" s="416"/>
      <c r="AC1219" s="416"/>
      <c r="AD1219" s="334" t="s">
        <v>2327</v>
      </c>
      <c r="AE1219" s="499" t="s">
        <v>2839</v>
      </c>
      <c r="AF1219" s="462">
        <v>43595</v>
      </c>
      <c r="AG1219" s="748">
        <v>43647</v>
      </c>
      <c r="AH1219" s="417" t="s">
        <v>210</v>
      </c>
      <c r="AI1219" s="392" t="s">
        <v>210</v>
      </c>
      <c r="AJ1219" s="392" t="s">
        <v>210</v>
      </c>
      <c r="AK1219" s="340" t="s">
        <v>210</v>
      </c>
      <c r="AL1219" s="417" t="s">
        <v>210</v>
      </c>
      <c r="AM1219" s="392" t="s">
        <v>210</v>
      </c>
      <c r="AN1219" s="496" t="s">
        <v>8760</v>
      </c>
      <c r="AO1219" s="341" t="s">
        <v>210</v>
      </c>
      <c r="AP1219" s="418" t="s">
        <v>622</v>
      </c>
      <c r="AQ1219" s="433" t="s">
        <v>4547</v>
      </c>
      <c r="AR1219" s="452">
        <v>734</v>
      </c>
      <c r="AS1219" s="324">
        <v>80</v>
      </c>
      <c r="AT1219" s="432">
        <v>1</v>
      </c>
      <c r="AU1219" s="432" t="s">
        <v>9372</v>
      </c>
      <c r="AV1219" s="432">
        <v>1.5</v>
      </c>
      <c r="AW1219" s="490" t="s">
        <v>9373</v>
      </c>
      <c r="AX1219" s="453" t="s">
        <v>210</v>
      </c>
      <c r="AY1219" s="429" t="s">
        <v>210</v>
      </c>
      <c r="AZ1219" s="405" t="s">
        <v>622</v>
      </c>
      <c r="BA1219" s="324" t="s">
        <v>9374</v>
      </c>
      <c r="BB1219" s="324" t="s">
        <v>9375</v>
      </c>
      <c r="BC1219" s="324" t="s">
        <v>9376</v>
      </c>
      <c r="BD1219" s="324" t="s">
        <v>6579</v>
      </c>
      <c r="BE1219" s="324" t="s">
        <v>9377</v>
      </c>
      <c r="BF1219" s="324" t="s">
        <v>6579</v>
      </c>
      <c r="BG1219" s="324" t="s">
        <v>9378</v>
      </c>
      <c r="BH1219" s="426" t="s">
        <v>9379</v>
      </c>
      <c r="BI1219" s="453">
        <v>2.2000000000000002</v>
      </c>
      <c r="BJ1219" s="427">
        <v>1.0900000000000001</v>
      </c>
      <c r="BK1219" s="428" t="s">
        <v>1726</v>
      </c>
      <c r="BL1219" s="429" t="s">
        <v>1726</v>
      </c>
      <c r="BM1219" s="429" t="s">
        <v>210</v>
      </c>
      <c r="BN1219" s="453" t="s">
        <v>622</v>
      </c>
      <c r="BO1219" s="464">
        <v>1.3</v>
      </c>
      <c r="BP1219" s="455" t="s">
        <v>622</v>
      </c>
      <c r="BQ1219" s="456" t="s">
        <v>5862</v>
      </c>
      <c r="BR1219" s="392" t="s">
        <v>210</v>
      </c>
      <c r="BS1219" s="392" t="s">
        <v>210</v>
      </c>
      <c r="BT1219" s="392" t="s">
        <v>210</v>
      </c>
      <c r="BU1219" s="392" t="s">
        <v>210</v>
      </c>
      <c r="BV1219" s="392" t="s">
        <v>210</v>
      </c>
      <c r="BW1219" s="392" t="s">
        <v>210</v>
      </c>
      <c r="BX1219" s="392" t="s">
        <v>210</v>
      </c>
      <c r="BY1219" s="457" t="s">
        <v>9429</v>
      </c>
      <c r="BZ1219" s="363"/>
      <c r="CA1219" s="363"/>
      <c r="CB1219" s="363"/>
      <c r="CC1219" s="363"/>
    </row>
    <row r="1220" spans="1:82" ht="22.5" customHeight="1">
      <c r="B1220" s="442">
        <v>180298</v>
      </c>
      <c r="C1220" s="443" t="s">
        <v>11447</v>
      </c>
      <c r="D1220" s="439" t="s">
        <v>4854</v>
      </c>
      <c r="E1220" s="404" t="s">
        <v>5405</v>
      </c>
      <c r="F1220" s="405" t="s">
        <v>9286</v>
      </c>
      <c r="G1220" s="324" t="s">
        <v>9287</v>
      </c>
      <c r="H1220" s="324" t="s">
        <v>9288</v>
      </c>
      <c r="I1220" s="326" t="s">
        <v>383</v>
      </c>
      <c r="J1220" s="326" t="s">
        <v>399</v>
      </c>
      <c r="K1220" s="324" t="s">
        <v>9289</v>
      </c>
      <c r="L1220" s="342">
        <v>15</v>
      </c>
      <c r="M1220" s="324" t="s">
        <v>7457</v>
      </c>
      <c r="N1220" s="444" t="s">
        <v>438</v>
      </c>
      <c r="O1220" s="324">
        <v>30</v>
      </c>
      <c r="P1220" s="458">
        <v>644</v>
      </c>
      <c r="Q1220" s="459">
        <v>686</v>
      </c>
      <c r="R1220" s="420" t="s">
        <v>9290</v>
      </c>
      <c r="S1220" s="394" t="s">
        <v>11451</v>
      </c>
      <c r="T1220" s="394" t="s">
        <v>11449</v>
      </c>
      <c r="U1220" s="394" t="s">
        <v>11448</v>
      </c>
      <c r="V1220" s="394" t="s">
        <v>11450</v>
      </c>
      <c r="W1220" s="332" t="s">
        <v>432</v>
      </c>
      <c r="X1220" s="332" t="s">
        <v>11079</v>
      </c>
      <c r="Y1220" s="332" t="s">
        <v>11080</v>
      </c>
      <c r="Z1220" s="332" t="s">
        <v>11080</v>
      </c>
      <c r="AA1220" s="331" t="s">
        <v>6574</v>
      </c>
      <c r="AB1220" s="416"/>
      <c r="AC1220" s="416"/>
      <c r="AD1220" s="447" t="s">
        <v>10414</v>
      </c>
      <c r="AE1220" s="499" t="s">
        <v>10413</v>
      </c>
      <c r="AF1220" s="462">
        <v>43595</v>
      </c>
      <c r="AG1220" s="748">
        <v>43756</v>
      </c>
      <c r="AH1220" s="453">
        <v>40.9</v>
      </c>
      <c r="AI1220" s="432">
        <v>30.3</v>
      </c>
      <c r="AJ1220" s="432">
        <v>8</v>
      </c>
      <c r="AK1220" s="340">
        <f>SUM(AH1220:AJ1220)</f>
        <v>79.2</v>
      </c>
      <c r="AL1220" s="417" t="s">
        <v>210</v>
      </c>
      <c r="AM1220" s="392" t="s">
        <v>210</v>
      </c>
      <c r="AN1220" s="341" t="s">
        <v>210</v>
      </c>
      <c r="AO1220" s="341" t="s">
        <v>210</v>
      </c>
      <c r="AP1220" s="418" t="s">
        <v>622</v>
      </c>
      <c r="AQ1220" s="433" t="s">
        <v>4547</v>
      </c>
      <c r="AR1220" s="452">
        <v>1276</v>
      </c>
      <c r="AS1220" s="324">
        <v>100</v>
      </c>
      <c r="AT1220" s="432">
        <v>1</v>
      </c>
      <c r="AU1220" s="432" t="s">
        <v>9847</v>
      </c>
      <c r="AV1220" s="432">
        <v>1.2</v>
      </c>
      <c r="AW1220" s="490" t="s">
        <v>9848</v>
      </c>
      <c r="AX1220" s="453" t="s">
        <v>210</v>
      </c>
      <c r="AY1220" s="429" t="s">
        <v>210</v>
      </c>
      <c r="AZ1220" s="405" t="s">
        <v>4083</v>
      </c>
      <c r="BA1220" s="324" t="s">
        <v>210</v>
      </c>
      <c r="BB1220" s="324" t="s">
        <v>210</v>
      </c>
      <c r="BC1220" s="324" t="s">
        <v>9849</v>
      </c>
      <c r="BD1220" s="324" t="s">
        <v>9850</v>
      </c>
      <c r="BE1220" s="324" t="s">
        <v>9851</v>
      </c>
      <c r="BF1220" s="324" t="s">
        <v>9850</v>
      </c>
      <c r="BG1220" s="324" t="s">
        <v>9852</v>
      </c>
      <c r="BH1220" s="426" t="s">
        <v>9853</v>
      </c>
      <c r="BI1220" s="453">
        <v>1.6</v>
      </c>
      <c r="BJ1220" s="427">
        <v>3.3</v>
      </c>
      <c r="BK1220" s="428" t="s">
        <v>9854</v>
      </c>
      <c r="BL1220" s="429">
        <v>1.4</v>
      </c>
      <c r="BM1220" s="429" t="s">
        <v>210</v>
      </c>
      <c r="BN1220" s="453" t="s">
        <v>622</v>
      </c>
      <c r="BO1220" s="464">
        <v>1.3</v>
      </c>
      <c r="BP1220" s="455" t="s">
        <v>622</v>
      </c>
      <c r="BQ1220" s="456" t="s">
        <v>7902</v>
      </c>
      <c r="BR1220" s="392" t="s">
        <v>210</v>
      </c>
      <c r="BS1220" s="342" t="s">
        <v>622</v>
      </c>
      <c r="BT1220" s="392" t="s">
        <v>210</v>
      </c>
      <c r="BU1220" s="342" t="s">
        <v>622</v>
      </c>
      <c r="BV1220" s="392" t="s">
        <v>210</v>
      </c>
      <c r="BW1220" s="392" t="s">
        <v>210</v>
      </c>
      <c r="BX1220" s="392" t="s">
        <v>210</v>
      </c>
      <c r="BY1220" s="457" t="s">
        <v>9855</v>
      </c>
      <c r="BZ1220" s="363"/>
      <c r="CA1220" s="363"/>
      <c r="CB1220" s="363"/>
      <c r="CC1220" s="363"/>
    </row>
    <row r="1221" spans="1:82" ht="22.5" customHeight="1">
      <c r="B1221" s="442">
        <v>180299</v>
      </c>
      <c r="C1221" s="443" t="s">
        <v>9334</v>
      </c>
      <c r="D1221" s="439" t="s">
        <v>8595</v>
      </c>
      <c r="E1221" s="404" t="s">
        <v>6879</v>
      </c>
      <c r="F1221" s="405" t="s">
        <v>7135</v>
      </c>
      <c r="G1221" s="324" t="s">
        <v>9335</v>
      </c>
      <c r="H1221" s="324" t="s">
        <v>9336</v>
      </c>
      <c r="I1221" s="326" t="s">
        <v>383</v>
      </c>
      <c r="J1221" s="324" t="s">
        <v>6632</v>
      </c>
      <c r="K1221" s="324" t="s">
        <v>247</v>
      </c>
      <c r="L1221" s="392" t="s">
        <v>210</v>
      </c>
      <c r="M1221" s="324" t="s">
        <v>7457</v>
      </c>
      <c r="N1221" s="444" t="s">
        <v>9456</v>
      </c>
      <c r="O1221" s="324">
        <v>30</v>
      </c>
      <c r="P1221" s="445">
        <f>Q1221+60</f>
        <v>1660</v>
      </c>
      <c r="Q1221" s="446">
        <v>1600</v>
      </c>
      <c r="R1221" s="420" t="s">
        <v>8870</v>
      </c>
      <c r="S1221" s="394" t="s">
        <v>11443</v>
      </c>
      <c r="T1221" s="394" t="s">
        <v>11444</v>
      </c>
      <c r="U1221" s="394" t="s">
        <v>16213</v>
      </c>
      <c r="V1221" s="394" t="s">
        <v>11446</v>
      </c>
      <c r="W1221" s="460" t="s">
        <v>9457</v>
      </c>
      <c r="X1221" s="394" t="s">
        <v>11443</v>
      </c>
      <c r="Y1221" s="394" t="s">
        <v>11444</v>
      </c>
      <c r="Z1221" s="394" t="s">
        <v>11445</v>
      </c>
      <c r="AA1221" s="394" t="s">
        <v>11446</v>
      </c>
      <c r="AB1221" s="416"/>
      <c r="AC1221" s="416"/>
      <c r="AD1221" s="447" t="s">
        <v>9442</v>
      </c>
      <c r="AE1221" s="1060"/>
      <c r="AF1221" s="462">
        <v>43600</v>
      </c>
      <c r="AG1221" s="748">
        <v>43658</v>
      </c>
      <c r="AH1221" s="417" t="s">
        <v>210</v>
      </c>
      <c r="AI1221" s="392" t="s">
        <v>210</v>
      </c>
      <c r="AJ1221" s="392" t="s">
        <v>210</v>
      </c>
      <c r="AK1221" s="340" t="s">
        <v>210</v>
      </c>
      <c r="AL1221" s="417" t="s">
        <v>210</v>
      </c>
      <c r="AM1221" s="392" t="s">
        <v>210</v>
      </c>
      <c r="AN1221" s="392" t="s">
        <v>210</v>
      </c>
      <c r="AO1221" s="341" t="s">
        <v>210</v>
      </c>
      <c r="AP1221" s="418" t="s">
        <v>210</v>
      </c>
      <c r="AQ1221" s="433" t="s">
        <v>4547</v>
      </c>
      <c r="AR1221" s="452">
        <f>1446+316+170+92</f>
        <v>2024</v>
      </c>
      <c r="AS1221" s="324">
        <v>100</v>
      </c>
      <c r="AT1221" s="432">
        <v>1</v>
      </c>
      <c r="AU1221" s="432" t="s">
        <v>9458</v>
      </c>
      <c r="AV1221" s="432">
        <v>1.5</v>
      </c>
      <c r="AW1221" s="490" t="s">
        <v>9459</v>
      </c>
      <c r="AX1221" s="453" t="s">
        <v>210</v>
      </c>
      <c r="AY1221" s="429" t="s">
        <v>210</v>
      </c>
      <c r="AZ1221" s="405" t="s">
        <v>4083</v>
      </c>
      <c r="BA1221" s="324" t="s">
        <v>210</v>
      </c>
      <c r="BB1221" s="324" t="s">
        <v>210</v>
      </c>
      <c r="BC1221" s="324" t="s">
        <v>9460</v>
      </c>
      <c r="BD1221" s="324" t="s">
        <v>9461</v>
      </c>
      <c r="BE1221" s="324" t="s">
        <v>9462</v>
      </c>
      <c r="BF1221" s="324" t="s">
        <v>4217</v>
      </c>
      <c r="BG1221" s="324" t="s">
        <v>9463</v>
      </c>
      <c r="BH1221" s="426" t="s">
        <v>9459</v>
      </c>
      <c r="BI1221" s="453">
        <v>4.9000000000000004</v>
      </c>
      <c r="BJ1221" s="427">
        <v>1.4</v>
      </c>
      <c r="BK1221" s="428" t="s">
        <v>9464</v>
      </c>
      <c r="BL1221" s="429">
        <v>1.5</v>
      </c>
      <c r="BM1221" s="429" t="s">
        <v>210</v>
      </c>
      <c r="BN1221" s="453" t="s">
        <v>622</v>
      </c>
      <c r="BO1221" s="464">
        <v>2.2200000000000002</v>
      </c>
      <c r="BP1221" s="455" t="s">
        <v>622</v>
      </c>
      <c r="BQ1221" s="456" t="s">
        <v>9905</v>
      </c>
      <c r="BR1221" s="392" t="s">
        <v>210</v>
      </c>
      <c r="BS1221" s="342" t="s">
        <v>622</v>
      </c>
      <c r="BT1221" s="392" t="s">
        <v>210</v>
      </c>
      <c r="BU1221" s="392" t="s">
        <v>210</v>
      </c>
      <c r="BV1221" s="392" t="s">
        <v>210</v>
      </c>
      <c r="BW1221" s="392" t="s">
        <v>210</v>
      </c>
      <c r="BX1221" s="392" t="s">
        <v>210</v>
      </c>
      <c r="BY1221" s="457" t="s">
        <v>9465</v>
      </c>
      <c r="BZ1221" s="363"/>
      <c r="CA1221" s="363"/>
      <c r="CB1221" s="363"/>
      <c r="CC1221" s="363"/>
    </row>
    <row r="1222" spans="1:82" ht="22.5" customHeight="1">
      <c r="B1222" s="442">
        <v>180300</v>
      </c>
      <c r="C1222" s="443" t="s">
        <v>9338</v>
      </c>
      <c r="D1222" s="439" t="s">
        <v>4849</v>
      </c>
      <c r="E1222" s="404" t="s">
        <v>5362</v>
      </c>
      <c r="F1222" s="405" t="s">
        <v>267</v>
      </c>
      <c r="G1222" s="324" t="s">
        <v>9339</v>
      </c>
      <c r="H1222" s="324" t="s">
        <v>9340</v>
      </c>
      <c r="I1222" s="326" t="s">
        <v>383</v>
      </c>
      <c r="J1222" s="326" t="s">
        <v>399</v>
      </c>
      <c r="K1222" s="324" t="s">
        <v>917</v>
      </c>
      <c r="L1222" s="392" t="s">
        <v>210</v>
      </c>
      <c r="M1222" s="324" t="s">
        <v>7457</v>
      </c>
      <c r="N1222" s="444" t="s">
        <v>437</v>
      </c>
      <c r="O1222" s="324" t="s">
        <v>9365</v>
      </c>
      <c r="P1222" s="458">
        <v>1104</v>
      </c>
      <c r="Q1222" s="459">
        <v>1193</v>
      </c>
      <c r="R1222" s="420" t="s">
        <v>9344</v>
      </c>
      <c r="S1222" s="394" t="s">
        <v>11439</v>
      </c>
      <c r="T1222" s="394" t="s">
        <v>11440</v>
      </c>
      <c r="U1222" s="394" t="s">
        <v>11441</v>
      </c>
      <c r="V1222" s="394" t="s">
        <v>11442</v>
      </c>
      <c r="W1222" s="460" t="s">
        <v>9341</v>
      </c>
      <c r="X1222" s="394" t="s">
        <v>11437</v>
      </c>
      <c r="Y1222" s="400"/>
      <c r="Z1222" s="400"/>
      <c r="AA1222" s="394" t="s">
        <v>11438</v>
      </c>
      <c r="AB1222" s="416"/>
      <c r="AC1222" s="416"/>
      <c r="AD1222" s="334" t="s">
        <v>9512</v>
      </c>
      <c r="AE1222" s="335" t="s">
        <v>210</v>
      </c>
      <c r="AF1222" s="462">
        <v>43600</v>
      </c>
      <c r="AG1222" s="748">
        <v>43626</v>
      </c>
      <c r="AH1222" s="417" t="s">
        <v>210</v>
      </c>
      <c r="AI1222" s="392" t="s">
        <v>210</v>
      </c>
      <c r="AJ1222" s="392" t="s">
        <v>210</v>
      </c>
      <c r="AK1222" s="340" t="s">
        <v>210</v>
      </c>
      <c r="AL1222" s="417" t="s">
        <v>210</v>
      </c>
      <c r="AM1222" s="392" t="s">
        <v>210</v>
      </c>
      <c r="AN1222" s="392" t="s">
        <v>210</v>
      </c>
      <c r="AO1222" s="341" t="s">
        <v>210</v>
      </c>
      <c r="AP1222" s="418" t="s">
        <v>210</v>
      </c>
      <c r="AQ1222" s="433" t="s">
        <v>4547</v>
      </c>
      <c r="AR1222" s="452">
        <v>1489</v>
      </c>
      <c r="AS1222" s="324">
        <v>100</v>
      </c>
      <c r="AT1222" s="432">
        <v>1</v>
      </c>
      <c r="AU1222" s="432" t="s">
        <v>9366</v>
      </c>
      <c r="AV1222" s="432">
        <v>1.5</v>
      </c>
      <c r="AW1222" s="490" t="s">
        <v>9367</v>
      </c>
      <c r="AX1222" s="453" t="s">
        <v>210</v>
      </c>
      <c r="AY1222" s="429" t="s">
        <v>295</v>
      </c>
      <c r="AZ1222" s="405" t="s">
        <v>4083</v>
      </c>
      <c r="BA1222" s="324" t="s">
        <v>210</v>
      </c>
      <c r="BB1222" s="324" t="s">
        <v>210</v>
      </c>
      <c r="BC1222" s="324" t="s">
        <v>9368</v>
      </c>
      <c r="BD1222" s="324" t="s">
        <v>6579</v>
      </c>
      <c r="BE1222" s="324" t="s">
        <v>9369</v>
      </c>
      <c r="BF1222" s="324" t="s">
        <v>6579</v>
      </c>
      <c r="BG1222" s="324" t="s">
        <v>9370</v>
      </c>
      <c r="BH1222" s="324" t="s">
        <v>6579</v>
      </c>
      <c r="BI1222" s="453">
        <v>1.7</v>
      </c>
      <c r="BJ1222" s="427">
        <v>0.8</v>
      </c>
      <c r="BK1222" s="428" t="s">
        <v>9421</v>
      </c>
      <c r="BL1222" s="429">
        <v>2.2999999999999998</v>
      </c>
      <c r="BM1222" s="429" t="s">
        <v>210</v>
      </c>
      <c r="BN1222" s="453" t="s">
        <v>309</v>
      </c>
      <c r="BO1222" s="464" t="s">
        <v>9299</v>
      </c>
      <c r="BP1222" s="455" t="s">
        <v>622</v>
      </c>
      <c r="BQ1222" s="456" t="s">
        <v>6623</v>
      </c>
      <c r="BR1222" s="392" t="s">
        <v>210</v>
      </c>
      <c r="BS1222" s="342" t="s">
        <v>622</v>
      </c>
      <c r="BT1222" s="392" t="s">
        <v>210</v>
      </c>
      <c r="BU1222" s="392" t="s">
        <v>210</v>
      </c>
      <c r="BV1222" s="392" t="s">
        <v>210</v>
      </c>
      <c r="BW1222" s="392" t="s">
        <v>210</v>
      </c>
      <c r="BX1222" s="392" t="s">
        <v>210</v>
      </c>
      <c r="BY1222" s="457" t="s">
        <v>9455</v>
      </c>
      <c r="BZ1222" s="363"/>
      <c r="CA1222" s="363"/>
      <c r="CB1222" s="363"/>
      <c r="CC1222" s="363"/>
    </row>
    <row r="1223" spans="1:82" ht="22.5" customHeight="1">
      <c r="B1223" s="442">
        <v>180301</v>
      </c>
      <c r="C1223" s="443" t="s">
        <v>11430</v>
      </c>
      <c r="D1223" s="467" t="s">
        <v>7463</v>
      </c>
      <c r="E1223" s="404" t="s">
        <v>5362</v>
      </c>
      <c r="F1223" s="405" t="s">
        <v>6678</v>
      </c>
      <c r="G1223" s="324" t="s">
        <v>9348</v>
      </c>
      <c r="H1223" s="324" t="s">
        <v>9349</v>
      </c>
      <c r="I1223" s="326" t="s">
        <v>383</v>
      </c>
      <c r="J1223" s="324" t="s">
        <v>9350</v>
      </c>
      <c r="K1223" s="324" t="s">
        <v>9351</v>
      </c>
      <c r="L1223" s="392" t="s">
        <v>210</v>
      </c>
      <c r="M1223" s="324" t="s">
        <v>7457</v>
      </c>
      <c r="N1223" s="444" t="s">
        <v>9414</v>
      </c>
      <c r="O1223" s="324">
        <v>100</v>
      </c>
      <c r="P1223" s="458">
        <f>497.93+715.5</f>
        <v>1213.43</v>
      </c>
      <c r="Q1223" s="459">
        <f>175.25+362.25</f>
        <v>537.5</v>
      </c>
      <c r="R1223" s="420" t="s">
        <v>9352</v>
      </c>
      <c r="S1223" s="394" t="s">
        <v>11431</v>
      </c>
      <c r="T1223" s="394" t="s">
        <v>11433</v>
      </c>
      <c r="U1223" s="394" t="s">
        <v>11432</v>
      </c>
      <c r="V1223" s="394" t="s">
        <v>11434</v>
      </c>
      <c r="W1223" s="460" t="s">
        <v>9424</v>
      </c>
      <c r="X1223" s="394" t="s">
        <v>11435</v>
      </c>
      <c r="Y1223" s="400"/>
      <c r="Z1223" s="400"/>
      <c r="AA1223" s="394" t="s">
        <v>11436</v>
      </c>
      <c r="AB1223" s="416"/>
      <c r="AC1223" s="416"/>
      <c r="AD1223" s="334" t="s">
        <v>2322</v>
      </c>
      <c r="AE1223" s="335" t="s">
        <v>210</v>
      </c>
      <c r="AF1223" s="462">
        <v>43600</v>
      </c>
      <c r="AG1223" s="748">
        <v>43698</v>
      </c>
      <c r="AH1223" s="417" t="s">
        <v>210</v>
      </c>
      <c r="AI1223" s="392" t="s">
        <v>210</v>
      </c>
      <c r="AJ1223" s="392" t="s">
        <v>210</v>
      </c>
      <c r="AK1223" s="340" t="s">
        <v>210</v>
      </c>
      <c r="AL1223" s="417" t="s">
        <v>210</v>
      </c>
      <c r="AM1223" s="392" t="s">
        <v>210</v>
      </c>
      <c r="AN1223" s="392" t="s">
        <v>210</v>
      </c>
      <c r="AO1223" s="341" t="s">
        <v>210</v>
      </c>
      <c r="AP1223" s="418" t="s">
        <v>210</v>
      </c>
      <c r="AQ1223" s="433" t="s">
        <v>4547</v>
      </c>
      <c r="AR1223" s="452">
        <f>391.7+325.3</f>
        <v>717</v>
      </c>
      <c r="AS1223" s="324">
        <v>100</v>
      </c>
      <c r="AT1223" s="432">
        <v>1</v>
      </c>
      <c r="AU1223" s="432" t="s">
        <v>9416</v>
      </c>
      <c r="AV1223" s="432">
        <v>3.2</v>
      </c>
      <c r="AW1223" s="432" t="s">
        <v>9415</v>
      </c>
      <c r="AX1223" s="453" t="s">
        <v>210</v>
      </c>
      <c r="AY1223" s="429" t="s">
        <v>210</v>
      </c>
      <c r="AZ1223" s="405" t="s">
        <v>4083</v>
      </c>
      <c r="BA1223" s="324" t="s">
        <v>210</v>
      </c>
      <c r="BB1223" s="324" t="s">
        <v>210</v>
      </c>
      <c r="BC1223" s="324" t="s">
        <v>9417</v>
      </c>
      <c r="BD1223" s="324" t="s">
        <v>9418</v>
      </c>
      <c r="BE1223" s="324" t="s">
        <v>9419</v>
      </c>
      <c r="BF1223" s="324" t="s">
        <v>9419</v>
      </c>
      <c r="BG1223" s="324" t="s">
        <v>9419</v>
      </c>
      <c r="BH1223" s="324" t="s">
        <v>9419</v>
      </c>
      <c r="BI1223" s="453">
        <v>1.2</v>
      </c>
      <c r="BJ1223" s="427" t="s">
        <v>8845</v>
      </c>
      <c r="BK1223" s="428" t="s">
        <v>9420</v>
      </c>
      <c r="BL1223" s="429">
        <v>1.1499999999999999</v>
      </c>
      <c r="BM1223" s="429" t="s">
        <v>210</v>
      </c>
      <c r="BN1223" s="453" t="s">
        <v>210</v>
      </c>
      <c r="BO1223" s="464" t="s">
        <v>210</v>
      </c>
      <c r="BP1223" s="455" t="s">
        <v>210</v>
      </c>
      <c r="BQ1223" s="456" t="s">
        <v>9422</v>
      </c>
      <c r="BR1223" s="342" t="s">
        <v>622</v>
      </c>
      <c r="BS1223" s="392" t="s">
        <v>210</v>
      </c>
      <c r="BT1223" s="392" t="s">
        <v>210</v>
      </c>
      <c r="BU1223" s="392" t="s">
        <v>210</v>
      </c>
      <c r="BV1223" s="392" t="s">
        <v>210</v>
      </c>
      <c r="BW1223" s="392" t="s">
        <v>210</v>
      </c>
      <c r="BX1223" s="392" t="s">
        <v>210</v>
      </c>
      <c r="BY1223" s="457" t="s">
        <v>9347</v>
      </c>
      <c r="BZ1223" s="363"/>
      <c r="CA1223" s="363"/>
      <c r="CB1223" s="363"/>
      <c r="CC1223" s="363"/>
    </row>
    <row r="1224" spans="1:82" s="465" customFormat="1" ht="22.5" customHeight="1">
      <c r="A1224" s="287"/>
      <c r="B1224" s="749">
        <v>180302</v>
      </c>
      <c r="C1224" s="781" t="s">
        <v>9406</v>
      </c>
      <c r="D1224" s="751" t="s">
        <v>4849</v>
      </c>
      <c r="E1224" s="752" t="s">
        <v>6879</v>
      </c>
      <c r="F1224" s="753" t="s">
        <v>9380</v>
      </c>
      <c r="G1224" s="754" t="s">
        <v>9381</v>
      </c>
      <c r="H1224" s="754" t="s">
        <v>9382</v>
      </c>
      <c r="I1224" s="662" t="s">
        <v>383</v>
      </c>
      <c r="J1224" s="662" t="s">
        <v>399</v>
      </c>
      <c r="K1224" s="754" t="s">
        <v>917</v>
      </c>
      <c r="L1224" s="676" t="s">
        <v>210</v>
      </c>
      <c r="M1224" s="754" t="s">
        <v>7457</v>
      </c>
      <c r="N1224" s="755" t="s">
        <v>437</v>
      </c>
      <c r="O1224" s="754" t="s">
        <v>435</v>
      </c>
      <c r="P1224" s="782">
        <v>1100</v>
      </c>
      <c r="Q1224" s="783">
        <v>1100</v>
      </c>
      <c r="R1224" s="667" t="s">
        <v>1570</v>
      </c>
      <c r="S1224" s="708" t="s">
        <v>11426</v>
      </c>
      <c r="T1224" s="708" t="s">
        <v>11428</v>
      </c>
      <c r="U1224" s="708" t="s">
        <v>11427</v>
      </c>
      <c r="V1224" s="708" t="s">
        <v>11429</v>
      </c>
      <c r="W1224" s="757" t="s">
        <v>1571</v>
      </c>
      <c r="X1224" s="708" t="s">
        <v>11422</v>
      </c>
      <c r="Y1224" s="708" t="s">
        <v>11425</v>
      </c>
      <c r="Z1224" s="708" t="s">
        <v>11423</v>
      </c>
      <c r="AA1224" s="708" t="s">
        <v>11424</v>
      </c>
      <c r="AB1224" s="758"/>
      <c r="AC1224" s="758"/>
      <c r="AD1224" s="759" t="s">
        <v>9892</v>
      </c>
      <c r="AE1224" s="672" t="s">
        <v>210</v>
      </c>
      <c r="AF1224" s="846">
        <v>43606</v>
      </c>
      <c r="AG1224" s="674">
        <v>43629</v>
      </c>
      <c r="AH1224" s="675" t="s">
        <v>210</v>
      </c>
      <c r="AI1224" s="676" t="s">
        <v>210</v>
      </c>
      <c r="AJ1224" s="676" t="s">
        <v>210</v>
      </c>
      <c r="AK1224" s="677" t="s">
        <v>210</v>
      </c>
      <c r="AL1224" s="675" t="s">
        <v>210</v>
      </c>
      <c r="AM1224" s="676" t="s">
        <v>210</v>
      </c>
      <c r="AN1224" s="676" t="s">
        <v>210</v>
      </c>
      <c r="AO1224" s="678" t="s">
        <v>210</v>
      </c>
      <c r="AP1224" s="784" t="s">
        <v>210</v>
      </c>
      <c r="AQ1224" s="762" t="s">
        <v>4547</v>
      </c>
      <c r="AR1224" s="763">
        <v>1538.3</v>
      </c>
      <c r="AS1224" s="754">
        <v>100</v>
      </c>
      <c r="AT1224" s="785">
        <v>1</v>
      </c>
      <c r="AU1224" s="785" t="s">
        <v>3627</v>
      </c>
      <c r="AV1224" s="785">
        <v>1.5</v>
      </c>
      <c r="AW1224" s="785" t="s">
        <v>3627</v>
      </c>
      <c r="AX1224" s="765" t="s">
        <v>210</v>
      </c>
      <c r="AY1224" s="766" t="s">
        <v>210</v>
      </c>
      <c r="AZ1224" s="753" t="s">
        <v>4083</v>
      </c>
      <c r="BA1224" s="754" t="s">
        <v>210</v>
      </c>
      <c r="BB1224" s="754" t="s">
        <v>210</v>
      </c>
      <c r="BC1224" s="754" t="s">
        <v>9507</v>
      </c>
      <c r="BD1224" s="754" t="s">
        <v>9508</v>
      </c>
      <c r="BE1224" s="754" t="s">
        <v>9509</v>
      </c>
      <c r="BF1224" s="754" t="s">
        <v>9510</v>
      </c>
      <c r="BG1224" s="754" t="s">
        <v>435</v>
      </c>
      <c r="BH1224" s="754" t="s">
        <v>435</v>
      </c>
      <c r="BI1224" s="765">
        <v>0.5</v>
      </c>
      <c r="BJ1224" s="768"/>
      <c r="BK1224" s="769" t="s">
        <v>435</v>
      </c>
      <c r="BL1224" s="766" t="s">
        <v>435</v>
      </c>
      <c r="BM1224" s="766" t="s">
        <v>210</v>
      </c>
      <c r="BN1224" s="765" t="s">
        <v>309</v>
      </c>
      <c r="BO1224" s="771" t="s">
        <v>435</v>
      </c>
      <c r="BP1224" s="772" t="s">
        <v>622</v>
      </c>
      <c r="BQ1224" s="773" t="s">
        <v>6623</v>
      </c>
      <c r="BR1224" s="676" t="s">
        <v>210</v>
      </c>
      <c r="BS1224" s="688" t="s">
        <v>622</v>
      </c>
      <c r="BT1224" s="676" t="s">
        <v>210</v>
      </c>
      <c r="BU1224" s="676" t="s">
        <v>210</v>
      </c>
      <c r="BV1224" s="676" t="s">
        <v>210</v>
      </c>
      <c r="BW1224" s="676" t="s">
        <v>210</v>
      </c>
      <c r="BX1224" s="676" t="s">
        <v>210</v>
      </c>
      <c r="BY1224" s="774" t="s">
        <v>10142</v>
      </c>
      <c r="BZ1224" s="483"/>
      <c r="CA1224" s="483"/>
      <c r="CB1224" s="483"/>
      <c r="CC1224" s="483"/>
      <c r="CD1224" s="484"/>
    </row>
    <row r="1225" spans="1:82" s="465" customFormat="1" ht="22.5" customHeight="1">
      <c r="A1225" s="287"/>
      <c r="B1225" s="749">
        <v>180303</v>
      </c>
      <c r="C1225" s="781" t="s">
        <v>9405</v>
      </c>
      <c r="D1225" s="751" t="s">
        <v>4849</v>
      </c>
      <c r="E1225" s="752" t="s">
        <v>6879</v>
      </c>
      <c r="F1225" s="753" t="s">
        <v>266</v>
      </c>
      <c r="G1225" s="754" t="s">
        <v>9407</v>
      </c>
      <c r="H1225" s="754" t="s">
        <v>9408</v>
      </c>
      <c r="I1225" s="662" t="s">
        <v>383</v>
      </c>
      <c r="J1225" s="662" t="s">
        <v>399</v>
      </c>
      <c r="K1225" s="754" t="s">
        <v>917</v>
      </c>
      <c r="L1225" s="676" t="s">
        <v>210</v>
      </c>
      <c r="M1225" s="754" t="s">
        <v>7457</v>
      </c>
      <c r="N1225" s="755" t="s">
        <v>437</v>
      </c>
      <c r="O1225" s="754" t="s">
        <v>435</v>
      </c>
      <c r="P1225" s="782">
        <v>590</v>
      </c>
      <c r="Q1225" s="783">
        <v>610</v>
      </c>
      <c r="R1225" s="667" t="s">
        <v>1570</v>
      </c>
      <c r="S1225" s="708" t="s">
        <v>11426</v>
      </c>
      <c r="T1225" s="708" t="s">
        <v>11428</v>
      </c>
      <c r="U1225" s="708" t="s">
        <v>11427</v>
      </c>
      <c r="V1225" s="708" t="s">
        <v>11429</v>
      </c>
      <c r="W1225" s="757" t="s">
        <v>1571</v>
      </c>
      <c r="X1225" s="708" t="s">
        <v>11422</v>
      </c>
      <c r="Y1225" s="708" t="s">
        <v>11425</v>
      </c>
      <c r="Z1225" s="708" t="s">
        <v>11423</v>
      </c>
      <c r="AA1225" s="708" t="s">
        <v>11424</v>
      </c>
      <c r="AB1225" s="758"/>
      <c r="AC1225" s="758"/>
      <c r="AD1225" s="759" t="s">
        <v>9892</v>
      </c>
      <c r="AE1225" s="672" t="s">
        <v>210</v>
      </c>
      <c r="AF1225" s="846">
        <v>43607</v>
      </c>
      <c r="AG1225" s="674">
        <v>43658</v>
      </c>
      <c r="AH1225" s="675" t="s">
        <v>210</v>
      </c>
      <c r="AI1225" s="676" t="s">
        <v>210</v>
      </c>
      <c r="AJ1225" s="676" t="s">
        <v>210</v>
      </c>
      <c r="AK1225" s="677" t="s">
        <v>210</v>
      </c>
      <c r="AL1225" s="675" t="s">
        <v>210</v>
      </c>
      <c r="AM1225" s="676" t="s">
        <v>210</v>
      </c>
      <c r="AN1225" s="676" t="s">
        <v>210</v>
      </c>
      <c r="AO1225" s="678" t="s">
        <v>210</v>
      </c>
      <c r="AP1225" s="784" t="s">
        <v>210</v>
      </c>
      <c r="AQ1225" s="762" t="s">
        <v>4547</v>
      </c>
      <c r="AR1225" s="763">
        <v>797</v>
      </c>
      <c r="AS1225" s="754">
        <v>100</v>
      </c>
      <c r="AT1225" s="785">
        <v>1</v>
      </c>
      <c r="AU1225" s="785" t="s">
        <v>3627</v>
      </c>
      <c r="AV1225" s="785">
        <v>1.5</v>
      </c>
      <c r="AW1225" s="764" t="s">
        <v>5730</v>
      </c>
      <c r="AX1225" s="765" t="s">
        <v>210</v>
      </c>
      <c r="AY1225" s="766" t="s">
        <v>210</v>
      </c>
      <c r="AZ1225" s="753" t="s">
        <v>622</v>
      </c>
      <c r="BA1225" s="754" t="s">
        <v>9490</v>
      </c>
      <c r="BB1225" s="764" t="s">
        <v>5730</v>
      </c>
      <c r="BC1225" s="754" t="s">
        <v>9780</v>
      </c>
      <c r="BD1225" s="764" t="s">
        <v>5730</v>
      </c>
      <c r="BE1225" s="754" t="s">
        <v>9781</v>
      </c>
      <c r="BF1225" s="754" t="s">
        <v>9782</v>
      </c>
      <c r="BG1225" s="754" t="s">
        <v>9782</v>
      </c>
      <c r="BH1225" s="767" t="s">
        <v>9781</v>
      </c>
      <c r="BI1225" s="765">
        <v>1.9</v>
      </c>
      <c r="BJ1225" s="768">
        <v>2</v>
      </c>
      <c r="BK1225" s="769" t="s">
        <v>9782</v>
      </c>
      <c r="BL1225" s="766" t="s">
        <v>9782</v>
      </c>
      <c r="BM1225" s="770" t="s">
        <v>9782</v>
      </c>
      <c r="BN1225" s="765" t="s">
        <v>622</v>
      </c>
      <c r="BO1225" s="771">
        <v>2.2000000000000002</v>
      </c>
      <c r="BP1225" s="772" t="s">
        <v>622</v>
      </c>
      <c r="BQ1225" s="773" t="s">
        <v>9783</v>
      </c>
      <c r="BR1225" s="676" t="s">
        <v>210</v>
      </c>
      <c r="BS1225" s="688" t="s">
        <v>622</v>
      </c>
      <c r="BT1225" s="676" t="s">
        <v>210</v>
      </c>
      <c r="BU1225" s="676" t="s">
        <v>210</v>
      </c>
      <c r="BV1225" s="676" t="s">
        <v>210</v>
      </c>
      <c r="BW1225" s="676" t="s">
        <v>210</v>
      </c>
      <c r="BX1225" s="676" t="s">
        <v>210</v>
      </c>
      <c r="BY1225" s="774" t="s">
        <v>10143</v>
      </c>
      <c r="BZ1225" s="483"/>
      <c r="CA1225" s="483"/>
      <c r="CB1225" s="483"/>
      <c r="CC1225" s="483"/>
      <c r="CD1225" s="484"/>
    </row>
    <row r="1226" spans="1:82" ht="22.5" customHeight="1">
      <c r="B1226" s="442">
        <v>180304</v>
      </c>
      <c r="C1226" s="443" t="s">
        <v>9401</v>
      </c>
      <c r="D1226" s="467" t="s">
        <v>7463</v>
      </c>
      <c r="E1226" s="404" t="s">
        <v>5362</v>
      </c>
      <c r="F1226" s="405" t="s">
        <v>9402</v>
      </c>
      <c r="G1226" s="324" t="s">
        <v>9403</v>
      </c>
      <c r="H1226" s="324" t="s">
        <v>9404</v>
      </c>
      <c r="I1226" s="326" t="s">
        <v>383</v>
      </c>
      <c r="J1226" s="326" t="s">
        <v>399</v>
      </c>
      <c r="K1226" s="324" t="s">
        <v>917</v>
      </c>
      <c r="L1226" s="392" t="s">
        <v>210</v>
      </c>
      <c r="M1226" s="324" t="s">
        <v>7457</v>
      </c>
      <c r="N1226" s="444" t="s">
        <v>9443</v>
      </c>
      <c r="O1226" s="324">
        <v>120</v>
      </c>
      <c r="P1226" s="445">
        <v>2400</v>
      </c>
      <c r="Q1226" s="446">
        <v>2400</v>
      </c>
      <c r="R1226" s="329" t="s">
        <v>1098</v>
      </c>
      <c r="S1226" s="394" t="s">
        <v>11420</v>
      </c>
      <c r="T1226" s="394" t="s">
        <v>12439</v>
      </c>
      <c r="U1226" s="394" t="s">
        <v>16310</v>
      </c>
      <c r="V1226" s="394" t="s">
        <v>11421</v>
      </c>
      <c r="W1226" s="460" t="s">
        <v>3800</v>
      </c>
      <c r="X1226" s="394" t="s">
        <v>11416</v>
      </c>
      <c r="Y1226" s="394" t="s">
        <v>11417</v>
      </c>
      <c r="Z1226" s="394" t="s">
        <v>11418</v>
      </c>
      <c r="AA1226" s="394" t="s">
        <v>11419</v>
      </c>
      <c r="AB1226" s="416"/>
      <c r="AC1226" s="416"/>
      <c r="AD1226" s="334" t="s">
        <v>2326</v>
      </c>
      <c r="AE1226" s="335" t="s">
        <v>210</v>
      </c>
      <c r="AF1226" s="462">
        <v>43607</v>
      </c>
      <c r="AG1226" s="748">
        <v>43642</v>
      </c>
      <c r="AH1226" s="417" t="s">
        <v>210</v>
      </c>
      <c r="AI1226" s="392" t="s">
        <v>210</v>
      </c>
      <c r="AJ1226" s="392" t="s">
        <v>210</v>
      </c>
      <c r="AK1226" s="340" t="s">
        <v>210</v>
      </c>
      <c r="AL1226" s="417" t="s">
        <v>210</v>
      </c>
      <c r="AM1226" s="392" t="s">
        <v>210</v>
      </c>
      <c r="AN1226" s="392" t="s">
        <v>210</v>
      </c>
      <c r="AO1226" s="341" t="s">
        <v>210</v>
      </c>
      <c r="AP1226" s="418" t="s">
        <v>210</v>
      </c>
      <c r="AQ1226" s="433" t="s">
        <v>4547</v>
      </c>
      <c r="AR1226" s="452">
        <f>2870+173</f>
        <v>3043</v>
      </c>
      <c r="AS1226" s="324">
        <v>100</v>
      </c>
      <c r="AT1226" s="432">
        <v>0.8</v>
      </c>
      <c r="AU1226" s="432" t="s">
        <v>9444</v>
      </c>
      <c r="AV1226" s="432">
        <v>2</v>
      </c>
      <c r="AW1226" s="490" t="s">
        <v>4208</v>
      </c>
      <c r="AX1226" s="453" t="s">
        <v>210</v>
      </c>
      <c r="AY1226" s="429" t="s">
        <v>9445</v>
      </c>
      <c r="AZ1226" s="405" t="s">
        <v>622</v>
      </c>
      <c r="BA1226" s="324" t="s">
        <v>9446</v>
      </c>
      <c r="BB1226" s="324" t="s">
        <v>9447</v>
      </c>
      <c r="BC1226" s="324" t="s">
        <v>9448</v>
      </c>
      <c r="BD1226" s="324" t="s">
        <v>9449</v>
      </c>
      <c r="BE1226" s="324" t="s">
        <v>9450</v>
      </c>
      <c r="BF1226" s="324" t="s">
        <v>9451</v>
      </c>
      <c r="BG1226" s="324" t="s">
        <v>9452</v>
      </c>
      <c r="BH1226" s="426" t="s">
        <v>9453</v>
      </c>
      <c r="BI1226" s="453">
        <v>1.5</v>
      </c>
      <c r="BJ1226" s="886" t="s">
        <v>8892</v>
      </c>
      <c r="BK1226" s="428" t="s">
        <v>9453</v>
      </c>
      <c r="BL1226" s="429">
        <v>3.6</v>
      </c>
      <c r="BM1226" s="429" t="s">
        <v>210</v>
      </c>
      <c r="BN1226" s="453" t="s">
        <v>622</v>
      </c>
      <c r="BO1226" s="464">
        <v>1.58</v>
      </c>
      <c r="BP1226" s="455" t="s">
        <v>210</v>
      </c>
      <c r="BQ1226" s="456" t="s">
        <v>6623</v>
      </c>
      <c r="BR1226" s="342" t="s">
        <v>622</v>
      </c>
      <c r="BS1226" s="342" t="s">
        <v>622</v>
      </c>
      <c r="BT1226" s="392" t="s">
        <v>210</v>
      </c>
      <c r="BU1226" s="392" t="s">
        <v>210</v>
      </c>
      <c r="BV1226" s="392" t="s">
        <v>210</v>
      </c>
      <c r="BW1226" s="392" t="s">
        <v>210</v>
      </c>
      <c r="BX1226" s="392" t="s">
        <v>210</v>
      </c>
      <c r="BY1226" s="457" t="s">
        <v>9454</v>
      </c>
      <c r="BZ1226" s="363"/>
      <c r="CA1226" s="363"/>
      <c r="CB1226" s="363"/>
      <c r="CC1226" s="363"/>
    </row>
    <row r="1227" spans="1:82" ht="22.5" customHeight="1">
      <c r="B1227" s="442">
        <v>180305</v>
      </c>
      <c r="C1227" s="443" t="s">
        <v>9410</v>
      </c>
      <c r="D1227" s="467" t="s">
        <v>4854</v>
      </c>
      <c r="E1227" s="368" t="s">
        <v>5363</v>
      </c>
      <c r="F1227" s="405" t="s">
        <v>264</v>
      </c>
      <c r="G1227" s="324" t="s">
        <v>9411</v>
      </c>
      <c r="H1227" s="324" t="s">
        <v>9412</v>
      </c>
      <c r="I1227" s="326" t="s">
        <v>383</v>
      </c>
      <c r="J1227" s="324" t="s">
        <v>7171</v>
      </c>
      <c r="K1227" s="324" t="s">
        <v>9413</v>
      </c>
      <c r="L1227" s="392" t="s">
        <v>210</v>
      </c>
      <c r="M1227" s="324" t="s">
        <v>7457</v>
      </c>
      <c r="N1227" s="444" t="s">
        <v>438</v>
      </c>
      <c r="O1227" s="324">
        <v>30</v>
      </c>
      <c r="P1227" s="445">
        <v>1000</v>
      </c>
      <c r="Q1227" s="446">
        <v>500</v>
      </c>
      <c r="R1227" s="329" t="s">
        <v>1620</v>
      </c>
      <c r="S1227" s="394" t="s">
        <v>12303</v>
      </c>
      <c r="T1227" s="394" t="s">
        <v>12304</v>
      </c>
      <c r="U1227" s="394" t="s">
        <v>16226</v>
      </c>
      <c r="V1227" s="394" t="s">
        <v>12305</v>
      </c>
      <c r="W1227" s="332" t="s">
        <v>432</v>
      </c>
      <c r="X1227" s="331" t="s">
        <v>11079</v>
      </c>
      <c r="Y1227" s="331" t="s">
        <v>11080</v>
      </c>
      <c r="Z1227" s="331" t="s">
        <v>11080</v>
      </c>
      <c r="AA1227" s="331" t="s">
        <v>6574</v>
      </c>
      <c r="AB1227" s="416" t="s">
        <v>10308</v>
      </c>
      <c r="AC1227" s="416"/>
      <c r="AD1227" s="447" t="s">
        <v>944</v>
      </c>
      <c r="AE1227" s="499" t="s">
        <v>10875</v>
      </c>
      <c r="AF1227" s="462">
        <v>43608</v>
      </c>
      <c r="AG1227" s="748">
        <v>43824</v>
      </c>
      <c r="AH1227" s="486" t="s">
        <v>10526</v>
      </c>
      <c r="AI1227" s="487" t="s">
        <v>10527</v>
      </c>
      <c r="AJ1227" s="487" t="s">
        <v>10528</v>
      </c>
      <c r="AK1227" s="451" t="s">
        <v>10529</v>
      </c>
      <c r="AL1227" s="417" t="s">
        <v>210</v>
      </c>
      <c r="AM1227" s="392" t="s">
        <v>210</v>
      </c>
      <c r="AN1227" s="392" t="s">
        <v>210</v>
      </c>
      <c r="AO1227" s="341" t="s">
        <v>210</v>
      </c>
      <c r="AP1227" s="418" t="s">
        <v>210</v>
      </c>
      <c r="AQ1227" s="433" t="s">
        <v>4547</v>
      </c>
      <c r="AR1227" s="452">
        <v>691</v>
      </c>
      <c r="AS1227" s="324">
        <v>150</v>
      </c>
      <c r="AT1227" s="432">
        <v>1</v>
      </c>
      <c r="AU1227" s="432" t="s">
        <v>10311</v>
      </c>
      <c r="AV1227" s="432">
        <v>1.5</v>
      </c>
      <c r="AW1227" s="490" t="s">
        <v>10312</v>
      </c>
      <c r="AX1227" s="453" t="s">
        <v>210</v>
      </c>
      <c r="AY1227" s="429" t="s">
        <v>8601</v>
      </c>
      <c r="AZ1227" s="405" t="s">
        <v>4083</v>
      </c>
      <c r="BA1227" s="324" t="s">
        <v>210</v>
      </c>
      <c r="BB1227" s="324" t="s">
        <v>210</v>
      </c>
      <c r="BC1227" s="324" t="s">
        <v>10313</v>
      </c>
      <c r="BD1227" s="324" t="s">
        <v>10314</v>
      </c>
      <c r="BE1227" s="324" t="s">
        <v>10313</v>
      </c>
      <c r="BF1227" s="324" t="s">
        <v>3512</v>
      </c>
      <c r="BG1227" s="324" t="s">
        <v>10315</v>
      </c>
      <c r="BH1227" s="426" t="s">
        <v>10316</v>
      </c>
      <c r="BI1227" s="453">
        <v>2.1</v>
      </c>
      <c r="BJ1227" s="427" t="s">
        <v>10530</v>
      </c>
      <c r="BK1227" s="428" t="s">
        <v>210</v>
      </c>
      <c r="BL1227" s="429" t="s">
        <v>210</v>
      </c>
      <c r="BM1227" s="429" t="s">
        <v>210</v>
      </c>
      <c r="BN1227" s="453" t="s">
        <v>622</v>
      </c>
      <c r="BO1227" s="464">
        <v>1.32</v>
      </c>
      <c r="BP1227" s="455" t="s">
        <v>210</v>
      </c>
      <c r="BQ1227" s="456" t="s">
        <v>10317</v>
      </c>
      <c r="BR1227" s="392" t="s">
        <v>210</v>
      </c>
      <c r="BS1227" s="342" t="s">
        <v>622</v>
      </c>
      <c r="BT1227" s="392" t="s">
        <v>210</v>
      </c>
      <c r="BU1227" s="392" t="s">
        <v>210</v>
      </c>
      <c r="BV1227" s="392" t="s">
        <v>210</v>
      </c>
      <c r="BW1227" s="392" t="s">
        <v>210</v>
      </c>
      <c r="BX1227" s="392" t="s">
        <v>210</v>
      </c>
      <c r="BY1227" s="457"/>
      <c r="BZ1227" s="363"/>
      <c r="CA1227" s="363"/>
      <c r="CB1227" s="363"/>
      <c r="CC1227" s="363"/>
    </row>
    <row r="1228" spans="1:82" s="465" customFormat="1" ht="22.5" customHeight="1">
      <c r="A1228" s="287"/>
      <c r="B1228" s="749">
        <v>180306</v>
      </c>
      <c r="C1228" s="781" t="s">
        <v>11412</v>
      </c>
      <c r="D1228" s="829" t="s">
        <v>9799</v>
      </c>
      <c r="E1228" s="752" t="s">
        <v>5362</v>
      </c>
      <c r="F1228" s="753" t="s">
        <v>9583</v>
      </c>
      <c r="G1228" s="754" t="s">
        <v>9656</v>
      </c>
      <c r="H1228" s="754" t="s">
        <v>9657</v>
      </c>
      <c r="I1228" s="662" t="s">
        <v>383</v>
      </c>
      <c r="J1228" s="662" t="s">
        <v>399</v>
      </c>
      <c r="K1228" s="754" t="s">
        <v>9584</v>
      </c>
      <c r="L1228" s="688"/>
      <c r="M1228" s="754" t="s">
        <v>7457</v>
      </c>
      <c r="N1228" s="755" t="s">
        <v>9800</v>
      </c>
      <c r="O1228" s="754">
        <v>20</v>
      </c>
      <c r="P1228" s="782">
        <f>1800*3</f>
        <v>5400</v>
      </c>
      <c r="Q1228" s="783">
        <f>P1228</f>
        <v>5400</v>
      </c>
      <c r="R1228" s="756" t="s">
        <v>9576</v>
      </c>
      <c r="S1228" s="708"/>
      <c r="T1228" s="708"/>
      <c r="U1228" s="708"/>
      <c r="V1228" s="708"/>
      <c r="W1228" s="757" t="s">
        <v>9577</v>
      </c>
      <c r="X1228" s="708" t="s">
        <v>11413</v>
      </c>
      <c r="Y1228" s="708" t="s">
        <v>11414</v>
      </c>
      <c r="Z1228" s="708" t="s">
        <v>16528</v>
      </c>
      <c r="AA1228" s="708" t="s">
        <v>11415</v>
      </c>
      <c r="AB1228" s="758"/>
      <c r="AC1228" s="758"/>
      <c r="AD1228" s="759"/>
      <c r="AE1228" s="760" t="s">
        <v>1720</v>
      </c>
      <c r="AF1228" s="846">
        <v>43613</v>
      </c>
      <c r="AG1228" s="674" t="s">
        <v>10514</v>
      </c>
      <c r="AH1228" s="675" t="s">
        <v>210</v>
      </c>
      <c r="AI1228" s="676" t="s">
        <v>210</v>
      </c>
      <c r="AJ1228" s="676" t="s">
        <v>210</v>
      </c>
      <c r="AK1228" s="677" t="s">
        <v>210</v>
      </c>
      <c r="AL1228" s="675" t="s">
        <v>210</v>
      </c>
      <c r="AM1228" s="676" t="s">
        <v>210</v>
      </c>
      <c r="AN1228" s="676" t="s">
        <v>210</v>
      </c>
      <c r="AO1228" s="678" t="s">
        <v>210</v>
      </c>
      <c r="AP1228" s="784" t="s">
        <v>622</v>
      </c>
      <c r="AQ1228" s="762" t="s">
        <v>4547</v>
      </c>
      <c r="AR1228" s="763">
        <f>2674+2604+2652</f>
        <v>7930</v>
      </c>
      <c r="AS1228" s="754">
        <v>100</v>
      </c>
      <c r="AT1228" s="785">
        <v>1</v>
      </c>
      <c r="AU1228" s="785" t="s">
        <v>9801</v>
      </c>
      <c r="AV1228" s="785">
        <v>1.5</v>
      </c>
      <c r="AW1228" s="764" t="s">
        <v>9802</v>
      </c>
      <c r="AX1228" s="765" t="s">
        <v>210</v>
      </c>
      <c r="AY1228" s="766" t="s">
        <v>210</v>
      </c>
      <c r="AZ1228" s="753" t="s">
        <v>4083</v>
      </c>
      <c r="BA1228" s="754" t="s">
        <v>210</v>
      </c>
      <c r="BB1228" s="754" t="s">
        <v>210</v>
      </c>
      <c r="BC1228" s="754" t="s">
        <v>210</v>
      </c>
      <c r="BD1228" s="754" t="s">
        <v>210</v>
      </c>
      <c r="BE1228" s="754" t="s">
        <v>9803</v>
      </c>
      <c r="BF1228" s="764" t="s">
        <v>9802</v>
      </c>
      <c r="BG1228" s="754" t="s">
        <v>3555</v>
      </c>
      <c r="BH1228" s="764" t="s">
        <v>9802</v>
      </c>
      <c r="BI1228" s="765" t="s">
        <v>9804</v>
      </c>
      <c r="BJ1228" s="768" t="s">
        <v>9805</v>
      </c>
      <c r="BK1228" s="769" t="s">
        <v>9806</v>
      </c>
      <c r="BL1228" s="766" t="s">
        <v>9806</v>
      </c>
      <c r="BM1228" s="770" t="s">
        <v>9806</v>
      </c>
      <c r="BN1228" s="765" t="s">
        <v>9806</v>
      </c>
      <c r="BO1228" s="771" t="s">
        <v>9806</v>
      </c>
      <c r="BP1228" s="772" t="s">
        <v>210</v>
      </c>
      <c r="BQ1228" s="773" t="s">
        <v>9807</v>
      </c>
      <c r="BR1228" s="688" t="s">
        <v>622</v>
      </c>
      <c r="BS1228" s="688" t="s">
        <v>622</v>
      </c>
      <c r="BT1228" s="676" t="s">
        <v>210</v>
      </c>
      <c r="BU1228" s="676" t="s">
        <v>210</v>
      </c>
      <c r="BV1228" s="676" t="s">
        <v>210</v>
      </c>
      <c r="BW1228" s="676" t="s">
        <v>210</v>
      </c>
      <c r="BX1228" s="676" t="s">
        <v>210</v>
      </c>
      <c r="BY1228" s="893" t="s">
        <v>9937</v>
      </c>
      <c r="BZ1228" s="894"/>
      <c r="CA1228" s="894"/>
      <c r="CB1228" s="894"/>
      <c r="CC1228" s="894"/>
      <c r="CD1228" s="484"/>
    </row>
    <row r="1229" spans="1:82" ht="22.5" customHeight="1">
      <c r="B1229" s="442">
        <v>180307</v>
      </c>
      <c r="C1229" s="443" t="s">
        <v>9430</v>
      </c>
      <c r="D1229" s="439" t="s">
        <v>4849</v>
      </c>
      <c r="E1229" s="404" t="s">
        <v>5362</v>
      </c>
      <c r="F1229" s="405" t="s">
        <v>222</v>
      </c>
      <c r="G1229" s="324" t="s">
        <v>9431</v>
      </c>
      <c r="H1229" s="324" t="s">
        <v>9553</v>
      </c>
      <c r="I1229" s="326" t="s">
        <v>383</v>
      </c>
      <c r="J1229" s="326" t="s">
        <v>399</v>
      </c>
      <c r="K1229" s="324" t="s">
        <v>917</v>
      </c>
      <c r="L1229" s="392" t="s">
        <v>210</v>
      </c>
      <c r="M1229" s="324" t="s">
        <v>7457</v>
      </c>
      <c r="N1229" s="444" t="s">
        <v>9554</v>
      </c>
      <c r="O1229" s="324">
        <v>180</v>
      </c>
      <c r="P1229" s="445">
        <v>1100</v>
      </c>
      <c r="Q1229" s="446">
        <f>P1229</f>
        <v>1100</v>
      </c>
      <c r="R1229" s="420" t="s">
        <v>13218</v>
      </c>
      <c r="S1229" s="394" t="s">
        <v>11408</v>
      </c>
      <c r="T1229" s="394" t="s">
        <v>11410</v>
      </c>
      <c r="U1229" s="394" t="s">
        <v>11409</v>
      </c>
      <c r="V1229" s="394" t="s">
        <v>11411</v>
      </c>
      <c r="W1229" s="460" t="s">
        <v>9433</v>
      </c>
      <c r="X1229" s="394" t="s">
        <v>11406</v>
      </c>
      <c r="Y1229" s="394" t="s">
        <v>11405</v>
      </c>
      <c r="Z1229" s="394" t="s">
        <v>11404</v>
      </c>
      <c r="AA1229" s="394" t="s">
        <v>11407</v>
      </c>
      <c r="AB1229" s="416"/>
      <c r="AC1229" s="416"/>
      <c r="AD1229" s="447" t="s">
        <v>9736</v>
      </c>
      <c r="AE1229" s="335" t="s">
        <v>210</v>
      </c>
      <c r="AF1229" s="462">
        <v>43613</v>
      </c>
      <c r="AG1229" s="748">
        <v>43658</v>
      </c>
      <c r="AH1229" s="417" t="s">
        <v>210</v>
      </c>
      <c r="AI1229" s="392" t="s">
        <v>210</v>
      </c>
      <c r="AJ1229" s="392" t="s">
        <v>210</v>
      </c>
      <c r="AK1229" s="340" t="s">
        <v>210</v>
      </c>
      <c r="AL1229" s="417" t="s">
        <v>210</v>
      </c>
      <c r="AM1229" s="392" t="s">
        <v>210</v>
      </c>
      <c r="AN1229" s="496" t="s">
        <v>9555</v>
      </c>
      <c r="AO1229" s="341" t="s">
        <v>210</v>
      </c>
      <c r="AP1229" s="418" t="s">
        <v>210</v>
      </c>
      <c r="AQ1229" s="433" t="s">
        <v>4547</v>
      </c>
      <c r="AR1229" s="452">
        <v>1593</v>
      </c>
      <c r="AS1229" s="324">
        <v>120</v>
      </c>
      <c r="AT1229" s="432">
        <v>1</v>
      </c>
      <c r="AU1229" s="432" t="s">
        <v>9556</v>
      </c>
      <c r="AV1229" s="432">
        <v>1.5</v>
      </c>
      <c r="AW1229" s="490" t="s">
        <v>9557</v>
      </c>
      <c r="AX1229" s="453" t="s">
        <v>210</v>
      </c>
      <c r="AY1229" s="429" t="s">
        <v>210</v>
      </c>
      <c r="AZ1229" s="405" t="s">
        <v>622</v>
      </c>
      <c r="BA1229" s="324" t="s">
        <v>9558</v>
      </c>
      <c r="BB1229" s="324" t="s">
        <v>9557</v>
      </c>
      <c r="BC1229" s="324" t="s">
        <v>9559</v>
      </c>
      <c r="BD1229" s="324" t="s">
        <v>9557</v>
      </c>
      <c r="BE1229" s="324" t="s">
        <v>9560</v>
      </c>
      <c r="BF1229" s="324" t="s">
        <v>9561</v>
      </c>
      <c r="BG1229" s="324" t="s">
        <v>9562</v>
      </c>
      <c r="BH1229" s="426" t="s">
        <v>9563</v>
      </c>
      <c r="BI1229" s="453">
        <v>1.1000000000000001</v>
      </c>
      <c r="BJ1229" s="427">
        <v>0.95</v>
      </c>
      <c r="BK1229" s="428" t="s">
        <v>9564</v>
      </c>
      <c r="BL1229" s="429">
        <v>5.9</v>
      </c>
      <c r="BM1229" s="430" t="s">
        <v>9917</v>
      </c>
      <c r="BN1229" s="453" t="s">
        <v>622</v>
      </c>
      <c r="BO1229" s="464">
        <v>1.2</v>
      </c>
      <c r="BP1229" s="455" t="s">
        <v>622</v>
      </c>
      <c r="BQ1229" s="456" t="s">
        <v>9905</v>
      </c>
      <c r="BR1229" s="392" t="s">
        <v>210</v>
      </c>
      <c r="BS1229" s="342" t="s">
        <v>622</v>
      </c>
      <c r="BT1229" s="392" t="s">
        <v>210</v>
      </c>
      <c r="BU1229" s="392" t="s">
        <v>210</v>
      </c>
      <c r="BV1229" s="392" t="s">
        <v>210</v>
      </c>
      <c r="BW1229" s="392" t="s">
        <v>210</v>
      </c>
      <c r="BX1229" s="392" t="s">
        <v>210</v>
      </c>
      <c r="BY1229" s="457" t="s">
        <v>9565</v>
      </c>
      <c r="BZ1229" s="363"/>
      <c r="CA1229" s="363"/>
      <c r="CB1229" s="363"/>
      <c r="CC1229" s="363"/>
    </row>
    <row r="1230" spans="1:82" ht="22.5" customHeight="1">
      <c r="B1230" s="442">
        <v>180308</v>
      </c>
      <c r="C1230" s="443" t="s">
        <v>9467</v>
      </c>
      <c r="D1230" s="467" t="s">
        <v>7463</v>
      </c>
      <c r="E1230" s="404" t="s">
        <v>5362</v>
      </c>
      <c r="F1230" s="405" t="s">
        <v>9468</v>
      </c>
      <c r="G1230" s="324" t="s">
        <v>9469</v>
      </c>
      <c r="H1230" s="324" t="s">
        <v>9470</v>
      </c>
      <c r="I1230" s="326" t="s">
        <v>383</v>
      </c>
      <c r="J1230" s="324" t="s">
        <v>7171</v>
      </c>
      <c r="K1230" s="324" t="s">
        <v>917</v>
      </c>
      <c r="L1230" s="392" t="s">
        <v>210</v>
      </c>
      <c r="M1230" s="324" t="s">
        <v>7457</v>
      </c>
      <c r="N1230" s="444" t="s">
        <v>9614</v>
      </c>
      <c r="O1230" s="324" t="s">
        <v>9615</v>
      </c>
      <c r="P1230" s="445">
        <f>Q1230*2</f>
        <v>3800</v>
      </c>
      <c r="Q1230" s="446">
        <v>1900</v>
      </c>
      <c r="R1230" s="420" t="s">
        <v>10522</v>
      </c>
      <c r="S1230" s="400"/>
      <c r="T1230" s="400"/>
      <c r="U1230" s="400"/>
      <c r="V1230" s="400"/>
      <c r="W1230" s="460" t="s">
        <v>10521</v>
      </c>
      <c r="X1230" s="394" t="s">
        <v>11401</v>
      </c>
      <c r="Y1230" s="394" t="s">
        <v>11402</v>
      </c>
      <c r="Z1230" s="394" t="s">
        <v>16467</v>
      </c>
      <c r="AA1230" s="394" t="s">
        <v>11403</v>
      </c>
      <c r="AB1230" s="416"/>
      <c r="AC1230" s="416"/>
      <c r="AD1230" s="447" t="s">
        <v>10070</v>
      </c>
      <c r="AE1230" s="499" t="s">
        <v>9981</v>
      </c>
      <c r="AF1230" s="462">
        <v>43615</v>
      </c>
      <c r="AG1230" s="748">
        <v>43706</v>
      </c>
      <c r="AH1230" s="417" t="s">
        <v>210</v>
      </c>
      <c r="AI1230" s="392" t="s">
        <v>210</v>
      </c>
      <c r="AJ1230" s="392" t="s">
        <v>210</v>
      </c>
      <c r="AK1230" s="340" t="s">
        <v>210</v>
      </c>
      <c r="AL1230" s="417" t="s">
        <v>210</v>
      </c>
      <c r="AM1230" s="392" t="s">
        <v>210</v>
      </c>
      <c r="AN1230" s="392" t="s">
        <v>210</v>
      </c>
      <c r="AO1230" s="341" t="s">
        <v>210</v>
      </c>
      <c r="AP1230" s="418" t="s">
        <v>210</v>
      </c>
      <c r="AQ1230" s="433" t="s">
        <v>4547</v>
      </c>
      <c r="AR1230" s="452">
        <f>1027+128</f>
        <v>1155</v>
      </c>
      <c r="AS1230" s="324">
        <v>150</v>
      </c>
      <c r="AT1230" s="432">
        <v>0.8</v>
      </c>
      <c r="AU1230" s="432" t="s">
        <v>9616</v>
      </c>
      <c r="AV1230" s="432">
        <v>1.5</v>
      </c>
      <c r="AW1230" s="490" t="s">
        <v>9617</v>
      </c>
      <c r="AX1230" s="453" t="s">
        <v>210</v>
      </c>
      <c r="AY1230" s="429" t="s">
        <v>9445</v>
      </c>
      <c r="AZ1230" s="405" t="s">
        <v>4083</v>
      </c>
      <c r="BA1230" s="324" t="s">
        <v>210</v>
      </c>
      <c r="BB1230" s="324" t="s">
        <v>210</v>
      </c>
      <c r="BC1230" s="324" t="s">
        <v>210</v>
      </c>
      <c r="BD1230" s="324" t="s">
        <v>210</v>
      </c>
      <c r="BE1230" s="324" t="s">
        <v>9618</v>
      </c>
      <c r="BF1230" s="324" t="s">
        <v>9619</v>
      </c>
      <c r="BG1230" s="324" t="s">
        <v>9620</v>
      </c>
      <c r="BH1230" s="490" t="s">
        <v>9617</v>
      </c>
      <c r="BI1230" s="453">
        <v>1.8</v>
      </c>
      <c r="BJ1230" s="427" t="s">
        <v>9621</v>
      </c>
      <c r="BK1230" s="428" t="s">
        <v>9615</v>
      </c>
      <c r="BL1230" s="429" t="s">
        <v>9615</v>
      </c>
      <c r="BM1230" s="430" t="s">
        <v>9622</v>
      </c>
      <c r="BN1230" s="453" t="s">
        <v>622</v>
      </c>
      <c r="BO1230" s="464">
        <v>1.1599999999999999</v>
      </c>
      <c r="BP1230" s="455" t="s">
        <v>9615</v>
      </c>
      <c r="BQ1230" s="456" t="s">
        <v>9623</v>
      </c>
      <c r="BR1230" s="392" t="s">
        <v>210</v>
      </c>
      <c r="BS1230" s="342" t="s">
        <v>622</v>
      </c>
      <c r="BT1230" s="392" t="s">
        <v>210</v>
      </c>
      <c r="BU1230" s="392" t="s">
        <v>210</v>
      </c>
      <c r="BV1230" s="392" t="s">
        <v>210</v>
      </c>
      <c r="BW1230" s="392" t="s">
        <v>210</v>
      </c>
      <c r="BX1230" s="392" t="s">
        <v>210</v>
      </c>
      <c r="BY1230" s="457" t="s">
        <v>9624</v>
      </c>
      <c r="BZ1230" s="363"/>
      <c r="CA1230" s="363"/>
      <c r="CB1230" s="363"/>
      <c r="CC1230" s="363"/>
    </row>
    <row r="1231" spans="1:82" ht="22.5" customHeight="1">
      <c r="B1231" s="442">
        <v>180309</v>
      </c>
      <c r="C1231" s="443" t="s">
        <v>9506</v>
      </c>
      <c r="D1231" s="439" t="s">
        <v>9582</v>
      </c>
      <c r="E1231" s="404" t="s">
        <v>9474</v>
      </c>
      <c r="F1231" s="405" t="s">
        <v>240</v>
      </c>
      <c r="G1231" s="324" t="s">
        <v>9586</v>
      </c>
      <c r="H1231" s="324" t="s">
        <v>10213</v>
      </c>
      <c r="I1231" s="326" t="s">
        <v>383</v>
      </c>
      <c r="J1231" s="326" t="s">
        <v>399</v>
      </c>
      <c r="K1231" s="324" t="s">
        <v>7456</v>
      </c>
      <c r="L1231" s="392" t="s">
        <v>210</v>
      </c>
      <c r="M1231" s="324" t="s">
        <v>7457</v>
      </c>
      <c r="N1231" s="444" t="s">
        <v>537</v>
      </c>
      <c r="O1231" s="324">
        <v>30</v>
      </c>
      <c r="P1231" s="445">
        <v>35</v>
      </c>
      <c r="Q1231" s="446">
        <f>P1231</f>
        <v>35</v>
      </c>
      <c r="R1231" s="420" t="s">
        <v>9587</v>
      </c>
      <c r="S1231" s="331" t="s">
        <v>11079</v>
      </c>
      <c r="T1231" s="331" t="s">
        <v>11079</v>
      </c>
      <c r="U1231" s="331" t="s">
        <v>11079</v>
      </c>
      <c r="V1231" s="331" t="s">
        <v>295</v>
      </c>
      <c r="W1231" s="460" t="s">
        <v>9588</v>
      </c>
      <c r="X1231" s="331" t="s">
        <v>11079</v>
      </c>
      <c r="Y1231" s="331" t="s">
        <v>11080</v>
      </c>
      <c r="Z1231" s="331" t="s">
        <v>11080</v>
      </c>
      <c r="AA1231" s="331" t="s">
        <v>6574</v>
      </c>
      <c r="AB1231" s="416" t="s">
        <v>7465</v>
      </c>
      <c r="AC1231" s="416"/>
      <c r="AD1231" s="447" t="s">
        <v>944</v>
      </c>
      <c r="AE1231" s="335" t="s">
        <v>210</v>
      </c>
      <c r="AF1231" s="1061"/>
      <c r="AG1231" s="449"/>
      <c r="AH1231" s="417" t="s">
        <v>210</v>
      </c>
      <c r="AI1231" s="392" t="s">
        <v>210</v>
      </c>
      <c r="AJ1231" s="392" t="s">
        <v>210</v>
      </c>
      <c r="AK1231" s="340" t="s">
        <v>210</v>
      </c>
      <c r="AL1231" s="417" t="s">
        <v>210</v>
      </c>
      <c r="AM1231" s="418" t="s">
        <v>622</v>
      </c>
      <c r="AN1231" s="392" t="s">
        <v>210</v>
      </c>
      <c r="AO1231" s="341" t="s">
        <v>210</v>
      </c>
      <c r="AP1231" s="418" t="s">
        <v>210</v>
      </c>
      <c r="AQ1231" s="433" t="s">
        <v>4547</v>
      </c>
      <c r="AR1231" s="452">
        <v>1140</v>
      </c>
      <c r="AS1231" s="324">
        <v>80</v>
      </c>
      <c r="AT1231" s="432">
        <v>1</v>
      </c>
      <c r="AU1231" s="432" t="s">
        <v>10218</v>
      </c>
      <c r="AV1231" s="432">
        <v>1.5</v>
      </c>
      <c r="AW1231" s="490" t="s">
        <v>10219</v>
      </c>
      <c r="AX1231" s="453" t="s">
        <v>210</v>
      </c>
      <c r="AY1231" s="429" t="s">
        <v>210</v>
      </c>
      <c r="AZ1231" s="405" t="s">
        <v>4083</v>
      </c>
      <c r="BA1231" s="324" t="s">
        <v>210</v>
      </c>
      <c r="BB1231" s="324" t="s">
        <v>210</v>
      </c>
      <c r="BC1231" s="324" t="s">
        <v>210</v>
      </c>
      <c r="BD1231" s="324" t="s">
        <v>210</v>
      </c>
      <c r="BE1231" s="324" t="s">
        <v>10214</v>
      </c>
      <c r="BF1231" s="324" t="s">
        <v>6579</v>
      </c>
      <c r="BG1231" s="324" t="s">
        <v>10214</v>
      </c>
      <c r="BH1231" s="426" t="s">
        <v>10215</v>
      </c>
      <c r="BI1231" s="453">
        <v>1.6</v>
      </c>
      <c r="BJ1231" s="427" t="s">
        <v>10216</v>
      </c>
      <c r="BK1231" s="428" t="s">
        <v>10217</v>
      </c>
      <c r="BL1231" s="429">
        <f>3.7+1.1+2.1</f>
        <v>6.9</v>
      </c>
      <c r="BM1231" s="430" t="s">
        <v>210</v>
      </c>
      <c r="BN1231" s="453" t="s">
        <v>622</v>
      </c>
      <c r="BO1231" s="464">
        <v>1.06</v>
      </c>
      <c r="BP1231" s="455" t="s">
        <v>210</v>
      </c>
      <c r="BQ1231" s="456" t="s">
        <v>5862</v>
      </c>
      <c r="BR1231" s="392" t="s">
        <v>210</v>
      </c>
      <c r="BS1231" s="342" t="s">
        <v>622</v>
      </c>
      <c r="BT1231" s="392" t="s">
        <v>210</v>
      </c>
      <c r="BU1231" s="392" t="s">
        <v>210</v>
      </c>
      <c r="BV1231" s="392" t="s">
        <v>210</v>
      </c>
      <c r="BW1231" s="392" t="s">
        <v>210</v>
      </c>
      <c r="BX1231" s="392" t="s">
        <v>210</v>
      </c>
      <c r="BY1231" s="457" t="s">
        <v>9596</v>
      </c>
      <c r="BZ1231" s="363"/>
      <c r="CA1231" s="363"/>
      <c r="CB1231" s="363"/>
      <c r="CC1231" s="363"/>
    </row>
    <row r="1232" spans="1:82" ht="22.5" customHeight="1">
      <c r="B1232" s="442">
        <v>180310</v>
      </c>
      <c r="C1232" s="443" t="s">
        <v>9479</v>
      </c>
      <c r="D1232" s="439" t="s">
        <v>9572</v>
      </c>
      <c r="E1232" s="404" t="s">
        <v>6879</v>
      </c>
      <c r="F1232" s="405" t="s">
        <v>9476</v>
      </c>
      <c r="G1232" s="324" t="s">
        <v>9477</v>
      </c>
      <c r="H1232" s="324" t="s">
        <v>9478</v>
      </c>
      <c r="I1232" s="326" t="s">
        <v>383</v>
      </c>
      <c r="J1232" s="324" t="s">
        <v>6632</v>
      </c>
      <c r="K1232" s="324" t="s">
        <v>247</v>
      </c>
      <c r="L1232" s="392">
        <v>15</v>
      </c>
      <c r="M1232" s="324" t="s">
        <v>7457</v>
      </c>
      <c r="N1232" s="444" t="s">
        <v>10049</v>
      </c>
      <c r="O1232" s="324">
        <v>150</v>
      </c>
      <c r="P1232" s="458">
        <v>6833.96</v>
      </c>
      <c r="Q1232" s="459">
        <v>5547.46</v>
      </c>
      <c r="R1232" s="420" t="s">
        <v>9480</v>
      </c>
      <c r="S1232" s="394" t="s">
        <v>11397</v>
      </c>
      <c r="T1232" s="394" t="s">
        <v>11398</v>
      </c>
      <c r="U1232" s="394" t="s">
        <v>11400</v>
      </c>
      <c r="V1232" s="394" t="s">
        <v>11399</v>
      </c>
      <c r="W1232" s="460" t="s">
        <v>9480</v>
      </c>
      <c r="X1232" s="394" t="s">
        <v>11397</v>
      </c>
      <c r="Y1232" s="394" t="s">
        <v>11398</v>
      </c>
      <c r="Z1232" s="394" t="s">
        <v>11400</v>
      </c>
      <c r="AA1232" s="394" t="s">
        <v>11399</v>
      </c>
      <c r="AB1232" s="416"/>
      <c r="AC1232" s="416"/>
      <c r="AD1232" s="447" t="s">
        <v>10275</v>
      </c>
      <c r="AE1232" s="499" t="s">
        <v>10188</v>
      </c>
      <c r="AF1232" s="462">
        <v>43619</v>
      </c>
      <c r="AG1232" s="748">
        <v>43725</v>
      </c>
      <c r="AH1232" s="417" t="s">
        <v>210</v>
      </c>
      <c r="AI1232" s="392" t="s">
        <v>210</v>
      </c>
      <c r="AJ1232" s="392" t="s">
        <v>210</v>
      </c>
      <c r="AK1232" s="340" t="s">
        <v>210</v>
      </c>
      <c r="AL1232" s="417" t="s">
        <v>210</v>
      </c>
      <c r="AM1232" s="392" t="s">
        <v>210</v>
      </c>
      <c r="AN1232" s="392" t="s">
        <v>210</v>
      </c>
      <c r="AO1232" s="341" t="s">
        <v>210</v>
      </c>
      <c r="AP1232" s="418" t="s">
        <v>210</v>
      </c>
      <c r="AQ1232" s="433" t="s">
        <v>4547</v>
      </c>
      <c r="AR1232" s="452">
        <f>6254+1091</f>
        <v>7345</v>
      </c>
      <c r="AS1232" s="324">
        <v>120</v>
      </c>
      <c r="AT1232" s="432">
        <v>1</v>
      </c>
      <c r="AU1232" s="432" t="s">
        <v>10050</v>
      </c>
      <c r="AV1232" s="432">
        <v>1.5</v>
      </c>
      <c r="AW1232" s="490" t="s">
        <v>10051</v>
      </c>
      <c r="AX1232" s="453" t="s">
        <v>210</v>
      </c>
      <c r="AY1232" s="429" t="s">
        <v>210</v>
      </c>
      <c r="AZ1232" s="405" t="s">
        <v>4083</v>
      </c>
      <c r="BA1232" s="324" t="s">
        <v>210</v>
      </c>
      <c r="BB1232" s="324" t="s">
        <v>210</v>
      </c>
      <c r="BC1232" s="324" t="s">
        <v>210</v>
      </c>
      <c r="BD1232" s="324" t="s">
        <v>210</v>
      </c>
      <c r="BE1232" s="324" t="s">
        <v>3475</v>
      </c>
      <c r="BF1232" s="324" t="s">
        <v>9557</v>
      </c>
      <c r="BG1232" s="324" t="s">
        <v>10052</v>
      </c>
      <c r="BH1232" s="324" t="s">
        <v>9557</v>
      </c>
      <c r="BI1232" s="453">
        <v>0.7</v>
      </c>
      <c r="BJ1232" s="427">
        <v>2.5299999999999998</v>
      </c>
      <c r="BK1232" s="428" t="s">
        <v>10053</v>
      </c>
      <c r="BL1232" s="429">
        <f>1.2+1.4+1.45+1+0.85+1.75+3.45+1.05</f>
        <v>12.15</v>
      </c>
      <c r="BM1232" s="430" t="s">
        <v>210</v>
      </c>
      <c r="BN1232" s="453" t="s">
        <v>622</v>
      </c>
      <c r="BO1232" s="464">
        <v>1.38</v>
      </c>
      <c r="BP1232" s="455" t="s">
        <v>622</v>
      </c>
      <c r="BQ1232" s="456" t="s">
        <v>10054</v>
      </c>
      <c r="BR1232" s="342" t="s">
        <v>622</v>
      </c>
      <c r="BS1232" s="342" t="s">
        <v>622</v>
      </c>
      <c r="BT1232" s="392" t="s">
        <v>210</v>
      </c>
      <c r="BU1232" s="392" t="s">
        <v>210</v>
      </c>
      <c r="BV1232" s="392" t="s">
        <v>210</v>
      </c>
      <c r="BW1232" s="392" t="s">
        <v>210</v>
      </c>
      <c r="BX1232" s="392" t="s">
        <v>210</v>
      </c>
      <c r="BY1232" s="457" t="s">
        <v>10055</v>
      </c>
      <c r="BZ1232" s="363"/>
      <c r="CA1232" s="363"/>
      <c r="CB1232" s="363"/>
      <c r="CC1232" s="363"/>
    </row>
    <row r="1233" spans="1:82" s="465" customFormat="1" ht="22.5" customHeight="1">
      <c r="A1233" s="287"/>
      <c r="B1233" s="749">
        <v>180311</v>
      </c>
      <c r="C1233" s="781" t="s">
        <v>9481</v>
      </c>
      <c r="D1233" s="829" t="s">
        <v>7463</v>
      </c>
      <c r="E1233" s="752" t="s">
        <v>5405</v>
      </c>
      <c r="F1233" s="753" t="s">
        <v>238</v>
      </c>
      <c r="G1233" s="754" t="s">
        <v>9482</v>
      </c>
      <c r="H1233" s="754" t="s">
        <v>9483</v>
      </c>
      <c r="I1233" s="662" t="s">
        <v>383</v>
      </c>
      <c r="J1233" s="662" t="s">
        <v>399</v>
      </c>
      <c r="K1233" s="754" t="s">
        <v>917</v>
      </c>
      <c r="L1233" s="676" t="s">
        <v>210</v>
      </c>
      <c r="M1233" s="754" t="s">
        <v>7457</v>
      </c>
      <c r="N1233" s="755" t="s">
        <v>9542</v>
      </c>
      <c r="O1233" s="754">
        <v>30</v>
      </c>
      <c r="P1233" s="782">
        <v>1322</v>
      </c>
      <c r="Q1233" s="783">
        <v>1362</v>
      </c>
      <c r="R1233" s="756" t="s">
        <v>9484</v>
      </c>
      <c r="S1233" s="708" t="s">
        <v>11395</v>
      </c>
      <c r="T1233" s="708" t="s">
        <v>11393</v>
      </c>
      <c r="U1233" s="708"/>
      <c r="V1233" s="708" t="s">
        <v>11394</v>
      </c>
      <c r="W1233" s="757" t="s">
        <v>9486</v>
      </c>
      <c r="X1233" s="708" t="s">
        <v>11257</v>
      </c>
      <c r="Y1233" s="708" t="s">
        <v>11259</v>
      </c>
      <c r="Z1233" s="708" t="s">
        <v>11258</v>
      </c>
      <c r="AA1233" s="708" t="s">
        <v>11260</v>
      </c>
      <c r="AB1233" s="758"/>
      <c r="AC1233" s="758"/>
      <c r="AD1233" s="759"/>
      <c r="AE1233" s="672" t="s">
        <v>210</v>
      </c>
      <c r="AF1233" s="846">
        <v>43620</v>
      </c>
      <c r="AG1233" s="674" t="s">
        <v>10514</v>
      </c>
      <c r="AH1233" s="675" t="s">
        <v>210</v>
      </c>
      <c r="AI1233" s="676" t="s">
        <v>210</v>
      </c>
      <c r="AJ1233" s="676" t="s">
        <v>210</v>
      </c>
      <c r="AK1233" s="677" t="s">
        <v>210</v>
      </c>
      <c r="AL1233" s="675" t="s">
        <v>210</v>
      </c>
      <c r="AM1233" s="676" t="s">
        <v>210</v>
      </c>
      <c r="AN1233" s="676" t="s">
        <v>210</v>
      </c>
      <c r="AO1233" s="678" t="s">
        <v>210</v>
      </c>
      <c r="AP1233" s="1062" t="s">
        <v>622</v>
      </c>
      <c r="AQ1233" s="762" t="s">
        <v>4547</v>
      </c>
      <c r="AR1233" s="763">
        <v>1937</v>
      </c>
      <c r="AS1233" s="754">
        <v>120</v>
      </c>
      <c r="AT1233" s="785">
        <v>1</v>
      </c>
      <c r="AU1233" s="785" t="s">
        <v>9543</v>
      </c>
      <c r="AV1233" s="785">
        <v>1.5</v>
      </c>
      <c r="AW1233" s="785" t="s">
        <v>9543</v>
      </c>
      <c r="AX1233" s="765" t="s">
        <v>210</v>
      </c>
      <c r="AY1233" s="766" t="s">
        <v>210</v>
      </c>
      <c r="AZ1233" s="753" t="s">
        <v>4083</v>
      </c>
      <c r="BA1233" s="754" t="s">
        <v>210</v>
      </c>
      <c r="BB1233" s="754" t="s">
        <v>210</v>
      </c>
      <c r="BC1233" s="754" t="s">
        <v>9544</v>
      </c>
      <c r="BD1233" s="754" t="s">
        <v>9545</v>
      </c>
      <c r="BE1233" s="754" t="s">
        <v>9546</v>
      </c>
      <c r="BF1233" s="754" t="s">
        <v>9547</v>
      </c>
      <c r="BG1233" s="754" t="s">
        <v>9548</v>
      </c>
      <c r="BH1233" s="767" t="s">
        <v>9549</v>
      </c>
      <c r="BI1233" s="765">
        <v>1.7</v>
      </c>
      <c r="BJ1233" s="768">
        <v>1.5</v>
      </c>
      <c r="BK1233" s="769" t="s">
        <v>295</v>
      </c>
      <c r="BL1233" s="766" t="s">
        <v>295</v>
      </c>
      <c r="BM1233" s="766" t="s">
        <v>210</v>
      </c>
      <c r="BN1233" s="765" t="s">
        <v>622</v>
      </c>
      <c r="BO1233" s="771">
        <v>1.8</v>
      </c>
      <c r="BP1233" s="772" t="s">
        <v>622</v>
      </c>
      <c r="BQ1233" s="773" t="s">
        <v>6407</v>
      </c>
      <c r="BR1233" s="688" t="s">
        <v>622</v>
      </c>
      <c r="BS1233" s="688" t="s">
        <v>622</v>
      </c>
      <c r="BT1233" s="676" t="s">
        <v>210</v>
      </c>
      <c r="BU1233" s="676" t="s">
        <v>210</v>
      </c>
      <c r="BV1233" s="676" t="s">
        <v>210</v>
      </c>
      <c r="BW1233" s="676" t="s">
        <v>210</v>
      </c>
      <c r="BX1233" s="676" t="s">
        <v>210</v>
      </c>
      <c r="BY1233" s="774" t="s">
        <v>10609</v>
      </c>
      <c r="BZ1233" s="483"/>
      <c r="CA1233" s="483"/>
      <c r="CB1233" s="483"/>
      <c r="CC1233" s="483"/>
      <c r="CD1233" s="484"/>
    </row>
    <row r="1234" spans="1:82" ht="22.5" customHeight="1">
      <c r="B1234" s="442">
        <v>180312</v>
      </c>
      <c r="C1234" s="443" t="s">
        <v>11390</v>
      </c>
      <c r="D1234" s="439" t="s">
        <v>9590</v>
      </c>
      <c r="E1234" s="404" t="s">
        <v>6879</v>
      </c>
      <c r="F1234" s="405" t="s">
        <v>9498</v>
      </c>
      <c r="G1234" s="324" t="s">
        <v>9499</v>
      </c>
      <c r="H1234" s="324" t="s">
        <v>9500</v>
      </c>
      <c r="I1234" s="326" t="s">
        <v>383</v>
      </c>
      <c r="J1234" s="326" t="s">
        <v>399</v>
      </c>
      <c r="K1234" s="324" t="s">
        <v>977</v>
      </c>
      <c r="L1234" s="361"/>
      <c r="M1234" s="324" t="s">
        <v>7457</v>
      </c>
      <c r="N1234" s="444" t="s">
        <v>9602</v>
      </c>
      <c r="O1234" s="324">
        <v>37</v>
      </c>
      <c r="P1234" s="445">
        <f>1170+1518</f>
        <v>2688</v>
      </c>
      <c r="Q1234" s="446">
        <f>P1234</f>
        <v>2688</v>
      </c>
      <c r="R1234" s="420" t="s">
        <v>9501</v>
      </c>
      <c r="S1234" s="394" t="s">
        <v>11392</v>
      </c>
      <c r="T1234" s="400"/>
      <c r="U1234" s="400"/>
      <c r="V1234" s="394" t="s">
        <v>11391</v>
      </c>
      <c r="W1234" s="332" t="s">
        <v>644</v>
      </c>
      <c r="X1234" s="400"/>
      <c r="Y1234" s="400"/>
      <c r="Z1234" s="400"/>
      <c r="AA1234" s="400"/>
      <c r="AB1234" s="416" t="s">
        <v>9603</v>
      </c>
      <c r="AC1234" s="416"/>
      <c r="AD1234" s="447" t="s">
        <v>9969</v>
      </c>
      <c r="AE1234" s="499" t="s">
        <v>9970</v>
      </c>
      <c r="AF1234" s="462">
        <v>43622</v>
      </c>
      <c r="AG1234" s="748">
        <v>43684</v>
      </c>
      <c r="AH1234" s="417" t="s">
        <v>210</v>
      </c>
      <c r="AI1234" s="392" t="s">
        <v>210</v>
      </c>
      <c r="AJ1234" s="392" t="s">
        <v>210</v>
      </c>
      <c r="AK1234" s="340" t="s">
        <v>210</v>
      </c>
      <c r="AL1234" s="417" t="s">
        <v>210</v>
      </c>
      <c r="AM1234" s="392" t="s">
        <v>210</v>
      </c>
      <c r="AN1234" s="392" t="s">
        <v>210</v>
      </c>
      <c r="AO1234" s="341" t="s">
        <v>210</v>
      </c>
      <c r="AP1234" s="392" t="s">
        <v>210</v>
      </c>
      <c r="AQ1234" s="433" t="s">
        <v>4547</v>
      </c>
      <c r="AR1234" s="452">
        <f>2483+1466</f>
        <v>3949</v>
      </c>
      <c r="AS1234" s="324">
        <v>100</v>
      </c>
      <c r="AT1234" s="432">
        <v>1</v>
      </c>
      <c r="AU1234" s="432" t="s">
        <v>9604</v>
      </c>
      <c r="AV1234" s="432">
        <v>1.5</v>
      </c>
      <c r="AW1234" s="490" t="s">
        <v>9605</v>
      </c>
      <c r="AX1234" s="453" t="s">
        <v>210</v>
      </c>
      <c r="AY1234" s="429" t="s">
        <v>210</v>
      </c>
      <c r="AZ1234" s="405" t="s">
        <v>4083</v>
      </c>
      <c r="BA1234" s="324" t="s">
        <v>210</v>
      </c>
      <c r="BB1234" s="324" t="s">
        <v>210</v>
      </c>
      <c r="BC1234" s="324" t="s">
        <v>9606</v>
      </c>
      <c r="BD1234" s="324" t="s">
        <v>9607</v>
      </c>
      <c r="BE1234" s="324" t="s">
        <v>9606</v>
      </c>
      <c r="BF1234" s="324" t="s">
        <v>9608</v>
      </c>
      <c r="BG1234" s="324" t="s">
        <v>9609</v>
      </c>
      <c r="BH1234" s="426" t="s">
        <v>9610</v>
      </c>
      <c r="BI1234" s="453">
        <v>3.5</v>
      </c>
      <c r="BJ1234" s="427">
        <v>2.1</v>
      </c>
      <c r="BK1234" s="428" t="s">
        <v>9611</v>
      </c>
      <c r="BL1234" s="429">
        <v>4.9000000000000004</v>
      </c>
      <c r="BM1234" s="429" t="s">
        <v>210</v>
      </c>
      <c r="BN1234" s="453" t="s">
        <v>210</v>
      </c>
      <c r="BO1234" s="464" t="s">
        <v>210</v>
      </c>
      <c r="BP1234" s="455" t="s">
        <v>622</v>
      </c>
      <c r="BQ1234" s="456" t="s">
        <v>9612</v>
      </c>
      <c r="BR1234" s="342" t="s">
        <v>622</v>
      </c>
      <c r="BS1234" s="342" t="s">
        <v>622</v>
      </c>
      <c r="BT1234" s="392" t="s">
        <v>210</v>
      </c>
      <c r="BU1234" s="392" t="s">
        <v>210</v>
      </c>
      <c r="BV1234" s="392" t="s">
        <v>210</v>
      </c>
      <c r="BW1234" s="392" t="s">
        <v>210</v>
      </c>
      <c r="BX1234" s="392" t="s">
        <v>210</v>
      </c>
      <c r="BY1234" s="457" t="s">
        <v>9613</v>
      </c>
      <c r="BZ1234" s="363"/>
      <c r="CA1234" s="363"/>
      <c r="CB1234" s="363"/>
      <c r="CC1234" s="363"/>
    </row>
    <row r="1235" spans="1:82" ht="22.5" customHeight="1">
      <c r="B1235" s="442">
        <v>180313</v>
      </c>
      <c r="C1235" s="443" t="s">
        <v>9687</v>
      </c>
      <c r="D1235" s="467" t="s">
        <v>7463</v>
      </c>
      <c r="E1235" s="404" t="s">
        <v>5362</v>
      </c>
      <c r="F1235" s="405" t="s">
        <v>9517</v>
      </c>
      <c r="G1235" s="324" t="s">
        <v>9518</v>
      </c>
      <c r="H1235" s="324" t="s">
        <v>9519</v>
      </c>
      <c r="I1235" s="326" t="s">
        <v>383</v>
      </c>
      <c r="J1235" s="324" t="s">
        <v>7171</v>
      </c>
      <c r="K1235" s="324" t="s">
        <v>9115</v>
      </c>
      <c r="L1235" s="392" t="s">
        <v>210</v>
      </c>
      <c r="M1235" s="324" t="s">
        <v>6509</v>
      </c>
      <c r="N1235" s="444" t="s">
        <v>438</v>
      </c>
      <c r="O1235" s="324">
        <v>38</v>
      </c>
      <c r="P1235" s="445">
        <f>Q1235*2</f>
        <v>6400</v>
      </c>
      <c r="Q1235" s="446">
        <v>3200</v>
      </c>
      <c r="R1235" s="329" t="s">
        <v>9521</v>
      </c>
      <c r="S1235" s="394" t="s">
        <v>11385</v>
      </c>
      <c r="T1235" s="394" t="s">
        <v>11387</v>
      </c>
      <c r="U1235" s="394" t="s">
        <v>11386</v>
      </c>
      <c r="V1235" s="394" t="s">
        <v>11388</v>
      </c>
      <c r="W1235" s="460" t="s">
        <v>9525</v>
      </c>
      <c r="X1235" s="394" t="s">
        <v>15468</v>
      </c>
      <c r="Y1235" s="394" t="s">
        <v>15467</v>
      </c>
      <c r="Z1235" s="332" t="s">
        <v>16365</v>
      </c>
      <c r="AA1235" s="394" t="s">
        <v>11389</v>
      </c>
      <c r="AB1235" s="416" t="s">
        <v>9690</v>
      </c>
      <c r="AC1235" s="416"/>
      <c r="AD1235" s="447" t="s">
        <v>9989</v>
      </c>
      <c r="AE1235" s="499" t="s">
        <v>231</v>
      </c>
      <c r="AF1235" s="462">
        <v>43623</v>
      </c>
      <c r="AG1235" s="748">
        <v>43686</v>
      </c>
      <c r="AH1235" s="417" t="s">
        <v>210</v>
      </c>
      <c r="AI1235" s="392" t="s">
        <v>210</v>
      </c>
      <c r="AJ1235" s="392" t="s">
        <v>210</v>
      </c>
      <c r="AK1235" s="340" t="s">
        <v>210</v>
      </c>
      <c r="AL1235" s="1063" t="s">
        <v>622</v>
      </c>
      <c r="AM1235" s="392" t="s">
        <v>210</v>
      </c>
      <c r="AN1235" s="392" t="s">
        <v>210</v>
      </c>
      <c r="AO1235" s="341" t="s">
        <v>210</v>
      </c>
      <c r="AP1235" s="392" t="s">
        <v>210</v>
      </c>
      <c r="AQ1235" s="433" t="s">
        <v>4547</v>
      </c>
      <c r="AR1235" s="452">
        <v>3903</v>
      </c>
      <c r="AS1235" s="324">
        <v>180</v>
      </c>
      <c r="AT1235" s="432">
        <v>1</v>
      </c>
      <c r="AU1235" s="432" t="s">
        <v>9836</v>
      </c>
      <c r="AV1235" s="432">
        <v>3.35</v>
      </c>
      <c r="AW1235" s="490" t="s">
        <v>9837</v>
      </c>
      <c r="AX1235" s="453" t="s">
        <v>210</v>
      </c>
      <c r="AY1235" s="429" t="s">
        <v>210</v>
      </c>
      <c r="AZ1235" s="405" t="s">
        <v>4083</v>
      </c>
      <c r="BA1235" s="324" t="s">
        <v>210</v>
      </c>
      <c r="BB1235" s="324" t="s">
        <v>210</v>
      </c>
      <c r="BC1235" s="324" t="s">
        <v>210</v>
      </c>
      <c r="BD1235" s="324" t="s">
        <v>210</v>
      </c>
      <c r="BE1235" s="324" t="s">
        <v>9838</v>
      </c>
      <c r="BF1235" s="324" t="s">
        <v>6579</v>
      </c>
      <c r="BG1235" s="324" t="s">
        <v>9839</v>
      </c>
      <c r="BH1235" s="426" t="s">
        <v>9840</v>
      </c>
      <c r="BI1235" s="453">
        <v>0.5</v>
      </c>
      <c r="BJ1235" s="427">
        <v>2.93</v>
      </c>
      <c r="BK1235" s="428" t="s">
        <v>9841</v>
      </c>
      <c r="BL1235" s="429">
        <f>1.75+1.5+0.6+1.995</f>
        <v>5.8450000000000006</v>
      </c>
      <c r="BM1235" s="430" t="s">
        <v>210</v>
      </c>
      <c r="BN1235" s="453" t="s">
        <v>622</v>
      </c>
      <c r="BO1235" s="464">
        <v>1.69</v>
      </c>
      <c r="BP1235" s="455" t="s">
        <v>622</v>
      </c>
      <c r="BQ1235" s="456" t="s">
        <v>6623</v>
      </c>
      <c r="BR1235" s="342" t="s">
        <v>622</v>
      </c>
      <c r="BS1235" s="342" t="s">
        <v>622</v>
      </c>
      <c r="BT1235" s="392" t="s">
        <v>210</v>
      </c>
      <c r="BU1235" s="392" t="s">
        <v>210</v>
      </c>
      <c r="BV1235" s="392" t="s">
        <v>210</v>
      </c>
      <c r="BW1235" s="392" t="s">
        <v>210</v>
      </c>
      <c r="BX1235" s="392" t="s">
        <v>210</v>
      </c>
      <c r="BY1235" s="457" t="s">
        <v>9842</v>
      </c>
      <c r="BZ1235" s="363"/>
      <c r="CA1235" s="363"/>
      <c r="CB1235" s="363"/>
      <c r="CC1235" s="363"/>
    </row>
    <row r="1236" spans="1:82" s="465" customFormat="1" ht="22.5" customHeight="1">
      <c r="A1236" s="287"/>
      <c r="B1236" s="749" t="s">
        <v>9686</v>
      </c>
      <c r="C1236" s="781" t="s">
        <v>9688</v>
      </c>
      <c r="D1236" s="751"/>
      <c r="E1236" s="752" t="s">
        <v>5362</v>
      </c>
      <c r="F1236" s="753" t="s">
        <v>7337</v>
      </c>
      <c r="G1236" s="754" t="s">
        <v>9518</v>
      </c>
      <c r="H1236" s="754" t="s">
        <v>9519</v>
      </c>
      <c r="I1236" s="662" t="s">
        <v>383</v>
      </c>
      <c r="J1236" s="754"/>
      <c r="K1236" s="754"/>
      <c r="L1236" s="676" t="s">
        <v>210</v>
      </c>
      <c r="M1236" s="754"/>
      <c r="N1236" s="755"/>
      <c r="O1236" s="754"/>
      <c r="P1236" s="782"/>
      <c r="Q1236" s="783"/>
      <c r="R1236" s="756" t="s">
        <v>9693</v>
      </c>
      <c r="S1236" s="708" t="s">
        <v>11384</v>
      </c>
      <c r="T1236" s="708"/>
      <c r="U1236" s="708"/>
      <c r="V1236" s="708"/>
      <c r="W1236" s="757" t="s">
        <v>9692</v>
      </c>
      <c r="X1236" s="708" t="s">
        <v>11380</v>
      </c>
      <c r="Y1236" s="708" t="s">
        <v>11381</v>
      </c>
      <c r="Z1236" s="708" t="s">
        <v>11382</v>
      </c>
      <c r="AA1236" s="708" t="s">
        <v>11383</v>
      </c>
      <c r="AB1236" s="758" t="s">
        <v>9691</v>
      </c>
      <c r="AC1236" s="758"/>
      <c r="AD1236" s="759"/>
      <c r="AE1236" s="760"/>
      <c r="AF1236" s="846">
        <v>43623</v>
      </c>
      <c r="AG1236" s="674" t="s">
        <v>10514</v>
      </c>
      <c r="AH1236" s="675" t="s">
        <v>210</v>
      </c>
      <c r="AI1236" s="676" t="s">
        <v>210</v>
      </c>
      <c r="AJ1236" s="676" t="s">
        <v>210</v>
      </c>
      <c r="AK1236" s="677" t="s">
        <v>210</v>
      </c>
      <c r="AL1236" s="1062" t="s">
        <v>622</v>
      </c>
      <c r="AM1236" s="676" t="s">
        <v>210</v>
      </c>
      <c r="AN1236" s="676" t="s">
        <v>210</v>
      </c>
      <c r="AO1236" s="678" t="s">
        <v>210</v>
      </c>
      <c r="AP1236" s="676" t="s">
        <v>210</v>
      </c>
      <c r="AQ1236" s="762" t="s">
        <v>4547</v>
      </c>
      <c r="AR1236" s="763"/>
      <c r="AS1236" s="754"/>
      <c r="AT1236" s="785"/>
      <c r="AU1236" s="785"/>
      <c r="AV1236" s="785"/>
      <c r="AW1236" s="764"/>
      <c r="AX1236" s="765" t="s">
        <v>210</v>
      </c>
      <c r="AY1236" s="766" t="s">
        <v>210</v>
      </c>
      <c r="AZ1236" s="753"/>
      <c r="BA1236" s="754"/>
      <c r="BB1236" s="754"/>
      <c r="BC1236" s="754"/>
      <c r="BD1236" s="754"/>
      <c r="BE1236" s="754"/>
      <c r="BF1236" s="754"/>
      <c r="BG1236" s="754"/>
      <c r="BH1236" s="767"/>
      <c r="BI1236" s="765"/>
      <c r="BJ1236" s="768"/>
      <c r="BK1236" s="769"/>
      <c r="BL1236" s="766"/>
      <c r="BM1236" s="770"/>
      <c r="BN1236" s="765"/>
      <c r="BO1236" s="771"/>
      <c r="BP1236" s="772"/>
      <c r="BQ1236" s="773" t="s">
        <v>9908</v>
      </c>
      <c r="BR1236" s="688"/>
      <c r="BS1236" s="688" t="s">
        <v>622</v>
      </c>
      <c r="BT1236" s="676" t="s">
        <v>210</v>
      </c>
      <c r="BU1236" s="676" t="s">
        <v>210</v>
      </c>
      <c r="BV1236" s="676" t="s">
        <v>210</v>
      </c>
      <c r="BW1236" s="676" t="s">
        <v>210</v>
      </c>
      <c r="BX1236" s="676" t="s">
        <v>210</v>
      </c>
      <c r="BY1236" s="774" t="s">
        <v>9768</v>
      </c>
      <c r="BZ1236" s="483"/>
      <c r="CA1236" s="483"/>
      <c r="CB1236" s="483"/>
      <c r="CC1236" s="483"/>
      <c r="CD1236" s="484"/>
    </row>
    <row r="1237" spans="1:82" ht="22.5" customHeight="1">
      <c r="B1237" s="442">
        <v>180314</v>
      </c>
      <c r="C1237" s="443" t="s">
        <v>9528</v>
      </c>
      <c r="D1237" s="439" t="s">
        <v>4849</v>
      </c>
      <c r="E1237" s="404" t="s">
        <v>5362</v>
      </c>
      <c r="F1237" s="405" t="s">
        <v>9529</v>
      </c>
      <c r="G1237" s="324" t="s">
        <v>9530</v>
      </c>
      <c r="H1237" s="324" t="s">
        <v>9531</v>
      </c>
      <c r="I1237" s="326" t="s">
        <v>383</v>
      </c>
      <c r="J1237" s="326" t="s">
        <v>399</v>
      </c>
      <c r="K1237" s="324" t="s">
        <v>977</v>
      </c>
      <c r="L1237" s="361"/>
      <c r="M1237" s="324" t="s">
        <v>7457</v>
      </c>
      <c r="N1237" s="444" t="s">
        <v>9747</v>
      </c>
      <c r="O1237" s="392" t="s">
        <v>210</v>
      </c>
      <c r="P1237" s="458">
        <v>1000</v>
      </c>
      <c r="Q1237" s="459">
        <v>1000</v>
      </c>
      <c r="R1237" s="420" t="s">
        <v>9532</v>
      </c>
      <c r="S1237" s="394" t="s">
        <v>11375</v>
      </c>
      <c r="T1237" s="394" t="s">
        <v>11374</v>
      </c>
      <c r="U1237" s="394" t="s">
        <v>11373</v>
      </c>
      <c r="V1237" s="394" t="s">
        <v>11372</v>
      </c>
      <c r="W1237" s="460" t="s">
        <v>9533</v>
      </c>
      <c r="X1237" s="394" t="s">
        <v>11376</v>
      </c>
      <c r="Y1237" s="394" t="s">
        <v>11377</v>
      </c>
      <c r="Z1237" s="394" t="s">
        <v>16521</v>
      </c>
      <c r="AA1237" s="394" t="s">
        <v>11378</v>
      </c>
      <c r="AB1237" s="416"/>
      <c r="AC1237" s="416"/>
      <c r="AD1237" s="447" t="s">
        <v>949</v>
      </c>
      <c r="AE1237" s="499" t="s">
        <v>7446</v>
      </c>
      <c r="AF1237" s="462">
        <v>43623</v>
      </c>
      <c r="AG1237" s="748">
        <v>43658</v>
      </c>
      <c r="AH1237" s="417" t="s">
        <v>210</v>
      </c>
      <c r="AI1237" s="392" t="s">
        <v>210</v>
      </c>
      <c r="AJ1237" s="392" t="s">
        <v>210</v>
      </c>
      <c r="AK1237" s="340" t="s">
        <v>210</v>
      </c>
      <c r="AL1237" s="417" t="s">
        <v>210</v>
      </c>
      <c r="AM1237" s="392" t="s">
        <v>210</v>
      </c>
      <c r="AN1237" s="392" t="s">
        <v>210</v>
      </c>
      <c r="AO1237" s="341" t="s">
        <v>210</v>
      </c>
      <c r="AP1237" s="392" t="s">
        <v>210</v>
      </c>
      <c r="AQ1237" s="433" t="s">
        <v>6405</v>
      </c>
      <c r="AR1237" s="452">
        <v>1148</v>
      </c>
      <c r="AS1237" s="324">
        <v>80</v>
      </c>
      <c r="AT1237" s="432">
        <v>1</v>
      </c>
      <c r="AU1237" s="432" t="s">
        <v>9742</v>
      </c>
      <c r="AV1237" s="432">
        <v>1.5</v>
      </c>
      <c r="AW1237" s="490" t="s">
        <v>9743</v>
      </c>
      <c r="AX1237" s="453" t="s">
        <v>210</v>
      </c>
      <c r="AY1237" s="429" t="s">
        <v>210</v>
      </c>
      <c r="AZ1237" s="405" t="s">
        <v>622</v>
      </c>
      <c r="BA1237" s="324" t="s">
        <v>9938</v>
      </c>
      <c r="BB1237" s="324" t="s">
        <v>9939</v>
      </c>
      <c r="BC1237" s="324" t="s">
        <v>9940</v>
      </c>
      <c r="BD1237" s="324" t="s">
        <v>9941</v>
      </c>
      <c r="BE1237" s="324" t="s">
        <v>9942</v>
      </c>
      <c r="BF1237" s="324" t="s">
        <v>9942</v>
      </c>
      <c r="BG1237" s="324" t="s">
        <v>9943</v>
      </c>
      <c r="BH1237" s="426" t="s">
        <v>9944</v>
      </c>
      <c r="BI1237" s="453">
        <v>0.6</v>
      </c>
      <c r="BJ1237" s="427">
        <v>1.25</v>
      </c>
      <c r="BK1237" s="428" t="s">
        <v>9945</v>
      </c>
      <c r="BL1237" s="429">
        <f>4.2+11.2</f>
        <v>15.399999999999999</v>
      </c>
      <c r="BM1237" s="430" t="s">
        <v>210</v>
      </c>
      <c r="BN1237" s="453" t="s">
        <v>210</v>
      </c>
      <c r="BO1237" s="464" t="s">
        <v>210</v>
      </c>
      <c r="BP1237" s="455" t="s">
        <v>210</v>
      </c>
      <c r="BQ1237" s="456" t="s">
        <v>9911</v>
      </c>
      <c r="BR1237" s="392" t="s">
        <v>210</v>
      </c>
      <c r="BS1237" s="342" t="s">
        <v>660</v>
      </c>
      <c r="BT1237" s="392" t="s">
        <v>210</v>
      </c>
      <c r="BU1237" s="392" t="s">
        <v>210</v>
      </c>
      <c r="BV1237" s="392" t="s">
        <v>210</v>
      </c>
      <c r="BW1237" s="392" t="s">
        <v>210</v>
      </c>
      <c r="BX1237" s="392" t="s">
        <v>210</v>
      </c>
      <c r="BY1237" s="457" t="s">
        <v>9534</v>
      </c>
      <c r="BZ1237" s="363"/>
      <c r="CA1237" s="363"/>
      <c r="CB1237" s="363"/>
      <c r="CC1237" s="363"/>
    </row>
    <row r="1238" spans="1:82" ht="22.5" customHeight="1">
      <c r="B1238" s="442">
        <v>180315</v>
      </c>
      <c r="C1238" s="443" t="s">
        <v>9535</v>
      </c>
      <c r="D1238" s="439" t="s">
        <v>9573</v>
      </c>
      <c r="E1238" s="404" t="s">
        <v>5362</v>
      </c>
      <c r="F1238" s="405" t="s">
        <v>9529</v>
      </c>
      <c r="G1238" s="324" t="s">
        <v>9536</v>
      </c>
      <c r="H1238" s="324" t="s">
        <v>9537</v>
      </c>
      <c r="I1238" s="326" t="s">
        <v>383</v>
      </c>
      <c r="J1238" s="324" t="s">
        <v>7171</v>
      </c>
      <c r="K1238" s="324" t="s">
        <v>9538</v>
      </c>
      <c r="L1238" s="392" t="s">
        <v>210</v>
      </c>
      <c r="M1238" s="324" t="s">
        <v>7457</v>
      </c>
      <c r="N1238" s="444" t="s">
        <v>9676</v>
      </c>
      <c r="O1238" s="324">
        <v>30</v>
      </c>
      <c r="P1238" s="445">
        <f>Q1238*2</f>
        <v>880</v>
      </c>
      <c r="Q1238" s="446">
        <v>440</v>
      </c>
      <c r="R1238" s="420" t="s">
        <v>9539</v>
      </c>
      <c r="S1238" s="400"/>
      <c r="T1238" s="400"/>
      <c r="U1238" s="400"/>
      <c r="V1238" s="400"/>
      <c r="W1238" s="460" t="s">
        <v>9541</v>
      </c>
      <c r="X1238" s="1049" t="s">
        <v>11368</v>
      </c>
      <c r="Y1238" s="332" t="s">
        <v>11370</v>
      </c>
      <c r="Z1238" s="332" t="s">
        <v>11369</v>
      </c>
      <c r="AA1238" s="332" t="s">
        <v>11371</v>
      </c>
      <c r="AB1238" s="416"/>
      <c r="AC1238" s="416"/>
      <c r="AD1238" s="334" t="s">
        <v>10230</v>
      </c>
      <c r="AE1238" s="499" t="s">
        <v>10231</v>
      </c>
      <c r="AF1238" s="462">
        <v>43623</v>
      </c>
      <c r="AG1238" s="748">
        <v>43728</v>
      </c>
      <c r="AH1238" s="417" t="s">
        <v>210</v>
      </c>
      <c r="AI1238" s="392" t="s">
        <v>210</v>
      </c>
      <c r="AJ1238" s="392" t="s">
        <v>210</v>
      </c>
      <c r="AK1238" s="340" t="s">
        <v>210</v>
      </c>
      <c r="AL1238" s="417" t="s">
        <v>662</v>
      </c>
      <c r="AM1238" s="392" t="s">
        <v>662</v>
      </c>
      <c r="AN1238" s="392" t="s">
        <v>662</v>
      </c>
      <c r="AO1238" s="341" t="s">
        <v>662</v>
      </c>
      <c r="AP1238" s="392" t="s">
        <v>210</v>
      </c>
      <c r="AQ1238" s="433" t="s">
        <v>4547</v>
      </c>
      <c r="AR1238" s="452">
        <v>876</v>
      </c>
      <c r="AS1238" s="324">
        <v>100</v>
      </c>
      <c r="AT1238" s="432">
        <v>1</v>
      </c>
      <c r="AU1238" s="432" t="s">
        <v>9677</v>
      </c>
      <c r="AV1238" s="432">
        <v>1.5</v>
      </c>
      <c r="AW1238" s="490" t="s">
        <v>9677</v>
      </c>
      <c r="AX1238" s="453" t="s">
        <v>662</v>
      </c>
      <c r="AY1238" s="429" t="s">
        <v>662</v>
      </c>
      <c r="AZ1238" s="405" t="s">
        <v>660</v>
      </c>
      <c r="BA1238" s="324" t="s">
        <v>9678</v>
      </c>
      <c r="BB1238" s="324" t="s">
        <v>9679</v>
      </c>
      <c r="BC1238" s="324" t="s">
        <v>9680</v>
      </c>
      <c r="BD1238" s="324" t="s">
        <v>9681</v>
      </c>
      <c r="BE1238" s="324" t="s">
        <v>9682</v>
      </c>
      <c r="BF1238" s="324" t="s">
        <v>9677</v>
      </c>
      <c r="BG1238" s="324" t="s">
        <v>9683</v>
      </c>
      <c r="BH1238" s="426" t="s">
        <v>9684</v>
      </c>
      <c r="BI1238" s="453">
        <v>0.85</v>
      </c>
      <c r="BJ1238" s="427">
        <v>1.26</v>
      </c>
      <c r="BK1238" s="428" t="s">
        <v>9685</v>
      </c>
      <c r="BL1238" s="429">
        <f>3.6+1.8</f>
        <v>5.4</v>
      </c>
      <c r="BM1238" s="430" t="s">
        <v>210</v>
      </c>
      <c r="BN1238" s="453" t="s">
        <v>622</v>
      </c>
      <c r="BO1238" s="464">
        <v>1.2</v>
      </c>
      <c r="BP1238" s="455" t="s">
        <v>622</v>
      </c>
      <c r="BQ1238" s="456" t="s">
        <v>1059</v>
      </c>
      <c r="BR1238" s="392" t="s">
        <v>210</v>
      </c>
      <c r="BS1238" s="342" t="s">
        <v>660</v>
      </c>
      <c r="BT1238" s="392" t="s">
        <v>210</v>
      </c>
      <c r="BU1238" s="392" t="s">
        <v>210</v>
      </c>
      <c r="BV1238" s="392" t="s">
        <v>210</v>
      </c>
      <c r="BW1238" s="392" t="s">
        <v>210</v>
      </c>
      <c r="BX1238" s="392" t="s">
        <v>210</v>
      </c>
      <c r="BY1238" s="457" t="s">
        <v>10256</v>
      </c>
      <c r="BZ1238" s="363"/>
      <c r="CA1238" s="363"/>
      <c r="CB1238" s="363"/>
      <c r="CC1238" s="363"/>
    </row>
    <row r="1239" spans="1:82" ht="22.5" customHeight="1">
      <c r="B1239" s="442">
        <v>180316</v>
      </c>
      <c r="C1239" s="443" t="s">
        <v>9566</v>
      </c>
      <c r="D1239" s="439" t="s">
        <v>4849</v>
      </c>
      <c r="E1239" s="404" t="s">
        <v>5362</v>
      </c>
      <c r="F1239" s="405" t="s">
        <v>6678</v>
      </c>
      <c r="G1239" s="324" t="s">
        <v>8560</v>
      </c>
      <c r="H1239" s="324" t="s">
        <v>9567</v>
      </c>
      <c r="I1239" s="326" t="s">
        <v>9674</v>
      </c>
      <c r="J1239" s="326" t="s">
        <v>9673</v>
      </c>
      <c r="K1239" s="324" t="s">
        <v>917</v>
      </c>
      <c r="L1239" s="392" t="s">
        <v>9670</v>
      </c>
      <c r="M1239" s="324" t="s">
        <v>7457</v>
      </c>
      <c r="N1239" s="444" t="s">
        <v>9672</v>
      </c>
      <c r="O1239" s="324">
        <v>100</v>
      </c>
      <c r="P1239" s="445">
        <v>1100</v>
      </c>
      <c r="Q1239" s="446">
        <f>P1239</f>
        <v>1100</v>
      </c>
      <c r="R1239" s="779" t="s">
        <v>9594</v>
      </c>
      <c r="S1239" s="394" t="s">
        <v>11360</v>
      </c>
      <c r="T1239" s="394" t="s">
        <v>11361</v>
      </c>
      <c r="U1239" s="394" t="s">
        <v>11362</v>
      </c>
      <c r="V1239" s="394" t="s">
        <v>11363</v>
      </c>
      <c r="W1239" s="332" t="s">
        <v>11365</v>
      </c>
      <c r="X1239" s="1049" t="s">
        <v>11366</v>
      </c>
      <c r="Y1239" s="645"/>
      <c r="Z1239" s="645"/>
      <c r="AA1239" s="332" t="s">
        <v>11367</v>
      </c>
      <c r="AB1239" s="333" t="s">
        <v>11364</v>
      </c>
      <c r="AC1239" s="333"/>
      <c r="AD1239" s="334" t="s">
        <v>2322</v>
      </c>
      <c r="AE1239" s="335" t="s">
        <v>9670</v>
      </c>
      <c r="AF1239" s="462">
        <v>43627</v>
      </c>
      <c r="AG1239" s="748">
        <v>43676</v>
      </c>
      <c r="AH1239" s="417" t="s">
        <v>9670</v>
      </c>
      <c r="AI1239" s="392" t="s">
        <v>9670</v>
      </c>
      <c r="AJ1239" s="392" t="s">
        <v>9670</v>
      </c>
      <c r="AK1239" s="340" t="s">
        <v>9670</v>
      </c>
      <c r="AL1239" s="417" t="s">
        <v>9670</v>
      </c>
      <c r="AM1239" s="392" t="s">
        <v>9670</v>
      </c>
      <c r="AN1239" s="392" t="s">
        <v>9670</v>
      </c>
      <c r="AO1239" s="341" t="s">
        <v>9670</v>
      </c>
      <c r="AP1239" s="392" t="s">
        <v>9670</v>
      </c>
      <c r="AQ1239" s="433" t="s">
        <v>4547</v>
      </c>
      <c r="AR1239" s="452">
        <v>1544</v>
      </c>
      <c r="AS1239" s="324">
        <v>80</v>
      </c>
      <c r="AT1239" s="432">
        <v>0.8</v>
      </c>
      <c r="AU1239" s="432" t="s">
        <v>9671</v>
      </c>
      <c r="AV1239" s="432">
        <v>0.9</v>
      </c>
      <c r="AW1239" s="490" t="s">
        <v>9665</v>
      </c>
      <c r="AX1239" s="453" t="s">
        <v>9670</v>
      </c>
      <c r="AY1239" s="429" t="s">
        <v>9670</v>
      </c>
      <c r="AZ1239" s="405" t="s">
        <v>9669</v>
      </c>
      <c r="BA1239" s="324" t="s">
        <v>9668</v>
      </c>
      <c r="BB1239" s="324" t="s">
        <v>9667</v>
      </c>
      <c r="BC1239" s="324" t="s">
        <v>9666</v>
      </c>
      <c r="BD1239" s="324" t="s">
        <v>9665</v>
      </c>
      <c r="BE1239" s="324" t="s">
        <v>9664</v>
      </c>
      <c r="BF1239" s="324" t="s">
        <v>9664</v>
      </c>
      <c r="BG1239" s="324" t="s">
        <v>9663</v>
      </c>
      <c r="BH1239" s="426" t="s">
        <v>9662</v>
      </c>
      <c r="BI1239" s="453">
        <v>1.45</v>
      </c>
      <c r="BJ1239" s="427">
        <v>1.29</v>
      </c>
      <c r="BK1239" s="428" t="s">
        <v>9661</v>
      </c>
      <c r="BL1239" s="429">
        <v>8</v>
      </c>
      <c r="BM1239" s="429" t="s">
        <v>9659</v>
      </c>
      <c r="BN1239" s="453" t="s">
        <v>9660</v>
      </c>
      <c r="BO1239" s="464">
        <v>1.1399999999999999</v>
      </c>
      <c r="BP1239" s="455" t="s">
        <v>9660</v>
      </c>
      <c r="BQ1239" s="456" t="s">
        <v>6623</v>
      </c>
      <c r="BR1239" s="342" t="s">
        <v>9660</v>
      </c>
      <c r="BS1239" s="342" t="s">
        <v>9660</v>
      </c>
      <c r="BT1239" s="392" t="s">
        <v>9659</v>
      </c>
      <c r="BU1239" s="342" t="s">
        <v>9660</v>
      </c>
      <c r="BV1239" s="392" t="s">
        <v>9659</v>
      </c>
      <c r="BW1239" s="392" t="s">
        <v>9659</v>
      </c>
      <c r="BX1239" s="392" t="s">
        <v>9659</v>
      </c>
      <c r="BY1239" s="457" t="s">
        <v>9591</v>
      </c>
      <c r="BZ1239" s="363"/>
      <c r="CA1239" s="363"/>
      <c r="CB1239" s="363"/>
      <c r="CC1239" s="363"/>
    </row>
    <row r="1240" spans="1:82" ht="22.5" customHeight="1">
      <c r="B1240" s="442">
        <v>180317</v>
      </c>
      <c r="C1240" s="443" t="s">
        <v>11358</v>
      </c>
      <c r="D1240" s="439" t="s">
        <v>4849</v>
      </c>
      <c r="E1240" s="404" t="s">
        <v>5362</v>
      </c>
      <c r="F1240" s="405" t="s">
        <v>839</v>
      </c>
      <c r="G1240" s="324" t="s">
        <v>9568</v>
      </c>
      <c r="H1240" s="324" t="s">
        <v>9569</v>
      </c>
      <c r="I1240" s="326" t="s">
        <v>383</v>
      </c>
      <c r="J1240" s="324" t="s">
        <v>6632</v>
      </c>
      <c r="K1240" s="324" t="s">
        <v>247</v>
      </c>
      <c r="L1240" s="342">
        <v>13</v>
      </c>
      <c r="M1240" s="324" t="s">
        <v>7457</v>
      </c>
      <c r="N1240" s="444" t="s">
        <v>438</v>
      </c>
      <c r="O1240" s="324">
        <v>30</v>
      </c>
      <c r="P1240" s="445">
        <v>310</v>
      </c>
      <c r="Q1240" s="446">
        <v>240</v>
      </c>
      <c r="R1240" s="420" t="s">
        <v>14987</v>
      </c>
      <c r="S1240" s="394" t="s">
        <v>11359</v>
      </c>
      <c r="T1240" s="400"/>
      <c r="U1240" s="400"/>
      <c r="V1240" s="400"/>
      <c r="W1240" s="332" t="s">
        <v>9745</v>
      </c>
      <c r="X1240" s="1064"/>
      <c r="Y1240" s="645"/>
      <c r="Z1240" s="645"/>
      <c r="AA1240" s="645"/>
      <c r="AB1240" s="416"/>
      <c r="AC1240" s="416"/>
      <c r="AD1240" s="447" t="s">
        <v>9914</v>
      </c>
      <c r="AE1240" s="499" t="s">
        <v>696</v>
      </c>
      <c r="AF1240" s="462">
        <v>43627</v>
      </c>
      <c r="AG1240" s="748">
        <v>43682</v>
      </c>
      <c r="AH1240" s="417" t="s">
        <v>210</v>
      </c>
      <c r="AI1240" s="392" t="s">
        <v>210</v>
      </c>
      <c r="AJ1240" s="392" t="s">
        <v>210</v>
      </c>
      <c r="AK1240" s="340" t="s">
        <v>210</v>
      </c>
      <c r="AL1240" s="417" t="s">
        <v>210</v>
      </c>
      <c r="AM1240" s="392" t="s">
        <v>210</v>
      </c>
      <c r="AN1240" s="392" t="s">
        <v>210</v>
      </c>
      <c r="AO1240" s="341" t="s">
        <v>210</v>
      </c>
      <c r="AP1240" s="1063" t="s">
        <v>622</v>
      </c>
      <c r="AQ1240" s="433" t="s">
        <v>4547</v>
      </c>
      <c r="AR1240" s="452">
        <v>409.7</v>
      </c>
      <c r="AS1240" s="324">
        <v>100</v>
      </c>
      <c r="AT1240" s="432">
        <v>1</v>
      </c>
      <c r="AU1240" s="432" t="s">
        <v>9749</v>
      </c>
      <c r="AV1240" s="432">
        <v>1.5</v>
      </c>
      <c r="AW1240" s="432" t="s">
        <v>9749</v>
      </c>
      <c r="AX1240" s="453" t="s">
        <v>210</v>
      </c>
      <c r="AY1240" s="429" t="s">
        <v>210</v>
      </c>
      <c r="AZ1240" s="405" t="s">
        <v>4083</v>
      </c>
      <c r="BA1240" s="324" t="s">
        <v>210</v>
      </c>
      <c r="BB1240" s="324" t="s">
        <v>210</v>
      </c>
      <c r="BC1240" s="324" t="s">
        <v>9750</v>
      </c>
      <c r="BD1240" s="324" t="s">
        <v>9751</v>
      </c>
      <c r="BE1240" s="324" t="s">
        <v>9752</v>
      </c>
      <c r="BF1240" s="324" t="s">
        <v>9749</v>
      </c>
      <c r="BG1240" s="324" t="s">
        <v>9750</v>
      </c>
      <c r="BH1240" s="426" t="s">
        <v>9749</v>
      </c>
      <c r="BI1240" s="453">
        <v>4</v>
      </c>
      <c r="BJ1240" s="427">
        <v>1.88</v>
      </c>
      <c r="BK1240" s="428" t="s">
        <v>9753</v>
      </c>
      <c r="BL1240" s="429">
        <v>4.8</v>
      </c>
      <c r="BM1240" s="429" t="s">
        <v>210</v>
      </c>
      <c r="BN1240" s="453" t="s">
        <v>9748</v>
      </c>
      <c r="BO1240" s="464" t="s">
        <v>9748</v>
      </c>
      <c r="BP1240" s="455" t="s">
        <v>622</v>
      </c>
      <c r="BQ1240" s="456" t="s">
        <v>6407</v>
      </c>
      <c r="BR1240" s="392" t="s">
        <v>210</v>
      </c>
      <c r="BS1240" s="342" t="s">
        <v>622</v>
      </c>
      <c r="BT1240" s="392" t="s">
        <v>210</v>
      </c>
      <c r="BU1240" s="392" t="s">
        <v>210</v>
      </c>
      <c r="BV1240" s="392" t="s">
        <v>210</v>
      </c>
      <c r="BW1240" s="392" t="s">
        <v>210</v>
      </c>
      <c r="BX1240" s="392" t="s">
        <v>210</v>
      </c>
      <c r="BY1240" s="457"/>
      <c r="BZ1240" s="363"/>
      <c r="CA1240" s="363"/>
      <c r="CB1240" s="363"/>
      <c r="CC1240" s="363"/>
    </row>
    <row r="1241" spans="1:82" ht="22.5" customHeight="1">
      <c r="B1241" s="442">
        <v>180318</v>
      </c>
      <c r="C1241" s="443" t="s">
        <v>11355</v>
      </c>
      <c r="D1241" s="439" t="s">
        <v>4849</v>
      </c>
      <c r="E1241" s="404" t="s">
        <v>5405</v>
      </c>
      <c r="F1241" s="405" t="s">
        <v>709</v>
      </c>
      <c r="G1241" s="324" t="s">
        <v>9600</v>
      </c>
      <c r="H1241" s="324" t="s">
        <v>9601</v>
      </c>
      <c r="I1241" s="324" t="s">
        <v>766</v>
      </c>
      <c r="J1241" s="324" t="s">
        <v>6632</v>
      </c>
      <c r="K1241" s="326" t="s">
        <v>806</v>
      </c>
      <c r="L1241" s="392" t="s">
        <v>210</v>
      </c>
      <c r="M1241" s="392" t="s">
        <v>210</v>
      </c>
      <c r="N1241" s="444" t="s">
        <v>9757</v>
      </c>
      <c r="O1241" s="324">
        <v>25</v>
      </c>
      <c r="P1241" s="445">
        <v>1800</v>
      </c>
      <c r="Q1241" s="446">
        <v>1800</v>
      </c>
      <c r="R1241" s="420" t="s">
        <v>9599</v>
      </c>
      <c r="S1241" s="394" t="s">
        <v>11772</v>
      </c>
      <c r="T1241" s="394" t="s">
        <v>11771</v>
      </c>
      <c r="U1241" s="394" t="s">
        <v>16408</v>
      </c>
      <c r="V1241" s="394" t="s">
        <v>11357</v>
      </c>
      <c r="W1241" s="460" t="s">
        <v>9599</v>
      </c>
      <c r="X1241" s="394" t="s">
        <v>11356</v>
      </c>
      <c r="Y1241" s="400"/>
      <c r="Z1241" s="400"/>
      <c r="AA1241" s="394" t="s">
        <v>11357</v>
      </c>
      <c r="AB1241" s="416"/>
      <c r="AC1241" s="416"/>
      <c r="AD1241" s="447" t="s">
        <v>9846</v>
      </c>
      <c r="AE1241" s="335" t="s">
        <v>210</v>
      </c>
      <c r="AF1241" s="462">
        <v>43634</v>
      </c>
      <c r="AG1241" s="748">
        <v>43657</v>
      </c>
      <c r="AH1241" s="417" t="s">
        <v>210</v>
      </c>
      <c r="AI1241" s="392" t="s">
        <v>210</v>
      </c>
      <c r="AJ1241" s="392" t="s">
        <v>210</v>
      </c>
      <c r="AK1241" s="340" t="s">
        <v>210</v>
      </c>
      <c r="AL1241" s="417" t="s">
        <v>210</v>
      </c>
      <c r="AM1241" s="392" t="s">
        <v>210</v>
      </c>
      <c r="AN1241" s="392" t="s">
        <v>210</v>
      </c>
      <c r="AO1241" s="341" t="s">
        <v>210</v>
      </c>
      <c r="AP1241" s="392" t="s">
        <v>210</v>
      </c>
      <c r="AQ1241" s="433" t="s">
        <v>4548</v>
      </c>
      <c r="AR1241" s="452">
        <v>2255</v>
      </c>
      <c r="AS1241" s="324">
        <v>80</v>
      </c>
      <c r="AT1241" s="432">
        <v>1.2</v>
      </c>
      <c r="AU1241" s="432" t="s">
        <v>4864</v>
      </c>
      <c r="AV1241" s="432">
        <v>1.6</v>
      </c>
      <c r="AW1241" s="432" t="s">
        <v>4864</v>
      </c>
      <c r="AX1241" s="453" t="s">
        <v>210</v>
      </c>
      <c r="AY1241" s="429" t="s">
        <v>210</v>
      </c>
      <c r="AZ1241" s="405" t="s">
        <v>622</v>
      </c>
      <c r="BA1241" s="324" t="s">
        <v>9758</v>
      </c>
      <c r="BB1241" s="324" t="s">
        <v>9759</v>
      </c>
      <c r="BC1241" s="324" t="s">
        <v>9760</v>
      </c>
      <c r="BD1241" s="324" t="s">
        <v>9759</v>
      </c>
      <c r="BE1241" s="324" t="s">
        <v>9758</v>
      </c>
      <c r="BF1241" s="324" t="s">
        <v>9761</v>
      </c>
      <c r="BG1241" s="324" t="s">
        <v>9762</v>
      </c>
      <c r="BH1241" s="324" t="s">
        <v>9761</v>
      </c>
      <c r="BI1241" s="453">
        <v>1.8</v>
      </c>
      <c r="BJ1241" s="428" t="s">
        <v>210</v>
      </c>
      <c r="BK1241" s="428" t="s">
        <v>210</v>
      </c>
      <c r="BL1241" s="429" t="s">
        <v>210</v>
      </c>
      <c r="BM1241" s="429" t="s">
        <v>210</v>
      </c>
      <c r="BN1241" s="453" t="s">
        <v>622</v>
      </c>
      <c r="BO1241" s="464">
        <v>0.8</v>
      </c>
      <c r="BP1241" s="455" t="s">
        <v>9763</v>
      </c>
      <c r="BQ1241" s="456" t="s">
        <v>9764</v>
      </c>
      <c r="BR1241" s="392" t="s">
        <v>210</v>
      </c>
      <c r="BS1241" s="342" t="s">
        <v>622</v>
      </c>
      <c r="BT1241" s="392" t="s">
        <v>210</v>
      </c>
      <c r="BU1241" s="392" t="s">
        <v>210</v>
      </c>
      <c r="BV1241" s="392" t="s">
        <v>210</v>
      </c>
      <c r="BW1241" s="392" t="s">
        <v>210</v>
      </c>
      <c r="BX1241" s="392" t="s">
        <v>210</v>
      </c>
      <c r="BY1241" s="457" t="s">
        <v>6276</v>
      </c>
      <c r="BZ1241" s="363"/>
      <c r="CA1241" s="363"/>
      <c r="CB1241" s="363"/>
      <c r="CC1241" s="363"/>
    </row>
    <row r="1242" spans="1:82" ht="22.5" customHeight="1">
      <c r="B1242" s="442">
        <v>180319</v>
      </c>
      <c r="C1242" s="443" t="s">
        <v>11348</v>
      </c>
      <c r="D1242" s="439" t="s">
        <v>4854</v>
      </c>
      <c r="E1242" s="404" t="s">
        <v>5362</v>
      </c>
      <c r="F1242" s="405" t="s">
        <v>1043</v>
      </c>
      <c r="G1242" s="324" t="s">
        <v>9625</v>
      </c>
      <c r="H1242" s="324" t="s">
        <v>9626</v>
      </c>
      <c r="I1242" s="326" t="s">
        <v>383</v>
      </c>
      <c r="J1242" s="326" t="s">
        <v>399</v>
      </c>
      <c r="K1242" s="324" t="s">
        <v>9115</v>
      </c>
      <c r="L1242" s="392" t="s">
        <v>210</v>
      </c>
      <c r="M1242" s="324" t="s">
        <v>6509</v>
      </c>
      <c r="N1242" s="444" t="s">
        <v>9770</v>
      </c>
      <c r="O1242" s="324">
        <v>130</v>
      </c>
      <c r="P1242" s="445">
        <v>3300</v>
      </c>
      <c r="Q1242" s="446">
        <f>P1242</f>
        <v>3300</v>
      </c>
      <c r="R1242" s="420" t="s">
        <v>9627</v>
      </c>
      <c r="S1242" s="394" t="s">
        <v>11352</v>
      </c>
      <c r="T1242" s="394" t="s">
        <v>11353</v>
      </c>
      <c r="U1242" s="394" t="s">
        <v>16354</v>
      </c>
      <c r="V1242" s="394" t="s">
        <v>11354</v>
      </c>
      <c r="W1242" s="460" t="s">
        <v>9630</v>
      </c>
      <c r="X1242" s="394" t="s">
        <v>11349</v>
      </c>
      <c r="Y1242" s="394" t="s">
        <v>11351</v>
      </c>
      <c r="Z1242" s="394" t="s">
        <v>16360</v>
      </c>
      <c r="AA1242" s="394" t="s">
        <v>11350</v>
      </c>
      <c r="AB1242" s="416"/>
      <c r="AC1242" s="416"/>
      <c r="AD1242" s="447" t="s">
        <v>730</v>
      </c>
      <c r="AE1242" s="499" t="s">
        <v>353</v>
      </c>
      <c r="AF1242" s="462">
        <v>43635</v>
      </c>
      <c r="AG1242" s="748">
        <v>43672</v>
      </c>
      <c r="AH1242" s="417" t="s">
        <v>210</v>
      </c>
      <c r="AI1242" s="392" t="s">
        <v>210</v>
      </c>
      <c r="AJ1242" s="392" t="s">
        <v>210</v>
      </c>
      <c r="AK1242" s="340" t="s">
        <v>210</v>
      </c>
      <c r="AL1242" s="417" t="s">
        <v>210</v>
      </c>
      <c r="AM1242" s="392" t="s">
        <v>210</v>
      </c>
      <c r="AN1242" s="392" t="s">
        <v>210</v>
      </c>
      <c r="AO1242" s="341" t="s">
        <v>210</v>
      </c>
      <c r="AP1242" s="1063" t="s">
        <v>622</v>
      </c>
      <c r="AQ1242" s="433" t="s">
        <v>4547</v>
      </c>
      <c r="AR1242" s="452">
        <v>4091</v>
      </c>
      <c r="AS1242" s="324">
        <v>150</v>
      </c>
      <c r="AT1242" s="432">
        <v>1</v>
      </c>
      <c r="AU1242" s="432" t="s">
        <v>9771</v>
      </c>
      <c r="AV1242" s="432">
        <v>1</v>
      </c>
      <c r="AW1242" s="490" t="s">
        <v>9772</v>
      </c>
      <c r="AX1242" s="453" t="s">
        <v>210</v>
      </c>
      <c r="AY1242" s="429" t="s">
        <v>210</v>
      </c>
      <c r="AZ1242" s="405" t="s">
        <v>4083</v>
      </c>
      <c r="BA1242" s="324" t="s">
        <v>210</v>
      </c>
      <c r="BB1242" s="324" t="s">
        <v>210</v>
      </c>
      <c r="BC1242" s="324" t="s">
        <v>210</v>
      </c>
      <c r="BD1242" s="324" t="s">
        <v>210</v>
      </c>
      <c r="BE1242" s="324" t="s">
        <v>210</v>
      </c>
      <c r="BF1242" s="324" t="s">
        <v>210</v>
      </c>
      <c r="BG1242" s="324" t="s">
        <v>9773</v>
      </c>
      <c r="BH1242" s="426" t="s">
        <v>5246</v>
      </c>
      <c r="BI1242" s="453">
        <v>1.7</v>
      </c>
      <c r="BJ1242" s="427" t="s">
        <v>9774</v>
      </c>
      <c r="BK1242" s="428" t="s">
        <v>9775</v>
      </c>
      <c r="BL1242" s="429" t="s">
        <v>9776</v>
      </c>
      <c r="BM1242" s="430" t="s">
        <v>9774</v>
      </c>
      <c r="BN1242" s="453" t="s">
        <v>210</v>
      </c>
      <c r="BO1242" s="464" t="s">
        <v>210</v>
      </c>
      <c r="BP1242" s="455" t="s">
        <v>210</v>
      </c>
      <c r="BQ1242" s="456" t="s">
        <v>6623</v>
      </c>
      <c r="BR1242" s="342" t="s">
        <v>9776</v>
      </c>
      <c r="BS1242" s="342" t="s">
        <v>622</v>
      </c>
      <c r="BT1242" s="392" t="s">
        <v>210</v>
      </c>
      <c r="BU1242" s="392" t="s">
        <v>210</v>
      </c>
      <c r="BV1242" s="392" t="s">
        <v>210</v>
      </c>
      <c r="BW1242" s="392" t="s">
        <v>210</v>
      </c>
      <c r="BX1242" s="392" t="s">
        <v>210</v>
      </c>
      <c r="BY1242" s="457" t="s">
        <v>6276</v>
      </c>
      <c r="BZ1242" s="363"/>
      <c r="CA1242" s="363"/>
      <c r="CB1242" s="363"/>
      <c r="CC1242" s="363"/>
    </row>
    <row r="1243" spans="1:82" ht="22.5" customHeight="1">
      <c r="B1243" s="442">
        <v>180320</v>
      </c>
      <c r="C1243" s="443" t="s">
        <v>9645</v>
      </c>
      <c r="D1243" s="467" t="s">
        <v>9869</v>
      </c>
      <c r="E1243" s="404" t="s">
        <v>5362</v>
      </c>
      <c r="F1243" s="405" t="s">
        <v>227</v>
      </c>
      <c r="G1243" s="324" t="s">
        <v>9646</v>
      </c>
      <c r="H1243" s="324" t="s">
        <v>9647</v>
      </c>
      <c r="I1243" s="326" t="s">
        <v>383</v>
      </c>
      <c r="J1243" s="324" t="s">
        <v>6632</v>
      </c>
      <c r="K1243" s="324" t="s">
        <v>977</v>
      </c>
      <c r="L1243" s="392">
        <v>30</v>
      </c>
      <c r="M1243" s="324" t="s">
        <v>7457</v>
      </c>
      <c r="N1243" s="444" t="s">
        <v>9961</v>
      </c>
      <c r="O1243" s="324">
        <v>30</v>
      </c>
      <c r="P1243" s="458">
        <v>496</v>
      </c>
      <c r="Q1243" s="459">
        <v>512</v>
      </c>
      <c r="R1243" s="420" t="s">
        <v>9648</v>
      </c>
      <c r="S1243" s="394" t="s">
        <v>11340</v>
      </c>
      <c r="T1243" s="394" t="s">
        <v>11341</v>
      </c>
      <c r="U1243" s="394" t="s">
        <v>11342</v>
      </c>
      <c r="V1243" s="394" t="s">
        <v>11343</v>
      </c>
      <c r="W1243" s="460" t="s">
        <v>9175</v>
      </c>
      <c r="X1243" s="394" t="s">
        <v>11344</v>
      </c>
      <c r="Y1243" s="394" t="s">
        <v>11345</v>
      </c>
      <c r="Z1243" s="394" t="s">
        <v>11346</v>
      </c>
      <c r="AA1243" s="394" t="s">
        <v>11347</v>
      </c>
      <c r="AB1243" s="416"/>
      <c r="AC1243" s="416"/>
      <c r="AD1243" s="447" t="s">
        <v>3807</v>
      </c>
      <c r="AE1243" s="499" t="s">
        <v>7446</v>
      </c>
      <c r="AF1243" s="462">
        <v>43636</v>
      </c>
      <c r="AG1243" s="748">
        <v>43703</v>
      </c>
      <c r="AH1243" s="417" t="s">
        <v>210</v>
      </c>
      <c r="AI1243" s="392" t="s">
        <v>210</v>
      </c>
      <c r="AJ1243" s="392" t="s">
        <v>210</v>
      </c>
      <c r="AK1243" s="340" t="s">
        <v>210</v>
      </c>
      <c r="AL1243" s="417" t="s">
        <v>210</v>
      </c>
      <c r="AM1243" s="392" t="s">
        <v>210</v>
      </c>
      <c r="AN1243" s="496" t="s">
        <v>10141</v>
      </c>
      <c r="AO1243" s="341" t="s">
        <v>210</v>
      </c>
      <c r="AP1243" s="392" t="s">
        <v>210</v>
      </c>
      <c r="AQ1243" s="433" t="s">
        <v>6405</v>
      </c>
      <c r="AR1243" s="452">
        <v>900</v>
      </c>
      <c r="AS1243" s="324">
        <v>80</v>
      </c>
      <c r="AT1243" s="432">
        <v>1</v>
      </c>
      <c r="AU1243" s="432" t="s">
        <v>9962</v>
      </c>
      <c r="AV1243" s="432">
        <v>1.5</v>
      </c>
      <c r="AW1243" s="432" t="s">
        <v>3627</v>
      </c>
      <c r="AX1243" s="453" t="s">
        <v>210</v>
      </c>
      <c r="AY1243" s="429" t="s">
        <v>210</v>
      </c>
      <c r="AZ1243" s="405" t="s">
        <v>4083</v>
      </c>
      <c r="BA1243" s="324" t="s">
        <v>210</v>
      </c>
      <c r="BB1243" s="324" t="s">
        <v>210</v>
      </c>
      <c r="BC1243" s="324" t="s">
        <v>3710</v>
      </c>
      <c r="BD1243" s="324" t="s">
        <v>9963</v>
      </c>
      <c r="BE1243" s="324" t="s">
        <v>9964</v>
      </c>
      <c r="BF1243" s="324" t="s">
        <v>9963</v>
      </c>
      <c r="BG1243" s="324" t="s">
        <v>9965</v>
      </c>
      <c r="BH1243" s="426" t="s">
        <v>9966</v>
      </c>
      <c r="BI1243" s="453">
        <v>1.5</v>
      </c>
      <c r="BJ1243" s="427" t="s">
        <v>10063</v>
      </c>
      <c r="BK1243" s="428" t="s">
        <v>9967</v>
      </c>
      <c r="BL1243" s="429">
        <v>1.95</v>
      </c>
      <c r="BM1243" s="430" t="s">
        <v>622</v>
      </c>
      <c r="BN1243" s="453" t="s">
        <v>210</v>
      </c>
      <c r="BO1243" s="464" t="s">
        <v>210</v>
      </c>
      <c r="BP1243" s="455" t="s">
        <v>210</v>
      </c>
      <c r="BQ1243" s="456" t="s">
        <v>9968</v>
      </c>
      <c r="BR1243" s="342" t="s">
        <v>622</v>
      </c>
      <c r="BS1243" s="342" t="s">
        <v>622</v>
      </c>
      <c r="BT1243" s="392" t="s">
        <v>210</v>
      </c>
      <c r="BU1243" s="392" t="s">
        <v>210</v>
      </c>
      <c r="BV1243" s="392" t="s">
        <v>210</v>
      </c>
      <c r="BW1243" s="392" t="s">
        <v>210</v>
      </c>
      <c r="BX1243" s="392" t="s">
        <v>210</v>
      </c>
      <c r="BY1243" s="457" t="s">
        <v>9817</v>
      </c>
      <c r="BZ1243" s="363"/>
      <c r="CA1243" s="363"/>
      <c r="CB1243" s="363"/>
      <c r="CC1243" s="363"/>
    </row>
    <row r="1244" spans="1:82" ht="22.5" customHeight="1">
      <c r="B1244" s="442">
        <v>180321</v>
      </c>
      <c r="C1244" s="443" t="s">
        <v>9651</v>
      </c>
      <c r="D1244" s="467" t="s">
        <v>9866</v>
      </c>
      <c r="E1244" s="404" t="s">
        <v>5362</v>
      </c>
      <c r="F1244" s="405" t="s">
        <v>839</v>
      </c>
      <c r="G1244" s="324" t="s">
        <v>9652</v>
      </c>
      <c r="H1244" s="324" t="s">
        <v>9653</v>
      </c>
      <c r="I1244" s="326" t="s">
        <v>383</v>
      </c>
      <c r="J1244" s="326" t="s">
        <v>399</v>
      </c>
      <c r="K1244" s="324" t="s">
        <v>917</v>
      </c>
      <c r="L1244" s="392" t="s">
        <v>210</v>
      </c>
      <c r="M1244" s="324" t="s">
        <v>7457</v>
      </c>
      <c r="N1244" s="444" t="s">
        <v>438</v>
      </c>
      <c r="O1244" s="324">
        <v>30</v>
      </c>
      <c r="P1244" s="458">
        <v>9980</v>
      </c>
      <c r="Q1244" s="459">
        <v>9980</v>
      </c>
      <c r="R1244" s="329" t="s">
        <v>528</v>
      </c>
      <c r="S1244" s="331" t="s">
        <v>11396</v>
      </c>
      <c r="T1244" s="331" t="s">
        <v>11338</v>
      </c>
      <c r="U1244" s="331" t="s">
        <v>11337</v>
      </c>
      <c r="V1244" s="331" t="s">
        <v>11339</v>
      </c>
      <c r="W1244" s="332" t="s">
        <v>528</v>
      </c>
      <c r="X1244" s="331" t="s">
        <v>11334</v>
      </c>
      <c r="Y1244" s="331" t="s">
        <v>11335</v>
      </c>
      <c r="Z1244" s="331" t="s">
        <v>16363</v>
      </c>
      <c r="AA1244" s="331" t="s">
        <v>11336</v>
      </c>
      <c r="AB1244" s="416"/>
      <c r="AC1244" s="416"/>
      <c r="AD1244" s="447" t="s">
        <v>10365</v>
      </c>
      <c r="AE1244" s="499" t="s">
        <v>231</v>
      </c>
      <c r="AF1244" s="462">
        <v>43636</v>
      </c>
      <c r="AG1244" s="748">
        <v>43741</v>
      </c>
      <c r="AH1244" s="417" t="s">
        <v>210</v>
      </c>
      <c r="AI1244" s="392" t="s">
        <v>210</v>
      </c>
      <c r="AJ1244" s="392" t="s">
        <v>210</v>
      </c>
      <c r="AK1244" s="340" t="s">
        <v>210</v>
      </c>
      <c r="AL1244" s="417" t="s">
        <v>210</v>
      </c>
      <c r="AM1244" s="392" t="s">
        <v>210</v>
      </c>
      <c r="AN1244" s="392" t="s">
        <v>210</v>
      </c>
      <c r="AO1244" s="341" t="s">
        <v>210</v>
      </c>
      <c r="AP1244" s="1063" t="s">
        <v>622</v>
      </c>
      <c r="AQ1244" s="433" t="s">
        <v>4547</v>
      </c>
      <c r="AR1244" s="452">
        <v>13266</v>
      </c>
      <c r="AS1244" s="324">
        <v>80</v>
      </c>
      <c r="AT1244" s="432">
        <v>1</v>
      </c>
      <c r="AU1244" s="432" t="s">
        <v>9982</v>
      </c>
      <c r="AV1244" s="432">
        <v>1.5</v>
      </c>
      <c r="AW1244" s="490" t="s">
        <v>9983</v>
      </c>
      <c r="AX1244" s="453" t="s">
        <v>210</v>
      </c>
      <c r="AY1244" s="429" t="s">
        <v>210</v>
      </c>
      <c r="AZ1244" s="405" t="s">
        <v>622</v>
      </c>
      <c r="BA1244" s="324" t="s">
        <v>3555</v>
      </c>
      <c r="BB1244" s="324" t="s">
        <v>3372</v>
      </c>
      <c r="BC1244" s="324" t="s">
        <v>9984</v>
      </c>
      <c r="BD1244" s="324" t="s">
        <v>9983</v>
      </c>
      <c r="BE1244" s="324" t="s">
        <v>9985</v>
      </c>
      <c r="BF1244" s="324" t="s">
        <v>9986</v>
      </c>
      <c r="BG1244" s="324" t="s">
        <v>9987</v>
      </c>
      <c r="BH1244" s="324" t="s">
        <v>9986</v>
      </c>
      <c r="BI1244" s="453">
        <v>1.3</v>
      </c>
      <c r="BJ1244" s="427">
        <v>1.8</v>
      </c>
      <c r="BK1244" s="428" t="s">
        <v>3492</v>
      </c>
      <c r="BL1244" s="429">
        <v>2.95</v>
      </c>
      <c r="BM1244" s="430" t="s">
        <v>622</v>
      </c>
      <c r="BN1244" s="453" t="s">
        <v>622</v>
      </c>
      <c r="BO1244" s="464">
        <v>1.05</v>
      </c>
      <c r="BP1244" s="455" t="s">
        <v>622</v>
      </c>
      <c r="BQ1244" s="456" t="s">
        <v>6407</v>
      </c>
      <c r="BR1244" s="342" t="s">
        <v>210</v>
      </c>
      <c r="BS1244" s="342" t="s">
        <v>622</v>
      </c>
      <c r="BT1244" s="392" t="s">
        <v>210</v>
      </c>
      <c r="BU1244" s="392" t="s">
        <v>210</v>
      </c>
      <c r="BV1244" s="392" t="s">
        <v>210</v>
      </c>
      <c r="BW1244" s="392" t="s">
        <v>210</v>
      </c>
      <c r="BX1244" s="392" t="s">
        <v>210</v>
      </c>
      <c r="BY1244" s="457"/>
      <c r="BZ1244" s="363"/>
      <c r="CA1244" s="363"/>
      <c r="CB1244" s="363"/>
      <c r="CC1244" s="363"/>
    </row>
    <row r="1245" spans="1:82" ht="22.5" customHeight="1">
      <c r="B1245" s="442">
        <v>190001</v>
      </c>
      <c r="C1245" s="443" t="s">
        <v>9737</v>
      </c>
      <c r="D1245" s="439" t="s">
        <v>9868</v>
      </c>
      <c r="E1245" s="404" t="s">
        <v>5362</v>
      </c>
      <c r="F1245" s="405" t="s">
        <v>1043</v>
      </c>
      <c r="G1245" s="324" t="s">
        <v>16324</v>
      </c>
      <c r="H1245" s="324" t="s">
        <v>9738</v>
      </c>
      <c r="I1245" s="324" t="s">
        <v>1071</v>
      </c>
      <c r="J1245" s="326" t="s">
        <v>399</v>
      </c>
      <c r="K1245" s="326" t="s">
        <v>993</v>
      </c>
      <c r="L1245" s="342" t="s">
        <v>9739</v>
      </c>
      <c r="M1245" s="324" t="s">
        <v>7457</v>
      </c>
      <c r="N1245" s="444" t="s">
        <v>437</v>
      </c>
      <c r="O1245" s="324">
        <v>140</v>
      </c>
      <c r="P1245" s="445">
        <v>457</v>
      </c>
      <c r="Q1245" s="446">
        <f>P1245</f>
        <v>457</v>
      </c>
      <c r="R1245" s="420" t="s">
        <v>9741</v>
      </c>
      <c r="S1245" s="394" t="s">
        <v>11333</v>
      </c>
      <c r="T1245" s="394" t="s">
        <v>11219</v>
      </c>
      <c r="U1245" s="394" t="s">
        <v>16305</v>
      </c>
      <c r="V1245" s="394" t="s">
        <v>11220</v>
      </c>
      <c r="W1245" s="460" t="s">
        <v>10989</v>
      </c>
      <c r="X1245" s="394" t="s">
        <v>11330</v>
      </c>
      <c r="Y1245" s="394" t="s">
        <v>11331</v>
      </c>
      <c r="Z1245" s="394" t="s">
        <v>16333</v>
      </c>
      <c r="AA1245" s="394" t="s">
        <v>11332</v>
      </c>
      <c r="AB1245" s="416"/>
      <c r="AC1245" s="416"/>
      <c r="AD1245" s="447" t="s">
        <v>1591</v>
      </c>
      <c r="AE1245" s="335" t="s">
        <v>210</v>
      </c>
      <c r="AF1245" s="462">
        <v>43640</v>
      </c>
      <c r="AG1245" s="748">
        <v>43712</v>
      </c>
      <c r="AH1245" s="417" t="s">
        <v>210</v>
      </c>
      <c r="AI1245" s="392" t="s">
        <v>210</v>
      </c>
      <c r="AJ1245" s="392" t="s">
        <v>210</v>
      </c>
      <c r="AK1245" s="340" t="s">
        <v>210</v>
      </c>
      <c r="AL1245" s="417" t="s">
        <v>210</v>
      </c>
      <c r="AM1245" s="392" t="s">
        <v>210</v>
      </c>
      <c r="AN1245" s="392" t="s">
        <v>210</v>
      </c>
      <c r="AO1245" s="341" t="s">
        <v>210</v>
      </c>
      <c r="AP1245" s="392" t="s">
        <v>210</v>
      </c>
      <c r="AQ1245" s="433" t="s">
        <v>4548</v>
      </c>
      <c r="AR1245" s="452">
        <v>623</v>
      </c>
      <c r="AS1245" s="324">
        <v>80</v>
      </c>
      <c r="AT1245" s="432">
        <v>1</v>
      </c>
      <c r="AU1245" s="432" t="s">
        <v>9872</v>
      </c>
      <c r="AV1245" s="432">
        <v>1.5</v>
      </c>
      <c r="AW1245" s="490" t="s">
        <v>9873</v>
      </c>
      <c r="AX1245" s="453" t="s">
        <v>210</v>
      </c>
      <c r="AY1245" s="429" t="s">
        <v>210</v>
      </c>
      <c r="AZ1245" s="405" t="s">
        <v>622</v>
      </c>
      <c r="BA1245" s="324" t="s">
        <v>9874</v>
      </c>
      <c r="BB1245" s="324" t="s">
        <v>9875</v>
      </c>
      <c r="BC1245" s="324" t="s">
        <v>9876</v>
      </c>
      <c r="BD1245" s="324" t="s">
        <v>9877</v>
      </c>
      <c r="BE1245" s="324" t="s">
        <v>9878</v>
      </c>
      <c r="BF1245" s="324" t="s">
        <v>9877</v>
      </c>
      <c r="BG1245" s="324" t="s">
        <v>9879</v>
      </c>
      <c r="BH1245" s="426" t="s">
        <v>9880</v>
      </c>
      <c r="BI1245" s="453">
        <v>0.5</v>
      </c>
      <c r="BJ1245" s="427">
        <v>1.9</v>
      </c>
      <c r="BK1245" s="428" t="s">
        <v>9881</v>
      </c>
      <c r="BL1245" s="429">
        <v>2.4</v>
      </c>
      <c r="BM1245" s="430" t="s">
        <v>210</v>
      </c>
      <c r="BN1245" s="453" t="s">
        <v>622</v>
      </c>
      <c r="BO1245" s="464">
        <v>0.78</v>
      </c>
      <c r="BP1245" s="455" t="s">
        <v>622</v>
      </c>
      <c r="BQ1245" s="456" t="s">
        <v>9882</v>
      </c>
      <c r="BR1245" s="342" t="s">
        <v>210</v>
      </c>
      <c r="BS1245" s="342" t="s">
        <v>622</v>
      </c>
      <c r="BT1245" s="392" t="s">
        <v>210</v>
      </c>
      <c r="BU1245" s="392" t="s">
        <v>210</v>
      </c>
      <c r="BV1245" s="392" t="s">
        <v>210</v>
      </c>
      <c r="BW1245" s="392" t="s">
        <v>210</v>
      </c>
      <c r="BX1245" s="392" t="s">
        <v>210</v>
      </c>
      <c r="BY1245" s="457" t="s">
        <v>16024</v>
      </c>
      <c r="BZ1245" s="363"/>
      <c r="CA1245" s="363"/>
      <c r="CB1245" s="363"/>
      <c r="CC1245" s="363"/>
    </row>
    <row r="1246" spans="1:82" s="465" customFormat="1" ht="22.5" customHeight="1">
      <c r="A1246" s="287"/>
      <c r="B1246" s="749">
        <v>190002</v>
      </c>
      <c r="C1246" s="781" t="s">
        <v>9746</v>
      </c>
      <c r="D1246" s="829" t="s">
        <v>9867</v>
      </c>
      <c r="E1246" s="752" t="s">
        <v>5638</v>
      </c>
      <c r="F1246" s="753" t="s">
        <v>238</v>
      </c>
      <c r="G1246" s="754" t="s">
        <v>5922</v>
      </c>
      <c r="H1246" s="754" t="s">
        <v>8767</v>
      </c>
      <c r="I1246" s="662" t="s">
        <v>383</v>
      </c>
      <c r="J1246" s="754" t="s">
        <v>214</v>
      </c>
      <c r="K1246" s="754" t="s">
        <v>917</v>
      </c>
      <c r="L1246" s="688" t="s">
        <v>210</v>
      </c>
      <c r="M1246" s="754" t="s">
        <v>7457</v>
      </c>
      <c r="N1246" s="755"/>
      <c r="O1246" s="754"/>
      <c r="P1246" s="782">
        <v>726</v>
      </c>
      <c r="Q1246" s="783">
        <v>748</v>
      </c>
      <c r="R1246" s="667" t="s">
        <v>3649</v>
      </c>
      <c r="S1246" s="708" t="s">
        <v>11320</v>
      </c>
      <c r="T1246" s="708" t="s">
        <v>11325</v>
      </c>
      <c r="U1246" s="708" t="s">
        <v>11321</v>
      </c>
      <c r="V1246" s="708" t="s">
        <v>11324</v>
      </c>
      <c r="W1246" s="757" t="s">
        <v>3864</v>
      </c>
      <c r="X1246" s="708" t="s">
        <v>11498</v>
      </c>
      <c r="Y1246" s="708" t="s">
        <v>11500</v>
      </c>
      <c r="Z1246" s="708" t="s">
        <v>11501</v>
      </c>
      <c r="AA1246" s="708" t="s">
        <v>11503</v>
      </c>
      <c r="AB1246" s="758"/>
      <c r="AC1246" s="758"/>
      <c r="AD1246" s="759"/>
      <c r="AE1246" s="760"/>
      <c r="AF1246" s="846">
        <v>43640</v>
      </c>
      <c r="AG1246" s="674" t="s">
        <v>10514</v>
      </c>
      <c r="AH1246" s="675" t="s">
        <v>210</v>
      </c>
      <c r="AI1246" s="676" t="s">
        <v>210</v>
      </c>
      <c r="AJ1246" s="676" t="s">
        <v>210</v>
      </c>
      <c r="AK1246" s="677" t="s">
        <v>210</v>
      </c>
      <c r="AL1246" s="765"/>
      <c r="AM1246" s="785"/>
      <c r="AN1246" s="785"/>
      <c r="AO1246" s="764"/>
      <c r="AP1246" s="784"/>
      <c r="AQ1246" s="762" t="s">
        <v>4547</v>
      </c>
      <c r="AR1246" s="763"/>
      <c r="AS1246" s="754"/>
      <c r="AT1246" s="785"/>
      <c r="AU1246" s="785"/>
      <c r="AV1246" s="785"/>
      <c r="AW1246" s="764"/>
      <c r="AX1246" s="765"/>
      <c r="AY1246" s="766"/>
      <c r="AZ1246" s="753"/>
      <c r="BA1246" s="754"/>
      <c r="BB1246" s="754"/>
      <c r="BC1246" s="754"/>
      <c r="BD1246" s="754"/>
      <c r="BE1246" s="754"/>
      <c r="BF1246" s="754"/>
      <c r="BG1246" s="754"/>
      <c r="BH1246" s="767"/>
      <c r="BI1246" s="765"/>
      <c r="BJ1246" s="768"/>
      <c r="BK1246" s="769"/>
      <c r="BL1246" s="766"/>
      <c r="BM1246" s="770"/>
      <c r="BN1246" s="765"/>
      <c r="BO1246" s="771"/>
      <c r="BP1246" s="772"/>
      <c r="BQ1246" s="773"/>
      <c r="BR1246" s="688"/>
      <c r="BS1246" s="688"/>
      <c r="BT1246" s="676" t="s">
        <v>210</v>
      </c>
      <c r="BU1246" s="676" t="s">
        <v>210</v>
      </c>
      <c r="BV1246" s="676" t="s">
        <v>210</v>
      </c>
      <c r="BW1246" s="676" t="s">
        <v>210</v>
      </c>
      <c r="BX1246" s="676" t="s">
        <v>210</v>
      </c>
      <c r="BY1246" s="774" t="s">
        <v>10060</v>
      </c>
      <c r="BZ1246" s="483"/>
      <c r="CA1246" s="483"/>
      <c r="CB1246" s="483"/>
      <c r="CC1246" s="483"/>
      <c r="CD1246" s="484"/>
    </row>
    <row r="1247" spans="1:82" ht="22.5" customHeight="1">
      <c r="B1247" s="442">
        <v>190003</v>
      </c>
      <c r="C1247" s="443" t="s">
        <v>9784</v>
      </c>
      <c r="D1247" s="467" t="s">
        <v>9869</v>
      </c>
      <c r="E1247" s="404" t="s">
        <v>5362</v>
      </c>
      <c r="F1247" s="405" t="s">
        <v>222</v>
      </c>
      <c r="G1247" s="324" t="s">
        <v>9785</v>
      </c>
      <c r="H1247" s="324" t="s">
        <v>9786</v>
      </c>
      <c r="I1247" s="326" t="s">
        <v>383</v>
      </c>
      <c r="J1247" s="324" t="s">
        <v>6513</v>
      </c>
      <c r="K1247" s="324" t="s">
        <v>9787</v>
      </c>
      <c r="L1247" s="342" t="s">
        <v>210</v>
      </c>
      <c r="M1247" s="324" t="s">
        <v>6509</v>
      </c>
      <c r="N1247" s="444" t="s">
        <v>9952</v>
      </c>
      <c r="O1247" s="324">
        <v>160</v>
      </c>
      <c r="P1247" s="458">
        <v>2365.1999999999998</v>
      </c>
      <c r="Q1247" s="459">
        <v>4283.6000000000004</v>
      </c>
      <c r="R1247" s="420" t="s">
        <v>9788</v>
      </c>
      <c r="S1247" s="400"/>
      <c r="T1247" s="400"/>
      <c r="U1247" s="400"/>
      <c r="V1247" s="400"/>
      <c r="W1247" s="460" t="s">
        <v>2734</v>
      </c>
      <c r="X1247" s="394" t="s">
        <v>11315</v>
      </c>
      <c r="Y1247" s="394" t="s">
        <v>11316</v>
      </c>
      <c r="Z1247" s="400"/>
      <c r="AA1247" s="394" t="s">
        <v>11317</v>
      </c>
      <c r="AB1247" s="416"/>
      <c r="AC1247" s="416"/>
      <c r="AD1247" s="447" t="s">
        <v>10071</v>
      </c>
      <c r="AE1247" s="335" t="s">
        <v>210</v>
      </c>
      <c r="AF1247" s="462">
        <v>43647</v>
      </c>
      <c r="AG1247" s="748">
        <v>43714</v>
      </c>
      <c r="AH1247" s="417" t="s">
        <v>210</v>
      </c>
      <c r="AI1247" s="392" t="s">
        <v>210</v>
      </c>
      <c r="AJ1247" s="392" t="s">
        <v>210</v>
      </c>
      <c r="AK1247" s="340" t="s">
        <v>210</v>
      </c>
      <c r="AL1247" s="417" t="s">
        <v>210</v>
      </c>
      <c r="AM1247" s="392" t="s">
        <v>210</v>
      </c>
      <c r="AN1247" s="392" t="s">
        <v>210</v>
      </c>
      <c r="AO1247" s="341" t="s">
        <v>210</v>
      </c>
      <c r="AP1247" s="1063" t="s">
        <v>622</v>
      </c>
      <c r="AQ1247" s="433" t="s">
        <v>4547</v>
      </c>
      <c r="AR1247" s="452">
        <v>4216</v>
      </c>
      <c r="AS1247" s="324">
        <v>120</v>
      </c>
      <c r="AT1247" s="432">
        <v>1</v>
      </c>
      <c r="AU1247" s="432" t="s">
        <v>9953</v>
      </c>
      <c r="AV1247" s="432">
        <v>1.4</v>
      </c>
      <c r="AW1247" s="490" t="s">
        <v>9954</v>
      </c>
      <c r="AX1247" s="453" t="s">
        <v>210</v>
      </c>
      <c r="AY1247" s="429" t="s">
        <v>210</v>
      </c>
      <c r="AZ1247" s="405" t="s">
        <v>4083</v>
      </c>
      <c r="BA1247" s="324" t="s">
        <v>210</v>
      </c>
      <c r="BB1247" s="324" t="s">
        <v>210</v>
      </c>
      <c r="BC1247" s="324" t="s">
        <v>9955</v>
      </c>
      <c r="BD1247" s="324" t="s">
        <v>9956</v>
      </c>
      <c r="BE1247" s="324" t="s">
        <v>9959</v>
      </c>
      <c r="BF1247" s="324" t="s">
        <v>9957</v>
      </c>
      <c r="BG1247" s="324" t="s">
        <v>9958</v>
      </c>
      <c r="BH1247" s="324" t="s">
        <v>9957</v>
      </c>
      <c r="BI1247" s="453">
        <v>1.4</v>
      </c>
      <c r="BJ1247" s="427">
        <v>0.81</v>
      </c>
      <c r="BK1247" s="428" t="s">
        <v>9960</v>
      </c>
      <c r="BL1247" s="429">
        <v>1.9</v>
      </c>
      <c r="BM1247" s="430" t="s">
        <v>210</v>
      </c>
      <c r="BN1247" s="453" t="s">
        <v>622</v>
      </c>
      <c r="BO1247" s="464">
        <v>1.1299999999999999</v>
      </c>
      <c r="BP1247" s="455" t="s">
        <v>622</v>
      </c>
      <c r="BQ1247" s="456" t="s">
        <v>1059</v>
      </c>
      <c r="BR1247" s="392" t="s">
        <v>210</v>
      </c>
      <c r="BS1247" s="342" t="s">
        <v>622</v>
      </c>
      <c r="BT1247" s="392" t="s">
        <v>210</v>
      </c>
      <c r="BU1247" s="392" t="s">
        <v>210</v>
      </c>
      <c r="BV1247" s="392" t="s">
        <v>210</v>
      </c>
      <c r="BW1247" s="392" t="s">
        <v>210</v>
      </c>
      <c r="BX1247" s="392" t="s">
        <v>210</v>
      </c>
      <c r="BY1247" s="457" t="s">
        <v>6276</v>
      </c>
      <c r="BZ1247" s="363"/>
      <c r="CA1247" s="363"/>
      <c r="CB1247" s="363"/>
      <c r="CC1247" s="363"/>
    </row>
    <row r="1248" spans="1:82" s="465" customFormat="1" ht="22.5" customHeight="1">
      <c r="A1248" s="287"/>
      <c r="B1248" s="749">
        <v>190004</v>
      </c>
      <c r="C1248" s="781" t="s">
        <v>9891</v>
      </c>
      <c r="D1248" s="751" t="s">
        <v>9870</v>
      </c>
      <c r="E1248" s="752" t="s">
        <v>6879</v>
      </c>
      <c r="F1248" s="753" t="s">
        <v>1058</v>
      </c>
      <c r="G1248" s="754" t="s">
        <v>9825</v>
      </c>
      <c r="H1248" s="754" t="s">
        <v>9826</v>
      </c>
      <c r="I1248" s="662" t="s">
        <v>383</v>
      </c>
      <c r="J1248" s="754" t="s">
        <v>214</v>
      </c>
      <c r="K1248" s="754" t="s">
        <v>9883</v>
      </c>
      <c r="L1248" s="688" t="s">
        <v>210</v>
      </c>
      <c r="M1248" s="754" t="s">
        <v>7457</v>
      </c>
      <c r="N1248" s="755" t="s">
        <v>437</v>
      </c>
      <c r="O1248" s="754">
        <v>90</v>
      </c>
      <c r="P1248" s="782">
        <v>550</v>
      </c>
      <c r="Q1248" s="783">
        <f>P1248</f>
        <v>550</v>
      </c>
      <c r="R1248" s="756" t="s">
        <v>9576</v>
      </c>
      <c r="S1248" s="708" t="s">
        <v>11319</v>
      </c>
      <c r="T1248" s="708"/>
      <c r="U1248" s="708"/>
      <c r="V1248" s="708" t="s">
        <v>11318</v>
      </c>
      <c r="W1248" s="757" t="s">
        <v>2888</v>
      </c>
      <c r="X1248" s="708"/>
      <c r="Y1248" s="708"/>
      <c r="Z1248" s="708"/>
      <c r="AA1248" s="708"/>
      <c r="AB1248" s="758"/>
      <c r="AC1248" s="758"/>
      <c r="AD1248" s="759"/>
      <c r="AE1248" s="672" t="s">
        <v>210</v>
      </c>
      <c r="AF1248" s="846">
        <v>43649</v>
      </c>
      <c r="AG1248" s="674" t="s">
        <v>10514</v>
      </c>
      <c r="AH1248" s="675" t="s">
        <v>210</v>
      </c>
      <c r="AI1248" s="676" t="s">
        <v>210</v>
      </c>
      <c r="AJ1248" s="676" t="s">
        <v>210</v>
      </c>
      <c r="AK1248" s="677" t="s">
        <v>210</v>
      </c>
      <c r="AL1248" s="675" t="s">
        <v>210</v>
      </c>
      <c r="AM1248" s="676" t="s">
        <v>210</v>
      </c>
      <c r="AN1248" s="676" t="s">
        <v>210</v>
      </c>
      <c r="AO1248" s="678" t="s">
        <v>210</v>
      </c>
      <c r="AP1248" s="676" t="s">
        <v>210</v>
      </c>
      <c r="AQ1248" s="762" t="s">
        <v>4548</v>
      </c>
      <c r="AR1248" s="763">
        <f>685+51</f>
        <v>736</v>
      </c>
      <c r="AS1248" s="754">
        <v>50</v>
      </c>
      <c r="AT1248" s="785">
        <v>0.8</v>
      </c>
      <c r="AU1248" s="785" t="s">
        <v>9884</v>
      </c>
      <c r="AV1248" s="785">
        <v>1.5</v>
      </c>
      <c r="AW1248" s="785" t="s">
        <v>9884</v>
      </c>
      <c r="AX1248" s="765" t="s">
        <v>210</v>
      </c>
      <c r="AY1248" s="766" t="s">
        <v>210</v>
      </c>
      <c r="AZ1248" s="753" t="s">
        <v>4083</v>
      </c>
      <c r="BA1248" s="754" t="s">
        <v>210</v>
      </c>
      <c r="BB1248" s="754" t="s">
        <v>210</v>
      </c>
      <c r="BC1248" s="754" t="s">
        <v>9885</v>
      </c>
      <c r="BD1248" s="785" t="s">
        <v>9884</v>
      </c>
      <c r="BE1248" s="754" t="s">
        <v>9886</v>
      </c>
      <c r="BF1248" s="785" t="s">
        <v>9884</v>
      </c>
      <c r="BG1248" s="754" t="s">
        <v>9887</v>
      </c>
      <c r="BH1248" s="767" t="s">
        <v>9888</v>
      </c>
      <c r="BI1248" s="765"/>
      <c r="BJ1248" s="768"/>
      <c r="BK1248" s="769" t="s">
        <v>9889</v>
      </c>
      <c r="BL1248" s="766">
        <v>7</v>
      </c>
      <c r="BM1248" s="770" t="s">
        <v>210</v>
      </c>
      <c r="BN1248" s="765"/>
      <c r="BO1248" s="771"/>
      <c r="BP1248" s="772"/>
      <c r="BQ1248" s="773" t="s">
        <v>9890</v>
      </c>
      <c r="BR1248" s="688" t="s">
        <v>210</v>
      </c>
      <c r="BS1248" s="688" t="s">
        <v>210</v>
      </c>
      <c r="BT1248" s="676" t="s">
        <v>210</v>
      </c>
      <c r="BU1248" s="676" t="s">
        <v>210</v>
      </c>
      <c r="BV1248" s="676" t="s">
        <v>210</v>
      </c>
      <c r="BW1248" s="676" t="s">
        <v>210</v>
      </c>
      <c r="BX1248" s="676" t="s">
        <v>210</v>
      </c>
      <c r="BY1248" s="774"/>
      <c r="BZ1248" s="483"/>
      <c r="CA1248" s="483"/>
      <c r="CB1248" s="483"/>
      <c r="CC1248" s="483"/>
      <c r="CD1248" s="484"/>
    </row>
    <row r="1249" spans="1:82" ht="22.5" customHeight="1">
      <c r="B1249" s="442">
        <v>190005</v>
      </c>
      <c r="C1249" s="443" t="s">
        <v>9827</v>
      </c>
      <c r="D1249" s="439" t="s">
        <v>9918</v>
      </c>
      <c r="E1249" s="404" t="s">
        <v>6879</v>
      </c>
      <c r="F1249" s="405" t="s">
        <v>9820</v>
      </c>
      <c r="G1249" s="324" t="s">
        <v>9821</v>
      </c>
      <c r="H1249" s="324" t="s">
        <v>9822</v>
      </c>
      <c r="I1249" s="326" t="s">
        <v>383</v>
      </c>
      <c r="J1249" s="324" t="s">
        <v>214</v>
      </c>
      <c r="K1249" s="324" t="s">
        <v>9824</v>
      </c>
      <c r="L1249" s="342">
        <v>25</v>
      </c>
      <c r="M1249" s="324" t="s">
        <v>7457</v>
      </c>
      <c r="N1249" s="444" t="s">
        <v>9919</v>
      </c>
      <c r="O1249" s="324">
        <v>30</v>
      </c>
      <c r="P1249" s="445">
        <v>450</v>
      </c>
      <c r="Q1249" s="446">
        <f>P1249</f>
        <v>450</v>
      </c>
      <c r="R1249" s="420" t="s">
        <v>9744</v>
      </c>
      <c r="S1249" s="394" t="s">
        <v>11312</v>
      </c>
      <c r="T1249" s="394" t="s">
        <v>11314</v>
      </c>
      <c r="U1249" s="394" t="s">
        <v>16276</v>
      </c>
      <c r="V1249" s="394" t="s">
        <v>11313</v>
      </c>
      <c r="W1249" s="460" t="s">
        <v>9754</v>
      </c>
      <c r="X1249" s="400"/>
      <c r="Y1249" s="400"/>
      <c r="Z1249" s="400"/>
      <c r="AA1249" s="400"/>
      <c r="AB1249" s="416" t="s">
        <v>9755</v>
      </c>
      <c r="AC1249" s="416"/>
      <c r="AD1249" s="447" t="s">
        <v>10082</v>
      </c>
      <c r="AE1249" s="499" t="s">
        <v>353</v>
      </c>
      <c r="AF1249" s="462">
        <v>43649</v>
      </c>
      <c r="AG1249" s="748">
        <v>43705</v>
      </c>
      <c r="AH1249" s="417" t="s">
        <v>210</v>
      </c>
      <c r="AI1249" s="392" t="s">
        <v>210</v>
      </c>
      <c r="AJ1249" s="392" t="s">
        <v>210</v>
      </c>
      <c r="AK1249" s="340" t="s">
        <v>210</v>
      </c>
      <c r="AL1249" s="417" t="s">
        <v>210</v>
      </c>
      <c r="AM1249" s="392" t="s">
        <v>210</v>
      </c>
      <c r="AN1249" s="392" t="s">
        <v>210</v>
      </c>
      <c r="AO1249" s="341" t="s">
        <v>210</v>
      </c>
      <c r="AP1249" s="392" t="s">
        <v>210</v>
      </c>
      <c r="AQ1249" s="433" t="s">
        <v>4547</v>
      </c>
      <c r="AR1249" s="452">
        <v>686</v>
      </c>
      <c r="AS1249" s="324">
        <v>80</v>
      </c>
      <c r="AT1249" s="432">
        <v>1</v>
      </c>
      <c r="AU1249" s="432" t="s">
        <v>9920</v>
      </c>
      <c r="AV1249" s="432">
        <v>2.2000000000000002</v>
      </c>
      <c r="AW1249" s="432" t="s">
        <v>9920</v>
      </c>
      <c r="AX1249" s="453" t="s">
        <v>210</v>
      </c>
      <c r="AY1249" s="429" t="s">
        <v>9921</v>
      </c>
      <c r="AZ1249" s="405" t="s">
        <v>622</v>
      </c>
      <c r="BA1249" s="324" t="s">
        <v>9922</v>
      </c>
      <c r="BB1249" s="324" t="s">
        <v>9923</v>
      </c>
      <c r="BC1249" s="324" t="s">
        <v>9924</v>
      </c>
      <c r="BD1249" s="324" t="s">
        <v>9923</v>
      </c>
      <c r="BE1249" s="324" t="s">
        <v>9924</v>
      </c>
      <c r="BF1249" s="324" t="s">
        <v>9925</v>
      </c>
      <c r="BG1249" s="324" t="s">
        <v>9926</v>
      </c>
      <c r="BH1249" s="324" t="s">
        <v>9925</v>
      </c>
      <c r="BI1249" s="453">
        <v>0.2</v>
      </c>
      <c r="BJ1249" s="427">
        <v>1.55</v>
      </c>
      <c r="BK1249" s="412"/>
      <c r="BL1249" s="413"/>
      <c r="BM1249" s="430" t="s">
        <v>622</v>
      </c>
      <c r="BN1249" s="453" t="s">
        <v>622</v>
      </c>
      <c r="BO1249" s="464">
        <v>1.01</v>
      </c>
      <c r="BP1249" s="455" t="s">
        <v>622</v>
      </c>
      <c r="BQ1249" s="456" t="s">
        <v>9927</v>
      </c>
      <c r="BR1249" s="342" t="s">
        <v>1610</v>
      </c>
      <c r="BS1249" s="342" t="s">
        <v>622</v>
      </c>
      <c r="BT1249" s="392" t="s">
        <v>210</v>
      </c>
      <c r="BU1249" s="392" t="s">
        <v>210</v>
      </c>
      <c r="BV1249" s="392" t="s">
        <v>210</v>
      </c>
      <c r="BW1249" s="392" t="s">
        <v>210</v>
      </c>
      <c r="BX1249" s="392" t="s">
        <v>210</v>
      </c>
      <c r="BY1249" s="457" t="s">
        <v>9928</v>
      </c>
      <c r="BZ1249" s="363"/>
      <c r="CA1249" s="363"/>
      <c r="CB1249" s="363"/>
      <c r="CC1249" s="363"/>
    </row>
    <row r="1250" spans="1:82" ht="22.5" customHeight="1">
      <c r="B1250" s="442">
        <v>190006</v>
      </c>
      <c r="C1250" s="443" t="s">
        <v>9835</v>
      </c>
      <c r="D1250" s="439" t="s">
        <v>4854</v>
      </c>
      <c r="E1250" s="404" t="s">
        <v>5362</v>
      </c>
      <c r="F1250" s="405" t="s">
        <v>1058</v>
      </c>
      <c r="G1250" s="324" t="s">
        <v>9828</v>
      </c>
      <c r="H1250" s="324" t="s">
        <v>9829</v>
      </c>
      <c r="I1250" s="326" t="s">
        <v>383</v>
      </c>
      <c r="J1250" s="324" t="s">
        <v>214</v>
      </c>
      <c r="K1250" s="324" t="s">
        <v>247</v>
      </c>
      <c r="L1250" s="342">
        <v>40</v>
      </c>
      <c r="M1250" s="324" t="s">
        <v>7457</v>
      </c>
      <c r="N1250" s="444" t="s">
        <v>10036</v>
      </c>
      <c r="O1250" s="324">
        <v>30</v>
      </c>
      <c r="P1250" s="445">
        <v>385</v>
      </c>
      <c r="Q1250" s="446">
        <f>P1250</f>
        <v>385</v>
      </c>
      <c r="R1250" s="420" t="s">
        <v>9830</v>
      </c>
      <c r="S1250" s="400"/>
      <c r="T1250" s="400"/>
      <c r="U1250" s="400"/>
      <c r="V1250" s="400"/>
      <c r="W1250" s="460" t="s">
        <v>1438</v>
      </c>
      <c r="X1250" s="394" t="s">
        <v>11309</v>
      </c>
      <c r="Y1250" s="394" t="s">
        <v>11310</v>
      </c>
      <c r="Z1250" s="331" t="s">
        <v>11700</v>
      </c>
      <c r="AA1250" s="394" t="s">
        <v>11311</v>
      </c>
      <c r="AB1250" s="416"/>
      <c r="AC1250" s="416"/>
      <c r="AD1250" s="996"/>
      <c r="AE1250" s="499" t="s">
        <v>10543</v>
      </c>
      <c r="AF1250" s="462">
        <v>43649</v>
      </c>
      <c r="AG1250" s="748">
        <v>43797</v>
      </c>
      <c r="AH1250" s="417" t="s">
        <v>210</v>
      </c>
      <c r="AI1250" s="392" t="s">
        <v>210</v>
      </c>
      <c r="AJ1250" s="392" t="s">
        <v>210</v>
      </c>
      <c r="AK1250" s="340" t="s">
        <v>210</v>
      </c>
      <c r="AL1250" s="417" t="s">
        <v>210</v>
      </c>
      <c r="AM1250" s="392" t="s">
        <v>210</v>
      </c>
      <c r="AN1250" s="392" t="s">
        <v>210</v>
      </c>
      <c r="AO1250" s="341" t="s">
        <v>210</v>
      </c>
      <c r="AP1250" s="392" t="s">
        <v>210</v>
      </c>
      <c r="AQ1250" s="433" t="s">
        <v>4547</v>
      </c>
      <c r="AR1250" s="452">
        <v>546</v>
      </c>
      <c r="AS1250" s="324">
        <v>100</v>
      </c>
      <c r="AT1250" s="432">
        <v>1</v>
      </c>
      <c r="AU1250" s="432" t="s">
        <v>10221</v>
      </c>
      <c r="AV1250" s="432">
        <v>1.5</v>
      </c>
      <c r="AW1250" s="490" t="s">
        <v>10222</v>
      </c>
      <c r="AX1250" s="453" t="s">
        <v>210</v>
      </c>
      <c r="AY1250" s="429" t="s">
        <v>210</v>
      </c>
      <c r="AZ1250" s="405" t="s">
        <v>4083</v>
      </c>
      <c r="BA1250" s="324" t="s">
        <v>210</v>
      </c>
      <c r="BB1250" s="324" t="s">
        <v>210</v>
      </c>
      <c r="BC1250" s="324" t="s">
        <v>10037</v>
      </c>
      <c r="BD1250" s="324" t="s">
        <v>10038</v>
      </c>
      <c r="BE1250" s="324" t="s">
        <v>10039</v>
      </c>
      <c r="BF1250" s="324" t="s">
        <v>10038</v>
      </c>
      <c r="BG1250" s="324" t="s">
        <v>10040</v>
      </c>
      <c r="BH1250" s="426" t="s">
        <v>10041</v>
      </c>
      <c r="BI1250" s="453">
        <v>1.2</v>
      </c>
      <c r="BJ1250" s="427">
        <v>1.7</v>
      </c>
      <c r="BK1250" s="428" t="s">
        <v>210</v>
      </c>
      <c r="BL1250" s="429" t="s">
        <v>210</v>
      </c>
      <c r="BM1250" s="430" t="s">
        <v>210</v>
      </c>
      <c r="BN1250" s="453" t="s">
        <v>622</v>
      </c>
      <c r="BO1250" s="464">
        <v>1.73</v>
      </c>
      <c r="BP1250" s="455" t="s">
        <v>622</v>
      </c>
      <c r="BQ1250" s="456" t="s">
        <v>293</v>
      </c>
      <c r="BR1250" s="342" t="s">
        <v>210</v>
      </c>
      <c r="BS1250" s="342" t="s">
        <v>210</v>
      </c>
      <c r="BT1250" s="392" t="s">
        <v>210</v>
      </c>
      <c r="BU1250" s="392" t="s">
        <v>210</v>
      </c>
      <c r="BV1250" s="392" t="s">
        <v>210</v>
      </c>
      <c r="BW1250" s="392" t="s">
        <v>210</v>
      </c>
      <c r="BX1250" s="392" t="s">
        <v>210</v>
      </c>
      <c r="BY1250" s="457"/>
      <c r="BZ1250" s="363"/>
      <c r="CA1250" s="363"/>
      <c r="CB1250" s="363"/>
      <c r="CC1250" s="363"/>
    </row>
    <row r="1251" spans="1:82" ht="22.5" customHeight="1">
      <c r="B1251" s="442">
        <v>190007</v>
      </c>
      <c r="C1251" s="443" t="s">
        <v>9843</v>
      </c>
      <c r="D1251" s="439" t="s">
        <v>4849</v>
      </c>
      <c r="E1251" s="404" t="s">
        <v>5638</v>
      </c>
      <c r="F1251" s="405" t="s">
        <v>6678</v>
      </c>
      <c r="G1251" s="324" t="s">
        <v>9844</v>
      </c>
      <c r="H1251" s="324" t="s">
        <v>9845</v>
      </c>
      <c r="I1251" s="326" t="s">
        <v>383</v>
      </c>
      <c r="J1251" s="324" t="s">
        <v>214</v>
      </c>
      <c r="K1251" s="324" t="s">
        <v>917</v>
      </c>
      <c r="L1251" s="342" t="s">
        <v>210</v>
      </c>
      <c r="M1251" s="324" t="s">
        <v>7457</v>
      </c>
      <c r="N1251" s="444" t="s">
        <v>10007</v>
      </c>
      <c r="O1251" s="324">
        <v>100</v>
      </c>
      <c r="P1251" s="445">
        <v>2400</v>
      </c>
      <c r="Q1251" s="446">
        <f>P1251</f>
        <v>2400</v>
      </c>
      <c r="R1251" s="329" t="s">
        <v>486</v>
      </c>
      <c r="S1251" s="331" t="s">
        <v>11299</v>
      </c>
      <c r="T1251" s="331" t="s">
        <v>11301</v>
      </c>
      <c r="U1251" s="331" t="s">
        <v>11300</v>
      </c>
      <c r="V1251" s="331" t="s">
        <v>11302</v>
      </c>
      <c r="W1251" s="332" t="s">
        <v>432</v>
      </c>
      <c r="X1251" s="331" t="s">
        <v>11079</v>
      </c>
      <c r="Y1251" s="331" t="s">
        <v>11080</v>
      </c>
      <c r="Z1251" s="331" t="s">
        <v>11080</v>
      </c>
      <c r="AA1251" s="331" t="s">
        <v>6574</v>
      </c>
      <c r="AB1251" s="416"/>
      <c r="AC1251" s="416"/>
      <c r="AD1251" s="334" t="s">
        <v>2322</v>
      </c>
      <c r="AE1251" s="499" t="s">
        <v>3127</v>
      </c>
      <c r="AF1251" s="462">
        <v>43654</v>
      </c>
      <c r="AG1251" s="748">
        <v>43728</v>
      </c>
      <c r="AH1251" s="453">
        <v>11.1</v>
      </c>
      <c r="AI1251" s="432">
        <v>23.3</v>
      </c>
      <c r="AJ1251" s="432">
        <v>20.7</v>
      </c>
      <c r="AK1251" s="340">
        <f>SUM(AH1251:AJ1251)</f>
        <v>55.099999999999994</v>
      </c>
      <c r="AL1251" s="417" t="s">
        <v>210</v>
      </c>
      <c r="AM1251" s="392" t="s">
        <v>210</v>
      </c>
      <c r="AN1251" s="392" t="s">
        <v>210</v>
      </c>
      <c r="AO1251" s="341" t="s">
        <v>210</v>
      </c>
      <c r="AP1251" s="392" t="s">
        <v>210</v>
      </c>
      <c r="AQ1251" s="433" t="s">
        <v>4547</v>
      </c>
      <c r="AR1251" s="452">
        <v>3322</v>
      </c>
      <c r="AS1251" s="324">
        <v>150</v>
      </c>
      <c r="AT1251" s="432">
        <v>0.8</v>
      </c>
      <c r="AU1251" s="432" t="s">
        <v>10048</v>
      </c>
      <c r="AV1251" s="432">
        <v>1.2</v>
      </c>
      <c r="AW1251" s="432" t="s">
        <v>10048</v>
      </c>
      <c r="AX1251" s="453" t="s">
        <v>210</v>
      </c>
      <c r="AY1251" s="429" t="s">
        <v>10008</v>
      </c>
      <c r="AZ1251" s="405" t="s">
        <v>622</v>
      </c>
      <c r="BA1251" s="324" t="s">
        <v>10009</v>
      </c>
      <c r="BB1251" s="324" t="s">
        <v>10010</v>
      </c>
      <c r="BC1251" s="324" t="s">
        <v>10011</v>
      </c>
      <c r="BD1251" s="324" t="s">
        <v>10010</v>
      </c>
      <c r="BE1251" s="324" t="s">
        <v>10012</v>
      </c>
      <c r="BF1251" s="324" t="s">
        <v>10013</v>
      </c>
      <c r="BG1251" s="324" t="s">
        <v>10014</v>
      </c>
      <c r="BH1251" s="324" t="s">
        <v>10013</v>
      </c>
      <c r="BI1251" s="453">
        <v>1.7</v>
      </c>
      <c r="BJ1251" s="427">
        <v>1.33</v>
      </c>
      <c r="BK1251" s="428" t="s">
        <v>9854</v>
      </c>
      <c r="BL1251" s="429">
        <v>4.3</v>
      </c>
      <c r="BM1251" s="430" t="s">
        <v>210</v>
      </c>
      <c r="BN1251" s="453" t="s">
        <v>622</v>
      </c>
      <c r="BO1251" s="464">
        <v>1.31</v>
      </c>
      <c r="BP1251" s="455" t="s">
        <v>622</v>
      </c>
      <c r="BQ1251" s="456" t="s">
        <v>6623</v>
      </c>
      <c r="BR1251" s="342" t="s">
        <v>210</v>
      </c>
      <c r="BS1251" s="342" t="s">
        <v>622</v>
      </c>
      <c r="BT1251" s="392" t="s">
        <v>210</v>
      </c>
      <c r="BU1251" s="392" t="s">
        <v>210</v>
      </c>
      <c r="BV1251" s="392" t="s">
        <v>210</v>
      </c>
      <c r="BW1251" s="392" t="s">
        <v>210</v>
      </c>
      <c r="BX1251" s="392" t="s">
        <v>210</v>
      </c>
      <c r="BY1251" s="457"/>
      <c r="BZ1251" s="363"/>
      <c r="CA1251" s="363"/>
      <c r="CB1251" s="363"/>
      <c r="CC1251" s="363"/>
    </row>
    <row r="1252" spans="1:82" ht="22.5" customHeight="1">
      <c r="B1252" s="442">
        <v>190008</v>
      </c>
      <c r="C1252" s="443" t="s">
        <v>11298</v>
      </c>
      <c r="D1252" s="439" t="s">
        <v>4854</v>
      </c>
      <c r="E1252" s="404" t="s">
        <v>5405</v>
      </c>
      <c r="F1252" s="405" t="s">
        <v>213</v>
      </c>
      <c r="G1252" s="324" t="s">
        <v>9857</v>
      </c>
      <c r="H1252" s="324" t="s">
        <v>9858</v>
      </c>
      <c r="I1252" s="326" t="s">
        <v>9895</v>
      </c>
      <c r="J1252" s="324" t="s">
        <v>7171</v>
      </c>
      <c r="K1252" s="324" t="s">
        <v>9859</v>
      </c>
      <c r="L1252" s="342" t="s">
        <v>210</v>
      </c>
      <c r="M1252" s="324" t="s">
        <v>766</v>
      </c>
      <c r="N1252" s="444" t="s">
        <v>9896</v>
      </c>
      <c r="O1252" s="324">
        <v>30</v>
      </c>
      <c r="P1252" s="458">
        <v>1114</v>
      </c>
      <c r="Q1252" s="459">
        <v>1225</v>
      </c>
      <c r="R1252" s="420" t="s">
        <v>15031</v>
      </c>
      <c r="S1252" s="400"/>
      <c r="T1252" s="400"/>
      <c r="U1252" s="400"/>
      <c r="V1252" s="400"/>
      <c r="W1252" s="460" t="s">
        <v>9860</v>
      </c>
      <c r="X1252" s="400"/>
      <c r="Y1252" s="400"/>
      <c r="Z1252" s="400"/>
      <c r="AA1252" s="400"/>
      <c r="AB1252" s="416" t="s">
        <v>9863</v>
      </c>
      <c r="AC1252" s="416"/>
      <c r="AD1252" s="996"/>
      <c r="AE1252" s="391"/>
      <c r="AF1252" s="462">
        <v>43656</v>
      </c>
      <c r="AG1252" s="748">
        <v>43693</v>
      </c>
      <c r="AH1252" s="417" t="s">
        <v>210</v>
      </c>
      <c r="AI1252" s="392" t="s">
        <v>210</v>
      </c>
      <c r="AJ1252" s="392" t="s">
        <v>210</v>
      </c>
      <c r="AK1252" s="340" t="s">
        <v>210</v>
      </c>
      <c r="AL1252" s="417" t="s">
        <v>210</v>
      </c>
      <c r="AM1252" s="392" t="s">
        <v>210</v>
      </c>
      <c r="AN1252" s="392" t="s">
        <v>210</v>
      </c>
      <c r="AO1252" s="341" t="s">
        <v>210</v>
      </c>
      <c r="AP1252" s="392" t="s">
        <v>210</v>
      </c>
      <c r="AQ1252" s="433" t="s">
        <v>9897</v>
      </c>
      <c r="AR1252" s="452">
        <v>1062</v>
      </c>
      <c r="AS1252" s="324">
        <v>150</v>
      </c>
      <c r="AT1252" s="432">
        <v>1.2</v>
      </c>
      <c r="AU1252" s="432" t="s">
        <v>9898</v>
      </c>
      <c r="AV1252" s="432">
        <v>1.2</v>
      </c>
      <c r="AW1252" s="432" t="s">
        <v>9898</v>
      </c>
      <c r="AX1252" s="453" t="s">
        <v>210</v>
      </c>
      <c r="AY1252" s="429" t="s">
        <v>210</v>
      </c>
      <c r="AZ1252" s="405" t="s">
        <v>4083</v>
      </c>
      <c r="BA1252" s="324" t="s">
        <v>210</v>
      </c>
      <c r="BB1252" s="324" t="s">
        <v>210</v>
      </c>
      <c r="BC1252" s="324" t="s">
        <v>210</v>
      </c>
      <c r="BD1252" s="324" t="s">
        <v>210</v>
      </c>
      <c r="BE1252" s="324" t="s">
        <v>210</v>
      </c>
      <c r="BF1252" s="324" t="s">
        <v>210</v>
      </c>
      <c r="BG1252" s="324" t="s">
        <v>9899</v>
      </c>
      <c r="BH1252" s="426" t="s">
        <v>9900</v>
      </c>
      <c r="BI1252" s="453">
        <v>3.5</v>
      </c>
      <c r="BJ1252" s="427" t="s">
        <v>295</v>
      </c>
      <c r="BK1252" s="428" t="s">
        <v>295</v>
      </c>
      <c r="BL1252" s="429" t="s">
        <v>295</v>
      </c>
      <c r="BM1252" s="430" t="s">
        <v>295</v>
      </c>
      <c r="BN1252" s="453" t="s">
        <v>622</v>
      </c>
      <c r="BO1252" s="464">
        <v>1.31</v>
      </c>
      <c r="BP1252" s="455" t="s">
        <v>210</v>
      </c>
      <c r="BQ1252" s="456" t="s">
        <v>1059</v>
      </c>
      <c r="BR1252" s="342" t="s">
        <v>622</v>
      </c>
      <c r="BS1252" s="392" t="s">
        <v>210</v>
      </c>
      <c r="BT1252" s="392" t="s">
        <v>210</v>
      </c>
      <c r="BU1252" s="392" t="s">
        <v>210</v>
      </c>
      <c r="BV1252" s="392" t="s">
        <v>210</v>
      </c>
      <c r="BW1252" s="341" t="s">
        <v>622</v>
      </c>
      <c r="BX1252" s="392" t="s">
        <v>210</v>
      </c>
      <c r="BY1252" s="457" t="s">
        <v>6276</v>
      </c>
      <c r="BZ1252" s="363"/>
      <c r="CA1252" s="363"/>
      <c r="CB1252" s="363"/>
      <c r="CC1252" s="363"/>
    </row>
    <row r="1253" spans="1:82" s="465" customFormat="1" ht="22.5" customHeight="1">
      <c r="A1253" s="287"/>
      <c r="B1253" s="749">
        <v>190009</v>
      </c>
      <c r="C1253" s="781" t="s">
        <v>11290</v>
      </c>
      <c r="D1253" s="829" t="s">
        <v>9866</v>
      </c>
      <c r="E1253" s="752" t="s">
        <v>5405</v>
      </c>
      <c r="F1253" s="753" t="s">
        <v>9930</v>
      </c>
      <c r="G1253" s="754" t="s">
        <v>9931</v>
      </c>
      <c r="H1253" s="754" t="s">
        <v>9932</v>
      </c>
      <c r="I1253" s="662" t="s">
        <v>383</v>
      </c>
      <c r="J1253" s="754" t="s">
        <v>214</v>
      </c>
      <c r="K1253" s="754" t="s">
        <v>247</v>
      </c>
      <c r="L1253" s="688">
        <v>25</v>
      </c>
      <c r="M1253" s="754" t="s">
        <v>7457</v>
      </c>
      <c r="N1253" s="755" t="s">
        <v>9979</v>
      </c>
      <c r="O1253" s="754">
        <v>70</v>
      </c>
      <c r="P1253" s="782">
        <v>1400</v>
      </c>
      <c r="Q1253" s="783">
        <f>P1253</f>
        <v>1400</v>
      </c>
      <c r="R1253" s="756" t="s">
        <v>9934</v>
      </c>
      <c r="S1253" s="708" t="s">
        <v>11294</v>
      </c>
      <c r="T1253" s="708" t="s">
        <v>11296</v>
      </c>
      <c r="U1253" s="708" t="s">
        <v>11295</v>
      </c>
      <c r="V1253" s="708" t="s">
        <v>11297</v>
      </c>
      <c r="W1253" s="669" t="s">
        <v>644</v>
      </c>
      <c r="X1253" s="708" t="s">
        <v>11291</v>
      </c>
      <c r="Y1253" s="708" t="s">
        <v>11292</v>
      </c>
      <c r="Z1253" s="708" t="s">
        <v>16526</v>
      </c>
      <c r="AA1253" s="708" t="s">
        <v>11293</v>
      </c>
      <c r="AB1253" s="758" t="s">
        <v>9933</v>
      </c>
      <c r="AC1253" s="758"/>
      <c r="AD1253" s="759"/>
      <c r="AE1253" s="760"/>
      <c r="AF1253" s="846">
        <v>43671</v>
      </c>
      <c r="AG1253" s="674" t="s">
        <v>10514</v>
      </c>
      <c r="AH1253" s="675" t="s">
        <v>210</v>
      </c>
      <c r="AI1253" s="676" t="s">
        <v>210</v>
      </c>
      <c r="AJ1253" s="676" t="s">
        <v>210</v>
      </c>
      <c r="AK1253" s="677" t="s">
        <v>210</v>
      </c>
      <c r="AL1253" s="675" t="s">
        <v>210</v>
      </c>
      <c r="AM1253" s="676" t="s">
        <v>210</v>
      </c>
      <c r="AN1253" s="676" t="s">
        <v>210</v>
      </c>
      <c r="AO1253" s="678" t="s">
        <v>210</v>
      </c>
      <c r="AP1253" s="676" t="s">
        <v>210</v>
      </c>
      <c r="AQ1253" s="762" t="s">
        <v>4547</v>
      </c>
      <c r="AR1253" s="763">
        <v>1971</v>
      </c>
      <c r="AS1253" s="754">
        <v>120</v>
      </c>
      <c r="AT1253" s="785">
        <v>1</v>
      </c>
      <c r="AU1253" s="785" t="s">
        <v>10090</v>
      </c>
      <c r="AV1253" s="785">
        <v>1.2</v>
      </c>
      <c r="AW1253" s="764" t="s">
        <v>10090</v>
      </c>
      <c r="AX1253" s="765" t="s">
        <v>210</v>
      </c>
      <c r="AY1253" s="766" t="s">
        <v>210</v>
      </c>
      <c r="AZ1253" s="753" t="s">
        <v>4083</v>
      </c>
      <c r="BA1253" s="754" t="s">
        <v>210</v>
      </c>
      <c r="BB1253" s="754" t="s">
        <v>210</v>
      </c>
      <c r="BC1253" s="754" t="s">
        <v>210</v>
      </c>
      <c r="BD1253" s="754" t="s">
        <v>210</v>
      </c>
      <c r="BE1253" s="754" t="s">
        <v>10091</v>
      </c>
      <c r="BF1253" s="754" t="s">
        <v>10090</v>
      </c>
      <c r="BG1253" s="754" t="s">
        <v>10092</v>
      </c>
      <c r="BH1253" s="754" t="s">
        <v>10090</v>
      </c>
      <c r="BI1253" s="765">
        <v>6.2</v>
      </c>
      <c r="BJ1253" s="768">
        <v>2.9</v>
      </c>
      <c r="BK1253" s="769" t="s">
        <v>210</v>
      </c>
      <c r="BL1253" s="766" t="s">
        <v>210</v>
      </c>
      <c r="BM1253" s="770" t="s">
        <v>210</v>
      </c>
      <c r="BN1253" s="765" t="s">
        <v>210</v>
      </c>
      <c r="BO1253" s="771" t="s">
        <v>10093</v>
      </c>
      <c r="BP1253" s="772" t="s">
        <v>622</v>
      </c>
      <c r="BQ1253" s="773" t="s">
        <v>293</v>
      </c>
      <c r="BR1253" s="688" t="s">
        <v>210</v>
      </c>
      <c r="BS1253" s="676" t="s">
        <v>210</v>
      </c>
      <c r="BT1253" s="676" t="s">
        <v>210</v>
      </c>
      <c r="BU1253" s="676" t="s">
        <v>210</v>
      </c>
      <c r="BV1253" s="676" t="s">
        <v>210</v>
      </c>
      <c r="BW1253" s="676" t="s">
        <v>210</v>
      </c>
      <c r="BX1253" s="676" t="s">
        <v>210</v>
      </c>
      <c r="BY1253" s="774" t="s">
        <v>10573</v>
      </c>
      <c r="BZ1253" s="483"/>
      <c r="CA1253" s="483"/>
      <c r="CB1253" s="483"/>
      <c r="CC1253" s="483"/>
      <c r="CD1253" s="484"/>
    </row>
    <row r="1254" spans="1:82" ht="22.5" customHeight="1">
      <c r="B1254" s="442">
        <v>190010</v>
      </c>
      <c r="C1254" s="443" t="s">
        <v>9994</v>
      </c>
      <c r="D1254" s="439" t="s">
        <v>4847</v>
      </c>
      <c r="E1254" s="404" t="s">
        <v>5362</v>
      </c>
      <c r="F1254" s="405" t="s">
        <v>1043</v>
      </c>
      <c r="G1254" s="324" t="s">
        <v>9971</v>
      </c>
      <c r="H1254" s="324" t="s">
        <v>9972</v>
      </c>
      <c r="I1254" s="326" t="s">
        <v>383</v>
      </c>
      <c r="J1254" s="324" t="s">
        <v>214</v>
      </c>
      <c r="K1254" s="324" t="s">
        <v>247</v>
      </c>
      <c r="L1254" s="342">
        <v>30</v>
      </c>
      <c r="M1254" s="324" t="s">
        <v>7457</v>
      </c>
      <c r="N1254" s="444" t="s">
        <v>9184</v>
      </c>
      <c r="O1254" s="324">
        <v>80</v>
      </c>
      <c r="P1254" s="445">
        <v>730</v>
      </c>
      <c r="Q1254" s="446">
        <v>730</v>
      </c>
      <c r="R1254" s="420" t="s">
        <v>10022</v>
      </c>
      <c r="S1254" s="394" t="s">
        <v>11289</v>
      </c>
      <c r="T1254" s="394" t="s">
        <v>14975</v>
      </c>
      <c r="U1254" s="394" t="s">
        <v>16304</v>
      </c>
      <c r="V1254" s="394" t="s">
        <v>11288</v>
      </c>
      <c r="W1254" s="332" t="s">
        <v>644</v>
      </c>
      <c r="X1254" s="394" t="s">
        <v>11286</v>
      </c>
      <c r="Y1254" s="394" t="s">
        <v>11265</v>
      </c>
      <c r="Z1254" s="394" t="s">
        <v>11200</v>
      </c>
      <c r="AA1254" s="394" t="s">
        <v>11287</v>
      </c>
      <c r="AB1254" s="416"/>
      <c r="AC1254" s="416"/>
      <c r="AD1254" s="447" t="s">
        <v>726</v>
      </c>
      <c r="AE1254" s="499" t="s">
        <v>10257</v>
      </c>
      <c r="AF1254" s="462">
        <v>43677</v>
      </c>
      <c r="AG1254" s="748">
        <v>43749</v>
      </c>
      <c r="AH1254" s="417" t="s">
        <v>210</v>
      </c>
      <c r="AI1254" s="392" t="s">
        <v>210</v>
      </c>
      <c r="AJ1254" s="392" t="s">
        <v>210</v>
      </c>
      <c r="AK1254" s="340" t="s">
        <v>210</v>
      </c>
      <c r="AL1254" s="417" t="s">
        <v>210</v>
      </c>
      <c r="AM1254" s="392" t="s">
        <v>210</v>
      </c>
      <c r="AN1254" s="392" t="s">
        <v>210</v>
      </c>
      <c r="AO1254" s="341" t="s">
        <v>210</v>
      </c>
      <c r="AP1254" s="1063" t="s">
        <v>622</v>
      </c>
      <c r="AQ1254" s="433" t="s">
        <v>4547</v>
      </c>
      <c r="AR1254" s="452">
        <v>1400</v>
      </c>
      <c r="AS1254" s="324">
        <v>100</v>
      </c>
      <c r="AT1254" s="432">
        <v>1</v>
      </c>
      <c r="AU1254" s="432" t="s">
        <v>10015</v>
      </c>
      <c r="AV1254" s="432">
        <v>1.5</v>
      </c>
      <c r="AW1254" s="490" t="s">
        <v>10016</v>
      </c>
      <c r="AX1254" s="453" t="s">
        <v>210</v>
      </c>
      <c r="AY1254" s="429" t="s">
        <v>210</v>
      </c>
      <c r="AZ1254" s="405" t="s">
        <v>4083</v>
      </c>
      <c r="BA1254" s="324" t="s">
        <v>210</v>
      </c>
      <c r="BB1254" s="324" t="s">
        <v>210</v>
      </c>
      <c r="BC1254" s="324" t="s">
        <v>210</v>
      </c>
      <c r="BD1254" s="324" t="s">
        <v>210</v>
      </c>
      <c r="BE1254" s="324" t="s">
        <v>10017</v>
      </c>
      <c r="BF1254" s="324" t="s">
        <v>10018</v>
      </c>
      <c r="BG1254" s="324" t="s">
        <v>10019</v>
      </c>
      <c r="BH1254" s="426" t="s">
        <v>10020</v>
      </c>
      <c r="BI1254" s="453">
        <v>5.5</v>
      </c>
      <c r="BJ1254" s="427" t="s">
        <v>210</v>
      </c>
      <c r="BK1254" s="428" t="s">
        <v>210</v>
      </c>
      <c r="BL1254" s="429" t="s">
        <v>210</v>
      </c>
      <c r="BM1254" s="430" t="s">
        <v>210</v>
      </c>
      <c r="BN1254" s="453" t="s">
        <v>622</v>
      </c>
      <c r="BO1254" s="464">
        <v>1.7</v>
      </c>
      <c r="BP1254" s="455" t="s">
        <v>210</v>
      </c>
      <c r="BQ1254" s="456" t="s">
        <v>293</v>
      </c>
      <c r="BR1254" s="342" t="s">
        <v>210</v>
      </c>
      <c r="BS1254" s="392" t="s">
        <v>210</v>
      </c>
      <c r="BT1254" s="392" t="s">
        <v>210</v>
      </c>
      <c r="BU1254" s="392" t="s">
        <v>210</v>
      </c>
      <c r="BV1254" s="392" t="s">
        <v>210</v>
      </c>
      <c r="BW1254" s="392" t="s">
        <v>210</v>
      </c>
      <c r="BX1254" s="904" t="s">
        <v>622</v>
      </c>
      <c r="BY1254" s="457" t="s">
        <v>10021</v>
      </c>
      <c r="BZ1254" s="363"/>
      <c r="CA1254" s="363"/>
      <c r="CB1254" s="363"/>
      <c r="CC1254" s="363"/>
    </row>
    <row r="1255" spans="1:82" ht="22.5" customHeight="1">
      <c r="B1255" s="442">
        <v>190011</v>
      </c>
      <c r="C1255" s="443" t="s">
        <v>10044</v>
      </c>
      <c r="D1255" s="439" t="s">
        <v>4847</v>
      </c>
      <c r="E1255" s="404" t="s">
        <v>5638</v>
      </c>
      <c r="F1255" s="405" t="s">
        <v>10045</v>
      </c>
      <c r="G1255" s="324" t="s">
        <v>10046</v>
      </c>
      <c r="H1255" s="324" t="s">
        <v>10047</v>
      </c>
      <c r="I1255" s="326" t="s">
        <v>383</v>
      </c>
      <c r="J1255" s="324" t="s">
        <v>6632</v>
      </c>
      <c r="K1255" s="324" t="s">
        <v>917</v>
      </c>
      <c r="L1255" s="342" t="s">
        <v>210</v>
      </c>
      <c r="M1255" s="324" t="s">
        <v>11943</v>
      </c>
      <c r="N1255" s="444" t="s">
        <v>438</v>
      </c>
      <c r="O1255" s="324">
        <v>30</v>
      </c>
      <c r="P1255" s="445">
        <f>Q1255+165</f>
        <v>3465</v>
      </c>
      <c r="Q1255" s="446">
        <v>3300</v>
      </c>
      <c r="R1255" s="329" t="s">
        <v>447</v>
      </c>
      <c r="S1255" s="331" t="s">
        <v>11188</v>
      </c>
      <c r="T1255" s="331" t="s">
        <v>11078</v>
      </c>
      <c r="U1255" s="331" t="s">
        <v>16355</v>
      </c>
      <c r="V1255" s="331" t="s">
        <v>11189</v>
      </c>
      <c r="W1255" s="332" t="s">
        <v>432</v>
      </c>
      <c r="X1255" s="331" t="s">
        <v>11079</v>
      </c>
      <c r="Y1255" s="331" t="s">
        <v>11080</v>
      </c>
      <c r="Z1255" s="331" t="s">
        <v>11080</v>
      </c>
      <c r="AA1255" s="331" t="s">
        <v>295</v>
      </c>
      <c r="AB1255" s="416"/>
      <c r="AC1255" s="416"/>
      <c r="AD1255" s="447" t="s">
        <v>7208</v>
      </c>
      <c r="AE1255" s="499" t="s">
        <v>10567</v>
      </c>
      <c r="AF1255" s="462">
        <v>43683</v>
      </c>
      <c r="AG1255" s="748">
        <v>43796</v>
      </c>
      <c r="AH1255" s="453">
        <v>9</v>
      </c>
      <c r="AI1255" s="432">
        <v>20.3</v>
      </c>
      <c r="AJ1255" s="432">
        <v>15.3</v>
      </c>
      <c r="AK1255" s="340">
        <f>SUM(AH1255:AJ1255)</f>
        <v>44.6</v>
      </c>
      <c r="AL1255" s="417" t="s">
        <v>210</v>
      </c>
      <c r="AM1255" s="392" t="s">
        <v>210</v>
      </c>
      <c r="AN1255" s="392" t="s">
        <v>210</v>
      </c>
      <c r="AO1255" s="341" t="s">
        <v>210</v>
      </c>
      <c r="AP1255" s="392" t="s">
        <v>210</v>
      </c>
      <c r="AQ1255" s="433" t="s">
        <v>4547</v>
      </c>
      <c r="AR1255" s="452">
        <v>3753</v>
      </c>
      <c r="AS1255" s="324">
        <v>100</v>
      </c>
      <c r="AT1255" s="432">
        <v>0.8</v>
      </c>
      <c r="AU1255" s="432" t="s">
        <v>5246</v>
      </c>
      <c r="AV1255" s="432">
        <v>1.5</v>
      </c>
      <c r="AW1255" s="490" t="s">
        <v>10360</v>
      </c>
      <c r="AX1255" s="453" t="s">
        <v>210</v>
      </c>
      <c r="AY1255" s="429" t="s">
        <v>622</v>
      </c>
      <c r="AZ1255" s="405" t="s">
        <v>4083</v>
      </c>
      <c r="BA1255" s="324" t="s">
        <v>210</v>
      </c>
      <c r="BB1255" s="324" t="s">
        <v>210</v>
      </c>
      <c r="BC1255" s="324" t="s">
        <v>10361</v>
      </c>
      <c r="BD1255" s="324" t="s">
        <v>10362</v>
      </c>
      <c r="BE1255" s="324" t="s">
        <v>210</v>
      </c>
      <c r="BF1255" s="324" t="s">
        <v>210</v>
      </c>
      <c r="BG1255" s="324" t="s">
        <v>210</v>
      </c>
      <c r="BH1255" s="324" t="s">
        <v>210</v>
      </c>
      <c r="BI1255" s="453">
        <v>0.3</v>
      </c>
      <c r="BJ1255" s="427">
        <v>3.53</v>
      </c>
      <c r="BK1255" s="428" t="s">
        <v>10363</v>
      </c>
      <c r="BL1255" s="429">
        <v>4.3</v>
      </c>
      <c r="BM1255" s="430" t="s">
        <v>210</v>
      </c>
      <c r="BN1255" s="453" t="s">
        <v>622</v>
      </c>
      <c r="BO1255" s="464">
        <v>2.19</v>
      </c>
      <c r="BP1255" s="455" t="s">
        <v>622</v>
      </c>
      <c r="BQ1255" s="456" t="s">
        <v>6623</v>
      </c>
      <c r="BR1255" s="342" t="s">
        <v>622</v>
      </c>
      <c r="BS1255" s="342" t="s">
        <v>622</v>
      </c>
      <c r="BT1255" s="392" t="s">
        <v>210</v>
      </c>
      <c r="BU1255" s="392" t="s">
        <v>210</v>
      </c>
      <c r="BV1255" s="392" t="s">
        <v>210</v>
      </c>
      <c r="BW1255" s="392" t="s">
        <v>210</v>
      </c>
      <c r="BX1255" s="392" t="s">
        <v>210</v>
      </c>
      <c r="BY1255" s="457" t="s">
        <v>10364</v>
      </c>
      <c r="BZ1255" s="363"/>
      <c r="CA1255" s="363"/>
      <c r="CB1255" s="363"/>
      <c r="CC1255" s="363"/>
    </row>
    <row r="1256" spans="1:82" ht="22.5" customHeight="1">
      <c r="B1256" s="442">
        <v>190012</v>
      </c>
      <c r="C1256" s="443" t="s">
        <v>10144</v>
      </c>
      <c r="D1256" s="467" t="s">
        <v>10100</v>
      </c>
      <c r="E1256" s="404" t="s">
        <v>5362</v>
      </c>
      <c r="F1256" s="405" t="s">
        <v>1043</v>
      </c>
      <c r="G1256" s="324" t="s">
        <v>10145</v>
      </c>
      <c r="H1256" s="324" t="s">
        <v>10146</v>
      </c>
      <c r="I1256" s="326" t="s">
        <v>10147</v>
      </c>
      <c r="J1256" s="324" t="s">
        <v>6632</v>
      </c>
      <c r="K1256" s="324" t="s">
        <v>6176</v>
      </c>
      <c r="L1256" s="342">
        <v>30</v>
      </c>
      <c r="M1256" s="324" t="s">
        <v>7457</v>
      </c>
      <c r="N1256" s="444" t="s">
        <v>10148</v>
      </c>
      <c r="O1256" s="324">
        <v>140</v>
      </c>
      <c r="P1256" s="458">
        <v>6011.94</v>
      </c>
      <c r="Q1256" s="459">
        <v>5591</v>
      </c>
      <c r="R1256" s="420" t="s">
        <v>10149</v>
      </c>
      <c r="S1256" s="394" t="s">
        <v>11283</v>
      </c>
      <c r="T1256" s="394" t="s">
        <v>11284</v>
      </c>
      <c r="U1256" s="394" t="s">
        <v>16292</v>
      </c>
      <c r="V1256" s="394" t="s">
        <v>11285</v>
      </c>
      <c r="W1256" s="460" t="s">
        <v>10150</v>
      </c>
      <c r="X1256" s="394" t="s">
        <v>11281</v>
      </c>
      <c r="Y1256" s="394" t="s">
        <v>11282</v>
      </c>
      <c r="Z1256" s="394" t="s">
        <v>16323</v>
      </c>
      <c r="AA1256" s="394" t="s">
        <v>11280</v>
      </c>
      <c r="AB1256" s="416"/>
      <c r="AC1256" s="416"/>
      <c r="AD1256" s="498" t="s">
        <v>10194</v>
      </c>
      <c r="AE1256" s="499" t="s">
        <v>353</v>
      </c>
      <c r="AF1256" s="462">
        <v>43684</v>
      </c>
      <c r="AG1256" s="748">
        <v>43756</v>
      </c>
      <c r="AH1256" s="417" t="s">
        <v>10151</v>
      </c>
      <c r="AI1256" s="392" t="s">
        <v>10151</v>
      </c>
      <c r="AJ1256" s="392" t="s">
        <v>10151</v>
      </c>
      <c r="AK1256" s="340" t="s">
        <v>10151</v>
      </c>
      <c r="AL1256" s="417" t="s">
        <v>10151</v>
      </c>
      <c r="AM1256" s="392" t="s">
        <v>10151</v>
      </c>
      <c r="AN1256" s="392" t="s">
        <v>10151</v>
      </c>
      <c r="AO1256" s="341" t="s">
        <v>10151</v>
      </c>
      <c r="AP1256" s="1063" t="s">
        <v>10152</v>
      </c>
      <c r="AQ1256" s="433" t="s">
        <v>4547</v>
      </c>
      <c r="AR1256" s="452">
        <f>5794+665</f>
        <v>6459</v>
      </c>
      <c r="AS1256" s="324">
        <v>150</v>
      </c>
      <c r="AT1256" s="432">
        <v>1.2</v>
      </c>
      <c r="AU1256" s="432" t="s">
        <v>5246</v>
      </c>
      <c r="AV1256" s="432">
        <v>1.2</v>
      </c>
      <c r="AW1256" s="490" t="s">
        <v>10153</v>
      </c>
      <c r="AX1256" s="453" t="s">
        <v>10154</v>
      </c>
      <c r="AY1256" s="429" t="s">
        <v>10154</v>
      </c>
      <c r="AZ1256" s="405" t="s">
        <v>4083</v>
      </c>
      <c r="BA1256" s="324" t="s">
        <v>10155</v>
      </c>
      <c r="BB1256" s="324" t="s">
        <v>10155</v>
      </c>
      <c r="BC1256" s="324" t="s">
        <v>10155</v>
      </c>
      <c r="BD1256" s="324" t="s">
        <v>10155</v>
      </c>
      <c r="BE1256" s="324" t="s">
        <v>10155</v>
      </c>
      <c r="BF1256" s="324" t="s">
        <v>10155</v>
      </c>
      <c r="BG1256" s="324" t="s">
        <v>10155</v>
      </c>
      <c r="BH1256" s="324" t="s">
        <v>10155</v>
      </c>
      <c r="BI1256" s="453">
        <v>1.7</v>
      </c>
      <c r="BJ1256" s="427" t="s">
        <v>10156</v>
      </c>
      <c r="BK1256" s="427" t="s">
        <v>10156</v>
      </c>
      <c r="BL1256" s="429" t="s">
        <v>10155</v>
      </c>
      <c r="BM1256" s="430" t="s">
        <v>10155</v>
      </c>
      <c r="BN1256" s="453" t="s">
        <v>10157</v>
      </c>
      <c r="BO1256" s="464">
        <v>1.46</v>
      </c>
      <c r="BP1256" s="455" t="s">
        <v>10155</v>
      </c>
      <c r="BQ1256" s="456" t="s">
        <v>10158</v>
      </c>
      <c r="BR1256" s="342" t="s">
        <v>10157</v>
      </c>
      <c r="BS1256" s="342" t="s">
        <v>10157</v>
      </c>
      <c r="BT1256" s="392" t="s">
        <v>10155</v>
      </c>
      <c r="BU1256" s="392" t="s">
        <v>10155</v>
      </c>
      <c r="BV1256" s="392" t="s">
        <v>10155</v>
      </c>
      <c r="BW1256" s="392" t="s">
        <v>10155</v>
      </c>
      <c r="BX1256" s="392" t="s">
        <v>10155</v>
      </c>
      <c r="BY1256" s="457" t="s">
        <v>10159</v>
      </c>
      <c r="BZ1256" s="363"/>
      <c r="CA1256" s="363"/>
      <c r="CB1256" s="363"/>
      <c r="CC1256" s="363"/>
    </row>
    <row r="1257" spans="1:82" ht="22.5" customHeight="1">
      <c r="B1257" s="442">
        <v>190013</v>
      </c>
      <c r="C1257" s="443" t="s">
        <v>15284</v>
      </c>
      <c r="D1257" s="439" t="s">
        <v>9918</v>
      </c>
      <c r="E1257" s="404" t="s">
        <v>5362</v>
      </c>
      <c r="F1257" s="405" t="s">
        <v>222</v>
      </c>
      <c r="G1257" s="324" t="s">
        <v>10066</v>
      </c>
      <c r="H1257" s="324" t="s">
        <v>10160</v>
      </c>
      <c r="I1257" s="326" t="s">
        <v>383</v>
      </c>
      <c r="J1257" s="324" t="s">
        <v>214</v>
      </c>
      <c r="K1257" s="324" t="s">
        <v>8700</v>
      </c>
      <c r="L1257" s="342" t="s">
        <v>10267</v>
      </c>
      <c r="M1257" s="324" t="s">
        <v>7457</v>
      </c>
      <c r="N1257" s="444" t="s">
        <v>438</v>
      </c>
      <c r="O1257" s="324">
        <v>160</v>
      </c>
      <c r="P1257" s="445">
        <v>2700</v>
      </c>
      <c r="Q1257" s="446">
        <f>P1257</f>
        <v>2700</v>
      </c>
      <c r="R1257" s="420" t="s">
        <v>10065</v>
      </c>
      <c r="S1257" s="400"/>
      <c r="T1257" s="400"/>
      <c r="U1257" s="400"/>
      <c r="V1257" s="400"/>
      <c r="W1257" s="460" t="s">
        <v>10003</v>
      </c>
      <c r="X1257" s="331" t="s">
        <v>11248</v>
      </c>
      <c r="Y1257" s="331" t="s">
        <v>11249</v>
      </c>
      <c r="Z1257" s="331" t="s">
        <v>16437</v>
      </c>
      <c r="AA1257" s="331" t="s">
        <v>11250</v>
      </c>
      <c r="AB1257" s="416"/>
      <c r="AC1257" s="416"/>
      <c r="AD1257" s="447" t="s">
        <v>10550</v>
      </c>
      <c r="AE1257" s="499" t="s">
        <v>1038</v>
      </c>
      <c r="AF1257" s="462">
        <v>43684</v>
      </c>
      <c r="AG1257" s="748">
        <v>43777</v>
      </c>
      <c r="AH1257" s="417" t="s">
        <v>210</v>
      </c>
      <c r="AI1257" s="392" t="s">
        <v>210</v>
      </c>
      <c r="AJ1257" s="392" t="s">
        <v>210</v>
      </c>
      <c r="AK1257" s="340" t="s">
        <v>210</v>
      </c>
      <c r="AL1257" s="417" t="s">
        <v>210</v>
      </c>
      <c r="AM1257" s="392" t="s">
        <v>210</v>
      </c>
      <c r="AN1257" s="496" t="s">
        <v>10608</v>
      </c>
      <c r="AO1257" s="341" t="s">
        <v>210</v>
      </c>
      <c r="AP1257" s="392" t="s">
        <v>210</v>
      </c>
      <c r="AQ1257" s="433" t="s">
        <v>4547</v>
      </c>
      <c r="AR1257" s="452">
        <v>3411</v>
      </c>
      <c r="AS1257" s="324">
        <v>150</v>
      </c>
      <c r="AT1257" s="432">
        <v>1.2</v>
      </c>
      <c r="AU1257" s="432" t="s">
        <v>5246</v>
      </c>
      <c r="AV1257" s="432">
        <v>1.5</v>
      </c>
      <c r="AW1257" s="490" t="s">
        <v>10262</v>
      </c>
      <c r="AX1257" s="453" t="s">
        <v>210</v>
      </c>
      <c r="AY1257" s="429" t="s">
        <v>622</v>
      </c>
      <c r="AZ1257" s="405" t="s">
        <v>622</v>
      </c>
      <c r="BA1257" s="324" t="s">
        <v>3555</v>
      </c>
      <c r="BB1257" s="324" t="s">
        <v>3392</v>
      </c>
      <c r="BC1257" s="324" t="s">
        <v>10263</v>
      </c>
      <c r="BD1257" s="324" t="s">
        <v>10362</v>
      </c>
      <c r="BE1257" s="324" t="s">
        <v>10264</v>
      </c>
      <c r="BF1257" s="324" t="s">
        <v>3392</v>
      </c>
      <c r="BG1257" s="324" t="s">
        <v>10265</v>
      </c>
      <c r="BH1257" s="426" t="s">
        <v>10266</v>
      </c>
      <c r="BI1257" s="453">
        <v>0.75</v>
      </c>
      <c r="BJ1257" s="427">
        <v>1.43</v>
      </c>
      <c r="BK1257" s="428" t="s">
        <v>10200</v>
      </c>
      <c r="BL1257" s="429">
        <v>6.15</v>
      </c>
      <c r="BM1257" s="430" t="s">
        <v>622</v>
      </c>
      <c r="BN1257" s="453" t="s">
        <v>210</v>
      </c>
      <c r="BO1257" s="464" t="s">
        <v>210</v>
      </c>
      <c r="BP1257" s="455" t="s">
        <v>622</v>
      </c>
      <c r="BQ1257" s="456" t="s">
        <v>5235</v>
      </c>
      <c r="BR1257" s="342" t="s">
        <v>210</v>
      </c>
      <c r="BS1257" s="342" t="s">
        <v>622</v>
      </c>
      <c r="BT1257" s="392" t="s">
        <v>210</v>
      </c>
      <c r="BU1257" s="392" t="s">
        <v>210</v>
      </c>
      <c r="BV1257" s="392" t="s">
        <v>210</v>
      </c>
      <c r="BW1257" s="392" t="s">
        <v>210</v>
      </c>
      <c r="BX1257" s="392" t="s">
        <v>10712</v>
      </c>
      <c r="BY1257" s="457" t="s">
        <v>10223</v>
      </c>
      <c r="BZ1257" s="363"/>
      <c r="CA1257" s="363"/>
      <c r="CB1257" s="363"/>
      <c r="CC1257" s="363"/>
    </row>
    <row r="1258" spans="1:82" ht="22.5" customHeight="1">
      <c r="B1258" s="442">
        <v>190014</v>
      </c>
      <c r="C1258" s="443" t="s">
        <v>9995</v>
      </c>
      <c r="D1258" s="439" t="s">
        <v>4849</v>
      </c>
      <c r="E1258" s="404" t="s">
        <v>5362</v>
      </c>
      <c r="F1258" s="405" t="s">
        <v>222</v>
      </c>
      <c r="G1258" s="324" t="s">
        <v>9996</v>
      </c>
      <c r="H1258" s="324" t="s">
        <v>9997</v>
      </c>
      <c r="I1258" s="326" t="s">
        <v>383</v>
      </c>
      <c r="J1258" s="324" t="s">
        <v>214</v>
      </c>
      <c r="K1258" s="324" t="s">
        <v>993</v>
      </c>
      <c r="L1258" s="342" t="s">
        <v>210</v>
      </c>
      <c r="M1258" s="324" t="s">
        <v>7457</v>
      </c>
      <c r="N1258" s="444" t="s">
        <v>437</v>
      </c>
      <c r="O1258" s="324">
        <v>130</v>
      </c>
      <c r="P1258" s="445">
        <v>1300</v>
      </c>
      <c r="Q1258" s="446">
        <f>P1258</f>
        <v>1300</v>
      </c>
      <c r="R1258" s="420" t="s">
        <v>9998</v>
      </c>
      <c r="S1258" s="394" t="s">
        <v>11273</v>
      </c>
      <c r="T1258" s="394" t="s">
        <v>11275</v>
      </c>
      <c r="U1258" s="394" t="s">
        <v>11274</v>
      </c>
      <c r="V1258" s="394" t="s">
        <v>11276</v>
      </c>
      <c r="W1258" s="460" t="s">
        <v>9999</v>
      </c>
      <c r="X1258" s="394" t="s">
        <v>11277</v>
      </c>
      <c r="Y1258" s="394" t="s">
        <v>11278</v>
      </c>
      <c r="Z1258" s="394" t="s">
        <v>16441</v>
      </c>
      <c r="AA1258" s="394" t="s">
        <v>11279</v>
      </c>
      <c r="AB1258" s="416"/>
      <c r="AC1258" s="416"/>
      <c r="AD1258" s="498" t="s">
        <v>10194</v>
      </c>
      <c r="AE1258" s="335" t="s">
        <v>210</v>
      </c>
      <c r="AF1258" s="462">
        <v>43685</v>
      </c>
      <c r="AG1258" s="748">
        <v>43735</v>
      </c>
      <c r="AH1258" s="417" t="s">
        <v>210</v>
      </c>
      <c r="AI1258" s="392" t="s">
        <v>210</v>
      </c>
      <c r="AJ1258" s="392" t="s">
        <v>210</v>
      </c>
      <c r="AK1258" s="340" t="s">
        <v>210</v>
      </c>
      <c r="AL1258" s="417" t="s">
        <v>210</v>
      </c>
      <c r="AM1258" s="392" t="s">
        <v>210</v>
      </c>
      <c r="AN1258" s="392" t="s">
        <v>210</v>
      </c>
      <c r="AO1258" s="341" t="s">
        <v>210</v>
      </c>
      <c r="AP1258" s="392" t="s">
        <v>210</v>
      </c>
      <c r="AQ1258" s="433" t="s">
        <v>4547</v>
      </c>
      <c r="AR1258" s="452">
        <v>1838</v>
      </c>
      <c r="AS1258" s="324">
        <v>130</v>
      </c>
      <c r="AT1258" s="432">
        <v>1</v>
      </c>
      <c r="AU1258" s="432" t="s">
        <v>10224</v>
      </c>
      <c r="AV1258" s="432">
        <v>1.5</v>
      </c>
      <c r="AW1258" s="490" t="s">
        <v>10225</v>
      </c>
      <c r="AX1258" s="453" t="s">
        <v>210</v>
      </c>
      <c r="AY1258" s="429" t="s">
        <v>8601</v>
      </c>
      <c r="AZ1258" s="405" t="s">
        <v>4083</v>
      </c>
      <c r="BA1258" s="324" t="s">
        <v>210</v>
      </c>
      <c r="BB1258" s="324" t="s">
        <v>210</v>
      </c>
      <c r="BC1258" s="324" t="s">
        <v>210</v>
      </c>
      <c r="BD1258" s="324" t="s">
        <v>210</v>
      </c>
      <c r="BE1258" s="324" t="s">
        <v>3558</v>
      </c>
      <c r="BF1258" s="324" t="s">
        <v>10226</v>
      </c>
      <c r="BG1258" s="324" t="s">
        <v>10227</v>
      </c>
      <c r="BH1258" s="426" t="s">
        <v>10224</v>
      </c>
      <c r="BI1258" s="453">
        <v>0.75</v>
      </c>
      <c r="BJ1258" s="427">
        <v>5.03</v>
      </c>
      <c r="BK1258" s="428" t="s">
        <v>10228</v>
      </c>
      <c r="BL1258" s="429">
        <f>1.2+1.7</f>
        <v>2.9</v>
      </c>
      <c r="BM1258" s="430" t="s">
        <v>210</v>
      </c>
      <c r="BN1258" s="453" t="s">
        <v>622</v>
      </c>
      <c r="BO1258" s="464">
        <v>1.24</v>
      </c>
      <c r="BP1258" s="455" t="s">
        <v>622</v>
      </c>
      <c r="BQ1258" s="456" t="s">
        <v>1059</v>
      </c>
      <c r="BR1258" s="342" t="s">
        <v>210</v>
      </c>
      <c r="BS1258" s="342" t="s">
        <v>622</v>
      </c>
      <c r="BT1258" s="392" t="s">
        <v>210</v>
      </c>
      <c r="BU1258" s="392" t="s">
        <v>210</v>
      </c>
      <c r="BV1258" s="392" t="s">
        <v>210</v>
      </c>
      <c r="BW1258" s="392" t="s">
        <v>210</v>
      </c>
      <c r="BX1258" s="392" t="s">
        <v>210</v>
      </c>
      <c r="BY1258" s="457" t="s">
        <v>10229</v>
      </c>
      <c r="BZ1258" s="363"/>
      <c r="CA1258" s="363"/>
      <c r="CB1258" s="363"/>
      <c r="CC1258" s="363"/>
    </row>
    <row r="1259" spans="1:82" ht="22.5" customHeight="1">
      <c r="B1259" s="442">
        <v>190015</v>
      </c>
      <c r="C1259" s="443" t="s">
        <v>10088</v>
      </c>
      <c r="D1259" s="439" t="s">
        <v>4849</v>
      </c>
      <c r="E1259" s="404" t="s">
        <v>5362</v>
      </c>
      <c r="F1259" s="405" t="s">
        <v>10072</v>
      </c>
      <c r="G1259" s="324" t="s">
        <v>10073</v>
      </c>
      <c r="H1259" s="324" t="s">
        <v>10074</v>
      </c>
      <c r="I1259" s="326" t="s">
        <v>383</v>
      </c>
      <c r="J1259" s="324" t="s">
        <v>214</v>
      </c>
      <c r="K1259" s="324" t="s">
        <v>917</v>
      </c>
      <c r="L1259" s="342" t="s">
        <v>210</v>
      </c>
      <c r="M1259" s="324" t="s">
        <v>7457</v>
      </c>
      <c r="N1259" s="444" t="s">
        <v>10075</v>
      </c>
      <c r="O1259" s="324">
        <v>100</v>
      </c>
      <c r="P1259" s="445">
        <v>2900</v>
      </c>
      <c r="Q1259" s="446">
        <f>P1259</f>
        <v>2900</v>
      </c>
      <c r="R1259" s="329" t="s">
        <v>453</v>
      </c>
      <c r="S1259" s="330"/>
      <c r="T1259" s="330"/>
      <c r="U1259" s="330"/>
      <c r="V1259" s="330"/>
      <c r="W1259" s="332" t="s">
        <v>454</v>
      </c>
      <c r="X1259" s="331" t="s">
        <v>11271</v>
      </c>
      <c r="Y1259" s="331" t="s">
        <v>11272</v>
      </c>
      <c r="Z1259" s="330"/>
      <c r="AA1259" s="331" t="s">
        <v>11270</v>
      </c>
      <c r="AB1259" s="416"/>
      <c r="AC1259" s="416"/>
      <c r="AD1259" s="334" t="s">
        <v>2326</v>
      </c>
      <c r="AE1259" s="335" t="s">
        <v>210</v>
      </c>
      <c r="AF1259" s="462">
        <v>43686</v>
      </c>
      <c r="AG1259" s="748">
        <v>43770</v>
      </c>
      <c r="AH1259" s="417" t="s">
        <v>210</v>
      </c>
      <c r="AI1259" s="392" t="s">
        <v>210</v>
      </c>
      <c r="AJ1259" s="392" t="s">
        <v>210</v>
      </c>
      <c r="AK1259" s="340" t="s">
        <v>210</v>
      </c>
      <c r="AL1259" s="417" t="s">
        <v>210</v>
      </c>
      <c r="AM1259" s="392" t="s">
        <v>210</v>
      </c>
      <c r="AN1259" s="392" t="s">
        <v>210</v>
      </c>
      <c r="AO1259" s="341" t="s">
        <v>210</v>
      </c>
      <c r="AP1259" s="392" t="s">
        <v>210</v>
      </c>
      <c r="AQ1259" s="433" t="s">
        <v>4547</v>
      </c>
      <c r="AR1259" s="452">
        <v>3748</v>
      </c>
      <c r="AS1259" s="324">
        <v>130</v>
      </c>
      <c r="AT1259" s="432">
        <v>0.8</v>
      </c>
      <c r="AU1259" s="432" t="s">
        <v>10195</v>
      </c>
      <c r="AV1259" s="432">
        <v>1.4</v>
      </c>
      <c r="AW1259" s="432" t="s">
        <v>10195</v>
      </c>
      <c r="AX1259" s="453" t="s">
        <v>210</v>
      </c>
      <c r="AY1259" s="429" t="s">
        <v>8868</v>
      </c>
      <c r="AZ1259" s="405" t="s">
        <v>622</v>
      </c>
      <c r="BA1259" s="324" t="s">
        <v>3459</v>
      </c>
      <c r="BB1259" s="324" t="s">
        <v>10195</v>
      </c>
      <c r="BC1259" s="324" t="s">
        <v>10196</v>
      </c>
      <c r="BD1259" s="324" t="s">
        <v>10195</v>
      </c>
      <c r="BE1259" s="324" t="s">
        <v>10197</v>
      </c>
      <c r="BF1259" s="324" t="s">
        <v>10195</v>
      </c>
      <c r="BG1259" s="324" t="s">
        <v>10198</v>
      </c>
      <c r="BH1259" s="426" t="s">
        <v>10199</v>
      </c>
      <c r="BI1259" s="453">
        <v>0.7</v>
      </c>
      <c r="BJ1259" s="427">
        <v>1.63</v>
      </c>
      <c r="BK1259" s="428" t="s">
        <v>10200</v>
      </c>
      <c r="BL1259" s="429">
        <f>0.9+2.35</f>
        <v>3.25</v>
      </c>
      <c r="BM1259" s="430" t="s">
        <v>210</v>
      </c>
      <c r="BN1259" s="453" t="s">
        <v>622</v>
      </c>
      <c r="BO1259" s="464">
        <v>1.02</v>
      </c>
      <c r="BP1259" s="455" t="s">
        <v>622</v>
      </c>
      <c r="BQ1259" s="456" t="s">
        <v>10201</v>
      </c>
      <c r="BR1259" s="342" t="s">
        <v>210</v>
      </c>
      <c r="BS1259" s="342" t="s">
        <v>622</v>
      </c>
      <c r="BT1259" s="392" t="s">
        <v>210</v>
      </c>
      <c r="BU1259" s="392" t="s">
        <v>210</v>
      </c>
      <c r="BV1259" s="392" t="s">
        <v>210</v>
      </c>
      <c r="BW1259" s="392" t="s">
        <v>210</v>
      </c>
      <c r="BX1259" s="392" t="s">
        <v>210</v>
      </c>
      <c r="BY1259" s="457"/>
      <c r="BZ1259" s="363"/>
      <c r="CA1259" s="363"/>
      <c r="CB1259" s="363"/>
      <c r="CC1259" s="363"/>
    </row>
    <row r="1260" spans="1:82" ht="22.5" customHeight="1">
      <c r="B1260" s="442" t="s">
        <v>10087</v>
      </c>
      <c r="C1260" s="443" t="s">
        <v>10089</v>
      </c>
      <c r="D1260" s="439" t="s">
        <v>4849</v>
      </c>
      <c r="E1260" s="404" t="s">
        <v>5362</v>
      </c>
      <c r="F1260" s="405" t="s">
        <v>308</v>
      </c>
      <c r="G1260" s="324" t="s">
        <v>1864</v>
      </c>
      <c r="H1260" s="324" t="s">
        <v>10074</v>
      </c>
      <c r="I1260" s="326" t="s">
        <v>383</v>
      </c>
      <c r="J1260" s="324" t="s">
        <v>214</v>
      </c>
      <c r="K1260" s="324" t="s">
        <v>917</v>
      </c>
      <c r="L1260" s="342" t="s">
        <v>210</v>
      </c>
      <c r="M1260" s="324" t="s">
        <v>7457</v>
      </c>
      <c r="N1260" s="444" t="s">
        <v>437</v>
      </c>
      <c r="O1260" s="324">
        <v>100</v>
      </c>
      <c r="P1260" s="445">
        <v>1000</v>
      </c>
      <c r="Q1260" s="446">
        <f>P1260</f>
        <v>1000</v>
      </c>
      <c r="R1260" s="329" t="s">
        <v>453</v>
      </c>
      <c r="S1260" s="330"/>
      <c r="T1260" s="330"/>
      <c r="U1260" s="330"/>
      <c r="V1260" s="330"/>
      <c r="W1260" s="332" t="s">
        <v>454</v>
      </c>
      <c r="X1260" s="331" t="s">
        <v>11271</v>
      </c>
      <c r="Y1260" s="331" t="s">
        <v>11272</v>
      </c>
      <c r="Z1260" s="330"/>
      <c r="AA1260" s="331" t="s">
        <v>11270</v>
      </c>
      <c r="AB1260" s="416"/>
      <c r="AC1260" s="416"/>
      <c r="AD1260" s="334" t="s">
        <v>2326</v>
      </c>
      <c r="AE1260" s="335" t="s">
        <v>210</v>
      </c>
      <c r="AF1260" s="462">
        <v>43686</v>
      </c>
      <c r="AG1260" s="748">
        <v>43770</v>
      </c>
      <c r="AH1260" s="417" t="s">
        <v>210</v>
      </c>
      <c r="AI1260" s="392" t="s">
        <v>210</v>
      </c>
      <c r="AJ1260" s="392" t="s">
        <v>210</v>
      </c>
      <c r="AK1260" s="340" t="s">
        <v>210</v>
      </c>
      <c r="AL1260" s="417" t="s">
        <v>210</v>
      </c>
      <c r="AM1260" s="392" t="s">
        <v>210</v>
      </c>
      <c r="AN1260" s="392" t="s">
        <v>210</v>
      </c>
      <c r="AO1260" s="341" t="s">
        <v>210</v>
      </c>
      <c r="AP1260" s="392" t="s">
        <v>210</v>
      </c>
      <c r="AQ1260" s="433" t="s">
        <v>4547</v>
      </c>
      <c r="AR1260" s="452">
        <v>1712</v>
      </c>
      <c r="AS1260" s="324">
        <v>130</v>
      </c>
      <c r="AT1260" s="432">
        <v>1</v>
      </c>
      <c r="AU1260" s="432" t="s">
        <v>10195</v>
      </c>
      <c r="AV1260" s="432">
        <v>1.5</v>
      </c>
      <c r="AW1260" s="432" t="s">
        <v>10195</v>
      </c>
      <c r="AX1260" s="453" t="s">
        <v>210</v>
      </c>
      <c r="AY1260" s="429" t="s">
        <v>8721</v>
      </c>
      <c r="AZ1260" s="405" t="s">
        <v>622</v>
      </c>
      <c r="BA1260" s="324" t="s">
        <v>3459</v>
      </c>
      <c r="BB1260" s="324" t="s">
        <v>10195</v>
      </c>
      <c r="BC1260" s="324" t="s">
        <v>10196</v>
      </c>
      <c r="BD1260" s="324" t="s">
        <v>10195</v>
      </c>
      <c r="BE1260" s="324" t="s">
        <v>10197</v>
      </c>
      <c r="BF1260" s="324" t="s">
        <v>10195</v>
      </c>
      <c r="BG1260" s="324" t="s">
        <v>10198</v>
      </c>
      <c r="BH1260" s="426" t="s">
        <v>10199</v>
      </c>
      <c r="BI1260" s="453">
        <v>0.7</v>
      </c>
      <c r="BJ1260" s="427">
        <v>1.63</v>
      </c>
      <c r="BK1260" s="428" t="s">
        <v>10200</v>
      </c>
      <c r="BL1260" s="429">
        <f>0.9+2.35</f>
        <v>3.25</v>
      </c>
      <c r="BM1260" s="430" t="s">
        <v>210</v>
      </c>
      <c r="BN1260" s="453" t="s">
        <v>622</v>
      </c>
      <c r="BO1260" s="464">
        <v>1.02</v>
      </c>
      <c r="BP1260" s="455" t="s">
        <v>622</v>
      </c>
      <c r="BQ1260" s="456" t="s">
        <v>10201</v>
      </c>
      <c r="BR1260" s="342" t="s">
        <v>210</v>
      </c>
      <c r="BS1260" s="342" t="s">
        <v>622</v>
      </c>
      <c r="BT1260" s="392" t="s">
        <v>210</v>
      </c>
      <c r="BU1260" s="392" t="s">
        <v>210</v>
      </c>
      <c r="BV1260" s="392" t="s">
        <v>210</v>
      </c>
      <c r="BW1260" s="392" t="s">
        <v>210</v>
      </c>
      <c r="BX1260" s="392" t="s">
        <v>210</v>
      </c>
      <c r="BY1260" s="457"/>
      <c r="BZ1260" s="363"/>
      <c r="CA1260" s="363"/>
      <c r="CB1260" s="363"/>
      <c r="CC1260" s="363"/>
    </row>
    <row r="1261" spans="1:82" ht="22.5" customHeight="1">
      <c r="B1261" s="442">
        <v>190016</v>
      </c>
      <c r="C1261" s="443" t="s">
        <v>10077</v>
      </c>
      <c r="D1261" s="439" t="s">
        <v>9918</v>
      </c>
      <c r="E1261" s="404" t="s">
        <v>5638</v>
      </c>
      <c r="F1261" s="405" t="s">
        <v>10078</v>
      </c>
      <c r="G1261" s="324" t="s">
        <v>10079</v>
      </c>
      <c r="H1261" s="324" t="s">
        <v>10080</v>
      </c>
      <c r="I1261" s="326" t="s">
        <v>383</v>
      </c>
      <c r="J1261" s="324" t="s">
        <v>6632</v>
      </c>
      <c r="K1261" s="324" t="s">
        <v>10081</v>
      </c>
      <c r="L1261" s="342" t="s">
        <v>210</v>
      </c>
      <c r="M1261" s="324" t="s">
        <v>6509</v>
      </c>
      <c r="N1261" s="444" t="s">
        <v>10258</v>
      </c>
      <c r="O1261" s="324">
        <v>30</v>
      </c>
      <c r="P1261" s="458">
        <v>1929.43</v>
      </c>
      <c r="Q1261" s="459">
        <v>2118.34</v>
      </c>
      <c r="R1261" s="329" t="s">
        <v>1094</v>
      </c>
      <c r="S1261" s="331" t="s">
        <v>11269</v>
      </c>
      <c r="T1261" s="331" t="s">
        <v>11123</v>
      </c>
      <c r="U1261" s="331" t="s">
        <v>16209</v>
      </c>
      <c r="V1261" s="331" t="s">
        <v>11124</v>
      </c>
      <c r="W1261" s="332" t="s">
        <v>432</v>
      </c>
      <c r="X1261" s="331" t="s">
        <v>11079</v>
      </c>
      <c r="Y1261" s="331" t="s">
        <v>11080</v>
      </c>
      <c r="Z1261" s="331" t="s">
        <v>11080</v>
      </c>
      <c r="AA1261" s="331"/>
      <c r="AB1261" s="416" t="s">
        <v>16099</v>
      </c>
      <c r="AC1261" s="416"/>
      <c r="AD1261" s="334" t="s">
        <v>2329</v>
      </c>
      <c r="AE1261" s="499" t="s">
        <v>10831</v>
      </c>
      <c r="AF1261" s="462">
        <v>43686</v>
      </c>
      <c r="AG1261" s="748">
        <v>43824</v>
      </c>
      <c r="AH1261" s="453">
        <v>22</v>
      </c>
      <c r="AI1261" s="432">
        <v>45.2</v>
      </c>
      <c r="AJ1261" s="432">
        <v>25.7</v>
      </c>
      <c r="AK1261" s="340">
        <f>SUM(AH1261:AJ1261)</f>
        <v>92.9</v>
      </c>
      <c r="AL1261" s="417" t="s">
        <v>210</v>
      </c>
      <c r="AM1261" s="392" t="s">
        <v>210</v>
      </c>
      <c r="AN1261" s="392" t="s">
        <v>210</v>
      </c>
      <c r="AO1261" s="341" t="s">
        <v>210</v>
      </c>
      <c r="AP1261" s="1063" t="s">
        <v>660</v>
      </c>
      <c r="AQ1261" s="433" t="s">
        <v>4547</v>
      </c>
      <c r="AR1261" s="452">
        <v>2607</v>
      </c>
      <c r="AS1261" s="324">
        <v>100</v>
      </c>
      <c r="AT1261" s="432">
        <v>1</v>
      </c>
      <c r="AU1261" s="432" t="s">
        <v>10424</v>
      </c>
      <c r="AV1261" s="432">
        <v>1.5</v>
      </c>
      <c r="AW1261" s="490" t="s">
        <v>10425</v>
      </c>
      <c r="AX1261" s="453" t="s">
        <v>210</v>
      </c>
      <c r="AY1261" s="429" t="s">
        <v>295</v>
      </c>
      <c r="AZ1261" s="405" t="s">
        <v>4083</v>
      </c>
      <c r="BA1261" s="324" t="s">
        <v>210</v>
      </c>
      <c r="BB1261" s="324" t="s">
        <v>210</v>
      </c>
      <c r="BC1261" s="324" t="s">
        <v>210</v>
      </c>
      <c r="BD1261" s="324" t="s">
        <v>210</v>
      </c>
      <c r="BE1261" s="324" t="s">
        <v>10426</v>
      </c>
      <c r="BF1261" s="324" t="s">
        <v>10427</v>
      </c>
      <c r="BG1261" s="324" t="s">
        <v>10428</v>
      </c>
      <c r="BH1261" s="426" t="s">
        <v>10429</v>
      </c>
      <c r="BI1261" s="453">
        <v>1.8</v>
      </c>
      <c r="BJ1261" s="427">
        <v>4.8099999999999996</v>
      </c>
      <c r="BK1261" s="428" t="s">
        <v>10430</v>
      </c>
      <c r="BL1261" s="429">
        <v>1.8</v>
      </c>
      <c r="BM1261" s="430" t="s">
        <v>210</v>
      </c>
      <c r="BN1261" s="453" t="s">
        <v>622</v>
      </c>
      <c r="BO1261" s="464">
        <v>1.26</v>
      </c>
      <c r="BP1261" s="455" t="s">
        <v>622</v>
      </c>
      <c r="BQ1261" s="456" t="s">
        <v>1059</v>
      </c>
      <c r="BR1261" s="342" t="s">
        <v>210</v>
      </c>
      <c r="BS1261" s="342" t="s">
        <v>622</v>
      </c>
      <c r="BT1261" s="392" t="s">
        <v>210</v>
      </c>
      <c r="BU1261" s="392" t="s">
        <v>210</v>
      </c>
      <c r="BV1261" s="392" t="s">
        <v>210</v>
      </c>
      <c r="BW1261" s="392" t="s">
        <v>210</v>
      </c>
      <c r="BX1261" s="392" t="s">
        <v>210</v>
      </c>
      <c r="BY1261" s="457" t="s">
        <v>10259</v>
      </c>
      <c r="BZ1261" s="363"/>
      <c r="CA1261" s="363"/>
      <c r="CB1261" s="363"/>
      <c r="CC1261" s="363"/>
    </row>
    <row r="1262" spans="1:82" s="465" customFormat="1" ht="22.5" customHeight="1">
      <c r="A1262" s="287"/>
      <c r="B1262" s="749">
        <v>190017</v>
      </c>
      <c r="C1262" s="781" t="s">
        <v>10057</v>
      </c>
      <c r="D1262" s="751" t="s">
        <v>4854</v>
      </c>
      <c r="E1262" s="752" t="s">
        <v>5362</v>
      </c>
      <c r="F1262" s="753" t="s">
        <v>222</v>
      </c>
      <c r="G1262" s="754" t="s">
        <v>10085</v>
      </c>
      <c r="H1262" s="754" t="s">
        <v>10086</v>
      </c>
      <c r="I1262" s="662" t="s">
        <v>766</v>
      </c>
      <c r="J1262" s="754" t="s">
        <v>214</v>
      </c>
      <c r="K1262" s="754" t="s">
        <v>993</v>
      </c>
      <c r="L1262" s="688" t="s">
        <v>210</v>
      </c>
      <c r="M1262" s="754" t="s">
        <v>7457</v>
      </c>
      <c r="N1262" s="755" t="s">
        <v>10185</v>
      </c>
      <c r="O1262" s="754">
        <v>90</v>
      </c>
      <c r="P1262" s="782">
        <v>750</v>
      </c>
      <c r="Q1262" s="783">
        <f>P1262</f>
        <v>750</v>
      </c>
      <c r="R1262" s="756" t="s">
        <v>10028</v>
      </c>
      <c r="S1262" s="708"/>
      <c r="T1262" s="708"/>
      <c r="U1262" s="708"/>
      <c r="V1262" s="708"/>
      <c r="W1262" s="757" t="s">
        <v>10029</v>
      </c>
      <c r="X1262" s="708"/>
      <c r="Y1262" s="708"/>
      <c r="Z1262" s="708"/>
      <c r="AA1262" s="708"/>
      <c r="AB1262" s="758"/>
      <c r="AC1262" s="758"/>
      <c r="AD1262" s="759"/>
      <c r="AE1262" s="672" t="s">
        <v>210</v>
      </c>
      <c r="AF1262" s="846">
        <v>43693</v>
      </c>
      <c r="AG1262" s="674">
        <v>43734</v>
      </c>
      <c r="AH1262" s="675" t="s">
        <v>210</v>
      </c>
      <c r="AI1262" s="676" t="s">
        <v>210</v>
      </c>
      <c r="AJ1262" s="676" t="s">
        <v>210</v>
      </c>
      <c r="AK1262" s="677" t="s">
        <v>210</v>
      </c>
      <c r="AL1262" s="675" t="s">
        <v>210</v>
      </c>
      <c r="AM1262" s="676" t="s">
        <v>210</v>
      </c>
      <c r="AN1262" s="676" t="s">
        <v>210</v>
      </c>
      <c r="AO1262" s="678" t="s">
        <v>210</v>
      </c>
      <c r="AP1262" s="676" t="s">
        <v>210</v>
      </c>
      <c r="AQ1262" s="762" t="s">
        <v>10094</v>
      </c>
      <c r="AR1262" s="763">
        <v>882</v>
      </c>
      <c r="AS1262" s="754">
        <v>80</v>
      </c>
      <c r="AT1262" s="785">
        <v>1.2</v>
      </c>
      <c r="AU1262" s="785" t="s">
        <v>10099</v>
      </c>
      <c r="AV1262" s="785">
        <v>1.2</v>
      </c>
      <c r="AW1262" s="764" t="s">
        <v>10095</v>
      </c>
      <c r="AX1262" s="765" t="s">
        <v>210</v>
      </c>
      <c r="AY1262" s="766" t="s">
        <v>210</v>
      </c>
      <c r="AZ1262" s="753" t="s">
        <v>622</v>
      </c>
      <c r="BA1262" s="754" t="s">
        <v>4038</v>
      </c>
      <c r="BB1262" s="754" t="s">
        <v>10095</v>
      </c>
      <c r="BC1262" s="754" t="s">
        <v>10096</v>
      </c>
      <c r="BD1262" s="754" t="s">
        <v>10095</v>
      </c>
      <c r="BE1262" s="754" t="s">
        <v>10097</v>
      </c>
      <c r="BF1262" s="754" t="s">
        <v>10095</v>
      </c>
      <c r="BG1262" s="754" t="s">
        <v>10098</v>
      </c>
      <c r="BH1262" s="767" t="s">
        <v>10099</v>
      </c>
      <c r="BI1262" s="765">
        <v>4.8</v>
      </c>
      <c r="BJ1262" s="768">
        <v>1.22</v>
      </c>
      <c r="BK1262" s="769" t="s">
        <v>210</v>
      </c>
      <c r="BL1262" s="766" t="s">
        <v>210</v>
      </c>
      <c r="BM1262" s="770" t="s">
        <v>210</v>
      </c>
      <c r="BN1262" s="765" t="s">
        <v>622</v>
      </c>
      <c r="BO1262" s="771">
        <v>1.3</v>
      </c>
      <c r="BP1262" s="772" t="s">
        <v>622</v>
      </c>
      <c r="BQ1262" s="773" t="s">
        <v>1059</v>
      </c>
      <c r="BR1262" s="688" t="s">
        <v>210</v>
      </c>
      <c r="BS1262" s="688" t="s">
        <v>622</v>
      </c>
      <c r="BT1262" s="676" t="s">
        <v>210</v>
      </c>
      <c r="BU1262" s="676" t="s">
        <v>210</v>
      </c>
      <c r="BV1262" s="676" t="s">
        <v>210</v>
      </c>
      <c r="BW1262" s="676" t="s">
        <v>210</v>
      </c>
      <c r="BX1262" s="676" t="s">
        <v>210</v>
      </c>
      <c r="BY1262" s="774"/>
      <c r="BZ1262" s="483"/>
      <c r="CA1262" s="483"/>
      <c r="CB1262" s="483"/>
      <c r="CC1262" s="483"/>
      <c r="CD1262" s="484"/>
    </row>
    <row r="1263" spans="1:82" s="465" customFormat="1" ht="22.5" customHeight="1">
      <c r="A1263" s="287"/>
      <c r="B1263" s="749">
        <v>190018</v>
      </c>
      <c r="C1263" s="781" t="s">
        <v>10112</v>
      </c>
      <c r="D1263" s="751"/>
      <c r="E1263" s="752" t="s">
        <v>5405</v>
      </c>
      <c r="F1263" s="753" t="s">
        <v>1048</v>
      </c>
      <c r="G1263" s="754" t="s">
        <v>10102</v>
      </c>
      <c r="H1263" s="754" t="s">
        <v>10103</v>
      </c>
      <c r="I1263" s="662" t="s">
        <v>383</v>
      </c>
      <c r="J1263" s="754" t="s">
        <v>214</v>
      </c>
      <c r="K1263" s="754" t="s">
        <v>10104</v>
      </c>
      <c r="L1263" s="688"/>
      <c r="M1263" s="754" t="s">
        <v>7457</v>
      </c>
      <c r="N1263" s="755"/>
      <c r="O1263" s="754"/>
      <c r="P1263" s="782">
        <f>820+154+172+126</f>
        <v>1272</v>
      </c>
      <c r="Q1263" s="783">
        <f>P1263</f>
        <v>1272</v>
      </c>
      <c r="R1263" s="756" t="s">
        <v>10105</v>
      </c>
      <c r="S1263" s="708"/>
      <c r="T1263" s="708" t="s">
        <v>12147</v>
      </c>
      <c r="U1263" s="708" t="s">
        <v>12146</v>
      </c>
      <c r="V1263" s="708"/>
      <c r="W1263" s="757" t="s">
        <v>10106</v>
      </c>
      <c r="X1263" s="708"/>
      <c r="Y1263" s="708"/>
      <c r="Z1263" s="708"/>
      <c r="AA1263" s="708"/>
      <c r="AB1263" s="758"/>
      <c r="AC1263" s="758"/>
      <c r="AD1263" s="759"/>
      <c r="AE1263" s="760"/>
      <c r="AF1263" s="846">
        <v>43698</v>
      </c>
      <c r="AG1263" s="674" t="s">
        <v>10514</v>
      </c>
      <c r="AH1263" s="675" t="s">
        <v>210</v>
      </c>
      <c r="AI1263" s="676" t="s">
        <v>210</v>
      </c>
      <c r="AJ1263" s="676" t="s">
        <v>210</v>
      </c>
      <c r="AK1263" s="677" t="s">
        <v>210</v>
      </c>
      <c r="AL1263" s="765"/>
      <c r="AM1263" s="785"/>
      <c r="AN1263" s="785"/>
      <c r="AO1263" s="764"/>
      <c r="AP1263" s="784"/>
      <c r="AQ1263" s="762" t="s">
        <v>4547</v>
      </c>
      <c r="AR1263" s="763"/>
      <c r="AS1263" s="754"/>
      <c r="AT1263" s="785"/>
      <c r="AU1263" s="785"/>
      <c r="AV1263" s="785"/>
      <c r="AW1263" s="764"/>
      <c r="AX1263" s="765"/>
      <c r="AY1263" s="766"/>
      <c r="AZ1263" s="753"/>
      <c r="BA1263" s="754"/>
      <c r="BB1263" s="754"/>
      <c r="BC1263" s="754"/>
      <c r="BD1263" s="754"/>
      <c r="BE1263" s="754"/>
      <c r="BF1263" s="754"/>
      <c r="BG1263" s="754"/>
      <c r="BH1263" s="767"/>
      <c r="BI1263" s="765"/>
      <c r="BJ1263" s="768"/>
      <c r="BK1263" s="769"/>
      <c r="BL1263" s="766"/>
      <c r="BM1263" s="770"/>
      <c r="BN1263" s="765"/>
      <c r="BO1263" s="771"/>
      <c r="BP1263" s="772"/>
      <c r="BQ1263" s="773"/>
      <c r="BR1263" s="688"/>
      <c r="BS1263" s="688"/>
      <c r="BT1263" s="676" t="s">
        <v>210</v>
      </c>
      <c r="BU1263" s="676" t="s">
        <v>210</v>
      </c>
      <c r="BV1263" s="676" t="s">
        <v>210</v>
      </c>
      <c r="BW1263" s="676" t="s">
        <v>210</v>
      </c>
      <c r="BX1263" s="676" t="s">
        <v>210</v>
      </c>
      <c r="BY1263" s="774" t="s">
        <v>10247</v>
      </c>
      <c r="BZ1263" s="483"/>
      <c r="CA1263" s="483"/>
      <c r="CB1263" s="483"/>
      <c r="CC1263" s="483"/>
      <c r="CD1263" s="484"/>
    </row>
    <row r="1264" spans="1:82" ht="22.5" customHeight="1">
      <c r="B1264" s="442">
        <v>190019</v>
      </c>
      <c r="C1264" s="443" t="s">
        <v>9988</v>
      </c>
      <c r="D1264" s="439" t="s">
        <v>9918</v>
      </c>
      <c r="E1264" s="404" t="s">
        <v>6879</v>
      </c>
      <c r="F1264" s="405" t="s">
        <v>10108</v>
      </c>
      <c r="G1264" s="324" t="s">
        <v>10109</v>
      </c>
      <c r="H1264" s="324" t="s">
        <v>10202</v>
      </c>
      <c r="I1264" s="326" t="s">
        <v>383</v>
      </c>
      <c r="J1264" s="324" t="s">
        <v>214</v>
      </c>
      <c r="K1264" s="324" t="s">
        <v>247</v>
      </c>
      <c r="L1264" s="342">
        <v>4</v>
      </c>
      <c r="M1264" s="324" t="s">
        <v>7457</v>
      </c>
      <c r="N1264" s="444" t="s">
        <v>10203</v>
      </c>
      <c r="O1264" s="324">
        <v>30</v>
      </c>
      <c r="P1264" s="445">
        <f>13.7*10.9</f>
        <v>149.32999999999998</v>
      </c>
      <c r="Q1264" s="446">
        <f>P1264</f>
        <v>149.32999999999998</v>
      </c>
      <c r="R1264" s="779" t="s">
        <v>8455</v>
      </c>
      <c r="S1264" s="400"/>
      <c r="T1264" s="400"/>
      <c r="U1264" s="400"/>
      <c r="V1264" s="400"/>
      <c r="W1264" s="332" t="s">
        <v>644</v>
      </c>
      <c r="X1264" s="645"/>
      <c r="Y1264" s="645"/>
      <c r="Z1264" s="645"/>
      <c r="AA1264" s="645"/>
      <c r="AB1264" s="416"/>
      <c r="AC1264" s="416"/>
      <c r="AD1264" s="996"/>
      <c r="AE1264" s="335" t="s">
        <v>210</v>
      </c>
      <c r="AF1264" s="462">
        <v>43698</v>
      </c>
      <c r="AG1264" s="748">
        <v>43741</v>
      </c>
      <c r="AH1264" s="417" t="s">
        <v>210</v>
      </c>
      <c r="AI1264" s="392" t="s">
        <v>210</v>
      </c>
      <c r="AJ1264" s="392" t="s">
        <v>210</v>
      </c>
      <c r="AK1264" s="340" t="s">
        <v>210</v>
      </c>
      <c r="AL1264" s="417" t="s">
        <v>210</v>
      </c>
      <c r="AM1264" s="392" t="s">
        <v>210</v>
      </c>
      <c r="AN1264" s="392" t="s">
        <v>210</v>
      </c>
      <c r="AO1264" s="341" t="s">
        <v>210</v>
      </c>
      <c r="AP1264" s="392" t="s">
        <v>210</v>
      </c>
      <c r="AQ1264" s="433" t="s">
        <v>4547</v>
      </c>
      <c r="AR1264" s="452">
        <v>221</v>
      </c>
      <c r="AS1264" s="324">
        <v>80</v>
      </c>
      <c r="AT1264" s="432">
        <v>1</v>
      </c>
      <c r="AU1264" s="432" t="s">
        <v>10205</v>
      </c>
      <c r="AV1264" s="432">
        <v>1.5</v>
      </c>
      <c r="AW1264" s="490" t="s">
        <v>10204</v>
      </c>
      <c r="AX1264" s="453" t="s">
        <v>210</v>
      </c>
      <c r="AY1264" s="429" t="s">
        <v>210</v>
      </c>
      <c r="AZ1264" s="405" t="s">
        <v>4083</v>
      </c>
      <c r="BA1264" s="324" t="s">
        <v>210</v>
      </c>
      <c r="BB1264" s="324" t="s">
        <v>210</v>
      </c>
      <c r="BC1264" s="324" t="s">
        <v>10206</v>
      </c>
      <c r="BD1264" s="324" t="s">
        <v>10207</v>
      </c>
      <c r="BE1264" s="324" t="s">
        <v>10208</v>
      </c>
      <c r="BF1264" s="324" t="s">
        <v>10207</v>
      </c>
      <c r="BG1264" s="324" t="s">
        <v>10209</v>
      </c>
      <c r="BH1264" s="426" t="s">
        <v>10210</v>
      </c>
      <c r="BI1264" s="453">
        <v>2.2999999999999998</v>
      </c>
      <c r="BJ1264" s="427">
        <v>1.9</v>
      </c>
      <c r="BK1264" s="428" t="s">
        <v>10204</v>
      </c>
      <c r="BL1264" s="429">
        <v>1.3</v>
      </c>
      <c r="BM1264" s="430" t="s">
        <v>210</v>
      </c>
      <c r="BN1264" s="453" t="s">
        <v>622</v>
      </c>
      <c r="BO1264" s="464">
        <v>1.1200000000000001</v>
      </c>
      <c r="BP1264" s="455" t="s">
        <v>622</v>
      </c>
      <c r="BQ1264" s="456" t="s">
        <v>10212</v>
      </c>
      <c r="BR1264" s="342" t="s">
        <v>210</v>
      </c>
      <c r="BS1264" s="342" t="s">
        <v>210</v>
      </c>
      <c r="BT1264" s="392" t="s">
        <v>210</v>
      </c>
      <c r="BU1264" s="392" t="s">
        <v>210</v>
      </c>
      <c r="BV1264" s="392" t="s">
        <v>210</v>
      </c>
      <c r="BW1264" s="392" t="s">
        <v>210</v>
      </c>
      <c r="BX1264" s="392" t="s">
        <v>210</v>
      </c>
      <c r="BY1264" s="457" t="s">
        <v>10211</v>
      </c>
      <c r="BZ1264" s="363"/>
      <c r="CA1264" s="363"/>
      <c r="CB1264" s="363"/>
      <c r="CC1264" s="363"/>
    </row>
    <row r="1265" spans="1:82" ht="22.5" customHeight="1">
      <c r="B1265" s="442">
        <v>190020</v>
      </c>
      <c r="C1265" s="443" t="s">
        <v>11264</v>
      </c>
      <c r="D1265" s="439" t="s">
        <v>9918</v>
      </c>
      <c r="E1265" s="404" t="s">
        <v>5362</v>
      </c>
      <c r="F1265" s="405" t="s">
        <v>5193</v>
      </c>
      <c r="G1265" s="324" t="s">
        <v>10110</v>
      </c>
      <c r="H1265" s="324" t="s">
        <v>10111</v>
      </c>
      <c r="I1265" s="326" t="s">
        <v>10339</v>
      </c>
      <c r="J1265" s="324" t="s">
        <v>214</v>
      </c>
      <c r="K1265" s="324" t="s">
        <v>247</v>
      </c>
      <c r="L1265" s="342">
        <v>13</v>
      </c>
      <c r="M1265" s="324" t="s">
        <v>7457</v>
      </c>
      <c r="N1265" s="444" t="s">
        <v>10340</v>
      </c>
      <c r="O1265" s="324">
        <v>35</v>
      </c>
      <c r="P1265" s="458">
        <v>1218.6600000000001</v>
      </c>
      <c r="Q1265" s="459">
        <v>1169.03</v>
      </c>
      <c r="R1265" s="420" t="s">
        <v>9830</v>
      </c>
      <c r="S1265" s="394" t="s">
        <v>11126</v>
      </c>
      <c r="T1265" s="394" t="s">
        <v>11127</v>
      </c>
      <c r="U1265" s="394" t="s">
        <v>11268</v>
      </c>
      <c r="V1265" s="394" t="s">
        <v>11128</v>
      </c>
      <c r="W1265" s="332" t="s">
        <v>5654</v>
      </c>
      <c r="X1265" s="394" t="s">
        <v>11266</v>
      </c>
      <c r="Y1265" s="394" t="s">
        <v>11265</v>
      </c>
      <c r="Z1265" s="645"/>
      <c r="AA1265" s="394" t="s">
        <v>11267</v>
      </c>
      <c r="AB1265" s="416"/>
      <c r="AC1265" s="416"/>
      <c r="AD1265" s="447" t="s">
        <v>10563</v>
      </c>
      <c r="AE1265" s="499" t="s">
        <v>10525</v>
      </c>
      <c r="AF1265" s="462">
        <v>43698</v>
      </c>
      <c r="AG1265" s="748">
        <v>43768</v>
      </c>
      <c r="AH1265" s="417" t="s">
        <v>6862</v>
      </c>
      <c r="AI1265" s="392" t="s">
        <v>6862</v>
      </c>
      <c r="AJ1265" s="392" t="s">
        <v>6862</v>
      </c>
      <c r="AK1265" s="340" t="s">
        <v>6862</v>
      </c>
      <c r="AL1265" s="417" t="s">
        <v>6862</v>
      </c>
      <c r="AM1265" s="392" t="s">
        <v>6862</v>
      </c>
      <c r="AN1265" s="496" t="s">
        <v>10341</v>
      </c>
      <c r="AO1265" s="341" t="s">
        <v>6862</v>
      </c>
      <c r="AP1265" s="1063" t="s">
        <v>10342</v>
      </c>
      <c r="AQ1265" s="433" t="s">
        <v>4547</v>
      </c>
      <c r="AR1265" s="452">
        <v>1383</v>
      </c>
      <c r="AS1265" s="324">
        <v>100</v>
      </c>
      <c r="AT1265" s="432">
        <v>1</v>
      </c>
      <c r="AU1265" s="432" t="s">
        <v>10343</v>
      </c>
      <c r="AV1265" s="432">
        <v>1.5</v>
      </c>
      <c r="AW1265" s="490" t="s">
        <v>10344</v>
      </c>
      <c r="AX1265" s="453" t="s">
        <v>6862</v>
      </c>
      <c r="AY1265" s="429" t="s">
        <v>6862</v>
      </c>
      <c r="AZ1265" s="405" t="s">
        <v>10342</v>
      </c>
      <c r="BA1265" s="324" t="s">
        <v>4871</v>
      </c>
      <c r="BB1265" s="324" t="s">
        <v>10345</v>
      </c>
      <c r="BC1265" s="324" t="s">
        <v>10346</v>
      </c>
      <c r="BD1265" s="324" t="s">
        <v>10345</v>
      </c>
      <c r="BE1265" s="324" t="s">
        <v>10347</v>
      </c>
      <c r="BF1265" s="324" t="s">
        <v>10348</v>
      </c>
      <c r="BG1265" s="324" t="s">
        <v>10349</v>
      </c>
      <c r="BH1265" s="426" t="s">
        <v>3494</v>
      </c>
      <c r="BI1265" s="453">
        <v>1.05</v>
      </c>
      <c r="BJ1265" s="427">
        <v>1.84</v>
      </c>
      <c r="BK1265" s="428" t="s">
        <v>3492</v>
      </c>
      <c r="BL1265" s="429">
        <v>3.2</v>
      </c>
      <c r="BM1265" s="430" t="s">
        <v>10342</v>
      </c>
      <c r="BN1265" s="453" t="s">
        <v>10342</v>
      </c>
      <c r="BO1265" s="464">
        <v>1.02</v>
      </c>
      <c r="BP1265" s="455" t="s">
        <v>10342</v>
      </c>
      <c r="BQ1265" s="456" t="s">
        <v>10350</v>
      </c>
      <c r="BR1265" s="342" t="s">
        <v>6862</v>
      </c>
      <c r="BS1265" s="342" t="s">
        <v>10342</v>
      </c>
      <c r="BT1265" s="392" t="s">
        <v>6862</v>
      </c>
      <c r="BU1265" s="392" t="s">
        <v>6862</v>
      </c>
      <c r="BV1265" s="392" t="s">
        <v>6862</v>
      </c>
      <c r="BW1265" s="392" t="s">
        <v>6862</v>
      </c>
      <c r="BX1265" s="392" t="s">
        <v>6862</v>
      </c>
      <c r="BY1265" s="457" t="s">
        <v>10211</v>
      </c>
      <c r="BZ1265" s="363"/>
      <c r="CA1265" s="363"/>
      <c r="CB1265" s="363"/>
      <c r="CC1265" s="363"/>
    </row>
    <row r="1266" spans="1:82" ht="22.5" customHeight="1">
      <c r="B1266" s="442">
        <v>190021</v>
      </c>
      <c r="C1266" s="443" t="s">
        <v>14955</v>
      </c>
      <c r="D1266" s="439" t="s">
        <v>10237</v>
      </c>
      <c r="E1266" s="404" t="s">
        <v>5362</v>
      </c>
      <c r="F1266" s="405" t="s">
        <v>222</v>
      </c>
      <c r="G1266" s="324" t="s">
        <v>10114</v>
      </c>
      <c r="H1266" s="324" t="s">
        <v>10115</v>
      </c>
      <c r="I1266" s="326" t="s">
        <v>383</v>
      </c>
      <c r="J1266" s="326" t="s">
        <v>399</v>
      </c>
      <c r="K1266" s="324" t="s">
        <v>8700</v>
      </c>
      <c r="L1266" s="342">
        <v>47.5</v>
      </c>
      <c r="M1266" s="324" t="s">
        <v>7457</v>
      </c>
      <c r="N1266" s="444" t="s">
        <v>521</v>
      </c>
      <c r="O1266" s="324">
        <v>160</v>
      </c>
      <c r="P1266" s="458">
        <v>584.85</v>
      </c>
      <c r="Q1266" s="459">
        <v>644.45000000000005</v>
      </c>
      <c r="R1266" s="329" t="s">
        <v>999</v>
      </c>
      <c r="S1266" s="394" t="s">
        <v>11261</v>
      </c>
      <c r="T1266" s="394" t="s">
        <v>11262</v>
      </c>
      <c r="U1266" s="394" t="s">
        <v>16414</v>
      </c>
      <c r="V1266" s="394" t="s">
        <v>11263</v>
      </c>
      <c r="W1266" s="332" t="s">
        <v>1096</v>
      </c>
      <c r="X1266" s="331" t="s">
        <v>11248</v>
      </c>
      <c r="Y1266" s="331" t="s">
        <v>11249</v>
      </c>
      <c r="Z1266" s="331" t="s">
        <v>16437</v>
      </c>
      <c r="AA1266" s="331" t="s">
        <v>11250</v>
      </c>
      <c r="AB1266" s="416"/>
      <c r="AC1266" s="416"/>
      <c r="AD1266" s="334" t="s">
        <v>2321</v>
      </c>
      <c r="AE1266" s="335" t="s">
        <v>210</v>
      </c>
      <c r="AF1266" s="462">
        <v>43698</v>
      </c>
      <c r="AG1266" s="748">
        <v>43725</v>
      </c>
      <c r="AH1266" s="417" t="s">
        <v>210</v>
      </c>
      <c r="AI1266" s="392" t="s">
        <v>210</v>
      </c>
      <c r="AJ1266" s="392" t="s">
        <v>210</v>
      </c>
      <c r="AK1266" s="340" t="s">
        <v>210</v>
      </c>
      <c r="AL1266" s="417" t="s">
        <v>210</v>
      </c>
      <c r="AM1266" s="392" t="s">
        <v>210</v>
      </c>
      <c r="AN1266" s="392" t="s">
        <v>210</v>
      </c>
      <c r="AO1266" s="341" t="s">
        <v>210</v>
      </c>
      <c r="AP1266" s="392" t="s">
        <v>210</v>
      </c>
      <c r="AQ1266" s="433" t="s">
        <v>4547</v>
      </c>
      <c r="AR1266" s="452">
        <v>919</v>
      </c>
      <c r="AS1266" s="324">
        <v>120</v>
      </c>
      <c r="AT1266" s="432">
        <v>1</v>
      </c>
      <c r="AU1266" s="432" t="s">
        <v>10238</v>
      </c>
      <c r="AV1266" s="432">
        <v>2</v>
      </c>
      <c r="AW1266" s="490" t="s">
        <v>10239</v>
      </c>
      <c r="AX1266" s="453" t="s">
        <v>210</v>
      </c>
      <c r="AY1266" s="429" t="s">
        <v>210</v>
      </c>
      <c r="AZ1266" s="405" t="s">
        <v>622</v>
      </c>
      <c r="BA1266" s="324" t="s">
        <v>10240</v>
      </c>
      <c r="BB1266" s="324" t="s">
        <v>9923</v>
      </c>
      <c r="BC1266" s="324" t="s">
        <v>10240</v>
      </c>
      <c r="BD1266" s="324" t="s">
        <v>9923</v>
      </c>
      <c r="BE1266" s="324" t="s">
        <v>10241</v>
      </c>
      <c r="BF1266" s="324" t="s">
        <v>10242</v>
      </c>
      <c r="BG1266" s="324" t="s">
        <v>10243</v>
      </c>
      <c r="BH1266" s="426" t="s">
        <v>3494</v>
      </c>
      <c r="BI1266" s="453">
        <v>2.1</v>
      </c>
      <c r="BJ1266" s="427">
        <v>2</v>
      </c>
      <c r="BK1266" s="428" t="s">
        <v>10239</v>
      </c>
      <c r="BL1266" s="429">
        <v>1</v>
      </c>
      <c r="BM1266" s="430" t="s">
        <v>210</v>
      </c>
      <c r="BN1266" s="453" t="s">
        <v>210</v>
      </c>
      <c r="BO1266" s="464" t="s">
        <v>210</v>
      </c>
      <c r="BP1266" s="455" t="s">
        <v>622</v>
      </c>
      <c r="BQ1266" s="456" t="s">
        <v>6874</v>
      </c>
      <c r="BR1266" s="392" t="s">
        <v>210</v>
      </c>
      <c r="BS1266" s="342" t="s">
        <v>622</v>
      </c>
      <c r="BT1266" s="392" t="s">
        <v>210</v>
      </c>
      <c r="BU1266" s="392" t="s">
        <v>210</v>
      </c>
      <c r="BV1266" s="392" t="s">
        <v>210</v>
      </c>
      <c r="BW1266" s="392" t="s">
        <v>210</v>
      </c>
      <c r="BX1266" s="392" t="s">
        <v>210</v>
      </c>
      <c r="BY1266" s="457" t="s">
        <v>10255</v>
      </c>
      <c r="BZ1266" s="363"/>
      <c r="CA1266" s="363"/>
      <c r="CB1266" s="363"/>
      <c r="CC1266" s="363"/>
    </row>
    <row r="1267" spans="1:82" ht="22.5" customHeight="1">
      <c r="B1267" s="442">
        <v>190022</v>
      </c>
      <c r="C1267" s="443" t="s">
        <v>11256</v>
      </c>
      <c r="D1267" s="439" t="s">
        <v>4854</v>
      </c>
      <c r="E1267" s="404" t="s">
        <v>5362</v>
      </c>
      <c r="F1267" s="405" t="s">
        <v>10161</v>
      </c>
      <c r="G1267" s="324" t="s">
        <v>10162</v>
      </c>
      <c r="H1267" s="324" t="s">
        <v>10163</v>
      </c>
      <c r="I1267" s="326" t="s">
        <v>766</v>
      </c>
      <c r="J1267" s="324" t="s">
        <v>7171</v>
      </c>
      <c r="K1267" s="324" t="s">
        <v>10164</v>
      </c>
      <c r="L1267" s="342" t="s">
        <v>10165</v>
      </c>
      <c r="M1267" s="324" t="s">
        <v>10166</v>
      </c>
      <c r="N1267" s="444" t="s">
        <v>10167</v>
      </c>
      <c r="O1267" s="324">
        <v>30</v>
      </c>
      <c r="P1267" s="445">
        <v>550</v>
      </c>
      <c r="Q1267" s="446">
        <f>P1267/2</f>
        <v>275</v>
      </c>
      <c r="R1267" s="420" t="s">
        <v>10168</v>
      </c>
      <c r="S1267" s="400"/>
      <c r="T1267" s="400"/>
      <c r="U1267" s="400"/>
      <c r="V1267" s="400"/>
      <c r="W1267" s="460" t="s">
        <v>10169</v>
      </c>
      <c r="X1267" s="394" t="s">
        <v>11257</v>
      </c>
      <c r="Y1267" s="394" t="s">
        <v>11259</v>
      </c>
      <c r="Z1267" s="394" t="s">
        <v>11258</v>
      </c>
      <c r="AA1267" s="394" t="s">
        <v>11260</v>
      </c>
      <c r="AB1267" s="416"/>
      <c r="AC1267" s="416"/>
      <c r="AD1267" s="447" t="s">
        <v>10366</v>
      </c>
      <c r="AE1267" s="335" t="s">
        <v>10170</v>
      </c>
      <c r="AF1267" s="462">
        <v>43703</v>
      </c>
      <c r="AG1267" s="748">
        <v>43777</v>
      </c>
      <c r="AH1267" s="417" t="s">
        <v>10170</v>
      </c>
      <c r="AI1267" s="392" t="s">
        <v>10170</v>
      </c>
      <c r="AJ1267" s="392" t="s">
        <v>10170</v>
      </c>
      <c r="AK1267" s="340" t="s">
        <v>10170</v>
      </c>
      <c r="AL1267" s="417" t="s">
        <v>10170</v>
      </c>
      <c r="AM1267" s="392" t="s">
        <v>10170</v>
      </c>
      <c r="AN1267" s="496" t="s">
        <v>10171</v>
      </c>
      <c r="AO1267" s="341" t="s">
        <v>10170</v>
      </c>
      <c r="AP1267" s="392" t="s">
        <v>10170</v>
      </c>
      <c r="AQ1267" s="433" t="s">
        <v>4548</v>
      </c>
      <c r="AR1267" s="452">
        <v>411</v>
      </c>
      <c r="AS1267" s="324">
        <v>80</v>
      </c>
      <c r="AT1267" s="432">
        <v>1.2</v>
      </c>
      <c r="AU1267" s="432" t="s">
        <v>10172</v>
      </c>
      <c r="AV1267" s="432">
        <v>1.3</v>
      </c>
      <c r="AW1267" s="490" t="s">
        <v>10173</v>
      </c>
      <c r="AX1267" s="453" t="s">
        <v>10170</v>
      </c>
      <c r="AY1267" s="429" t="s">
        <v>10170</v>
      </c>
      <c r="AZ1267" s="405" t="s">
        <v>10174</v>
      </c>
      <c r="BA1267" s="324" t="s">
        <v>10175</v>
      </c>
      <c r="BB1267" s="324" t="s">
        <v>10176</v>
      </c>
      <c r="BC1267" s="324" t="s">
        <v>10177</v>
      </c>
      <c r="BD1267" s="324" t="s">
        <v>10178</v>
      </c>
      <c r="BE1267" s="324" t="s">
        <v>10179</v>
      </c>
      <c r="BF1267" s="324" t="s">
        <v>10178</v>
      </c>
      <c r="BG1267" s="324" t="s">
        <v>10170</v>
      </c>
      <c r="BH1267" s="324" t="s">
        <v>10170</v>
      </c>
      <c r="BI1267" s="453">
        <v>1</v>
      </c>
      <c r="BJ1267" s="427">
        <v>1.47</v>
      </c>
      <c r="BK1267" s="428" t="s">
        <v>10180</v>
      </c>
      <c r="BL1267" s="429">
        <f>3.2+1.1+1.5</f>
        <v>5.8000000000000007</v>
      </c>
      <c r="BM1267" s="430" t="s">
        <v>210</v>
      </c>
      <c r="BN1267" s="453" t="s">
        <v>10174</v>
      </c>
      <c r="BO1267" s="464">
        <v>1.32</v>
      </c>
      <c r="BP1267" s="455" t="s">
        <v>10174</v>
      </c>
      <c r="BQ1267" s="456" t="s">
        <v>10181</v>
      </c>
      <c r="BR1267" s="342" t="s">
        <v>10174</v>
      </c>
      <c r="BS1267" s="342" t="s">
        <v>10174</v>
      </c>
      <c r="BT1267" s="392" t="s">
        <v>10170</v>
      </c>
      <c r="BU1267" s="392" t="s">
        <v>10170</v>
      </c>
      <c r="BV1267" s="392" t="s">
        <v>10170</v>
      </c>
      <c r="BW1267" s="392" t="s">
        <v>10170</v>
      </c>
      <c r="BX1267" s="392" t="s">
        <v>10170</v>
      </c>
      <c r="BY1267" s="457"/>
      <c r="BZ1267" s="363"/>
      <c r="CA1267" s="363"/>
      <c r="CB1267" s="363"/>
      <c r="CC1267" s="363"/>
    </row>
    <row r="1268" spans="1:82" ht="22.5" customHeight="1">
      <c r="B1268" s="442">
        <v>190023</v>
      </c>
      <c r="C1268" s="443" t="s">
        <v>10234</v>
      </c>
      <c r="D1268" s="439" t="s">
        <v>4854</v>
      </c>
      <c r="E1268" s="404" t="s">
        <v>5362</v>
      </c>
      <c r="F1268" s="405" t="s">
        <v>6678</v>
      </c>
      <c r="G1268" s="324" t="s">
        <v>10232</v>
      </c>
      <c r="H1268" s="324" t="s">
        <v>10233</v>
      </c>
      <c r="I1268" s="326" t="s">
        <v>383</v>
      </c>
      <c r="J1268" s="324" t="s">
        <v>7171</v>
      </c>
      <c r="K1268" s="324" t="s">
        <v>10291</v>
      </c>
      <c r="L1268" s="342">
        <v>3.9</v>
      </c>
      <c r="M1268" s="324" t="s">
        <v>7457</v>
      </c>
      <c r="N1268" s="444" t="s">
        <v>10292</v>
      </c>
      <c r="O1268" s="324">
        <v>100</v>
      </c>
      <c r="P1268" s="445">
        <v>430</v>
      </c>
      <c r="Q1268" s="446">
        <v>270</v>
      </c>
      <c r="R1268" s="420" t="s">
        <v>10288</v>
      </c>
      <c r="S1268" s="394" t="s">
        <v>11158</v>
      </c>
      <c r="T1268" s="394" t="s">
        <v>11159</v>
      </c>
      <c r="U1268" s="394" t="s">
        <v>16465</v>
      </c>
      <c r="V1268" s="394" t="s">
        <v>11160</v>
      </c>
      <c r="W1268" s="460" t="s">
        <v>10287</v>
      </c>
      <c r="X1268" s="394" t="s">
        <v>11158</v>
      </c>
      <c r="Y1268" s="394" t="s">
        <v>11159</v>
      </c>
      <c r="Z1268" s="394" t="s">
        <v>16503</v>
      </c>
      <c r="AA1268" s="394" t="s">
        <v>11160</v>
      </c>
      <c r="AB1268" s="416" t="s">
        <v>10286</v>
      </c>
      <c r="AC1268" s="416"/>
      <c r="AD1268" s="498" t="s">
        <v>3807</v>
      </c>
      <c r="AE1268" s="335" t="s">
        <v>210</v>
      </c>
      <c r="AF1268" s="462">
        <v>43706</v>
      </c>
      <c r="AG1268" s="748">
        <v>43762</v>
      </c>
      <c r="AH1268" s="417" t="s">
        <v>210</v>
      </c>
      <c r="AI1268" s="392" t="s">
        <v>210</v>
      </c>
      <c r="AJ1268" s="392" t="s">
        <v>210</v>
      </c>
      <c r="AK1268" s="340" t="s">
        <v>210</v>
      </c>
      <c r="AL1268" s="417" t="s">
        <v>210</v>
      </c>
      <c r="AM1268" s="392" t="s">
        <v>210</v>
      </c>
      <c r="AN1268" s="392" t="s">
        <v>210</v>
      </c>
      <c r="AO1268" s="341" t="s">
        <v>210</v>
      </c>
      <c r="AP1268" s="1063" t="s">
        <v>622</v>
      </c>
      <c r="AQ1268" s="433" t="s">
        <v>4547</v>
      </c>
      <c r="AR1268" s="452">
        <v>534</v>
      </c>
      <c r="AS1268" s="324">
        <v>120</v>
      </c>
      <c r="AT1268" s="432">
        <v>0.8</v>
      </c>
      <c r="AU1268" s="432" t="s">
        <v>8201</v>
      </c>
      <c r="AV1268" s="432">
        <v>1.2</v>
      </c>
      <c r="AW1268" s="490" t="s">
        <v>10293</v>
      </c>
      <c r="AX1268" s="453" t="s">
        <v>10101</v>
      </c>
      <c r="AY1268" s="429" t="s">
        <v>10101</v>
      </c>
      <c r="AZ1268" s="405" t="s">
        <v>4083</v>
      </c>
      <c r="BA1268" s="324" t="s">
        <v>210</v>
      </c>
      <c r="BB1268" s="324" t="s">
        <v>210</v>
      </c>
      <c r="BC1268" s="324" t="s">
        <v>210</v>
      </c>
      <c r="BD1268" s="324" t="s">
        <v>210</v>
      </c>
      <c r="BE1268" s="324" t="s">
        <v>10294</v>
      </c>
      <c r="BF1268" s="324" t="s">
        <v>10295</v>
      </c>
      <c r="BG1268" s="324" t="s">
        <v>10296</v>
      </c>
      <c r="BH1268" s="426" t="s">
        <v>3494</v>
      </c>
      <c r="BI1268" s="453">
        <v>1.55</v>
      </c>
      <c r="BJ1268" s="427">
        <v>1.2</v>
      </c>
      <c r="BK1268" s="428" t="s">
        <v>10297</v>
      </c>
      <c r="BL1268" s="429">
        <v>0.45</v>
      </c>
      <c r="BM1268" s="430" t="s">
        <v>210</v>
      </c>
      <c r="BN1268" s="453" t="s">
        <v>622</v>
      </c>
      <c r="BO1268" s="464">
        <v>1.55</v>
      </c>
      <c r="BP1268" s="455" t="s">
        <v>622</v>
      </c>
      <c r="BQ1268" s="456" t="s">
        <v>1059</v>
      </c>
      <c r="BR1268" s="392" t="s">
        <v>210</v>
      </c>
      <c r="BS1268" s="342" t="s">
        <v>660</v>
      </c>
      <c r="BT1268" s="392" t="s">
        <v>210</v>
      </c>
      <c r="BU1268" s="392" t="s">
        <v>210</v>
      </c>
      <c r="BV1268" s="392" t="s">
        <v>210</v>
      </c>
      <c r="BW1268" s="392" t="s">
        <v>210</v>
      </c>
      <c r="BX1268" s="392" t="s">
        <v>210</v>
      </c>
      <c r="BY1268" s="457" t="s">
        <v>10298</v>
      </c>
      <c r="BZ1268" s="363"/>
      <c r="CA1268" s="363"/>
      <c r="CB1268" s="363"/>
      <c r="CC1268" s="363"/>
    </row>
    <row r="1269" spans="1:82" s="465" customFormat="1" ht="22.5" customHeight="1">
      <c r="A1269" s="287"/>
      <c r="B1269" s="749">
        <v>190024</v>
      </c>
      <c r="C1269" s="781" t="s">
        <v>10273</v>
      </c>
      <c r="D1269" s="829" t="s">
        <v>10272</v>
      </c>
      <c r="E1269" s="752" t="s">
        <v>5405</v>
      </c>
      <c r="F1269" s="753" t="s">
        <v>10189</v>
      </c>
      <c r="G1269" s="754" t="s">
        <v>10190</v>
      </c>
      <c r="H1269" s="754" t="s">
        <v>10191</v>
      </c>
      <c r="I1269" s="662" t="s">
        <v>383</v>
      </c>
      <c r="J1269" s="662" t="s">
        <v>399</v>
      </c>
      <c r="K1269" s="754" t="s">
        <v>917</v>
      </c>
      <c r="L1269" s="688" t="s">
        <v>210</v>
      </c>
      <c r="M1269" s="754" t="s">
        <v>7457</v>
      </c>
      <c r="N1269" s="755" t="s">
        <v>521</v>
      </c>
      <c r="O1269" s="754">
        <v>30</v>
      </c>
      <c r="P1269" s="782">
        <v>884</v>
      </c>
      <c r="Q1269" s="783">
        <v>927</v>
      </c>
      <c r="R1269" s="756" t="s">
        <v>10268</v>
      </c>
      <c r="S1269" s="708"/>
      <c r="T1269" s="708"/>
      <c r="U1269" s="708"/>
      <c r="V1269" s="708"/>
      <c r="W1269" s="757" t="s">
        <v>12522</v>
      </c>
      <c r="X1269" s="708"/>
      <c r="Y1269" s="708"/>
      <c r="Z1269" s="708"/>
      <c r="AA1269" s="708"/>
      <c r="AB1269" s="758" t="s">
        <v>10269</v>
      </c>
      <c r="AC1269" s="758"/>
      <c r="AD1269" s="759"/>
      <c r="AE1269" s="672" t="s">
        <v>422</v>
      </c>
      <c r="AF1269" s="846">
        <v>43714</v>
      </c>
      <c r="AG1269" s="674" t="s">
        <v>10514</v>
      </c>
      <c r="AH1269" s="675" t="s">
        <v>210</v>
      </c>
      <c r="AI1269" s="676" t="s">
        <v>210</v>
      </c>
      <c r="AJ1269" s="676" t="s">
        <v>210</v>
      </c>
      <c r="AK1269" s="677" t="s">
        <v>210</v>
      </c>
      <c r="AL1269" s="675" t="s">
        <v>210</v>
      </c>
      <c r="AM1269" s="676" t="s">
        <v>210</v>
      </c>
      <c r="AN1269" s="676" t="s">
        <v>210</v>
      </c>
      <c r="AO1269" s="678" t="s">
        <v>210</v>
      </c>
      <c r="AP1269" s="676" t="s">
        <v>210</v>
      </c>
      <c r="AQ1269" s="762" t="s">
        <v>4547</v>
      </c>
      <c r="AR1269" s="763">
        <v>1207</v>
      </c>
      <c r="AS1269" s="754">
        <v>120</v>
      </c>
      <c r="AT1269" s="785">
        <v>1</v>
      </c>
      <c r="AU1269" s="785" t="s">
        <v>10302</v>
      </c>
      <c r="AV1269" s="785">
        <v>1.5</v>
      </c>
      <c r="AW1269" s="764" t="s">
        <v>10303</v>
      </c>
      <c r="AX1269" s="765" t="s">
        <v>422</v>
      </c>
      <c r="AY1269" s="766" t="s">
        <v>422</v>
      </c>
      <c r="AZ1269" s="753" t="s">
        <v>2851</v>
      </c>
      <c r="BA1269" s="754" t="s">
        <v>3580</v>
      </c>
      <c r="BB1269" s="754" t="s">
        <v>3392</v>
      </c>
      <c r="BC1269" s="754" t="s">
        <v>10304</v>
      </c>
      <c r="BD1269" s="754" t="s">
        <v>3392</v>
      </c>
      <c r="BE1269" s="754" t="s">
        <v>10305</v>
      </c>
      <c r="BF1269" s="754" t="s">
        <v>3424</v>
      </c>
      <c r="BG1269" s="754" t="s">
        <v>10305</v>
      </c>
      <c r="BH1269" s="754" t="s">
        <v>3424</v>
      </c>
      <c r="BI1269" s="765">
        <v>1.5</v>
      </c>
      <c r="BJ1269" s="768">
        <v>1.2</v>
      </c>
      <c r="BK1269" s="769" t="s">
        <v>10306</v>
      </c>
      <c r="BL1269" s="766">
        <v>0.35</v>
      </c>
      <c r="BM1269" s="770" t="s">
        <v>210</v>
      </c>
      <c r="BN1269" s="765" t="s">
        <v>622</v>
      </c>
      <c r="BO1269" s="1058" t="s">
        <v>10307</v>
      </c>
      <c r="BP1269" s="772" t="s">
        <v>622</v>
      </c>
      <c r="BQ1269" s="773" t="s">
        <v>6623</v>
      </c>
      <c r="BR1269" s="676" t="s">
        <v>210</v>
      </c>
      <c r="BS1269" s="688" t="s">
        <v>660</v>
      </c>
      <c r="BT1269" s="676" t="s">
        <v>210</v>
      </c>
      <c r="BU1269" s="676" t="s">
        <v>210</v>
      </c>
      <c r="BV1269" s="676" t="s">
        <v>210</v>
      </c>
      <c r="BW1269" s="676" t="s">
        <v>210</v>
      </c>
      <c r="BX1269" s="676" t="s">
        <v>210</v>
      </c>
      <c r="BY1269" s="774" t="s">
        <v>10327</v>
      </c>
      <c r="BZ1269" s="483"/>
      <c r="CA1269" s="483"/>
      <c r="CB1269" s="483"/>
      <c r="CC1269" s="483"/>
      <c r="CD1269" s="484"/>
    </row>
    <row r="1270" spans="1:82" ht="22.5" customHeight="1">
      <c r="B1270" s="442">
        <v>190025</v>
      </c>
      <c r="C1270" s="443" t="s">
        <v>10276</v>
      </c>
      <c r="D1270" s="467" t="s">
        <v>9869</v>
      </c>
      <c r="E1270" s="404" t="s">
        <v>5405</v>
      </c>
      <c r="F1270" s="405" t="s">
        <v>839</v>
      </c>
      <c r="G1270" s="324" t="s">
        <v>9652</v>
      </c>
      <c r="H1270" s="324" t="s">
        <v>9653</v>
      </c>
      <c r="I1270" s="326" t="s">
        <v>383</v>
      </c>
      <c r="J1270" s="326" t="s">
        <v>399</v>
      </c>
      <c r="K1270" s="324" t="s">
        <v>917</v>
      </c>
      <c r="L1270" s="392" t="s">
        <v>210</v>
      </c>
      <c r="M1270" s="324" t="s">
        <v>7457</v>
      </c>
      <c r="N1270" s="444" t="s">
        <v>438</v>
      </c>
      <c r="O1270" s="324">
        <v>37</v>
      </c>
      <c r="P1270" s="445">
        <v>1850</v>
      </c>
      <c r="Q1270" s="446">
        <f>P1270</f>
        <v>1850</v>
      </c>
      <c r="R1270" s="420" t="s">
        <v>10277</v>
      </c>
      <c r="S1270" s="400"/>
      <c r="T1270" s="394" t="s">
        <v>11251</v>
      </c>
      <c r="U1270" s="394" t="s">
        <v>16380</v>
      </c>
      <c r="V1270" s="394" t="s">
        <v>11252</v>
      </c>
      <c r="W1270" s="460" t="s">
        <v>10280</v>
      </c>
      <c r="X1270" s="394" t="s">
        <v>11253</v>
      </c>
      <c r="Y1270" s="394" t="s">
        <v>11254</v>
      </c>
      <c r="Z1270" s="394" t="s">
        <v>16394</v>
      </c>
      <c r="AA1270" s="394" t="s">
        <v>11255</v>
      </c>
      <c r="AB1270" s="416"/>
      <c r="AC1270" s="416"/>
      <c r="AD1270" s="498" t="s">
        <v>5277</v>
      </c>
      <c r="AE1270" s="499" t="s">
        <v>231</v>
      </c>
      <c r="AF1270" s="462">
        <v>43719</v>
      </c>
      <c r="AG1270" s="748">
        <v>43775</v>
      </c>
      <c r="AH1270" s="417" t="s">
        <v>210</v>
      </c>
      <c r="AI1270" s="392" t="s">
        <v>210</v>
      </c>
      <c r="AJ1270" s="392" t="s">
        <v>210</v>
      </c>
      <c r="AK1270" s="340" t="s">
        <v>210</v>
      </c>
      <c r="AL1270" s="417" t="s">
        <v>210</v>
      </c>
      <c r="AM1270" s="392" t="s">
        <v>210</v>
      </c>
      <c r="AN1270" s="392" t="s">
        <v>210</v>
      </c>
      <c r="AO1270" s="341" t="s">
        <v>210</v>
      </c>
      <c r="AP1270" s="1063" t="s">
        <v>622</v>
      </c>
      <c r="AQ1270" s="433" t="s">
        <v>4547</v>
      </c>
      <c r="AR1270" s="452">
        <v>2659</v>
      </c>
      <c r="AS1270" s="324">
        <v>100</v>
      </c>
      <c r="AT1270" s="432">
        <v>1</v>
      </c>
      <c r="AU1270" s="432" t="s">
        <v>10332</v>
      </c>
      <c r="AV1270" s="432">
        <v>1.5</v>
      </c>
      <c r="AW1270" s="490" t="s">
        <v>10333</v>
      </c>
      <c r="AX1270" s="453" t="s">
        <v>9775</v>
      </c>
      <c r="AY1270" s="429" t="s">
        <v>9775</v>
      </c>
      <c r="AZ1270" s="405" t="s">
        <v>622</v>
      </c>
      <c r="BA1270" s="324" t="s">
        <v>3615</v>
      </c>
      <c r="BB1270" s="324" t="s">
        <v>10334</v>
      </c>
      <c r="BC1270" s="324" t="s">
        <v>10335</v>
      </c>
      <c r="BD1270" s="324" t="s">
        <v>10333</v>
      </c>
      <c r="BE1270" s="324" t="s">
        <v>10336</v>
      </c>
      <c r="BF1270" s="324" t="s">
        <v>10333</v>
      </c>
      <c r="BG1270" s="324" t="s">
        <v>10337</v>
      </c>
      <c r="BH1270" s="426" t="s">
        <v>10338</v>
      </c>
      <c r="BI1270" s="453">
        <v>2.6</v>
      </c>
      <c r="BJ1270" s="427">
        <v>1.5</v>
      </c>
      <c r="BK1270" s="428" t="s">
        <v>10333</v>
      </c>
      <c r="BL1270" s="429">
        <v>4.0999999999999996</v>
      </c>
      <c r="BM1270" s="430" t="s">
        <v>210</v>
      </c>
      <c r="BN1270" s="453" t="s">
        <v>622</v>
      </c>
      <c r="BO1270" s="464">
        <v>1.21</v>
      </c>
      <c r="BP1270" s="455" t="s">
        <v>622</v>
      </c>
      <c r="BQ1270" s="456" t="s">
        <v>6407</v>
      </c>
      <c r="BR1270" s="392" t="s">
        <v>210</v>
      </c>
      <c r="BS1270" s="342" t="s">
        <v>622</v>
      </c>
      <c r="BT1270" s="392" t="s">
        <v>210</v>
      </c>
      <c r="BU1270" s="392" t="s">
        <v>210</v>
      </c>
      <c r="BV1270" s="392" t="s">
        <v>210</v>
      </c>
      <c r="BW1270" s="392" t="s">
        <v>210</v>
      </c>
      <c r="BX1270" s="392" t="s">
        <v>210</v>
      </c>
      <c r="BY1270" s="457" t="s">
        <v>10319</v>
      </c>
      <c r="BZ1270" s="363"/>
      <c r="CA1270" s="363"/>
      <c r="CB1270" s="363"/>
      <c r="CC1270" s="363"/>
    </row>
    <row r="1271" spans="1:82" ht="22.5" customHeight="1">
      <c r="B1271" s="442">
        <v>190026</v>
      </c>
      <c r="C1271" s="443" t="s">
        <v>10326</v>
      </c>
      <c r="D1271" s="467" t="s">
        <v>10359</v>
      </c>
      <c r="E1271" s="404" t="s">
        <v>5362</v>
      </c>
      <c r="F1271" s="405" t="s">
        <v>222</v>
      </c>
      <c r="G1271" s="324" t="s">
        <v>10324</v>
      </c>
      <c r="H1271" s="324" t="s">
        <v>10325</v>
      </c>
      <c r="I1271" s="326" t="s">
        <v>383</v>
      </c>
      <c r="J1271" s="326" t="s">
        <v>399</v>
      </c>
      <c r="K1271" s="324" t="s">
        <v>9276</v>
      </c>
      <c r="L1271" s="342">
        <v>22.3</v>
      </c>
      <c r="M1271" s="324" t="s">
        <v>7457</v>
      </c>
      <c r="N1271" s="444" t="s">
        <v>10367</v>
      </c>
      <c r="O1271" s="324">
        <v>70</v>
      </c>
      <c r="P1271" s="445">
        <v>1900</v>
      </c>
      <c r="Q1271" s="446">
        <f>P1271</f>
        <v>1900</v>
      </c>
      <c r="R1271" s="329" t="s">
        <v>4397</v>
      </c>
      <c r="S1271" s="331" t="s">
        <v>11244</v>
      </c>
      <c r="T1271" s="331" t="s">
        <v>11246</v>
      </c>
      <c r="U1271" s="331" t="s">
        <v>11245</v>
      </c>
      <c r="V1271" s="331" t="s">
        <v>11247</v>
      </c>
      <c r="W1271" s="332" t="s">
        <v>1096</v>
      </c>
      <c r="X1271" s="331" t="s">
        <v>11248</v>
      </c>
      <c r="Y1271" s="331" t="s">
        <v>11249</v>
      </c>
      <c r="Z1271" s="331" t="s">
        <v>16437</v>
      </c>
      <c r="AA1271" s="331" t="s">
        <v>11250</v>
      </c>
      <c r="AB1271" s="333"/>
      <c r="AC1271" s="333"/>
      <c r="AD1271" s="334" t="s">
        <v>2321</v>
      </c>
      <c r="AE1271" s="499" t="s">
        <v>1038</v>
      </c>
      <c r="AF1271" s="462">
        <v>43720</v>
      </c>
      <c r="AG1271" s="748">
        <v>43769</v>
      </c>
      <c r="AH1271" s="417" t="s">
        <v>210</v>
      </c>
      <c r="AI1271" s="392" t="s">
        <v>210</v>
      </c>
      <c r="AJ1271" s="392" t="s">
        <v>210</v>
      </c>
      <c r="AK1271" s="340" t="s">
        <v>210</v>
      </c>
      <c r="AL1271" s="417" t="s">
        <v>210</v>
      </c>
      <c r="AM1271" s="392" t="s">
        <v>210</v>
      </c>
      <c r="AN1271" s="392" t="s">
        <v>210</v>
      </c>
      <c r="AO1271" s="341" t="s">
        <v>210</v>
      </c>
      <c r="AP1271" s="392" t="s">
        <v>210</v>
      </c>
      <c r="AQ1271" s="433" t="s">
        <v>4547</v>
      </c>
      <c r="AR1271" s="452">
        <v>2414</v>
      </c>
      <c r="AS1271" s="324">
        <v>100</v>
      </c>
      <c r="AT1271" s="432">
        <v>1</v>
      </c>
      <c r="AU1271" s="432" t="s">
        <v>10368</v>
      </c>
      <c r="AV1271" s="432">
        <v>1.5</v>
      </c>
      <c r="AW1271" s="490" t="s">
        <v>10369</v>
      </c>
      <c r="AX1271" s="453" t="s">
        <v>210</v>
      </c>
      <c r="AY1271" s="429" t="s">
        <v>8601</v>
      </c>
      <c r="AZ1271" s="405" t="s">
        <v>10174</v>
      </c>
      <c r="BA1271" s="324" t="s">
        <v>3459</v>
      </c>
      <c r="BB1271" s="490" t="s">
        <v>10369</v>
      </c>
      <c r="BC1271" s="324" t="s">
        <v>210</v>
      </c>
      <c r="BD1271" s="324" t="s">
        <v>210</v>
      </c>
      <c r="BE1271" s="324" t="s">
        <v>10370</v>
      </c>
      <c r="BF1271" s="324" t="s">
        <v>10371</v>
      </c>
      <c r="BG1271" s="324" t="s">
        <v>10372</v>
      </c>
      <c r="BH1271" s="324" t="s">
        <v>10371</v>
      </c>
      <c r="BI1271" s="453">
        <v>2</v>
      </c>
      <c r="BJ1271" s="427">
        <v>1.46</v>
      </c>
      <c r="BK1271" s="428" t="s">
        <v>10373</v>
      </c>
      <c r="BL1271" s="429">
        <v>1.4</v>
      </c>
      <c r="BM1271" s="430" t="s">
        <v>210</v>
      </c>
      <c r="BN1271" s="453" t="s">
        <v>622</v>
      </c>
      <c r="BO1271" s="464">
        <v>1.39</v>
      </c>
      <c r="BP1271" s="455" t="s">
        <v>622</v>
      </c>
      <c r="BQ1271" s="456" t="s">
        <v>247</v>
      </c>
      <c r="BR1271" s="392" t="s">
        <v>210</v>
      </c>
      <c r="BS1271" s="342" t="s">
        <v>622</v>
      </c>
      <c r="BT1271" s="392" t="s">
        <v>210</v>
      </c>
      <c r="BU1271" s="392" t="s">
        <v>210</v>
      </c>
      <c r="BV1271" s="392" t="s">
        <v>210</v>
      </c>
      <c r="BW1271" s="392" t="s">
        <v>210</v>
      </c>
      <c r="BX1271" s="392" t="s">
        <v>210</v>
      </c>
      <c r="BY1271" s="457" t="s">
        <v>10374</v>
      </c>
      <c r="BZ1271" s="363"/>
      <c r="CA1271" s="363"/>
      <c r="CB1271" s="363"/>
      <c r="CC1271" s="363"/>
    </row>
    <row r="1272" spans="1:82" s="465" customFormat="1" ht="22.5" customHeight="1">
      <c r="A1272" s="287"/>
      <c r="B1272" s="749"/>
      <c r="C1272" s="781" t="s">
        <v>11240</v>
      </c>
      <c r="D1272" s="751"/>
      <c r="E1272" s="752" t="s">
        <v>5638</v>
      </c>
      <c r="F1272" s="753"/>
      <c r="G1272" s="754"/>
      <c r="H1272" s="754"/>
      <c r="I1272" s="662" t="s">
        <v>383</v>
      </c>
      <c r="J1272" s="754" t="s">
        <v>7171</v>
      </c>
      <c r="K1272" s="754" t="s">
        <v>10076</v>
      </c>
      <c r="L1272" s="688"/>
      <c r="M1272" s="754" t="s">
        <v>7457</v>
      </c>
      <c r="N1272" s="755"/>
      <c r="O1272" s="754"/>
      <c r="P1272" s="782"/>
      <c r="Q1272" s="783"/>
      <c r="R1272" s="1046" t="s">
        <v>9599</v>
      </c>
      <c r="S1272" s="1047" t="s">
        <v>11241</v>
      </c>
      <c r="T1272" s="1047" t="s">
        <v>11242</v>
      </c>
      <c r="U1272" s="1047" t="s">
        <v>16381</v>
      </c>
      <c r="V1272" s="1047" t="s">
        <v>11243</v>
      </c>
      <c r="W1272" s="669" t="s">
        <v>9599</v>
      </c>
      <c r="X1272" s="669"/>
      <c r="Y1272" s="669"/>
      <c r="Z1272" s="669"/>
      <c r="AA1272" s="669"/>
      <c r="AB1272" s="758"/>
      <c r="AC1272" s="758"/>
      <c r="AD1272" s="759"/>
      <c r="AE1272" s="760"/>
      <c r="AF1272" s="761"/>
      <c r="AG1272" s="674" t="s">
        <v>10514</v>
      </c>
      <c r="AH1272" s="675" t="s">
        <v>210</v>
      </c>
      <c r="AI1272" s="676" t="s">
        <v>210</v>
      </c>
      <c r="AJ1272" s="676" t="s">
        <v>210</v>
      </c>
      <c r="AK1272" s="677" t="s">
        <v>210</v>
      </c>
      <c r="AL1272" s="765"/>
      <c r="AM1272" s="785"/>
      <c r="AN1272" s="785"/>
      <c r="AO1272" s="764"/>
      <c r="AP1272" s="784"/>
      <c r="AQ1272" s="762" t="s">
        <v>4547</v>
      </c>
      <c r="AR1272" s="763"/>
      <c r="AS1272" s="754"/>
      <c r="AT1272" s="785"/>
      <c r="AU1272" s="785"/>
      <c r="AV1272" s="785"/>
      <c r="AW1272" s="764"/>
      <c r="AX1272" s="765"/>
      <c r="AY1272" s="766"/>
      <c r="AZ1272" s="753"/>
      <c r="BA1272" s="754"/>
      <c r="BB1272" s="754"/>
      <c r="BC1272" s="754"/>
      <c r="BD1272" s="754"/>
      <c r="BE1272" s="754"/>
      <c r="BF1272" s="754"/>
      <c r="BG1272" s="754"/>
      <c r="BH1272" s="767"/>
      <c r="BI1272" s="765"/>
      <c r="BJ1272" s="768"/>
      <c r="BK1272" s="769"/>
      <c r="BL1272" s="766"/>
      <c r="BM1272" s="770"/>
      <c r="BN1272" s="765"/>
      <c r="BO1272" s="771"/>
      <c r="BP1272" s="772"/>
      <c r="BQ1272" s="773"/>
      <c r="BR1272" s="688"/>
      <c r="BS1272" s="688"/>
      <c r="BT1272" s="676" t="s">
        <v>210</v>
      </c>
      <c r="BU1272" s="676" t="s">
        <v>210</v>
      </c>
      <c r="BV1272" s="676" t="s">
        <v>210</v>
      </c>
      <c r="BW1272" s="676" t="s">
        <v>210</v>
      </c>
      <c r="BX1272" s="676" t="s">
        <v>210</v>
      </c>
      <c r="BY1272" s="774" t="s">
        <v>10299</v>
      </c>
      <c r="BZ1272" s="483"/>
      <c r="CA1272" s="483"/>
      <c r="CB1272" s="483"/>
      <c r="CC1272" s="483"/>
      <c r="CD1272" s="484"/>
    </row>
    <row r="1273" spans="1:82" ht="22.5" customHeight="1">
      <c r="B1273" s="442">
        <v>190027</v>
      </c>
      <c r="C1273" s="443" t="s">
        <v>16799</v>
      </c>
      <c r="D1273" s="439" t="s">
        <v>4849</v>
      </c>
      <c r="E1273" s="404" t="s">
        <v>5362</v>
      </c>
      <c r="F1273" s="405" t="s">
        <v>1509</v>
      </c>
      <c r="G1273" s="324" t="s">
        <v>10353</v>
      </c>
      <c r="H1273" s="324" t="s">
        <v>10354</v>
      </c>
      <c r="I1273" s="326" t="s">
        <v>383</v>
      </c>
      <c r="J1273" s="326" t="s">
        <v>399</v>
      </c>
      <c r="K1273" s="324" t="s">
        <v>10407</v>
      </c>
      <c r="L1273" s="342">
        <v>20</v>
      </c>
      <c r="M1273" s="324" t="s">
        <v>7457</v>
      </c>
      <c r="N1273" s="444" t="s">
        <v>10367</v>
      </c>
      <c r="O1273" s="324">
        <v>100</v>
      </c>
      <c r="P1273" s="445">
        <v>5200</v>
      </c>
      <c r="Q1273" s="446">
        <f>P1273</f>
        <v>5200</v>
      </c>
      <c r="R1273" s="329" t="s">
        <v>552</v>
      </c>
      <c r="S1273" s="331" t="s">
        <v>11236</v>
      </c>
      <c r="T1273" s="331" t="s">
        <v>11237</v>
      </c>
      <c r="U1273" s="331" t="s">
        <v>11238</v>
      </c>
      <c r="V1273" s="331" t="s">
        <v>11239</v>
      </c>
      <c r="W1273" s="332" t="s">
        <v>514</v>
      </c>
      <c r="X1273" s="331" t="s">
        <v>13687</v>
      </c>
      <c r="Y1273" s="331" t="s">
        <v>11233</v>
      </c>
      <c r="Z1273" s="331" t="s">
        <v>11234</v>
      </c>
      <c r="AA1273" s="331" t="s">
        <v>11235</v>
      </c>
      <c r="AB1273" s="416"/>
      <c r="AC1273" s="416"/>
      <c r="AD1273" s="447" t="s">
        <v>10568</v>
      </c>
      <c r="AE1273" s="499" t="s">
        <v>10581</v>
      </c>
      <c r="AF1273" s="462">
        <v>43727</v>
      </c>
      <c r="AG1273" s="748">
        <v>43791</v>
      </c>
      <c r="AH1273" s="417" t="s">
        <v>210</v>
      </c>
      <c r="AI1273" s="392" t="s">
        <v>210</v>
      </c>
      <c r="AJ1273" s="392" t="s">
        <v>210</v>
      </c>
      <c r="AK1273" s="340" t="s">
        <v>210</v>
      </c>
      <c r="AL1273" s="417" t="s">
        <v>210</v>
      </c>
      <c r="AM1273" s="392" t="s">
        <v>210</v>
      </c>
      <c r="AN1273" s="392" t="s">
        <v>210</v>
      </c>
      <c r="AO1273" s="341" t="s">
        <v>210</v>
      </c>
      <c r="AP1273" s="1063" t="s">
        <v>622</v>
      </c>
      <c r="AQ1273" s="433" t="s">
        <v>4547</v>
      </c>
      <c r="AR1273" s="452">
        <v>8507</v>
      </c>
      <c r="AS1273" s="324">
        <v>120</v>
      </c>
      <c r="AT1273" s="432">
        <v>1.4</v>
      </c>
      <c r="AU1273" s="432" t="s">
        <v>10415</v>
      </c>
      <c r="AV1273" s="432">
        <v>1.2</v>
      </c>
      <c r="AW1273" s="490" t="s">
        <v>10416</v>
      </c>
      <c r="AX1273" s="453" t="s">
        <v>622</v>
      </c>
      <c r="AY1273" s="429" t="s">
        <v>8601</v>
      </c>
      <c r="AZ1273" s="405" t="s">
        <v>4083</v>
      </c>
      <c r="BA1273" s="324" t="s">
        <v>210</v>
      </c>
      <c r="BB1273" s="324" t="s">
        <v>210</v>
      </c>
      <c r="BC1273" s="324" t="s">
        <v>210</v>
      </c>
      <c r="BD1273" s="324" t="s">
        <v>210</v>
      </c>
      <c r="BE1273" s="324" t="s">
        <v>10409</v>
      </c>
      <c r="BF1273" s="324" t="s">
        <v>10410</v>
      </c>
      <c r="BG1273" s="324" t="s">
        <v>10411</v>
      </c>
      <c r="BH1273" s="426" t="s">
        <v>10412</v>
      </c>
      <c r="BI1273" s="453">
        <v>5.5</v>
      </c>
      <c r="BJ1273" s="427">
        <v>2.33</v>
      </c>
      <c r="BK1273" s="428" t="s">
        <v>3492</v>
      </c>
      <c r="BL1273" s="429">
        <v>1.1000000000000001</v>
      </c>
      <c r="BM1273" s="430" t="s">
        <v>210</v>
      </c>
      <c r="BN1273" s="453" t="s">
        <v>622</v>
      </c>
      <c r="BO1273" s="454" t="s">
        <v>10417</v>
      </c>
      <c r="BP1273" s="455" t="s">
        <v>622</v>
      </c>
      <c r="BQ1273" s="456" t="s">
        <v>10350</v>
      </c>
      <c r="BR1273" s="342" t="s">
        <v>622</v>
      </c>
      <c r="BS1273" s="392" t="s">
        <v>210</v>
      </c>
      <c r="BT1273" s="392" t="s">
        <v>210</v>
      </c>
      <c r="BU1273" s="392" t="s">
        <v>210</v>
      </c>
      <c r="BV1273" s="392" t="s">
        <v>210</v>
      </c>
      <c r="BW1273" s="392" t="s">
        <v>210</v>
      </c>
      <c r="BX1273" s="392" t="s">
        <v>210</v>
      </c>
      <c r="BY1273" s="457" t="s">
        <v>10352</v>
      </c>
      <c r="BZ1273" s="363"/>
      <c r="CA1273" s="363"/>
      <c r="CB1273" s="363"/>
      <c r="CC1273" s="363"/>
    </row>
    <row r="1274" spans="1:82" ht="22.5" customHeight="1">
      <c r="B1274" s="442" t="s">
        <v>10356</v>
      </c>
      <c r="C1274" s="443" t="s">
        <v>10358</v>
      </c>
      <c r="D1274" s="439" t="s">
        <v>4849</v>
      </c>
      <c r="E1274" s="404" t="s">
        <v>5362</v>
      </c>
      <c r="F1274" s="405" t="s">
        <v>1509</v>
      </c>
      <c r="G1274" s="324" t="s">
        <v>10353</v>
      </c>
      <c r="H1274" s="324" t="s">
        <v>10354</v>
      </c>
      <c r="I1274" s="326" t="s">
        <v>383</v>
      </c>
      <c r="J1274" s="326" t="s">
        <v>399</v>
      </c>
      <c r="K1274" s="324" t="s">
        <v>10408</v>
      </c>
      <c r="L1274" s="342">
        <v>20</v>
      </c>
      <c r="M1274" s="324" t="s">
        <v>7457</v>
      </c>
      <c r="N1274" s="444" t="s">
        <v>10367</v>
      </c>
      <c r="O1274" s="324">
        <v>100</v>
      </c>
      <c r="P1274" s="445">
        <v>3800</v>
      </c>
      <c r="Q1274" s="446">
        <f>P1274</f>
        <v>3800</v>
      </c>
      <c r="R1274" s="329" t="s">
        <v>552</v>
      </c>
      <c r="S1274" s="331" t="s">
        <v>11236</v>
      </c>
      <c r="T1274" s="331" t="s">
        <v>11237</v>
      </c>
      <c r="U1274" s="331" t="s">
        <v>11238</v>
      </c>
      <c r="V1274" s="331" t="s">
        <v>11239</v>
      </c>
      <c r="W1274" s="332" t="s">
        <v>514</v>
      </c>
      <c r="X1274" s="331" t="s">
        <v>13687</v>
      </c>
      <c r="Y1274" s="331" t="s">
        <v>11233</v>
      </c>
      <c r="Z1274" s="331" t="s">
        <v>11234</v>
      </c>
      <c r="AA1274" s="331" t="s">
        <v>11235</v>
      </c>
      <c r="AB1274" s="416"/>
      <c r="AC1274" s="416"/>
      <c r="AD1274" s="447" t="s">
        <v>10568</v>
      </c>
      <c r="AE1274" s="499" t="s">
        <v>10581</v>
      </c>
      <c r="AF1274" s="462">
        <v>43727</v>
      </c>
      <c r="AG1274" s="748">
        <v>43791</v>
      </c>
      <c r="AH1274" s="417" t="s">
        <v>210</v>
      </c>
      <c r="AI1274" s="392" t="s">
        <v>210</v>
      </c>
      <c r="AJ1274" s="392" t="s">
        <v>210</v>
      </c>
      <c r="AK1274" s="340" t="s">
        <v>210</v>
      </c>
      <c r="AL1274" s="417" t="s">
        <v>210</v>
      </c>
      <c r="AM1274" s="392" t="s">
        <v>210</v>
      </c>
      <c r="AN1274" s="392" t="s">
        <v>210</v>
      </c>
      <c r="AO1274" s="341" t="s">
        <v>210</v>
      </c>
      <c r="AP1274" s="1063" t="s">
        <v>622</v>
      </c>
      <c r="AQ1274" s="433" t="s">
        <v>4547</v>
      </c>
      <c r="AR1274" s="452">
        <v>5043</v>
      </c>
      <c r="AS1274" s="324">
        <v>120</v>
      </c>
      <c r="AT1274" s="432">
        <v>1.6</v>
      </c>
      <c r="AU1274" s="432" t="s">
        <v>10415</v>
      </c>
      <c r="AV1274" s="432">
        <v>1.2</v>
      </c>
      <c r="AW1274" s="490" t="s">
        <v>10416</v>
      </c>
      <c r="AX1274" s="453" t="s">
        <v>622</v>
      </c>
      <c r="AY1274" s="429" t="s">
        <v>210</v>
      </c>
      <c r="AZ1274" s="405" t="s">
        <v>4083</v>
      </c>
      <c r="BA1274" s="324" t="s">
        <v>210</v>
      </c>
      <c r="BB1274" s="324" t="s">
        <v>210</v>
      </c>
      <c r="BC1274" s="324" t="s">
        <v>210</v>
      </c>
      <c r="BD1274" s="324" t="s">
        <v>210</v>
      </c>
      <c r="BE1274" s="324" t="s">
        <v>10409</v>
      </c>
      <c r="BF1274" s="324" t="s">
        <v>10410</v>
      </c>
      <c r="BG1274" s="324" t="s">
        <v>10411</v>
      </c>
      <c r="BH1274" s="426" t="s">
        <v>10412</v>
      </c>
      <c r="BI1274" s="453">
        <v>5.5</v>
      </c>
      <c r="BJ1274" s="427">
        <v>2.33</v>
      </c>
      <c r="BK1274" s="428" t="s">
        <v>3492</v>
      </c>
      <c r="BL1274" s="429">
        <v>1.1000000000000001</v>
      </c>
      <c r="BM1274" s="430" t="s">
        <v>210</v>
      </c>
      <c r="BN1274" s="453" t="s">
        <v>622</v>
      </c>
      <c r="BO1274" s="454" t="s">
        <v>10417</v>
      </c>
      <c r="BP1274" s="455" t="s">
        <v>622</v>
      </c>
      <c r="BQ1274" s="456" t="s">
        <v>10350</v>
      </c>
      <c r="BR1274" s="342" t="s">
        <v>622</v>
      </c>
      <c r="BS1274" s="392" t="s">
        <v>210</v>
      </c>
      <c r="BT1274" s="392" t="s">
        <v>210</v>
      </c>
      <c r="BU1274" s="392" t="s">
        <v>210</v>
      </c>
      <c r="BV1274" s="392" t="s">
        <v>210</v>
      </c>
      <c r="BW1274" s="392" t="s">
        <v>210</v>
      </c>
      <c r="BX1274" s="392" t="s">
        <v>210</v>
      </c>
      <c r="BY1274" s="457"/>
      <c r="BZ1274" s="363"/>
      <c r="CA1274" s="363"/>
      <c r="CB1274" s="363"/>
      <c r="CC1274" s="363"/>
    </row>
    <row r="1275" spans="1:82" ht="22.5" customHeight="1">
      <c r="B1275" s="442" t="s">
        <v>10357</v>
      </c>
      <c r="C1275" s="443" t="s">
        <v>10355</v>
      </c>
      <c r="D1275" s="439" t="s">
        <v>4849</v>
      </c>
      <c r="E1275" s="404" t="s">
        <v>5362</v>
      </c>
      <c r="F1275" s="405" t="s">
        <v>1509</v>
      </c>
      <c r="G1275" s="324" t="s">
        <v>10353</v>
      </c>
      <c r="H1275" s="324" t="s">
        <v>10354</v>
      </c>
      <c r="I1275" s="326" t="s">
        <v>383</v>
      </c>
      <c r="J1275" s="324" t="s">
        <v>7171</v>
      </c>
      <c r="K1275" s="324" t="s">
        <v>307</v>
      </c>
      <c r="L1275" s="342">
        <v>5.5</v>
      </c>
      <c r="M1275" s="324" t="s">
        <v>7457</v>
      </c>
      <c r="N1275" s="444" t="s">
        <v>10367</v>
      </c>
      <c r="O1275" s="324">
        <v>100</v>
      </c>
      <c r="P1275" s="445">
        <v>1400</v>
      </c>
      <c r="Q1275" s="446">
        <f>P1275</f>
        <v>1400</v>
      </c>
      <c r="R1275" s="329" t="s">
        <v>552</v>
      </c>
      <c r="S1275" s="331" t="s">
        <v>11236</v>
      </c>
      <c r="T1275" s="331" t="s">
        <v>11237</v>
      </c>
      <c r="U1275" s="331" t="s">
        <v>11238</v>
      </c>
      <c r="V1275" s="331" t="s">
        <v>11239</v>
      </c>
      <c r="W1275" s="332" t="s">
        <v>514</v>
      </c>
      <c r="X1275" s="331" t="s">
        <v>13687</v>
      </c>
      <c r="Y1275" s="331" t="s">
        <v>11233</v>
      </c>
      <c r="Z1275" s="331" t="s">
        <v>11234</v>
      </c>
      <c r="AA1275" s="331" t="s">
        <v>11235</v>
      </c>
      <c r="AB1275" s="416"/>
      <c r="AC1275" s="416"/>
      <c r="AD1275" s="447" t="s">
        <v>10568</v>
      </c>
      <c r="AE1275" s="499" t="s">
        <v>10581</v>
      </c>
      <c r="AF1275" s="462">
        <v>43727</v>
      </c>
      <c r="AG1275" s="748">
        <v>43791</v>
      </c>
      <c r="AH1275" s="417" t="s">
        <v>210</v>
      </c>
      <c r="AI1275" s="392" t="s">
        <v>210</v>
      </c>
      <c r="AJ1275" s="392" t="s">
        <v>210</v>
      </c>
      <c r="AK1275" s="340" t="s">
        <v>210</v>
      </c>
      <c r="AL1275" s="417" t="s">
        <v>210</v>
      </c>
      <c r="AM1275" s="392" t="s">
        <v>210</v>
      </c>
      <c r="AN1275" s="392" t="s">
        <v>210</v>
      </c>
      <c r="AO1275" s="341" t="s">
        <v>210</v>
      </c>
      <c r="AP1275" s="1063" t="s">
        <v>622</v>
      </c>
      <c r="AQ1275" s="433" t="s">
        <v>4547</v>
      </c>
      <c r="AR1275" s="452">
        <v>1804</v>
      </c>
      <c r="AS1275" s="324">
        <v>120</v>
      </c>
      <c r="AT1275" s="432">
        <v>1.6</v>
      </c>
      <c r="AU1275" s="432" t="s">
        <v>10415</v>
      </c>
      <c r="AV1275" s="432">
        <v>1.2</v>
      </c>
      <c r="AW1275" s="490" t="s">
        <v>10416</v>
      </c>
      <c r="AX1275" s="453" t="s">
        <v>622</v>
      </c>
      <c r="AY1275" s="429" t="s">
        <v>210</v>
      </c>
      <c r="AZ1275" s="405" t="s">
        <v>4083</v>
      </c>
      <c r="BA1275" s="324" t="s">
        <v>210</v>
      </c>
      <c r="BB1275" s="324" t="s">
        <v>210</v>
      </c>
      <c r="BC1275" s="324" t="s">
        <v>210</v>
      </c>
      <c r="BD1275" s="324" t="s">
        <v>210</v>
      </c>
      <c r="BE1275" s="324" t="s">
        <v>10409</v>
      </c>
      <c r="BF1275" s="324" t="s">
        <v>10410</v>
      </c>
      <c r="BG1275" s="324" t="s">
        <v>10411</v>
      </c>
      <c r="BH1275" s="426" t="s">
        <v>10412</v>
      </c>
      <c r="BI1275" s="453">
        <v>5.5</v>
      </c>
      <c r="BJ1275" s="427">
        <v>2.33</v>
      </c>
      <c r="BK1275" s="428" t="s">
        <v>3492</v>
      </c>
      <c r="BL1275" s="429">
        <v>1.1000000000000001</v>
      </c>
      <c r="BM1275" s="430" t="s">
        <v>210</v>
      </c>
      <c r="BN1275" s="453" t="s">
        <v>622</v>
      </c>
      <c r="BO1275" s="454" t="s">
        <v>10417</v>
      </c>
      <c r="BP1275" s="455" t="s">
        <v>622</v>
      </c>
      <c r="BQ1275" s="456" t="s">
        <v>10350</v>
      </c>
      <c r="BR1275" s="342" t="s">
        <v>622</v>
      </c>
      <c r="BS1275" s="392" t="s">
        <v>210</v>
      </c>
      <c r="BT1275" s="392" t="s">
        <v>210</v>
      </c>
      <c r="BU1275" s="392" t="s">
        <v>210</v>
      </c>
      <c r="BV1275" s="392" t="s">
        <v>210</v>
      </c>
      <c r="BW1275" s="392" t="s">
        <v>210</v>
      </c>
      <c r="BX1275" s="392" t="s">
        <v>210</v>
      </c>
      <c r="BY1275" s="457"/>
      <c r="BZ1275" s="363"/>
      <c r="CA1275" s="363"/>
      <c r="CB1275" s="363"/>
      <c r="CC1275" s="363"/>
    </row>
    <row r="1276" spans="1:82" ht="22.5" customHeight="1">
      <c r="B1276" s="442">
        <v>190028</v>
      </c>
      <c r="C1276" s="443" t="s">
        <v>11229</v>
      </c>
      <c r="D1276" s="439" t="s">
        <v>4854</v>
      </c>
      <c r="E1276" s="404" t="s">
        <v>5362</v>
      </c>
      <c r="F1276" s="405" t="s">
        <v>2300</v>
      </c>
      <c r="G1276" s="324" t="s">
        <v>10329</v>
      </c>
      <c r="H1276" s="324" t="s">
        <v>10330</v>
      </c>
      <c r="I1276" s="326" t="s">
        <v>383</v>
      </c>
      <c r="J1276" s="324" t="s">
        <v>6632</v>
      </c>
      <c r="K1276" s="324" t="s">
        <v>3930</v>
      </c>
      <c r="L1276" s="392" t="s">
        <v>210</v>
      </c>
      <c r="M1276" s="324" t="s">
        <v>7457</v>
      </c>
      <c r="N1276" s="444" t="s">
        <v>10449</v>
      </c>
      <c r="O1276" s="324">
        <v>0</v>
      </c>
      <c r="P1276" s="445">
        <v>400</v>
      </c>
      <c r="Q1276" s="446">
        <f>P1276</f>
        <v>400</v>
      </c>
      <c r="R1276" s="420" t="s">
        <v>10443</v>
      </c>
      <c r="S1276" s="400"/>
      <c r="T1276" s="400"/>
      <c r="U1276" s="400"/>
      <c r="V1276" s="400"/>
      <c r="W1276" s="460" t="s">
        <v>10446</v>
      </c>
      <c r="X1276" s="394" t="s">
        <v>11230</v>
      </c>
      <c r="Y1276" s="394" t="s">
        <v>11231</v>
      </c>
      <c r="Z1276" s="394" t="s">
        <v>16244</v>
      </c>
      <c r="AA1276" s="394" t="s">
        <v>11232</v>
      </c>
      <c r="AB1276" s="416"/>
      <c r="AC1276" s="416"/>
      <c r="AD1276" s="447" t="s">
        <v>10758</v>
      </c>
      <c r="AE1276" s="335" t="s">
        <v>210</v>
      </c>
      <c r="AF1276" s="462">
        <v>43727</v>
      </c>
      <c r="AG1276" s="748">
        <v>43791</v>
      </c>
      <c r="AH1276" s="417" t="s">
        <v>210</v>
      </c>
      <c r="AI1276" s="392" t="s">
        <v>210</v>
      </c>
      <c r="AJ1276" s="392" t="s">
        <v>210</v>
      </c>
      <c r="AK1276" s="340" t="s">
        <v>210</v>
      </c>
      <c r="AL1276" s="417" t="s">
        <v>210</v>
      </c>
      <c r="AM1276" s="392" t="s">
        <v>210</v>
      </c>
      <c r="AN1276" s="392" t="s">
        <v>210</v>
      </c>
      <c r="AO1276" s="341" t="s">
        <v>210</v>
      </c>
      <c r="AP1276" s="1063" t="s">
        <v>622</v>
      </c>
      <c r="AQ1276" s="433" t="s">
        <v>4547</v>
      </c>
      <c r="AR1276" s="452">
        <v>676</v>
      </c>
      <c r="AS1276" s="324">
        <v>150</v>
      </c>
      <c r="AT1276" s="432">
        <v>1</v>
      </c>
      <c r="AU1276" s="432" t="s">
        <v>10450</v>
      </c>
      <c r="AV1276" s="432">
        <v>1.5</v>
      </c>
      <c r="AW1276" s="432" t="s">
        <v>10450</v>
      </c>
      <c r="AX1276" s="453" t="s">
        <v>210</v>
      </c>
      <c r="AY1276" s="429" t="s">
        <v>210</v>
      </c>
      <c r="AZ1276" s="405" t="s">
        <v>4083</v>
      </c>
      <c r="BA1276" s="324" t="s">
        <v>210</v>
      </c>
      <c r="BB1276" s="324" t="s">
        <v>210</v>
      </c>
      <c r="BC1276" s="324" t="s">
        <v>210</v>
      </c>
      <c r="BD1276" s="324" t="s">
        <v>210</v>
      </c>
      <c r="BE1276" s="324" t="s">
        <v>10451</v>
      </c>
      <c r="BF1276" s="324" t="s">
        <v>10452</v>
      </c>
      <c r="BG1276" s="324" t="s">
        <v>10453</v>
      </c>
      <c r="BH1276" s="426" t="s">
        <v>10454</v>
      </c>
      <c r="BI1276" s="453">
        <v>1.9</v>
      </c>
      <c r="BJ1276" s="427">
        <v>41</v>
      </c>
      <c r="BK1276" s="428" t="s">
        <v>10455</v>
      </c>
      <c r="BL1276" s="429">
        <v>0.8</v>
      </c>
      <c r="BM1276" s="430" t="s">
        <v>210</v>
      </c>
      <c r="BN1276" s="453" t="s">
        <v>622</v>
      </c>
      <c r="BO1276" s="464">
        <v>1.3</v>
      </c>
      <c r="BP1276" s="455" t="s">
        <v>10456</v>
      </c>
      <c r="BQ1276" s="456" t="s">
        <v>1059</v>
      </c>
      <c r="BR1276" s="392" t="s">
        <v>210</v>
      </c>
      <c r="BS1276" s="392" t="s">
        <v>210</v>
      </c>
      <c r="BT1276" s="392" t="s">
        <v>210</v>
      </c>
      <c r="BU1276" s="392" t="s">
        <v>210</v>
      </c>
      <c r="BV1276" s="392" t="s">
        <v>210</v>
      </c>
      <c r="BW1276" s="392" t="s">
        <v>210</v>
      </c>
      <c r="BX1276" s="392" t="s">
        <v>210</v>
      </c>
      <c r="BY1276" s="457" t="s">
        <v>10457</v>
      </c>
      <c r="BZ1276" s="363"/>
      <c r="CA1276" s="363"/>
      <c r="CB1276" s="363"/>
      <c r="CC1276" s="363"/>
    </row>
    <row r="1277" spans="1:82" ht="22.5" customHeight="1">
      <c r="B1277" s="442">
        <v>190029</v>
      </c>
      <c r="C1277" s="443" t="s">
        <v>15459</v>
      </c>
      <c r="D1277" s="439" t="s">
        <v>8595</v>
      </c>
      <c r="E1277" s="404" t="s">
        <v>5405</v>
      </c>
      <c r="F1277" s="405" t="s">
        <v>10418</v>
      </c>
      <c r="G1277" s="324" t="s">
        <v>10419</v>
      </c>
      <c r="H1277" s="324" t="s">
        <v>10420</v>
      </c>
      <c r="I1277" s="326" t="s">
        <v>383</v>
      </c>
      <c r="J1277" s="326" t="s">
        <v>399</v>
      </c>
      <c r="K1277" s="324" t="s">
        <v>247</v>
      </c>
      <c r="L1277" s="342">
        <v>5</v>
      </c>
      <c r="M1277" s="324" t="s">
        <v>7457</v>
      </c>
      <c r="N1277" s="444" t="s">
        <v>10476</v>
      </c>
      <c r="O1277" s="324">
        <v>40</v>
      </c>
      <c r="P1277" s="445">
        <f>55*60</f>
        <v>3300</v>
      </c>
      <c r="Q1277" s="446">
        <f>P1277</f>
        <v>3300</v>
      </c>
      <c r="R1277" s="420" t="s">
        <v>10376</v>
      </c>
      <c r="S1277" s="394" t="s">
        <v>11224</v>
      </c>
      <c r="T1277" s="394" t="s">
        <v>11226</v>
      </c>
      <c r="U1277" s="394" t="s">
        <v>16649</v>
      </c>
      <c r="V1277" s="394" t="s">
        <v>11225</v>
      </c>
      <c r="W1277" s="332" t="s">
        <v>644</v>
      </c>
      <c r="X1277" s="394" t="s">
        <v>11227</v>
      </c>
      <c r="Y1277" s="400"/>
      <c r="Z1277" s="400"/>
      <c r="AA1277" s="394" t="s">
        <v>11228</v>
      </c>
      <c r="AB1277" s="416"/>
      <c r="AC1277" s="416"/>
      <c r="AD1277" s="498" t="s">
        <v>5277</v>
      </c>
      <c r="AE1277" s="499" t="s">
        <v>10762</v>
      </c>
      <c r="AF1277" s="462">
        <v>43742</v>
      </c>
      <c r="AG1277" s="748">
        <v>43805</v>
      </c>
      <c r="AH1277" s="417" t="s">
        <v>210</v>
      </c>
      <c r="AI1277" s="392" t="s">
        <v>210</v>
      </c>
      <c r="AJ1277" s="392" t="s">
        <v>210</v>
      </c>
      <c r="AK1277" s="340" t="s">
        <v>210</v>
      </c>
      <c r="AL1277" s="417" t="s">
        <v>210</v>
      </c>
      <c r="AM1277" s="392" t="s">
        <v>210</v>
      </c>
      <c r="AN1277" s="392" t="s">
        <v>210</v>
      </c>
      <c r="AO1277" s="341" t="s">
        <v>210</v>
      </c>
      <c r="AP1277" s="1063" t="s">
        <v>622</v>
      </c>
      <c r="AQ1277" s="433" t="s">
        <v>4547</v>
      </c>
      <c r="AR1277" s="452">
        <f>4173+536</f>
        <v>4709</v>
      </c>
      <c r="AS1277" s="324">
        <v>100</v>
      </c>
      <c r="AT1277" s="432">
        <v>1</v>
      </c>
      <c r="AU1277" s="432" t="s">
        <v>10477</v>
      </c>
      <c r="AV1277" s="432">
        <v>1.5</v>
      </c>
      <c r="AW1277" s="490" t="s">
        <v>10478</v>
      </c>
      <c r="AX1277" s="453" t="s">
        <v>10479</v>
      </c>
      <c r="AY1277" s="429" t="s">
        <v>10479</v>
      </c>
      <c r="AZ1277" s="405" t="s">
        <v>622</v>
      </c>
      <c r="BA1277" s="324" t="s">
        <v>3555</v>
      </c>
      <c r="BB1277" s="324" t="s">
        <v>10480</v>
      </c>
      <c r="BC1277" s="324" t="s">
        <v>10481</v>
      </c>
      <c r="BD1277" s="324" t="s">
        <v>10482</v>
      </c>
      <c r="BE1277" s="324" t="s">
        <v>210</v>
      </c>
      <c r="BF1277" s="324" t="s">
        <v>210</v>
      </c>
      <c r="BG1277" s="324" t="s">
        <v>10483</v>
      </c>
      <c r="BH1277" s="426" t="s">
        <v>10484</v>
      </c>
      <c r="BI1277" s="453">
        <v>0.8</v>
      </c>
      <c r="BJ1277" s="427">
        <v>2.2999999999999998</v>
      </c>
      <c r="BK1277" s="428" t="s">
        <v>210</v>
      </c>
      <c r="BL1277" s="429" t="s">
        <v>210</v>
      </c>
      <c r="BM1277" s="430" t="s">
        <v>622</v>
      </c>
      <c r="BN1277" s="453" t="s">
        <v>622</v>
      </c>
      <c r="BO1277" s="464">
        <v>1.1200000000000001</v>
      </c>
      <c r="BP1277" s="455" t="s">
        <v>622</v>
      </c>
      <c r="BQ1277" s="456" t="s">
        <v>10485</v>
      </c>
      <c r="BR1277" s="342" t="s">
        <v>622</v>
      </c>
      <c r="BS1277" s="392" t="s">
        <v>210</v>
      </c>
      <c r="BT1277" s="392" t="s">
        <v>210</v>
      </c>
      <c r="BU1277" s="392" t="s">
        <v>210</v>
      </c>
      <c r="BV1277" s="392" t="s">
        <v>210</v>
      </c>
      <c r="BW1277" s="392" t="s">
        <v>210</v>
      </c>
      <c r="BX1277" s="392" t="s">
        <v>210</v>
      </c>
      <c r="BY1277" s="457" t="s">
        <v>10486</v>
      </c>
      <c r="BZ1277" s="363"/>
      <c r="CA1277" s="363"/>
      <c r="CB1277" s="363"/>
      <c r="CC1277" s="363"/>
    </row>
    <row r="1278" spans="1:82" ht="22.5" customHeight="1">
      <c r="B1278" s="442">
        <v>190030</v>
      </c>
      <c r="C1278" s="443" t="s">
        <v>10431</v>
      </c>
      <c r="D1278" s="467" t="s">
        <v>8462</v>
      </c>
      <c r="E1278" s="404" t="s">
        <v>5362</v>
      </c>
      <c r="F1278" s="405" t="s">
        <v>1043</v>
      </c>
      <c r="G1278" s="324" t="s">
        <v>10436</v>
      </c>
      <c r="H1278" s="324" t="s">
        <v>10437</v>
      </c>
      <c r="I1278" s="324" t="s">
        <v>1066</v>
      </c>
      <c r="J1278" s="324" t="s">
        <v>7171</v>
      </c>
      <c r="K1278" s="324" t="s">
        <v>10816</v>
      </c>
      <c r="L1278" s="392" t="s">
        <v>10817</v>
      </c>
      <c r="M1278" s="324" t="s">
        <v>10818</v>
      </c>
      <c r="N1278" s="444" t="s">
        <v>10819</v>
      </c>
      <c r="O1278" s="324">
        <v>140</v>
      </c>
      <c r="P1278" s="445">
        <f>Q1278*1.5</f>
        <v>9300</v>
      </c>
      <c r="Q1278" s="446">
        <v>6200</v>
      </c>
      <c r="R1278" s="420" t="s">
        <v>10820</v>
      </c>
      <c r="S1278" s="394" t="s">
        <v>11218</v>
      </c>
      <c r="T1278" s="394" t="s">
        <v>11219</v>
      </c>
      <c r="U1278" s="394" t="s">
        <v>16305</v>
      </c>
      <c r="V1278" s="394" t="s">
        <v>11220</v>
      </c>
      <c r="W1278" s="460" t="s">
        <v>5153</v>
      </c>
      <c r="X1278" s="394" t="s">
        <v>11221</v>
      </c>
      <c r="Y1278" s="394" t="s">
        <v>11222</v>
      </c>
      <c r="Z1278" s="400"/>
      <c r="AA1278" s="394" t="s">
        <v>11223</v>
      </c>
      <c r="AB1278" s="416"/>
      <c r="AC1278" s="416"/>
      <c r="AD1278" s="447" t="s">
        <v>15859</v>
      </c>
      <c r="AE1278" s="335" t="s">
        <v>210</v>
      </c>
      <c r="AF1278" s="462">
        <v>43742</v>
      </c>
      <c r="AG1278" s="748">
        <v>43978</v>
      </c>
      <c r="AH1278" s="417" t="s">
        <v>210</v>
      </c>
      <c r="AI1278" s="392" t="s">
        <v>210</v>
      </c>
      <c r="AJ1278" s="392" t="s">
        <v>210</v>
      </c>
      <c r="AK1278" s="340" t="s">
        <v>210</v>
      </c>
      <c r="AL1278" s="417" t="s">
        <v>210</v>
      </c>
      <c r="AM1278" s="392" t="s">
        <v>210</v>
      </c>
      <c r="AN1278" s="392" t="s">
        <v>210</v>
      </c>
      <c r="AO1278" s="341" t="s">
        <v>210</v>
      </c>
      <c r="AP1278" s="392" t="s">
        <v>210</v>
      </c>
      <c r="AQ1278" s="433" t="s">
        <v>4548</v>
      </c>
      <c r="AR1278" s="452">
        <v>6720</v>
      </c>
      <c r="AS1278" s="324">
        <v>150</v>
      </c>
      <c r="AT1278" s="432">
        <v>1</v>
      </c>
      <c r="AU1278" s="432" t="s">
        <v>3727</v>
      </c>
      <c r="AV1278" s="432">
        <v>1.5</v>
      </c>
      <c r="AW1278" s="432" t="s">
        <v>3727</v>
      </c>
      <c r="AX1278" s="453" t="s">
        <v>210</v>
      </c>
      <c r="AY1278" s="429" t="s">
        <v>210</v>
      </c>
      <c r="AZ1278" s="405" t="s">
        <v>4083</v>
      </c>
      <c r="BA1278" s="324" t="s">
        <v>10821</v>
      </c>
      <c r="BB1278" s="324" t="s">
        <v>10821</v>
      </c>
      <c r="BC1278" s="324" t="s">
        <v>10821</v>
      </c>
      <c r="BD1278" s="324" t="s">
        <v>10821</v>
      </c>
      <c r="BE1278" s="324" t="s">
        <v>10822</v>
      </c>
      <c r="BF1278" s="324" t="s">
        <v>10823</v>
      </c>
      <c r="BG1278" s="324" t="s">
        <v>10824</v>
      </c>
      <c r="BH1278" s="426" t="s">
        <v>5234</v>
      </c>
      <c r="BI1278" s="453">
        <v>0.8</v>
      </c>
      <c r="BJ1278" s="427" t="s">
        <v>10821</v>
      </c>
      <c r="BK1278" s="428" t="s">
        <v>10825</v>
      </c>
      <c r="BL1278" s="429">
        <v>1.55</v>
      </c>
      <c r="BM1278" s="430" t="s">
        <v>10821</v>
      </c>
      <c r="BN1278" s="453" t="s">
        <v>10826</v>
      </c>
      <c r="BO1278" s="464">
        <v>2.4700000000000002</v>
      </c>
      <c r="BP1278" s="455" t="s">
        <v>10821</v>
      </c>
      <c r="BQ1278" s="456" t="s">
        <v>6407</v>
      </c>
      <c r="BR1278" s="392" t="s">
        <v>10821</v>
      </c>
      <c r="BS1278" s="392" t="s">
        <v>10821</v>
      </c>
      <c r="BT1278" s="392" t="s">
        <v>10821</v>
      </c>
      <c r="BU1278" s="392" t="s">
        <v>10821</v>
      </c>
      <c r="BV1278" s="392" t="s">
        <v>10821</v>
      </c>
      <c r="BW1278" s="392" t="s">
        <v>10821</v>
      </c>
      <c r="BX1278" s="392" t="s">
        <v>10821</v>
      </c>
      <c r="BY1278" s="362" t="s">
        <v>954</v>
      </c>
      <c r="BZ1278" s="363"/>
      <c r="CA1278" s="363"/>
      <c r="CB1278" s="363"/>
      <c r="CC1278" s="363"/>
    </row>
    <row r="1279" spans="1:82" s="907" customFormat="1" ht="22.5" customHeight="1">
      <c r="B1279" s="466">
        <v>190031</v>
      </c>
      <c r="C1279" s="908" t="s">
        <v>10470</v>
      </c>
      <c r="D1279" s="909" t="s">
        <v>9869</v>
      </c>
      <c r="E1279" s="1266" t="s">
        <v>6879</v>
      </c>
      <c r="F1279" s="911" t="s">
        <v>229</v>
      </c>
      <c r="G1279" s="912" t="s">
        <v>10438</v>
      </c>
      <c r="H1279" s="912" t="s">
        <v>10439</v>
      </c>
      <c r="I1279" s="913" t="s">
        <v>383</v>
      </c>
      <c r="J1279" s="913" t="s">
        <v>399</v>
      </c>
      <c r="K1279" s="912" t="s">
        <v>247</v>
      </c>
      <c r="L1279" s="929">
        <v>11</v>
      </c>
      <c r="M1279" s="912" t="s">
        <v>7457</v>
      </c>
      <c r="N1279" s="915" t="s">
        <v>438</v>
      </c>
      <c r="O1279" s="912">
        <v>30</v>
      </c>
      <c r="P1279" s="916">
        <f>Q1279</f>
        <v>500</v>
      </c>
      <c r="Q1279" s="917">
        <v>500</v>
      </c>
      <c r="R1279" s="918" t="s">
        <v>10404</v>
      </c>
      <c r="S1279" s="919" t="s">
        <v>11216</v>
      </c>
      <c r="T1279" s="919" t="s">
        <v>11215</v>
      </c>
      <c r="U1279" s="919" t="s">
        <v>16382</v>
      </c>
      <c r="V1279" s="919" t="s">
        <v>11217</v>
      </c>
      <c r="W1279" s="920" t="s">
        <v>10401</v>
      </c>
      <c r="X1279" s="919" t="s">
        <v>11212</v>
      </c>
      <c r="Y1279" s="919" t="s">
        <v>11213</v>
      </c>
      <c r="Z1279" s="919"/>
      <c r="AA1279" s="919" t="s">
        <v>11214</v>
      </c>
      <c r="AB1279" s="921"/>
      <c r="AC1279" s="921"/>
      <c r="AD1279" s="922" t="s">
        <v>11029</v>
      </c>
      <c r="AE1279" s="1267" t="s">
        <v>12083</v>
      </c>
      <c r="AF1279" s="924">
        <v>43742</v>
      </c>
      <c r="AG1279" s="925">
        <v>43854</v>
      </c>
      <c r="AH1279" s="926" t="s">
        <v>210</v>
      </c>
      <c r="AI1279" s="914" t="s">
        <v>210</v>
      </c>
      <c r="AJ1279" s="914" t="s">
        <v>210</v>
      </c>
      <c r="AK1279" s="927" t="s">
        <v>210</v>
      </c>
      <c r="AL1279" s="926" t="s">
        <v>210</v>
      </c>
      <c r="AM1279" s="914" t="s">
        <v>210</v>
      </c>
      <c r="AN1279" s="914" t="s">
        <v>210</v>
      </c>
      <c r="AO1279" s="928" t="s">
        <v>210</v>
      </c>
      <c r="AP1279" s="1268" t="s">
        <v>622</v>
      </c>
      <c r="AQ1279" s="930" t="s">
        <v>4547</v>
      </c>
      <c r="AR1279" s="931">
        <v>767</v>
      </c>
      <c r="AS1279" s="912">
        <v>120</v>
      </c>
      <c r="AT1279" s="932">
        <v>1</v>
      </c>
      <c r="AU1279" s="932" t="s">
        <v>10582</v>
      </c>
      <c r="AV1279" s="932">
        <v>1.5</v>
      </c>
      <c r="AW1279" s="933" t="s">
        <v>10583</v>
      </c>
      <c r="AX1279" s="935" t="s">
        <v>210</v>
      </c>
      <c r="AY1279" s="938" t="s">
        <v>210</v>
      </c>
      <c r="AZ1279" s="911" t="s">
        <v>4083</v>
      </c>
      <c r="BA1279" s="912" t="s">
        <v>210</v>
      </c>
      <c r="BB1279" s="912" t="s">
        <v>210</v>
      </c>
      <c r="BC1279" s="912" t="s">
        <v>210</v>
      </c>
      <c r="BD1279" s="912" t="s">
        <v>210</v>
      </c>
      <c r="BE1279" s="912" t="s">
        <v>210</v>
      </c>
      <c r="BF1279" s="912" t="s">
        <v>210</v>
      </c>
      <c r="BG1279" s="912" t="s">
        <v>10536</v>
      </c>
      <c r="BH1279" s="466" t="s">
        <v>10537</v>
      </c>
      <c r="BI1279" s="935">
        <v>1.5</v>
      </c>
      <c r="BJ1279" s="936">
        <v>4.8600000000000003</v>
      </c>
      <c r="BK1279" s="937" t="s">
        <v>210</v>
      </c>
      <c r="BL1279" s="938" t="s">
        <v>210</v>
      </c>
      <c r="BM1279" s="939" t="s">
        <v>210</v>
      </c>
      <c r="BN1279" s="935" t="s">
        <v>622</v>
      </c>
      <c r="BO1279" s="940">
        <v>1.39</v>
      </c>
      <c r="BP1279" s="934" t="s">
        <v>622</v>
      </c>
      <c r="BQ1279" s="941" t="s">
        <v>10350</v>
      </c>
      <c r="BR1279" s="914" t="s">
        <v>210</v>
      </c>
      <c r="BS1279" s="929" t="s">
        <v>622</v>
      </c>
      <c r="BT1279" s="914" t="s">
        <v>210</v>
      </c>
      <c r="BU1279" s="914" t="s">
        <v>210</v>
      </c>
      <c r="BV1279" s="914" t="s">
        <v>210</v>
      </c>
      <c r="BW1279" s="914" t="s">
        <v>210</v>
      </c>
      <c r="BX1279" s="914" t="s">
        <v>210</v>
      </c>
      <c r="BY1279" s="943" t="s">
        <v>15710</v>
      </c>
      <c r="BZ1279" s="944"/>
      <c r="CA1279" s="944"/>
      <c r="CB1279" s="944"/>
      <c r="CC1279" s="944"/>
      <c r="CD1279" s="945"/>
    </row>
    <row r="1280" spans="1:82" s="907" customFormat="1" ht="22.5" customHeight="1">
      <c r="B1280" s="466" t="s">
        <v>10471</v>
      </c>
      <c r="C1280" s="908" t="s">
        <v>16800</v>
      </c>
      <c r="D1280" s="909" t="s">
        <v>9869</v>
      </c>
      <c r="E1280" s="1266" t="s">
        <v>6879</v>
      </c>
      <c r="F1280" s="911" t="s">
        <v>229</v>
      </c>
      <c r="G1280" s="912" t="s">
        <v>10438</v>
      </c>
      <c r="H1280" s="912" t="s">
        <v>10439</v>
      </c>
      <c r="I1280" s="913" t="s">
        <v>383</v>
      </c>
      <c r="J1280" s="912" t="s">
        <v>10472</v>
      </c>
      <c r="K1280" s="912" t="s">
        <v>307</v>
      </c>
      <c r="L1280" s="914" t="s">
        <v>210</v>
      </c>
      <c r="M1280" s="912" t="s">
        <v>6625</v>
      </c>
      <c r="N1280" s="915" t="s">
        <v>438</v>
      </c>
      <c r="O1280" s="912">
        <v>30</v>
      </c>
      <c r="P1280" s="916">
        <f>Q1280*3</f>
        <v>900</v>
      </c>
      <c r="Q1280" s="917">
        <v>300</v>
      </c>
      <c r="R1280" s="918" t="s">
        <v>10404</v>
      </c>
      <c r="S1280" s="919" t="s">
        <v>11216</v>
      </c>
      <c r="T1280" s="919" t="s">
        <v>11215</v>
      </c>
      <c r="U1280" s="919" t="s">
        <v>16382</v>
      </c>
      <c r="V1280" s="919" t="s">
        <v>11217</v>
      </c>
      <c r="W1280" s="920" t="s">
        <v>10401</v>
      </c>
      <c r="X1280" s="919" t="s">
        <v>15458</v>
      </c>
      <c r="Y1280" s="919" t="s">
        <v>11213</v>
      </c>
      <c r="Z1280" s="919"/>
      <c r="AA1280" s="919" t="s">
        <v>11214</v>
      </c>
      <c r="AB1280" s="921"/>
      <c r="AC1280" s="921"/>
      <c r="AD1280" s="922" t="s">
        <v>11029</v>
      </c>
      <c r="AE1280" s="1267" t="s">
        <v>12083</v>
      </c>
      <c r="AF1280" s="924">
        <v>43742</v>
      </c>
      <c r="AG1280" s="925">
        <v>43854</v>
      </c>
      <c r="AH1280" s="926" t="s">
        <v>210</v>
      </c>
      <c r="AI1280" s="914" t="s">
        <v>210</v>
      </c>
      <c r="AJ1280" s="914" t="s">
        <v>210</v>
      </c>
      <c r="AK1280" s="927" t="s">
        <v>210</v>
      </c>
      <c r="AL1280" s="926" t="s">
        <v>210</v>
      </c>
      <c r="AM1280" s="914" t="s">
        <v>210</v>
      </c>
      <c r="AN1280" s="914" t="s">
        <v>210</v>
      </c>
      <c r="AO1280" s="928" t="s">
        <v>210</v>
      </c>
      <c r="AP1280" s="1268" t="s">
        <v>622</v>
      </c>
      <c r="AQ1280" s="930" t="s">
        <v>4547</v>
      </c>
      <c r="AR1280" s="931">
        <v>465</v>
      </c>
      <c r="AS1280" s="912">
        <v>120</v>
      </c>
      <c r="AT1280" s="932">
        <v>1</v>
      </c>
      <c r="AU1280" s="932" t="s">
        <v>10582</v>
      </c>
      <c r="AV1280" s="932">
        <v>1.5</v>
      </c>
      <c r="AW1280" s="933" t="s">
        <v>10583</v>
      </c>
      <c r="AX1280" s="935" t="s">
        <v>210</v>
      </c>
      <c r="AY1280" s="938"/>
      <c r="AZ1280" s="911" t="s">
        <v>4083</v>
      </c>
      <c r="BA1280" s="912" t="s">
        <v>210</v>
      </c>
      <c r="BB1280" s="912" t="s">
        <v>210</v>
      </c>
      <c r="BC1280" s="912" t="s">
        <v>210</v>
      </c>
      <c r="BD1280" s="912" t="s">
        <v>210</v>
      </c>
      <c r="BE1280" s="912" t="s">
        <v>210</v>
      </c>
      <c r="BF1280" s="912" t="s">
        <v>210</v>
      </c>
      <c r="BG1280" s="912" t="s">
        <v>10536</v>
      </c>
      <c r="BH1280" s="466" t="s">
        <v>10537</v>
      </c>
      <c r="BI1280" s="935">
        <v>1.5</v>
      </c>
      <c r="BJ1280" s="936">
        <v>4.8600000000000003</v>
      </c>
      <c r="BK1280" s="937" t="s">
        <v>210</v>
      </c>
      <c r="BL1280" s="938" t="s">
        <v>210</v>
      </c>
      <c r="BM1280" s="939" t="s">
        <v>210</v>
      </c>
      <c r="BN1280" s="935" t="s">
        <v>622</v>
      </c>
      <c r="BO1280" s="940">
        <v>1.39</v>
      </c>
      <c r="BP1280" s="934" t="s">
        <v>622</v>
      </c>
      <c r="BQ1280" s="941" t="s">
        <v>10350</v>
      </c>
      <c r="BR1280" s="914" t="s">
        <v>210</v>
      </c>
      <c r="BS1280" s="929" t="s">
        <v>622</v>
      </c>
      <c r="BT1280" s="914" t="s">
        <v>210</v>
      </c>
      <c r="BU1280" s="914" t="s">
        <v>210</v>
      </c>
      <c r="BV1280" s="914" t="s">
        <v>210</v>
      </c>
      <c r="BW1280" s="914" t="s">
        <v>210</v>
      </c>
      <c r="BX1280" s="914" t="s">
        <v>210</v>
      </c>
      <c r="BY1280" s="943" t="s">
        <v>15711</v>
      </c>
      <c r="BZ1280" s="944"/>
      <c r="CA1280" s="944"/>
      <c r="CB1280" s="944"/>
      <c r="CC1280" s="944"/>
      <c r="CD1280" s="945"/>
    </row>
    <row r="1281" spans="2:82" ht="22.5" customHeight="1">
      <c r="B1281" s="442">
        <v>190032</v>
      </c>
      <c r="C1281" s="443" t="s">
        <v>10421</v>
      </c>
      <c r="D1281" s="439" t="s">
        <v>10435</v>
      </c>
      <c r="E1281" s="404" t="s">
        <v>9474</v>
      </c>
      <c r="F1281" s="405" t="s">
        <v>7135</v>
      </c>
      <c r="G1281" s="324" t="s">
        <v>10422</v>
      </c>
      <c r="H1281" s="324" t="s">
        <v>14880</v>
      </c>
      <c r="I1281" s="326" t="s">
        <v>383</v>
      </c>
      <c r="J1281" s="326" t="s">
        <v>399</v>
      </c>
      <c r="K1281" s="324" t="s">
        <v>7456</v>
      </c>
      <c r="L1281" s="392" t="s">
        <v>210</v>
      </c>
      <c r="M1281" s="324" t="s">
        <v>7457</v>
      </c>
      <c r="N1281" s="444" t="s">
        <v>14882</v>
      </c>
      <c r="O1281" s="324">
        <v>30</v>
      </c>
      <c r="P1281" s="458" t="s">
        <v>14881</v>
      </c>
      <c r="Q1281" s="459" t="s">
        <v>14882</v>
      </c>
      <c r="R1281" s="420" t="s">
        <v>9587</v>
      </c>
      <c r="S1281" s="331" t="s">
        <v>11079</v>
      </c>
      <c r="T1281" s="331" t="s">
        <v>11079</v>
      </c>
      <c r="U1281" s="331" t="s">
        <v>11079</v>
      </c>
      <c r="V1281" s="331" t="s">
        <v>295</v>
      </c>
      <c r="W1281" s="460" t="s">
        <v>9587</v>
      </c>
      <c r="X1281" s="331" t="s">
        <v>11079</v>
      </c>
      <c r="Y1281" s="331" t="s">
        <v>11080</v>
      </c>
      <c r="Z1281" s="331" t="s">
        <v>11080</v>
      </c>
      <c r="AA1281" s="331" t="s">
        <v>6574</v>
      </c>
      <c r="AB1281" s="416" t="s">
        <v>7465</v>
      </c>
      <c r="AC1281" s="416"/>
      <c r="AD1281" s="461"/>
      <c r="AE1281" s="335" t="s">
        <v>210</v>
      </c>
      <c r="AF1281" s="462">
        <v>43742</v>
      </c>
      <c r="AG1281" s="389"/>
      <c r="AH1281" s="417">
        <v>16</v>
      </c>
      <c r="AI1281" s="392">
        <v>20.5</v>
      </c>
      <c r="AJ1281" s="392">
        <v>16.7</v>
      </c>
      <c r="AK1281" s="340">
        <f>SUM(AH1281:AJ1281)</f>
        <v>53.2</v>
      </c>
      <c r="AL1281" s="417" t="s">
        <v>210</v>
      </c>
      <c r="AM1281" s="392" t="s">
        <v>210</v>
      </c>
      <c r="AN1281" s="392" t="s">
        <v>210</v>
      </c>
      <c r="AO1281" s="341" t="s">
        <v>210</v>
      </c>
      <c r="AP1281" s="392" t="s">
        <v>210</v>
      </c>
      <c r="AQ1281" s="433" t="s">
        <v>4547</v>
      </c>
      <c r="AR1281" s="452">
        <v>726</v>
      </c>
      <c r="AS1281" s="324">
        <v>80</v>
      </c>
      <c r="AT1281" s="432">
        <v>1</v>
      </c>
      <c r="AU1281" s="432" t="s">
        <v>3702</v>
      </c>
      <c r="AV1281" s="432">
        <v>1.5</v>
      </c>
      <c r="AW1281" s="432" t="s">
        <v>3702</v>
      </c>
      <c r="AX1281" s="453" t="s">
        <v>210</v>
      </c>
      <c r="AY1281" s="429" t="s">
        <v>210</v>
      </c>
      <c r="AZ1281" s="405" t="s">
        <v>622</v>
      </c>
      <c r="BA1281" s="324" t="s">
        <v>14883</v>
      </c>
      <c r="BB1281" s="324" t="s">
        <v>5730</v>
      </c>
      <c r="BC1281" s="324" t="s">
        <v>14884</v>
      </c>
      <c r="BD1281" s="324" t="s">
        <v>14885</v>
      </c>
      <c r="BE1281" s="324" t="s">
        <v>14886</v>
      </c>
      <c r="BF1281" s="324" t="s">
        <v>14887</v>
      </c>
      <c r="BG1281" s="324" t="s">
        <v>14888</v>
      </c>
      <c r="BH1281" s="463" t="s">
        <v>14889</v>
      </c>
      <c r="BI1281" s="453">
        <v>4.8</v>
      </c>
      <c r="BJ1281" s="411"/>
      <c r="BK1281" s="428" t="s">
        <v>210</v>
      </c>
      <c r="BL1281" s="429" t="s">
        <v>210</v>
      </c>
      <c r="BM1281" s="430" t="s">
        <v>210</v>
      </c>
      <c r="BN1281" s="453" t="s">
        <v>622</v>
      </c>
      <c r="BO1281" s="464">
        <v>1.62</v>
      </c>
      <c r="BP1281" s="455" t="s">
        <v>210</v>
      </c>
      <c r="BQ1281" s="456" t="s">
        <v>10658</v>
      </c>
      <c r="BR1281" s="392" t="s">
        <v>210</v>
      </c>
      <c r="BS1281" s="342" t="s">
        <v>622</v>
      </c>
      <c r="BT1281" s="392" t="s">
        <v>210</v>
      </c>
      <c r="BU1281" s="392" t="s">
        <v>210</v>
      </c>
      <c r="BV1281" s="392" t="s">
        <v>210</v>
      </c>
      <c r="BW1281" s="392" t="s">
        <v>210</v>
      </c>
      <c r="BX1281" s="392" t="s">
        <v>210</v>
      </c>
      <c r="BY1281" s="457" t="s">
        <v>14570</v>
      </c>
      <c r="BZ1281" s="363"/>
      <c r="CA1281" s="363"/>
      <c r="CB1281" s="363"/>
      <c r="CC1281" s="363"/>
    </row>
    <row r="1282" spans="2:82" ht="22.5" customHeight="1">
      <c r="B1282" s="903">
        <v>190033</v>
      </c>
      <c r="C1282" s="443" t="s">
        <v>15456</v>
      </c>
      <c r="D1282" s="439" t="s">
        <v>9918</v>
      </c>
      <c r="E1282" s="404" t="s">
        <v>6879</v>
      </c>
      <c r="F1282" s="405" t="s">
        <v>709</v>
      </c>
      <c r="G1282" s="324" t="s">
        <v>10432</v>
      </c>
      <c r="H1282" s="324" t="s">
        <v>10433</v>
      </c>
      <c r="I1282" s="326" t="s">
        <v>383</v>
      </c>
      <c r="J1282" s="326" t="s">
        <v>399</v>
      </c>
      <c r="K1282" s="324" t="s">
        <v>10434</v>
      </c>
      <c r="L1282" s="392" t="s">
        <v>210</v>
      </c>
      <c r="M1282" s="324" t="s">
        <v>7457</v>
      </c>
      <c r="N1282" s="444" t="s">
        <v>15219</v>
      </c>
      <c r="O1282" s="324">
        <v>24</v>
      </c>
      <c r="P1282" s="445">
        <v>380</v>
      </c>
      <c r="Q1282" s="446">
        <f>P1282</f>
        <v>380</v>
      </c>
      <c r="R1282" s="420" t="s">
        <v>4417</v>
      </c>
      <c r="S1282" s="394" t="s">
        <v>11312</v>
      </c>
      <c r="T1282" s="394" t="s">
        <v>11314</v>
      </c>
      <c r="U1282" s="394" t="s">
        <v>16276</v>
      </c>
      <c r="V1282" s="394" t="s">
        <v>11313</v>
      </c>
      <c r="W1282" s="332" t="s">
        <v>982</v>
      </c>
      <c r="X1282" s="331" t="s">
        <v>15457</v>
      </c>
      <c r="Y1282" s="330"/>
      <c r="Z1282" s="330"/>
      <c r="AA1282" s="331" t="s">
        <v>14083</v>
      </c>
      <c r="AB1282" s="416" t="s">
        <v>15089</v>
      </c>
      <c r="AC1282" s="416"/>
      <c r="AD1282" s="461"/>
      <c r="AE1282" s="335" t="s">
        <v>210</v>
      </c>
      <c r="AF1282" s="462">
        <v>43745</v>
      </c>
      <c r="AG1282" s="389"/>
      <c r="AH1282" s="417" t="s">
        <v>210</v>
      </c>
      <c r="AI1282" s="392" t="s">
        <v>210</v>
      </c>
      <c r="AJ1282" s="392" t="s">
        <v>210</v>
      </c>
      <c r="AK1282" s="340" t="s">
        <v>210</v>
      </c>
      <c r="AL1282" s="417" t="s">
        <v>210</v>
      </c>
      <c r="AM1282" s="392" t="s">
        <v>210</v>
      </c>
      <c r="AN1282" s="392" t="s">
        <v>210</v>
      </c>
      <c r="AO1282" s="341" t="s">
        <v>210</v>
      </c>
      <c r="AP1282" s="392" t="s">
        <v>522</v>
      </c>
      <c r="AQ1282" s="433" t="s">
        <v>4547</v>
      </c>
      <c r="AR1282" s="452">
        <v>489</v>
      </c>
      <c r="AS1282" s="324">
        <v>100</v>
      </c>
      <c r="AT1282" s="432">
        <v>1.3</v>
      </c>
      <c r="AU1282" s="432" t="s">
        <v>15220</v>
      </c>
      <c r="AV1282" s="432">
        <v>2</v>
      </c>
      <c r="AW1282" s="490" t="s">
        <v>15221</v>
      </c>
      <c r="AX1282" s="486" t="s">
        <v>15222</v>
      </c>
      <c r="AY1282" s="429" t="s">
        <v>15223</v>
      </c>
      <c r="AZ1282" s="405" t="s">
        <v>4083</v>
      </c>
      <c r="BA1282" s="324" t="s">
        <v>210</v>
      </c>
      <c r="BB1282" s="324" t="s">
        <v>210</v>
      </c>
      <c r="BC1282" s="324" t="s">
        <v>10994</v>
      </c>
      <c r="BD1282" s="324" t="s">
        <v>10995</v>
      </c>
      <c r="BE1282" s="324" t="s">
        <v>10996</v>
      </c>
      <c r="BF1282" s="324" t="s">
        <v>10995</v>
      </c>
      <c r="BG1282" s="324" t="s">
        <v>10997</v>
      </c>
      <c r="BH1282" s="324" t="s">
        <v>10995</v>
      </c>
      <c r="BI1282" s="453">
        <v>2.1</v>
      </c>
      <c r="BJ1282" s="427">
        <v>0.74</v>
      </c>
      <c r="BK1282" s="428" t="s">
        <v>10998</v>
      </c>
      <c r="BL1282" s="429">
        <f>1.6+3.1</f>
        <v>4.7</v>
      </c>
      <c r="BM1282" s="430" t="s">
        <v>210</v>
      </c>
      <c r="BN1282" s="453" t="s">
        <v>622</v>
      </c>
      <c r="BO1282" s="464">
        <v>1.1299999999999999</v>
      </c>
      <c r="BP1282" s="455" t="s">
        <v>622</v>
      </c>
      <c r="BQ1282" s="456" t="s">
        <v>10839</v>
      </c>
      <c r="BR1282" s="342" t="s">
        <v>622</v>
      </c>
      <c r="BS1282" s="342" t="s">
        <v>622</v>
      </c>
      <c r="BT1282" s="392" t="s">
        <v>210</v>
      </c>
      <c r="BU1282" s="392" t="s">
        <v>210</v>
      </c>
      <c r="BV1282" s="392" t="s">
        <v>210</v>
      </c>
      <c r="BW1282" s="392" t="s">
        <v>210</v>
      </c>
      <c r="BX1282" s="392" t="s">
        <v>210</v>
      </c>
      <c r="BY1282" s="457" t="s">
        <v>15224</v>
      </c>
      <c r="BZ1282" s="363"/>
      <c r="CA1282" s="363"/>
      <c r="CB1282" s="363"/>
      <c r="CC1282" s="363"/>
    </row>
    <row r="1283" spans="2:82" s="465" customFormat="1" ht="22.5" customHeight="1">
      <c r="B1283" s="749">
        <v>190034</v>
      </c>
      <c r="C1283" s="781" t="s">
        <v>10462</v>
      </c>
      <c r="D1283" s="751" t="s">
        <v>9870</v>
      </c>
      <c r="E1283" s="752" t="s">
        <v>5362</v>
      </c>
      <c r="F1283" s="753" t="s">
        <v>227</v>
      </c>
      <c r="G1283" s="754" t="s">
        <v>2350</v>
      </c>
      <c r="H1283" s="754" t="s">
        <v>10442</v>
      </c>
      <c r="I1283" s="662" t="s">
        <v>383</v>
      </c>
      <c r="J1283" s="662" t="s">
        <v>399</v>
      </c>
      <c r="K1283" s="754" t="s">
        <v>977</v>
      </c>
      <c r="L1283" s="688">
        <v>28</v>
      </c>
      <c r="M1283" s="754" t="s">
        <v>7457</v>
      </c>
      <c r="N1283" s="755" t="s">
        <v>10463</v>
      </c>
      <c r="O1283" s="754">
        <v>35</v>
      </c>
      <c r="P1283" s="782">
        <v>550</v>
      </c>
      <c r="Q1283" s="783">
        <f>P1283</f>
        <v>550</v>
      </c>
      <c r="R1283" s="756" t="s">
        <v>10518</v>
      </c>
      <c r="S1283" s="708"/>
      <c r="T1283" s="708"/>
      <c r="U1283" s="708"/>
      <c r="V1283" s="708"/>
      <c r="W1283" s="757" t="s">
        <v>8716</v>
      </c>
      <c r="X1283" s="708" t="s">
        <v>11208</v>
      </c>
      <c r="Y1283" s="708" t="s">
        <v>11210</v>
      </c>
      <c r="Z1283" s="708" t="s">
        <v>11209</v>
      </c>
      <c r="AA1283" s="708" t="s">
        <v>11211</v>
      </c>
      <c r="AB1283" s="758"/>
      <c r="AC1283" s="758"/>
      <c r="AD1283" s="759" t="s">
        <v>10592</v>
      </c>
      <c r="AE1283" s="672" t="s">
        <v>10464</v>
      </c>
      <c r="AF1283" s="846">
        <v>43747</v>
      </c>
      <c r="AG1283" s="674">
        <v>43797</v>
      </c>
      <c r="AH1283" s="675" t="s">
        <v>210</v>
      </c>
      <c r="AI1283" s="676" t="s">
        <v>3353</v>
      </c>
      <c r="AJ1283" s="676" t="s">
        <v>210</v>
      </c>
      <c r="AK1283" s="677" t="s">
        <v>210</v>
      </c>
      <c r="AL1283" s="675" t="s">
        <v>210</v>
      </c>
      <c r="AM1283" s="676" t="s">
        <v>8950</v>
      </c>
      <c r="AN1283" s="676" t="s">
        <v>210</v>
      </c>
      <c r="AO1283" s="678" t="s">
        <v>3353</v>
      </c>
      <c r="AP1283" s="676" t="s">
        <v>210</v>
      </c>
      <c r="AQ1283" s="762" t="s">
        <v>4547</v>
      </c>
      <c r="AR1283" s="763">
        <f>1037+164</f>
        <v>1201</v>
      </c>
      <c r="AS1283" s="754">
        <v>110</v>
      </c>
      <c r="AT1283" s="785">
        <v>1.2</v>
      </c>
      <c r="AU1283" s="785" t="s">
        <v>10551</v>
      </c>
      <c r="AV1283" s="785">
        <v>1.5</v>
      </c>
      <c r="AW1283" s="785" t="s">
        <v>10551</v>
      </c>
      <c r="AX1283" s="765" t="s">
        <v>210</v>
      </c>
      <c r="AY1283" s="766" t="s">
        <v>210</v>
      </c>
      <c r="AZ1283" s="753" t="s">
        <v>4083</v>
      </c>
      <c r="BA1283" s="754" t="s">
        <v>210</v>
      </c>
      <c r="BB1283" s="754" t="s">
        <v>210</v>
      </c>
      <c r="BC1283" s="754" t="s">
        <v>10538</v>
      </c>
      <c r="BD1283" s="754" t="s">
        <v>10539</v>
      </c>
      <c r="BE1283" s="754" t="s">
        <v>10540</v>
      </c>
      <c r="BF1283" s="754" t="s">
        <v>10541</v>
      </c>
      <c r="BG1283" s="754" t="s">
        <v>10542</v>
      </c>
      <c r="BH1283" s="754" t="s">
        <v>10541</v>
      </c>
      <c r="BI1283" s="765">
        <v>8.1</v>
      </c>
      <c r="BJ1283" s="768">
        <v>7</v>
      </c>
      <c r="BK1283" s="769" t="s">
        <v>210</v>
      </c>
      <c r="BL1283" s="766" t="s">
        <v>210</v>
      </c>
      <c r="BM1283" s="770" t="s">
        <v>210</v>
      </c>
      <c r="BN1283" s="765" t="s">
        <v>210</v>
      </c>
      <c r="BO1283" s="771" t="s">
        <v>210</v>
      </c>
      <c r="BP1283" s="772" t="s">
        <v>622</v>
      </c>
      <c r="BQ1283" s="773" t="s">
        <v>10350</v>
      </c>
      <c r="BR1283" s="676" t="s">
        <v>210</v>
      </c>
      <c r="BS1283" s="688" t="s">
        <v>622</v>
      </c>
      <c r="BT1283" s="676" t="s">
        <v>8950</v>
      </c>
      <c r="BU1283" s="676" t="s">
        <v>6233</v>
      </c>
      <c r="BV1283" s="676" t="s">
        <v>6669</v>
      </c>
      <c r="BW1283" s="676" t="s">
        <v>3353</v>
      </c>
      <c r="BX1283" s="1065" t="s">
        <v>10552</v>
      </c>
      <c r="BY1283" s="774" t="s">
        <v>10553</v>
      </c>
      <c r="BZ1283" s="483"/>
      <c r="CA1283" s="483"/>
      <c r="CB1283" s="483"/>
      <c r="CC1283" s="483"/>
      <c r="CD1283" s="484"/>
    </row>
    <row r="1284" spans="2:82" s="465" customFormat="1" ht="22.5" customHeight="1">
      <c r="B1284" s="749" t="s">
        <v>10469</v>
      </c>
      <c r="C1284" s="781" t="s">
        <v>10465</v>
      </c>
      <c r="D1284" s="751" t="s">
        <v>9870</v>
      </c>
      <c r="E1284" s="752" t="s">
        <v>5362</v>
      </c>
      <c r="F1284" s="753" t="s">
        <v>227</v>
      </c>
      <c r="G1284" s="754" t="s">
        <v>2350</v>
      </c>
      <c r="H1284" s="754" t="s">
        <v>10442</v>
      </c>
      <c r="I1284" s="662" t="s">
        <v>10466</v>
      </c>
      <c r="J1284" s="662" t="s">
        <v>10467</v>
      </c>
      <c r="K1284" s="754" t="s">
        <v>977</v>
      </c>
      <c r="L1284" s="688">
        <v>7.8</v>
      </c>
      <c r="M1284" s="754" t="s">
        <v>7457</v>
      </c>
      <c r="N1284" s="755" t="s">
        <v>10468</v>
      </c>
      <c r="O1284" s="754">
        <v>35</v>
      </c>
      <c r="P1284" s="782">
        <v>1100</v>
      </c>
      <c r="Q1284" s="783">
        <f>P1284</f>
        <v>1100</v>
      </c>
      <c r="R1284" s="756" t="s">
        <v>10518</v>
      </c>
      <c r="S1284" s="708"/>
      <c r="T1284" s="708"/>
      <c r="U1284" s="708"/>
      <c r="V1284" s="708"/>
      <c r="W1284" s="757" t="s">
        <v>8716</v>
      </c>
      <c r="X1284" s="708" t="s">
        <v>11208</v>
      </c>
      <c r="Y1284" s="708" t="s">
        <v>11210</v>
      </c>
      <c r="Z1284" s="708" t="s">
        <v>11209</v>
      </c>
      <c r="AA1284" s="708" t="s">
        <v>11211</v>
      </c>
      <c r="AB1284" s="758"/>
      <c r="AC1284" s="758"/>
      <c r="AD1284" s="759" t="s">
        <v>10593</v>
      </c>
      <c r="AE1284" s="672" t="s">
        <v>3353</v>
      </c>
      <c r="AF1284" s="846">
        <v>43747</v>
      </c>
      <c r="AG1284" s="674">
        <v>43797</v>
      </c>
      <c r="AH1284" s="675" t="s">
        <v>5491</v>
      </c>
      <c r="AI1284" s="676" t="s">
        <v>6669</v>
      </c>
      <c r="AJ1284" s="676" t="s">
        <v>6669</v>
      </c>
      <c r="AK1284" s="677" t="s">
        <v>6233</v>
      </c>
      <c r="AL1284" s="675" t="s">
        <v>6233</v>
      </c>
      <c r="AM1284" s="676" t="s">
        <v>210</v>
      </c>
      <c r="AN1284" s="676" t="s">
        <v>3353</v>
      </c>
      <c r="AO1284" s="678" t="s">
        <v>6669</v>
      </c>
      <c r="AP1284" s="676" t="s">
        <v>210</v>
      </c>
      <c r="AQ1284" s="762" t="s">
        <v>4547</v>
      </c>
      <c r="AR1284" s="763">
        <f>1353+255</f>
        <v>1608</v>
      </c>
      <c r="AS1284" s="754">
        <v>110</v>
      </c>
      <c r="AT1284" s="785">
        <v>1.7</v>
      </c>
      <c r="AU1284" s="785" t="s">
        <v>10551</v>
      </c>
      <c r="AV1284" s="785">
        <v>2.2000000000000002</v>
      </c>
      <c r="AW1284" s="785" t="s">
        <v>10551</v>
      </c>
      <c r="AX1284" s="765" t="s">
        <v>622</v>
      </c>
      <c r="AY1284" s="766" t="s">
        <v>8601</v>
      </c>
      <c r="AZ1284" s="753" t="s">
        <v>4083</v>
      </c>
      <c r="BA1284" s="754" t="s">
        <v>210</v>
      </c>
      <c r="BB1284" s="754" t="s">
        <v>210</v>
      </c>
      <c r="BC1284" s="754" t="s">
        <v>10538</v>
      </c>
      <c r="BD1284" s="754" t="s">
        <v>10539</v>
      </c>
      <c r="BE1284" s="754" t="s">
        <v>10540</v>
      </c>
      <c r="BF1284" s="754" t="s">
        <v>10541</v>
      </c>
      <c r="BG1284" s="754" t="s">
        <v>10542</v>
      </c>
      <c r="BH1284" s="754" t="s">
        <v>10541</v>
      </c>
      <c r="BI1284" s="765">
        <v>8.1</v>
      </c>
      <c r="BJ1284" s="768">
        <v>7</v>
      </c>
      <c r="BK1284" s="769" t="s">
        <v>210</v>
      </c>
      <c r="BL1284" s="766" t="s">
        <v>210</v>
      </c>
      <c r="BM1284" s="770" t="s">
        <v>210</v>
      </c>
      <c r="BN1284" s="765" t="s">
        <v>210</v>
      </c>
      <c r="BO1284" s="771" t="s">
        <v>210</v>
      </c>
      <c r="BP1284" s="772" t="s">
        <v>622</v>
      </c>
      <c r="BQ1284" s="773" t="s">
        <v>10350</v>
      </c>
      <c r="BR1284" s="676" t="s">
        <v>210</v>
      </c>
      <c r="BS1284" s="688" t="s">
        <v>622</v>
      </c>
      <c r="BT1284" s="676" t="s">
        <v>3353</v>
      </c>
      <c r="BU1284" s="676" t="s">
        <v>3353</v>
      </c>
      <c r="BV1284" s="676" t="s">
        <v>210</v>
      </c>
      <c r="BW1284" s="676" t="s">
        <v>3353</v>
      </c>
      <c r="BX1284" s="676" t="s">
        <v>210</v>
      </c>
      <c r="BY1284" s="774" t="s">
        <v>13973</v>
      </c>
      <c r="BZ1284" s="483"/>
      <c r="CA1284" s="483"/>
      <c r="CB1284" s="483"/>
      <c r="CC1284" s="483"/>
      <c r="CD1284" s="484"/>
    </row>
    <row r="1285" spans="2:82" ht="22.5" customHeight="1">
      <c r="B1285" s="442">
        <v>190035</v>
      </c>
      <c r="C1285" s="443" t="s">
        <v>10490</v>
      </c>
      <c r="D1285" s="439" t="s">
        <v>4854</v>
      </c>
      <c r="E1285" s="404" t="s">
        <v>5638</v>
      </c>
      <c r="F1285" s="405" t="s">
        <v>240</v>
      </c>
      <c r="G1285" s="324" t="s">
        <v>10488</v>
      </c>
      <c r="H1285" s="324" t="s">
        <v>10489</v>
      </c>
      <c r="I1285" s="326" t="s">
        <v>383</v>
      </c>
      <c r="J1285" s="326" t="s">
        <v>399</v>
      </c>
      <c r="K1285" s="324" t="s">
        <v>917</v>
      </c>
      <c r="L1285" s="392" t="s">
        <v>210</v>
      </c>
      <c r="M1285" s="324" t="s">
        <v>7457</v>
      </c>
      <c r="N1285" s="444" t="s">
        <v>448</v>
      </c>
      <c r="O1285" s="324">
        <v>30</v>
      </c>
      <c r="P1285" s="445">
        <v>2100</v>
      </c>
      <c r="Q1285" s="446">
        <f>P1285</f>
        <v>2100</v>
      </c>
      <c r="R1285" s="329" t="s">
        <v>10491</v>
      </c>
      <c r="S1285" s="331" t="s">
        <v>11204</v>
      </c>
      <c r="T1285" s="331" t="s">
        <v>11205</v>
      </c>
      <c r="U1285" s="331" t="s">
        <v>11207</v>
      </c>
      <c r="V1285" s="331" t="s">
        <v>11206</v>
      </c>
      <c r="W1285" s="332" t="s">
        <v>432</v>
      </c>
      <c r="X1285" s="331" t="s">
        <v>11079</v>
      </c>
      <c r="Y1285" s="331" t="s">
        <v>11080</v>
      </c>
      <c r="Z1285" s="331" t="s">
        <v>11080</v>
      </c>
      <c r="AA1285" s="331" t="s">
        <v>6574</v>
      </c>
      <c r="AB1285" s="416"/>
      <c r="AC1285" s="416"/>
      <c r="AD1285" s="334" t="s">
        <v>2910</v>
      </c>
      <c r="AE1285" s="499" t="s">
        <v>2032</v>
      </c>
      <c r="AF1285" s="462">
        <v>43749</v>
      </c>
      <c r="AG1285" s="748">
        <v>43846</v>
      </c>
      <c r="AH1285" s="453">
        <v>6.2</v>
      </c>
      <c r="AI1285" s="432">
        <v>17.7</v>
      </c>
      <c r="AJ1285" s="432">
        <v>12.4</v>
      </c>
      <c r="AK1285" s="340">
        <f>SUM(AH1285:AJ1285)</f>
        <v>36.299999999999997</v>
      </c>
      <c r="AL1285" s="417" t="s">
        <v>1447</v>
      </c>
      <c r="AM1285" s="392" t="s">
        <v>210</v>
      </c>
      <c r="AN1285" s="392" t="s">
        <v>210</v>
      </c>
      <c r="AO1285" s="341" t="s">
        <v>210</v>
      </c>
      <c r="AP1285" s="392" t="s">
        <v>210</v>
      </c>
      <c r="AQ1285" s="433" t="s">
        <v>4547</v>
      </c>
      <c r="AR1285" s="452">
        <v>2740</v>
      </c>
      <c r="AS1285" s="324">
        <v>80</v>
      </c>
      <c r="AT1285" s="432">
        <v>0.8</v>
      </c>
      <c r="AU1285" s="432" t="s">
        <v>10646</v>
      </c>
      <c r="AV1285" s="432">
        <v>1.4</v>
      </c>
      <c r="AW1285" s="432" t="s">
        <v>10646</v>
      </c>
      <c r="AX1285" s="453" t="s">
        <v>522</v>
      </c>
      <c r="AY1285" s="429" t="s">
        <v>8601</v>
      </c>
      <c r="AZ1285" s="405" t="s">
        <v>622</v>
      </c>
      <c r="BA1285" s="324" t="s">
        <v>10531</v>
      </c>
      <c r="BB1285" s="324" t="s">
        <v>10532</v>
      </c>
      <c r="BC1285" s="324" t="s">
        <v>210</v>
      </c>
      <c r="BD1285" s="324" t="s">
        <v>210</v>
      </c>
      <c r="BE1285" s="324" t="s">
        <v>10533</v>
      </c>
      <c r="BF1285" s="324" t="s">
        <v>10532</v>
      </c>
      <c r="BG1285" s="324" t="s">
        <v>10534</v>
      </c>
      <c r="BH1285" s="426" t="s">
        <v>10535</v>
      </c>
      <c r="BI1285" s="453">
        <v>3.5</v>
      </c>
      <c r="BJ1285" s="427">
        <v>1.2</v>
      </c>
      <c r="BK1285" s="428" t="s">
        <v>210</v>
      </c>
      <c r="BL1285" s="429" t="s">
        <v>210</v>
      </c>
      <c r="BM1285" s="430" t="s">
        <v>210</v>
      </c>
      <c r="BN1285" s="453" t="s">
        <v>622</v>
      </c>
      <c r="BO1285" s="464">
        <v>2.4</v>
      </c>
      <c r="BP1285" s="455" t="s">
        <v>622</v>
      </c>
      <c r="BQ1285" s="456" t="s">
        <v>1059</v>
      </c>
      <c r="BR1285" s="392" t="s">
        <v>210</v>
      </c>
      <c r="BS1285" s="342" t="s">
        <v>622</v>
      </c>
      <c r="BT1285" s="392" t="s">
        <v>210</v>
      </c>
      <c r="BU1285" s="392" t="s">
        <v>210</v>
      </c>
      <c r="BV1285" s="392" t="s">
        <v>210</v>
      </c>
      <c r="BW1285" s="392" t="s">
        <v>210</v>
      </c>
      <c r="BX1285" s="392" t="s">
        <v>210</v>
      </c>
      <c r="BY1285" s="457"/>
      <c r="BZ1285" s="363"/>
      <c r="CA1285" s="363"/>
      <c r="CB1285" s="363"/>
      <c r="CC1285" s="363"/>
    </row>
    <row r="1286" spans="2:82" ht="22.5" customHeight="1">
      <c r="B1286" s="442">
        <v>190036</v>
      </c>
      <c r="C1286" s="443" t="s">
        <v>10458</v>
      </c>
      <c r="D1286" s="439" t="s">
        <v>4849</v>
      </c>
      <c r="E1286" s="404" t="s">
        <v>5362</v>
      </c>
      <c r="F1286" s="405" t="s">
        <v>10459</v>
      </c>
      <c r="G1286" s="324" t="s">
        <v>10460</v>
      </c>
      <c r="H1286" s="324" t="s">
        <v>10461</v>
      </c>
      <c r="I1286" s="326" t="s">
        <v>5652</v>
      </c>
      <c r="J1286" s="326" t="s">
        <v>5653</v>
      </c>
      <c r="K1286" s="324" t="s">
        <v>7495</v>
      </c>
      <c r="L1286" s="342">
        <v>30</v>
      </c>
      <c r="M1286" s="324" t="s">
        <v>7457</v>
      </c>
      <c r="N1286" s="444" t="s">
        <v>10494</v>
      </c>
      <c r="O1286" s="324">
        <v>100</v>
      </c>
      <c r="P1286" s="458">
        <v>5100</v>
      </c>
      <c r="Q1286" s="459">
        <v>5612</v>
      </c>
      <c r="R1286" s="420" t="s">
        <v>10495</v>
      </c>
      <c r="S1286" s="394" t="s">
        <v>11199</v>
      </c>
      <c r="T1286" s="394" t="s">
        <v>11197</v>
      </c>
      <c r="U1286" s="394" t="s">
        <v>11196</v>
      </c>
      <c r="V1286" s="394" t="s">
        <v>11198</v>
      </c>
      <c r="W1286" s="332" t="s">
        <v>644</v>
      </c>
      <c r="X1286" s="394" t="s">
        <v>11202</v>
      </c>
      <c r="Y1286" s="394" t="s">
        <v>11201</v>
      </c>
      <c r="Z1286" s="394" t="s">
        <v>11200</v>
      </c>
      <c r="AA1286" s="394" t="s">
        <v>11203</v>
      </c>
      <c r="AB1286" s="416" t="s">
        <v>10498</v>
      </c>
      <c r="AC1286" s="416"/>
      <c r="AD1286" s="447" t="s">
        <v>10697</v>
      </c>
      <c r="AE1286" s="499" t="s">
        <v>231</v>
      </c>
      <c r="AF1286" s="462">
        <v>43753</v>
      </c>
      <c r="AG1286" s="748">
        <v>43798</v>
      </c>
      <c r="AH1286" s="417" t="s">
        <v>210</v>
      </c>
      <c r="AI1286" s="392" t="s">
        <v>210</v>
      </c>
      <c r="AJ1286" s="392" t="s">
        <v>210</v>
      </c>
      <c r="AK1286" s="340" t="s">
        <v>210</v>
      </c>
      <c r="AL1286" s="417" t="s">
        <v>5655</v>
      </c>
      <c r="AM1286" s="392" t="s">
        <v>210</v>
      </c>
      <c r="AN1286" s="392" t="s">
        <v>3353</v>
      </c>
      <c r="AO1286" s="341" t="s">
        <v>435</v>
      </c>
      <c r="AP1286" s="1063" t="s">
        <v>622</v>
      </c>
      <c r="AQ1286" s="433" t="s">
        <v>4547</v>
      </c>
      <c r="AR1286" s="452">
        <v>6340</v>
      </c>
      <c r="AS1286" s="324">
        <v>150</v>
      </c>
      <c r="AT1286" s="432">
        <v>1</v>
      </c>
      <c r="AU1286" s="432" t="s">
        <v>10599</v>
      </c>
      <c r="AV1286" s="432">
        <v>1.2</v>
      </c>
      <c r="AW1286" s="490" t="s">
        <v>10600</v>
      </c>
      <c r="AX1286" s="453" t="s">
        <v>522</v>
      </c>
      <c r="AY1286" s="429" t="s">
        <v>210</v>
      </c>
      <c r="AZ1286" s="405" t="s">
        <v>4083</v>
      </c>
      <c r="BA1286" s="324" t="s">
        <v>210</v>
      </c>
      <c r="BB1286" s="324" t="s">
        <v>210</v>
      </c>
      <c r="BC1286" s="324" t="s">
        <v>10501</v>
      </c>
      <c r="BD1286" s="324" t="s">
        <v>10502</v>
      </c>
      <c r="BE1286" s="324" t="s">
        <v>10503</v>
      </c>
      <c r="BF1286" s="324" t="s">
        <v>10504</v>
      </c>
      <c r="BG1286" s="324" t="s">
        <v>10505</v>
      </c>
      <c r="BH1286" s="324" t="s">
        <v>10502</v>
      </c>
      <c r="BI1286" s="453">
        <v>2</v>
      </c>
      <c r="BJ1286" s="427" t="s">
        <v>10507</v>
      </c>
      <c r="BK1286" s="428" t="s">
        <v>10506</v>
      </c>
      <c r="BL1286" s="429">
        <v>3</v>
      </c>
      <c r="BM1286" s="430" t="s">
        <v>210</v>
      </c>
      <c r="BN1286" s="453" t="s">
        <v>622</v>
      </c>
      <c r="BO1286" s="464">
        <v>1.46</v>
      </c>
      <c r="BP1286" s="455" t="s">
        <v>210</v>
      </c>
      <c r="BQ1286" s="456" t="s">
        <v>6874</v>
      </c>
      <c r="BR1286" s="392" t="s">
        <v>210</v>
      </c>
      <c r="BS1286" s="342" t="s">
        <v>622</v>
      </c>
      <c r="BT1286" s="392" t="s">
        <v>210</v>
      </c>
      <c r="BU1286" s="392" t="s">
        <v>210</v>
      </c>
      <c r="BV1286" s="392" t="s">
        <v>210</v>
      </c>
      <c r="BW1286" s="392" t="s">
        <v>210</v>
      </c>
      <c r="BX1286" s="392" t="s">
        <v>210</v>
      </c>
      <c r="BY1286" s="457"/>
      <c r="BZ1286" s="363"/>
      <c r="CA1286" s="363"/>
      <c r="CB1286" s="363"/>
      <c r="CC1286" s="363"/>
    </row>
    <row r="1287" spans="2:82" ht="22.5" customHeight="1">
      <c r="B1287" s="442">
        <v>190037</v>
      </c>
      <c r="C1287" s="443" t="s">
        <v>15298</v>
      </c>
      <c r="D1287" s="467" t="s">
        <v>4849</v>
      </c>
      <c r="E1287" s="404" t="s">
        <v>6879</v>
      </c>
      <c r="F1287" s="405" t="s">
        <v>10512</v>
      </c>
      <c r="G1287" s="324" t="s">
        <v>10513</v>
      </c>
      <c r="H1287" s="324" t="s">
        <v>10564</v>
      </c>
      <c r="I1287" s="326" t="s">
        <v>383</v>
      </c>
      <c r="J1287" s="326" t="s">
        <v>399</v>
      </c>
      <c r="K1287" s="324" t="s">
        <v>917</v>
      </c>
      <c r="L1287" s="392" t="s">
        <v>210</v>
      </c>
      <c r="M1287" s="324" t="s">
        <v>7457</v>
      </c>
      <c r="N1287" s="444" t="s">
        <v>438</v>
      </c>
      <c r="O1287" s="324">
        <v>21</v>
      </c>
      <c r="P1287" s="445">
        <v>9800</v>
      </c>
      <c r="Q1287" s="446">
        <f>P1287</f>
        <v>9800</v>
      </c>
      <c r="R1287" s="420" t="s">
        <v>10508</v>
      </c>
      <c r="S1287" s="394" t="s">
        <v>11193</v>
      </c>
      <c r="T1287" s="394" t="s">
        <v>11195</v>
      </c>
      <c r="U1287" s="394" t="s">
        <v>16385</v>
      </c>
      <c r="V1287" s="394" t="s">
        <v>11194</v>
      </c>
      <c r="W1287" s="460" t="s">
        <v>10559</v>
      </c>
      <c r="X1287" s="394" t="s">
        <v>11190</v>
      </c>
      <c r="Y1287" s="394" t="s">
        <v>11192</v>
      </c>
      <c r="Z1287" s="394" t="s">
        <v>16395</v>
      </c>
      <c r="AA1287" s="394" t="s">
        <v>11191</v>
      </c>
      <c r="AB1287" s="416"/>
      <c r="AC1287" s="416"/>
      <c r="AD1287" s="498" t="s">
        <v>5277</v>
      </c>
      <c r="AE1287" s="499" t="s">
        <v>10969</v>
      </c>
      <c r="AF1287" s="462">
        <v>43754</v>
      </c>
      <c r="AG1287" s="748">
        <v>43826</v>
      </c>
      <c r="AH1287" s="417" t="s">
        <v>210</v>
      </c>
      <c r="AI1287" s="392" t="s">
        <v>210</v>
      </c>
      <c r="AJ1287" s="392" t="s">
        <v>210</v>
      </c>
      <c r="AK1287" s="340" t="s">
        <v>210</v>
      </c>
      <c r="AL1287" s="417" t="s">
        <v>210</v>
      </c>
      <c r="AM1287" s="392" t="s">
        <v>210</v>
      </c>
      <c r="AN1287" s="392" t="s">
        <v>210</v>
      </c>
      <c r="AO1287" s="341" t="s">
        <v>210</v>
      </c>
      <c r="AP1287" s="1063" t="s">
        <v>622</v>
      </c>
      <c r="AQ1287" s="433" t="s">
        <v>4547</v>
      </c>
      <c r="AR1287" s="452">
        <f>10714+5310.6</f>
        <v>16024.6</v>
      </c>
      <c r="AS1287" s="324">
        <v>100</v>
      </c>
      <c r="AT1287" s="432">
        <v>1</v>
      </c>
      <c r="AU1287" s="432" t="s">
        <v>10614</v>
      </c>
      <c r="AV1287" s="432">
        <v>1.5</v>
      </c>
      <c r="AW1287" s="432" t="s">
        <v>10614</v>
      </c>
      <c r="AX1287" s="453" t="s">
        <v>210</v>
      </c>
      <c r="AY1287" s="429" t="s">
        <v>210</v>
      </c>
      <c r="AZ1287" s="405" t="s">
        <v>4083</v>
      </c>
      <c r="BA1287" s="324" t="s">
        <v>210</v>
      </c>
      <c r="BB1287" s="324" t="s">
        <v>210</v>
      </c>
      <c r="BC1287" s="324" t="s">
        <v>10619</v>
      </c>
      <c r="BD1287" s="324" t="s">
        <v>10615</v>
      </c>
      <c r="BE1287" s="324" t="s">
        <v>10620</v>
      </c>
      <c r="BF1287" s="324" t="s">
        <v>10621</v>
      </c>
      <c r="BG1287" s="324" t="s">
        <v>10622</v>
      </c>
      <c r="BH1287" s="324" t="s">
        <v>10621</v>
      </c>
      <c r="BI1287" s="453">
        <v>0.63</v>
      </c>
      <c r="BJ1287" s="411"/>
      <c r="BK1287" s="428" t="s">
        <v>10615</v>
      </c>
      <c r="BL1287" s="429">
        <v>3.8</v>
      </c>
      <c r="BM1287" s="430" t="s">
        <v>622</v>
      </c>
      <c r="BN1287" s="453" t="s">
        <v>622</v>
      </c>
      <c r="BO1287" s="464">
        <v>1.27</v>
      </c>
      <c r="BP1287" s="492"/>
      <c r="BQ1287" s="456" t="s">
        <v>10616</v>
      </c>
      <c r="BR1287" s="392" t="s">
        <v>210</v>
      </c>
      <c r="BS1287" s="342" t="s">
        <v>622</v>
      </c>
      <c r="BT1287" s="392" t="s">
        <v>210</v>
      </c>
      <c r="BU1287" s="392" t="s">
        <v>210</v>
      </c>
      <c r="BV1287" s="392" t="s">
        <v>210</v>
      </c>
      <c r="BW1287" s="392" t="s">
        <v>210</v>
      </c>
      <c r="BX1287" s="392" t="s">
        <v>210</v>
      </c>
      <c r="BY1287" s="457" t="s">
        <v>10617</v>
      </c>
      <c r="BZ1287" s="363"/>
      <c r="CA1287" s="363"/>
      <c r="CB1287" s="363"/>
      <c r="CC1287" s="363"/>
    </row>
    <row r="1288" spans="2:82" ht="22.5" customHeight="1">
      <c r="B1288" s="442">
        <v>190038</v>
      </c>
      <c r="C1288" s="443" t="s">
        <v>10235</v>
      </c>
      <c r="D1288" s="439" t="s">
        <v>9918</v>
      </c>
      <c r="E1288" s="404" t="s">
        <v>5362</v>
      </c>
      <c r="F1288" s="405" t="s">
        <v>10135</v>
      </c>
      <c r="G1288" s="324" t="s">
        <v>10136</v>
      </c>
      <c r="H1288" s="324" t="s">
        <v>10137</v>
      </c>
      <c r="I1288" s="326" t="s">
        <v>383</v>
      </c>
      <c r="J1288" s="324" t="s">
        <v>7171</v>
      </c>
      <c r="K1288" s="326" t="s">
        <v>806</v>
      </c>
      <c r="L1288" s="392" t="s">
        <v>210</v>
      </c>
      <c r="M1288" s="324" t="s">
        <v>7457</v>
      </c>
      <c r="N1288" s="444" t="s">
        <v>10569</v>
      </c>
      <c r="O1288" s="324">
        <v>100</v>
      </c>
      <c r="P1288" s="445">
        <v>2663</v>
      </c>
      <c r="Q1288" s="446">
        <v>1185</v>
      </c>
      <c r="R1288" s="420" t="s">
        <v>10138</v>
      </c>
      <c r="S1288" s="394" t="s">
        <v>13923</v>
      </c>
      <c r="T1288" s="394" t="s">
        <v>13924</v>
      </c>
      <c r="U1288" s="394" t="s">
        <v>13925</v>
      </c>
      <c r="V1288" s="394" t="s">
        <v>13926</v>
      </c>
      <c r="W1288" s="332" t="s">
        <v>9174</v>
      </c>
      <c r="X1288" s="332" t="s">
        <v>11099</v>
      </c>
      <c r="Y1288" s="332" t="s">
        <v>11100</v>
      </c>
      <c r="Z1288" s="332" t="s">
        <v>16473</v>
      </c>
      <c r="AA1288" s="332" t="s">
        <v>11101</v>
      </c>
      <c r="AB1288" s="416"/>
      <c r="AC1288" s="416"/>
      <c r="AD1288" s="334" t="s">
        <v>2326</v>
      </c>
      <c r="AE1288" s="499" t="s">
        <v>11035</v>
      </c>
      <c r="AF1288" s="462">
        <v>43754</v>
      </c>
      <c r="AG1288" s="748">
        <v>43868</v>
      </c>
      <c r="AH1288" s="417" t="s">
        <v>210</v>
      </c>
      <c r="AI1288" s="392" t="s">
        <v>210</v>
      </c>
      <c r="AJ1288" s="392" t="s">
        <v>210</v>
      </c>
      <c r="AK1288" s="340" t="s">
        <v>210</v>
      </c>
      <c r="AL1288" s="1063" t="s">
        <v>622</v>
      </c>
      <c r="AM1288" s="392" t="s">
        <v>210</v>
      </c>
      <c r="AN1288" s="392" t="s">
        <v>210</v>
      </c>
      <c r="AO1288" s="341" t="s">
        <v>210</v>
      </c>
      <c r="AP1288" s="392" t="s">
        <v>210</v>
      </c>
      <c r="AQ1288" s="433" t="s">
        <v>4547</v>
      </c>
      <c r="AR1288" s="452">
        <f>1956.3+172</f>
        <v>2128.3000000000002</v>
      </c>
      <c r="AS1288" s="324">
        <v>100</v>
      </c>
      <c r="AT1288" s="432">
        <v>0.8</v>
      </c>
      <c r="AU1288" s="432" t="s">
        <v>10570</v>
      </c>
      <c r="AV1288" s="432">
        <v>3.1</v>
      </c>
      <c r="AW1288" s="490" t="s">
        <v>10571</v>
      </c>
      <c r="AX1288" s="453" t="s">
        <v>210</v>
      </c>
      <c r="AY1288" s="429" t="s">
        <v>10739</v>
      </c>
      <c r="AZ1288" s="405" t="s">
        <v>4083</v>
      </c>
      <c r="BA1288" s="324" t="s">
        <v>210</v>
      </c>
      <c r="BB1288" s="324" t="s">
        <v>210</v>
      </c>
      <c r="BC1288" s="324" t="s">
        <v>10618</v>
      </c>
      <c r="BD1288" s="324" t="s">
        <v>10321</v>
      </c>
      <c r="BE1288" s="324" t="s">
        <v>10320</v>
      </c>
      <c r="BF1288" s="324" t="s">
        <v>10322</v>
      </c>
      <c r="BG1288" s="324" t="s">
        <v>10323</v>
      </c>
      <c r="BH1288" s="324" t="s">
        <v>10322</v>
      </c>
      <c r="BI1288" s="453">
        <v>0.2</v>
      </c>
      <c r="BJ1288" s="427">
        <v>2.13</v>
      </c>
      <c r="BK1288" s="428" t="s">
        <v>10321</v>
      </c>
      <c r="BL1288" s="429">
        <v>1.2</v>
      </c>
      <c r="BM1288" s="430" t="s">
        <v>210</v>
      </c>
      <c r="BN1288" s="453" t="s">
        <v>622</v>
      </c>
      <c r="BO1288" s="464">
        <v>0.99</v>
      </c>
      <c r="BP1288" s="455" t="s">
        <v>622</v>
      </c>
      <c r="BQ1288" s="456" t="s">
        <v>10572</v>
      </c>
      <c r="BR1288" s="392" t="s">
        <v>210</v>
      </c>
      <c r="BS1288" s="342" t="s">
        <v>622</v>
      </c>
      <c r="BT1288" s="392" t="s">
        <v>210</v>
      </c>
      <c r="BU1288" s="392" t="s">
        <v>210</v>
      </c>
      <c r="BV1288" s="392" t="s">
        <v>210</v>
      </c>
      <c r="BW1288" s="392" t="s">
        <v>210</v>
      </c>
      <c r="BX1288" s="392" t="s">
        <v>210</v>
      </c>
      <c r="BY1288" s="457" t="s">
        <v>10623</v>
      </c>
      <c r="BZ1288" s="363"/>
      <c r="CA1288" s="363"/>
      <c r="CB1288" s="363"/>
      <c r="CC1288" s="363"/>
    </row>
    <row r="1289" spans="2:82" ht="22.5" customHeight="1">
      <c r="B1289" s="442">
        <v>190039</v>
      </c>
      <c r="C1289" s="443" t="s">
        <v>11177</v>
      </c>
      <c r="D1289" s="439" t="s">
        <v>12082</v>
      </c>
      <c r="E1289" s="404" t="s">
        <v>5405</v>
      </c>
      <c r="F1289" s="405" t="s">
        <v>1048</v>
      </c>
      <c r="G1289" s="324" t="s">
        <v>10515</v>
      </c>
      <c r="H1289" s="324" t="s">
        <v>10516</v>
      </c>
      <c r="I1289" s="326" t="s">
        <v>383</v>
      </c>
      <c r="J1289" s="324" t="s">
        <v>7171</v>
      </c>
      <c r="K1289" s="324" t="s">
        <v>10517</v>
      </c>
      <c r="L1289" s="392" t="s">
        <v>210</v>
      </c>
      <c r="M1289" s="324" t="s">
        <v>7457</v>
      </c>
      <c r="N1289" s="444" t="s">
        <v>10625</v>
      </c>
      <c r="O1289" s="324">
        <v>52</v>
      </c>
      <c r="P1289" s="445">
        <v>2300</v>
      </c>
      <c r="Q1289" s="446">
        <v>2000</v>
      </c>
      <c r="R1289" s="420" t="s">
        <v>3972</v>
      </c>
      <c r="S1289" s="394" t="s">
        <v>11178</v>
      </c>
      <c r="T1289" s="394" t="s">
        <v>11179</v>
      </c>
      <c r="U1289" s="394" t="s">
        <v>14973</v>
      </c>
      <c r="V1289" s="394" t="s">
        <v>11180</v>
      </c>
      <c r="W1289" s="460" t="s">
        <v>10474</v>
      </c>
      <c r="X1289" s="394" t="s">
        <v>11181</v>
      </c>
      <c r="Y1289" s="394" t="s">
        <v>11183</v>
      </c>
      <c r="Z1289" s="400"/>
      <c r="AA1289" s="394" t="s">
        <v>11182</v>
      </c>
      <c r="AB1289" s="416"/>
      <c r="AC1289" s="416"/>
      <c r="AD1289" s="447" t="s">
        <v>16023</v>
      </c>
      <c r="AE1289" s="499" t="s">
        <v>966</v>
      </c>
      <c r="AF1289" s="462">
        <v>43754</v>
      </c>
      <c r="AG1289" s="748">
        <v>43997</v>
      </c>
      <c r="AH1289" s="417" t="s">
        <v>210</v>
      </c>
      <c r="AI1289" s="392" t="s">
        <v>210</v>
      </c>
      <c r="AJ1289" s="392" t="s">
        <v>210</v>
      </c>
      <c r="AK1289" s="340" t="s">
        <v>210</v>
      </c>
      <c r="AL1289" s="417" t="s">
        <v>210</v>
      </c>
      <c r="AM1289" s="392" t="s">
        <v>210</v>
      </c>
      <c r="AN1289" s="392" t="s">
        <v>210</v>
      </c>
      <c r="AO1289" s="341" t="s">
        <v>210</v>
      </c>
      <c r="AP1289" s="1063" t="s">
        <v>622</v>
      </c>
      <c r="AQ1289" s="433" t="s">
        <v>4547</v>
      </c>
      <c r="AR1289" s="452">
        <v>3184</v>
      </c>
      <c r="AS1289" s="324">
        <v>120</v>
      </c>
      <c r="AT1289" s="432">
        <v>1</v>
      </c>
      <c r="AU1289" s="432" t="s">
        <v>10626</v>
      </c>
      <c r="AV1289" s="432">
        <v>1.5</v>
      </c>
      <c r="AW1289" s="490" t="s">
        <v>10627</v>
      </c>
      <c r="AX1289" s="453" t="s">
        <v>210</v>
      </c>
      <c r="AY1289" s="429" t="s">
        <v>210</v>
      </c>
      <c r="AZ1289" s="405" t="s">
        <v>622</v>
      </c>
      <c r="BA1289" s="324" t="s">
        <v>10628</v>
      </c>
      <c r="BB1289" s="324" t="s">
        <v>10629</v>
      </c>
      <c r="BC1289" s="324" t="s">
        <v>10630</v>
      </c>
      <c r="BD1289" s="324" t="s">
        <v>10629</v>
      </c>
      <c r="BE1289" s="324" t="s">
        <v>10631</v>
      </c>
      <c r="BF1289" s="324" t="s">
        <v>10632</v>
      </c>
      <c r="BG1289" s="324" t="s">
        <v>10633</v>
      </c>
      <c r="BH1289" s="426" t="s">
        <v>10627</v>
      </c>
      <c r="BI1289" s="453">
        <v>0.3</v>
      </c>
      <c r="BJ1289" s="427">
        <v>1.2</v>
      </c>
      <c r="BK1289" s="428" t="s">
        <v>10634</v>
      </c>
      <c r="BL1289" s="429">
        <v>9.1999999999999993</v>
      </c>
      <c r="BM1289" s="430" t="s">
        <v>210</v>
      </c>
      <c r="BN1289" s="453" t="s">
        <v>622</v>
      </c>
      <c r="BO1289" s="464">
        <v>1.1200000000000001</v>
      </c>
      <c r="BP1289" s="455" t="s">
        <v>622</v>
      </c>
      <c r="BQ1289" s="456" t="s">
        <v>10635</v>
      </c>
      <c r="BR1289" s="392" t="s">
        <v>210</v>
      </c>
      <c r="BS1289" s="342" t="s">
        <v>622</v>
      </c>
      <c r="BT1289" s="392" t="s">
        <v>210</v>
      </c>
      <c r="BU1289" s="392" t="s">
        <v>210</v>
      </c>
      <c r="BV1289" s="392" t="s">
        <v>210</v>
      </c>
      <c r="BW1289" s="392" t="s">
        <v>210</v>
      </c>
      <c r="BX1289" s="392" t="s">
        <v>210</v>
      </c>
      <c r="BY1289" s="457" t="s">
        <v>10624</v>
      </c>
      <c r="BZ1289" s="363"/>
      <c r="CA1289" s="363"/>
      <c r="CB1289" s="363"/>
      <c r="CC1289" s="363"/>
    </row>
    <row r="1290" spans="2:82" ht="22.5" customHeight="1">
      <c r="B1290" s="442">
        <v>190040</v>
      </c>
      <c r="C1290" s="443" t="s">
        <v>10554</v>
      </c>
      <c r="D1290" s="439" t="s">
        <v>4849</v>
      </c>
      <c r="E1290" s="404" t="s">
        <v>5405</v>
      </c>
      <c r="F1290" s="405" t="s">
        <v>1048</v>
      </c>
      <c r="G1290" s="324" t="s">
        <v>10555</v>
      </c>
      <c r="H1290" s="324" t="s">
        <v>10556</v>
      </c>
      <c r="I1290" s="326" t="s">
        <v>383</v>
      </c>
      <c r="J1290" s="324" t="s">
        <v>6632</v>
      </c>
      <c r="K1290" s="324" t="s">
        <v>10557</v>
      </c>
      <c r="L1290" s="342">
        <v>20</v>
      </c>
      <c r="M1290" s="324" t="s">
        <v>7457</v>
      </c>
      <c r="N1290" s="444" t="s">
        <v>503</v>
      </c>
      <c r="O1290" s="324">
        <v>61</v>
      </c>
      <c r="P1290" s="458">
        <v>506.36</v>
      </c>
      <c r="Q1290" s="459">
        <v>555.99</v>
      </c>
      <c r="R1290" s="329" t="s">
        <v>458</v>
      </c>
      <c r="S1290" s="331" t="s">
        <v>11185</v>
      </c>
      <c r="T1290" s="331" t="s">
        <v>11187</v>
      </c>
      <c r="U1290" s="331" t="s">
        <v>11186</v>
      </c>
      <c r="V1290" s="331" t="s">
        <v>11184</v>
      </c>
      <c r="W1290" s="332" t="s">
        <v>432</v>
      </c>
      <c r="X1290" s="331" t="s">
        <v>11079</v>
      </c>
      <c r="Y1290" s="331" t="s">
        <v>11080</v>
      </c>
      <c r="Z1290" s="331" t="s">
        <v>11080</v>
      </c>
      <c r="AA1290" s="331" t="s">
        <v>11080</v>
      </c>
      <c r="AB1290" s="416"/>
      <c r="AC1290" s="416"/>
      <c r="AD1290" s="447" t="s">
        <v>13937</v>
      </c>
      <c r="AE1290" s="499" t="s">
        <v>966</v>
      </c>
      <c r="AF1290" s="462">
        <v>43759</v>
      </c>
      <c r="AG1290" s="748">
        <v>43861</v>
      </c>
      <c r="AH1290" s="453">
        <v>14</v>
      </c>
      <c r="AI1290" s="432">
        <v>11.9</v>
      </c>
      <c r="AJ1290" s="432">
        <v>5.3</v>
      </c>
      <c r="AK1290" s="340">
        <f>SUM(AH1290:AJ1290)</f>
        <v>31.2</v>
      </c>
      <c r="AL1290" s="417" t="s">
        <v>210</v>
      </c>
      <c r="AM1290" s="392" t="s">
        <v>210</v>
      </c>
      <c r="AN1290" s="392" t="s">
        <v>210</v>
      </c>
      <c r="AO1290" s="341" t="s">
        <v>210</v>
      </c>
      <c r="AP1290" s="1063" t="s">
        <v>622</v>
      </c>
      <c r="AQ1290" s="433" t="s">
        <v>4547</v>
      </c>
      <c r="AR1290" s="452">
        <v>808</v>
      </c>
      <c r="AS1290" s="324">
        <v>80</v>
      </c>
      <c r="AT1290" s="432">
        <v>1</v>
      </c>
      <c r="AU1290" s="432" t="s">
        <v>10729</v>
      </c>
      <c r="AV1290" s="432">
        <v>1.5</v>
      </c>
      <c r="AW1290" s="432" t="s">
        <v>10729</v>
      </c>
      <c r="AX1290" s="486" t="s">
        <v>10853</v>
      </c>
      <c r="AY1290" s="429" t="s">
        <v>10739</v>
      </c>
      <c r="AZ1290" s="405" t="s">
        <v>4083</v>
      </c>
      <c r="BA1290" s="324" t="s">
        <v>210</v>
      </c>
      <c r="BB1290" s="324" t="s">
        <v>210</v>
      </c>
      <c r="BC1290" s="324" t="s">
        <v>10675</v>
      </c>
      <c r="BD1290" s="324" t="s">
        <v>10676</v>
      </c>
      <c r="BE1290" s="324" t="s">
        <v>10677</v>
      </c>
      <c r="BF1290" s="324" t="s">
        <v>10678</v>
      </c>
      <c r="BG1290" s="324" t="s">
        <v>10679</v>
      </c>
      <c r="BH1290" s="324" t="s">
        <v>10676</v>
      </c>
      <c r="BI1290" s="453">
        <v>1</v>
      </c>
      <c r="BJ1290" s="427">
        <v>3.4</v>
      </c>
      <c r="BK1290" s="428" t="s">
        <v>210</v>
      </c>
      <c r="BL1290" s="429" t="s">
        <v>210</v>
      </c>
      <c r="BM1290" s="430" t="s">
        <v>210</v>
      </c>
      <c r="BN1290" s="453" t="s">
        <v>622</v>
      </c>
      <c r="BO1290" s="464">
        <v>1.27</v>
      </c>
      <c r="BP1290" s="455" t="s">
        <v>622</v>
      </c>
      <c r="BQ1290" s="456" t="s">
        <v>6407</v>
      </c>
      <c r="BR1290" s="342" t="s">
        <v>622</v>
      </c>
      <c r="BS1290" s="342" t="s">
        <v>622</v>
      </c>
      <c r="BT1290" s="392" t="s">
        <v>210</v>
      </c>
      <c r="BU1290" s="392" t="s">
        <v>210</v>
      </c>
      <c r="BV1290" s="392" t="s">
        <v>210</v>
      </c>
      <c r="BW1290" s="392" t="s">
        <v>210</v>
      </c>
      <c r="BX1290" s="392" t="s">
        <v>210</v>
      </c>
      <c r="BY1290" s="457" t="s">
        <v>10654</v>
      </c>
      <c r="BZ1290" s="363"/>
      <c r="CA1290" s="363"/>
      <c r="CB1290" s="363"/>
      <c r="CC1290" s="363"/>
    </row>
    <row r="1291" spans="2:82" s="465" customFormat="1" ht="22.5" customHeight="1">
      <c r="B1291" s="466">
        <v>190041</v>
      </c>
      <c r="C1291" s="443" t="s">
        <v>15823</v>
      </c>
      <c r="D1291" s="467" t="s">
        <v>11068</v>
      </c>
      <c r="E1291" s="404" t="s">
        <v>10655</v>
      </c>
      <c r="F1291" s="405" t="s">
        <v>10656</v>
      </c>
      <c r="G1291" s="324" t="s">
        <v>10657</v>
      </c>
      <c r="H1291" s="324" t="s">
        <v>10879</v>
      </c>
      <c r="I1291" s="326" t="s">
        <v>383</v>
      </c>
      <c r="J1291" s="324" t="s">
        <v>15948</v>
      </c>
      <c r="K1291" s="324" t="s">
        <v>10842</v>
      </c>
      <c r="L1291" s="342" t="s">
        <v>15949</v>
      </c>
      <c r="M1291" s="324" t="s">
        <v>6509</v>
      </c>
      <c r="N1291" s="444" t="s">
        <v>15950</v>
      </c>
      <c r="O1291" s="324">
        <v>30</v>
      </c>
      <c r="P1291" s="458">
        <v>2276.96</v>
      </c>
      <c r="Q1291" s="459">
        <v>1091.53</v>
      </c>
      <c r="R1291" s="332" t="s">
        <v>432</v>
      </c>
      <c r="S1291" s="331" t="s">
        <v>11079</v>
      </c>
      <c r="T1291" s="331" t="s">
        <v>11079</v>
      </c>
      <c r="U1291" s="331" t="s">
        <v>11079</v>
      </c>
      <c r="V1291" s="331" t="s">
        <v>11080</v>
      </c>
      <c r="W1291" s="332" t="s">
        <v>432</v>
      </c>
      <c r="X1291" s="331" t="s">
        <v>11079</v>
      </c>
      <c r="Y1291" s="331" t="s">
        <v>11080</v>
      </c>
      <c r="Z1291" s="331" t="s">
        <v>11080</v>
      </c>
      <c r="AA1291" s="331" t="s">
        <v>11080</v>
      </c>
      <c r="AB1291" s="416" t="s">
        <v>16099</v>
      </c>
      <c r="AC1291" s="416"/>
      <c r="AD1291" s="498" t="s">
        <v>1748</v>
      </c>
      <c r="AE1291" s="474"/>
      <c r="AF1291" s="475">
        <v>43780</v>
      </c>
      <c r="AG1291" s="476"/>
      <c r="AH1291" s="486" t="s">
        <v>15951</v>
      </c>
      <c r="AI1291" s="487" t="s">
        <v>15952</v>
      </c>
      <c r="AJ1291" s="487" t="s">
        <v>15953</v>
      </c>
      <c r="AK1291" s="451" t="s">
        <v>15954</v>
      </c>
      <c r="AL1291" s="417" t="s">
        <v>210</v>
      </c>
      <c r="AM1291" s="392" t="s">
        <v>210</v>
      </c>
      <c r="AN1291" s="392" t="s">
        <v>210</v>
      </c>
      <c r="AO1291" s="341" t="s">
        <v>210</v>
      </c>
      <c r="AP1291" s="1063" t="s">
        <v>622</v>
      </c>
      <c r="AQ1291" s="429" t="s">
        <v>4547</v>
      </c>
      <c r="AR1291" s="452">
        <v>1775</v>
      </c>
      <c r="AS1291" s="324">
        <v>120</v>
      </c>
      <c r="AT1291" s="432">
        <v>1</v>
      </c>
      <c r="AU1291" s="432" t="s">
        <v>15955</v>
      </c>
      <c r="AV1291" s="432">
        <v>1.5</v>
      </c>
      <c r="AW1291" s="432" t="s">
        <v>15955</v>
      </c>
      <c r="AX1291" s="453" t="s">
        <v>210</v>
      </c>
      <c r="AY1291" s="429" t="s">
        <v>8601</v>
      </c>
      <c r="AZ1291" s="405" t="s">
        <v>4083</v>
      </c>
      <c r="BA1291" s="324" t="s">
        <v>210</v>
      </c>
      <c r="BB1291" s="324" t="s">
        <v>210</v>
      </c>
      <c r="BC1291" s="324" t="s">
        <v>210</v>
      </c>
      <c r="BD1291" s="324" t="s">
        <v>210</v>
      </c>
      <c r="BE1291" s="324" t="s">
        <v>210</v>
      </c>
      <c r="BF1291" s="324" t="s">
        <v>210</v>
      </c>
      <c r="BG1291" s="324" t="s">
        <v>10881</v>
      </c>
      <c r="BH1291" s="426" t="s">
        <v>10882</v>
      </c>
      <c r="BI1291" s="453">
        <v>2.2000000000000002</v>
      </c>
      <c r="BJ1291" s="427" t="s">
        <v>10507</v>
      </c>
      <c r="BK1291" s="428" t="s">
        <v>210</v>
      </c>
      <c r="BL1291" s="429" t="s">
        <v>210</v>
      </c>
      <c r="BM1291" s="430" t="s">
        <v>210</v>
      </c>
      <c r="BN1291" s="453" t="s">
        <v>622</v>
      </c>
      <c r="BO1291" s="464">
        <v>1.96</v>
      </c>
      <c r="BP1291" s="455" t="s">
        <v>15956</v>
      </c>
      <c r="BQ1291" s="456" t="s">
        <v>10659</v>
      </c>
      <c r="BR1291" s="392" t="s">
        <v>210</v>
      </c>
      <c r="BS1291" s="342" t="s">
        <v>622</v>
      </c>
      <c r="BT1291" s="392" t="s">
        <v>210</v>
      </c>
      <c r="BU1291" s="392" t="s">
        <v>210</v>
      </c>
      <c r="BV1291" s="392" t="s">
        <v>210</v>
      </c>
      <c r="BW1291" s="392" t="s">
        <v>210</v>
      </c>
      <c r="BX1291" s="392" t="s">
        <v>210</v>
      </c>
      <c r="BY1291" s="457" t="s">
        <v>15225</v>
      </c>
      <c r="BZ1291" s="483"/>
      <c r="CA1291" s="483"/>
      <c r="CB1291" s="483"/>
      <c r="CC1291" s="483"/>
      <c r="CD1291" s="484"/>
    </row>
    <row r="1292" spans="2:82" s="465" customFormat="1" ht="22.5" customHeight="1">
      <c r="B1292" s="749" t="s">
        <v>10840</v>
      </c>
      <c r="C1292" s="781" t="s">
        <v>10841</v>
      </c>
      <c r="D1292" s="829" t="s">
        <v>11068</v>
      </c>
      <c r="E1292" s="752" t="s">
        <v>5363</v>
      </c>
      <c r="F1292" s="753" t="s">
        <v>372</v>
      </c>
      <c r="G1292" s="754" t="s">
        <v>1780</v>
      </c>
      <c r="H1292" s="754" t="s">
        <v>10880</v>
      </c>
      <c r="I1292" s="662" t="s">
        <v>383</v>
      </c>
      <c r="J1292" s="754" t="s">
        <v>8029</v>
      </c>
      <c r="K1292" s="754" t="s">
        <v>10843</v>
      </c>
      <c r="L1292" s="688" t="s">
        <v>210</v>
      </c>
      <c r="M1292" s="754" t="s">
        <v>6509</v>
      </c>
      <c r="N1292" s="755" t="s">
        <v>10979</v>
      </c>
      <c r="O1292" s="754">
        <v>30</v>
      </c>
      <c r="P1292" s="782">
        <v>3892.97</v>
      </c>
      <c r="Q1292" s="783">
        <v>985.48</v>
      </c>
      <c r="R1292" s="669" t="s">
        <v>432</v>
      </c>
      <c r="S1292" s="668" t="s">
        <v>11079</v>
      </c>
      <c r="T1292" s="668" t="s">
        <v>11079</v>
      </c>
      <c r="U1292" s="668" t="s">
        <v>11079</v>
      </c>
      <c r="V1292" s="668" t="s">
        <v>11080</v>
      </c>
      <c r="W1292" s="669" t="s">
        <v>432</v>
      </c>
      <c r="X1292" s="668" t="s">
        <v>11079</v>
      </c>
      <c r="Y1292" s="668" t="s">
        <v>11080</v>
      </c>
      <c r="Z1292" s="668" t="s">
        <v>11080</v>
      </c>
      <c r="AA1292" s="668" t="s">
        <v>11080</v>
      </c>
      <c r="AB1292" s="758" t="s">
        <v>16099</v>
      </c>
      <c r="AC1292" s="758" t="s">
        <v>13774</v>
      </c>
      <c r="AD1292" s="759"/>
      <c r="AE1292" s="760"/>
      <c r="AF1292" s="761">
        <v>43780</v>
      </c>
      <c r="AG1292" s="674" t="s">
        <v>10514</v>
      </c>
      <c r="AH1292" s="675" t="s">
        <v>210</v>
      </c>
      <c r="AI1292" s="676" t="s">
        <v>210</v>
      </c>
      <c r="AJ1292" s="676" t="s">
        <v>210</v>
      </c>
      <c r="AK1292" s="677" t="s">
        <v>210</v>
      </c>
      <c r="AL1292" s="675" t="s">
        <v>210</v>
      </c>
      <c r="AM1292" s="676" t="s">
        <v>210</v>
      </c>
      <c r="AN1292" s="676" t="s">
        <v>210</v>
      </c>
      <c r="AO1292" s="678" t="s">
        <v>210</v>
      </c>
      <c r="AP1292" s="678" t="s">
        <v>210</v>
      </c>
      <c r="AQ1292" s="766" t="s">
        <v>4547</v>
      </c>
      <c r="AR1292" s="763">
        <v>1180</v>
      </c>
      <c r="AS1292" s="754">
        <v>150</v>
      </c>
      <c r="AT1292" s="785"/>
      <c r="AU1292" s="785" t="s">
        <v>10980</v>
      </c>
      <c r="AV1292" s="785"/>
      <c r="AW1292" s="785" t="s">
        <v>10980</v>
      </c>
      <c r="AX1292" s="765" t="s">
        <v>10981</v>
      </c>
      <c r="AY1292" s="766" t="s">
        <v>10982</v>
      </c>
      <c r="AZ1292" s="753" t="s">
        <v>4083</v>
      </c>
      <c r="BA1292" s="754" t="s">
        <v>210</v>
      </c>
      <c r="BB1292" s="754" t="s">
        <v>210</v>
      </c>
      <c r="BC1292" s="754" t="s">
        <v>210</v>
      </c>
      <c r="BD1292" s="754" t="s">
        <v>210</v>
      </c>
      <c r="BE1292" s="754" t="s">
        <v>210</v>
      </c>
      <c r="BF1292" s="754" t="s">
        <v>210</v>
      </c>
      <c r="BG1292" s="754" t="s">
        <v>10881</v>
      </c>
      <c r="BH1292" s="767" t="s">
        <v>10882</v>
      </c>
      <c r="BI1292" s="765">
        <v>2.2000000000000002</v>
      </c>
      <c r="BJ1292" s="768" t="s">
        <v>10507</v>
      </c>
      <c r="BK1292" s="769" t="s">
        <v>210</v>
      </c>
      <c r="BL1292" s="766" t="s">
        <v>210</v>
      </c>
      <c r="BM1292" s="770" t="s">
        <v>210</v>
      </c>
      <c r="BN1292" s="765"/>
      <c r="BO1292" s="771"/>
      <c r="BP1292" s="772"/>
      <c r="BQ1292" s="773" t="s">
        <v>10659</v>
      </c>
      <c r="BR1292" s="676" t="s">
        <v>210</v>
      </c>
      <c r="BS1292" s="688" t="s">
        <v>622</v>
      </c>
      <c r="BT1292" s="676" t="s">
        <v>210</v>
      </c>
      <c r="BU1292" s="676" t="s">
        <v>210</v>
      </c>
      <c r="BV1292" s="676" t="s">
        <v>210</v>
      </c>
      <c r="BW1292" s="676" t="s">
        <v>210</v>
      </c>
      <c r="BX1292" s="676" t="s">
        <v>210</v>
      </c>
      <c r="BY1292" s="774" t="s">
        <v>14710</v>
      </c>
      <c r="BZ1292" s="483"/>
      <c r="CA1292" s="483"/>
      <c r="CB1292" s="483"/>
      <c r="CC1292" s="483"/>
      <c r="CD1292" s="484"/>
    </row>
    <row r="1293" spans="2:82" ht="22.5" customHeight="1">
      <c r="B1293" s="442">
        <v>190042</v>
      </c>
      <c r="C1293" s="443" t="s">
        <v>11172</v>
      </c>
      <c r="D1293" s="439" t="s">
        <v>10596</v>
      </c>
      <c r="E1293" s="404" t="s">
        <v>5362</v>
      </c>
      <c r="F1293" s="405" t="s">
        <v>308</v>
      </c>
      <c r="G1293" s="324" t="s">
        <v>1824</v>
      </c>
      <c r="H1293" s="324" t="s">
        <v>10595</v>
      </c>
      <c r="I1293" s="326" t="s">
        <v>383</v>
      </c>
      <c r="J1293" s="326" t="s">
        <v>399</v>
      </c>
      <c r="K1293" s="324" t="s">
        <v>247</v>
      </c>
      <c r="L1293" s="342">
        <v>4.5</v>
      </c>
      <c r="M1293" s="324" t="s">
        <v>7457</v>
      </c>
      <c r="N1293" s="444" t="s">
        <v>10636</v>
      </c>
      <c r="O1293" s="324">
        <v>100</v>
      </c>
      <c r="P1293" s="458">
        <v>743</v>
      </c>
      <c r="Q1293" s="459">
        <v>756</v>
      </c>
      <c r="R1293" s="332" t="s">
        <v>11173</v>
      </c>
      <c r="S1293" s="332" t="s">
        <v>11174</v>
      </c>
      <c r="T1293" s="332" t="s">
        <v>11096</v>
      </c>
      <c r="U1293" s="332" t="s">
        <v>11175</v>
      </c>
      <c r="V1293" s="332" t="s">
        <v>11176</v>
      </c>
      <c r="W1293" s="332" t="s">
        <v>1697</v>
      </c>
      <c r="X1293" s="332" t="s">
        <v>11174</v>
      </c>
      <c r="Y1293" s="332" t="s">
        <v>11096</v>
      </c>
      <c r="Z1293" s="332" t="s">
        <v>11175</v>
      </c>
      <c r="AA1293" s="332" t="s">
        <v>11176</v>
      </c>
      <c r="AB1293" s="416"/>
      <c r="AC1293" s="416"/>
      <c r="AD1293" s="447" t="s">
        <v>13972</v>
      </c>
      <c r="AE1293" s="485"/>
      <c r="AF1293" s="475">
        <v>43777</v>
      </c>
      <c r="AG1293" s="748">
        <v>43880</v>
      </c>
      <c r="AH1293" s="417" t="s">
        <v>210</v>
      </c>
      <c r="AI1293" s="392" t="s">
        <v>210</v>
      </c>
      <c r="AJ1293" s="392" t="s">
        <v>210</v>
      </c>
      <c r="AK1293" s="340" t="s">
        <v>210</v>
      </c>
      <c r="AL1293" s="417" t="s">
        <v>210</v>
      </c>
      <c r="AM1293" s="392" t="s">
        <v>210</v>
      </c>
      <c r="AN1293" s="392" t="s">
        <v>210</v>
      </c>
      <c r="AO1293" s="341" t="s">
        <v>210</v>
      </c>
      <c r="AP1293" s="488" t="s">
        <v>622</v>
      </c>
      <c r="AQ1293" s="429" t="s">
        <v>4547</v>
      </c>
      <c r="AR1293" s="452">
        <v>1233</v>
      </c>
      <c r="AS1293" s="324">
        <v>120</v>
      </c>
      <c r="AT1293" s="432">
        <v>1</v>
      </c>
      <c r="AU1293" s="432" t="s">
        <v>10637</v>
      </c>
      <c r="AV1293" s="432">
        <v>1.5</v>
      </c>
      <c r="AW1293" s="490" t="s">
        <v>10638</v>
      </c>
      <c r="AX1293" s="453" t="s">
        <v>210</v>
      </c>
      <c r="AY1293" s="429" t="s">
        <v>210</v>
      </c>
      <c r="AZ1293" s="405" t="s">
        <v>622</v>
      </c>
      <c r="BA1293" s="324" t="s">
        <v>10639</v>
      </c>
      <c r="BB1293" s="324" t="s">
        <v>10640</v>
      </c>
      <c r="BC1293" s="324" t="s">
        <v>10641</v>
      </c>
      <c r="BD1293" s="324" t="s">
        <v>10640</v>
      </c>
      <c r="BE1293" s="324" t="s">
        <v>10642</v>
      </c>
      <c r="BF1293" s="324" t="s">
        <v>10638</v>
      </c>
      <c r="BG1293" s="324" t="s">
        <v>10643</v>
      </c>
      <c r="BH1293" s="426" t="s">
        <v>10644</v>
      </c>
      <c r="BI1293" s="453">
        <v>0.4</v>
      </c>
      <c r="BJ1293" s="427">
        <v>2.94</v>
      </c>
      <c r="BK1293" s="428" t="s">
        <v>10645</v>
      </c>
      <c r="BL1293" s="429">
        <v>2.94</v>
      </c>
      <c r="BM1293" s="430" t="s">
        <v>210</v>
      </c>
      <c r="BN1293" s="453" t="s">
        <v>622</v>
      </c>
      <c r="BO1293" s="464">
        <v>2.21</v>
      </c>
      <c r="BP1293" s="455" t="s">
        <v>622</v>
      </c>
      <c r="BQ1293" s="456" t="s">
        <v>6407</v>
      </c>
      <c r="BR1293" s="392" t="s">
        <v>210</v>
      </c>
      <c r="BS1293" s="342" t="s">
        <v>622</v>
      </c>
      <c r="BT1293" s="392" t="s">
        <v>210</v>
      </c>
      <c r="BU1293" s="392" t="s">
        <v>210</v>
      </c>
      <c r="BV1293" s="392" t="s">
        <v>210</v>
      </c>
      <c r="BW1293" s="392" t="s">
        <v>210</v>
      </c>
      <c r="BX1293" s="392" t="s">
        <v>210</v>
      </c>
      <c r="BY1293" s="457"/>
      <c r="BZ1293" s="363"/>
      <c r="CA1293" s="363"/>
      <c r="CB1293" s="363"/>
      <c r="CC1293" s="363"/>
    </row>
    <row r="1294" spans="2:82" ht="22.5" customHeight="1">
      <c r="B1294" s="442">
        <v>190043</v>
      </c>
      <c r="C1294" s="443" t="s">
        <v>11164</v>
      </c>
      <c r="D1294" s="439" t="s">
        <v>9337</v>
      </c>
      <c r="E1294" s="404" t="s">
        <v>5362</v>
      </c>
      <c r="F1294" s="405" t="s">
        <v>839</v>
      </c>
      <c r="G1294" s="324" t="s">
        <v>10710</v>
      </c>
      <c r="H1294" s="324" t="s">
        <v>10711</v>
      </c>
      <c r="I1294" s="326" t="s">
        <v>383</v>
      </c>
      <c r="J1294" s="324" t="s">
        <v>6632</v>
      </c>
      <c r="K1294" s="324" t="s">
        <v>10744</v>
      </c>
      <c r="L1294" s="342">
        <v>30</v>
      </c>
      <c r="M1294" s="324" t="s">
        <v>7457</v>
      </c>
      <c r="N1294" s="444" t="s">
        <v>10745</v>
      </c>
      <c r="O1294" s="324">
        <v>20</v>
      </c>
      <c r="P1294" s="458">
        <v>5530</v>
      </c>
      <c r="Q1294" s="459">
        <v>4845</v>
      </c>
      <c r="R1294" s="420" t="s">
        <v>10585</v>
      </c>
      <c r="S1294" s="394" t="s">
        <v>11169</v>
      </c>
      <c r="T1294" s="394" t="s">
        <v>11170</v>
      </c>
      <c r="U1294" s="394" t="s">
        <v>16252</v>
      </c>
      <c r="V1294" s="394" t="s">
        <v>11171</v>
      </c>
      <c r="W1294" s="460" t="s">
        <v>10587</v>
      </c>
      <c r="X1294" s="394" t="s">
        <v>11165</v>
      </c>
      <c r="Y1294" s="394" t="s">
        <v>11166</v>
      </c>
      <c r="Z1294" s="394" t="s">
        <v>11167</v>
      </c>
      <c r="AA1294" s="394" t="s">
        <v>11168</v>
      </c>
      <c r="AB1294" s="416"/>
      <c r="AC1294" s="416"/>
      <c r="AD1294" s="447" t="s">
        <v>11011</v>
      </c>
      <c r="AE1294" s="335" t="s">
        <v>210</v>
      </c>
      <c r="AF1294" s="475">
        <v>43777</v>
      </c>
      <c r="AG1294" s="748">
        <v>43851</v>
      </c>
      <c r="AH1294" s="417" t="s">
        <v>210</v>
      </c>
      <c r="AI1294" s="392" t="s">
        <v>210</v>
      </c>
      <c r="AJ1294" s="392" t="s">
        <v>210</v>
      </c>
      <c r="AK1294" s="340" t="s">
        <v>210</v>
      </c>
      <c r="AL1294" s="417" t="s">
        <v>210</v>
      </c>
      <c r="AM1294" s="392" t="s">
        <v>210</v>
      </c>
      <c r="AN1294" s="496" t="s">
        <v>8760</v>
      </c>
      <c r="AO1294" s="341" t="s">
        <v>210</v>
      </c>
      <c r="AP1294" s="341" t="s">
        <v>210</v>
      </c>
      <c r="AQ1294" s="429" t="s">
        <v>4547</v>
      </c>
      <c r="AR1294" s="452">
        <f>899+86+318+1157+909+1281+1016</f>
        <v>5666</v>
      </c>
      <c r="AS1294" s="324">
        <v>120</v>
      </c>
      <c r="AT1294" s="432">
        <v>1</v>
      </c>
      <c r="AU1294" s="432" t="s">
        <v>3491</v>
      </c>
      <c r="AV1294" s="432">
        <v>1.5</v>
      </c>
      <c r="AW1294" s="490" t="s">
        <v>10746</v>
      </c>
      <c r="AX1294" s="486" t="s">
        <v>10747</v>
      </c>
      <c r="AY1294" s="429" t="s">
        <v>8601</v>
      </c>
      <c r="AZ1294" s="405" t="s">
        <v>622</v>
      </c>
      <c r="BA1294" s="324" t="s">
        <v>10748</v>
      </c>
      <c r="BB1294" s="324" t="s">
        <v>3372</v>
      </c>
      <c r="BC1294" s="324" t="s">
        <v>3558</v>
      </c>
      <c r="BD1294" s="324" t="s">
        <v>3372</v>
      </c>
      <c r="BE1294" s="324" t="s">
        <v>10749</v>
      </c>
      <c r="BF1294" s="324" t="s">
        <v>3372</v>
      </c>
      <c r="BG1294" s="324" t="s">
        <v>10750</v>
      </c>
      <c r="BH1294" s="426" t="s">
        <v>10751</v>
      </c>
      <c r="BI1294" s="453">
        <v>1.2</v>
      </c>
      <c r="BJ1294" s="427">
        <v>0.92</v>
      </c>
      <c r="BK1294" s="428" t="s">
        <v>10752</v>
      </c>
      <c r="BL1294" s="429">
        <v>2.1</v>
      </c>
      <c r="BM1294" s="430" t="s">
        <v>622</v>
      </c>
      <c r="BN1294" s="453" t="s">
        <v>622</v>
      </c>
      <c r="BO1294" s="464">
        <v>1.1299999999999999</v>
      </c>
      <c r="BP1294" s="455" t="s">
        <v>622</v>
      </c>
      <c r="BQ1294" s="456" t="s">
        <v>10350</v>
      </c>
      <c r="BR1294" s="392" t="s">
        <v>210</v>
      </c>
      <c r="BS1294" s="342" t="s">
        <v>622</v>
      </c>
      <c r="BT1294" s="342" t="s">
        <v>10753</v>
      </c>
      <c r="BU1294" s="392" t="s">
        <v>210</v>
      </c>
      <c r="BV1294" s="392" t="s">
        <v>210</v>
      </c>
      <c r="BW1294" s="392" t="s">
        <v>210</v>
      </c>
      <c r="BX1294" s="392" t="s">
        <v>210</v>
      </c>
      <c r="BY1294" s="457" t="s">
        <v>10598</v>
      </c>
      <c r="BZ1294" s="363"/>
      <c r="CA1294" s="363"/>
      <c r="CB1294" s="363"/>
      <c r="CC1294" s="363"/>
    </row>
    <row r="1295" spans="2:82" ht="22.5" customHeight="1">
      <c r="B1295" s="442">
        <v>190044</v>
      </c>
      <c r="C1295" s="443" t="s">
        <v>10720</v>
      </c>
      <c r="D1295" s="467" t="s">
        <v>9866</v>
      </c>
      <c r="E1295" s="404" t="s">
        <v>5362</v>
      </c>
      <c r="F1295" s="405" t="s">
        <v>2300</v>
      </c>
      <c r="G1295" s="324" t="s">
        <v>10601</v>
      </c>
      <c r="H1295" s="324" t="s">
        <v>10602</v>
      </c>
      <c r="I1295" s="326" t="s">
        <v>383</v>
      </c>
      <c r="J1295" s="324" t="s">
        <v>7171</v>
      </c>
      <c r="K1295" s="324" t="s">
        <v>917</v>
      </c>
      <c r="L1295" s="392" t="s">
        <v>210</v>
      </c>
      <c r="M1295" s="324" t="s">
        <v>7457</v>
      </c>
      <c r="N1295" s="444" t="s">
        <v>438</v>
      </c>
      <c r="O1295" s="324">
        <v>0</v>
      </c>
      <c r="P1295" s="445">
        <f>Q1295*2</f>
        <v>640</v>
      </c>
      <c r="Q1295" s="446">
        <v>320</v>
      </c>
      <c r="R1295" s="420" t="s">
        <v>10722</v>
      </c>
      <c r="S1295" s="400"/>
      <c r="T1295" s="400"/>
      <c r="U1295" s="400"/>
      <c r="V1295" s="400"/>
      <c r="W1295" s="460" t="s">
        <v>10603</v>
      </c>
      <c r="X1295" s="394" t="s">
        <v>11161</v>
      </c>
      <c r="Y1295" s="394" t="s">
        <v>11162</v>
      </c>
      <c r="Z1295" s="394" t="s">
        <v>16537</v>
      </c>
      <c r="AA1295" s="394" t="s">
        <v>11163</v>
      </c>
      <c r="AB1295" s="416" t="s">
        <v>10721</v>
      </c>
      <c r="AC1295" s="416"/>
      <c r="AD1295" s="461"/>
      <c r="AE1295" s="499" t="s">
        <v>17167</v>
      </c>
      <c r="AF1295" s="475">
        <v>43775</v>
      </c>
      <c r="AG1295" s="748">
        <v>44065</v>
      </c>
      <c r="AH1295" s="417" t="s">
        <v>210</v>
      </c>
      <c r="AI1295" s="392" t="s">
        <v>210</v>
      </c>
      <c r="AJ1295" s="392" t="s">
        <v>210</v>
      </c>
      <c r="AK1295" s="340" t="s">
        <v>210</v>
      </c>
      <c r="AL1295" s="417" t="s">
        <v>210</v>
      </c>
      <c r="AM1295" s="392" t="s">
        <v>210</v>
      </c>
      <c r="AN1295" s="392" t="s">
        <v>210</v>
      </c>
      <c r="AO1295" s="341" t="s">
        <v>210</v>
      </c>
      <c r="AP1295" s="488" t="s">
        <v>622</v>
      </c>
      <c r="AQ1295" s="429" t="s">
        <v>4547</v>
      </c>
      <c r="AR1295" s="452">
        <v>500</v>
      </c>
      <c r="AS1295" s="324">
        <v>100</v>
      </c>
      <c r="AT1295" s="432">
        <v>1</v>
      </c>
      <c r="AU1295" s="432" t="s">
        <v>10725</v>
      </c>
      <c r="AV1295" s="432">
        <v>1.5</v>
      </c>
      <c r="AW1295" s="490" t="s">
        <v>10726</v>
      </c>
      <c r="AX1295" s="453" t="s">
        <v>210</v>
      </c>
      <c r="AY1295" s="429" t="s">
        <v>210</v>
      </c>
      <c r="AZ1295" s="405" t="s">
        <v>4083</v>
      </c>
      <c r="BA1295" s="324" t="s">
        <v>210</v>
      </c>
      <c r="BB1295" s="324" t="s">
        <v>210</v>
      </c>
      <c r="BC1295" s="324" t="s">
        <v>3475</v>
      </c>
      <c r="BD1295" s="324" t="s">
        <v>3512</v>
      </c>
      <c r="BE1295" s="324" t="s">
        <v>3558</v>
      </c>
      <c r="BF1295" s="324" t="s">
        <v>3495</v>
      </c>
      <c r="BG1295" s="324" t="s">
        <v>3555</v>
      </c>
      <c r="BH1295" s="324" t="s">
        <v>3495</v>
      </c>
      <c r="BI1295" s="453">
        <v>1.6</v>
      </c>
      <c r="BJ1295" s="427" t="s">
        <v>210</v>
      </c>
      <c r="BK1295" s="428" t="s">
        <v>210</v>
      </c>
      <c r="BL1295" s="429" t="s">
        <v>210</v>
      </c>
      <c r="BM1295" s="429" t="s">
        <v>210</v>
      </c>
      <c r="BN1295" s="453" t="s">
        <v>210</v>
      </c>
      <c r="BO1295" s="464" t="s">
        <v>210</v>
      </c>
      <c r="BP1295" s="455" t="s">
        <v>210</v>
      </c>
      <c r="BQ1295" s="456" t="s">
        <v>917</v>
      </c>
      <c r="BR1295" s="342" t="s">
        <v>210</v>
      </c>
      <c r="BS1295" s="342" t="s">
        <v>622</v>
      </c>
      <c r="BT1295" s="342" t="s">
        <v>210</v>
      </c>
      <c r="BU1295" s="342" t="s">
        <v>210</v>
      </c>
      <c r="BV1295" s="342" t="s">
        <v>210</v>
      </c>
      <c r="BW1295" s="341" t="s">
        <v>210</v>
      </c>
      <c r="BX1295" s="341" t="s">
        <v>210</v>
      </c>
      <c r="BY1295" s="457" t="s">
        <v>10727</v>
      </c>
      <c r="BZ1295" s="363"/>
      <c r="CA1295" s="363"/>
      <c r="CB1295" s="363"/>
      <c r="CC1295" s="363"/>
    </row>
    <row r="1296" spans="2:82" ht="22.5" customHeight="1">
      <c r="B1296" s="442">
        <v>190045</v>
      </c>
      <c r="C1296" s="443" t="s">
        <v>11157</v>
      </c>
      <c r="D1296" s="439" t="s">
        <v>10650</v>
      </c>
      <c r="E1296" s="404" t="s">
        <v>5362</v>
      </c>
      <c r="F1296" s="405" t="s">
        <v>10610</v>
      </c>
      <c r="G1296" s="324" t="s">
        <v>10611</v>
      </c>
      <c r="H1296" s="324" t="s">
        <v>10666</v>
      </c>
      <c r="I1296" s="326" t="s">
        <v>383</v>
      </c>
      <c r="J1296" s="324" t="s">
        <v>7171</v>
      </c>
      <c r="K1296" s="324" t="s">
        <v>10612</v>
      </c>
      <c r="L1296" s="392" t="s">
        <v>210</v>
      </c>
      <c r="M1296" s="324" t="s">
        <v>7457</v>
      </c>
      <c r="N1296" s="444" t="s">
        <v>10613</v>
      </c>
      <c r="O1296" s="324">
        <v>100</v>
      </c>
      <c r="P1296" s="458">
        <v>553</v>
      </c>
      <c r="Q1296" s="459">
        <v>440</v>
      </c>
      <c r="R1296" s="420" t="s">
        <v>10665</v>
      </c>
      <c r="S1296" s="400"/>
      <c r="T1296" s="400"/>
      <c r="U1296" s="400"/>
      <c r="V1296" s="400"/>
      <c r="W1296" s="460" t="s">
        <v>10664</v>
      </c>
      <c r="X1296" s="394" t="s">
        <v>11158</v>
      </c>
      <c r="Y1296" s="394" t="s">
        <v>11159</v>
      </c>
      <c r="Z1296" s="394" t="s">
        <v>16504</v>
      </c>
      <c r="AA1296" s="394" t="s">
        <v>11160</v>
      </c>
      <c r="AB1296" s="416"/>
      <c r="AC1296" s="416"/>
      <c r="AD1296" s="498" t="s">
        <v>3807</v>
      </c>
      <c r="AE1296" s="335" t="s">
        <v>210</v>
      </c>
      <c r="AF1296" s="475">
        <v>43780</v>
      </c>
      <c r="AG1296" s="748">
        <v>43791</v>
      </c>
      <c r="AH1296" s="417" t="s">
        <v>210</v>
      </c>
      <c r="AI1296" s="392" t="s">
        <v>210</v>
      </c>
      <c r="AJ1296" s="392" t="s">
        <v>210</v>
      </c>
      <c r="AK1296" s="340" t="s">
        <v>210</v>
      </c>
      <c r="AL1296" s="417" t="s">
        <v>210</v>
      </c>
      <c r="AM1296" s="392" t="s">
        <v>210</v>
      </c>
      <c r="AN1296" s="392" t="s">
        <v>210</v>
      </c>
      <c r="AO1296" s="341" t="s">
        <v>210</v>
      </c>
      <c r="AP1296" s="488" t="s">
        <v>622</v>
      </c>
      <c r="AQ1296" s="429" t="s">
        <v>4547</v>
      </c>
      <c r="AR1296" s="452">
        <f>360.8+30.8</f>
        <v>391.6</v>
      </c>
      <c r="AS1296" s="324">
        <v>150</v>
      </c>
      <c r="AT1296" s="432">
        <v>1</v>
      </c>
      <c r="AU1296" s="432" t="s">
        <v>10667</v>
      </c>
      <c r="AV1296" s="432">
        <v>1.7</v>
      </c>
      <c r="AW1296" s="490" t="s">
        <v>10668</v>
      </c>
      <c r="AX1296" s="453" t="s">
        <v>210</v>
      </c>
      <c r="AY1296" s="429" t="s">
        <v>210</v>
      </c>
      <c r="AZ1296" s="405" t="s">
        <v>4083</v>
      </c>
      <c r="BA1296" s="324" t="s">
        <v>210</v>
      </c>
      <c r="BB1296" s="324" t="s">
        <v>210</v>
      </c>
      <c r="BC1296" s="324" t="s">
        <v>210</v>
      </c>
      <c r="BD1296" s="324" t="s">
        <v>210</v>
      </c>
      <c r="BE1296" s="324" t="s">
        <v>10669</v>
      </c>
      <c r="BF1296" s="324" t="s">
        <v>10668</v>
      </c>
      <c r="BG1296" s="324" t="s">
        <v>10670</v>
      </c>
      <c r="BH1296" s="324" t="s">
        <v>10668</v>
      </c>
      <c r="BI1296" s="453">
        <v>1.35</v>
      </c>
      <c r="BJ1296" s="427" t="s">
        <v>10671</v>
      </c>
      <c r="BK1296" s="427" t="s">
        <v>10671</v>
      </c>
      <c r="BL1296" s="427" t="s">
        <v>10671</v>
      </c>
      <c r="BM1296" s="491" t="s">
        <v>210</v>
      </c>
      <c r="BN1296" s="453" t="s">
        <v>622</v>
      </c>
      <c r="BO1296" s="464">
        <v>23</v>
      </c>
      <c r="BP1296" s="455" t="s">
        <v>10672</v>
      </c>
      <c r="BQ1296" s="456" t="s">
        <v>10673</v>
      </c>
      <c r="BR1296" s="392" t="s">
        <v>210</v>
      </c>
      <c r="BS1296" s="342" t="s">
        <v>622</v>
      </c>
      <c r="BT1296" s="392" t="s">
        <v>210</v>
      </c>
      <c r="BU1296" s="392" t="s">
        <v>210</v>
      </c>
      <c r="BV1296" s="392" t="s">
        <v>210</v>
      </c>
      <c r="BW1296" s="392" t="s">
        <v>210</v>
      </c>
      <c r="BX1296" s="392" t="s">
        <v>210</v>
      </c>
      <c r="BY1296" s="457"/>
      <c r="BZ1296" s="363"/>
      <c r="CA1296" s="363"/>
      <c r="CB1296" s="363"/>
      <c r="CC1296" s="363"/>
    </row>
    <row r="1297" spans="1:82" ht="22.5" customHeight="1">
      <c r="B1297" s="442">
        <v>190046</v>
      </c>
      <c r="C1297" s="443" t="s">
        <v>10783</v>
      </c>
      <c r="D1297" s="467" t="s">
        <v>10699</v>
      </c>
      <c r="E1297" s="404" t="s">
        <v>10784</v>
      </c>
      <c r="F1297" s="405" t="s">
        <v>10575</v>
      </c>
      <c r="G1297" s="324" t="s">
        <v>10576</v>
      </c>
      <c r="H1297" s="324" t="s">
        <v>10577</v>
      </c>
      <c r="I1297" s="326" t="s">
        <v>383</v>
      </c>
      <c r="J1297" s="326" t="s">
        <v>10788</v>
      </c>
      <c r="K1297" s="324" t="s">
        <v>10787</v>
      </c>
      <c r="L1297" s="342">
        <v>5.2</v>
      </c>
      <c r="M1297" s="324" t="s">
        <v>7457</v>
      </c>
      <c r="N1297" s="444" t="s">
        <v>10786</v>
      </c>
      <c r="O1297" s="324">
        <v>30</v>
      </c>
      <c r="P1297" s="458">
        <v>589</v>
      </c>
      <c r="Q1297" s="459">
        <v>608</v>
      </c>
      <c r="R1297" s="416" t="s">
        <v>10684</v>
      </c>
      <c r="S1297" s="332" t="s">
        <v>11154</v>
      </c>
      <c r="T1297" s="394" t="s">
        <v>11155</v>
      </c>
      <c r="U1297" s="400"/>
      <c r="V1297" s="394" t="s">
        <v>15455</v>
      </c>
      <c r="W1297" s="460" t="s">
        <v>1438</v>
      </c>
      <c r="X1297" s="394" t="s">
        <v>11150</v>
      </c>
      <c r="Y1297" s="394" t="s">
        <v>11151</v>
      </c>
      <c r="Z1297" s="394" t="s">
        <v>11152</v>
      </c>
      <c r="AA1297" s="394" t="s">
        <v>11153</v>
      </c>
      <c r="AB1297" s="416" t="s">
        <v>11148</v>
      </c>
      <c r="AC1297" s="416" t="s">
        <v>10718</v>
      </c>
      <c r="AD1297" s="447" t="s">
        <v>10796</v>
      </c>
      <c r="AE1297" s="499" t="s">
        <v>10794</v>
      </c>
      <c r="AF1297" s="475">
        <v>43781</v>
      </c>
      <c r="AG1297" s="748">
        <v>43907</v>
      </c>
      <c r="AH1297" s="417" t="s">
        <v>210</v>
      </c>
      <c r="AI1297" s="392" t="s">
        <v>210</v>
      </c>
      <c r="AJ1297" s="392" t="s">
        <v>210</v>
      </c>
      <c r="AK1297" s="340" t="s">
        <v>210</v>
      </c>
      <c r="AL1297" s="417" t="s">
        <v>210</v>
      </c>
      <c r="AM1297" s="392" t="s">
        <v>210</v>
      </c>
      <c r="AN1297" s="392" t="s">
        <v>210</v>
      </c>
      <c r="AO1297" s="341" t="s">
        <v>210</v>
      </c>
      <c r="AP1297" s="341" t="s">
        <v>210</v>
      </c>
      <c r="AQ1297" s="429" t="s">
        <v>4547</v>
      </c>
      <c r="AR1297" s="452">
        <v>976</v>
      </c>
      <c r="AS1297" s="324">
        <v>100</v>
      </c>
      <c r="AT1297" s="432">
        <v>1</v>
      </c>
      <c r="AU1297" s="432" t="s">
        <v>10789</v>
      </c>
      <c r="AV1297" s="432">
        <v>1.5</v>
      </c>
      <c r="AW1297" s="432" t="s">
        <v>10789</v>
      </c>
      <c r="AX1297" s="453" t="s">
        <v>210</v>
      </c>
      <c r="AY1297" s="413"/>
      <c r="AZ1297" s="405" t="s">
        <v>4083</v>
      </c>
      <c r="BA1297" s="324" t="s">
        <v>210</v>
      </c>
      <c r="BB1297" s="324" t="s">
        <v>210</v>
      </c>
      <c r="BC1297" s="324" t="s">
        <v>10790</v>
      </c>
      <c r="BD1297" s="324" t="s">
        <v>3627</v>
      </c>
      <c r="BE1297" s="324" t="s">
        <v>10791</v>
      </c>
      <c r="BF1297" s="324" t="s">
        <v>3627</v>
      </c>
      <c r="BG1297" s="324" t="s">
        <v>10791</v>
      </c>
      <c r="BH1297" s="324" t="s">
        <v>3627</v>
      </c>
      <c r="BI1297" s="453">
        <v>3</v>
      </c>
      <c r="BJ1297" s="427" t="s">
        <v>10507</v>
      </c>
      <c r="BK1297" s="427" t="s">
        <v>210</v>
      </c>
      <c r="BL1297" s="427" t="s">
        <v>210</v>
      </c>
      <c r="BM1297" s="491" t="s">
        <v>210</v>
      </c>
      <c r="BN1297" s="453" t="s">
        <v>622</v>
      </c>
      <c r="BO1297" s="464">
        <v>1.27</v>
      </c>
      <c r="BP1297" s="455" t="s">
        <v>210</v>
      </c>
      <c r="BQ1297" s="456" t="s">
        <v>10792</v>
      </c>
      <c r="BR1297" s="392" t="s">
        <v>210</v>
      </c>
      <c r="BS1297" s="342" t="s">
        <v>622</v>
      </c>
      <c r="BT1297" s="392" t="s">
        <v>210</v>
      </c>
      <c r="BU1297" s="392" t="s">
        <v>210</v>
      </c>
      <c r="BV1297" s="392" t="s">
        <v>210</v>
      </c>
      <c r="BW1297" s="392" t="s">
        <v>210</v>
      </c>
      <c r="BX1297" s="392" t="s">
        <v>210</v>
      </c>
      <c r="BY1297" s="457" t="s">
        <v>10781</v>
      </c>
      <c r="BZ1297" s="363"/>
      <c r="CA1297" s="363"/>
      <c r="CB1297" s="363"/>
      <c r="CC1297" s="363"/>
    </row>
    <row r="1298" spans="1:82" ht="22.5" customHeight="1">
      <c r="B1298" s="442" t="s">
        <v>10782</v>
      </c>
      <c r="C1298" s="443" t="s">
        <v>10785</v>
      </c>
      <c r="D1298" s="467" t="s">
        <v>7463</v>
      </c>
      <c r="E1298" s="404" t="s">
        <v>10784</v>
      </c>
      <c r="F1298" s="405" t="s">
        <v>266</v>
      </c>
      <c r="G1298" s="324" t="s">
        <v>3889</v>
      </c>
      <c r="H1298" s="324" t="s">
        <v>10577</v>
      </c>
      <c r="I1298" s="326" t="s">
        <v>383</v>
      </c>
      <c r="J1298" s="324" t="s">
        <v>7171</v>
      </c>
      <c r="K1298" s="324" t="s">
        <v>10787</v>
      </c>
      <c r="L1298" s="342">
        <v>5.2</v>
      </c>
      <c r="M1298" s="324" t="s">
        <v>7457</v>
      </c>
      <c r="N1298" s="444" t="s">
        <v>10786</v>
      </c>
      <c r="O1298" s="324">
        <v>30</v>
      </c>
      <c r="P1298" s="458">
        <v>319</v>
      </c>
      <c r="Q1298" s="459">
        <v>181</v>
      </c>
      <c r="R1298" s="416" t="s">
        <v>10684</v>
      </c>
      <c r="S1298" s="332" t="s">
        <v>11154</v>
      </c>
      <c r="T1298" s="394" t="s">
        <v>11155</v>
      </c>
      <c r="U1298" s="400"/>
      <c r="V1298" s="394" t="s">
        <v>15455</v>
      </c>
      <c r="W1298" s="460" t="s">
        <v>1438</v>
      </c>
      <c r="X1298" s="394" t="s">
        <v>11150</v>
      </c>
      <c r="Y1298" s="394" t="s">
        <v>11151</v>
      </c>
      <c r="Z1298" s="394" t="s">
        <v>11152</v>
      </c>
      <c r="AA1298" s="394" t="s">
        <v>11153</v>
      </c>
      <c r="AB1298" s="416" t="s">
        <v>11149</v>
      </c>
      <c r="AC1298" s="416" t="s">
        <v>13773</v>
      </c>
      <c r="AD1298" s="447" t="s">
        <v>10796</v>
      </c>
      <c r="AE1298" s="499" t="s">
        <v>10794</v>
      </c>
      <c r="AF1298" s="475">
        <v>43781</v>
      </c>
      <c r="AG1298" s="748">
        <v>43907</v>
      </c>
      <c r="AH1298" s="417" t="s">
        <v>210</v>
      </c>
      <c r="AI1298" s="392" t="s">
        <v>210</v>
      </c>
      <c r="AJ1298" s="392" t="s">
        <v>210</v>
      </c>
      <c r="AK1298" s="340" t="s">
        <v>210</v>
      </c>
      <c r="AL1298" s="417" t="s">
        <v>210</v>
      </c>
      <c r="AM1298" s="392" t="s">
        <v>210</v>
      </c>
      <c r="AN1298" s="392" t="s">
        <v>210</v>
      </c>
      <c r="AO1298" s="341" t="s">
        <v>210</v>
      </c>
      <c r="AP1298" s="341" t="s">
        <v>210</v>
      </c>
      <c r="AQ1298" s="429" t="s">
        <v>4547</v>
      </c>
      <c r="AR1298" s="452">
        <v>277</v>
      </c>
      <c r="AS1298" s="324">
        <v>100</v>
      </c>
      <c r="AT1298" s="432">
        <v>1</v>
      </c>
      <c r="AU1298" s="432" t="s">
        <v>10789</v>
      </c>
      <c r="AV1298" s="432">
        <v>1.5</v>
      </c>
      <c r="AW1298" s="432" t="s">
        <v>10789</v>
      </c>
      <c r="AX1298" s="453" t="s">
        <v>210</v>
      </c>
      <c r="AY1298" s="413"/>
      <c r="AZ1298" s="405" t="s">
        <v>4083</v>
      </c>
      <c r="BA1298" s="324" t="s">
        <v>210</v>
      </c>
      <c r="BB1298" s="324" t="s">
        <v>210</v>
      </c>
      <c r="BC1298" s="324" t="s">
        <v>10790</v>
      </c>
      <c r="BD1298" s="324" t="s">
        <v>3627</v>
      </c>
      <c r="BE1298" s="324" t="s">
        <v>10791</v>
      </c>
      <c r="BF1298" s="324" t="s">
        <v>3627</v>
      </c>
      <c r="BG1298" s="324" t="s">
        <v>10791</v>
      </c>
      <c r="BH1298" s="324" t="s">
        <v>3627</v>
      </c>
      <c r="BI1298" s="453">
        <v>3</v>
      </c>
      <c r="BJ1298" s="427" t="s">
        <v>10507</v>
      </c>
      <c r="BK1298" s="427" t="s">
        <v>210</v>
      </c>
      <c r="BL1298" s="427" t="s">
        <v>210</v>
      </c>
      <c r="BM1298" s="491" t="s">
        <v>210</v>
      </c>
      <c r="BN1298" s="453" t="s">
        <v>622</v>
      </c>
      <c r="BO1298" s="464">
        <v>1.27</v>
      </c>
      <c r="BP1298" s="455" t="s">
        <v>210</v>
      </c>
      <c r="BQ1298" s="456" t="s">
        <v>10792</v>
      </c>
      <c r="BR1298" s="392" t="s">
        <v>210</v>
      </c>
      <c r="BS1298" s="342" t="s">
        <v>622</v>
      </c>
      <c r="BT1298" s="392" t="s">
        <v>210</v>
      </c>
      <c r="BU1298" s="392" t="s">
        <v>210</v>
      </c>
      <c r="BV1298" s="392" t="s">
        <v>210</v>
      </c>
      <c r="BW1298" s="392" t="s">
        <v>210</v>
      </c>
      <c r="BX1298" s="392" t="s">
        <v>210</v>
      </c>
      <c r="BY1298" s="457"/>
      <c r="BZ1298" s="363"/>
      <c r="CA1298" s="363"/>
      <c r="CB1298" s="363"/>
      <c r="CC1298" s="363"/>
    </row>
    <row r="1299" spans="1:82" ht="22.5" customHeight="1">
      <c r="B1299" s="442">
        <v>190047</v>
      </c>
      <c r="C1299" s="443" t="s">
        <v>15297</v>
      </c>
      <c r="D1299" s="467" t="s">
        <v>8462</v>
      </c>
      <c r="E1299" s="404" t="s">
        <v>5362</v>
      </c>
      <c r="F1299" s="405" t="s">
        <v>10707</v>
      </c>
      <c r="G1299" s="324" t="s">
        <v>10708</v>
      </c>
      <c r="H1299" s="324" t="s">
        <v>10709</v>
      </c>
      <c r="I1299" s="326" t="s">
        <v>383</v>
      </c>
      <c r="J1299" s="324" t="s">
        <v>6632</v>
      </c>
      <c r="K1299" s="324" t="s">
        <v>247</v>
      </c>
      <c r="L1299" s="342">
        <v>2.9</v>
      </c>
      <c r="M1299" s="324" t="s">
        <v>7457</v>
      </c>
      <c r="N1299" s="444" t="s">
        <v>10855</v>
      </c>
      <c r="O1299" s="324">
        <v>150</v>
      </c>
      <c r="P1299" s="445">
        <f>Q1299+840</f>
        <v>13240</v>
      </c>
      <c r="Q1299" s="446">
        <v>12400</v>
      </c>
      <c r="R1299" s="420" t="s">
        <v>10660</v>
      </c>
      <c r="S1299" s="400"/>
      <c r="T1299" s="400"/>
      <c r="U1299" s="400"/>
      <c r="V1299" s="400"/>
      <c r="W1299" s="460" t="s">
        <v>10661</v>
      </c>
      <c r="X1299" s="400"/>
      <c r="Y1299" s="400"/>
      <c r="Z1299" s="400"/>
      <c r="AA1299" s="400"/>
      <c r="AB1299" s="333" t="s">
        <v>9174</v>
      </c>
      <c r="AC1299" s="416"/>
      <c r="AD1299" s="461"/>
      <c r="AE1299" s="485"/>
      <c r="AF1299" s="475">
        <v>43794</v>
      </c>
      <c r="AG1299" s="389"/>
      <c r="AH1299" s="417" t="s">
        <v>210</v>
      </c>
      <c r="AI1299" s="392" t="s">
        <v>210</v>
      </c>
      <c r="AJ1299" s="392" t="s">
        <v>210</v>
      </c>
      <c r="AK1299" s="340" t="s">
        <v>210</v>
      </c>
      <c r="AL1299" s="417" t="s">
        <v>210</v>
      </c>
      <c r="AM1299" s="392" t="s">
        <v>210</v>
      </c>
      <c r="AN1299" s="392" t="s">
        <v>210</v>
      </c>
      <c r="AO1299" s="341" t="s">
        <v>210</v>
      </c>
      <c r="AP1299" s="341" t="s">
        <v>210</v>
      </c>
      <c r="AQ1299" s="489" t="s">
        <v>5382</v>
      </c>
      <c r="AR1299" s="452">
        <f>12020+2587</f>
        <v>14607</v>
      </c>
      <c r="AS1299" s="324">
        <v>150</v>
      </c>
      <c r="AT1299" s="432">
        <v>1</v>
      </c>
      <c r="AU1299" s="432" t="s">
        <v>10856</v>
      </c>
      <c r="AV1299" s="432">
        <v>1</v>
      </c>
      <c r="AW1299" s="432" t="s">
        <v>10856</v>
      </c>
      <c r="AX1299" s="453" t="s">
        <v>210</v>
      </c>
      <c r="AY1299" s="429" t="s">
        <v>210</v>
      </c>
      <c r="AZ1299" s="405" t="s">
        <v>4083</v>
      </c>
      <c r="BA1299" s="324" t="s">
        <v>210</v>
      </c>
      <c r="BB1299" s="324" t="s">
        <v>210</v>
      </c>
      <c r="BC1299" s="324" t="s">
        <v>210</v>
      </c>
      <c r="BD1299" s="324" t="s">
        <v>210</v>
      </c>
      <c r="BE1299" s="324" t="s">
        <v>3459</v>
      </c>
      <c r="BF1299" s="324" t="s">
        <v>3574</v>
      </c>
      <c r="BG1299" s="324" t="s">
        <v>10857</v>
      </c>
      <c r="BH1299" s="324" t="s">
        <v>3574</v>
      </c>
      <c r="BI1299" s="453" t="s">
        <v>10858</v>
      </c>
      <c r="BJ1299" s="427" t="s">
        <v>10507</v>
      </c>
      <c r="BK1299" s="427" t="s">
        <v>210</v>
      </c>
      <c r="BL1299" s="427" t="s">
        <v>210</v>
      </c>
      <c r="BM1299" s="491" t="s">
        <v>210</v>
      </c>
      <c r="BN1299" s="453" t="s">
        <v>210</v>
      </c>
      <c r="BO1299" s="464" t="s">
        <v>210</v>
      </c>
      <c r="BP1299" s="455" t="s">
        <v>210</v>
      </c>
      <c r="BQ1299" s="456" t="s">
        <v>10350</v>
      </c>
      <c r="BR1299" s="342" t="s">
        <v>622</v>
      </c>
      <c r="BS1299" s="342" t="s">
        <v>622</v>
      </c>
      <c r="BT1299" s="392" t="s">
        <v>210</v>
      </c>
      <c r="BU1299" s="392" t="s">
        <v>210</v>
      </c>
      <c r="BV1299" s="392" t="s">
        <v>210</v>
      </c>
      <c r="BW1299" s="392" t="s">
        <v>210</v>
      </c>
      <c r="BX1299" s="392" t="s">
        <v>210</v>
      </c>
      <c r="BY1299" s="457" t="s">
        <v>10922</v>
      </c>
      <c r="BZ1299" s="363"/>
      <c r="CA1299" s="363"/>
      <c r="CB1299" s="363"/>
      <c r="CC1299" s="363"/>
    </row>
    <row r="1300" spans="1:82" ht="22.5" customHeight="1">
      <c r="B1300" s="442">
        <v>190048</v>
      </c>
      <c r="C1300" s="443" t="s">
        <v>10765</v>
      </c>
      <c r="D1300" s="467" t="s">
        <v>4854</v>
      </c>
      <c r="E1300" s="404" t="s">
        <v>5362</v>
      </c>
      <c r="F1300" s="405" t="s">
        <v>2300</v>
      </c>
      <c r="G1300" s="324" t="s">
        <v>10702</v>
      </c>
      <c r="H1300" s="324" t="s">
        <v>10703</v>
      </c>
      <c r="I1300" s="326" t="s">
        <v>383</v>
      </c>
      <c r="J1300" s="324" t="s">
        <v>6632</v>
      </c>
      <c r="K1300" s="324" t="s">
        <v>7449</v>
      </c>
      <c r="L1300" s="392" t="s">
        <v>210</v>
      </c>
      <c r="M1300" s="324" t="s">
        <v>10845</v>
      </c>
      <c r="N1300" s="444" t="s">
        <v>448</v>
      </c>
      <c r="O1300" s="324">
        <v>0</v>
      </c>
      <c r="P1300" s="445">
        <v>2600</v>
      </c>
      <c r="Q1300" s="446">
        <v>1600</v>
      </c>
      <c r="R1300" s="420" t="s">
        <v>10704</v>
      </c>
      <c r="S1300" s="394" t="s">
        <v>11146</v>
      </c>
      <c r="T1300" s="394" t="s">
        <v>11145</v>
      </c>
      <c r="U1300" s="394" t="s">
        <v>16243</v>
      </c>
      <c r="V1300" s="394" t="s">
        <v>11147</v>
      </c>
      <c r="W1300" s="332" t="s">
        <v>432</v>
      </c>
      <c r="X1300" s="331" t="s">
        <v>11079</v>
      </c>
      <c r="Y1300" s="331" t="s">
        <v>11080</v>
      </c>
      <c r="Z1300" s="331" t="s">
        <v>11080</v>
      </c>
      <c r="AA1300" s="331" t="s">
        <v>11080</v>
      </c>
      <c r="AB1300" s="416" t="s">
        <v>16189</v>
      </c>
      <c r="AC1300" s="416"/>
      <c r="AD1300" s="461"/>
      <c r="AE1300" s="485"/>
      <c r="AF1300" s="475">
        <v>43803</v>
      </c>
      <c r="AG1300" s="748">
        <v>43966</v>
      </c>
      <c r="AH1300" s="486" t="s">
        <v>14994</v>
      </c>
      <c r="AI1300" s="487" t="s">
        <v>14995</v>
      </c>
      <c r="AJ1300" s="487" t="s">
        <v>14996</v>
      </c>
      <c r="AK1300" s="451" t="s">
        <v>14997</v>
      </c>
      <c r="AL1300" s="417" t="s">
        <v>210</v>
      </c>
      <c r="AM1300" s="392" t="s">
        <v>210</v>
      </c>
      <c r="AN1300" s="392" t="s">
        <v>210</v>
      </c>
      <c r="AO1300" s="341" t="s">
        <v>210</v>
      </c>
      <c r="AP1300" s="488" t="s">
        <v>622</v>
      </c>
      <c r="AQ1300" s="489" t="s">
        <v>4547</v>
      </c>
      <c r="AR1300" s="452">
        <f>2389.8+711.7+391.7</f>
        <v>3493.2</v>
      </c>
      <c r="AS1300" s="324">
        <v>120</v>
      </c>
      <c r="AT1300" s="432">
        <v>1</v>
      </c>
      <c r="AU1300" s="432" t="s">
        <v>14892</v>
      </c>
      <c r="AV1300" s="432">
        <v>1.5</v>
      </c>
      <c r="AW1300" s="490" t="s">
        <v>14893</v>
      </c>
      <c r="AX1300" s="453" t="s">
        <v>210</v>
      </c>
      <c r="AY1300" s="429" t="s">
        <v>210</v>
      </c>
      <c r="AZ1300" s="405" t="s">
        <v>4083</v>
      </c>
      <c r="BA1300" s="324" t="s">
        <v>210</v>
      </c>
      <c r="BB1300" s="324" t="s">
        <v>210</v>
      </c>
      <c r="BC1300" s="324" t="s">
        <v>210</v>
      </c>
      <c r="BD1300" s="324" t="s">
        <v>210</v>
      </c>
      <c r="BE1300" s="324" t="s">
        <v>210</v>
      </c>
      <c r="BF1300" s="324" t="s">
        <v>210</v>
      </c>
      <c r="BG1300" s="324" t="s">
        <v>10947</v>
      </c>
      <c r="BH1300" s="426" t="s">
        <v>10948</v>
      </c>
      <c r="BI1300" s="453">
        <v>1</v>
      </c>
      <c r="BJ1300" s="427" t="s">
        <v>10949</v>
      </c>
      <c r="BK1300" s="427" t="s">
        <v>210</v>
      </c>
      <c r="BL1300" s="427" t="s">
        <v>210</v>
      </c>
      <c r="BM1300" s="491" t="s">
        <v>210</v>
      </c>
      <c r="BN1300" s="453" t="s">
        <v>622</v>
      </c>
      <c r="BO1300" s="464">
        <v>1.86</v>
      </c>
      <c r="BP1300" s="455" t="s">
        <v>622</v>
      </c>
      <c r="BQ1300" s="456" t="s">
        <v>1059</v>
      </c>
      <c r="BR1300" s="392" t="s">
        <v>210</v>
      </c>
      <c r="BS1300" s="342" t="s">
        <v>10848</v>
      </c>
      <c r="BT1300" s="392" t="s">
        <v>10849</v>
      </c>
      <c r="BU1300" s="392" t="s">
        <v>10850</v>
      </c>
      <c r="BV1300" s="392" t="s">
        <v>210</v>
      </c>
      <c r="BW1300" s="392" t="s">
        <v>10851</v>
      </c>
      <c r="BX1300" s="392" t="s">
        <v>10846</v>
      </c>
      <c r="BY1300" s="457" t="s">
        <v>11069</v>
      </c>
      <c r="BZ1300" s="363"/>
      <c r="CA1300" s="363"/>
      <c r="CB1300" s="363"/>
      <c r="CC1300" s="363"/>
    </row>
    <row r="1301" spans="1:82" ht="22.5" customHeight="1">
      <c r="B1301" s="493">
        <v>190049</v>
      </c>
      <c r="C1301" s="1066" t="s">
        <v>10740</v>
      </c>
      <c r="D1301" s="439" t="s">
        <v>9918</v>
      </c>
      <c r="E1301" s="404" t="s">
        <v>5363</v>
      </c>
      <c r="F1301" s="405" t="s">
        <v>839</v>
      </c>
      <c r="G1301" s="324" t="s">
        <v>9652</v>
      </c>
      <c r="H1301" s="324" t="s">
        <v>9653</v>
      </c>
      <c r="I1301" s="326" t="s">
        <v>383</v>
      </c>
      <c r="J1301" s="326" t="s">
        <v>399</v>
      </c>
      <c r="K1301" s="324" t="s">
        <v>917</v>
      </c>
      <c r="L1301" s="392" t="s">
        <v>210</v>
      </c>
      <c r="M1301" s="324" t="s">
        <v>7457</v>
      </c>
      <c r="N1301" s="444" t="s">
        <v>10859</v>
      </c>
      <c r="O1301" s="324">
        <v>30</v>
      </c>
      <c r="P1301" s="445">
        <v>1300</v>
      </c>
      <c r="Q1301" s="446">
        <f>P1301</f>
        <v>1300</v>
      </c>
      <c r="R1301" s="329" t="s">
        <v>14974</v>
      </c>
      <c r="S1301" s="331" t="s">
        <v>11142</v>
      </c>
      <c r="T1301" s="331" t="s">
        <v>14922</v>
      </c>
      <c r="U1301" s="330"/>
      <c r="V1301" s="331" t="s">
        <v>11143</v>
      </c>
      <c r="W1301" s="332" t="s">
        <v>519</v>
      </c>
      <c r="X1301" s="331" t="s">
        <v>15444</v>
      </c>
      <c r="Y1301" s="330"/>
      <c r="Z1301" s="330"/>
      <c r="AA1301" s="331" t="s">
        <v>11144</v>
      </c>
      <c r="AB1301" s="333"/>
      <c r="AC1301" s="333"/>
      <c r="AD1301" s="334" t="s">
        <v>4883</v>
      </c>
      <c r="AE1301" s="335" t="s">
        <v>210</v>
      </c>
      <c r="AF1301" s="475">
        <v>43803</v>
      </c>
      <c r="AG1301" s="748">
        <v>43987</v>
      </c>
      <c r="AH1301" s="417" t="s">
        <v>210</v>
      </c>
      <c r="AI1301" s="392" t="s">
        <v>210</v>
      </c>
      <c r="AJ1301" s="392" t="s">
        <v>210</v>
      </c>
      <c r="AK1301" s="340" t="s">
        <v>210</v>
      </c>
      <c r="AL1301" s="417" t="s">
        <v>210</v>
      </c>
      <c r="AM1301" s="392" t="s">
        <v>210</v>
      </c>
      <c r="AN1301" s="392" t="s">
        <v>210</v>
      </c>
      <c r="AO1301" s="341" t="s">
        <v>210</v>
      </c>
      <c r="AP1301" s="488" t="s">
        <v>622</v>
      </c>
      <c r="AQ1301" s="489" t="s">
        <v>4547</v>
      </c>
      <c r="AR1301" s="452">
        <v>1796</v>
      </c>
      <c r="AS1301" s="324">
        <v>80</v>
      </c>
      <c r="AT1301" s="432">
        <v>1</v>
      </c>
      <c r="AU1301" s="432" t="s">
        <v>10860</v>
      </c>
      <c r="AV1301" s="432">
        <v>1.5</v>
      </c>
      <c r="AW1301" s="432" t="s">
        <v>10860</v>
      </c>
      <c r="AX1301" s="453" t="s">
        <v>210</v>
      </c>
      <c r="AY1301" s="429" t="s">
        <v>210</v>
      </c>
      <c r="AZ1301" s="405" t="s">
        <v>622</v>
      </c>
      <c r="BA1301" s="324" t="s">
        <v>10861</v>
      </c>
      <c r="BB1301" s="324" t="s">
        <v>10862</v>
      </c>
      <c r="BC1301" s="324" t="s">
        <v>10863</v>
      </c>
      <c r="BD1301" s="324" t="s">
        <v>10864</v>
      </c>
      <c r="BE1301" s="324" t="s">
        <v>10861</v>
      </c>
      <c r="BF1301" s="324" t="s">
        <v>10865</v>
      </c>
      <c r="BG1301" s="324" t="s">
        <v>10866</v>
      </c>
      <c r="BH1301" s="426" t="s">
        <v>10867</v>
      </c>
      <c r="BI1301" s="453">
        <v>2.5</v>
      </c>
      <c r="BJ1301" s="427">
        <v>2.1</v>
      </c>
      <c r="BK1301" s="428" t="s">
        <v>10864</v>
      </c>
      <c r="BL1301" s="429">
        <v>2.5</v>
      </c>
      <c r="BM1301" s="491" t="s">
        <v>210</v>
      </c>
      <c r="BN1301" s="453" t="s">
        <v>622</v>
      </c>
      <c r="BO1301" s="464">
        <v>1.03</v>
      </c>
      <c r="BP1301" s="455" t="s">
        <v>622</v>
      </c>
      <c r="BQ1301" s="456" t="s">
        <v>6407</v>
      </c>
      <c r="BR1301" s="392" t="s">
        <v>210</v>
      </c>
      <c r="BS1301" s="342" t="s">
        <v>622</v>
      </c>
      <c r="BT1301" s="392" t="s">
        <v>210</v>
      </c>
      <c r="BU1301" s="392" t="s">
        <v>210</v>
      </c>
      <c r="BV1301" s="392" t="s">
        <v>210</v>
      </c>
      <c r="BW1301" s="392" t="s">
        <v>210</v>
      </c>
      <c r="BX1301" s="392" t="s">
        <v>210</v>
      </c>
      <c r="BY1301" s="457" t="s">
        <v>10797</v>
      </c>
      <c r="BZ1301" s="363"/>
      <c r="CA1301" s="363"/>
      <c r="CB1301" s="363"/>
      <c r="CC1301" s="363"/>
    </row>
    <row r="1302" spans="1:82" ht="22.5" customHeight="1">
      <c r="B1302" s="493">
        <v>190050</v>
      </c>
      <c r="C1302" s="494" t="s">
        <v>10805</v>
      </c>
      <c r="D1302" s="439" t="s">
        <v>4849</v>
      </c>
      <c r="E1302" s="404" t="s">
        <v>5362</v>
      </c>
      <c r="F1302" s="405" t="s">
        <v>265</v>
      </c>
      <c r="G1302" s="324" t="s">
        <v>2950</v>
      </c>
      <c r="H1302" s="324" t="s">
        <v>10806</v>
      </c>
      <c r="I1302" s="326" t="s">
        <v>10807</v>
      </c>
      <c r="J1302" s="324" t="s">
        <v>6632</v>
      </c>
      <c r="K1302" s="324" t="s">
        <v>917</v>
      </c>
      <c r="L1302" s="392" t="s">
        <v>10808</v>
      </c>
      <c r="M1302" s="324" t="s">
        <v>6509</v>
      </c>
      <c r="N1302" s="444" t="s">
        <v>10951</v>
      </c>
      <c r="O1302" s="324" t="s">
        <v>10950</v>
      </c>
      <c r="P1302" s="458">
        <v>4435</v>
      </c>
      <c r="Q1302" s="459">
        <v>4371</v>
      </c>
      <c r="R1302" s="420" t="s">
        <v>10809</v>
      </c>
      <c r="S1302" s="394" t="s">
        <v>11137</v>
      </c>
      <c r="T1302" s="400"/>
      <c r="U1302" s="400"/>
      <c r="V1302" s="394" t="s">
        <v>11138</v>
      </c>
      <c r="W1302" s="460" t="s">
        <v>3874</v>
      </c>
      <c r="X1302" s="394" t="s">
        <v>11139</v>
      </c>
      <c r="Y1302" s="394" t="s">
        <v>11140</v>
      </c>
      <c r="Z1302" s="394" t="s">
        <v>16364</v>
      </c>
      <c r="AA1302" s="394" t="s">
        <v>11141</v>
      </c>
      <c r="AB1302" s="416"/>
      <c r="AC1302" s="416"/>
      <c r="AD1302" s="334" t="s">
        <v>2329</v>
      </c>
      <c r="AE1302" s="499" t="s">
        <v>15546</v>
      </c>
      <c r="AF1302" s="475">
        <v>43803</v>
      </c>
      <c r="AG1302" s="748">
        <v>43945</v>
      </c>
      <c r="AH1302" s="417" t="s">
        <v>10808</v>
      </c>
      <c r="AI1302" s="392" t="s">
        <v>10808</v>
      </c>
      <c r="AJ1302" s="392" t="s">
        <v>10810</v>
      </c>
      <c r="AK1302" s="340" t="s">
        <v>10811</v>
      </c>
      <c r="AL1302" s="417" t="s">
        <v>210</v>
      </c>
      <c r="AM1302" s="392" t="s">
        <v>210</v>
      </c>
      <c r="AN1302" s="392" t="s">
        <v>210</v>
      </c>
      <c r="AO1302" s="341" t="s">
        <v>210</v>
      </c>
      <c r="AP1302" s="392" t="s">
        <v>210</v>
      </c>
      <c r="AQ1302" s="429" t="s">
        <v>4547</v>
      </c>
      <c r="AR1302" s="452">
        <v>5324</v>
      </c>
      <c r="AS1302" s="324">
        <v>150</v>
      </c>
      <c r="AT1302" s="432">
        <v>0.8</v>
      </c>
      <c r="AU1302" s="432" t="s">
        <v>11033</v>
      </c>
      <c r="AV1302" s="432">
        <v>1.5</v>
      </c>
      <c r="AW1302" s="490" t="s">
        <v>11034</v>
      </c>
      <c r="AX1302" s="453" t="s">
        <v>210</v>
      </c>
      <c r="AY1302" s="429" t="s">
        <v>210</v>
      </c>
      <c r="AZ1302" s="405" t="s">
        <v>4083</v>
      </c>
      <c r="BA1302" s="324" t="s">
        <v>210</v>
      </c>
      <c r="BB1302" s="324" t="s">
        <v>210</v>
      </c>
      <c r="BC1302" s="324" t="s">
        <v>210</v>
      </c>
      <c r="BD1302" s="324" t="s">
        <v>210</v>
      </c>
      <c r="BE1302" s="324" t="s">
        <v>210</v>
      </c>
      <c r="BF1302" s="324" t="s">
        <v>210</v>
      </c>
      <c r="BG1302" s="324" t="s">
        <v>11030</v>
      </c>
      <c r="BH1302" s="426" t="s">
        <v>11031</v>
      </c>
      <c r="BI1302" s="453">
        <v>1</v>
      </c>
      <c r="BJ1302" s="886" t="s">
        <v>11038</v>
      </c>
      <c r="BK1302" s="427" t="s">
        <v>210</v>
      </c>
      <c r="BL1302" s="427" t="s">
        <v>210</v>
      </c>
      <c r="BM1302" s="491" t="s">
        <v>210</v>
      </c>
      <c r="BN1302" s="453" t="s">
        <v>622</v>
      </c>
      <c r="BO1302" s="464" t="s">
        <v>11032</v>
      </c>
      <c r="BP1302" s="455" t="s">
        <v>210</v>
      </c>
      <c r="BQ1302" s="456" t="s">
        <v>1059</v>
      </c>
      <c r="BR1302" s="392" t="s">
        <v>210</v>
      </c>
      <c r="BS1302" s="342" t="s">
        <v>622</v>
      </c>
      <c r="BT1302" s="392" t="s">
        <v>10812</v>
      </c>
      <c r="BU1302" s="392" t="s">
        <v>10813</v>
      </c>
      <c r="BV1302" s="392" t="s">
        <v>10814</v>
      </c>
      <c r="BW1302" s="392" t="s">
        <v>10812</v>
      </c>
      <c r="BX1302" s="392" t="s">
        <v>10812</v>
      </c>
      <c r="BY1302" s="457" t="s">
        <v>11037</v>
      </c>
      <c r="BZ1302" s="363"/>
      <c r="CA1302" s="363"/>
      <c r="CB1302" s="363"/>
      <c r="CC1302" s="363"/>
    </row>
    <row r="1303" spans="1:82" ht="22.5" customHeight="1">
      <c r="B1303" s="493">
        <v>190051</v>
      </c>
      <c r="C1303" s="494" t="s">
        <v>15454</v>
      </c>
      <c r="D1303" s="439" t="s">
        <v>8595</v>
      </c>
      <c r="E1303" s="404" t="s">
        <v>5362</v>
      </c>
      <c r="F1303" s="405" t="s">
        <v>227</v>
      </c>
      <c r="G1303" s="324" t="s">
        <v>10802</v>
      </c>
      <c r="H1303" s="324" t="s">
        <v>3854</v>
      </c>
      <c r="I1303" s="326" t="s">
        <v>383</v>
      </c>
      <c r="J1303" s="326" t="s">
        <v>399</v>
      </c>
      <c r="K1303" s="324" t="s">
        <v>917</v>
      </c>
      <c r="L1303" s="392" t="s">
        <v>210</v>
      </c>
      <c r="M1303" s="324" t="s">
        <v>7457</v>
      </c>
      <c r="N1303" s="444" t="s">
        <v>437</v>
      </c>
      <c r="O1303" s="324">
        <v>40</v>
      </c>
      <c r="P1303" s="445">
        <v>1000</v>
      </c>
      <c r="Q1303" s="446">
        <v>1000</v>
      </c>
      <c r="R1303" s="420" t="s">
        <v>10799</v>
      </c>
      <c r="S1303" s="394" t="s">
        <v>11134</v>
      </c>
      <c r="T1303" s="394" t="s">
        <v>11135</v>
      </c>
      <c r="U1303" s="394" t="s">
        <v>16267</v>
      </c>
      <c r="V1303" s="394" t="s">
        <v>11136</v>
      </c>
      <c r="W1303" s="460" t="s">
        <v>10798</v>
      </c>
      <c r="X1303" s="400"/>
      <c r="Y1303" s="400"/>
      <c r="Z1303" s="400"/>
      <c r="AA1303" s="400"/>
      <c r="AB1303" s="416"/>
      <c r="AC1303" s="416"/>
      <c r="AD1303" s="447" t="s">
        <v>13953</v>
      </c>
      <c r="AE1303" s="335" t="s">
        <v>210</v>
      </c>
      <c r="AF1303" s="475">
        <v>43804</v>
      </c>
      <c r="AG1303" s="748">
        <v>43868</v>
      </c>
      <c r="AH1303" s="417" t="s">
        <v>210</v>
      </c>
      <c r="AI1303" s="392" t="s">
        <v>210</v>
      </c>
      <c r="AJ1303" s="392" t="s">
        <v>210</v>
      </c>
      <c r="AK1303" s="340" t="s">
        <v>210</v>
      </c>
      <c r="AL1303" s="417" t="s">
        <v>210</v>
      </c>
      <c r="AM1303" s="392" t="s">
        <v>210</v>
      </c>
      <c r="AN1303" s="496" t="s">
        <v>10937</v>
      </c>
      <c r="AO1303" s="341" t="s">
        <v>210</v>
      </c>
      <c r="AP1303" s="488" t="s">
        <v>622</v>
      </c>
      <c r="AQ1303" s="429" t="s">
        <v>4547</v>
      </c>
      <c r="AR1303" s="452">
        <v>1018</v>
      </c>
      <c r="AS1303" s="324">
        <v>80</v>
      </c>
      <c r="AT1303" s="432">
        <v>1</v>
      </c>
      <c r="AU1303" s="432" t="s">
        <v>10929</v>
      </c>
      <c r="AV1303" s="432">
        <v>1.5</v>
      </c>
      <c r="AW1303" s="490" t="s">
        <v>10928</v>
      </c>
      <c r="AX1303" s="453" t="s">
        <v>210</v>
      </c>
      <c r="AY1303" s="429" t="s">
        <v>210</v>
      </c>
      <c r="AZ1303" s="405" t="s">
        <v>622</v>
      </c>
      <c r="BA1303" s="324" t="s">
        <v>10930</v>
      </c>
      <c r="BB1303" s="324" t="s">
        <v>10931</v>
      </c>
      <c r="BC1303" s="324" t="s">
        <v>10932</v>
      </c>
      <c r="BD1303" s="324" t="s">
        <v>10931</v>
      </c>
      <c r="BE1303" s="324" t="s">
        <v>10933</v>
      </c>
      <c r="BF1303" s="324" t="s">
        <v>10931</v>
      </c>
      <c r="BG1303" s="324" t="s">
        <v>10934</v>
      </c>
      <c r="BH1303" s="426" t="s">
        <v>10935</v>
      </c>
      <c r="BI1303" s="453">
        <v>2.5</v>
      </c>
      <c r="BJ1303" s="427">
        <v>1.4</v>
      </c>
      <c r="BK1303" s="428" t="s">
        <v>10936</v>
      </c>
      <c r="BL1303" s="429">
        <v>1.7</v>
      </c>
      <c r="BM1303" s="491" t="s">
        <v>210</v>
      </c>
      <c r="BN1303" s="453" t="s">
        <v>622</v>
      </c>
      <c r="BO1303" s="464">
        <v>1.91</v>
      </c>
      <c r="BP1303" s="455" t="s">
        <v>622</v>
      </c>
      <c r="BQ1303" s="456" t="s">
        <v>1059</v>
      </c>
      <c r="BR1303" s="392" t="s">
        <v>210</v>
      </c>
      <c r="BS1303" s="342" t="s">
        <v>622</v>
      </c>
      <c r="BT1303" s="392" t="s">
        <v>210</v>
      </c>
      <c r="BU1303" s="392" t="s">
        <v>210</v>
      </c>
      <c r="BV1303" s="392" t="s">
        <v>210</v>
      </c>
      <c r="BW1303" s="392" t="s">
        <v>210</v>
      </c>
      <c r="BX1303" s="392" t="s">
        <v>210</v>
      </c>
      <c r="BY1303" s="457" t="s">
        <v>10938</v>
      </c>
      <c r="BZ1303" s="363"/>
      <c r="CA1303" s="363"/>
      <c r="CB1303" s="363"/>
      <c r="CC1303" s="363"/>
    </row>
    <row r="1304" spans="1:82" ht="22.5" customHeight="1">
      <c r="B1304" s="493">
        <v>190052</v>
      </c>
      <c r="C1304" s="494" t="s">
        <v>10713</v>
      </c>
      <c r="D1304" s="467" t="s">
        <v>10876</v>
      </c>
      <c r="E1304" s="404" t="s">
        <v>5362</v>
      </c>
      <c r="F1304" s="405" t="s">
        <v>10714</v>
      </c>
      <c r="G1304" s="324" t="s">
        <v>10715</v>
      </c>
      <c r="H1304" s="324" t="s">
        <v>10852</v>
      </c>
      <c r="I1304" s="326" t="s">
        <v>383</v>
      </c>
      <c r="J1304" s="326" t="s">
        <v>399</v>
      </c>
      <c r="K1304" s="324" t="s">
        <v>917</v>
      </c>
      <c r="L1304" s="392" t="s">
        <v>210</v>
      </c>
      <c r="M1304" s="324" t="s">
        <v>7457</v>
      </c>
      <c r="N1304" s="444" t="s">
        <v>437</v>
      </c>
      <c r="O1304" s="324">
        <v>150</v>
      </c>
      <c r="P1304" s="445">
        <v>2550</v>
      </c>
      <c r="Q1304" s="446">
        <f>P1304</f>
        <v>2550</v>
      </c>
      <c r="R1304" s="420" t="s">
        <v>4096</v>
      </c>
      <c r="S1304" s="394" t="s">
        <v>11074</v>
      </c>
      <c r="T1304" s="394" t="s">
        <v>11546</v>
      </c>
      <c r="U1304" s="394" t="s">
        <v>14971</v>
      </c>
      <c r="V1304" s="394" t="s">
        <v>11131</v>
      </c>
      <c r="W1304" s="460" t="s">
        <v>4968</v>
      </c>
      <c r="X1304" s="394" t="s">
        <v>11075</v>
      </c>
      <c r="Y1304" s="394" t="s">
        <v>11076</v>
      </c>
      <c r="Z1304" s="394" t="s">
        <v>16364</v>
      </c>
      <c r="AA1304" s="394" t="s">
        <v>11132</v>
      </c>
      <c r="AB1304" s="416"/>
      <c r="AC1304" s="416"/>
      <c r="AD1304" s="498" t="s">
        <v>321</v>
      </c>
      <c r="AE1304" s="335" t="s">
        <v>210</v>
      </c>
      <c r="AF1304" s="475">
        <v>43808</v>
      </c>
      <c r="AG1304" s="389"/>
      <c r="AH1304" s="417" t="s">
        <v>210</v>
      </c>
      <c r="AI1304" s="392" t="s">
        <v>210</v>
      </c>
      <c r="AJ1304" s="392" t="s">
        <v>210</v>
      </c>
      <c r="AK1304" s="340" t="s">
        <v>210</v>
      </c>
      <c r="AL1304" s="417" t="s">
        <v>210</v>
      </c>
      <c r="AM1304" s="392" t="s">
        <v>210</v>
      </c>
      <c r="AN1304" s="392" t="s">
        <v>210</v>
      </c>
      <c r="AO1304" s="341" t="s">
        <v>210</v>
      </c>
      <c r="AP1304" s="392" t="s">
        <v>210</v>
      </c>
      <c r="AQ1304" s="429" t="s">
        <v>4547</v>
      </c>
      <c r="AR1304" s="452">
        <v>2924</v>
      </c>
      <c r="AS1304" s="324">
        <v>120</v>
      </c>
      <c r="AT1304" s="432">
        <v>1</v>
      </c>
      <c r="AU1304" s="432" t="s">
        <v>10961</v>
      </c>
      <c r="AV1304" s="432">
        <v>1.2</v>
      </c>
      <c r="AW1304" s="490" t="s">
        <v>10962</v>
      </c>
      <c r="AX1304" s="453" t="s">
        <v>210</v>
      </c>
      <c r="AY1304" s="429" t="s">
        <v>210</v>
      </c>
      <c r="AZ1304" s="405" t="s">
        <v>4083</v>
      </c>
      <c r="BA1304" s="324" t="s">
        <v>210</v>
      </c>
      <c r="BB1304" s="324" t="s">
        <v>210</v>
      </c>
      <c r="BC1304" s="324" t="s">
        <v>10963</v>
      </c>
      <c r="BD1304" s="324" t="s">
        <v>10962</v>
      </c>
      <c r="BE1304" s="324" t="s">
        <v>10964</v>
      </c>
      <c r="BF1304" s="324" t="s">
        <v>3409</v>
      </c>
      <c r="BG1304" s="324" t="s">
        <v>10965</v>
      </c>
      <c r="BH1304" s="426" t="s">
        <v>10966</v>
      </c>
      <c r="BI1304" s="453">
        <v>0.95</v>
      </c>
      <c r="BJ1304" s="427">
        <v>2.8</v>
      </c>
      <c r="BK1304" s="427" t="s">
        <v>210</v>
      </c>
      <c r="BL1304" s="427" t="s">
        <v>210</v>
      </c>
      <c r="BM1304" s="491" t="s">
        <v>210</v>
      </c>
      <c r="BN1304" s="453" t="s">
        <v>622</v>
      </c>
      <c r="BO1304" s="454" t="s">
        <v>10967</v>
      </c>
      <c r="BP1304" s="455" t="s">
        <v>622</v>
      </c>
      <c r="BQ1304" s="456" t="s">
        <v>10350</v>
      </c>
      <c r="BR1304" s="392" t="s">
        <v>210</v>
      </c>
      <c r="BS1304" s="342" t="s">
        <v>622</v>
      </c>
      <c r="BT1304" s="392" t="s">
        <v>210</v>
      </c>
      <c r="BU1304" s="392" t="s">
        <v>210</v>
      </c>
      <c r="BV1304" s="392" t="s">
        <v>10741</v>
      </c>
      <c r="BW1304" s="392" t="s">
        <v>210</v>
      </c>
      <c r="BX1304" s="392" t="s">
        <v>210</v>
      </c>
      <c r="BY1304" s="457" t="s">
        <v>10968</v>
      </c>
      <c r="BZ1304" s="363"/>
      <c r="CA1304" s="363"/>
      <c r="CB1304" s="363"/>
      <c r="CC1304" s="363"/>
    </row>
    <row r="1305" spans="1:82" ht="22.5" customHeight="1">
      <c r="B1305" s="493">
        <v>190053</v>
      </c>
      <c r="C1305" s="494" t="s">
        <v>10978</v>
      </c>
      <c r="D1305" s="439" t="s">
        <v>10894</v>
      </c>
      <c r="E1305" s="404" t="s">
        <v>5362</v>
      </c>
      <c r="F1305" s="405" t="s">
        <v>10868</v>
      </c>
      <c r="G1305" s="324" t="s">
        <v>10869</v>
      </c>
      <c r="H1305" s="324" t="s">
        <v>10870</v>
      </c>
      <c r="I1305" s="324" t="s">
        <v>766</v>
      </c>
      <c r="J1305" s="324" t="s">
        <v>7171</v>
      </c>
      <c r="K1305" s="324" t="s">
        <v>10970</v>
      </c>
      <c r="L1305" s="392" t="s">
        <v>210</v>
      </c>
      <c r="M1305" s="324" t="s">
        <v>766</v>
      </c>
      <c r="N1305" s="444" t="s">
        <v>10871</v>
      </c>
      <c r="O1305" s="324">
        <v>30</v>
      </c>
      <c r="P1305" s="495"/>
      <c r="Q1305" s="446">
        <v>1200</v>
      </c>
      <c r="R1305" s="420" t="s">
        <v>10872</v>
      </c>
      <c r="S1305" s="394" t="s">
        <v>15452</v>
      </c>
      <c r="T1305" s="394" t="s">
        <v>11129</v>
      </c>
      <c r="U1305" s="394" t="s">
        <v>15453</v>
      </c>
      <c r="V1305" s="394" t="s">
        <v>11130</v>
      </c>
      <c r="W1305" s="460" t="s">
        <v>10873</v>
      </c>
      <c r="X1305" s="400"/>
      <c r="Y1305" s="400"/>
      <c r="Z1305" s="400"/>
      <c r="AA1305" s="400"/>
      <c r="AB1305" s="416"/>
      <c r="AC1305" s="416"/>
      <c r="AD1305" s="461"/>
      <c r="AE1305" s="335" t="s">
        <v>210</v>
      </c>
      <c r="AF1305" s="475">
        <v>43810</v>
      </c>
      <c r="AG1305" s="748">
        <v>43901</v>
      </c>
      <c r="AH1305" s="417" t="s">
        <v>210</v>
      </c>
      <c r="AI1305" s="392" t="s">
        <v>210</v>
      </c>
      <c r="AJ1305" s="392" t="s">
        <v>210</v>
      </c>
      <c r="AK1305" s="340" t="s">
        <v>210</v>
      </c>
      <c r="AL1305" s="417" t="s">
        <v>210</v>
      </c>
      <c r="AM1305" s="392" t="s">
        <v>210</v>
      </c>
      <c r="AN1305" s="392" t="s">
        <v>210</v>
      </c>
      <c r="AO1305" s="341" t="s">
        <v>210</v>
      </c>
      <c r="AP1305" s="392" t="s">
        <v>210</v>
      </c>
      <c r="AQ1305" s="433" t="s">
        <v>10874</v>
      </c>
      <c r="AR1305" s="452">
        <v>1334</v>
      </c>
      <c r="AS1305" s="324">
        <v>100</v>
      </c>
      <c r="AT1305" s="432">
        <v>1</v>
      </c>
      <c r="AU1305" s="432" t="s">
        <v>3702</v>
      </c>
      <c r="AV1305" s="432">
        <v>1.5</v>
      </c>
      <c r="AW1305" s="432" t="s">
        <v>3702</v>
      </c>
      <c r="AX1305" s="453" t="s">
        <v>210</v>
      </c>
      <c r="AY1305" s="429" t="s">
        <v>210</v>
      </c>
      <c r="AZ1305" s="405" t="s">
        <v>4083</v>
      </c>
      <c r="BA1305" s="324" t="s">
        <v>210</v>
      </c>
      <c r="BB1305" s="324" t="s">
        <v>210</v>
      </c>
      <c r="BC1305" s="324" t="s">
        <v>10971</v>
      </c>
      <c r="BD1305" s="324" t="s">
        <v>10972</v>
      </c>
      <c r="BE1305" s="324" t="s">
        <v>10973</v>
      </c>
      <c r="BF1305" s="324" t="s">
        <v>3702</v>
      </c>
      <c r="BG1305" s="324" t="s">
        <v>10974</v>
      </c>
      <c r="BH1305" s="426" t="s">
        <v>10975</v>
      </c>
      <c r="BI1305" s="453">
        <v>3.2</v>
      </c>
      <c r="BJ1305" s="427">
        <v>2.7</v>
      </c>
      <c r="BK1305" s="427" t="s">
        <v>210</v>
      </c>
      <c r="BL1305" s="427" t="s">
        <v>210</v>
      </c>
      <c r="BM1305" s="491" t="s">
        <v>210</v>
      </c>
      <c r="BN1305" s="453" t="s">
        <v>622</v>
      </c>
      <c r="BO1305" s="464">
        <v>1.2</v>
      </c>
      <c r="BP1305" s="455" t="s">
        <v>622</v>
      </c>
      <c r="BQ1305" s="456" t="s">
        <v>10976</v>
      </c>
      <c r="BR1305" s="392" t="s">
        <v>210</v>
      </c>
      <c r="BS1305" s="392" t="s">
        <v>210</v>
      </c>
      <c r="BT1305" s="392" t="s">
        <v>210</v>
      </c>
      <c r="BU1305" s="392" t="s">
        <v>210</v>
      </c>
      <c r="BV1305" s="392" t="s">
        <v>295</v>
      </c>
      <c r="BW1305" s="392" t="s">
        <v>210</v>
      </c>
      <c r="BX1305" s="392" t="s">
        <v>210</v>
      </c>
      <c r="BY1305" s="457" t="s">
        <v>10977</v>
      </c>
      <c r="BZ1305" s="363"/>
      <c r="CA1305" s="363"/>
      <c r="CB1305" s="363"/>
      <c r="CC1305" s="363"/>
    </row>
    <row r="1306" spans="1:82" ht="22.5" customHeight="1">
      <c r="B1306" s="493">
        <v>190054</v>
      </c>
      <c r="C1306" s="494" t="s">
        <v>10887</v>
      </c>
      <c r="D1306" s="467" t="s">
        <v>10876</v>
      </c>
      <c r="E1306" s="404" t="s">
        <v>5362</v>
      </c>
      <c r="F1306" s="405" t="s">
        <v>201</v>
      </c>
      <c r="G1306" s="324" t="s">
        <v>10883</v>
      </c>
      <c r="H1306" s="324" t="s">
        <v>10884</v>
      </c>
      <c r="I1306" s="326" t="s">
        <v>383</v>
      </c>
      <c r="J1306" s="326" t="s">
        <v>399</v>
      </c>
      <c r="K1306" s="324" t="s">
        <v>838</v>
      </c>
      <c r="L1306" s="342">
        <v>10</v>
      </c>
      <c r="M1306" s="324" t="s">
        <v>7457</v>
      </c>
      <c r="N1306" s="444" t="s">
        <v>11054</v>
      </c>
      <c r="O1306" s="408"/>
      <c r="P1306" s="458">
        <f>200+240</f>
        <v>440</v>
      </c>
      <c r="Q1306" s="459">
        <f>202+243</f>
        <v>445</v>
      </c>
      <c r="R1306" s="420" t="s">
        <v>10885</v>
      </c>
      <c r="S1306" s="394" t="s">
        <v>11126</v>
      </c>
      <c r="T1306" s="394" t="s">
        <v>11127</v>
      </c>
      <c r="U1306" s="394" t="s">
        <v>11268</v>
      </c>
      <c r="V1306" s="394" t="s">
        <v>11128</v>
      </c>
      <c r="W1306" s="460" t="s">
        <v>10886</v>
      </c>
      <c r="X1306" s="394" t="s">
        <v>11126</v>
      </c>
      <c r="Y1306" s="394" t="s">
        <v>11127</v>
      </c>
      <c r="Z1306" s="394" t="s">
        <v>11268</v>
      </c>
      <c r="AA1306" s="394" t="s">
        <v>11128</v>
      </c>
      <c r="AB1306" s="416"/>
      <c r="AC1306" s="416"/>
      <c r="AD1306" s="461"/>
      <c r="AE1306" s="485"/>
      <c r="AF1306" s="475">
        <v>43810</v>
      </c>
      <c r="AG1306" s="748">
        <v>43930</v>
      </c>
      <c r="AH1306" s="417" t="s">
        <v>210</v>
      </c>
      <c r="AI1306" s="392" t="s">
        <v>210</v>
      </c>
      <c r="AJ1306" s="392" t="s">
        <v>210</v>
      </c>
      <c r="AK1306" s="340" t="s">
        <v>210</v>
      </c>
      <c r="AL1306" s="417" t="s">
        <v>210</v>
      </c>
      <c r="AM1306" s="392" t="s">
        <v>210</v>
      </c>
      <c r="AN1306" s="392" t="s">
        <v>210</v>
      </c>
      <c r="AO1306" s="341" t="s">
        <v>210</v>
      </c>
      <c r="AP1306" s="341" t="s">
        <v>210</v>
      </c>
      <c r="AQ1306" s="429" t="s">
        <v>4547</v>
      </c>
      <c r="AR1306" s="452">
        <f>336+317</f>
        <v>653</v>
      </c>
      <c r="AS1306" s="324">
        <v>100</v>
      </c>
      <c r="AT1306" s="432">
        <v>1</v>
      </c>
      <c r="AU1306" s="432" t="s">
        <v>11056</v>
      </c>
      <c r="AV1306" s="432">
        <v>1.5</v>
      </c>
      <c r="AW1306" s="490" t="s">
        <v>11055</v>
      </c>
      <c r="AX1306" s="453" t="s">
        <v>210</v>
      </c>
      <c r="AY1306" s="429" t="s">
        <v>210</v>
      </c>
      <c r="AZ1306" s="405" t="s">
        <v>4083</v>
      </c>
      <c r="BA1306" s="324" t="s">
        <v>210</v>
      </c>
      <c r="BB1306" s="324" t="s">
        <v>210</v>
      </c>
      <c r="BC1306" s="324" t="s">
        <v>11057</v>
      </c>
      <c r="BD1306" s="324" t="s">
        <v>11058</v>
      </c>
      <c r="BE1306" s="324" t="s">
        <v>11059</v>
      </c>
      <c r="BF1306" s="324" t="s">
        <v>11058</v>
      </c>
      <c r="BG1306" s="324" t="s">
        <v>11057</v>
      </c>
      <c r="BH1306" s="324" t="s">
        <v>11058</v>
      </c>
      <c r="BI1306" s="453">
        <v>2</v>
      </c>
      <c r="BJ1306" s="427" t="s">
        <v>11060</v>
      </c>
      <c r="BK1306" s="428" t="s">
        <v>11061</v>
      </c>
      <c r="BL1306" s="429">
        <v>0.2</v>
      </c>
      <c r="BM1306" s="491" t="s">
        <v>210</v>
      </c>
      <c r="BN1306" s="453" t="s">
        <v>622</v>
      </c>
      <c r="BO1306" s="464">
        <v>1.05</v>
      </c>
      <c r="BP1306" s="455" t="s">
        <v>210</v>
      </c>
      <c r="BQ1306" s="456" t="s">
        <v>11062</v>
      </c>
      <c r="BR1306" s="342" t="s">
        <v>622</v>
      </c>
      <c r="BS1306" s="392" t="s">
        <v>210</v>
      </c>
      <c r="BT1306" s="392" t="s">
        <v>210</v>
      </c>
      <c r="BU1306" s="392" t="s">
        <v>210</v>
      </c>
      <c r="BV1306" s="392" t="s">
        <v>295</v>
      </c>
      <c r="BW1306" s="392" t="s">
        <v>210</v>
      </c>
      <c r="BX1306" s="392" t="s">
        <v>210</v>
      </c>
      <c r="BY1306" s="457" t="s">
        <v>11063</v>
      </c>
      <c r="BZ1306" s="363"/>
      <c r="CA1306" s="363"/>
      <c r="CB1306" s="363"/>
      <c r="CC1306" s="363"/>
    </row>
    <row r="1307" spans="1:82" ht="21.75" customHeight="1">
      <c r="B1307" s="493">
        <v>190055</v>
      </c>
      <c r="C1307" s="494" t="s">
        <v>10766</v>
      </c>
      <c r="D1307" s="467" t="s">
        <v>7463</v>
      </c>
      <c r="E1307" s="404" t="s">
        <v>5363</v>
      </c>
      <c r="F1307" s="405" t="s">
        <v>239</v>
      </c>
      <c r="G1307" s="324" t="s">
        <v>10693</v>
      </c>
      <c r="H1307" s="324" t="s">
        <v>10694</v>
      </c>
      <c r="I1307" s="326" t="s">
        <v>383</v>
      </c>
      <c r="J1307" s="324" t="s">
        <v>6632</v>
      </c>
      <c r="K1307" s="324" t="s">
        <v>7449</v>
      </c>
      <c r="L1307" s="392" t="s">
        <v>210</v>
      </c>
      <c r="M1307" s="324" t="s">
        <v>6509</v>
      </c>
      <c r="N1307" s="444" t="s">
        <v>448</v>
      </c>
      <c r="O1307" s="324">
        <v>20</v>
      </c>
      <c r="P1307" s="458">
        <v>1148.8499999999999</v>
      </c>
      <c r="Q1307" s="459">
        <v>1016.31</v>
      </c>
      <c r="R1307" s="329" t="s">
        <v>1094</v>
      </c>
      <c r="S1307" s="331" t="s">
        <v>11125</v>
      </c>
      <c r="T1307" s="331" t="s">
        <v>11123</v>
      </c>
      <c r="U1307" s="331" t="s">
        <v>16209</v>
      </c>
      <c r="V1307" s="331" t="s">
        <v>11124</v>
      </c>
      <c r="W1307" s="332" t="s">
        <v>432</v>
      </c>
      <c r="X1307" s="331" t="s">
        <v>11079</v>
      </c>
      <c r="Y1307" s="331" t="s">
        <v>11080</v>
      </c>
      <c r="Z1307" s="331" t="s">
        <v>11080</v>
      </c>
      <c r="AA1307" s="331" t="s">
        <v>11082</v>
      </c>
      <c r="AB1307" s="416" t="s">
        <v>16099</v>
      </c>
      <c r="AC1307" s="416"/>
      <c r="AD1307" s="334" t="s">
        <v>2329</v>
      </c>
      <c r="AE1307" s="499" t="s">
        <v>15672</v>
      </c>
      <c r="AF1307" s="475">
        <v>43811</v>
      </c>
      <c r="AG1307" s="748">
        <v>43978</v>
      </c>
      <c r="AH1307" s="453">
        <v>26.2</v>
      </c>
      <c r="AI1307" s="432">
        <v>46</v>
      </c>
      <c r="AJ1307" s="432">
        <v>28.8</v>
      </c>
      <c r="AK1307" s="340">
        <f>SUM(AH1307:AJ1307)</f>
        <v>101</v>
      </c>
      <c r="AL1307" s="417" t="s">
        <v>210</v>
      </c>
      <c r="AM1307" s="392" t="s">
        <v>210</v>
      </c>
      <c r="AN1307" s="496" t="s">
        <v>8760</v>
      </c>
      <c r="AO1307" s="341" t="s">
        <v>210</v>
      </c>
      <c r="AP1307" s="488" t="s">
        <v>622</v>
      </c>
      <c r="AQ1307" s="429" t="s">
        <v>4547</v>
      </c>
      <c r="AR1307" s="452">
        <v>1510</v>
      </c>
      <c r="AS1307" s="324">
        <v>100</v>
      </c>
      <c r="AT1307" s="432">
        <v>1</v>
      </c>
      <c r="AU1307" s="324" t="s">
        <v>13737</v>
      </c>
      <c r="AV1307" s="432">
        <v>1.5</v>
      </c>
      <c r="AW1307" s="490" t="s">
        <v>13738</v>
      </c>
      <c r="AX1307" s="453" t="s">
        <v>210</v>
      </c>
      <c r="AY1307" s="429" t="s">
        <v>210</v>
      </c>
      <c r="AZ1307" s="405" t="s">
        <v>622</v>
      </c>
      <c r="BA1307" s="324" t="s">
        <v>13735</v>
      </c>
      <c r="BB1307" s="324" t="s">
        <v>3372</v>
      </c>
      <c r="BC1307" s="324" t="s">
        <v>210</v>
      </c>
      <c r="BD1307" s="324" t="s">
        <v>210</v>
      </c>
      <c r="BE1307" s="324" t="s">
        <v>13736</v>
      </c>
      <c r="BF1307" s="324" t="s">
        <v>13737</v>
      </c>
      <c r="BG1307" s="324" t="s">
        <v>210</v>
      </c>
      <c r="BH1307" s="324" t="s">
        <v>210</v>
      </c>
      <c r="BI1307" s="453">
        <v>1.1000000000000001</v>
      </c>
      <c r="BJ1307" s="427">
        <v>1.33</v>
      </c>
      <c r="BK1307" s="427" t="s">
        <v>210</v>
      </c>
      <c r="BL1307" s="427" t="s">
        <v>210</v>
      </c>
      <c r="BM1307" s="491" t="s">
        <v>210</v>
      </c>
      <c r="BN1307" s="453" t="s">
        <v>622</v>
      </c>
      <c r="BO1307" s="464">
        <v>1.43</v>
      </c>
      <c r="BP1307" s="455" t="s">
        <v>622</v>
      </c>
      <c r="BQ1307" s="456" t="s">
        <v>6623</v>
      </c>
      <c r="BR1307" s="342" t="s">
        <v>622</v>
      </c>
      <c r="BS1307" s="342" t="s">
        <v>622</v>
      </c>
      <c r="BT1307" s="392" t="s">
        <v>210</v>
      </c>
      <c r="BU1307" s="392" t="s">
        <v>210</v>
      </c>
      <c r="BV1307" s="392" t="s">
        <v>210</v>
      </c>
      <c r="BW1307" s="392" t="s">
        <v>210</v>
      </c>
      <c r="BX1307" s="392" t="s">
        <v>210</v>
      </c>
      <c r="BY1307" s="457" t="s">
        <v>14033</v>
      </c>
      <c r="BZ1307" s="363"/>
      <c r="CA1307" s="363"/>
      <c r="CB1307" s="363"/>
      <c r="CC1307" s="363"/>
    </row>
    <row r="1308" spans="1:82" s="465" customFormat="1" ht="22.5" customHeight="1">
      <c r="A1308" s="287"/>
      <c r="B1308" s="767">
        <v>190056</v>
      </c>
      <c r="C1308" s="1067" t="s">
        <v>10899</v>
      </c>
      <c r="D1308" s="751" t="s">
        <v>10942</v>
      </c>
      <c r="E1308" s="752" t="s">
        <v>5362</v>
      </c>
      <c r="F1308" s="753" t="s">
        <v>10897</v>
      </c>
      <c r="G1308" s="754" t="s">
        <v>1866</v>
      </c>
      <c r="H1308" s="754" t="s">
        <v>10927</v>
      </c>
      <c r="I1308" s="662" t="s">
        <v>383</v>
      </c>
      <c r="J1308" s="754"/>
      <c r="K1308" s="754"/>
      <c r="L1308" s="688"/>
      <c r="M1308" s="754"/>
      <c r="N1308" s="755"/>
      <c r="O1308" s="754"/>
      <c r="P1308" s="782"/>
      <c r="Q1308" s="783">
        <f>400</f>
        <v>400</v>
      </c>
      <c r="R1308" s="756" t="s">
        <v>10900</v>
      </c>
      <c r="S1308" s="708"/>
      <c r="T1308" s="708"/>
      <c r="U1308" s="708" t="s">
        <v>11122</v>
      </c>
      <c r="V1308" s="708"/>
      <c r="W1308" s="757" t="s">
        <v>10903</v>
      </c>
      <c r="X1308" s="708" t="s">
        <v>11120</v>
      </c>
      <c r="Y1308" s="708" t="s">
        <v>11119</v>
      </c>
      <c r="Z1308" s="708" t="s">
        <v>11118</v>
      </c>
      <c r="AA1308" s="708" t="s">
        <v>11121</v>
      </c>
      <c r="AB1308" s="758"/>
      <c r="AC1308" s="758"/>
      <c r="AD1308" s="759"/>
      <c r="AE1308" s="760"/>
      <c r="AF1308" s="761">
        <v>43815</v>
      </c>
      <c r="AG1308" s="674" t="s">
        <v>10514</v>
      </c>
      <c r="AH1308" s="675" t="s">
        <v>210</v>
      </c>
      <c r="AI1308" s="676" t="s">
        <v>210</v>
      </c>
      <c r="AJ1308" s="676" t="s">
        <v>210</v>
      </c>
      <c r="AK1308" s="677" t="s">
        <v>210</v>
      </c>
      <c r="AL1308" s="675" t="s">
        <v>210</v>
      </c>
      <c r="AM1308" s="785"/>
      <c r="AN1308" s="1057" t="s">
        <v>10952</v>
      </c>
      <c r="AO1308" s="678" t="s">
        <v>210</v>
      </c>
      <c r="AP1308" s="784"/>
      <c r="AQ1308" s="766" t="s">
        <v>4547</v>
      </c>
      <c r="AR1308" s="763"/>
      <c r="AS1308" s="754"/>
      <c r="AT1308" s="785"/>
      <c r="AU1308" s="785"/>
      <c r="AV1308" s="785"/>
      <c r="AW1308" s="764"/>
      <c r="AX1308" s="765"/>
      <c r="AY1308" s="766"/>
      <c r="AZ1308" s="753"/>
      <c r="BA1308" s="754"/>
      <c r="BB1308" s="754"/>
      <c r="BC1308" s="754"/>
      <c r="BD1308" s="754"/>
      <c r="BE1308" s="754"/>
      <c r="BF1308" s="754"/>
      <c r="BG1308" s="754"/>
      <c r="BH1308" s="767"/>
      <c r="BI1308" s="765"/>
      <c r="BJ1308" s="768"/>
      <c r="BK1308" s="769"/>
      <c r="BL1308" s="766"/>
      <c r="BM1308" s="770"/>
      <c r="BN1308" s="765"/>
      <c r="BO1308" s="771"/>
      <c r="BP1308" s="772"/>
      <c r="BQ1308" s="773"/>
      <c r="BR1308" s="688"/>
      <c r="BS1308" s="688"/>
      <c r="BT1308" s="688"/>
      <c r="BU1308" s="676" t="s">
        <v>210</v>
      </c>
      <c r="BV1308" s="676" t="s">
        <v>210</v>
      </c>
      <c r="BW1308" s="676" t="s">
        <v>210</v>
      </c>
      <c r="BX1308" s="688"/>
      <c r="BY1308" s="774" t="s">
        <v>10898</v>
      </c>
      <c r="BZ1308" s="483"/>
      <c r="CA1308" s="483"/>
      <c r="CB1308" s="483"/>
      <c r="CC1308" s="483"/>
      <c r="CD1308" s="484"/>
    </row>
    <row r="1309" spans="1:82" ht="22.5" customHeight="1">
      <c r="B1309" s="493">
        <v>190057</v>
      </c>
      <c r="C1309" s="494" t="s">
        <v>10891</v>
      </c>
      <c r="D1309" s="439" t="s">
        <v>10943</v>
      </c>
      <c r="E1309" s="404" t="s">
        <v>5362</v>
      </c>
      <c r="F1309" s="405" t="s">
        <v>10892</v>
      </c>
      <c r="G1309" s="324" t="s">
        <v>10893</v>
      </c>
      <c r="H1309" s="324" t="s">
        <v>10953</v>
      </c>
      <c r="I1309" s="326" t="s">
        <v>383</v>
      </c>
      <c r="J1309" s="324" t="s">
        <v>7171</v>
      </c>
      <c r="K1309" s="324" t="s">
        <v>10954</v>
      </c>
      <c r="L1309" s="361"/>
      <c r="M1309" s="324" t="s">
        <v>7457</v>
      </c>
      <c r="N1309" s="444" t="s">
        <v>438</v>
      </c>
      <c r="O1309" s="324">
        <v>30</v>
      </c>
      <c r="P1309" s="445">
        <f>Q1309+600</f>
        <v>1850</v>
      </c>
      <c r="Q1309" s="446">
        <v>1250</v>
      </c>
      <c r="R1309" s="400"/>
      <c r="S1309" s="400"/>
      <c r="T1309" s="400"/>
      <c r="U1309" s="400"/>
      <c r="V1309" s="1064"/>
      <c r="W1309" s="332" t="s">
        <v>10944</v>
      </c>
      <c r="X1309" s="394" t="s">
        <v>11115</v>
      </c>
      <c r="Y1309" s="394" t="s">
        <v>11116</v>
      </c>
      <c r="Z1309" s="394" t="s">
        <v>16505</v>
      </c>
      <c r="AA1309" s="394" t="s">
        <v>11117</v>
      </c>
      <c r="AB1309" s="416" t="s">
        <v>10983</v>
      </c>
      <c r="AC1309" s="416"/>
      <c r="AD1309" s="447" t="s">
        <v>15718</v>
      </c>
      <c r="AE1309" s="485"/>
      <c r="AF1309" s="475">
        <v>43815</v>
      </c>
      <c r="AG1309" s="748">
        <v>43985</v>
      </c>
      <c r="AH1309" s="417" t="s">
        <v>210</v>
      </c>
      <c r="AI1309" s="392" t="s">
        <v>210</v>
      </c>
      <c r="AJ1309" s="392" t="s">
        <v>210</v>
      </c>
      <c r="AK1309" s="340" t="s">
        <v>210</v>
      </c>
      <c r="AL1309" s="392" t="s">
        <v>210</v>
      </c>
      <c r="AM1309" s="1068" t="s">
        <v>8762</v>
      </c>
      <c r="AN1309" s="392" t="s">
        <v>210</v>
      </c>
      <c r="AO1309" s="341" t="s">
        <v>210</v>
      </c>
      <c r="AP1309" s="392" t="s">
        <v>210</v>
      </c>
      <c r="AQ1309" s="429" t="s">
        <v>4547</v>
      </c>
      <c r="AR1309" s="452">
        <v>1722</v>
      </c>
      <c r="AS1309" s="324">
        <v>150</v>
      </c>
      <c r="AT1309" s="432">
        <v>1</v>
      </c>
      <c r="AU1309" s="432" t="s">
        <v>11017</v>
      </c>
      <c r="AV1309" s="432">
        <v>1.5</v>
      </c>
      <c r="AW1309" s="490" t="s">
        <v>11018</v>
      </c>
      <c r="AX1309" s="486" t="s">
        <v>10955</v>
      </c>
      <c r="AY1309" s="429" t="s">
        <v>210</v>
      </c>
      <c r="AZ1309" s="405" t="s">
        <v>4083</v>
      </c>
      <c r="BA1309" s="324" t="s">
        <v>210</v>
      </c>
      <c r="BB1309" s="324" t="s">
        <v>210</v>
      </c>
      <c r="BC1309" s="324" t="s">
        <v>210</v>
      </c>
      <c r="BD1309" s="324" t="s">
        <v>210</v>
      </c>
      <c r="BE1309" s="324" t="s">
        <v>3475</v>
      </c>
      <c r="BF1309" s="324" t="s">
        <v>10956</v>
      </c>
      <c r="BG1309" s="324" t="s">
        <v>10957</v>
      </c>
      <c r="BH1309" s="426" t="s">
        <v>10958</v>
      </c>
      <c r="BI1309" s="453">
        <v>1.5</v>
      </c>
      <c r="BJ1309" s="427" t="s">
        <v>10507</v>
      </c>
      <c r="BK1309" s="427" t="s">
        <v>210</v>
      </c>
      <c r="BL1309" s="427" t="s">
        <v>210</v>
      </c>
      <c r="BM1309" s="491" t="s">
        <v>210</v>
      </c>
      <c r="BN1309" s="453" t="s">
        <v>622</v>
      </c>
      <c r="BO1309" s="464">
        <v>1.25</v>
      </c>
      <c r="BP1309" s="455" t="s">
        <v>210</v>
      </c>
      <c r="BQ1309" s="456" t="s">
        <v>10959</v>
      </c>
      <c r="BR1309" s="392" t="s">
        <v>210</v>
      </c>
      <c r="BS1309" s="342" t="s">
        <v>622</v>
      </c>
      <c r="BT1309" s="392" t="s">
        <v>210</v>
      </c>
      <c r="BU1309" s="392" t="s">
        <v>210</v>
      </c>
      <c r="BV1309" s="786">
        <v>-25</v>
      </c>
      <c r="BW1309" s="392" t="s">
        <v>210</v>
      </c>
      <c r="BX1309" s="392" t="s">
        <v>210</v>
      </c>
      <c r="BY1309" s="457"/>
      <c r="BZ1309" s="363"/>
      <c r="CA1309" s="363"/>
      <c r="CB1309" s="363"/>
      <c r="CC1309" s="363"/>
    </row>
    <row r="1310" spans="1:82" ht="22.5" customHeight="1">
      <c r="B1310" s="493">
        <v>190058</v>
      </c>
      <c r="C1310" s="494" t="s">
        <v>10991</v>
      </c>
      <c r="D1310" s="439" t="s">
        <v>4849</v>
      </c>
      <c r="E1310" s="404" t="s">
        <v>5405</v>
      </c>
      <c r="F1310" s="405" t="s">
        <v>10985</v>
      </c>
      <c r="G1310" s="324" t="s">
        <v>10986</v>
      </c>
      <c r="H1310" s="324" t="s">
        <v>10987</v>
      </c>
      <c r="I1310" s="326" t="s">
        <v>383</v>
      </c>
      <c r="J1310" s="326" t="s">
        <v>399</v>
      </c>
      <c r="K1310" s="324" t="s">
        <v>363</v>
      </c>
      <c r="L1310" s="342">
        <v>20</v>
      </c>
      <c r="M1310" s="324" t="s">
        <v>7457</v>
      </c>
      <c r="N1310" s="444" t="s">
        <v>438</v>
      </c>
      <c r="O1310" s="324" t="s">
        <v>210</v>
      </c>
      <c r="P1310" s="458">
        <v>2737.5</v>
      </c>
      <c r="Q1310" s="459">
        <v>2737.5</v>
      </c>
      <c r="R1310" s="420" t="s">
        <v>11022</v>
      </c>
      <c r="S1310" s="394" t="s">
        <v>11107</v>
      </c>
      <c r="T1310" s="394" t="s">
        <v>11108</v>
      </c>
      <c r="U1310" s="394" t="s">
        <v>11109</v>
      </c>
      <c r="V1310" s="394" t="s">
        <v>11110</v>
      </c>
      <c r="W1310" s="460" t="s">
        <v>11021</v>
      </c>
      <c r="X1310" s="394" t="s">
        <v>11113</v>
      </c>
      <c r="Y1310" s="394" t="s">
        <v>11112</v>
      </c>
      <c r="Z1310" s="394" t="s">
        <v>11111</v>
      </c>
      <c r="AA1310" s="394" t="s">
        <v>11114</v>
      </c>
      <c r="AB1310" s="416"/>
      <c r="AC1310" s="416"/>
      <c r="AD1310" s="447" t="s">
        <v>14513</v>
      </c>
      <c r="AE1310" s="499" t="s">
        <v>14514</v>
      </c>
      <c r="AF1310" s="475">
        <v>43818</v>
      </c>
      <c r="AG1310" s="748">
        <v>43875</v>
      </c>
      <c r="AH1310" s="417" t="s">
        <v>210</v>
      </c>
      <c r="AI1310" s="392" t="s">
        <v>210</v>
      </c>
      <c r="AJ1310" s="392" t="s">
        <v>210</v>
      </c>
      <c r="AK1310" s="340" t="s">
        <v>210</v>
      </c>
      <c r="AL1310" s="417" t="s">
        <v>210</v>
      </c>
      <c r="AM1310" s="392" t="s">
        <v>210</v>
      </c>
      <c r="AN1310" s="392" t="s">
        <v>210</v>
      </c>
      <c r="AO1310" s="341" t="s">
        <v>210</v>
      </c>
      <c r="AP1310" s="488" t="s">
        <v>622</v>
      </c>
      <c r="AQ1310" s="429" t="s">
        <v>4547</v>
      </c>
      <c r="AR1310" s="452">
        <v>3254</v>
      </c>
      <c r="AS1310" s="324">
        <v>150</v>
      </c>
      <c r="AT1310" s="432">
        <v>1</v>
      </c>
      <c r="AU1310" s="432" t="s">
        <v>11025</v>
      </c>
      <c r="AV1310" s="432">
        <v>1.5</v>
      </c>
      <c r="AW1310" s="432" t="s">
        <v>11025</v>
      </c>
      <c r="AX1310" s="453" t="s">
        <v>210</v>
      </c>
      <c r="AY1310" s="429" t="s">
        <v>210</v>
      </c>
      <c r="AZ1310" s="405" t="s">
        <v>4083</v>
      </c>
      <c r="BA1310" s="324" t="s">
        <v>210</v>
      </c>
      <c r="BB1310" s="324" t="s">
        <v>210</v>
      </c>
      <c r="BC1310" s="324" t="s">
        <v>3555</v>
      </c>
      <c r="BD1310" s="324" t="s">
        <v>11014</v>
      </c>
      <c r="BE1310" s="324" t="s">
        <v>210</v>
      </c>
      <c r="BF1310" s="324" t="s">
        <v>210</v>
      </c>
      <c r="BG1310" s="324" t="s">
        <v>11015</v>
      </c>
      <c r="BH1310" s="426" t="s">
        <v>11016</v>
      </c>
      <c r="BI1310" s="453">
        <v>3</v>
      </c>
      <c r="BJ1310" s="427">
        <v>1.1100000000000001</v>
      </c>
      <c r="BK1310" s="427" t="s">
        <v>210</v>
      </c>
      <c r="BL1310" s="427" t="s">
        <v>210</v>
      </c>
      <c r="BM1310" s="491" t="s">
        <v>210</v>
      </c>
      <c r="BN1310" s="453" t="s">
        <v>622</v>
      </c>
      <c r="BO1310" s="464" t="s">
        <v>11028</v>
      </c>
      <c r="BP1310" s="455" t="s">
        <v>622</v>
      </c>
      <c r="BQ1310" s="456" t="s">
        <v>11026</v>
      </c>
      <c r="BR1310" s="392" t="s">
        <v>210</v>
      </c>
      <c r="BS1310" s="342" t="s">
        <v>622</v>
      </c>
      <c r="BT1310" s="392" t="s">
        <v>210</v>
      </c>
      <c r="BU1310" s="392" t="s">
        <v>210</v>
      </c>
      <c r="BV1310" s="392" t="s">
        <v>210</v>
      </c>
      <c r="BW1310" s="392" t="s">
        <v>210</v>
      </c>
      <c r="BX1310" s="392" t="s">
        <v>210</v>
      </c>
      <c r="BY1310" s="457" t="s">
        <v>11027</v>
      </c>
      <c r="BZ1310" s="363"/>
      <c r="CA1310" s="363"/>
      <c r="CB1310" s="363"/>
      <c r="CC1310" s="363"/>
    </row>
    <row r="1311" spans="1:82" ht="22.5" customHeight="1">
      <c r="B1311" s="493">
        <v>190059</v>
      </c>
      <c r="C1311" s="494" t="s">
        <v>11000</v>
      </c>
      <c r="D1311" s="439" t="s">
        <v>4847</v>
      </c>
      <c r="E1311" s="404" t="s">
        <v>5362</v>
      </c>
      <c r="F1311" s="405" t="s">
        <v>11001</v>
      </c>
      <c r="G1311" s="324" t="s">
        <v>11002</v>
      </c>
      <c r="H1311" s="324" t="s">
        <v>14944</v>
      </c>
      <c r="I1311" s="326" t="s">
        <v>383</v>
      </c>
      <c r="J1311" s="324" t="s">
        <v>6632</v>
      </c>
      <c r="K1311" s="324" t="s">
        <v>11003</v>
      </c>
      <c r="L1311" s="342" t="s">
        <v>210</v>
      </c>
      <c r="M1311" s="324" t="s">
        <v>7457</v>
      </c>
      <c r="N1311" s="444" t="s">
        <v>438</v>
      </c>
      <c r="O1311" s="324">
        <v>52</v>
      </c>
      <c r="P1311" s="445">
        <f>Q1311+150</f>
        <v>1250</v>
      </c>
      <c r="Q1311" s="446">
        <v>1100</v>
      </c>
      <c r="R1311" s="420" t="s">
        <v>12763</v>
      </c>
      <c r="S1311" s="394" t="s">
        <v>11768</v>
      </c>
      <c r="T1311" s="394" t="s">
        <v>12765</v>
      </c>
      <c r="U1311" s="394" t="s">
        <v>12764</v>
      </c>
      <c r="V1311" s="394" t="s">
        <v>12766</v>
      </c>
      <c r="W1311" s="460" t="s">
        <v>11004</v>
      </c>
      <c r="X1311" s="394" t="s">
        <v>11104</v>
      </c>
      <c r="Y1311" s="394" t="s">
        <v>11106</v>
      </c>
      <c r="Z1311" s="394" t="s">
        <v>11105</v>
      </c>
      <c r="AA1311" s="394" t="s">
        <v>11103</v>
      </c>
      <c r="AB1311" s="416" t="s">
        <v>7606</v>
      </c>
      <c r="AC1311" s="416"/>
      <c r="AD1311" s="447" t="s">
        <v>15191</v>
      </c>
      <c r="AE1311" s="499" t="s">
        <v>14938</v>
      </c>
      <c r="AF1311" s="475">
        <v>43825</v>
      </c>
      <c r="AG1311" s="748">
        <v>43971</v>
      </c>
      <c r="AH1311" s="417" t="s">
        <v>210</v>
      </c>
      <c r="AI1311" s="392" t="s">
        <v>210</v>
      </c>
      <c r="AJ1311" s="392" t="s">
        <v>210</v>
      </c>
      <c r="AK1311" s="340" t="s">
        <v>210</v>
      </c>
      <c r="AL1311" s="417" t="s">
        <v>210</v>
      </c>
      <c r="AM1311" s="392" t="s">
        <v>210</v>
      </c>
      <c r="AN1311" s="496" t="s">
        <v>12068</v>
      </c>
      <c r="AO1311" s="341" t="s">
        <v>210</v>
      </c>
      <c r="AP1311" s="341" t="s">
        <v>210</v>
      </c>
      <c r="AQ1311" s="429" t="s">
        <v>4547</v>
      </c>
      <c r="AR1311" s="452">
        <v>1315</v>
      </c>
      <c r="AS1311" s="324">
        <v>100</v>
      </c>
      <c r="AT1311" s="432">
        <v>1</v>
      </c>
      <c r="AU1311" s="432" t="s">
        <v>12069</v>
      </c>
      <c r="AV1311" s="432">
        <v>1.5</v>
      </c>
      <c r="AW1311" s="490" t="s">
        <v>12070</v>
      </c>
      <c r="AX1311" s="453" t="s">
        <v>210</v>
      </c>
      <c r="AY1311" s="429" t="s">
        <v>210</v>
      </c>
      <c r="AZ1311" s="405" t="s">
        <v>622</v>
      </c>
      <c r="BA1311" s="324" t="s">
        <v>3459</v>
      </c>
      <c r="BB1311" s="324" t="s">
        <v>12070</v>
      </c>
      <c r="BC1311" s="324" t="s">
        <v>12071</v>
      </c>
      <c r="BD1311" s="324" t="s">
        <v>12070</v>
      </c>
      <c r="BE1311" s="324" t="s">
        <v>12072</v>
      </c>
      <c r="BF1311" s="324" t="s">
        <v>12073</v>
      </c>
      <c r="BG1311" s="324" t="s">
        <v>12074</v>
      </c>
      <c r="BH1311" s="324" t="s">
        <v>12073</v>
      </c>
      <c r="BI1311" s="453">
        <v>0.8</v>
      </c>
      <c r="BJ1311" s="427">
        <v>1.5649999999999999</v>
      </c>
      <c r="BK1311" s="428" t="s">
        <v>12075</v>
      </c>
      <c r="BL1311" s="429">
        <v>7.6</v>
      </c>
      <c r="BM1311" s="491" t="s">
        <v>210</v>
      </c>
      <c r="BN1311" s="453" t="s">
        <v>622</v>
      </c>
      <c r="BO1311" s="464">
        <v>1.1000000000000001</v>
      </c>
      <c r="BP1311" s="455" t="s">
        <v>622</v>
      </c>
      <c r="BQ1311" s="456" t="s">
        <v>1059</v>
      </c>
      <c r="BR1311" s="392" t="s">
        <v>210</v>
      </c>
      <c r="BS1311" s="342" t="s">
        <v>622</v>
      </c>
      <c r="BT1311" s="342" t="s">
        <v>622</v>
      </c>
      <c r="BU1311" s="392" t="s">
        <v>210</v>
      </c>
      <c r="BV1311" s="392" t="s">
        <v>210</v>
      </c>
      <c r="BW1311" s="392" t="s">
        <v>210</v>
      </c>
      <c r="BX1311" s="392" t="s">
        <v>210</v>
      </c>
      <c r="BY1311" s="457" t="s">
        <v>12559</v>
      </c>
      <c r="BZ1311" s="363"/>
      <c r="CA1311" s="363"/>
      <c r="CB1311" s="363"/>
      <c r="CC1311" s="363"/>
    </row>
    <row r="1312" spans="1:82" ht="22.5" customHeight="1">
      <c r="B1312" s="493">
        <v>190060</v>
      </c>
      <c r="C1312" s="494" t="s">
        <v>11020</v>
      </c>
      <c r="D1312" s="439" t="s">
        <v>8595</v>
      </c>
      <c r="E1312" s="404" t="s">
        <v>5362</v>
      </c>
      <c r="F1312" s="405" t="s">
        <v>308</v>
      </c>
      <c r="G1312" s="324" t="s">
        <v>1824</v>
      </c>
      <c r="H1312" s="324" t="s">
        <v>2915</v>
      </c>
      <c r="I1312" s="326" t="s">
        <v>383</v>
      </c>
      <c r="J1312" s="326" t="s">
        <v>399</v>
      </c>
      <c r="K1312" s="324" t="s">
        <v>12094</v>
      </c>
      <c r="L1312" s="342">
        <v>4</v>
      </c>
      <c r="M1312" s="324" t="s">
        <v>7457</v>
      </c>
      <c r="N1312" s="444" t="s">
        <v>12085</v>
      </c>
      <c r="O1312" s="324">
        <v>100</v>
      </c>
      <c r="P1312" s="445">
        <f>Q1312</f>
        <v>1640</v>
      </c>
      <c r="Q1312" s="446">
        <v>1640</v>
      </c>
      <c r="R1312" s="332" t="s">
        <v>1697</v>
      </c>
      <c r="S1312" s="332" t="s">
        <v>11095</v>
      </c>
      <c r="T1312" s="332" t="s">
        <v>11096</v>
      </c>
      <c r="U1312" s="332" t="s">
        <v>11098</v>
      </c>
      <c r="V1312" s="332" t="s">
        <v>11097</v>
      </c>
      <c r="W1312" s="332" t="s">
        <v>9174</v>
      </c>
      <c r="X1312" s="332" t="s">
        <v>11099</v>
      </c>
      <c r="Y1312" s="332" t="s">
        <v>11100</v>
      </c>
      <c r="Z1312" s="332" t="s">
        <v>16473</v>
      </c>
      <c r="AA1312" s="332" t="s">
        <v>11101</v>
      </c>
      <c r="AB1312" s="416"/>
      <c r="AC1312" s="416"/>
      <c r="AD1312" s="447" t="s">
        <v>14890</v>
      </c>
      <c r="AE1312" s="499" t="s">
        <v>14163</v>
      </c>
      <c r="AF1312" s="475">
        <v>43825</v>
      </c>
      <c r="AG1312" s="748">
        <v>43894</v>
      </c>
      <c r="AH1312" s="417" t="s">
        <v>210</v>
      </c>
      <c r="AI1312" s="392" t="s">
        <v>210</v>
      </c>
      <c r="AJ1312" s="392" t="s">
        <v>210</v>
      </c>
      <c r="AK1312" s="340" t="s">
        <v>210</v>
      </c>
      <c r="AL1312" s="417" t="s">
        <v>210</v>
      </c>
      <c r="AM1312" s="392" t="s">
        <v>210</v>
      </c>
      <c r="AN1312" s="392" t="s">
        <v>210</v>
      </c>
      <c r="AO1312" s="341" t="s">
        <v>210</v>
      </c>
      <c r="AP1312" s="341" t="s">
        <v>210</v>
      </c>
      <c r="AQ1312" s="429" t="s">
        <v>4547</v>
      </c>
      <c r="AR1312" s="452">
        <f>61+1827</f>
        <v>1888</v>
      </c>
      <c r="AS1312" s="324">
        <v>130</v>
      </c>
      <c r="AT1312" s="432">
        <v>1</v>
      </c>
      <c r="AU1312" s="432" t="s">
        <v>12086</v>
      </c>
      <c r="AV1312" s="432">
        <v>2</v>
      </c>
      <c r="AW1312" s="490" t="s">
        <v>12087</v>
      </c>
      <c r="AX1312" s="486" t="s">
        <v>12088</v>
      </c>
      <c r="AY1312" s="429" t="s">
        <v>210</v>
      </c>
      <c r="AZ1312" s="405" t="s">
        <v>4083</v>
      </c>
      <c r="BA1312" s="324" t="s">
        <v>210</v>
      </c>
      <c r="BB1312" s="324" t="s">
        <v>210</v>
      </c>
      <c r="BC1312" s="324" t="s">
        <v>12089</v>
      </c>
      <c r="BD1312" s="324" t="s">
        <v>12090</v>
      </c>
      <c r="BE1312" s="324" t="s">
        <v>12091</v>
      </c>
      <c r="BF1312" s="324" t="s">
        <v>12090</v>
      </c>
      <c r="BG1312" s="324" t="s">
        <v>12092</v>
      </c>
      <c r="BH1312" s="324" t="s">
        <v>12090</v>
      </c>
      <c r="BI1312" s="453">
        <v>0.45</v>
      </c>
      <c r="BJ1312" s="427">
        <v>2.3199999999999998</v>
      </c>
      <c r="BK1312" s="428" t="s">
        <v>10645</v>
      </c>
      <c r="BL1312" s="429">
        <f>6.6+1.65</f>
        <v>8.25</v>
      </c>
      <c r="BM1312" s="491" t="s">
        <v>210</v>
      </c>
      <c r="BN1312" s="453" t="s">
        <v>210</v>
      </c>
      <c r="BO1312" s="464" t="s">
        <v>210</v>
      </c>
      <c r="BP1312" s="455" t="s">
        <v>622</v>
      </c>
      <c r="BQ1312" s="456" t="s">
        <v>12093</v>
      </c>
      <c r="BR1312" s="342" t="s">
        <v>622</v>
      </c>
      <c r="BS1312" s="342" t="s">
        <v>622</v>
      </c>
      <c r="BT1312" s="392" t="s">
        <v>210</v>
      </c>
      <c r="BU1312" s="392" t="s">
        <v>210</v>
      </c>
      <c r="BV1312" s="392" t="s">
        <v>210</v>
      </c>
      <c r="BW1312" s="392" t="s">
        <v>210</v>
      </c>
      <c r="BX1312" s="392" t="s">
        <v>210</v>
      </c>
      <c r="BY1312" s="457" t="s">
        <v>11019</v>
      </c>
      <c r="BZ1312" s="363"/>
      <c r="CA1312" s="363"/>
      <c r="CB1312" s="363"/>
      <c r="CC1312" s="363"/>
    </row>
    <row r="1313" spans="2:81" ht="22.5" customHeight="1">
      <c r="B1313" s="493">
        <v>190061</v>
      </c>
      <c r="C1313" s="494" t="s">
        <v>11039</v>
      </c>
      <c r="D1313" s="467" t="s">
        <v>12755</v>
      </c>
      <c r="E1313" s="404" t="s">
        <v>5405</v>
      </c>
      <c r="F1313" s="405" t="s">
        <v>11040</v>
      </c>
      <c r="G1313" s="324" t="s">
        <v>11041</v>
      </c>
      <c r="H1313" s="324" t="s">
        <v>11042</v>
      </c>
      <c r="I1313" s="326" t="s">
        <v>383</v>
      </c>
      <c r="J1313" s="324" t="s">
        <v>6632</v>
      </c>
      <c r="K1313" s="324" t="s">
        <v>363</v>
      </c>
      <c r="L1313" s="342">
        <v>9.8000000000000007</v>
      </c>
      <c r="M1313" s="324" t="s">
        <v>7457</v>
      </c>
      <c r="N1313" s="444" t="s">
        <v>438</v>
      </c>
      <c r="O1313" s="324">
        <v>30</v>
      </c>
      <c r="P1313" s="458">
        <v>9628</v>
      </c>
      <c r="Q1313" s="459">
        <v>6310</v>
      </c>
      <c r="R1313" s="420" t="s">
        <v>11046</v>
      </c>
      <c r="S1313" s="394" t="s">
        <v>11089</v>
      </c>
      <c r="T1313" s="394" t="s">
        <v>11090</v>
      </c>
      <c r="U1313" s="400"/>
      <c r="V1313" s="394" t="s">
        <v>11091</v>
      </c>
      <c r="W1313" s="460" t="s">
        <v>11043</v>
      </c>
      <c r="X1313" s="394" t="s">
        <v>11092</v>
      </c>
      <c r="Y1313" s="394" t="s">
        <v>11093</v>
      </c>
      <c r="Z1313" s="394" t="s">
        <v>16396</v>
      </c>
      <c r="AA1313" s="394" t="s">
        <v>11094</v>
      </c>
      <c r="AB1313" s="333" t="s">
        <v>9174</v>
      </c>
      <c r="AC1313" s="416"/>
      <c r="AD1313" s="447" t="s">
        <v>15947</v>
      </c>
      <c r="AE1313" s="499" t="s">
        <v>16636</v>
      </c>
      <c r="AF1313" s="475">
        <v>43837</v>
      </c>
      <c r="AG1313" s="748">
        <v>44018</v>
      </c>
      <c r="AH1313" s="417" t="s">
        <v>210</v>
      </c>
      <c r="AI1313" s="392" t="s">
        <v>210</v>
      </c>
      <c r="AJ1313" s="392" t="s">
        <v>210</v>
      </c>
      <c r="AK1313" s="340" t="s">
        <v>210</v>
      </c>
      <c r="AL1313" s="417" t="s">
        <v>210</v>
      </c>
      <c r="AM1313" s="392" t="s">
        <v>210</v>
      </c>
      <c r="AN1313" s="392" t="s">
        <v>210</v>
      </c>
      <c r="AO1313" s="341" t="s">
        <v>210</v>
      </c>
      <c r="AP1313" s="341" t="s">
        <v>210</v>
      </c>
      <c r="AQ1313" s="429" t="s">
        <v>4547</v>
      </c>
      <c r="AR1313" s="452">
        <v>7716</v>
      </c>
      <c r="AS1313" s="324">
        <v>150</v>
      </c>
      <c r="AT1313" s="432">
        <v>1.4</v>
      </c>
      <c r="AU1313" s="432" t="s">
        <v>13373</v>
      </c>
      <c r="AV1313" s="432">
        <v>1.2</v>
      </c>
      <c r="AW1313" s="490" t="s">
        <v>13374</v>
      </c>
      <c r="AX1313" s="486" t="s">
        <v>13380</v>
      </c>
      <c r="AY1313" s="429" t="s">
        <v>210</v>
      </c>
      <c r="AZ1313" s="405" t="s">
        <v>4083</v>
      </c>
      <c r="BA1313" s="324" t="s">
        <v>210</v>
      </c>
      <c r="BB1313" s="324" t="s">
        <v>210</v>
      </c>
      <c r="BC1313" s="324" t="s">
        <v>210</v>
      </c>
      <c r="BD1313" s="324" t="s">
        <v>210</v>
      </c>
      <c r="BE1313" s="324" t="s">
        <v>13375</v>
      </c>
      <c r="BF1313" s="324" t="s">
        <v>13376</v>
      </c>
      <c r="BG1313" s="324" t="s">
        <v>13377</v>
      </c>
      <c r="BH1313" s="426" t="s">
        <v>13378</v>
      </c>
      <c r="BI1313" s="453">
        <v>22</v>
      </c>
      <c r="BJ1313" s="427">
        <v>1.99</v>
      </c>
      <c r="BK1313" s="427" t="s">
        <v>210</v>
      </c>
      <c r="BL1313" s="427" t="s">
        <v>210</v>
      </c>
      <c r="BM1313" s="491" t="s">
        <v>210</v>
      </c>
      <c r="BN1313" s="453" t="s">
        <v>210</v>
      </c>
      <c r="BO1313" s="464" t="s">
        <v>210</v>
      </c>
      <c r="BP1313" s="455" t="s">
        <v>622</v>
      </c>
      <c r="BQ1313" s="456" t="s">
        <v>13379</v>
      </c>
      <c r="BR1313" s="342" t="s">
        <v>622</v>
      </c>
      <c r="BS1313" s="342" t="s">
        <v>622</v>
      </c>
      <c r="BT1313" s="392" t="s">
        <v>210</v>
      </c>
      <c r="BU1313" s="392" t="s">
        <v>210</v>
      </c>
      <c r="BV1313" s="786">
        <v>-25</v>
      </c>
      <c r="BW1313" s="392" t="s">
        <v>210</v>
      </c>
      <c r="BX1313" s="392" t="s">
        <v>210</v>
      </c>
      <c r="BY1313" s="457" t="s">
        <v>13927</v>
      </c>
      <c r="BZ1313" s="363"/>
      <c r="CA1313" s="363"/>
      <c r="CB1313" s="363"/>
      <c r="CC1313" s="363"/>
    </row>
    <row r="1314" spans="2:81" ht="22.5" customHeight="1">
      <c r="B1314" s="493">
        <v>190062</v>
      </c>
      <c r="C1314" s="494" t="s">
        <v>11064</v>
      </c>
      <c r="D1314" s="439" t="s">
        <v>12095</v>
      </c>
      <c r="E1314" s="404" t="s">
        <v>5363</v>
      </c>
      <c r="F1314" s="405" t="s">
        <v>240</v>
      </c>
      <c r="G1314" s="324" t="s">
        <v>10700</v>
      </c>
      <c r="H1314" s="324" t="s">
        <v>10701</v>
      </c>
      <c r="I1314" s="326" t="s">
        <v>383</v>
      </c>
      <c r="J1314" s="326" t="s">
        <v>399</v>
      </c>
      <c r="K1314" s="324" t="s">
        <v>917</v>
      </c>
      <c r="L1314" s="342" t="s">
        <v>295</v>
      </c>
      <c r="M1314" s="324" t="s">
        <v>11943</v>
      </c>
      <c r="N1314" s="444" t="s">
        <v>438</v>
      </c>
      <c r="O1314" s="324">
        <v>40</v>
      </c>
      <c r="P1314" s="458">
        <v>3999.85</v>
      </c>
      <c r="Q1314" s="459">
        <v>4218.2700000000004</v>
      </c>
      <c r="R1314" s="329" t="s">
        <v>447</v>
      </c>
      <c r="S1314" s="331" t="s">
        <v>11077</v>
      </c>
      <c r="T1314" s="331" t="s">
        <v>11078</v>
      </c>
      <c r="U1314" s="331" t="s">
        <v>16355</v>
      </c>
      <c r="V1314" s="331" t="s">
        <v>11133</v>
      </c>
      <c r="W1314" s="332" t="s">
        <v>432</v>
      </c>
      <c r="X1314" s="331" t="s">
        <v>11082</v>
      </c>
      <c r="Y1314" s="331" t="s">
        <v>11082</v>
      </c>
      <c r="Z1314" s="331" t="s">
        <v>11082</v>
      </c>
      <c r="AA1314" s="331" t="s">
        <v>11082</v>
      </c>
      <c r="AB1314" s="416"/>
      <c r="AC1314" s="416"/>
      <c r="AD1314" s="498" t="s">
        <v>944</v>
      </c>
      <c r="AE1314" s="499" t="s">
        <v>104</v>
      </c>
      <c r="AF1314" s="475">
        <v>43839</v>
      </c>
      <c r="AG1314" s="748">
        <v>43952</v>
      </c>
      <c r="AH1314" s="453">
        <v>8.9</v>
      </c>
      <c r="AI1314" s="432">
        <v>16.100000000000001</v>
      </c>
      <c r="AJ1314" s="432">
        <v>9.5</v>
      </c>
      <c r="AK1314" s="340">
        <f>SUM(AH1314:AJ1314)</f>
        <v>34.5</v>
      </c>
      <c r="AL1314" s="417" t="s">
        <v>210</v>
      </c>
      <c r="AM1314" s="392" t="s">
        <v>210</v>
      </c>
      <c r="AN1314" s="392" t="s">
        <v>210</v>
      </c>
      <c r="AO1314" s="341" t="s">
        <v>210</v>
      </c>
      <c r="AP1314" s="488" t="s">
        <v>622</v>
      </c>
      <c r="AQ1314" s="429" t="s">
        <v>4547</v>
      </c>
      <c r="AR1314" s="452">
        <v>4939</v>
      </c>
      <c r="AS1314" s="324">
        <v>100</v>
      </c>
      <c r="AT1314" s="432">
        <v>0.8</v>
      </c>
      <c r="AU1314" s="432" t="s">
        <v>13915</v>
      </c>
      <c r="AV1314" s="432">
        <v>1.2</v>
      </c>
      <c r="AW1314" s="432" t="s">
        <v>13915</v>
      </c>
      <c r="AX1314" s="453" t="s">
        <v>210</v>
      </c>
      <c r="AY1314" s="429" t="s">
        <v>15007</v>
      </c>
      <c r="AZ1314" s="405" t="s">
        <v>4083</v>
      </c>
      <c r="BA1314" s="324" t="s">
        <v>210</v>
      </c>
      <c r="BB1314" s="324" t="s">
        <v>210</v>
      </c>
      <c r="BC1314" s="324" t="s">
        <v>3555</v>
      </c>
      <c r="BD1314" s="324" t="s">
        <v>13917</v>
      </c>
      <c r="BE1314" s="324" t="s">
        <v>13918</v>
      </c>
      <c r="BF1314" s="432" t="s">
        <v>13915</v>
      </c>
      <c r="BG1314" s="324" t="s">
        <v>13919</v>
      </c>
      <c r="BH1314" s="426" t="s">
        <v>13920</v>
      </c>
      <c r="BI1314" s="453">
        <v>4</v>
      </c>
      <c r="BJ1314" s="427">
        <v>2.5299999999999998</v>
      </c>
      <c r="BK1314" s="428" t="s">
        <v>13921</v>
      </c>
      <c r="BL1314" s="429">
        <f>2.1+2.9</f>
        <v>5</v>
      </c>
      <c r="BM1314" s="491" t="s">
        <v>210</v>
      </c>
      <c r="BN1314" s="453" t="s">
        <v>622</v>
      </c>
      <c r="BO1314" s="464">
        <v>1.28</v>
      </c>
      <c r="BP1314" s="455" t="s">
        <v>622</v>
      </c>
      <c r="BQ1314" s="456" t="s">
        <v>1059</v>
      </c>
      <c r="BR1314" s="342" t="s">
        <v>622</v>
      </c>
      <c r="BS1314" s="342" t="s">
        <v>622</v>
      </c>
      <c r="BT1314" s="392" t="s">
        <v>210</v>
      </c>
      <c r="BU1314" s="392" t="s">
        <v>210</v>
      </c>
      <c r="BV1314" s="392" t="s">
        <v>210</v>
      </c>
      <c r="BW1314" s="392" t="s">
        <v>210</v>
      </c>
      <c r="BX1314" s="392" t="s">
        <v>210</v>
      </c>
      <c r="BY1314" s="457" t="s">
        <v>11066</v>
      </c>
      <c r="BZ1314" s="363"/>
      <c r="CA1314" s="363"/>
      <c r="CB1314" s="363"/>
      <c r="CC1314" s="363"/>
    </row>
    <row r="1315" spans="2:81" ht="22.5" customHeight="1">
      <c r="B1315" s="493" t="s">
        <v>11067</v>
      </c>
      <c r="C1315" s="494" t="s">
        <v>11065</v>
      </c>
      <c r="D1315" s="467" t="s">
        <v>6663</v>
      </c>
      <c r="E1315" s="404" t="s">
        <v>5363</v>
      </c>
      <c r="F1315" s="405" t="s">
        <v>240</v>
      </c>
      <c r="G1315" s="324" t="s">
        <v>10700</v>
      </c>
      <c r="H1315" s="324" t="s">
        <v>10701</v>
      </c>
      <c r="I1315" s="326" t="s">
        <v>383</v>
      </c>
      <c r="J1315" s="326" t="s">
        <v>399</v>
      </c>
      <c r="K1315" s="324" t="s">
        <v>917</v>
      </c>
      <c r="L1315" s="342" t="s">
        <v>295</v>
      </c>
      <c r="M1315" s="324" t="s">
        <v>13922</v>
      </c>
      <c r="N1315" s="444" t="s">
        <v>438</v>
      </c>
      <c r="O1315" s="324">
        <v>41</v>
      </c>
      <c r="P1315" s="458">
        <v>5148.8500000000004</v>
      </c>
      <c r="Q1315" s="459">
        <v>5518.51</v>
      </c>
      <c r="R1315" s="329" t="s">
        <v>447</v>
      </c>
      <c r="S1315" s="331" t="s">
        <v>11077</v>
      </c>
      <c r="T1315" s="331" t="s">
        <v>11078</v>
      </c>
      <c r="U1315" s="331" t="s">
        <v>16355</v>
      </c>
      <c r="V1315" s="331" t="s">
        <v>11133</v>
      </c>
      <c r="W1315" s="332" t="s">
        <v>432</v>
      </c>
      <c r="X1315" s="331" t="s">
        <v>11082</v>
      </c>
      <c r="Y1315" s="331" t="s">
        <v>11082</v>
      </c>
      <c r="Z1315" s="331" t="s">
        <v>11082</v>
      </c>
      <c r="AA1315" s="331" t="s">
        <v>11082</v>
      </c>
      <c r="AB1315" s="416"/>
      <c r="AC1315" s="416"/>
      <c r="AD1315" s="498" t="s">
        <v>944</v>
      </c>
      <c r="AE1315" s="499" t="s">
        <v>104</v>
      </c>
      <c r="AF1315" s="475">
        <v>43839</v>
      </c>
      <c r="AG1315" s="748">
        <v>43952</v>
      </c>
      <c r="AH1315" s="453">
        <v>7.9</v>
      </c>
      <c r="AI1315" s="432">
        <v>15.2</v>
      </c>
      <c r="AJ1315" s="432">
        <v>12.3</v>
      </c>
      <c r="AK1315" s="340">
        <f>SUM(AH1315:AJ1315)</f>
        <v>35.400000000000006</v>
      </c>
      <c r="AL1315" s="417" t="s">
        <v>210</v>
      </c>
      <c r="AM1315" s="392" t="s">
        <v>210</v>
      </c>
      <c r="AN1315" s="392" t="s">
        <v>210</v>
      </c>
      <c r="AO1315" s="341" t="s">
        <v>210</v>
      </c>
      <c r="AP1315" s="488" t="s">
        <v>622</v>
      </c>
      <c r="AQ1315" s="429" t="s">
        <v>4547</v>
      </c>
      <c r="AR1315" s="452">
        <v>6485</v>
      </c>
      <c r="AS1315" s="324">
        <v>100</v>
      </c>
      <c r="AT1315" s="432">
        <v>0.8</v>
      </c>
      <c r="AU1315" s="432" t="s">
        <v>13916</v>
      </c>
      <c r="AV1315" s="432">
        <v>1.5</v>
      </c>
      <c r="AW1315" s="432" t="s">
        <v>13916</v>
      </c>
      <c r="AX1315" s="453" t="s">
        <v>210</v>
      </c>
      <c r="AY1315" s="429" t="s">
        <v>210</v>
      </c>
      <c r="AZ1315" s="405" t="s">
        <v>4083</v>
      </c>
      <c r="BA1315" s="324" t="s">
        <v>210</v>
      </c>
      <c r="BB1315" s="324" t="s">
        <v>210</v>
      </c>
      <c r="BC1315" s="324" t="s">
        <v>3555</v>
      </c>
      <c r="BD1315" s="324" t="s">
        <v>13917</v>
      </c>
      <c r="BE1315" s="324" t="s">
        <v>13918</v>
      </c>
      <c r="BF1315" s="432" t="s">
        <v>13915</v>
      </c>
      <c r="BG1315" s="324" t="s">
        <v>13919</v>
      </c>
      <c r="BH1315" s="426" t="s">
        <v>13920</v>
      </c>
      <c r="BI1315" s="453">
        <v>4</v>
      </c>
      <c r="BJ1315" s="427">
        <v>2.5299999999999998</v>
      </c>
      <c r="BK1315" s="428" t="s">
        <v>13921</v>
      </c>
      <c r="BL1315" s="429">
        <f>2.1+2.9</f>
        <v>5</v>
      </c>
      <c r="BM1315" s="491" t="s">
        <v>210</v>
      </c>
      <c r="BN1315" s="453" t="s">
        <v>622</v>
      </c>
      <c r="BO1315" s="464">
        <v>1.28</v>
      </c>
      <c r="BP1315" s="455" t="s">
        <v>622</v>
      </c>
      <c r="BQ1315" s="456" t="s">
        <v>1059</v>
      </c>
      <c r="BR1315" s="342" t="s">
        <v>622</v>
      </c>
      <c r="BS1315" s="342" t="s">
        <v>622</v>
      </c>
      <c r="BT1315" s="392" t="s">
        <v>210</v>
      </c>
      <c r="BU1315" s="392" t="s">
        <v>210</v>
      </c>
      <c r="BV1315" s="392" t="s">
        <v>210</v>
      </c>
      <c r="BW1315" s="392" t="s">
        <v>210</v>
      </c>
      <c r="BX1315" s="392" t="s">
        <v>210</v>
      </c>
      <c r="BY1315" s="457" t="s">
        <v>11066</v>
      </c>
      <c r="BZ1315" s="363"/>
      <c r="CA1315" s="363"/>
      <c r="CB1315" s="363"/>
      <c r="CC1315" s="363"/>
    </row>
    <row r="1316" spans="2:81" ht="22.5" customHeight="1">
      <c r="B1316" s="493">
        <v>190063</v>
      </c>
      <c r="C1316" s="494" t="s">
        <v>12084</v>
      </c>
      <c r="D1316" s="439" t="s">
        <v>12754</v>
      </c>
      <c r="E1316" s="404" t="s">
        <v>10988</v>
      </c>
      <c r="F1316" s="405" t="s">
        <v>264</v>
      </c>
      <c r="G1316" s="324" t="s">
        <v>12076</v>
      </c>
      <c r="H1316" s="324" t="s">
        <v>12077</v>
      </c>
      <c r="I1316" s="326" t="s">
        <v>383</v>
      </c>
      <c r="J1316" s="326" t="s">
        <v>399</v>
      </c>
      <c r="K1316" s="324" t="s">
        <v>13717</v>
      </c>
      <c r="L1316" s="342" t="s">
        <v>13718</v>
      </c>
      <c r="M1316" s="324" t="s">
        <v>7457</v>
      </c>
      <c r="N1316" s="444" t="s">
        <v>13716</v>
      </c>
      <c r="O1316" s="324">
        <v>30</v>
      </c>
      <c r="P1316" s="458">
        <f>Q1316*2</f>
        <v>368</v>
      </c>
      <c r="Q1316" s="459">
        <v>184</v>
      </c>
      <c r="R1316" s="420" t="s">
        <v>10990</v>
      </c>
      <c r="S1316" s="394" t="s">
        <v>12078</v>
      </c>
      <c r="T1316" s="394" t="s">
        <v>12079</v>
      </c>
      <c r="U1316" s="394" t="s">
        <v>16282</v>
      </c>
      <c r="V1316" s="1049" t="s">
        <v>12080</v>
      </c>
      <c r="W1316" s="332" t="s">
        <v>1438</v>
      </c>
      <c r="X1316" s="394" t="s">
        <v>12078</v>
      </c>
      <c r="Y1316" s="394" t="s">
        <v>12079</v>
      </c>
      <c r="Z1316" s="394" t="s">
        <v>16282</v>
      </c>
      <c r="AA1316" s="394" t="s">
        <v>12080</v>
      </c>
      <c r="AB1316" s="416"/>
      <c r="AC1316" s="416"/>
      <c r="AD1316" s="334" t="s">
        <v>2329</v>
      </c>
      <c r="AE1316" s="335" t="s">
        <v>210</v>
      </c>
      <c r="AF1316" s="475">
        <v>43846</v>
      </c>
      <c r="AG1316" s="748">
        <v>43892</v>
      </c>
      <c r="AH1316" s="417" t="s">
        <v>210</v>
      </c>
      <c r="AI1316" s="392" t="s">
        <v>210</v>
      </c>
      <c r="AJ1316" s="392" t="s">
        <v>210</v>
      </c>
      <c r="AK1316" s="340" t="s">
        <v>210</v>
      </c>
      <c r="AL1316" s="417" t="s">
        <v>210</v>
      </c>
      <c r="AM1316" s="392" t="s">
        <v>210</v>
      </c>
      <c r="AN1316" s="392" t="s">
        <v>210</v>
      </c>
      <c r="AO1316" s="341" t="s">
        <v>210</v>
      </c>
      <c r="AP1316" s="392" t="s">
        <v>210</v>
      </c>
      <c r="AQ1316" s="433" t="s">
        <v>13719</v>
      </c>
      <c r="AR1316" s="452">
        <v>285</v>
      </c>
      <c r="AS1316" s="324">
        <v>80</v>
      </c>
      <c r="AT1316" s="432">
        <v>1</v>
      </c>
      <c r="AU1316" s="432" t="s">
        <v>3443</v>
      </c>
      <c r="AV1316" s="432">
        <v>1.5</v>
      </c>
      <c r="AW1316" s="490" t="s">
        <v>13720</v>
      </c>
      <c r="AX1316" s="453" t="s">
        <v>210</v>
      </c>
      <c r="AY1316" s="429" t="s">
        <v>210</v>
      </c>
      <c r="AZ1316" s="405" t="s">
        <v>4083</v>
      </c>
      <c r="BA1316" s="324" t="s">
        <v>210</v>
      </c>
      <c r="BB1316" s="324" t="s">
        <v>210</v>
      </c>
      <c r="BC1316" s="324" t="s">
        <v>13721</v>
      </c>
      <c r="BD1316" s="324" t="s">
        <v>13722</v>
      </c>
      <c r="BE1316" s="324" t="s">
        <v>13723</v>
      </c>
      <c r="BF1316" s="324" t="s">
        <v>13724</v>
      </c>
      <c r="BG1316" s="324" t="s">
        <v>13725</v>
      </c>
      <c r="BH1316" s="324" t="s">
        <v>13724</v>
      </c>
      <c r="BI1316" s="453">
        <v>2.1</v>
      </c>
      <c r="BJ1316" s="427" t="s">
        <v>13726</v>
      </c>
      <c r="BK1316" s="428" t="s">
        <v>13729</v>
      </c>
      <c r="BL1316" s="429">
        <v>3.6</v>
      </c>
      <c r="BM1316" s="491" t="s">
        <v>210</v>
      </c>
      <c r="BN1316" s="453" t="s">
        <v>622</v>
      </c>
      <c r="BO1316" s="464">
        <v>0.83</v>
      </c>
      <c r="BP1316" s="455" t="s">
        <v>13727</v>
      </c>
      <c r="BQ1316" s="456" t="s">
        <v>247</v>
      </c>
      <c r="BR1316" s="342" t="s">
        <v>622</v>
      </c>
      <c r="BS1316" s="342" t="s">
        <v>622</v>
      </c>
      <c r="BT1316" s="392" t="s">
        <v>210</v>
      </c>
      <c r="BU1316" s="392" t="s">
        <v>210</v>
      </c>
      <c r="BV1316" s="392" t="s">
        <v>210</v>
      </c>
      <c r="BW1316" s="392" t="s">
        <v>210</v>
      </c>
      <c r="BX1316" s="392" t="s">
        <v>210</v>
      </c>
      <c r="BY1316" s="457" t="s">
        <v>13728</v>
      </c>
      <c r="BZ1316" s="363"/>
      <c r="CA1316" s="363"/>
      <c r="CB1316" s="363"/>
      <c r="CC1316" s="363"/>
    </row>
    <row r="1317" spans="2:81" ht="22.5" customHeight="1">
      <c r="B1317" s="442">
        <v>190064</v>
      </c>
      <c r="C1317" s="443" t="s">
        <v>15451</v>
      </c>
      <c r="D1317" s="467" t="s">
        <v>15769</v>
      </c>
      <c r="E1317" s="404" t="s">
        <v>5362</v>
      </c>
      <c r="F1317" s="405" t="s">
        <v>13765</v>
      </c>
      <c r="G1317" s="324" t="s">
        <v>13763</v>
      </c>
      <c r="H1317" s="324" t="s">
        <v>13764</v>
      </c>
      <c r="I1317" s="324" t="s">
        <v>766</v>
      </c>
      <c r="J1317" s="326" t="s">
        <v>399</v>
      </c>
      <c r="K1317" s="324" t="s">
        <v>13943</v>
      </c>
      <c r="L1317" s="342" t="s">
        <v>210</v>
      </c>
      <c r="M1317" s="324" t="s">
        <v>766</v>
      </c>
      <c r="N1317" s="444" t="s">
        <v>13944</v>
      </c>
      <c r="O1317" s="324">
        <v>75</v>
      </c>
      <c r="P1317" s="445">
        <v>4200</v>
      </c>
      <c r="Q1317" s="446">
        <f>P1317</f>
        <v>4200</v>
      </c>
      <c r="R1317" s="420" t="s">
        <v>13760</v>
      </c>
      <c r="S1317" s="513"/>
      <c r="T1317" s="513"/>
      <c r="U1317" s="513"/>
      <c r="V1317" s="513"/>
      <c r="W1317" s="460" t="s">
        <v>13369</v>
      </c>
      <c r="X1317" s="394" t="s">
        <v>13366</v>
      </c>
      <c r="Y1317" s="394" t="s">
        <v>13367</v>
      </c>
      <c r="Z1317" s="394" t="s">
        <v>16475</v>
      </c>
      <c r="AA1317" s="394" t="s">
        <v>13368</v>
      </c>
      <c r="AB1317" s="416"/>
      <c r="AC1317" s="416"/>
      <c r="AD1317" s="461"/>
      <c r="AE1317" s="335" t="s">
        <v>210</v>
      </c>
      <c r="AF1317" s="475">
        <v>43852</v>
      </c>
      <c r="AG1317" s="389"/>
      <c r="AH1317" s="417" t="s">
        <v>210</v>
      </c>
      <c r="AI1317" s="392" t="s">
        <v>210</v>
      </c>
      <c r="AJ1317" s="392" t="s">
        <v>210</v>
      </c>
      <c r="AK1317" s="340" t="s">
        <v>210</v>
      </c>
      <c r="AL1317" s="417" t="s">
        <v>210</v>
      </c>
      <c r="AM1317" s="392" t="s">
        <v>210</v>
      </c>
      <c r="AN1317" s="392" t="s">
        <v>210</v>
      </c>
      <c r="AO1317" s="341" t="s">
        <v>210</v>
      </c>
      <c r="AP1317" s="392" t="s">
        <v>210</v>
      </c>
      <c r="AQ1317" s="433" t="s">
        <v>13945</v>
      </c>
      <c r="AR1317" s="452">
        <v>5439</v>
      </c>
      <c r="AS1317" s="324">
        <v>80</v>
      </c>
      <c r="AT1317" s="432">
        <v>1.2</v>
      </c>
      <c r="AU1317" s="432" t="s">
        <v>3443</v>
      </c>
      <c r="AV1317" s="432">
        <v>1.2</v>
      </c>
      <c r="AW1317" s="490" t="s">
        <v>13946</v>
      </c>
      <c r="AX1317" s="453" t="s">
        <v>210</v>
      </c>
      <c r="AY1317" s="429" t="s">
        <v>210</v>
      </c>
      <c r="AZ1317" s="405" t="s">
        <v>622</v>
      </c>
      <c r="BA1317" s="324" t="s">
        <v>3459</v>
      </c>
      <c r="BB1317" s="324" t="s">
        <v>13947</v>
      </c>
      <c r="BC1317" s="324" t="s">
        <v>13948</v>
      </c>
      <c r="BD1317" s="324" t="s">
        <v>13949</v>
      </c>
      <c r="BE1317" s="324" t="s">
        <v>13948</v>
      </c>
      <c r="BF1317" s="324" t="s">
        <v>13947</v>
      </c>
      <c r="BG1317" s="324" t="s">
        <v>13950</v>
      </c>
      <c r="BH1317" s="426" t="s">
        <v>13949</v>
      </c>
      <c r="BI1317" s="453">
        <v>1</v>
      </c>
      <c r="BJ1317" s="427">
        <v>1.17</v>
      </c>
      <c r="BK1317" s="428" t="s">
        <v>13951</v>
      </c>
      <c r="BL1317" s="429">
        <f>3.45+1.4+1.15+3.9+7.35</f>
        <v>17.25</v>
      </c>
      <c r="BM1317" s="430" t="s">
        <v>622</v>
      </c>
      <c r="BN1317" s="453" t="s">
        <v>622</v>
      </c>
      <c r="BO1317" s="464">
        <v>1.03</v>
      </c>
      <c r="BP1317" s="455" t="s">
        <v>622</v>
      </c>
      <c r="BQ1317" s="456" t="s">
        <v>1059</v>
      </c>
      <c r="BR1317" s="342" t="s">
        <v>622</v>
      </c>
      <c r="BS1317" s="342" t="s">
        <v>622</v>
      </c>
      <c r="BT1317" s="392" t="s">
        <v>210</v>
      </c>
      <c r="BU1317" s="392" t="s">
        <v>210</v>
      </c>
      <c r="BV1317" s="392" t="s">
        <v>210</v>
      </c>
      <c r="BW1317" s="392" t="s">
        <v>210</v>
      </c>
      <c r="BX1317" s="392" t="s">
        <v>210</v>
      </c>
      <c r="BY1317" s="457" t="s">
        <v>13927</v>
      </c>
      <c r="BZ1317" s="363"/>
      <c r="CA1317" s="363"/>
      <c r="CB1317" s="363"/>
      <c r="CC1317" s="363"/>
    </row>
    <row r="1318" spans="2:81" ht="22.5" customHeight="1">
      <c r="B1318" s="493">
        <v>190065</v>
      </c>
      <c r="C1318" s="494" t="s">
        <v>14952</v>
      </c>
      <c r="D1318" s="467" t="s">
        <v>13768</v>
      </c>
      <c r="E1318" s="404" t="s">
        <v>5362</v>
      </c>
      <c r="F1318" s="407" t="s">
        <v>1043</v>
      </c>
      <c r="G1318" s="324" t="s">
        <v>13757</v>
      </c>
      <c r="H1318" s="324" t="s">
        <v>13758</v>
      </c>
      <c r="I1318" s="326" t="s">
        <v>383</v>
      </c>
      <c r="J1318" s="326" t="s">
        <v>399</v>
      </c>
      <c r="K1318" s="324" t="s">
        <v>13759</v>
      </c>
      <c r="L1318" s="342">
        <v>12.5</v>
      </c>
      <c r="M1318" s="324" t="s">
        <v>7457</v>
      </c>
      <c r="N1318" s="444" t="s">
        <v>14263</v>
      </c>
      <c r="O1318" s="324">
        <v>70</v>
      </c>
      <c r="P1318" s="458">
        <v>360.36</v>
      </c>
      <c r="Q1318" s="459">
        <v>362.6</v>
      </c>
      <c r="R1318" s="420" t="s">
        <v>13740</v>
      </c>
      <c r="S1318" s="394" t="s">
        <v>13743</v>
      </c>
      <c r="T1318" s="394" t="s">
        <v>13745</v>
      </c>
      <c r="U1318" s="394" t="s">
        <v>13746</v>
      </c>
      <c r="V1318" s="394" t="s">
        <v>13744</v>
      </c>
      <c r="W1318" s="332" t="s">
        <v>644</v>
      </c>
      <c r="X1318" s="394" t="s">
        <v>11202</v>
      </c>
      <c r="Y1318" s="394" t="s">
        <v>11201</v>
      </c>
      <c r="Z1318" s="394" t="s">
        <v>11200</v>
      </c>
      <c r="AA1318" s="394" t="s">
        <v>11203</v>
      </c>
      <c r="AB1318" s="416"/>
      <c r="AC1318" s="416"/>
      <c r="AD1318" s="461"/>
      <c r="AE1318" s="499" t="s">
        <v>15300</v>
      </c>
      <c r="AF1318" s="475">
        <v>43858</v>
      </c>
      <c r="AG1318" s="748">
        <v>43937</v>
      </c>
      <c r="AH1318" s="417" t="s">
        <v>210</v>
      </c>
      <c r="AI1318" s="392" t="s">
        <v>210</v>
      </c>
      <c r="AJ1318" s="392" t="s">
        <v>210</v>
      </c>
      <c r="AK1318" s="340" t="s">
        <v>210</v>
      </c>
      <c r="AL1318" s="417" t="s">
        <v>210</v>
      </c>
      <c r="AM1318" s="392" t="s">
        <v>210</v>
      </c>
      <c r="AN1318" s="496" t="s">
        <v>14264</v>
      </c>
      <c r="AO1318" s="341" t="s">
        <v>210</v>
      </c>
      <c r="AP1318" s="488" t="s">
        <v>622</v>
      </c>
      <c r="AQ1318" s="429" t="s">
        <v>4547</v>
      </c>
      <c r="AR1318" s="452">
        <v>5439</v>
      </c>
      <c r="AS1318" s="324">
        <v>80</v>
      </c>
      <c r="AT1318" s="432">
        <v>1.2</v>
      </c>
      <c r="AU1318" s="432" t="s">
        <v>3443</v>
      </c>
      <c r="AV1318" s="432">
        <v>1.2</v>
      </c>
      <c r="AW1318" s="490" t="s">
        <v>3380</v>
      </c>
      <c r="AX1318" s="453" t="s">
        <v>210</v>
      </c>
      <c r="AY1318" s="429" t="s">
        <v>210</v>
      </c>
      <c r="AZ1318" s="405" t="s">
        <v>622</v>
      </c>
      <c r="BA1318" s="324" t="s">
        <v>14265</v>
      </c>
      <c r="BB1318" s="324" t="s">
        <v>3372</v>
      </c>
      <c r="BC1318" s="324" t="s">
        <v>14266</v>
      </c>
      <c r="BD1318" s="324" t="s">
        <v>3372</v>
      </c>
      <c r="BE1318" s="324" t="s">
        <v>14267</v>
      </c>
      <c r="BF1318" s="324" t="s">
        <v>3380</v>
      </c>
      <c r="BG1318" s="324" t="s">
        <v>210</v>
      </c>
      <c r="BH1318" s="426" t="s">
        <v>210</v>
      </c>
      <c r="BI1318" s="453">
        <v>1.2</v>
      </c>
      <c r="BJ1318" s="427">
        <v>0.56999999999999995</v>
      </c>
      <c r="BK1318" s="412"/>
      <c r="BL1318" s="413"/>
      <c r="BM1318" s="430" t="s">
        <v>622</v>
      </c>
      <c r="BN1318" s="453" t="s">
        <v>210</v>
      </c>
      <c r="BO1318" s="464" t="s">
        <v>210</v>
      </c>
      <c r="BP1318" s="455" t="s">
        <v>622</v>
      </c>
      <c r="BQ1318" s="456" t="s">
        <v>1059</v>
      </c>
      <c r="BR1318" s="392" t="s">
        <v>210</v>
      </c>
      <c r="BS1318" s="342" t="s">
        <v>622</v>
      </c>
      <c r="BT1318" s="392" t="s">
        <v>210</v>
      </c>
      <c r="BU1318" s="392" t="s">
        <v>210</v>
      </c>
      <c r="BV1318" s="392" t="s">
        <v>210</v>
      </c>
      <c r="BW1318" s="392" t="s">
        <v>210</v>
      </c>
      <c r="BX1318" s="392" t="s">
        <v>210</v>
      </c>
      <c r="BY1318" s="457" t="s">
        <v>14268</v>
      </c>
      <c r="BZ1318" s="363"/>
      <c r="CA1318" s="363"/>
      <c r="CB1318" s="363"/>
      <c r="CC1318" s="363"/>
    </row>
    <row r="1319" spans="2:81" ht="22.5" customHeight="1">
      <c r="B1319" s="493">
        <v>190066</v>
      </c>
      <c r="C1319" s="494" t="s">
        <v>13405</v>
      </c>
      <c r="D1319" s="439" t="s">
        <v>13769</v>
      </c>
      <c r="E1319" s="404" t="s">
        <v>5362</v>
      </c>
      <c r="F1319" s="407" t="s">
        <v>13406</v>
      </c>
      <c r="G1319" s="324" t="s">
        <v>13407</v>
      </c>
      <c r="H1319" s="324" t="s">
        <v>13408</v>
      </c>
      <c r="I1319" s="326" t="s">
        <v>383</v>
      </c>
      <c r="J1319" s="326" t="s">
        <v>399</v>
      </c>
      <c r="K1319" s="324" t="s">
        <v>917</v>
      </c>
      <c r="L1319" s="342" t="s">
        <v>210</v>
      </c>
      <c r="M1319" s="324" t="s">
        <v>7457</v>
      </c>
      <c r="N1319" s="444" t="s">
        <v>521</v>
      </c>
      <c r="O1319" s="324">
        <v>70</v>
      </c>
      <c r="P1319" s="458">
        <v>2370</v>
      </c>
      <c r="Q1319" s="459">
        <v>2370</v>
      </c>
      <c r="R1319" s="329" t="s">
        <v>1082</v>
      </c>
      <c r="S1319" s="331" t="s">
        <v>13409</v>
      </c>
      <c r="T1319" s="394" t="s">
        <v>11219</v>
      </c>
      <c r="U1319" s="394" t="s">
        <v>16305</v>
      </c>
      <c r="V1319" s="394" t="s">
        <v>11220</v>
      </c>
      <c r="W1319" s="460" t="s">
        <v>10150</v>
      </c>
      <c r="X1319" s="394" t="s">
        <v>13410</v>
      </c>
      <c r="Y1319" s="394" t="s">
        <v>11282</v>
      </c>
      <c r="Z1319" s="394" t="s">
        <v>16323</v>
      </c>
      <c r="AA1319" s="394" t="s">
        <v>11280</v>
      </c>
      <c r="AB1319" s="416"/>
      <c r="AC1319" s="416"/>
      <c r="AD1319" s="498" t="s">
        <v>1591</v>
      </c>
      <c r="AE1319" s="335" t="s">
        <v>210</v>
      </c>
      <c r="AF1319" s="475">
        <v>43858</v>
      </c>
      <c r="AG1319" s="748">
        <v>43907</v>
      </c>
      <c r="AH1319" s="417" t="s">
        <v>210</v>
      </c>
      <c r="AI1319" s="392" t="s">
        <v>210</v>
      </c>
      <c r="AJ1319" s="392" t="s">
        <v>210</v>
      </c>
      <c r="AK1319" s="340" t="s">
        <v>210</v>
      </c>
      <c r="AL1319" s="417" t="s">
        <v>210</v>
      </c>
      <c r="AM1319" s="392" t="s">
        <v>210</v>
      </c>
      <c r="AN1319" s="341" t="s">
        <v>210</v>
      </c>
      <c r="AO1319" s="341" t="s">
        <v>210</v>
      </c>
      <c r="AP1319" s="488" t="s">
        <v>622</v>
      </c>
      <c r="AQ1319" s="429" t="s">
        <v>4547</v>
      </c>
      <c r="AR1319" s="452">
        <v>2657</v>
      </c>
      <c r="AS1319" s="324">
        <v>100</v>
      </c>
      <c r="AT1319" s="432">
        <v>0.8</v>
      </c>
      <c r="AU1319" s="432" t="s">
        <v>13938</v>
      </c>
      <c r="AV1319" s="432">
        <v>1.2</v>
      </c>
      <c r="AW1319" s="490" t="s">
        <v>13939</v>
      </c>
      <c r="AX1319" s="453" t="s">
        <v>210</v>
      </c>
      <c r="AY1319" s="429" t="s">
        <v>15007</v>
      </c>
      <c r="AZ1319" s="405" t="s">
        <v>4083</v>
      </c>
      <c r="BA1319" s="324" t="s">
        <v>210</v>
      </c>
      <c r="BB1319" s="324" t="s">
        <v>210</v>
      </c>
      <c r="BC1319" s="324" t="s">
        <v>13940</v>
      </c>
      <c r="BD1319" s="490" t="s">
        <v>13939</v>
      </c>
      <c r="BE1319" s="324" t="s">
        <v>210</v>
      </c>
      <c r="BF1319" s="324" t="s">
        <v>210</v>
      </c>
      <c r="BG1319" s="324" t="s">
        <v>13941</v>
      </c>
      <c r="BH1319" s="426" t="s">
        <v>13942</v>
      </c>
      <c r="BI1319" s="453">
        <v>2.5</v>
      </c>
      <c r="BJ1319" s="427">
        <v>1.75</v>
      </c>
      <c r="BK1319" s="427" t="s">
        <v>210</v>
      </c>
      <c r="BL1319" s="504" t="s">
        <v>210</v>
      </c>
      <c r="BM1319" s="430" t="s">
        <v>622</v>
      </c>
      <c r="BN1319" s="453" t="s">
        <v>622</v>
      </c>
      <c r="BO1319" s="464">
        <v>2.4900000000000002</v>
      </c>
      <c r="BP1319" s="455" t="s">
        <v>622</v>
      </c>
      <c r="BQ1319" s="456" t="s">
        <v>1059</v>
      </c>
      <c r="BR1319" s="392" t="s">
        <v>210</v>
      </c>
      <c r="BS1319" s="342" t="s">
        <v>622</v>
      </c>
      <c r="BT1319" s="392" t="s">
        <v>210</v>
      </c>
      <c r="BU1319" s="392" t="s">
        <v>210</v>
      </c>
      <c r="BV1319" s="392" t="s">
        <v>210</v>
      </c>
      <c r="BW1319" s="392" t="s">
        <v>210</v>
      </c>
      <c r="BX1319" s="392" t="s">
        <v>210</v>
      </c>
      <c r="BY1319" s="457"/>
      <c r="BZ1319" s="363"/>
      <c r="CA1319" s="363"/>
      <c r="CB1319" s="363"/>
      <c r="CC1319" s="363"/>
    </row>
    <row r="1320" spans="2:81" ht="22.5" customHeight="1">
      <c r="B1320" s="493">
        <v>190067</v>
      </c>
      <c r="C1320" s="494" t="s">
        <v>10906</v>
      </c>
      <c r="D1320" s="439" t="s">
        <v>8595</v>
      </c>
      <c r="E1320" s="404" t="s">
        <v>5362</v>
      </c>
      <c r="F1320" s="405" t="s">
        <v>10907</v>
      </c>
      <c r="G1320" s="324" t="s">
        <v>10908</v>
      </c>
      <c r="H1320" s="324" t="s">
        <v>10909</v>
      </c>
      <c r="I1320" s="326" t="s">
        <v>383</v>
      </c>
      <c r="J1320" s="342" t="s">
        <v>11013</v>
      </c>
      <c r="K1320" s="324" t="s">
        <v>11012</v>
      </c>
      <c r="L1320" s="361"/>
      <c r="M1320" s="324" t="s">
        <v>7457</v>
      </c>
      <c r="N1320" s="444" t="s">
        <v>14574</v>
      </c>
      <c r="O1320" s="324">
        <v>36</v>
      </c>
      <c r="P1320" s="445">
        <f>2000+80*3</f>
        <v>2240</v>
      </c>
      <c r="Q1320" s="446">
        <f>2000+80</f>
        <v>2080</v>
      </c>
      <c r="R1320" s="420" t="s">
        <v>10911</v>
      </c>
      <c r="S1320" s="394" t="s">
        <v>12760</v>
      </c>
      <c r="T1320" s="394" t="s">
        <v>12762</v>
      </c>
      <c r="U1320" s="394" t="s">
        <v>16250</v>
      </c>
      <c r="V1320" s="394" t="s">
        <v>12761</v>
      </c>
      <c r="W1320" s="332" t="s">
        <v>644</v>
      </c>
      <c r="X1320" s="394" t="s">
        <v>12756</v>
      </c>
      <c r="Y1320" s="394" t="s">
        <v>12757</v>
      </c>
      <c r="Z1320" s="394" t="s">
        <v>12758</v>
      </c>
      <c r="AA1320" s="394" t="s">
        <v>12759</v>
      </c>
      <c r="AB1320" s="416" t="s">
        <v>10916</v>
      </c>
      <c r="AC1320" s="416" t="s">
        <v>10910</v>
      </c>
      <c r="AD1320" s="334" t="s">
        <v>2325</v>
      </c>
      <c r="AE1320" s="499" t="s">
        <v>16543</v>
      </c>
      <c r="AF1320" s="475">
        <v>43858</v>
      </c>
      <c r="AG1320" s="748">
        <v>44015</v>
      </c>
      <c r="AH1320" s="417" t="s">
        <v>210</v>
      </c>
      <c r="AI1320" s="392" t="s">
        <v>210</v>
      </c>
      <c r="AJ1320" s="392" t="s">
        <v>210</v>
      </c>
      <c r="AK1320" s="340" t="s">
        <v>210</v>
      </c>
      <c r="AL1320" s="417" t="s">
        <v>210</v>
      </c>
      <c r="AM1320" s="392" t="s">
        <v>210</v>
      </c>
      <c r="AN1320" s="341" t="s">
        <v>210</v>
      </c>
      <c r="AO1320" s="341" t="s">
        <v>210</v>
      </c>
      <c r="AP1320" s="488" t="s">
        <v>622</v>
      </c>
      <c r="AQ1320" s="429" t="s">
        <v>4547</v>
      </c>
      <c r="AR1320" s="452">
        <v>2287</v>
      </c>
      <c r="AS1320" s="324">
        <v>150</v>
      </c>
      <c r="AT1320" s="432">
        <v>1</v>
      </c>
      <c r="AU1320" s="432" t="s">
        <v>14575</v>
      </c>
      <c r="AV1320" s="432">
        <v>1.2</v>
      </c>
      <c r="AW1320" s="432" t="s">
        <v>14575</v>
      </c>
      <c r="AX1320" s="453" t="s">
        <v>210</v>
      </c>
      <c r="AY1320" s="429" t="s">
        <v>14576</v>
      </c>
      <c r="AZ1320" s="405" t="s">
        <v>622</v>
      </c>
      <c r="BA1320" s="324" t="s">
        <v>3459</v>
      </c>
      <c r="BB1320" s="324" t="s">
        <v>14577</v>
      </c>
      <c r="BC1320" s="324" t="s">
        <v>210</v>
      </c>
      <c r="BD1320" s="324" t="s">
        <v>210</v>
      </c>
      <c r="BE1320" s="324" t="s">
        <v>14578</v>
      </c>
      <c r="BF1320" s="324" t="s">
        <v>14577</v>
      </c>
      <c r="BG1320" s="324" t="s">
        <v>14579</v>
      </c>
      <c r="BH1320" s="324" t="s">
        <v>14577</v>
      </c>
      <c r="BI1320" s="453">
        <v>1.4</v>
      </c>
      <c r="BJ1320" s="427">
        <v>1.82</v>
      </c>
      <c r="BK1320" s="427" t="s">
        <v>210</v>
      </c>
      <c r="BL1320" s="504" t="s">
        <v>210</v>
      </c>
      <c r="BM1320" s="491" t="s">
        <v>210</v>
      </c>
      <c r="BN1320" s="453" t="s">
        <v>622</v>
      </c>
      <c r="BO1320" s="454" t="s">
        <v>14580</v>
      </c>
      <c r="BP1320" s="455" t="s">
        <v>622</v>
      </c>
      <c r="BQ1320" s="456" t="s">
        <v>247</v>
      </c>
      <c r="BR1320" s="392" t="s">
        <v>210</v>
      </c>
      <c r="BS1320" s="342" t="s">
        <v>622</v>
      </c>
      <c r="BT1320" s="392" t="s">
        <v>210</v>
      </c>
      <c r="BU1320" s="392" t="s">
        <v>210</v>
      </c>
      <c r="BV1320" s="392" t="s">
        <v>210</v>
      </c>
      <c r="BW1320" s="392" t="s">
        <v>210</v>
      </c>
      <c r="BX1320" s="392" t="s">
        <v>210</v>
      </c>
      <c r="BY1320" s="457" t="s">
        <v>14581</v>
      </c>
      <c r="BZ1320" s="363"/>
      <c r="CA1320" s="363"/>
      <c r="CB1320" s="363"/>
      <c r="CC1320" s="363"/>
    </row>
    <row r="1321" spans="2:81" ht="22.5" customHeight="1">
      <c r="B1321" s="643">
        <v>190068</v>
      </c>
      <c r="C1321" s="494" t="s">
        <v>13766</v>
      </c>
      <c r="D1321" s="439" t="s">
        <v>13770</v>
      </c>
      <c r="E1321" s="404" t="s">
        <v>5362</v>
      </c>
      <c r="F1321" s="407" t="s">
        <v>13732</v>
      </c>
      <c r="G1321" s="324" t="s">
        <v>13733</v>
      </c>
      <c r="H1321" s="324" t="s">
        <v>13734</v>
      </c>
      <c r="I1321" s="326" t="s">
        <v>383</v>
      </c>
      <c r="J1321" s="326" t="s">
        <v>399</v>
      </c>
      <c r="K1321" s="324" t="s">
        <v>917</v>
      </c>
      <c r="L1321" s="342" t="s">
        <v>13718</v>
      </c>
      <c r="M1321" s="324" t="s">
        <v>7457</v>
      </c>
      <c r="N1321" s="444" t="s">
        <v>14154</v>
      </c>
      <c r="O1321" s="324">
        <v>130</v>
      </c>
      <c r="P1321" s="445">
        <v>1100</v>
      </c>
      <c r="Q1321" s="446">
        <f>P1321</f>
        <v>1100</v>
      </c>
      <c r="R1321" s="420" t="s">
        <v>3350</v>
      </c>
      <c r="S1321" s="394" t="s">
        <v>13730</v>
      </c>
      <c r="T1321" s="394" t="s">
        <v>11613</v>
      </c>
      <c r="U1321" s="394" t="s">
        <v>16302</v>
      </c>
      <c r="V1321" s="394" t="s">
        <v>13731</v>
      </c>
      <c r="W1321" s="460" t="s">
        <v>14972</v>
      </c>
      <c r="X1321" s="332" t="s">
        <v>11615</v>
      </c>
      <c r="Y1321" s="645"/>
      <c r="Z1321" s="645"/>
      <c r="AA1321" s="332" t="s">
        <v>11616</v>
      </c>
      <c r="AB1321" s="416"/>
      <c r="AC1321" s="416"/>
      <c r="AD1321" s="334" t="s">
        <v>2337</v>
      </c>
      <c r="AE1321" s="335" t="s">
        <v>210</v>
      </c>
      <c r="AF1321" s="475">
        <v>43858</v>
      </c>
      <c r="AG1321" s="748">
        <v>43916</v>
      </c>
      <c r="AH1321" s="417" t="s">
        <v>210</v>
      </c>
      <c r="AI1321" s="392" t="s">
        <v>210</v>
      </c>
      <c r="AJ1321" s="392" t="s">
        <v>210</v>
      </c>
      <c r="AK1321" s="340" t="s">
        <v>210</v>
      </c>
      <c r="AL1321" s="417" t="s">
        <v>210</v>
      </c>
      <c r="AM1321" s="392" t="s">
        <v>210</v>
      </c>
      <c r="AN1321" s="496" t="s">
        <v>14155</v>
      </c>
      <c r="AO1321" s="341" t="s">
        <v>210</v>
      </c>
      <c r="AP1321" s="392" t="s">
        <v>210</v>
      </c>
      <c r="AQ1321" s="429" t="s">
        <v>4547</v>
      </c>
      <c r="AR1321" s="452">
        <v>1764</v>
      </c>
      <c r="AS1321" s="324">
        <v>80</v>
      </c>
      <c r="AT1321" s="432">
        <v>1</v>
      </c>
      <c r="AU1321" s="432" t="s">
        <v>14156</v>
      </c>
      <c r="AV1321" s="432">
        <v>1.5</v>
      </c>
      <c r="AW1321" s="490" t="s">
        <v>14157</v>
      </c>
      <c r="AX1321" s="453" t="s">
        <v>210</v>
      </c>
      <c r="AY1321" s="429" t="s">
        <v>210</v>
      </c>
      <c r="AZ1321" s="405" t="s">
        <v>622</v>
      </c>
      <c r="BA1321" s="324" t="s">
        <v>14158</v>
      </c>
      <c r="BB1321" s="324" t="s">
        <v>14156</v>
      </c>
      <c r="BC1321" s="324" t="s">
        <v>14159</v>
      </c>
      <c r="BD1321" s="324" t="s">
        <v>14156</v>
      </c>
      <c r="BE1321" s="324" t="s">
        <v>14160</v>
      </c>
      <c r="BF1321" s="324" t="s">
        <v>14156</v>
      </c>
      <c r="BG1321" s="324" t="s">
        <v>14158</v>
      </c>
      <c r="BH1321" s="426" t="s">
        <v>14161</v>
      </c>
      <c r="BI1321" s="453">
        <v>1.5</v>
      </c>
      <c r="BJ1321" s="427">
        <v>0.44</v>
      </c>
      <c r="BK1321" s="428" t="s">
        <v>14161</v>
      </c>
      <c r="BL1321" s="489">
        <v>3.3</v>
      </c>
      <c r="BM1321" s="430" t="s">
        <v>622</v>
      </c>
      <c r="BN1321" s="453" t="s">
        <v>210</v>
      </c>
      <c r="BO1321" s="464">
        <v>0.85</v>
      </c>
      <c r="BP1321" s="455" t="s">
        <v>622</v>
      </c>
      <c r="BQ1321" s="456" t="s">
        <v>1059</v>
      </c>
      <c r="BR1321" s="392" t="s">
        <v>210</v>
      </c>
      <c r="BS1321" s="342" t="s">
        <v>622</v>
      </c>
      <c r="BT1321" s="392" t="s">
        <v>210</v>
      </c>
      <c r="BU1321" s="342" t="s">
        <v>622</v>
      </c>
      <c r="BV1321" s="392" t="s">
        <v>210</v>
      </c>
      <c r="BW1321" s="392" t="s">
        <v>210</v>
      </c>
      <c r="BX1321" s="392" t="s">
        <v>210</v>
      </c>
      <c r="BY1321" s="457"/>
      <c r="BZ1321" s="363"/>
      <c r="CA1321" s="363"/>
      <c r="CB1321" s="363"/>
      <c r="CC1321" s="363"/>
    </row>
    <row r="1322" spans="2:81" ht="22.5" customHeight="1">
      <c r="B1322" s="493">
        <v>190069</v>
      </c>
      <c r="C1322" s="494" t="s">
        <v>13710</v>
      </c>
      <c r="D1322" s="439" t="s">
        <v>13771</v>
      </c>
      <c r="E1322" s="404" t="s">
        <v>5362</v>
      </c>
      <c r="F1322" s="405" t="s">
        <v>222</v>
      </c>
      <c r="G1322" s="324" t="s">
        <v>13751</v>
      </c>
      <c r="H1322" s="324" t="s">
        <v>13752</v>
      </c>
      <c r="I1322" s="326" t="s">
        <v>383</v>
      </c>
      <c r="J1322" s="326" t="s">
        <v>399</v>
      </c>
      <c r="K1322" s="324" t="s">
        <v>917</v>
      </c>
      <c r="L1322" s="342" t="s">
        <v>210</v>
      </c>
      <c r="M1322" s="324" t="s">
        <v>7457</v>
      </c>
      <c r="N1322" s="444" t="s">
        <v>13962</v>
      </c>
      <c r="O1322" s="324">
        <v>75</v>
      </c>
      <c r="P1322" s="458">
        <f>Q1322</f>
        <v>1023.4</v>
      </c>
      <c r="Q1322" s="459">
        <v>1023.4</v>
      </c>
      <c r="R1322" s="420" t="s">
        <v>13711</v>
      </c>
      <c r="S1322" s="394" t="s">
        <v>13712</v>
      </c>
      <c r="T1322" s="394" t="s">
        <v>13713</v>
      </c>
      <c r="U1322" s="394" t="s">
        <v>16403</v>
      </c>
      <c r="V1322" s="394" t="s">
        <v>13714</v>
      </c>
      <c r="W1322" s="332" t="s">
        <v>1096</v>
      </c>
      <c r="X1322" s="331" t="s">
        <v>12845</v>
      </c>
      <c r="Y1322" s="331" t="s">
        <v>11249</v>
      </c>
      <c r="Z1322" s="331" t="s">
        <v>12847</v>
      </c>
      <c r="AA1322" s="331" t="s">
        <v>12846</v>
      </c>
      <c r="AB1322" s="416"/>
      <c r="AC1322" s="416"/>
      <c r="AD1322" s="334" t="s">
        <v>2321</v>
      </c>
      <c r="AE1322" s="335" t="s">
        <v>210</v>
      </c>
      <c r="AF1322" s="475">
        <v>43858</v>
      </c>
      <c r="AG1322" s="748">
        <v>43938</v>
      </c>
      <c r="AH1322" s="417" t="s">
        <v>210</v>
      </c>
      <c r="AI1322" s="392" t="s">
        <v>210</v>
      </c>
      <c r="AJ1322" s="392" t="s">
        <v>210</v>
      </c>
      <c r="AK1322" s="340" t="s">
        <v>210</v>
      </c>
      <c r="AL1322" s="417" t="s">
        <v>210</v>
      </c>
      <c r="AM1322" s="392" t="s">
        <v>210</v>
      </c>
      <c r="AN1322" s="392" t="s">
        <v>210</v>
      </c>
      <c r="AO1322" s="341" t="s">
        <v>210</v>
      </c>
      <c r="AP1322" s="341" t="s">
        <v>210</v>
      </c>
      <c r="AQ1322" s="429" t="s">
        <v>4547</v>
      </c>
      <c r="AR1322" s="452">
        <v>1268</v>
      </c>
      <c r="AS1322" s="324">
        <v>80</v>
      </c>
      <c r="AT1322" s="432">
        <v>0.8</v>
      </c>
      <c r="AU1322" s="432" t="s">
        <v>13963</v>
      </c>
      <c r="AV1322" s="432">
        <v>1.5</v>
      </c>
      <c r="AW1322" s="490" t="s">
        <v>13964</v>
      </c>
      <c r="AX1322" s="453" t="s">
        <v>210</v>
      </c>
      <c r="AY1322" s="429" t="s">
        <v>210</v>
      </c>
      <c r="AZ1322" s="405" t="s">
        <v>4083</v>
      </c>
      <c r="BA1322" s="324" t="s">
        <v>210</v>
      </c>
      <c r="BB1322" s="324" t="s">
        <v>210</v>
      </c>
      <c r="BC1322" s="324" t="s">
        <v>13965</v>
      </c>
      <c r="BD1322" s="324" t="s">
        <v>13966</v>
      </c>
      <c r="BE1322" s="324" t="s">
        <v>13967</v>
      </c>
      <c r="BF1322" s="324" t="s">
        <v>13968</v>
      </c>
      <c r="BG1322" s="324" t="s">
        <v>13969</v>
      </c>
      <c r="BH1322" s="324" t="s">
        <v>13968</v>
      </c>
      <c r="BI1322" s="453">
        <v>1.1000000000000001</v>
      </c>
      <c r="BJ1322" s="427">
        <v>2.6</v>
      </c>
      <c r="BK1322" s="428" t="s">
        <v>13970</v>
      </c>
      <c r="BL1322" s="429">
        <v>0.5</v>
      </c>
      <c r="BM1322" s="430" t="s">
        <v>210</v>
      </c>
      <c r="BN1322" s="486" t="s">
        <v>622</v>
      </c>
      <c r="BO1322" s="464">
        <v>1.08</v>
      </c>
      <c r="BP1322" s="455" t="s">
        <v>210</v>
      </c>
      <c r="BQ1322" s="456" t="s">
        <v>1059</v>
      </c>
      <c r="BR1322" s="392" t="s">
        <v>210</v>
      </c>
      <c r="BS1322" s="342" t="s">
        <v>622</v>
      </c>
      <c r="BT1322" s="392" t="s">
        <v>210</v>
      </c>
      <c r="BU1322" s="392" t="s">
        <v>210</v>
      </c>
      <c r="BV1322" s="392" t="s">
        <v>210</v>
      </c>
      <c r="BW1322" s="392" t="s">
        <v>210</v>
      </c>
      <c r="BX1322" s="392" t="s">
        <v>210</v>
      </c>
      <c r="BY1322" s="457" t="s">
        <v>13971</v>
      </c>
      <c r="BZ1322" s="363"/>
      <c r="CA1322" s="363"/>
      <c r="CB1322" s="363"/>
      <c r="CC1322" s="363"/>
    </row>
    <row r="1323" spans="2:81" ht="22.5" customHeight="1">
      <c r="B1323" s="493">
        <v>190070</v>
      </c>
      <c r="C1323" s="494" t="s">
        <v>15447</v>
      </c>
      <c r="D1323" s="439" t="s">
        <v>13772</v>
      </c>
      <c r="E1323" s="404" t="s">
        <v>5362</v>
      </c>
      <c r="F1323" s="405" t="s">
        <v>222</v>
      </c>
      <c r="G1323" s="324" t="s">
        <v>13754</v>
      </c>
      <c r="H1323" s="324" t="s">
        <v>13755</v>
      </c>
      <c r="I1323" s="326" t="s">
        <v>383</v>
      </c>
      <c r="J1323" s="324" t="s">
        <v>6632</v>
      </c>
      <c r="K1323" s="324" t="s">
        <v>13756</v>
      </c>
      <c r="L1323" s="342">
        <v>20</v>
      </c>
      <c r="M1323" s="324" t="s">
        <v>7457</v>
      </c>
      <c r="N1323" s="444" t="s">
        <v>14192</v>
      </c>
      <c r="O1323" s="324">
        <v>160</v>
      </c>
      <c r="P1323" s="458">
        <v>2905.94</v>
      </c>
      <c r="Q1323" s="459">
        <v>2982.27</v>
      </c>
      <c r="R1323" s="420" t="s">
        <v>13706</v>
      </c>
      <c r="S1323" s="394" t="s">
        <v>13707</v>
      </c>
      <c r="T1323" s="394" t="s">
        <v>13708</v>
      </c>
      <c r="U1323" s="394" t="s">
        <v>16463</v>
      </c>
      <c r="V1323" s="394" t="s">
        <v>13709</v>
      </c>
      <c r="W1323" s="460" t="s">
        <v>14193</v>
      </c>
      <c r="X1323" s="394" t="s">
        <v>15448</v>
      </c>
      <c r="Y1323" s="394" t="s">
        <v>15449</v>
      </c>
      <c r="Z1323" s="394" t="s">
        <v>16482</v>
      </c>
      <c r="AA1323" s="394" t="s">
        <v>15450</v>
      </c>
      <c r="AB1323" s="416" t="s">
        <v>14203</v>
      </c>
      <c r="AC1323" s="416" t="s">
        <v>15123</v>
      </c>
      <c r="AD1323" s="498" t="s">
        <v>726</v>
      </c>
      <c r="AE1323" s="499" t="s">
        <v>1038</v>
      </c>
      <c r="AF1323" s="475">
        <v>43858</v>
      </c>
      <c r="AG1323" s="748">
        <v>43894</v>
      </c>
      <c r="AH1323" s="417" t="s">
        <v>210</v>
      </c>
      <c r="AI1323" s="392" t="s">
        <v>210</v>
      </c>
      <c r="AJ1323" s="392" t="s">
        <v>210</v>
      </c>
      <c r="AK1323" s="340" t="s">
        <v>210</v>
      </c>
      <c r="AL1323" s="417" t="s">
        <v>210</v>
      </c>
      <c r="AM1323" s="392" t="s">
        <v>210</v>
      </c>
      <c r="AN1323" s="392" t="s">
        <v>210</v>
      </c>
      <c r="AO1323" s="341" t="s">
        <v>210</v>
      </c>
      <c r="AP1323" s="341" t="s">
        <v>210</v>
      </c>
      <c r="AQ1323" s="429" t="s">
        <v>4547</v>
      </c>
      <c r="AR1323" s="452">
        <f>3436+1940</f>
        <v>5376</v>
      </c>
      <c r="AS1323" s="324">
        <v>100</v>
      </c>
      <c r="AT1323" s="432">
        <v>1</v>
      </c>
      <c r="AU1323" s="432" t="s">
        <v>14194</v>
      </c>
      <c r="AV1323" s="432">
        <v>1.5</v>
      </c>
      <c r="AW1323" s="490" t="s">
        <v>14195</v>
      </c>
      <c r="AX1323" s="453" t="s">
        <v>210</v>
      </c>
      <c r="AY1323" s="429" t="s">
        <v>210</v>
      </c>
      <c r="AZ1323" s="405" t="s">
        <v>622</v>
      </c>
      <c r="BA1323" s="324" t="s">
        <v>14196</v>
      </c>
      <c r="BB1323" s="324" t="s">
        <v>14194</v>
      </c>
      <c r="BC1323" s="324" t="s">
        <v>14197</v>
      </c>
      <c r="BD1323" s="324" t="s">
        <v>14194</v>
      </c>
      <c r="BE1323" s="324" t="s">
        <v>14198</v>
      </c>
      <c r="BF1323" s="324" t="s">
        <v>14199</v>
      </c>
      <c r="BG1323" s="324" t="s">
        <v>14198</v>
      </c>
      <c r="BH1323" s="426" t="s">
        <v>14195</v>
      </c>
      <c r="BI1323" s="453">
        <v>0.7</v>
      </c>
      <c r="BJ1323" s="427">
        <v>4.01</v>
      </c>
      <c r="BK1323" s="324" t="s">
        <v>14200</v>
      </c>
      <c r="BL1323" s="429">
        <v>15</v>
      </c>
      <c r="BM1323" s="430" t="s">
        <v>14201</v>
      </c>
      <c r="BN1323" s="486" t="s">
        <v>622</v>
      </c>
      <c r="BO1323" s="454" t="s">
        <v>14962</v>
      </c>
      <c r="BP1323" s="455" t="s">
        <v>622</v>
      </c>
      <c r="BQ1323" s="456" t="s">
        <v>14202</v>
      </c>
      <c r="BR1323" s="392" t="s">
        <v>210</v>
      </c>
      <c r="BS1323" s="342" t="s">
        <v>622</v>
      </c>
      <c r="BT1323" s="392" t="s">
        <v>210</v>
      </c>
      <c r="BU1323" s="392" t="s">
        <v>210</v>
      </c>
      <c r="BV1323" s="392" t="s">
        <v>210</v>
      </c>
      <c r="BW1323" s="392" t="s">
        <v>210</v>
      </c>
      <c r="BX1323" s="392" t="s">
        <v>210</v>
      </c>
      <c r="BY1323" s="457"/>
      <c r="BZ1323" s="363"/>
      <c r="CA1323" s="363"/>
      <c r="CB1323" s="363"/>
      <c r="CC1323" s="363"/>
    </row>
    <row r="1324" spans="2:81" ht="22.5" customHeight="1">
      <c r="B1324" s="493">
        <v>190071</v>
      </c>
      <c r="C1324" s="494" t="s">
        <v>10680</v>
      </c>
      <c r="D1324" s="467" t="s">
        <v>13775</v>
      </c>
      <c r="E1324" s="404" t="s">
        <v>5363</v>
      </c>
      <c r="F1324" s="405" t="s">
        <v>10681</v>
      </c>
      <c r="G1324" s="324" t="s">
        <v>10682</v>
      </c>
      <c r="H1324" s="324" t="s">
        <v>10683</v>
      </c>
      <c r="I1324" s="326" t="s">
        <v>383</v>
      </c>
      <c r="J1324" s="326" t="s">
        <v>399</v>
      </c>
      <c r="K1324" s="324" t="s">
        <v>917</v>
      </c>
      <c r="L1324" s="342" t="s">
        <v>210</v>
      </c>
      <c r="M1324" s="324" t="s">
        <v>7457</v>
      </c>
      <c r="N1324" s="444" t="s">
        <v>14908</v>
      </c>
      <c r="O1324" s="324">
        <v>52</v>
      </c>
      <c r="P1324" s="458">
        <v>3777.21</v>
      </c>
      <c r="Q1324" s="459">
        <v>3955.76</v>
      </c>
      <c r="R1324" s="329" t="s">
        <v>469</v>
      </c>
      <c r="S1324" s="331" t="s">
        <v>12965</v>
      </c>
      <c r="T1324" s="394" t="s">
        <v>11205</v>
      </c>
      <c r="U1324" s="394" t="s">
        <v>11207</v>
      </c>
      <c r="V1324" s="331" t="s">
        <v>12966</v>
      </c>
      <c r="W1324" s="332" t="s">
        <v>432</v>
      </c>
      <c r="X1324" s="331" t="s">
        <v>11079</v>
      </c>
      <c r="Y1324" s="331" t="s">
        <v>11080</v>
      </c>
      <c r="Z1324" s="331" t="s">
        <v>11080</v>
      </c>
      <c r="AA1324" s="331" t="s">
        <v>210</v>
      </c>
      <c r="AB1324" s="416" t="s">
        <v>14909</v>
      </c>
      <c r="AC1324" s="416"/>
      <c r="AD1324" s="334" t="s">
        <v>2325</v>
      </c>
      <c r="AE1324" s="499" t="s">
        <v>2032</v>
      </c>
      <c r="AF1324" s="475">
        <v>43859</v>
      </c>
      <c r="AG1324" s="748">
        <v>43978</v>
      </c>
      <c r="AH1324" s="453">
        <v>7.4</v>
      </c>
      <c r="AI1324" s="432">
        <v>17.8</v>
      </c>
      <c r="AJ1324" s="432">
        <v>13.8</v>
      </c>
      <c r="AK1324" s="340">
        <f>SUM(AH1324:AJ1324)</f>
        <v>39</v>
      </c>
      <c r="AL1324" s="417" t="s">
        <v>210</v>
      </c>
      <c r="AM1324" s="392" t="s">
        <v>210</v>
      </c>
      <c r="AN1324" s="341" t="s">
        <v>210</v>
      </c>
      <c r="AO1324" s="341" t="s">
        <v>210</v>
      </c>
      <c r="AP1324" s="488" t="s">
        <v>622</v>
      </c>
      <c r="AQ1324" s="429" t="s">
        <v>4547</v>
      </c>
      <c r="AR1324" s="452">
        <v>4950</v>
      </c>
      <c r="AS1324" s="324">
        <v>80</v>
      </c>
      <c r="AT1324" s="432">
        <v>0.8</v>
      </c>
      <c r="AU1324" s="432" t="s">
        <v>14946</v>
      </c>
      <c r="AV1324" s="432">
        <v>1.2</v>
      </c>
      <c r="AW1324" s="490" t="s">
        <v>14958</v>
      </c>
      <c r="AX1324" s="453" t="s">
        <v>210</v>
      </c>
      <c r="AY1324" s="429" t="s">
        <v>15007</v>
      </c>
      <c r="AZ1324" s="405" t="s">
        <v>4083</v>
      </c>
      <c r="BA1324" s="324" t="s">
        <v>210</v>
      </c>
      <c r="BB1324" s="324" t="s">
        <v>210</v>
      </c>
      <c r="BC1324" s="324" t="s">
        <v>3459</v>
      </c>
      <c r="BD1324" s="324" t="s">
        <v>3372</v>
      </c>
      <c r="BE1324" s="324" t="s">
        <v>14959</v>
      </c>
      <c r="BF1324" s="324" t="s">
        <v>3372</v>
      </c>
      <c r="BG1324" s="324" t="s">
        <v>14960</v>
      </c>
      <c r="BH1324" s="426" t="s">
        <v>14961</v>
      </c>
      <c r="BI1324" s="453">
        <v>7</v>
      </c>
      <c r="BJ1324" s="427">
        <v>1.28</v>
      </c>
      <c r="BK1324" s="428" t="s">
        <v>15563</v>
      </c>
      <c r="BL1324" s="429">
        <v>5.0999999999999996</v>
      </c>
      <c r="BM1324" s="430" t="s">
        <v>210</v>
      </c>
      <c r="BN1324" s="486" t="s">
        <v>622</v>
      </c>
      <c r="BO1324" s="454" t="s">
        <v>14963</v>
      </c>
      <c r="BP1324" s="455" t="s">
        <v>622</v>
      </c>
      <c r="BQ1324" s="456" t="s">
        <v>10959</v>
      </c>
      <c r="BR1324" s="392" t="s">
        <v>210</v>
      </c>
      <c r="BS1324" s="342" t="s">
        <v>622</v>
      </c>
      <c r="BT1324" s="392" t="s">
        <v>210</v>
      </c>
      <c r="BU1324" s="392" t="s">
        <v>210</v>
      </c>
      <c r="BV1324" s="392" t="s">
        <v>210</v>
      </c>
      <c r="BW1324" s="392" t="s">
        <v>210</v>
      </c>
      <c r="BX1324" s="392" t="s">
        <v>210</v>
      </c>
      <c r="BY1324" s="457"/>
      <c r="BZ1324" s="363"/>
      <c r="CA1324" s="363"/>
      <c r="CB1324" s="363"/>
      <c r="CC1324" s="363"/>
    </row>
    <row r="1325" spans="2:81" ht="22.5" customHeight="1">
      <c r="B1325" s="493">
        <v>190072</v>
      </c>
      <c r="C1325" s="443" t="s">
        <v>13929</v>
      </c>
      <c r="D1325" s="439" t="s">
        <v>14511</v>
      </c>
      <c r="E1325" s="404" t="s">
        <v>5362</v>
      </c>
      <c r="F1325" s="405" t="s">
        <v>222</v>
      </c>
      <c r="G1325" s="324" t="s">
        <v>2139</v>
      </c>
      <c r="H1325" s="324" t="s">
        <v>10115</v>
      </c>
      <c r="I1325" s="326" t="s">
        <v>383</v>
      </c>
      <c r="J1325" s="326" t="s">
        <v>399</v>
      </c>
      <c r="K1325" s="324" t="s">
        <v>977</v>
      </c>
      <c r="L1325" s="342">
        <v>46.5</v>
      </c>
      <c r="M1325" s="324" t="s">
        <v>7457</v>
      </c>
      <c r="N1325" s="444" t="s">
        <v>14851</v>
      </c>
      <c r="O1325" s="324">
        <v>160</v>
      </c>
      <c r="P1325" s="458">
        <v>3407.25</v>
      </c>
      <c r="Q1325" s="459">
        <v>3936.96</v>
      </c>
      <c r="R1325" s="420" t="s">
        <v>13930</v>
      </c>
      <c r="S1325" s="394" t="s">
        <v>13933</v>
      </c>
      <c r="T1325" s="394" t="s">
        <v>13934</v>
      </c>
      <c r="U1325" s="394" t="s">
        <v>13936</v>
      </c>
      <c r="V1325" s="394" t="s">
        <v>13935</v>
      </c>
      <c r="W1325" s="332" t="s">
        <v>1096</v>
      </c>
      <c r="X1325" s="331" t="s">
        <v>11248</v>
      </c>
      <c r="Y1325" s="331" t="s">
        <v>11249</v>
      </c>
      <c r="Z1325" s="331" t="s">
        <v>16437</v>
      </c>
      <c r="AA1325" s="331" t="s">
        <v>11250</v>
      </c>
      <c r="AB1325" s="416" t="s">
        <v>14852</v>
      </c>
      <c r="AC1325" s="416"/>
      <c r="AD1325" s="334" t="s">
        <v>2321</v>
      </c>
      <c r="AE1325" s="335" t="s">
        <v>210</v>
      </c>
      <c r="AF1325" s="475">
        <v>43861</v>
      </c>
      <c r="AG1325" s="748">
        <v>43915</v>
      </c>
      <c r="AH1325" s="417" t="s">
        <v>210</v>
      </c>
      <c r="AI1325" s="392" t="s">
        <v>210</v>
      </c>
      <c r="AJ1325" s="392" t="s">
        <v>210</v>
      </c>
      <c r="AK1325" s="340" t="s">
        <v>210</v>
      </c>
      <c r="AL1325" s="417" t="s">
        <v>210</v>
      </c>
      <c r="AM1325" s="392" t="s">
        <v>210</v>
      </c>
      <c r="AN1325" s="392" t="s">
        <v>210</v>
      </c>
      <c r="AO1325" s="341" t="s">
        <v>210</v>
      </c>
      <c r="AP1325" s="341" t="s">
        <v>210</v>
      </c>
      <c r="AQ1325" s="429" t="s">
        <v>4547</v>
      </c>
      <c r="AR1325" s="452">
        <v>4352</v>
      </c>
      <c r="AS1325" s="324">
        <v>120</v>
      </c>
      <c r="AT1325" s="432">
        <v>1</v>
      </c>
      <c r="AU1325" s="432" t="s">
        <v>14853</v>
      </c>
      <c r="AV1325" s="432">
        <v>3.5</v>
      </c>
      <c r="AW1325" s="490" t="s">
        <v>14854</v>
      </c>
      <c r="AX1325" s="453" t="s">
        <v>210</v>
      </c>
      <c r="AY1325" s="429" t="s">
        <v>210</v>
      </c>
      <c r="AZ1325" s="405" t="s">
        <v>622</v>
      </c>
      <c r="BA1325" s="324" t="s">
        <v>14196</v>
      </c>
      <c r="BB1325" s="324" t="s">
        <v>14855</v>
      </c>
      <c r="BC1325" s="324" t="s">
        <v>14856</v>
      </c>
      <c r="BD1325" s="324" t="s">
        <v>14855</v>
      </c>
      <c r="BE1325" s="324" t="s">
        <v>14857</v>
      </c>
      <c r="BF1325" s="324" t="s">
        <v>3372</v>
      </c>
      <c r="BG1325" s="324" t="s">
        <v>14858</v>
      </c>
      <c r="BH1325" s="426" t="s">
        <v>14859</v>
      </c>
      <c r="BI1325" s="453">
        <v>0.7</v>
      </c>
      <c r="BJ1325" s="427">
        <v>0.84</v>
      </c>
      <c r="BK1325" s="428" t="s">
        <v>14855</v>
      </c>
      <c r="BL1325" s="429">
        <v>4.7</v>
      </c>
      <c r="BM1325" s="430" t="s">
        <v>622</v>
      </c>
      <c r="BN1325" s="453" t="s">
        <v>622</v>
      </c>
      <c r="BO1325" s="464">
        <v>1.1100000000000001</v>
      </c>
      <c r="BP1325" s="455" t="s">
        <v>622</v>
      </c>
      <c r="BQ1325" s="456" t="s">
        <v>247</v>
      </c>
      <c r="BR1325" s="392" t="s">
        <v>210</v>
      </c>
      <c r="BS1325" s="342" t="s">
        <v>622</v>
      </c>
      <c r="BT1325" s="392" t="s">
        <v>210</v>
      </c>
      <c r="BU1325" s="392" t="s">
        <v>210</v>
      </c>
      <c r="BV1325" s="392" t="s">
        <v>210</v>
      </c>
      <c r="BW1325" s="392" t="s">
        <v>210</v>
      </c>
      <c r="BX1325" s="392" t="s">
        <v>210</v>
      </c>
      <c r="BY1325" s="457"/>
      <c r="BZ1325" s="363"/>
      <c r="CA1325" s="363"/>
      <c r="CB1325" s="363"/>
      <c r="CC1325" s="363"/>
    </row>
    <row r="1326" spans="2:81" ht="22.5" customHeight="1">
      <c r="B1326" s="643">
        <v>190073</v>
      </c>
      <c r="C1326" s="494" t="s">
        <v>15265</v>
      </c>
      <c r="D1326" s="467" t="s">
        <v>15088</v>
      </c>
      <c r="E1326" s="404" t="s">
        <v>5363</v>
      </c>
      <c r="F1326" s="405" t="s">
        <v>240</v>
      </c>
      <c r="G1326" s="324" t="s">
        <v>10700</v>
      </c>
      <c r="H1326" s="324" t="s">
        <v>10701</v>
      </c>
      <c r="I1326" s="326" t="s">
        <v>383</v>
      </c>
      <c r="J1326" s="326" t="s">
        <v>399</v>
      </c>
      <c r="K1326" s="324" t="s">
        <v>917</v>
      </c>
      <c r="L1326" s="342" t="s">
        <v>210</v>
      </c>
      <c r="M1326" s="324" t="s">
        <v>7457</v>
      </c>
      <c r="N1326" s="444" t="s">
        <v>14908</v>
      </c>
      <c r="O1326" s="324">
        <v>39</v>
      </c>
      <c r="P1326" s="445">
        <v>1400</v>
      </c>
      <c r="Q1326" s="446">
        <f>P1326</f>
        <v>1400</v>
      </c>
      <c r="R1326" s="329" t="s">
        <v>447</v>
      </c>
      <c r="S1326" s="331" t="s">
        <v>11077</v>
      </c>
      <c r="T1326" s="331" t="s">
        <v>11078</v>
      </c>
      <c r="U1326" s="331" t="s">
        <v>16355</v>
      </c>
      <c r="V1326" s="331" t="s">
        <v>11133</v>
      </c>
      <c r="W1326" s="332" t="s">
        <v>432</v>
      </c>
      <c r="X1326" s="331" t="s">
        <v>210</v>
      </c>
      <c r="Y1326" s="331" t="s">
        <v>210</v>
      </c>
      <c r="Z1326" s="331" t="s">
        <v>210</v>
      </c>
      <c r="AA1326" s="331" t="s">
        <v>210</v>
      </c>
      <c r="AB1326" s="416" t="s">
        <v>5729</v>
      </c>
      <c r="AC1326" s="416"/>
      <c r="AD1326" s="461"/>
      <c r="AE1326" s="499" t="s">
        <v>15824</v>
      </c>
      <c r="AF1326" s="475">
        <v>43866</v>
      </c>
      <c r="AG1326" s="748">
        <v>43983</v>
      </c>
      <c r="AH1326" s="453">
        <v>7</v>
      </c>
      <c r="AI1326" s="432">
        <v>19.3</v>
      </c>
      <c r="AJ1326" s="432">
        <v>14.4</v>
      </c>
      <c r="AK1326" s="340">
        <f>SUM(AH1326:AJ1326)</f>
        <v>40.700000000000003</v>
      </c>
      <c r="AL1326" s="417" t="s">
        <v>210</v>
      </c>
      <c r="AM1326" s="392" t="s">
        <v>210</v>
      </c>
      <c r="AN1326" s="392" t="s">
        <v>210</v>
      </c>
      <c r="AO1326" s="341" t="s">
        <v>210</v>
      </c>
      <c r="AP1326" s="488" t="s">
        <v>622</v>
      </c>
      <c r="AQ1326" s="429" t="s">
        <v>4547</v>
      </c>
      <c r="AR1326" s="452">
        <v>1699</v>
      </c>
      <c r="AS1326" s="324">
        <v>100</v>
      </c>
      <c r="AT1326" s="432">
        <v>0.8</v>
      </c>
      <c r="AU1326" s="432" t="s">
        <v>15722</v>
      </c>
      <c r="AV1326" s="432">
        <v>1.5</v>
      </c>
      <c r="AW1326" s="432" t="s">
        <v>15722</v>
      </c>
      <c r="AX1326" s="453" t="s">
        <v>210</v>
      </c>
      <c r="AY1326" s="429" t="s">
        <v>210</v>
      </c>
      <c r="AZ1326" s="405" t="s">
        <v>4083</v>
      </c>
      <c r="BA1326" s="324" t="s">
        <v>210</v>
      </c>
      <c r="BB1326" s="324" t="s">
        <v>210</v>
      </c>
      <c r="BC1326" s="324" t="s">
        <v>3555</v>
      </c>
      <c r="BD1326" s="324" t="s">
        <v>3372</v>
      </c>
      <c r="BE1326" s="324" t="s">
        <v>3459</v>
      </c>
      <c r="BF1326" s="432" t="s">
        <v>13915</v>
      </c>
      <c r="BG1326" s="324" t="s">
        <v>3459</v>
      </c>
      <c r="BH1326" s="426" t="s">
        <v>5838</v>
      </c>
      <c r="BI1326" s="453">
        <v>4</v>
      </c>
      <c r="BJ1326" s="427">
        <v>2.5299999999999998</v>
      </c>
      <c r="BK1326" s="428" t="s">
        <v>13921</v>
      </c>
      <c r="BL1326" s="429">
        <f>2.1+2.9</f>
        <v>5</v>
      </c>
      <c r="BM1326" s="491" t="s">
        <v>210</v>
      </c>
      <c r="BN1326" s="453" t="s">
        <v>622</v>
      </c>
      <c r="BO1326" s="464">
        <v>1.24</v>
      </c>
      <c r="BP1326" s="455" t="s">
        <v>622</v>
      </c>
      <c r="BQ1326" s="456" t="s">
        <v>1059</v>
      </c>
      <c r="BR1326" s="342" t="s">
        <v>622</v>
      </c>
      <c r="BS1326" s="342" t="s">
        <v>622</v>
      </c>
      <c r="BT1326" s="392" t="s">
        <v>210</v>
      </c>
      <c r="BU1326" s="392" t="s">
        <v>210</v>
      </c>
      <c r="BV1326" s="392" t="s">
        <v>210</v>
      </c>
      <c r="BW1326" s="392" t="s">
        <v>210</v>
      </c>
      <c r="BX1326" s="392" t="s">
        <v>210</v>
      </c>
      <c r="BY1326" s="457"/>
      <c r="BZ1326" s="363"/>
      <c r="CA1326" s="363"/>
      <c r="CB1326" s="363"/>
      <c r="CC1326" s="363"/>
    </row>
    <row r="1327" spans="2:81" ht="22.5" customHeight="1">
      <c r="B1327" s="493">
        <v>190074</v>
      </c>
      <c r="C1327" s="494" t="s">
        <v>14538</v>
      </c>
      <c r="D1327" s="467" t="s">
        <v>13767</v>
      </c>
      <c r="E1327" s="404" t="s">
        <v>5362</v>
      </c>
      <c r="F1327" s="405" t="s">
        <v>14548</v>
      </c>
      <c r="G1327" s="324" t="s">
        <v>14554</v>
      </c>
      <c r="H1327" s="324" t="s">
        <v>14555</v>
      </c>
      <c r="I1327" s="326" t="s">
        <v>383</v>
      </c>
      <c r="J1327" s="326" t="s">
        <v>399</v>
      </c>
      <c r="K1327" s="324" t="s">
        <v>917</v>
      </c>
      <c r="L1327" s="342" t="s">
        <v>210</v>
      </c>
      <c r="M1327" s="324" t="s">
        <v>7457</v>
      </c>
      <c r="N1327" s="444" t="s">
        <v>14711</v>
      </c>
      <c r="O1327" s="324">
        <v>100</v>
      </c>
      <c r="P1327" s="445">
        <v>1100</v>
      </c>
      <c r="Q1327" s="446">
        <f>P1327</f>
        <v>1100</v>
      </c>
      <c r="R1327" s="420" t="s">
        <v>5746</v>
      </c>
      <c r="S1327" s="394" t="s">
        <v>11696</v>
      </c>
      <c r="T1327" s="394" t="s">
        <v>11694</v>
      </c>
      <c r="U1327" s="394" t="s">
        <v>16337</v>
      </c>
      <c r="V1327" s="394" t="s">
        <v>11695</v>
      </c>
      <c r="W1327" s="332" t="s">
        <v>3084</v>
      </c>
      <c r="X1327" s="394" t="s">
        <v>12542</v>
      </c>
      <c r="Y1327" s="394" t="s">
        <v>11693</v>
      </c>
      <c r="Z1327" s="394" t="s">
        <v>16340</v>
      </c>
      <c r="AA1327" s="394" t="s">
        <v>11692</v>
      </c>
      <c r="AB1327" s="416"/>
      <c r="AC1327" s="416"/>
      <c r="AD1327" s="447" t="s">
        <v>15799</v>
      </c>
      <c r="AE1327" s="335" t="s">
        <v>210</v>
      </c>
      <c r="AF1327" s="475">
        <v>43868</v>
      </c>
      <c r="AG1327" s="748">
        <v>43922</v>
      </c>
      <c r="AH1327" s="417" t="s">
        <v>210</v>
      </c>
      <c r="AI1327" s="392" t="s">
        <v>210</v>
      </c>
      <c r="AJ1327" s="392" t="s">
        <v>210</v>
      </c>
      <c r="AK1327" s="340" t="s">
        <v>210</v>
      </c>
      <c r="AL1327" s="417" t="s">
        <v>210</v>
      </c>
      <c r="AM1327" s="392" t="s">
        <v>210</v>
      </c>
      <c r="AN1327" s="392" t="s">
        <v>210</v>
      </c>
      <c r="AO1327" s="341" t="s">
        <v>210</v>
      </c>
      <c r="AP1327" s="341" t="s">
        <v>210</v>
      </c>
      <c r="AQ1327" s="429" t="s">
        <v>4547</v>
      </c>
      <c r="AR1327" s="452">
        <v>1518</v>
      </c>
      <c r="AS1327" s="324">
        <v>80</v>
      </c>
      <c r="AT1327" s="432">
        <v>1</v>
      </c>
      <c r="AU1327" s="432" t="s">
        <v>14712</v>
      </c>
      <c r="AV1327" s="432">
        <v>1.5</v>
      </c>
      <c r="AW1327" s="490" t="s">
        <v>14713</v>
      </c>
      <c r="AX1327" s="453" t="s">
        <v>210</v>
      </c>
      <c r="AY1327" s="429" t="s">
        <v>210</v>
      </c>
      <c r="AZ1327" s="405" t="s">
        <v>4083</v>
      </c>
      <c r="BA1327" s="324" t="s">
        <v>210</v>
      </c>
      <c r="BB1327" s="324" t="s">
        <v>210</v>
      </c>
      <c r="BC1327" s="324" t="s">
        <v>14714</v>
      </c>
      <c r="BD1327" s="324" t="s">
        <v>14713</v>
      </c>
      <c r="BE1327" s="324" t="s">
        <v>210</v>
      </c>
      <c r="BF1327" s="324" t="s">
        <v>210</v>
      </c>
      <c r="BG1327" s="324" t="s">
        <v>14715</v>
      </c>
      <c r="BH1327" s="426" t="s">
        <v>14716</v>
      </c>
      <c r="BI1327" s="453">
        <v>0.2</v>
      </c>
      <c r="BJ1327" s="427">
        <v>2.5</v>
      </c>
      <c r="BK1327" s="428" t="s">
        <v>14717</v>
      </c>
      <c r="BL1327" s="429">
        <v>14.2</v>
      </c>
      <c r="BM1327" s="491" t="s">
        <v>210</v>
      </c>
      <c r="BN1327" s="453" t="s">
        <v>622</v>
      </c>
      <c r="BO1327" s="464">
        <v>1.01</v>
      </c>
      <c r="BP1327" s="455" t="s">
        <v>622</v>
      </c>
      <c r="BQ1327" s="456" t="s">
        <v>1059</v>
      </c>
      <c r="BR1327" s="392" t="s">
        <v>210</v>
      </c>
      <c r="BS1327" s="342" t="s">
        <v>622</v>
      </c>
      <c r="BT1327" s="392" t="s">
        <v>210</v>
      </c>
      <c r="BU1327" s="392" t="s">
        <v>210</v>
      </c>
      <c r="BV1327" s="392" t="s">
        <v>210</v>
      </c>
      <c r="BW1327" s="392" t="s">
        <v>210</v>
      </c>
      <c r="BX1327" s="392" t="s">
        <v>210</v>
      </c>
      <c r="BY1327" s="457"/>
      <c r="BZ1327" s="363"/>
      <c r="CA1327" s="363"/>
      <c r="CB1327" s="363"/>
      <c r="CC1327" s="363"/>
    </row>
    <row r="1328" spans="2:81" ht="22.5" customHeight="1">
      <c r="B1328" s="643">
        <v>190075</v>
      </c>
      <c r="C1328" s="443" t="s">
        <v>16003</v>
      </c>
      <c r="D1328" s="439" t="s">
        <v>14547</v>
      </c>
      <c r="E1328" s="404" t="s">
        <v>5362</v>
      </c>
      <c r="F1328" s="405" t="s">
        <v>14551</v>
      </c>
      <c r="G1328" s="324" t="s">
        <v>14552</v>
      </c>
      <c r="H1328" s="324" t="s">
        <v>14553</v>
      </c>
      <c r="I1328" s="326" t="s">
        <v>383</v>
      </c>
      <c r="J1328" s="324" t="s">
        <v>6632</v>
      </c>
      <c r="K1328" s="324" t="s">
        <v>14557</v>
      </c>
      <c r="L1328" s="342">
        <v>40</v>
      </c>
      <c r="M1328" s="324" t="s">
        <v>7457</v>
      </c>
      <c r="N1328" s="444" t="s">
        <v>14558</v>
      </c>
      <c r="O1328" s="324">
        <v>120</v>
      </c>
      <c r="P1328" s="445">
        <f>760+590</f>
        <v>1350</v>
      </c>
      <c r="Q1328" s="446">
        <f>P1328</f>
        <v>1350</v>
      </c>
      <c r="R1328" s="420" t="s">
        <v>14559</v>
      </c>
      <c r="S1328" s="394" t="s">
        <v>16004</v>
      </c>
      <c r="T1328" s="394" t="s">
        <v>16005</v>
      </c>
      <c r="U1328" s="394" t="s">
        <v>16409</v>
      </c>
      <c r="V1328" s="1049" t="s">
        <v>16006</v>
      </c>
      <c r="W1328" s="332" t="s">
        <v>13955</v>
      </c>
      <c r="X1328" s="394" t="s">
        <v>13956</v>
      </c>
      <c r="Y1328" s="394" t="s">
        <v>13957</v>
      </c>
      <c r="Z1328" s="394" t="s">
        <v>13958</v>
      </c>
      <c r="AA1328" s="394" t="s">
        <v>13959</v>
      </c>
      <c r="AB1328" s="416"/>
      <c r="AC1328" s="416"/>
      <c r="AD1328" s="461"/>
      <c r="AE1328" s="499" t="s">
        <v>17890</v>
      </c>
      <c r="AF1328" s="475">
        <v>43868</v>
      </c>
      <c r="AG1328" s="748">
        <v>43959</v>
      </c>
      <c r="AH1328" s="417" t="s">
        <v>210</v>
      </c>
      <c r="AI1328" s="392" t="s">
        <v>210</v>
      </c>
      <c r="AJ1328" s="392" t="s">
        <v>210</v>
      </c>
      <c r="AK1328" s="340" t="s">
        <v>210</v>
      </c>
      <c r="AL1328" s="417" t="s">
        <v>210</v>
      </c>
      <c r="AM1328" s="392" t="s">
        <v>210</v>
      </c>
      <c r="AN1328" s="341" t="s">
        <v>210</v>
      </c>
      <c r="AO1328" s="341" t="s">
        <v>210</v>
      </c>
      <c r="AP1328" s="488" t="s">
        <v>622</v>
      </c>
      <c r="AQ1328" s="429" t="s">
        <v>4547</v>
      </c>
      <c r="AR1328" s="452">
        <f>822+75.6</f>
        <v>897.6</v>
      </c>
      <c r="AS1328" s="324">
        <v>100</v>
      </c>
      <c r="AT1328" s="432">
        <v>1.2</v>
      </c>
      <c r="AU1328" s="432" t="s">
        <v>14562</v>
      </c>
      <c r="AV1328" s="432">
        <v>1.6</v>
      </c>
      <c r="AW1328" s="490" t="s">
        <v>14563</v>
      </c>
      <c r="AX1328" s="453" t="s">
        <v>210</v>
      </c>
      <c r="AY1328" s="429" t="s">
        <v>210</v>
      </c>
      <c r="AZ1328" s="405" t="s">
        <v>4083</v>
      </c>
      <c r="BA1328" s="324" t="s">
        <v>210</v>
      </c>
      <c r="BB1328" s="324" t="s">
        <v>210</v>
      </c>
      <c r="BC1328" s="324" t="s">
        <v>14564</v>
      </c>
      <c r="BD1328" s="324" t="s">
        <v>14565</v>
      </c>
      <c r="BE1328" s="324" t="s">
        <v>14566</v>
      </c>
      <c r="BF1328" s="324" t="s">
        <v>14567</v>
      </c>
      <c r="BG1328" s="324" t="s">
        <v>14568</v>
      </c>
      <c r="BH1328" s="324" t="s">
        <v>14567</v>
      </c>
      <c r="BI1328" s="453">
        <v>0.8</v>
      </c>
      <c r="BJ1328" s="427">
        <v>4.5999999999999996</v>
      </c>
      <c r="BK1328" s="427" t="s">
        <v>210</v>
      </c>
      <c r="BL1328" s="504" t="s">
        <v>210</v>
      </c>
      <c r="BM1328" s="430" t="s">
        <v>210</v>
      </c>
      <c r="BN1328" s="453" t="s">
        <v>622</v>
      </c>
      <c r="BO1328" s="464">
        <v>0.91</v>
      </c>
      <c r="BP1328" s="455" t="s">
        <v>210</v>
      </c>
      <c r="BQ1328" s="456" t="s">
        <v>14569</v>
      </c>
      <c r="BR1328" s="392" t="s">
        <v>210</v>
      </c>
      <c r="BS1328" s="342" t="s">
        <v>622</v>
      </c>
      <c r="BT1328" s="392" t="s">
        <v>210</v>
      </c>
      <c r="BU1328" s="392" t="s">
        <v>210</v>
      </c>
      <c r="BV1328" s="392" t="s">
        <v>210</v>
      </c>
      <c r="BW1328" s="392" t="s">
        <v>3353</v>
      </c>
      <c r="BX1328" s="904" t="s">
        <v>10552</v>
      </c>
      <c r="BY1328" s="457" t="s">
        <v>14537</v>
      </c>
      <c r="BZ1328" s="363"/>
      <c r="CA1328" s="363"/>
      <c r="CB1328" s="363"/>
      <c r="CC1328" s="363"/>
    </row>
    <row r="1329" spans="1:82" ht="22.5" customHeight="1">
      <c r="B1329" s="503">
        <v>190076</v>
      </c>
      <c r="C1329" s="494" t="s">
        <v>15746</v>
      </c>
      <c r="D1329" s="439" t="s">
        <v>4849</v>
      </c>
      <c r="E1329" s="404" t="s">
        <v>5405</v>
      </c>
      <c r="F1329" s="405" t="s">
        <v>1048</v>
      </c>
      <c r="G1329" s="324" t="s">
        <v>10547</v>
      </c>
      <c r="H1329" s="324" t="s">
        <v>10548</v>
      </c>
      <c r="I1329" s="326" t="s">
        <v>383</v>
      </c>
      <c r="J1329" s="326" t="s">
        <v>399</v>
      </c>
      <c r="K1329" s="324" t="s">
        <v>806</v>
      </c>
      <c r="L1329" s="342" t="s">
        <v>210</v>
      </c>
      <c r="M1329" s="324" t="s">
        <v>15247</v>
      </c>
      <c r="N1329" s="444" t="s">
        <v>438</v>
      </c>
      <c r="O1329" s="324">
        <v>65</v>
      </c>
      <c r="P1329" s="458">
        <v>3169.12</v>
      </c>
      <c r="Q1329" s="459">
        <v>3221</v>
      </c>
      <c r="R1329" s="329" t="s">
        <v>458</v>
      </c>
      <c r="S1329" s="331" t="s">
        <v>14521</v>
      </c>
      <c r="T1329" s="331" t="s">
        <v>11187</v>
      </c>
      <c r="U1329" s="331" t="s">
        <v>11186</v>
      </c>
      <c r="V1329" s="331" t="s">
        <v>11184</v>
      </c>
      <c r="W1329" s="332" t="s">
        <v>432</v>
      </c>
      <c r="X1329" s="331" t="s">
        <v>11079</v>
      </c>
      <c r="Y1329" s="331" t="s">
        <v>11080</v>
      </c>
      <c r="Z1329" s="331" t="s">
        <v>11080</v>
      </c>
      <c r="AA1329" s="331" t="s">
        <v>210</v>
      </c>
      <c r="AB1329" s="416"/>
      <c r="AC1329" s="416"/>
      <c r="AD1329" s="461"/>
      <c r="AE1329" s="499" t="s">
        <v>966</v>
      </c>
      <c r="AF1329" s="475">
        <v>43868</v>
      </c>
      <c r="AG1329" s="748">
        <v>44050</v>
      </c>
      <c r="AH1329" s="453">
        <v>12</v>
      </c>
      <c r="AI1329" s="432">
        <v>29.9</v>
      </c>
      <c r="AJ1329" s="432">
        <v>18.100000000000001</v>
      </c>
      <c r="AK1329" s="340">
        <f>SUM(AH1329:AJ1329)</f>
        <v>60</v>
      </c>
      <c r="AL1329" s="417" t="s">
        <v>210</v>
      </c>
      <c r="AM1329" s="392" t="s">
        <v>210</v>
      </c>
      <c r="AN1329" s="392" t="s">
        <v>210</v>
      </c>
      <c r="AO1329" s="341" t="s">
        <v>210</v>
      </c>
      <c r="AP1329" s="341" t="s">
        <v>210</v>
      </c>
      <c r="AQ1329" s="429" t="s">
        <v>4547</v>
      </c>
      <c r="AR1329" s="452">
        <v>5095</v>
      </c>
      <c r="AS1329" s="324">
        <v>100</v>
      </c>
      <c r="AT1329" s="432">
        <v>1</v>
      </c>
      <c r="AU1329" s="432" t="s">
        <v>15262</v>
      </c>
      <c r="AV1329" s="432">
        <v>1.5</v>
      </c>
      <c r="AW1329" s="490" t="s">
        <v>15263</v>
      </c>
      <c r="AX1329" s="453" t="s">
        <v>210</v>
      </c>
      <c r="AY1329" s="429" t="s">
        <v>622</v>
      </c>
      <c r="AZ1329" s="405" t="s">
        <v>622</v>
      </c>
      <c r="BA1329" s="324" t="s">
        <v>15248</v>
      </c>
      <c r="BB1329" s="324" t="s">
        <v>15243</v>
      </c>
      <c r="BC1329" s="324" t="s">
        <v>15242</v>
      </c>
      <c r="BD1329" s="324" t="s">
        <v>15243</v>
      </c>
      <c r="BE1329" s="324" t="s">
        <v>15249</v>
      </c>
      <c r="BF1329" s="324" t="s">
        <v>15250</v>
      </c>
      <c r="BG1329" s="324" t="s">
        <v>15245</v>
      </c>
      <c r="BH1329" s="426" t="s">
        <v>15251</v>
      </c>
      <c r="BI1329" s="453">
        <v>0.5</v>
      </c>
      <c r="BJ1329" s="427">
        <v>1.76</v>
      </c>
      <c r="BK1329" s="427" t="s">
        <v>210</v>
      </c>
      <c r="BL1329" s="504" t="s">
        <v>210</v>
      </c>
      <c r="BM1329" s="430" t="s">
        <v>210</v>
      </c>
      <c r="BN1329" s="453" t="s">
        <v>210</v>
      </c>
      <c r="BO1329" s="464" t="s">
        <v>210</v>
      </c>
      <c r="BP1329" s="455" t="s">
        <v>15246</v>
      </c>
      <c r="BQ1329" s="456" t="s">
        <v>1059</v>
      </c>
      <c r="BR1329" s="342" t="s">
        <v>622</v>
      </c>
      <c r="BS1329" s="392" t="s">
        <v>210</v>
      </c>
      <c r="BT1329" s="392" t="s">
        <v>210</v>
      </c>
      <c r="BU1329" s="392" t="s">
        <v>210</v>
      </c>
      <c r="BV1329" s="392" t="s">
        <v>210</v>
      </c>
      <c r="BW1329" s="392" t="s">
        <v>210</v>
      </c>
      <c r="BX1329" s="392" t="s">
        <v>210</v>
      </c>
      <c r="BY1329" s="457"/>
      <c r="BZ1329" s="363"/>
      <c r="CA1329" s="363"/>
      <c r="CB1329" s="363"/>
      <c r="CC1329" s="363"/>
    </row>
    <row r="1330" spans="1:82" ht="22.5" customHeight="1">
      <c r="B1330" s="1069">
        <v>190077</v>
      </c>
      <c r="C1330" s="494" t="s">
        <v>14540</v>
      </c>
      <c r="D1330" s="439" t="s">
        <v>4847</v>
      </c>
      <c r="E1330" s="404" t="s">
        <v>5405</v>
      </c>
      <c r="F1330" s="405" t="s">
        <v>14541</v>
      </c>
      <c r="G1330" s="324" t="s">
        <v>14542</v>
      </c>
      <c r="H1330" s="324" t="s">
        <v>14543</v>
      </c>
      <c r="I1330" s="326" t="s">
        <v>383</v>
      </c>
      <c r="J1330" s="326" t="s">
        <v>399</v>
      </c>
      <c r="K1330" s="324" t="s">
        <v>917</v>
      </c>
      <c r="L1330" s="342" t="s">
        <v>210</v>
      </c>
      <c r="M1330" s="324" t="s">
        <v>7457</v>
      </c>
      <c r="N1330" s="444" t="s">
        <v>14910</v>
      </c>
      <c r="O1330" s="324">
        <v>40</v>
      </c>
      <c r="P1330" s="445">
        <v>1100</v>
      </c>
      <c r="Q1330" s="446">
        <f>P1330</f>
        <v>1100</v>
      </c>
      <c r="R1330" s="420" t="s">
        <v>4095</v>
      </c>
      <c r="S1330" s="394" t="s">
        <v>14544</v>
      </c>
      <c r="T1330" s="394" t="s">
        <v>11546</v>
      </c>
      <c r="U1330" s="394" t="s">
        <v>14971</v>
      </c>
      <c r="V1330" s="394" t="s">
        <v>14545</v>
      </c>
      <c r="W1330" s="460" t="s">
        <v>4349</v>
      </c>
      <c r="X1330" s="394" t="s">
        <v>11548</v>
      </c>
      <c r="Y1330" s="394" t="s">
        <v>11549</v>
      </c>
      <c r="Z1330" s="394" t="s">
        <v>16493</v>
      </c>
      <c r="AA1330" s="394" t="s">
        <v>11550</v>
      </c>
      <c r="AB1330" s="416"/>
      <c r="AC1330" s="416"/>
      <c r="AD1330" s="498" t="s">
        <v>15134</v>
      </c>
      <c r="AE1330" s="335" t="s">
        <v>210</v>
      </c>
      <c r="AF1330" s="475">
        <v>43873</v>
      </c>
      <c r="AG1330" s="748">
        <v>43896</v>
      </c>
      <c r="AH1330" s="417" t="s">
        <v>210</v>
      </c>
      <c r="AI1330" s="392" t="s">
        <v>210</v>
      </c>
      <c r="AJ1330" s="392" t="s">
        <v>210</v>
      </c>
      <c r="AK1330" s="340" t="s">
        <v>210</v>
      </c>
      <c r="AL1330" s="417" t="s">
        <v>210</v>
      </c>
      <c r="AM1330" s="392" t="s">
        <v>210</v>
      </c>
      <c r="AN1330" s="392" t="s">
        <v>210</v>
      </c>
      <c r="AO1330" s="341" t="s">
        <v>210</v>
      </c>
      <c r="AP1330" s="341" t="s">
        <v>210</v>
      </c>
      <c r="AQ1330" s="429" t="s">
        <v>4547</v>
      </c>
      <c r="AR1330" s="452">
        <v>1319</v>
      </c>
      <c r="AS1330" s="324">
        <v>80</v>
      </c>
      <c r="AT1330" s="432">
        <v>0.8</v>
      </c>
      <c r="AU1330" s="432" t="s">
        <v>14920</v>
      </c>
      <c r="AV1330" s="432">
        <v>1.5</v>
      </c>
      <c r="AW1330" s="490" t="s">
        <v>14921</v>
      </c>
      <c r="AX1330" s="453" t="s">
        <v>210</v>
      </c>
      <c r="AY1330" s="429" t="s">
        <v>210</v>
      </c>
      <c r="AZ1330" s="405" t="s">
        <v>4083</v>
      </c>
      <c r="BA1330" s="324" t="s">
        <v>210</v>
      </c>
      <c r="BB1330" s="324" t="s">
        <v>210</v>
      </c>
      <c r="BC1330" s="324" t="s">
        <v>14914</v>
      </c>
      <c r="BD1330" s="324" t="s">
        <v>14915</v>
      </c>
      <c r="BE1330" s="324" t="s">
        <v>14916</v>
      </c>
      <c r="BF1330" s="324" t="s">
        <v>14917</v>
      </c>
      <c r="BG1330" s="324" t="s">
        <v>14918</v>
      </c>
      <c r="BH1330" s="426" t="s">
        <v>14919</v>
      </c>
      <c r="BI1330" s="453">
        <v>1.5</v>
      </c>
      <c r="BJ1330" s="427">
        <v>2.9</v>
      </c>
      <c r="BK1330" s="428" t="s">
        <v>14913</v>
      </c>
      <c r="BL1330" s="429">
        <v>1</v>
      </c>
      <c r="BM1330" s="430" t="s">
        <v>210</v>
      </c>
      <c r="BN1330" s="453" t="s">
        <v>622</v>
      </c>
      <c r="BO1330" s="454" t="s">
        <v>14911</v>
      </c>
      <c r="BP1330" s="455" t="s">
        <v>622</v>
      </c>
      <c r="BQ1330" s="456" t="s">
        <v>14912</v>
      </c>
      <c r="BR1330" s="392" t="s">
        <v>210</v>
      </c>
      <c r="BS1330" s="342" t="s">
        <v>622</v>
      </c>
      <c r="BT1330" s="392" t="s">
        <v>210</v>
      </c>
      <c r="BU1330" s="392" t="s">
        <v>210</v>
      </c>
      <c r="BV1330" s="392" t="s">
        <v>210</v>
      </c>
      <c r="BW1330" s="392" t="s">
        <v>210</v>
      </c>
      <c r="BX1330" s="392" t="s">
        <v>210</v>
      </c>
      <c r="BY1330" s="457"/>
      <c r="BZ1330" s="363"/>
      <c r="CA1330" s="363"/>
      <c r="CB1330" s="363"/>
      <c r="CC1330" s="363"/>
    </row>
    <row r="1331" spans="1:82" s="907" customFormat="1" ht="22.5" customHeight="1">
      <c r="A1331" s="1273" t="s">
        <v>15346</v>
      </c>
      <c r="B1331" s="1070">
        <v>199911</v>
      </c>
      <c r="C1331" s="494" t="s">
        <v>15384</v>
      </c>
      <c r="D1331" s="467" t="s">
        <v>15086</v>
      </c>
      <c r="E1331" s="404" t="s">
        <v>5362</v>
      </c>
      <c r="F1331" s="405" t="s">
        <v>14548</v>
      </c>
      <c r="G1331" s="324" t="s">
        <v>14549</v>
      </c>
      <c r="H1331" s="324" t="s">
        <v>14550</v>
      </c>
      <c r="I1331" s="326" t="s">
        <v>383</v>
      </c>
      <c r="J1331" s="326" t="s">
        <v>399</v>
      </c>
      <c r="K1331" s="324" t="s">
        <v>917</v>
      </c>
      <c r="L1331" s="342" t="s">
        <v>210</v>
      </c>
      <c r="M1331" s="324" t="s">
        <v>7457</v>
      </c>
      <c r="N1331" s="444" t="s">
        <v>437</v>
      </c>
      <c r="O1331" s="324">
        <v>200</v>
      </c>
      <c r="P1331" s="445">
        <v>1100</v>
      </c>
      <c r="Q1331" s="446">
        <f>P1331</f>
        <v>1100</v>
      </c>
      <c r="R1331" s="420" t="s">
        <v>5746</v>
      </c>
      <c r="S1331" s="394" t="s">
        <v>11696</v>
      </c>
      <c r="T1331" s="394" t="s">
        <v>11694</v>
      </c>
      <c r="U1331" s="394" t="s">
        <v>16337</v>
      </c>
      <c r="V1331" s="394" t="s">
        <v>11695</v>
      </c>
      <c r="W1331" s="332" t="s">
        <v>3084</v>
      </c>
      <c r="X1331" s="394" t="s">
        <v>12542</v>
      </c>
      <c r="Y1331" s="394" t="s">
        <v>11693</v>
      </c>
      <c r="Z1331" s="394" t="s">
        <v>16340</v>
      </c>
      <c r="AA1331" s="394" t="s">
        <v>11692</v>
      </c>
      <c r="AB1331" s="416"/>
      <c r="AC1331" s="416"/>
      <c r="AD1331" s="447" t="s">
        <v>15798</v>
      </c>
      <c r="AE1331" s="335" t="s">
        <v>210</v>
      </c>
      <c r="AF1331" s="475">
        <v>43913</v>
      </c>
      <c r="AG1331" s="748">
        <v>43963</v>
      </c>
      <c r="AH1331" s="417" t="s">
        <v>210</v>
      </c>
      <c r="AI1331" s="392" t="s">
        <v>210</v>
      </c>
      <c r="AJ1331" s="392" t="s">
        <v>210</v>
      </c>
      <c r="AK1331" s="340" t="s">
        <v>210</v>
      </c>
      <c r="AL1331" s="417" t="s">
        <v>210</v>
      </c>
      <c r="AM1331" s="392" t="s">
        <v>210</v>
      </c>
      <c r="AN1331" s="1068" t="s">
        <v>15766</v>
      </c>
      <c r="AO1331" s="341" t="s">
        <v>210</v>
      </c>
      <c r="AP1331" s="341" t="s">
        <v>210</v>
      </c>
      <c r="AQ1331" s="429" t="s">
        <v>4547</v>
      </c>
      <c r="AR1331" s="452">
        <v>1472</v>
      </c>
      <c r="AS1331" s="324">
        <v>120</v>
      </c>
      <c r="AT1331" s="432">
        <v>1</v>
      </c>
      <c r="AU1331" s="432" t="s">
        <v>15398</v>
      </c>
      <c r="AV1331" s="432">
        <v>1.5</v>
      </c>
      <c r="AW1331" s="432" t="s">
        <v>15398</v>
      </c>
      <c r="AX1331" s="453" t="s">
        <v>210</v>
      </c>
      <c r="AY1331" s="429" t="s">
        <v>210</v>
      </c>
      <c r="AZ1331" s="405" t="s">
        <v>622</v>
      </c>
      <c r="BA1331" s="324" t="s">
        <v>15399</v>
      </c>
      <c r="BB1331" s="324" t="s">
        <v>15398</v>
      </c>
      <c r="BC1331" s="324" t="s">
        <v>15400</v>
      </c>
      <c r="BD1331" s="324" t="s">
        <v>15398</v>
      </c>
      <c r="BE1331" s="324" t="s">
        <v>15401</v>
      </c>
      <c r="BF1331" s="324" t="s">
        <v>15402</v>
      </c>
      <c r="BG1331" s="324" t="s">
        <v>15403</v>
      </c>
      <c r="BH1331" s="426" t="s">
        <v>15404</v>
      </c>
      <c r="BI1331" s="453">
        <v>1</v>
      </c>
      <c r="BJ1331" s="427">
        <v>2.02</v>
      </c>
      <c r="BK1331" s="428" t="s">
        <v>15398</v>
      </c>
      <c r="BL1331" s="429">
        <v>9.8000000000000007</v>
      </c>
      <c r="BM1331" s="430" t="s">
        <v>622</v>
      </c>
      <c r="BN1331" s="453" t="s">
        <v>210</v>
      </c>
      <c r="BO1331" s="464" t="s">
        <v>210</v>
      </c>
      <c r="BP1331" s="455" t="s">
        <v>622</v>
      </c>
      <c r="BQ1331" s="456" t="s">
        <v>10959</v>
      </c>
      <c r="BR1331" s="342" t="s">
        <v>622</v>
      </c>
      <c r="BS1331" s="342" t="s">
        <v>622</v>
      </c>
      <c r="BT1331" s="392" t="s">
        <v>210</v>
      </c>
      <c r="BU1331" s="392" t="s">
        <v>210</v>
      </c>
      <c r="BV1331" s="392" t="s">
        <v>210</v>
      </c>
      <c r="BW1331" s="392" t="s">
        <v>210</v>
      </c>
      <c r="BX1331" s="392" t="s">
        <v>210</v>
      </c>
      <c r="BY1331" s="457" t="s">
        <v>16180</v>
      </c>
      <c r="BZ1331" s="944"/>
      <c r="CA1331" s="944"/>
      <c r="CB1331" s="944"/>
      <c r="CC1331" s="944"/>
      <c r="CD1331" s="945"/>
    </row>
    <row r="1332" spans="1:82" ht="22.5" customHeight="1">
      <c r="B1332" s="1069">
        <v>190079</v>
      </c>
      <c r="C1332" s="494" t="s">
        <v>14879</v>
      </c>
      <c r="D1332" s="439" t="s">
        <v>4847</v>
      </c>
      <c r="E1332" s="404" t="s">
        <v>5405</v>
      </c>
      <c r="F1332" s="405" t="s">
        <v>213</v>
      </c>
      <c r="G1332" s="324" t="s">
        <v>14663</v>
      </c>
      <c r="H1332" s="324" t="s">
        <v>14664</v>
      </c>
      <c r="I1332" s="326" t="s">
        <v>383</v>
      </c>
      <c r="J1332" s="326" t="s">
        <v>399</v>
      </c>
      <c r="K1332" s="324" t="s">
        <v>917</v>
      </c>
      <c r="L1332" s="342" t="s">
        <v>210</v>
      </c>
      <c r="M1332" s="324" t="s">
        <v>7457</v>
      </c>
      <c r="N1332" s="444" t="s">
        <v>438</v>
      </c>
      <c r="O1332" s="324">
        <v>30</v>
      </c>
      <c r="P1332" s="458">
        <v>2905.19</v>
      </c>
      <c r="Q1332" s="459">
        <v>3079.35</v>
      </c>
      <c r="R1332" s="329" t="s">
        <v>3649</v>
      </c>
      <c r="S1332" s="394" t="s">
        <v>14861</v>
      </c>
      <c r="T1332" s="394" t="s">
        <v>11323</v>
      </c>
      <c r="U1332" s="394" t="s">
        <v>11321</v>
      </c>
      <c r="V1332" s="394" t="s">
        <v>14862</v>
      </c>
      <c r="W1332" s="460" t="s">
        <v>3864</v>
      </c>
      <c r="X1332" s="394" t="s">
        <v>11498</v>
      </c>
      <c r="Y1332" s="394" t="s">
        <v>11329</v>
      </c>
      <c r="Z1332" s="394" t="s">
        <v>11502</v>
      </c>
      <c r="AA1332" s="394" t="s">
        <v>11503</v>
      </c>
      <c r="AB1332" s="416"/>
      <c r="AC1332" s="416"/>
      <c r="AD1332" s="334" t="s">
        <v>2327</v>
      </c>
      <c r="AE1332" s="499" t="s">
        <v>2839</v>
      </c>
      <c r="AF1332" s="475">
        <v>43878</v>
      </c>
      <c r="AG1332" s="748">
        <v>43943</v>
      </c>
      <c r="AH1332" s="417" t="s">
        <v>210</v>
      </c>
      <c r="AI1332" s="392" t="s">
        <v>210</v>
      </c>
      <c r="AJ1332" s="392" t="s">
        <v>210</v>
      </c>
      <c r="AK1332" s="340" t="s">
        <v>210</v>
      </c>
      <c r="AL1332" s="341" t="s">
        <v>210</v>
      </c>
      <c r="AM1332" s="341" t="s">
        <v>210</v>
      </c>
      <c r="AN1332" s="341" t="s">
        <v>210</v>
      </c>
      <c r="AO1332" s="341" t="s">
        <v>210</v>
      </c>
      <c r="AP1332" s="1063" t="s">
        <v>622</v>
      </c>
      <c r="AQ1332" s="429" t="s">
        <v>4547</v>
      </c>
      <c r="AR1332" s="452">
        <v>3271</v>
      </c>
      <c r="AS1332" s="324">
        <v>120</v>
      </c>
      <c r="AT1332" s="432">
        <v>1</v>
      </c>
      <c r="AU1332" s="432" t="s">
        <v>15240</v>
      </c>
      <c r="AV1332" s="432">
        <v>1.8</v>
      </c>
      <c r="AW1332" s="490" t="s">
        <v>15241</v>
      </c>
      <c r="AX1332" s="453" t="s">
        <v>210</v>
      </c>
      <c r="AY1332" s="429" t="s">
        <v>210</v>
      </c>
      <c r="AZ1332" s="405" t="s">
        <v>4083</v>
      </c>
      <c r="BA1332" s="324" t="s">
        <v>210</v>
      </c>
      <c r="BB1332" s="324" t="s">
        <v>210</v>
      </c>
      <c r="BC1332" s="324" t="s">
        <v>210</v>
      </c>
      <c r="BD1332" s="324" t="s">
        <v>210</v>
      </c>
      <c r="BE1332" s="324" t="s">
        <v>15242</v>
      </c>
      <c r="BF1332" s="324" t="s">
        <v>15243</v>
      </c>
      <c r="BG1332" s="324" t="s">
        <v>15242</v>
      </c>
      <c r="BH1332" s="426" t="s">
        <v>15244</v>
      </c>
      <c r="BI1332" s="453">
        <v>0.2</v>
      </c>
      <c r="BJ1332" s="427" t="s">
        <v>15245</v>
      </c>
      <c r="BK1332" s="427" t="s">
        <v>210</v>
      </c>
      <c r="BL1332" s="504" t="s">
        <v>210</v>
      </c>
      <c r="BM1332" s="430" t="s">
        <v>210</v>
      </c>
      <c r="BN1332" s="453" t="s">
        <v>622</v>
      </c>
      <c r="BO1332" s="464">
        <v>1.1379999999999999</v>
      </c>
      <c r="BP1332" s="455" t="s">
        <v>15246</v>
      </c>
      <c r="BQ1332" s="456" t="s">
        <v>10959</v>
      </c>
      <c r="BR1332" s="342" t="s">
        <v>622</v>
      </c>
      <c r="BS1332" s="342" t="s">
        <v>622</v>
      </c>
      <c r="BT1332" s="392" t="s">
        <v>210</v>
      </c>
      <c r="BU1332" s="392" t="s">
        <v>210</v>
      </c>
      <c r="BV1332" s="392" t="s">
        <v>210</v>
      </c>
      <c r="BW1332" s="392" t="s">
        <v>210</v>
      </c>
      <c r="BX1332" s="392" t="s">
        <v>210</v>
      </c>
      <c r="BY1332" s="457" t="s">
        <v>15239</v>
      </c>
      <c r="BZ1332" s="363"/>
      <c r="CA1332" s="363"/>
      <c r="CB1332" s="363"/>
      <c r="CC1332" s="363"/>
    </row>
    <row r="1333" spans="1:82" ht="22.5" customHeight="1">
      <c r="B1333" s="503">
        <v>190080</v>
      </c>
      <c r="C1333" s="443" t="s">
        <v>13974</v>
      </c>
      <c r="D1333" s="467" t="s">
        <v>14860</v>
      </c>
      <c r="E1333" s="404" t="s">
        <v>5362</v>
      </c>
      <c r="F1333" s="405" t="s">
        <v>13975</v>
      </c>
      <c r="G1333" s="324" t="s">
        <v>13976</v>
      </c>
      <c r="H1333" s="324" t="s">
        <v>13977</v>
      </c>
      <c r="I1333" s="326" t="s">
        <v>383</v>
      </c>
      <c r="J1333" s="324" t="s">
        <v>6632</v>
      </c>
      <c r="K1333" s="324" t="s">
        <v>917</v>
      </c>
      <c r="L1333" s="342" t="s">
        <v>210</v>
      </c>
      <c r="M1333" s="324" t="s">
        <v>7457</v>
      </c>
      <c r="N1333" s="444" t="s">
        <v>15715</v>
      </c>
      <c r="O1333" s="324">
        <v>20</v>
      </c>
      <c r="P1333" s="445">
        <f>Q1333+70</f>
        <v>400</v>
      </c>
      <c r="Q1333" s="446">
        <v>330</v>
      </c>
      <c r="R1333" s="460" t="s">
        <v>13978</v>
      </c>
      <c r="S1333" s="400"/>
      <c r="T1333" s="394" t="s">
        <v>13394</v>
      </c>
      <c r="U1333" s="394" t="s">
        <v>16314</v>
      </c>
      <c r="V1333" s="400"/>
      <c r="W1333" s="460" t="s">
        <v>13978</v>
      </c>
      <c r="X1333" s="394" t="s">
        <v>13564</v>
      </c>
      <c r="Y1333" s="394" t="s">
        <v>13394</v>
      </c>
      <c r="Z1333" s="394" t="s">
        <v>16314</v>
      </c>
      <c r="AA1333" s="394" t="s">
        <v>13565</v>
      </c>
      <c r="AB1333" s="416"/>
      <c r="AC1333" s="416"/>
      <c r="AD1333" s="447" t="s">
        <v>15957</v>
      </c>
      <c r="AE1333" s="335" t="s">
        <v>305</v>
      </c>
      <c r="AF1333" s="475">
        <v>43879</v>
      </c>
      <c r="AG1333" s="748">
        <v>43976</v>
      </c>
      <c r="AH1333" s="417" t="s">
        <v>210</v>
      </c>
      <c r="AI1333" s="392" t="s">
        <v>210</v>
      </c>
      <c r="AJ1333" s="392" t="s">
        <v>210</v>
      </c>
      <c r="AK1333" s="340" t="s">
        <v>210</v>
      </c>
      <c r="AL1333" s="341" t="s">
        <v>210</v>
      </c>
      <c r="AM1333" s="341" t="s">
        <v>210</v>
      </c>
      <c r="AN1333" s="341" t="s">
        <v>210</v>
      </c>
      <c r="AO1333" s="341" t="s">
        <v>210</v>
      </c>
      <c r="AP1333" s="392" t="s">
        <v>210</v>
      </c>
      <c r="AQ1333" s="429" t="s">
        <v>4547</v>
      </c>
      <c r="AR1333" s="452">
        <f>988.9+121.7</f>
        <v>1110.5999999999999</v>
      </c>
      <c r="AS1333" s="324">
        <v>100</v>
      </c>
      <c r="AT1333" s="432">
        <v>1</v>
      </c>
      <c r="AU1333" s="432" t="s">
        <v>14946</v>
      </c>
      <c r="AV1333" s="432">
        <v>1.5</v>
      </c>
      <c r="AW1333" s="490" t="s">
        <v>14947</v>
      </c>
      <c r="AX1333" s="453" t="s">
        <v>210</v>
      </c>
      <c r="AY1333" s="429" t="s">
        <v>210</v>
      </c>
      <c r="AZ1333" s="405" t="s">
        <v>4083</v>
      </c>
      <c r="BA1333" s="324" t="s">
        <v>210</v>
      </c>
      <c r="BB1333" s="324" t="s">
        <v>210</v>
      </c>
      <c r="BC1333" s="324" t="s">
        <v>14948</v>
      </c>
      <c r="BD1333" s="490" t="s">
        <v>14947</v>
      </c>
      <c r="BE1333" s="324" t="s">
        <v>14949</v>
      </c>
      <c r="BF1333" s="324" t="s">
        <v>3372</v>
      </c>
      <c r="BG1333" s="324" t="s">
        <v>14950</v>
      </c>
      <c r="BH1333" s="426" t="s">
        <v>14951</v>
      </c>
      <c r="BI1333" s="453">
        <v>1.35</v>
      </c>
      <c r="BJ1333" s="427">
        <v>2.4700000000000002</v>
      </c>
      <c r="BK1333" s="428" t="s">
        <v>14947</v>
      </c>
      <c r="BL1333" s="429">
        <v>0.4</v>
      </c>
      <c r="BM1333" s="430" t="s">
        <v>210</v>
      </c>
      <c r="BN1333" s="453" t="s">
        <v>622</v>
      </c>
      <c r="BO1333" s="464">
        <v>2.2999999999999998</v>
      </c>
      <c r="BP1333" s="455" t="s">
        <v>622</v>
      </c>
      <c r="BQ1333" s="456" t="s">
        <v>10959</v>
      </c>
      <c r="BR1333" s="342" t="s">
        <v>622</v>
      </c>
      <c r="BS1333" s="392" t="s">
        <v>210</v>
      </c>
      <c r="BT1333" s="392" t="s">
        <v>210</v>
      </c>
      <c r="BU1333" s="392" t="s">
        <v>210</v>
      </c>
      <c r="BV1333" s="392" t="s">
        <v>210</v>
      </c>
      <c r="BW1333" s="392" t="s">
        <v>210</v>
      </c>
      <c r="BX1333" s="392" t="s">
        <v>210</v>
      </c>
      <c r="BY1333" s="457" t="s">
        <v>14945</v>
      </c>
      <c r="BZ1333" s="363"/>
      <c r="CA1333" s="363"/>
      <c r="CB1333" s="363"/>
      <c r="CC1333" s="363"/>
    </row>
    <row r="1334" spans="1:82" ht="22.5" customHeight="1">
      <c r="B1334" s="1069">
        <v>190081</v>
      </c>
      <c r="C1334" s="443" t="s">
        <v>14907</v>
      </c>
      <c r="D1334" s="439" t="s">
        <v>4847</v>
      </c>
      <c r="E1334" s="404" t="s">
        <v>5405</v>
      </c>
      <c r="F1334" s="405" t="s">
        <v>14867</v>
      </c>
      <c r="G1334" s="324" t="s">
        <v>14868</v>
      </c>
      <c r="H1334" s="324" t="s">
        <v>14869</v>
      </c>
      <c r="I1334" s="326" t="s">
        <v>383</v>
      </c>
      <c r="J1334" s="324" t="s">
        <v>15522</v>
      </c>
      <c r="K1334" s="324" t="s">
        <v>917</v>
      </c>
      <c r="L1334" s="342" t="s">
        <v>210</v>
      </c>
      <c r="M1334" s="324" t="s">
        <v>9103</v>
      </c>
      <c r="N1334" s="444" t="s">
        <v>438</v>
      </c>
      <c r="O1334" s="324">
        <v>30</v>
      </c>
      <c r="P1334" s="445">
        <v>20600</v>
      </c>
      <c r="Q1334" s="446">
        <f>P1334</f>
        <v>20600</v>
      </c>
      <c r="R1334" s="460" t="s">
        <v>14870</v>
      </c>
      <c r="S1334" s="394" t="s">
        <v>14876</v>
      </c>
      <c r="T1334" s="394" t="s">
        <v>14877</v>
      </c>
      <c r="U1334" s="394" t="s">
        <v>16233</v>
      </c>
      <c r="V1334" s="394" t="s">
        <v>14878</v>
      </c>
      <c r="W1334" s="460" t="s">
        <v>14874</v>
      </c>
      <c r="X1334" s="394" t="s">
        <v>14871</v>
      </c>
      <c r="Y1334" s="394" t="s">
        <v>14872</v>
      </c>
      <c r="Z1334" s="394" t="s">
        <v>16529</v>
      </c>
      <c r="AA1334" s="394" t="s">
        <v>14873</v>
      </c>
      <c r="AB1334" s="416"/>
      <c r="AC1334" s="416"/>
      <c r="AD1334" s="334" t="s">
        <v>2329</v>
      </c>
      <c r="AE1334" s="499" t="s">
        <v>15974</v>
      </c>
      <c r="AF1334" s="475">
        <v>43886</v>
      </c>
      <c r="AG1334" s="748">
        <v>44027</v>
      </c>
      <c r="AH1334" s="417" t="s">
        <v>210</v>
      </c>
      <c r="AI1334" s="392" t="s">
        <v>210</v>
      </c>
      <c r="AJ1334" s="392" t="s">
        <v>14943</v>
      </c>
      <c r="AK1334" s="340" t="s">
        <v>210</v>
      </c>
      <c r="AL1334" s="341" t="s">
        <v>210</v>
      </c>
      <c r="AM1334" s="341" t="s">
        <v>210</v>
      </c>
      <c r="AN1334" s="341" t="s">
        <v>210</v>
      </c>
      <c r="AO1334" s="341" t="s">
        <v>210</v>
      </c>
      <c r="AP1334" s="1063" t="s">
        <v>622</v>
      </c>
      <c r="AQ1334" s="1071" t="s">
        <v>4547</v>
      </c>
      <c r="AR1334" s="452">
        <v>23983</v>
      </c>
      <c r="AS1334" s="324">
        <v>180</v>
      </c>
      <c r="AT1334" s="432">
        <v>1</v>
      </c>
      <c r="AU1334" s="432" t="s">
        <v>15011</v>
      </c>
      <c r="AV1334" s="432">
        <v>1</v>
      </c>
      <c r="AW1334" s="432" t="s">
        <v>15011</v>
      </c>
      <c r="AX1334" s="453" t="s">
        <v>210</v>
      </c>
      <c r="AY1334" s="429" t="s">
        <v>210</v>
      </c>
      <c r="AZ1334" s="405" t="s">
        <v>4083</v>
      </c>
      <c r="BA1334" s="324" t="s">
        <v>210</v>
      </c>
      <c r="BB1334" s="324" t="s">
        <v>210</v>
      </c>
      <c r="BC1334" s="324" t="s">
        <v>210</v>
      </c>
      <c r="BD1334" s="324" t="s">
        <v>210</v>
      </c>
      <c r="BE1334" s="324" t="s">
        <v>15008</v>
      </c>
      <c r="BF1334" s="324" t="s">
        <v>15009</v>
      </c>
      <c r="BG1334" s="324" t="s">
        <v>15010</v>
      </c>
      <c r="BH1334" s="324" t="s">
        <v>15009</v>
      </c>
      <c r="BI1334" s="453">
        <v>2.5</v>
      </c>
      <c r="BJ1334" s="427">
        <v>13.7</v>
      </c>
      <c r="BK1334" s="427" t="s">
        <v>210</v>
      </c>
      <c r="BL1334" s="504" t="s">
        <v>210</v>
      </c>
      <c r="BM1334" s="430" t="s">
        <v>210</v>
      </c>
      <c r="BN1334" s="453" t="s">
        <v>622</v>
      </c>
      <c r="BO1334" s="464">
        <v>2.085</v>
      </c>
      <c r="BP1334" s="455" t="s">
        <v>622</v>
      </c>
      <c r="BQ1334" s="456" t="s">
        <v>10959</v>
      </c>
      <c r="BR1334" s="342" t="s">
        <v>622</v>
      </c>
      <c r="BS1334" s="342" t="s">
        <v>622</v>
      </c>
      <c r="BT1334" s="342" t="s">
        <v>622</v>
      </c>
      <c r="BU1334" s="392" t="s">
        <v>210</v>
      </c>
      <c r="BV1334" s="392" t="s">
        <v>210</v>
      </c>
      <c r="BW1334" s="392" t="s">
        <v>210</v>
      </c>
      <c r="BX1334" s="392" t="s">
        <v>210</v>
      </c>
      <c r="BY1334" s="457" t="s">
        <v>15558</v>
      </c>
      <c r="BZ1334" s="363"/>
      <c r="CA1334" s="363"/>
      <c r="CB1334" s="363"/>
      <c r="CC1334" s="363"/>
    </row>
    <row r="1335" spans="1:82" ht="22.5" customHeight="1">
      <c r="B1335" s="493">
        <v>190082</v>
      </c>
      <c r="C1335" s="443" t="s">
        <v>14965</v>
      </c>
      <c r="D1335" s="467" t="s">
        <v>8595</v>
      </c>
      <c r="E1335" s="404" t="s">
        <v>5362</v>
      </c>
      <c r="F1335" s="405" t="s">
        <v>14923</v>
      </c>
      <c r="G1335" s="324" t="s">
        <v>14924</v>
      </c>
      <c r="H1335" s="324" t="s">
        <v>14925</v>
      </c>
      <c r="I1335" s="326" t="s">
        <v>383</v>
      </c>
      <c r="J1335" s="324" t="s">
        <v>6632</v>
      </c>
      <c r="K1335" s="324" t="s">
        <v>14926</v>
      </c>
      <c r="L1335" s="342">
        <v>15</v>
      </c>
      <c r="M1335" s="324" t="s">
        <v>7457</v>
      </c>
      <c r="N1335" s="444" t="s">
        <v>15109</v>
      </c>
      <c r="O1335" s="324">
        <v>52</v>
      </c>
      <c r="P1335" s="458">
        <v>3031.81</v>
      </c>
      <c r="Q1335" s="459">
        <v>2454.89</v>
      </c>
      <c r="R1335" s="420" t="s">
        <v>14894</v>
      </c>
      <c r="S1335" s="394" t="s">
        <v>14898</v>
      </c>
      <c r="T1335" s="394" t="s">
        <v>14897</v>
      </c>
      <c r="U1335" s="394" t="s">
        <v>16460</v>
      </c>
      <c r="V1335" s="394" t="s">
        <v>14899</v>
      </c>
      <c r="W1335" s="332" t="s">
        <v>15122</v>
      </c>
      <c r="X1335" s="331" t="s">
        <v>13822</v>
      </c>
      <c r="Y1335" s="331" t="s">
        <v>13823</v>
      </c>
      <c r="Z1335" s="331" t="s">
        <v>16480</v>
      </c>
      <c r="AA1335" s="331" t="s">
        <v>12899</v>
      </c>
      <c r="AB1335" s="416"/>
      <c r="AC1335" s="416"/>
      <c r="AD1335" s="447" t="s">
        <v>15393</v>
      </c>
      <c r="AE1335" s="499" t="s">
        <v>1038</v>
      </c>
      <c r="AF1335" s="475">
        <v>43886</v>
      </c>
      <c r="AG1335" s="748">
        <v>43929</v>
      </c>
      <c r="AH1335" s="417" t="s">
        <v>210</v>
      </c>
      <c r="AI1335" s="392" t="s">
        <v>210</v>
      </c>
      <c r="AJ1335" s="392" t="s">
        <v>210</v>
      </c>
      <c r="AK1335" s="340" t="s">
        <v>210</v>
      </c>
      <c r="AL1335" s="341" t="s">
        <v>210</v>
      </c>
      <c r="AM1335" s="341" t="s">
        <v>210</v>
      </c>
      <c r="AN1335" s="341" t="s">
        <v>210</v>
      </c>
      <c r="AO1335" s="341" t="s">
        <v>210</v>
      </c>
      <c r="AP1335" s="1063" t="s">
        <v>622</v>
      </c>
      <c r="AQ1335" s="1071" t="s">
        <v>4547</v>
      </c>
      <c r="AR1335" s="452">
        <v>2990</v>
      </c>
      <c r="AS1335" s="324">
        <v>80</v>
      </c>
      <c r="AT1335" s="432">
        <v>1</v>
      </c>
      <c r="AU1335" s="432" t="s">
        <v>15110</v>
      </c>
      <c r="AV1335" s="432">
        <v>2.2000000000000002</v>
      </c>
      <c r="AW1335" s="490" t="s">
        <v>15111</v>
      </c>
      <c r="AX1335" s="453" t="s">
        <v>210</v>
      </c>
      <c r="AY1335" s="429" t="s">
        <v>210</v>
      </c>
      <c r="AZ1335" s="405" t="s">
        <v>622</v>
      </c>
      <c r="BA1335" s="324" t="s">
        <v>3459</v>
      </c>
      <c r="BB1335" s="324" t="s">
        <v>15112</v>
      </c>
      <c r="BC1335" s="324" t="s">
        <v>15113</v>
      </c>
      <c r="BD1335" s="490" t="s">
        <v>3492</v>
      </c>
      <c r="BE1335" s="324" t="s">
        <v>15114</v>
      </c>
      <c r="BF1335" s="324" t="s">
        <v>15115</v>
      </c>
      <c r="BG1335" s="324" t="s">
        <v>15116</v>
      </c>
      <c r="BH1335" s="324" t="s">
        <v>15115</v>
      </c>
      <c r="BI1335" s="453">
        <v>0.6</v>
      </c>
      <c r="BJ1335" s="427">
        <v>2.0699999999999998</v>
      </c>
      <c r="BK1335" s="428" t="s">
        <v>3492</v>
      </c>
      <c r="BL1335" s="429">
        <f>1+1.1+0.75</f>
        <v>2.85</v>
      </c>
      <c r="BM1335" s="430" t="s">
        <v>210</v>
      </c>
      <c r="BN1335" s="453" t="s">
        <v>622</v>
      </c>
      <c r="BO1335" s="464">
        <v>1.18</v>
      </c>
      <c r="BP1335" s="455" t="s">
        <v>622</v>
      </c>
      <c r="BQ1335" s="456" t="s">
        <v>15117</v>
      </c>
      <c r="BR1335" s="342" t="s">
        <v>622</v>
      </c>
      <c r="BS1335" s="392" t="s">
        <v>210</v>
      </c>
      <c r="BT1335" s="392" t="s">
        <v>210</v>
      </c>
      <c r="BU1335" s="392" t="s">
        <v>210</v>
      </c>
      <c r="BV1335" s="392" t="s">
        <v>210</v>
      </c>
      <c r="BW1335" s="392" t="s">
        <v>210</v>
      </c>
      <c r="BX1335" s="904" t="s">
        <v>15119</v>
      </c>
      <c r="BY1335" s="457" t="s">
        <v>15118</v>
      </c>
      <c r="BZ1335" s="363"/>
      <c r="CA1335" s="363"/>
      <c r="CB1335" s="363"/>
      <c r="CC1335" s="363"/>
    </row>
    <row r="1336" spans="1:82" ht="22.5" customHeight="1">
      <c r="B1336" s="643">
        <v>190083</v>
      </c>
      <c r="C1336" s="443" t="s">
        <v>14964</v>
      </c>
      <c r="D1336" s="467" t="s">
        <v>15770</v>
      </c>
      <c r="E1336" s="404" t="s">
        <v>5362</v>
      </c>
      <c r="F1336" s="405" t="s">
        <v>14940</v>
      </c>
      <c r="G1336" s="324" t="s">
        <v>14941</v>
      </c>
      <c r="H1336" s="324" t="s">
        <v>14942</v>
      </c>
      <c r="I1336" s="326" t="s">
        <v>383</v>
      </c>
      <c r="J1336" s="324" t="s">
        <v>6632</v>
      </c>
      <c r="K1336" s="324" t="s">
        <v>247</v>
      </c>
      <c r="L1336" s="342">
        <v>30</v>
      </c>
      <c r="M1336" s="324" t="s">
        <v>7457</v>
      </c>
      <c r="N1336" s="444" t="s">
        <v>438</v>
      </c>
      <c r="O1336" s="324">
        <v>53</v>
      </c>
      <c r="P1336" s="445">
        <f>Q1336+450</f>
        <v>2650</v>
      </c>
      <c r="Q1336" s="446">
        <v>2200</v>
      </c>
      <c r="R1336" s="420" t="s">
        <v>2983</v>
      </c>
      <c r="S1336" s="394" t="s">
        <v>14900</v>
      </c>
      <c r="T1336" s="394" t="s">
        <v>14901</v>
      </c>
      <c r="U1336" s="394" t="s">
        <v>14902</v>
      </c>
      <c r="V1336" s="394" t="s">
        <v>14903</v>
      </c>
      <c r="W1336" s="332" t="s">
        <v>644</v>
      </c>
      <c r="X1336" s="394" t="s">
        <v>14968</v>
      </c>
      <c r="Y1336" s="394" t="s">
        <v>14969</v>
      </c>
      <c r="Z1336" s="394" t="s">
        <v>16483</v>
      </c>
      <c r="AA1336" s="394" t="s">
        <v>14970</v>
      </c>
      <c r="AB1336" s="416"/>
      <c r="AC1336" s="416"/>
      <c r="AD1336" s="447" t="s">
        <v>15943</v>
      </c>
      <c r="AE1336" s="499" t="s">
        <v>15758</v>
      </c>
      <c r="AF1336" s="475">
        <v>43886</v>
      </c>
      <c r="AG1336" s="748">
        <v>44074</v>
      </c>
      <c r="AH1336" s="417" t="s">
        <v>210</v>
      </c>
      <c r="AI1336" s="392" t="s">
        <v>210</v>
      </c>
      <c r="AJ1336" s="392" t="s">
        <v>210</v>
      </c>
      <c r="AK1336" s="340" t="s">
        <v>210</v>
      </c>
      <c r="AL1336" s="341" t="s">
        <v>210</v>
      </c>
      <c r="AM1336" s="341" t="s">
        <v>210</v>
      </c>
      <c r="AN1336" s="341" t="s">
        <v>210</v>
      </c>
      <c r="AO1336" s="341" t="s">
        <v>210</v>
      </c>
      <c r="AP1336" s="1063" t="s">
        <v>622</v>
      </c>
      <c r="AQ1336" s="429" t="s">
        <v>4547</v>
      </c>
      <c r="AR1336" s="452">
        <v>2904</v>
      </c>
      <c r="AS1336" s="324">
        <v>100</v>
      </c>
      <c r="AT1336" s="432">
        <v>1</v>
      </c>
      <c r="AU1336" s="432" t="s">
        <v>15233</v>
      </c>
      <c r="AV1336" s="432">
        <v>1.2</v>
      </c>
      <c r="AW1336" s="490" t="s">
        <v>15234</v>
      </c>
      <c r="AX1336" s="453" t="s">
        <v>210</v>
      </c>
      <c r="AY1336" s="429" t="s">
        <v>210</v>
      </c>
      <c r="AZ1336" s="405" t="s">
        <v>4083</v>
      </c>
      <c r="BA1336" s="324" t="s">
        <v>210</v>
      </c>
      <c r="BB1336" s="324" t="s">
        <v>210</v>
      </c>
      <c r="BC1336" s="324" t="s">
        <v>210</v>
      </c>
      <c r="BD1336" s="324" t="s">
        <v>210</v>
      </c>
      <c r="BE1336" s="324" t="s">
        <v>15235</v>
      </c>
      <c r="BF1336" s="324" t="s">
        <v>3372</v>
      </c>
      <c r="BG1336" s="324" t="s">
        <v>15236</v>
      </c>
      <c r="BH1336" s="426" t="s">
        <v>15237</v>
      </c>
      <c r="BI1336" s="453">
        <v>0.95</v>
      </c>
      <c r="BJ1336" s="427" t="s">
        <v>15229</v>
      </c>
      <c r="BK1336" s="428" t="s">
        <v>3492</v>
      </c>
      <c r="BL1336" s="429">
        <v>1.6</v>
      </c>
      <c r="BM1336" s="430" t="s">
        <v>210</v>
      </c>
      <c r="BN1336" s="453" t="s">
        <v>622</v>
      </c>
      <c r="BO1336" s="464">
        <v>3.35</v>
      </c>
      <c r="BP1336" s="455" t="s">
        <v>210</v>
      </c>
      <c r="BQ1336" s="456" t="s">
        <v>5862</v>
      </c>
      <c r="BR1336" s="392" t="s">
        <v>210</v>
      </c>
      <c r="BS1336" s="342" t="s">
        <v>622</v>
      </c>
      <c r="BT1336" s="392" t="s">
        <v>210</v>
      </c>
      <c r="BU1336" s="392" t="s">
        <v>210</v>
      </c>
      <c r="BV1336" s="342">
        <v>5</v>
      </c>
      <c r="BW1336" s="392" t="s">
        <v>210</v>
      </c>
      <c r="BX1336" s="392" t="s">
        <v>210</v>
      </c>
      <c r="BY1336" s="457" t="s">
        <v>15238</v>
      </c>
      <c r="BZ1336" s="363"/>
      <c r="CA1336" s="363"/>
      <c r="CB1336" s="363"/>
      <c r="CC1336" s="363"/>
    </row>
    <row r="1337" spans="1:82" ht="22.5" customHeight="1">
      <c r="B1337" s="493">
        <v>190084</v>
      </c>
      <c r="C1337" s="443" t="s">
        <v>15166</v>
      </c>
      <c r="D1337" s="467" t="s">
        <v>15086</v>
      </c>
      <c r="E1337" s="404" t="s">
        <v>5405</v>
      </c>
      <c r="F1337" s="405" t="s">
        <v>14934</v>
      </c>
      <c r="G1337" s="324" t="s">
        <v>14935</v>
      </c>
      <c r="H1337" s="324" t="s">
        <v>15131</v>
      </c>
      <c r="I1337" s="326" t="s">
        <v>383</v>
      </c>
      <c r="J1337" s="326" t="s">
        <v>399</v>
      </c>
      <c r="K1337" s="324" t="s">
        <v>977</v>
      </c>
      <c r="L1337" s="342">
        <v>20</v>
      </c>
      <c r="M1337" s="324" t="s">
        <v>7457</v>
      </c>
      <c r="N1337" s="444" t="s">
        <v>15922</v>
      </c>
      <c r="O1337" s="324">
        <v>30</v>
      </c>
      <c r="P1337" s="458">
        <v>1468.43</v>
      </c>
      <c r="Q1337" s="459">
        <v>1473.55</v>
      </c>
      <c r="R1337" s="420" t="s">
        <v>14927</v>
      </c>
      <c r="S1337" s="394" t="s">
        <v>14931</v>
      </c>
      <c r="T1337" s="394" t="s">
        <v>14967</v>
      </c>
      <c r="U1337" s="394" t="s">
        <v>14966</v>
      </c>
      <c r="V1337" s="394" t="s">
        <v>14932</v>
      </c>
      <c r="W1337" s="460" t="s">
        <v>9175</v>
      </c>
      <c r="X1337" s="394" t="s">
        <v>14928</v>
      </c>
      <c r="Y1337" s="394" t="s">
        <v>14929</v>
      </c>
      <c r="Z1337" s="394" t="s">
        <v>16530</v>
      </c>
      <c r="AA1337" s="394" t="s">
        <v>14930</v>
      </c>
      <c r="AB1337" s="416" t="s">
        <v>15192</v>
      </c>
      <c r="AC1337" s="416"/>
      <c r="AD1337" s="447" t="s">
        <v>15466</v>
      </c>
      <c r="AE1337" s="499" t="s">
        <v>373</v>
      </c>
      <c r="AF1337" s="475">
        <v>43886</v>
      </c>
      <c r="AG1337" s="748">
        <v>43966</v>
      </c>
      <c r="AH1337" s="417" t="s">
        <v>210</v>
      </c>
      <c r="AI1337" s="392" t="s">
        <v>210</v>
      </c>
      <c r="AJ1337" s="392" t="s">
        <v>210</v>
      </c>
      <c r="AK1337" s="340" t="s">
        <v>210</v>
      </c>
      <c r="AL1337" s="341" t="s">
        <v>210</v>
      </c>
      <c r="AM1337" s="341" t="s">
        <v>210</v>
      </c>
      <c r="AN1337" s="341" t="s">
        <v>210</v>
      </c>
      <c r="AO1337" s="341" t="s">
        <v>210</v>
      </c>
      <c r="AP1337" s="392" t="s">
        <v>210</v>
      </c>
      <c r="AQ1337" s="433" t="s">
        <v>6405</v>
      </c>
      <c r="AR1337" s="452">
        <v>1436.5</v>
      </c>
      <c r="AS1337" s="324">
        <v>80</v>
      </c>
      <c r="AT1337" s="432">
        <v>1</v>
      </c>
      <c r="AU1337" s="432" t="s">
        <v>15024</v>
      </c>
      <c r="AV1337" s="432">
        <v>1</v>
      </c>
      <c r="AW1337" s="432" t="s">
        <v>15024</v>
      </c>
      <c r="AX1337" s="453" t="s">
        <v>210</v>
      </c>
      <c r="AY1337" s="429" t="s">
        <v>210</v>
      </c>
      <c r="AZ1337" s="405" t="s">
        <v>4083</v>
      </c>
      <c r="BA1337" s="324" t="s">
        <v>210</v>
      </c>
      <c r="BB1337" s="324" t="s">
        <v>210</v>
      </c>
      <c r="BC1337" s="324" t="s">
        <v>210</v>
      </c>
      <c r="BD1337" s="324" t="s">
        <v>210</v>
      </c>
      <c r="BE1337" s="324" t="s">
        <v>15025</v>
      </c>
      <c r="BF1337" s="324" t="s">
        <v>15026</v>
      </c>
      <c r="BG1337" s="324" t="s">
        <v>15027</v>
      </c>
      <c r="BH1337" s="426" t="s">
        <v>15028</v>
      </c>
      <c r="BI1337" s="453">
        <v>2.5</v>
      </c>
      <c r="BJ1337" s="427">
        <v>1.046</v>
      </c>
      <c r="BK1337" s="427" t="s">
        <v>210</v>
      </c>
      <c r="BL1337" s="504" t="s">
        <v>210</v>
      </c>
      <c r="BM1337" s="430" t="s">
        <v>210</v>
      </c>
      <c r="BN1337" s="453" t="s">
        <v>622</v>
      </c>
      <c r="BO1337" s="464">
        <v>0.79</v>
      </c>
      <c r="BP1337" s="455" t="s">
        <v>622</v>
      </c>
      <c r="BQ1337" s="456" t="s">
        <v>15029</v>
      </c>
      <c r="BR1337" s="392" t="s">
        <v>210</v>
      </c>
      <c r="BS1337" s="342" t="s">
        <v>622</v>
      </c>
      <c r="BT1337" s="392" t="s">
        <v>210</v>
      </c>
      <c r="BU1337" s="392" t="s">
        <v>210</v>
      </c>
      <c r="BV1337" s="392" t="s">
        <v>210</v>
      </c>
      <c r="BW1337" s="392" t="s">
        <v>210</v>
      </c>
      <c r="BX1337" s="392" t="s">
        <v>210</v>
      </c>
      <c r="BY1337" s="457" t="s">
        <v>15132</v>
      </c>
      <c r="BZ1337" s="363"/>
      <c r="CA1337" s="363"/>
      <c r="CB1337" s="363"/>
      <c r="CC1337" s="363"/>
    </row>
    <row r="1338" spans="1:82" ht="22.5" customHeight="1">
      <c r="B1338" s="643">
        <v>190085</v>
      </c>
      <c r="C1338" s="494" t="s">
        <v>15168</v>
      </c>
      <c r="D1338" s="467" t="s">
        <v>14860</v>
      </c>
      <c r="E1338" s="404" t="s">
        <v>5362</v>
      </c>
      <c r="F1338" s="405" t="s">
        <v>308</v>
      </c>
      <c r="G1338" s="324" t="s">
        <v>10759</v>
      </c>
      <c r="H1338" s="324" t="s">
        <v>10760</v>
      </c>
      <c r="I1338" s="326" t="s">
        <v>383</v>
      </c>
      <c r="J1338" s="324" t="s">
        <v>6632</v>
      </c>
      <c r="K1338" s="324" t="s">
        <v>247</v>
      </c>
      <c r="L1338" s="342">
        <v>23</v>
      </c>
      <c r="M1338" s="324" t="s">
        <v>7457</v>
      </c>
      <c r="N1338" s="444" t="s">
        <v>437</v>
      </c>
      <c r="O1338" s="324">
        <v>200</v>
      </c>
      <c r="P1338" s="445">
        <v>520.6</v>
      </c>
      <c r="Q1338" s="446">
        <v>466.52499999999998</v>
      </c>
      <c r="R1338" s="420" t="s">
        <v>10761</v>
      </c>
      <c r="S1338" s="394" t="s">
        <v>13747</v>
      </c>
      <c r="T1338" s="394" t="s">
        <v>13748</v>
      </c>
      <c r="U1338" s="394" t="s">
        <v>16317</v>
      </c>
      <c r="V1338" s="394" t="s">
        <v>13749</v>
      </c>
      <c r="W1338" s="460" t="s">
        <v>13750</v>
      </c>
      <c r="X1338" s="394" t="s">
        <v>13508</v>
      </c>
      <c r="Y1338" s="394" t="s">
        <v>13509</v>
      </c>
      <c r="Z1338" s="394" t="s">
        <v>13510</v>
      </c>
      <c r="AA1338" s="394" t="s">
        <v>13511</v>
      </c>
      <c r="AB1338" s="416"/>
      <c r="AC1338" s="416"/>
      <c r="AD1338" s="334" t="s">
        <v>2326</v>
      </c>
      <c r="AE1338" s="335" t="s">
        <v>210</v>
      </c>
      <c r="AF1338" s="475">
        <v>43886</v>
      </c>
      <c r="AG1338" s="748">
        <v>44025</v>
      </c>
      <c r="AH1338" s="417" t="s">
        <v>210</v>
      </c>
      <c r="AI1338" s="392" t="s">
        <v>210</v>
      </c>
      <c r="AJ1338" s="392" t="s">
        <v>210</v>
      </c>
      <c r="AK1338" s="340" t="s">
        <v>210</v>
      </c>
      <c r="AL1338" s="341" t="s">
        <v>210</v>
      </c>
      <c r="AM1338" s="341" t="s">
        <v>210</v>
      </c>
      <c r="AN1338" s="341" t="s">
        <v>210</v>
      </c>
      <c r="AO1338" s="341" t="s">
        <v>210</v>
      </c>
      <c r="AP1338" s="392" t="s">
        <v>210</v>
      </c>
      <c r="AQ1338" s="429" t="s">
        <v>4547</v>
      </c>
      <c r="AR1338" s="452">
        <v>767</v>
      </c>
      <c r="AS1338" s="324">
        <v>180</v>
      </c>
      <c r="AT1338" s="432">
        <v>1.2</v>
      </c>
      <c r="AU1338" s="432" t="s">
        <v>15124</v>
      </c>
      <c r="AV1338" s="432">
        <v>1</v>
      </c>
      <c r="AW1338" s="490" t="s">
        <v>15125</v>
      </c>
      <c r="AX1338" s="453" t="s">
        <v>210</v>
      </c>
      <c r="AY1338" s="429" t="s">
        <v>210</v>
      </c>
      <c r="AZ1338" s="405" t="s">
        <v>4083</v>
      </c>
      <c r="BA1338" s="324" t="s">
        <v>210</v>
      </c>
      <c r="BB1338" s="324" t="s">
        <v>210</v>
      </c>
      <c r="BC1338" s="324" t="s">
        <v>210</v>
      </c>
      <c r="BD1338" s="324" t="s">
        <v>210</v>
      </c>
      <c r="BE1338" s="324" t="s">
        <v>210</v>
      </c>
      <c r="BF1338" s="324" t="s">
        <v>210</v>
      </c>
      <c r="BG1338" s="324" t="s">
        <v>15126</v>
      </c>
      <c r="BH1338" s="324" t="s">
        <v>3487</v>
      </c>
      <c r="BI1338" s="453">
        <v>1.5</v>
      </c>
      <c r="BJ1338" s="427" t="s">
        <v>15128</v>
      </c>
      <c r="BK1338" s="427" t="s">
        <v>210</v>
      </c>
      <c r="BL1338" s="504" t="s">
        <v>210</v>
      </c>
      <c r="BM1338" s="430" t="s">
        <v>210</v>
      </c>
      <c r="BN1338" s="453" t="s">
        <v>622</v>
      </c>
      <c r="BO1338" s="464">
        <v>2.33</v>
      </c>
      <c r="BP1338" s="455" t="s">
        <v>15129</v>
      </c>
      <c r="BQ1338" s="456" t="s">
        <v>15127</v>
      </c>
      <c r="BR1338" s="392" t="s">
        <v>210</v>
      </c>
      <c r="BS1338" s="392" t="s">
        <v>210</v>
      </c>
      <c r="BT1338" s="392" t="s">
        <v>210</v>
      </c>
      <c r="BU1338" s="392" t="s">
        <v>210</v>
      </c>
      <c r="BV1338" s="392" t="s">
        <v>210</v>
      </c>
      <c r="BW1338" s="392" t="s">
        <v>210</v>
      </c>
      <c r="BX1338" s="392" t="s">
        <v>15597</v>
      </c>
      <c r="BY1338" s="457"/>
      <c r="BZ1338" s="363"/>
      <c r="CA1338" s="363"/>
      <c r="CB1338" s="363"/>
      <c r="CC1338" s="363"/>
    </row>
    <row r="1339" spans="1:82" s="465" customFormat="1" ht="22.5" customHeight="1">
      <c r="B1339" s="767">
        <v>190086</v>
      </c>
      <c r="C1339" s="1067" t="s">
        <v>15094</v>
      </c>
      <c r="D1339" s="751" t="s">
        <v>15107</v>
      </c>
      <c r="E1339" s="752" t="s">
        <v>5638</v>
      </c>
      <c r="F1339" s="753" t="s">
        <v>15078</v>
      </c>
      <c r="G1339" s="754" t="s">
        <v>15079</v>
      </c>
      <c r="H1339" s="754" t="s">
        <v>15080</v>
      </c>
      <c r="I1339" s="754"/>
      <c r="J1339" s="754"/>
      <c r="K1339" s="754" t="s">
        <v>307</v>
      </c>
      <c r="L1339" s="688"/>
      <c r="M1339" s="754"/>
      <c r="N1339" s="755"/>
      <c r="O1339" s="754"/>
      <c r="P1339" s="782"/>
      <c r="Q1339" s="783"/>
      <c r="R1339" s="756" t="s">
        <v>15740</v>
      </c>
      <c r="S1339" s="708"/>
      <c r="T1339" s="708"/>
      <c r="U1339" s="708"/>
      <c r="V1339" s="708"/>
      <c r="W1339" s="669" t="s">
        <v>432</v>
      </c>
      <c r="X1339" s="668" t="s">
        <v>210</v>
      </c>
      <c r="Y1339" s="668" t="s">
        <v>210</v>
      </c>
      <c r="Z1339" s="668" t="s">
        <v>210</v>
      </c>
      <c r="AA1339" s="668" t="s">
        <v>210</v>
      </c>
      <c r="AB1339" s="758"/>
      <c r="AC1339" s="758"/>
      <c r="AD1339" s="759"/>
      <c r="AE1339" s="760"/>
      <c r="AF1339" s="761">
        <v>43892</v>
      </c>
      <c r="AG1339" s="674">
        <v>43909</v>
      </c>
      <c r="AH1339" s="675" t="s">
        <v>210</v>
      </c>
      <c r="AI1339" s="676" t="s">
        <v>210</v>
      </c>
      <c r="AJ1339" s="676" t="s">
        <v>210</v>
      </c>
      <c r="AK1339" s="677" t="s">
        <v>210</v>
      </c>
      <c r="AL1339" s="678" t="s">
        <v>210</v>
      </c>
      <c r="AM1339" s="678" t="s">
        <v>210</v>
      </c>
      <c r="AN1339" s="678" t="s">
        <v>210</v>
      </c>
      <c r="AO1339" s="678" t="s">
        <v>210</v>
      </c>
      <c r="AP1339" s="676" t="s">
        <v>210</v>
      </c>
      <c r="AQ1339" s="676" t="s">
        <v>210</v>
      </c>
      <c r="AR1339" s="676" t="s">
        <v>210</v>
      </c>
      <c r="AS1339" s="676" t="s">
        <v>210</v>
      </c>
      <c r="AT1339" s="676" t="s">
        <v>210</v>
      </c>
      <c r="AU1339" s="676" t="s">
        <v>210</v>
      </c>
      <c r="AV1339" s="676" t="s">
        <v>210</v>
      </c>
      <c r="AW1339" s="678" t="s">
        <v>210</v>
      </c>
      <c r="AX1339" s="675" t="s">
        <v>210</v>
      </c>
      <c r="AY1339" s="677" t="s">
        <v>210</v>
      </c>
      <c r="AZ1339" s="1091" t="s">
        <v>210</v>
      </c>
      <c r="BA1339" s="754" t="s">
        <v>210</v>
      </c>
      <c r="BB1339" s="754" t="s">
        <v>210</v>
      </c>
      <c r="BC1339" s="754" t="s">
        <v>210</v>
      </c>
      <c r="BD1339" s="754" t="s">
        <v>210</v>
      </c>
      <c r="BE1339" s="754" t="s">
        <v>210</v>
      </c>
      <c r="BF1339" s="754" t="s">
        <v>210</v>
      </c>
      <c r="BG1339" s="754" t="s">
        <v>210</v>
      </c>
      <c r="BH1339" s="754" t="s">
        <v>210</v>
      </c>
      <c r="BI1339" s="754" t="s">
        <v>210</v>
      </c>
      <c r="BJ1339" s="754" t="s">
        <v>210</v>
      </c>
      <c r="BK1339" s="754" t="s">
        <v>210</v>
      </c>
      <c r="BL1339" s="1092" t="s">
        <v>210</v>
      </c>
      <c r="BM1339" s="770" t="s">
        <v>210</v>
      </c>
      <c r="BN1339" s="1093" t="s">
        <v>210</v>
      </c>
      <c r="BO1339" s="683" t="s">
        <v>210</v>
      </c>
      <c r="BP1339" s="1094" t="s">
        <v>210</v>
      </c>
      <c r="BQ1339" s="1095" t="s">
        <v>210</v>
      </c>
      <c r="BR1339" s="676" t="s">
        <v>210</v>
      </c>
      <c r="BS1339" s="676" t="s">
        <v>210</v>
      </c>
      <c r="BT1339" s="676" t="s">
        <v>210</v>
      </c>
      <c r="BU1339" s="676" t="s">
        <v>210</v>
      </c>
      <c r="BV1339" s="676" t="s">
        <v>210</v>
      </c>
      <c r="BW1339" s="676" t="s">
        <v>210</v>
      </c>
      <c r="BX1339" s="676" t="s">
        <v>210</v>
      </c>
      <c r="BY1339" s="774" t="s">
        <v>15083</v>
      </c>
      <c r="BZ1339" s="483"/>
      <c r="CA1339" s="483"/>
      <c r="CB1339" s="483"/>
      <c r="CC1339" s="483"/>
      <c r="CD1339" s="484"/>
    </row>
    <row r="1340" spans="1:82" ht="22.5" customHeight="1">
      <c r="B1340" s="643">
        <v>190087</v>
      </c>
      <c r="C1340" s="443" t="s">
        <v>15167</v>
      </c>
      <c r="D1340" s="467" t="s">
        <v>15030</v>
      </c>
      <c r="E1340" s="404" t="s">
        <v>5362</v>
      </c>
      <c r="F1340" s="405" t="s">
        <v>14998</v>
      </c>
      <c r="G1340" s="324" t="s">
        <v>14999</v>
      </c>
      <c r="H1340" s="324" t="s">
        <v>15000</v>
      </c>
      <c r="I1340" s="326" t="s">
        <v>383</v>
      </c>
      <c r="J1340" s="326" t="s">
        <v>399</v>
      </c>
      <c r="K1340" s="324" t="s">
        <v>15178</v>
      </c>
      <c r="L1340" s="342">
        <v>25</v>
      </c>
      <c r="M1340" s="324" t="s">
        <v>7457</v>
      </c>
      <c r="N1340" s="444" t="s">
        <v>437</v>
      </c>
      <c r="O1340" s="324">
        <v>35</v>
      </c>
      <c r="P1340" s="445">
        <f>Q1340</f>
        <v>6500</v>
      </c>
      <c r="Q1340" s="446">
        <f>1500+3500+1500</f>
        <v>6500</v>
      </c>
      <c r="R1340" s="420" t="s">
        <v>15179</v>
      </c>
      <c r="S1340" s="394" t="s">
        <v>15182</v>
      </c>
      <c r="T1340" s="394" t="s">
        <v>15183</v>
      </c>
      <c r="U1340" s="394" t="s">
        <v>16464</v>
      </c>
      <c r="V1340" s="394" t="s">
        <v>15184</v>
      </c>
      <c r="W1340" s="460" t="s">
        <v>9175</v>
      </c>
      <c r="X1340" s="394" t="s">
        <v>15003</v>
      </c>
      <c r="Y1340" s="394" t="s">
        <v>15001</v>
      </c>
      <c r="Z1340" s="394" t="s">
        <v>15002</v>
      </c>
      <c r="AA1340" s="394" t="s">
        <v>15004</v>
      </c>
      <c r="AB1340" s="416"/>
      <c r="AC1340" s="416"/>
      <c r="AD1340" s="461"/>
      <c r="AE1340" s="499" t="s">
        <v>1038</v>
      </c>
      <c r="AF1340" s="475">
        <v>43892</v>
      </c>
      <c r="AG1340" s="748">
        <v>43944</v>
      </c>
      <c r="AH1340" s="417" t="s">
        <v>210</v>
      </c>
      <c r="AI1340" s="392" t="s">
        <v>210</v>
      </c>
      <c r="AJ1340" s="392" t="s">
        <v>210</v>
      </c>
      <c r="AK1340" s="340" t="s">
        <v>210</v>
      </c>
      <c r="AL1340" s="341" t="s">
        <v>210</v>
      </c>
      <c r="AM1340" s="341" t="s">
        <v>210</v>
      </c>
      <c r="AN1340" s="341" t="s">
        <v>210</v>
      </c>
      <c r="AO1340" s="341" t="s">
        <v>210</v>
      </c>
      <c r="AP1340" s="392" t="s">
        <v>210</v>
      </c>
      <c r="AQ1340" s="433" t="s">
        <v>6405</v>
      </c>
      <c r="AR1340" s="452">
        <v>6361</v>
      </c>
      <c r="AS1340" s="324">
        <v>80</v>
      </c>
      <c r="AT1340" s="432">
        <v>1</v>
      </c>
      <c r="AU1340" s="432" t="s">
        <v>15185</v>
      </c>
      <c r="AV1340" s="432">
        <v>0.8</v>
      </c>
      <c r="AW1340" s="490" t="s">
        <v>15186</v>
      </c>
      <c r="AX1340" s="453" t="s">
        <v>210</v>
      </c>
      <c r="AY1340" s="429" t="s">
        <v>210</v>
      </c>
      <c r="AZ1340" s="405" t="s">
        <v>4083</v>
      </c>
      <c r="BA1340" s="324" t="s">
        <v>210</v>
      </c>
      <c r="BB1340" s="324" t="s">
        <v>210</v>
      </c>
      <c r="BC1340" s="324" t="s">
        <v>210</v>
      </c>
      <c r="BD1340" s="324" t="s">
        <v>210</v>
      </c>
      <c r="BE1340" s="324" t="s">
        <v>15187</v>
      </c>
      <c r="BF1340" s="324" t="s">
        <v>3434</v>
      </c>
      <c r="BG1340" s="324" t="s">
        <v>15188</v>
      </c>
      <c r="BH1340" s="324" t="s">
        <v>3434</v>
      </c>
      <c r="BI1340" s="453">
        <v>2.2000000000000002</v>
      </c>
      <c r="BJ1340" s="427">
        <v>4.5</v>
      </c>
      <c r="BK1340" s="428" t="s">
        <v>15189</v>
      </c>
      <c r="BL1340" s="429">
        <v>20</v>
      </c>
      <c r="BM1340" s="430" t="s">
        <v>210</v>
      </c>
      <c r="BN1340" s="453" t="s">
        <v>622</v>
      </c>
      <c r="BO1340" s="464">
        <v>1.167</v>
      </c>
      <c r="BP1340" s="455" t="s">
        <v>622</v>
      </c>
      <c r="BQ1340" s="456" t="s">
        <v>10350</v>
      </c>
      <c r="BR1340" s="392" t="s">
        <v>210</v>
      </c>
      <c r="BS1340" s="342" t="s">
        <v>622</v>
      </c>
      <c r="BT1340" s="392" t="s">
        <v>210</v>
      </c>
      <c r="BU1340" s="392" t="s">
        <v>210</v>
      </c>
      <c r="BV1340" s="392" t="s">
        <v>210</v>
      </c>
      <c r="BW1340" s="392" t="s">
        <v>210</v>
      </c>
      <c r="BX1340" s="392" t="s">
        <v>210</v>
      </c>
      <c r="BY1340" s="457" t="s">
        <v>15190</v>
      </c>
      <c r="BZ1340" s="363"/>
      <c r="CA1340" s="363"/>
      <c r="CB1340" s="363"/>
      <c r="CC1340" s="363"/>
    </row>
    <row r="1341" spans="1:82" ht="22.5" customHeight="1">
      <c r="B1341" s="493">
        <v>190088</v>
      </c>
      <c r="C1341" s="443" t="s">
        <v>16720</v>
      </c>
      <c r="D1341" s="467" t="s">
        <v>15070</v>
      </c>
      <c r="E1341" s="404" t="s">
        <v>5362</v>
      </c>
      <c r="F1341" s="405" t="s">
        <v>15071</v>
      </c>
      <c r="G1341" s="324" t="s">
        <v>1806</v>
      </c>
      <c r="H1341" s="324" t="s">
        <v>15092</v>
      </c>
      <c r="I1341" s="326" t="s">
        <v>383</v>
      </c>
      <c r="J1341" s="324" t="s">
        <v>15084</v>
      </c>
      <c r="K1341" s="324" t="s">
        <v>15082</v>
      </c>
      <c r="L1341" s="342">
        <v>10</v>
      </c>
      <c r="M1341" s="324" t="s">
        <v>7457</v>
      </c>
      <c r="N1341" s="444" t="s">
        <v>15158</v>
      </c>
      <c r="O1341" s="324">
        <v>40</v>
      </c>
      <c r="P1341" s="445">
        <v>200</v>
      </c>
      <c r="Q1341" s="446">
        <f>100+400+100</f>
        <v>600</v>
      </c>
      <c r="R1341" s="420" t="s">
        <v>15016</v>
      </c>
      <c r="S1341" s="394" t="s">
        <v>15017</v>
      </c>
      <c r="T1341" s="394" t="s">
        <v>15019</v>
      </c>
      <c r="U1341" s="394" t="s">
        <v>16463</v>
      </c>
      <c r="V1341" s="394" t="s">
        <v>15018</v>
      </c>
      <c r="W1341" s="460" t="s">
        <v>15012</v>
      </c>
      <c r="X1341" s="394" t="s">
        <v>15013</v>
      </c>
      <c r="Y1341" s="394" t="s">
        <v>15014</v>
      </c>
      <c r="Z1341" s="394" t="s">
        <v>16484</v>
      </c>
      <c r="AA1341" s="394" t="s">
        <v>15015</v>
      </c>
      <c r="AB1341" s="416"/>
      <c r="AC1341" s="416"/>
      <c r="AD1341" s="461"/>
      <c r="AE1341" s="499" t="s">
        <v>16966</v>
      </c>
      <c r="AF1341" s="475">
        <v>43892</v>
      </c>
      <c r="AG1341" s="748">
        <v>44050</v>
      </c>
      <c r="AH1341" s="417" t="s">
        <v>210</v>
      </c>
      <c r="AI1341" s="392" t="s">
        <v>210</v>
      </c>
      <c r="AJ1341" s="392" t="s">
        <v>210</v>
      </c>
      <c r="AK1341" s="340" t="s">
        <v>210</v>
      </c>
      <c r="AL1341" s="341" t="s">
        <v>210</v>
      </c>
      <c r="AM1341" s="341" t="s">
        <v>210</v>
      </c>
      <c r="AN1341" s="341" t="s">
        <v>210</v>
      </c>
      <c r="AO1341" s="341" t="s">
        <v>210</v>
      </c>
      <c r="AP1341" s="1063" t="s">
        <v>622</v>
      </c>
      <c r="AQ1341" s="429" t="s">
        <v>4547</v>
      </c>
      <c r="AR1341" s="452">
        <f>392.3+275.5+130.8</f>
        <v>798.59999999999991</v>
      </c>
      <c r="AS1341" s="324">
        <v>100</v>
      </c>
      <c r="AT1341" s="432" t="s">
        <v>15205</v>
      </c>
      <c r="AU1341" s="432" t="s">
        <v>15160</v>
      </c>
      <c r="AV1341" s="432" t="s">
        <v>15206</v>
      </c>
      <c r="AW1341" s="490" t="s">
        <v>15160</v>
      </c>
      <c r="AX1341" s="486" t="s">
        <v>13380</v>
      </c>
      <c r="AY1341" s="429" t="s">
        <v>8601</v>
      </c>
      <c r="AZ1341" s="405" t="s">
        <v>4083</v>
      </c>
      <c r="BA1341" s="324" t="s">
        <v>210</v>
      </c>
      <c r="BB1341" s="324" t="s">
        <v>210</v>
      </c>
      <c r="BC1341" s="324" t="s">
        <v>15161</v>
      </c>
      <c r="BD1341" s="324" t="s">
        <v>3372</v>
      </c>
      <c r="BE1341" s="324" t="s">
        <v>15162</v>
      </c>
      <c r="BF1341" s="324" t="s">
        <v>15163</v>
      </c>
      <c r="BG1341" s="324" t="s">
        <v>15164</v>
      </c>
      <c r="BH1341" s="426" t="s">
        <v>15165</v>
      </c>
      <c r="BI1341" s="453">
        <v>2</v>
      </c>
      <c r="BJ1341" s="427">
        <v>0.75</v>
      </c>
      <c r="BK1341" s="427" t="s">
        <v>210</v>
      </c>
      <c r="BL1341" s="504" t="s">
        <v>210</v>
      </c>
      <c r="BM1341" s="430" t="s">
        <v>210</v>
      </c>
      <c r="BN1341" s="453" t="s">
        <v>622</v>
      </c>
      <c r="BO1341" s="464">
        <v>0.877</v>
      </c>
      <c r="BP1341" s="455" t="s">
        <v>622</v>
      </c>
      <c r="BQ1341" s="456" t="s">
        <v>247</v>
      </c>
      <c r="BR1341" s="392" t="s">
        <v>210</v>
      </c>
      <c r="BS1341" s="342" t="s">
        <v>622</v>
      </c>
      <c r="BT1341" s="392" t="s">
        <v>210</v>
      </c>
      <c r="BU1341" s="392" t="s">
        <v>210</v>
      </c>
      <c r="BV1341" s="1053" t="s">
        <v>16179</v>
      </c>
      <c r="BW1341" s="392" t="s">
        <v>210</v>
      </c>
      <c r="BX1341" s="392" t="s">
        <v>210</v>
      </c>
      <c r="BY1341" s="457" t="s">
        <v>15159</v>
      </c>
      <c r="BZ1341" s="363"/>
      <c r="CA1341" s="363"/>
      <c r="CB1341" s="363"/>
      <c r="CC1341" s="363"/>
    </row>
    <row r="1342" spans="1:82" ht="22.5" customHeight="1">
      <c r="B1342" s="643">
        <v>190089</v>
      </c>
      <c r="C1342" s="443" t="s">
        <v>14990</v>
      </c>
      <c r="D1342" s="467" t="s">
        <v>15087</v>
      </c>
      <c r="E1342" s="404" t="s">
        <v>5363</v>
      </c>
      <c r="F1342" s="405" t="s">
        <v>14991</v>
      </c>
      <c r="G1342" s="324" t="s">
        <v>14992</v>
      </c>
      <c r="H1342" s="324" t="s">
        <v>14993</v>
      </c>
      <c r="I1342" s="326" t="s">
        <v>383</v>
      </c>
      <c r="J1342" s="326" t="s">
        <v>399</v>
      </c>
      <c r="K1342" s="324" t="s">
        <v>917</v>
      </c>
      <c r="L1342" s="342" t="s">
        <v>210</v>
      </c>
      <c r="M1342" s="324" t="s">
        <v>7457</v>
      </c>
      <c r="N1342" s="444" t="s">
        <v>438</v>
      </c>
      <c r="O1342" s="324">
        <v>37</v>
      </c>
      <c r="P1342" s="458">
        <v>1030.67</v>
      </c>
      <c r="Q1342" s="459">
        <v>1038.6500000000001</v>
      </c>
      <c r="R1342" s="329" t="s">
        <v>469</v>
      </c>
      <c r="S1342" s="331" t="s">
        <v>11204</v>
      </c>
      <c r="T1342" s="331" t="s">
        <v>11205</v>
      </c>
      <c r="U1342" s="331" t="s">
        <v>11207</v>
      </c>
      <c r="V1342" s="649" t="s">
        <v>15921</v>
      </c>
      <c r="W1342" s="332" t="s">
        <v>432</v>
      </c>
      <c r="X1342" s="331" t="s">
        <v>210</v>
      </c>
      <c r="Y1342" s="331" t="s">
        <v>210</v>
      </c>
      <c r="Z1342" s="331" t="s">
        <v>210</v>
      </c>
      <c r="AA1342" s="331" t="s">
        <v>210</v>
      </c>
      <c r="AB1342" s="416"/>
      <c r="AC1342" s="416"/>
      <c r="AD1342" s="334" t="s">
        <v>2325</v>
      </c>
      <c r="AE1342" s="499" t="s">
        <v>2032</v>
      </c>
      <c r="AF1342" s="475">
        <v>43892</v>
      </c>
      <c r="AG1342" s="748">
        <v>43964</v>
      </c>
      <c r="AH1342" s="453">
        <v>5.9</v>
      </c>
      <c r="AI1342" s="432">
        <v>14.2</v>
      </c>
      <c r="AJ1342" s="432">
        <v>13.2</v>
      </c>
      <c r="AK1342" s="340">
        <f>SUM(AH1342:AJ1342)</f>
        <v>33.299999999999997</v>
      </c>
      <c r="AL1342" s="341" t="s">
        <v>210</v>
      </c>
      <c r="AM1342" s="341" t="s">
        <v>210</v>
      </c>
      <c r="AN1342" s="341" t="s">
        <v>210</v>
      </c>
      <c r="AO1342" s="341" t="s">
        <v>210</v>
      </c>
      <c r="AP1342" s="341" t="s">
        <v>210</v>
      </c>
      <c r="AQ1342" s="429" t="s">
        <v>4547</v>
      </c>
      <c r="AR1342" s="452">
        <v>1274</v>
      </c>
      <c r="AS1342" s="324">
        <v>100</v>
      </c>
      <c r="AT1342" s="432">
        <v>0.8</v>
      </c>
      <c r="AU1342" s="432" t="s">
        <v>15377</v>
      </c>
      <c r="AV1342" s="432">
        <v>1.2</v>
      </c>
      <c r="AW1342" s="490" t="s">
        <v>15378</v>
      </c>
      <c r="AX1342" s="453" t="s">
        <v>210</v>
      </c>
      <c r="AY1342" s="429" t="s">
        <v>210</v>
      </c>
      <c r="AZ1342" s="405" t="s">
        <v>4083</v>
      </c>
      <c r="BA1342" s="324" t="s">
        <v>210</v>
      </c>
      <c r="BB1342" s="324" t="s">
        <v>210</v>
      </c>
      <c r="BC1342" s="324" t="s">
        <v>210</v>
      </c>
      <c r="BD1342" s="324" t="s">
        <v>210</v>
      </c>
      <c r="BE1342" s="324" t="s">
        <v>210</v>
      </c>
      <c r="BF1342" s="324" t="s">
        <v>210</v>
      </c>
      <c r="BG1342" s="324" t="s">
        <v>15379</v>
      </c>
      <c r="BH1342" s="426" t="s">
        <v>15380</v>
      </c>
      <c r="BI1342" s="453">
        <v>1.4</v>
      </c>
      <c r="BJ1342" s="427" t="s">
        <v>15381</v>
      </c>
      <c r="BK1342" s="428" t="s">
        <v>15381</v>
      </c>
      <c r="BL1342" s="429" t="s">
        <v>15382</v>
      </c>
      <c r="BM1342" s="430" t="s">
        <v>15381</v>
      </c>
      <c r="BN1342" s="453" t="s">
        <v>622</v>
      </c>
      <c r="BO1342" s="464">
        <v>1.43</v>
      </c>
      <c r="BP1342" s="506" t="s">
        <v>210</v>
      </c>
      <c r="BQ1342" s="456" t="s">
        <v>10959</v>
      </c>
      <c r="BR1342" s="392" t="s">
        <v>210</v>
      </c>
      <c r="BS1342" s="342" t="s">
        <v>622</v>
      </c>
      <c r="BT1342" s="392" t="s">
        <v>210</v>
      </c>
      <c r="BU1342" s="392" t="s">
        <v>210</v>
      </c>
      <c r="BV1342" s="392" t="s">
        <v>210</v>
      </c>
      <c r="BW1342" s="392" t="s">
        <v>210</v>
      </c>
      <c r="BX1342" s="392" t="s">
        <v>210</v>
      </c>
      <c r="BY1342" s="457"/>
      <c r="BZ1342" s="363"/>
      <c r="CA1342" s="363"/>
      <c r="CB1342" s="363"/>
      <c r="CC1342" s="363"/>
    </row>
    <row r="1343" spans="1:82" ht="22.5" customHeight="1">
      <c r="B1343" s="493">
        <v>190090</v>
      </c>
      <c r="C1343" s="443" t="s">
        <v>15090</v>
      </c>
      <c r="D1343" s="467" t="s">
        <v>15086</v>
      </c>
      <c r="E1343" s="404" t="s">
        <v>5362</v>
      </c>
      <c r="F1343" s="405" t="s">
        <v>15073</v>
      </c>
      <c r="G1343" s="324" t="s">
        <v>15074</v>
      </c>
      <c r="H1343" s="324" t="s">
        <v>15075</v>
      </c>
      <c r="I1343" s="326" t="s">
        <v>383</v>
      </c>
      <c r="J1343" s="326" t="s">
        <v>399</v>
      </c>
      <c r="K1343" s="324" t="s">
        <v>917</v>
      </c>
      <c r="L1343" s="342" t="s">
        <v>210</v>
      </c>
      <c r="M1343" s="324" t="s">
        <v>7457</v>
      </c>
      <c r="N1343" s="444" t="s">
        <v>437</v>
      </c>
      <c r="O1343" s="324">
        <v>85</v>
      </c>
      <c r="P1343" s="458">
        <v>1324.95</v>
      </c>
      <c r="Q1343" s="459">
        <v>1413.6</v>
      </c>
      <c r="R1343" s="329" t="s">
        <v>999</v>
      </c>
      <c r="S1343" s="513"/>
      <c r="T1343" s="394" t="s">
        <v>11262</v>
      </c>
      <c r="U1343" s="394" t="s">
        <v>16414</v>
      </c>
      <c r="V1343" s="394" t="s">
        <v>11263</v>
      </c>
      <c r="W1343" s="460" t="s">
        <v>8060</v>
      </c>
      <c r="X1343" s="394" t="s">
        <v>11406</v>
      </c>
      <c r="Y1343" s="394" t="s">
        <v>11405</v>
      </c>
      <c r="Z1343" s="394" t="s">
        <v>11404</v>
      </c>
      <c r="AA1343" s="394" t="s">
        <v>11407</v>
      </c>
      <c r="AB1343" s="416"/>
      <c r="AC1343" s="416"/>
      <c r="AD1343" s="334" t="s">
        <v>2321</v>
      </c>
      <c r="AE1343" s="335" t="s">
        <v>210</v>
      </c>
      <c r="AF1343" s="475">
        <v>43893</v>
      </c>
      <c r="AG1343" s="748">
        <v>43958</v>
      </c>
      <c r="AH1343" s="417" t="s">
        <v>210</v>
      </c>
      <c r="AI1343" s="392" t="s">
        <v>210</v>
      </c>
      <c r="AJ1343" s="392" t="s">
        <v>210</v>
      </c>
      <c r="AK1343" s="340" t="s">
        <v>210</v>
      </c>
      <c r="AL1343" s="341" t="s">
        <v>210</v>
      </c>
      <c r="AM1343" s="341" t="s">
        <v>210</v>
      </c>
      <c r="AN1343" s="341" t="s">
        <v>210</v>
      </c>
      <c r="AO1343" s="341" t="s">
        <v>210</v>
      </c>
      <c r="AP1343" s="392" t="s">
        <v>210</v>
      </c>
      <c r="AQ1343" s="429" t="s">
        <v>4547</v>
      </c>
      <c r="AR1343" s="452">
        <v>1817</v>
      </c>
      <c r="AS1343" s="324">
        <v>80</v>
      </c>
      <c r="AT1343" s="432">
        <v>0.8</v>
      </c>
      <c r="AU1343" s="432" t="s">
        <v>15173</v>
      </c>
      <c r="AV1343" s="432">
        <v>1.4</v>
      </c>
      <c r="AW1343" s="490" t="s">
        <v>15174</v>
      </c>
      <c r="AX1343" s="453" t="s">
        <v>210</v>
      </c>
      <c r="AY1343" s="429" t="s">
        <v>210</v>
      </c>
      <c r="AZ1343" s="405" t="s">
        <v>4083</v>
      </c>
      <c r="BA1343" s="324" t="s">
        <v>210</v>
      </c>
      <c r="BB1343" s="324" t="s">
        <v>210</v>
      </c>
      <c r="BC1343" s="324" t="s">
        <v>210</v>
      </c>
      <c r="BD1343" s="324" t="s">
        <v>210</v>
      </c>
      <c r="BE1343" s="324" t="s">
        <v>15175</v>
      </c>
      <c r="BF1343" s="324" t="s">
        <v>15176</v>
      </c>
      <c r="BG1343" s="324" t="s">
        <v>15177</v>
      </c>
      <c r="BH1343" s="324" t="s">
        <v>15176</v>
      </c>
      <c r="BI1343" s="453">
        <v>2.2999999999999998</v>
      </c>
      <c r="BJ1343" s="427" t="s">
        <v>15229</v>
      </c>
      <c r="BK1343" s="427" t="s">
        <v>210</v>
      </c>
      <c r="BL1343" s="504" t="s">
        <v>210</v>
      </c>
      <c r="BM1343" s="430" t="s">
        <v>210</v>
      </c>
      <c r="BN1343" s="453" t="s">
        <v>622</v>
      </c>
      <c r="BO1343" s="464">
        <v>1.26</v>
      </c>
      <c r="BP1343" s="506" t="s">
        <v>210</v>
      </c>
      <c r="BQ1343" s="456" t="s">
        <v>10959</v>
      </c>
      <c r="BR1343" s="392" t="s">
        <v>210</v>
      </c>
      <c r="BS1343" s="392" t="s">
        <v>210</v>
      </c>
      <c r="BT1343" s="392" t="s">
        <v>210</v>
      </c>
      <c r="BU1343" s="392" t="s">
        <v>210</v>
      </c>
      <c r="BV1343" s="392" t="s">
        <v>210</v>
      </c>
      <c r="BW1343" s="392" t="s">
        <v>210</v>
      </c>
      <c r="BX1343" s="392" t="s">
        <v>210</v>
      </c>
      <c r="BY1343" s="457"/>
      <c r="BZ1343" s="363"/>
      <c r="CA1343" s="363"/>
      <c r="CB1343" s="363"/>
      <c r="CC1343" s="363"/>
    </row>
    <row r="1344" spans="1:82" ht="22.5" customHeight="1">
      <c r="B1344" s="643">
        <v>190091</v>
      </c>
      <c r="C1344" s="443" t="s">
        <v>15091</v>
      </c>
      <c r="D1344" s="467" t="s">
        <v>15301</v>
      </c>
      <c r="E1344" s="404" t="s">
        <v>14904</v>
      </c>
      <c r="F1344" s="405" t="s">
        <v>15067</v>
      </c>
      <c r="G1344" s="324" t="s">
        <v>15068</v>
      </c>
      <c r="H1344" s="324" t="s">
        <v>15069</v>
      </c>
      <c r="I1344" s="326" t="s">
        <v>383</v>
      </c>
      <c r="J1344" s="324" t="s">
        <v>6632</v>
      </c>
      <c r="K1344" s="324" t="s">
        <v>11012</v>
      </c>
      <c r="L1344" s="342" t="s">
        <v>15321</v>
      </c>
      <c r="M1344" s="324" t="s">
        <v>7457</v>
      </c>
      <c r="N1344" s="444" t="s">
        <v>15322</v>
      </c>
      <c r="O1344" s="324">
        <v>25</v>
      </c>
      <c r="P1344" s="445">
        <f>Q1344+600</f>
        <v>2300</v>
      </c>
      <c r="Q1344" s="446">
        <v>1700</v>
      </c>
      <c r="R1344" s="420" t="s">
        <v>15570</v>
      </c>
      <c r="S1344" s="394" t="s">
        <v>15063</v>
      </c>
      <c r="T1344" s="394" t="s">
        <v>15446</v>
      </c>
      <c r="U1344" s="394" t="s">
        <v>16386</v>
      </c>
      <c r="V1344" s="332" t="s">
        <v>15062</v>
      </c>
      <c r="W1344" s="394" t="s">
        <v>15315</v>
      </c>
      <c r="X1344" s="394" t="s">
        <v>15059</v>
      </c>
      <c r="Y1344" s="394" t="s">
        <v>15316</v>
      </c>
      <c r="Z1344" s="331" t="s">
        <v>16397</v>
      </c>
      <c r="AA1344" s="394" t="s">
        <v>14933</v>
      </c>
      <c r="AB1344" s="416" t="s">
        <v>15064</v>
      </c>
      <c r="AC1344" s="416"/>
      <c r="AD1344" s="447" t="s">
        <v>16127</v>
      </c>
      <c r="AE1344" s="499" t="s">
        <v>16672</v>
      </c>
      <c r="AF1344" s="475">
        <v>43893</v>
      </c>
      <c r="AG1344" s="748">
        <v>44025</v>
      </c>
      <c r="AH1344" s="417" t="s">
        <v>210</v>
      </c>
      <c r="AI1344" s="392" t="s">
        <v>210</v>
      </c>
      <c r="AJ1344" s="392" t="s">
        <v>210</v>
      </c>
      <c r="AK1344" s="340" t="s">
        <v>210</v>
      </c>
      <c r="AL1344" s="341" t="s">
        <v>210</v>
      </c>
      <c r="AM1344" s="341" t="s">
        <v>210</v>
      </c>
      <c r="AN1344" s="341" t="s">
        <v>210</v>
      </c>
      <c r="AO1344" s="341" t="s">
        <v>210</v>
      </c>
      <c r="AP1344" s="1063" t="s">
        <v>622</v>
      </c>
      <c r="AQ1344" s="429" t="s">
        <v>4547</v>
      </c>
      <c r="AR1344" s="452">
        <f>2181+190</f>
        <v>2371</v>
      </c>
      <c r="AS1344" s="324">
        <v>120</v>
      </c>
      <c r="AT1344" s="432">
        <v>1</v>
      </c>
      <c r="AU1344" s="432" t="s">
        <v>15323</v>
      </c>
      <c r="AV1344" s="432">
        <v>1.5</v>
      </c>
      <c r="AW1344" s="490" t="s">
        <v>3372</v>
      </c>
      <c r="AX1344" s="453" t="s">
        <v>210</v>
      </c>
      <c r="AY1344" s="429" t="s">
        <v>8601</v>
      </c>
      <c r="AZ1344" s="405" t="s">
        <v>622</v>
      </c>
      <c r="BA1344" s="324" t="s">
        <v>3558</v>
      </c>
      <c r="BB1344" s="324" t="s">
        <v>3372</v>
      </c>
      <c r="BC1344" s="324" t="s">
        <v>15326</v>
      </c>
      <c r="BD1344" s="324" t="s">
        <v>15324</v>
      </c>
      <c r="BE1344" s="324" t="s">
        <v>15325</v>
      </c>
      <c r="BF1344" s="324" t="s">
        <v>15327</v>
      </c>
      <c r="BG1344" s="324" t="s">
        <v>15328</v>
      </c>
      <c r="BH1344" s="426" t="s">
        <v>15329</v>
      </c>
      <c r="BI1344" s="453">
        <v>1.7</v>
      </c>
      <c r="BJ1344" s="427">
        <v>2.34</v>
      </c>
      <c r="BK1344" s="428" t="s">
        <v>15330</v>
      </c>
      <c r="BL1344" s="429">
        <v>2</v>
      </c>
      <c r="BM1344" s="430" t="s">
        <v>210</v>
      </c>
      <c r="BN1344" s="453" t="s">
        <v>622</v>
      </c>
      <c r="BO1344" s="464">
        <v>1.03</v>
      </c>
      <c r="BP1344" s="455" t="s">
        <v>622</v>
      </c>
      <c r="BQ1344" s="456" t="s">
        <v>10350</v>
      </c>
      <c r="BR1344" s="392" t="s">
        <v>210</v>
      </c>
      <c r="BS1344" s="342" t="s">
        <v>622</v>
      </c>
      <c r="BT1344" s="392" t="s">
        <v>210</v>
      </c>
      <c r="BU1344" s="392" t="s">
        <v>210</v>
      </c>
      <c r="BV1344" s="392" t="s">
        <v>210</v>
      </c>
      <c r="BW1344" s="392" t="s">
        <v>210</v>
      </c>
      <c r="BX1344" s="392" t="s">
        <v>210</v>
      </c>
      <c r="BY1344" s="457" t="s">
        <v>15331</v>
      </c>
      <c r="BZ1344" s="363"/>
      <c r="CA1344" s="363"/>
      <c r="CB1344" s="363"/>
      <c r="CC1344" s="363"/>
    </row>
    <row r="1345" spans="2:82" ht="22.5" customHeight="1">
      <c r="B1345" s="493">
        <v>190092</v>
      </c>
      <c r="C1345" s="443" t="s">
        <v>15133</v>
      </c>
      <c r="D1345" s="467" t="s">
        <v>7070</v>
      </c>
      <c r="E1345" s="404" t="s">
        <v>5362</v>
      </c>
      <c r="F1345" s="407" t="s">
        <v>15104</v>
      </c>
      <c r="G1345" s="324" t="s">
        <v>15105</v>
      </c>
      <c r="H1345" s="324" t="s">
        <v>15106</v>
      </c>
      <c r="I1345" s="326" t="s">
        <v>383</v>
      </c>
      <c r="J1345" s="326" t="s">
        <v>399</v>
      </c>
      <c r="K1345" s="324" t="s">
        <v>3400</v>
      </c>
      <c r="L1345" s="342" t="s">
        <v>210</v>
      </c>
      <c r="M1345" s="324" t="s">
        <v>7457</v>
      </c>
      <c r="N1345" s="444" t="s">
        <v>15153</v>
      </c>
      <c r="O1345" s="324">
        <v>160</v>
      </c>
      <c r="P1345" s="458">
        <f>Q1345</f>
        <v>915</v>
      </c>
      <c r="Q1345" s="459">
        <v>915</v>
      </c>
      <c r="R1345" s="420" t="s">
        <v>15101</v>
      </c>
      <c r="S1345" s="394" t="s">
        <v>15102</v>
      </c>
      <c r="T1345" s="394" t="s">
        <v>15314</v>
      </c>
      <c r="U1345" s="394" t="s">
        <v>16307</v>
      </c>
      <c r="V1345" s="394" t="s">
        <v>15103</v>
      </c>
      <c r="W1345" s="460" t="s">
        <v>15095</v>
      </c>
      <c r="X1345" s="394" t="s">
        <v>15099</v>
      </c>
      <c r="Y1345" s="394" t="s">
        <v>15098</v>
      </c>
      <c r="Z1345" s="394" t="s">
        <v>16335</v>
      </c>
      <c r="AA1345" s="394" t="s">
        <v>15100</v>
      </c>
      <c r="AB1345" s="416"/>
      <c r="AC1345" s="416"/>
      <c r="AD1345" s="447" t="s">
        <v>15376</v>
      </c>
      <c r="AE1345" s="335" t="s">
        <v>210</v>
      </c>
      <c r="AF1345" s="475">
        <v>43894</v>
      </c>
      <c r="AG1345" s="748">
        <v>43937</v>
      </c>
      <c r="AH1345" s="417" t="s">
        <v>210</v>
      </c>
      <c r="AI1345" s="392" t="s">
        <v>210</v>
      </c>
      <c r="AJ1345" s="392" t="s">
        <v>210</v>
      </c>
      <c r="AK1345" s="340" t="s">
        <v>210</v>
      </c>
      <c r="AL1345" s="341" t="s">
        <v>210</v>
      </c>
      <c r="AM1345" s="341" t="s">
        <v>210</v>
      </c>
      <c r="AN1345" s="341" t="s">
        <v>210</v>
      </c>
      <c r="AO1345" s="341" t="s">
        <v>210</v>
      </c>
      <c r="AP1345" s="1063" t="s">
        <v>622</v>
      </c>
      <c r="AQ1345" s="429" t="s">
        <v>4547</v>
      </c>
      <c r="AR1345" s="452">
        <v>1571</v>
      </c>
      <c r="AS1345" s="324">
        <v>100</v>
      </c>
      <c r="AT1345" s="432">
        <v>1</v>
      </c>
      <c r="AU1345" s="432" t="s">
        <v>15365</v>
      </c>
      <c r="AV1345" s="432">
        <v>1.5</v>
      </c>
      <c r="AW1345" s="490" t="s">
        <v>3372</v>
      </c>
      <c r="AX1345" s="453" t="s">
        <v>210</v>
      </c>
      <c r="AY1345" s="429" t="s">
        <v>8601</v>
      </c>
      <c r="AZ1345" s="405" t="s">
        <v>622</v>
      </c>
      <c r="BA1345" s="324" t="s">
        <v>15366</v>
      </c>
      <c r="BB1345" s="324" t="s">
        <v>15365</v>
      </c>
      <c r="BC1345" s="324" t="s">
        <v>15367</v>
      </c>
      <c r="BD1345" s="324" t="s">
        <v>15368</v>
      </c>
      <c r="BE1345" s="324" t="s">
        <v>15369</v>
      </c>
      <c r="BF1345" s="324" t="s">
        <v>15368</v>
      </c>
      <c r="BG1345" s="324" t="s">
        <v>15370</v>
      </c>
      <c r="BH1345" s="324" t="s">
        <v>15368</v>
      </c>
      <c r="BI1345" s="453">
        <v>2</v>
      </c>
      <c r="BJ1345" s="427">
        <v>1.73</v>
      </c>
      <c r="BK1345" s="428" t="s">
        <v>15371</v>
      </c>
      <c r="BL1345" s="429">
        <v>20</v>
      </c>
      <c r="BM1345" s="430" t="s">
        <v>210</v>
      </c>
      <c r="BN1345" s="453" t="s">
        <v>622</v>
      </c>
      <c r="BO1345" s="464">
        <v>1.4</v>
      </c>
      <c r="BP1345" s="455" t="s">
        <v>622</v>
      </c>
      <c r="BQ1345" s="456" t="s">
        <v>1059</v>
      </c>
      <c r="BR1345" s="342" t="s">
        <v>622</v>
      </c>
      <c r="BS1345" s="342" t="s">
        <v>622</v>
      </c>
      <c r="BT1345" s="342" t="s">
        <v>210</v>
      </c>
      <c r="BU1345" s="342" t="s">
        <v>210</v>
      </c>
      <c r="BV1345" s="342" t="s">
        <v>210</v>
      </c>
      <c r="BW1345" s="341" t="s">
        <v>210</v>
      </c>
      <c r="BX1345" s="341" t="s">
        <v>210</v>
      </c>
      <c r="BY1345" s="457" t="s">
        <v>15372</v>
      </c>
      <c r="BZ1345" s="363"/>
      <c r="CA1345" s="363"/>
      <c r="CB1345" s="363"/>
      <c r="CC1345" s="363"/>
    </row>
    <row r="1346" spans="2:82" s="1073" customFormat="1" ht="22.5" customHeight="1">
      <c r="B1346" s="643">
        <v>190093</v>
      </c>
      <c r="C1346" s="443" t="s">
        <v>8107</v>
      </c>
      <c r="D1346" s="439" t="s">
        <v>4854</v>
      </c>
      <c r="E1346" s="404" t="s">
        <v>7988</v>
      </c>
      <c r="F1346" s="405" t="s">
        <v>213</v>
      </c>
      <c r="G1346" s="324" t="s">
        <v>8109</v>
      </c>
      <c r="H1346" s="324" t="s">
        <v>8110</v>
      </c>
      <c r="I1346" s="324" t="s">
        <v>1066</v>
      </c>
      <c r="J1346" s="324" t="s">
        <v>214</v>
      </c>
      <c r="K1346" s="324" t="s">
        <v>1059</v>
      </c>
      <c r="L1346" s="342" t="s">
        <v>210</v>
      </c>
      <c r="M1346" s="324" t="s">
        <v>6518</v>
      </c>
      <c r="N1346" s="470"/>
      <c r="O1346" s="468"/>
      <c r="P1346" s="471"/>
      <c r="Q1346" s="472"/>
      <c r="R1346" s="420" t="s">
        <v>2280</v>
      </c>
      <c r="S1346" s="394" t="s">
        <v>11739</v>
      </c>
      <c r="T1346" s="394" t="s">
        <v>11741</v>
      </c>
      <c r="U1346" s="394" t="s">
        <v>11740</v>
      </c>
      <c r="V1346" s="394" t="s">
        <v>11742</v>
      </c>
      <c r="W1346" s="332" t="s">
        <v>432</v>
      </c>
      <c r="X1346" s="331" t="s">
        <v>210</v>
      </c>
      <c r="Y1346" s="331" t="s">
        <v>210</v>
      </c>
      <c r="Z1346" s="331" t="s">
        <v>210</v>
      </c>
      <c r="AA1346" s="331" t="s">
        <v>210</v>
      </c>
      <c r="AB1346" s="416"/>
      <c r="AC1346" s="416"/>
      <c r="AD1346" s="473"/>
      <c r="AE1346" s="335" t="s">
        <v>210</v>
      </c>
      <c r="AF1346" s="475">
        <v>43894</v>
      </c>
      <c r="AG1346" s="389"/>
      <c r="AH1346" s="417" t="s">
        <v>210</v>
      </c>
      <c r="AI1346" s="392" t="s">
        <v>210</v>
      </c>
      <c r="AJ1346" s="392" t="s">
        <v>210</v>
      </c>
      <c r="AK1346" s="340" t="s">
        <v>210</v>
      </c>
      <c r="AL1346" s="417" t="s">
        <v>210</v>
      </c>
      <c r="AM1346" s="478"/>
      <c r="AN1346" s="341" t="s">
        <v>210</v>
      </c>
      <c r="AO1346" s="341" t="s">
        <v>210</v>
      </c>
      <c r="AP1346" s="418" t="s">
        <v>210</v>
      </c>
      <c r="AQ1346" s="1074"/>
      <c r="AR1346" s="501"/>
      <c r="AS1346" s="408"/>
      <c r="AT1346" s="500"/>
      <c r="AU1346" s="500"/>
      <c r="AV1346" s="500"/>
      <c r="AW1346" s="422"/>
      <c r="AX1346" s="477"/>
      <c r="AY1346" s="479"/>
      <c r="AZ1346" s="1075"/>
      <c r="BA1346" s="468"/>
      <c r="BB1346" s="468"/>
      <c r="BC1346" s="468"/>
      <c r="BD1346" s="468"/>
      <c r="BE1346" s="468"/>
      <c r="BF1346" s="468"/>
      <c r="BG1346" s="468"/>
      <c r="BH1346" s="1076"/>
      <c r="BI1346" s="477"/>
      <c r="BJ1346" s="1077"/>
      <c r="BK1346" s="1078"/>
      <c r="BL1346" s="479"/>
      <c r="BM1346" s="480"/>
      <c r="BN1346" s="477"/>
      <c r="BO1346" s="481"/>
      <c r="BP1346" s="482"/>
      <c r="BQ1346" s="1079"/>
      <c r="BR1346" s="469"/>
      <c r="BS1346" s="469"/>
      <c r="BT1346" s="342" t="s">
        <v>210</v>
      </c>
      <c r="BU1346" s="342" t="s">
        <v>210</v>
      </c>
      <c r="BV1346" s="342" t="s">
        <v>210</v>
      </c>
      <c r="BW1346" s="341" t="s">
        <v>210</v>
      </c>
      <c r="BX1346" s="341" t="s">
        <v>210</v>
      </c>
      <c r="BY1346" s="888" t="s">
        <v>8111</v>
      </c>
      <c r="BZ1346" s="1080"/>
      <c r="CA1346" s="1080"/>
      <c r="CB1346" s="1080"/>
      <c r="CC1346" s="1080"/>
      <c r="CD1346" s="1081"/>
    </row>
    <row r="1347" spans="2:82" ht="22.5" customHeight="1">
      <c r="B1347" s="493">
        <v>190094</v>
      </c>
      <c r="C1347" s="494" t="s">
        <v>15156</v>
      </c>
      <c r="D1347" s="467" t="s">
        <v>15030</v>
      </c>
      <c r="E1347" s="404" t="s">
        <v>15155</v>
      </c>
      <c r="F1347" s="405" t="s">
        <v>15142</v>
      </c>
      <c r="G1347" s="324" t="s">
        <v>15143</v>
      </c>
      <c r="H1347" s="324" t="s">
        <v>15144</v>
      </c>
      <c r="I1347" s="326" t="s">
        <v>383</v>
      </c>
      <c r="J1347" s="324" t="s">
        <v>3939</v>
      </c>
      <c r="K1347" s="324" t="s">
        <v>15145</v>
      </c>
      <c r="L1347" s="342" t="s">
        <v>15285</v>
      </c>
      <c r="M1347" s="324" t="s">
        <v>15286</v>
      </c>
      <c r="N1347" s="444" t="s">
        <v>15287</v>
      </c>
      <c r="O1347" s="324">
        <v>35</v>
      </c>
      <c r="P1347" s="458">
        <v>1602</v>
      </c>
      <c r="Q1347" s="459">
        <v>805</v>
      </c>
      <c r="R1347" s="420" t="s">
        <v>15135</v>
      </c>
      <c r="S1347" s="394" t="s">
        <v>15141</v>
      </c>
      <c r="T1347" s="394" t="s">
        <v>15140</v>
      </c>
      <c r="U1347" s="394" t="s">
        <v>15138</v>
      </c>
      <c r="V1347" s="394" t="s">
        <v>15139</v>
      </c>
      <c r="W1347" s="460" t="s">
        <v>16043</v>
      </c>
      <c r="X1347" s="394" t="s">
        <v>16046</v>
      </c>
      <c r="Y1347" s="394" t="s">
        <v>16045</v>
      </c>
      <c r="Z1347" s="394" t="s">
        <v>16044</v>
      </c>
      <c r="AA1347" s="394" t="s">
        <v>16047</v>
      </c>
      <c r="AB1347" s="416"/>
      <c r="AC1347" s="416"/>
      <c r="AD1347" s="447" t="s">
        <v>16055</v>
      </c>
      <c r="AE1347" s="499" t="s">
        <v>1720</v>
      </c>
      <c r="AF1347" s="475">
        <v>43895</v>
      </c>
      <c r="AG1347" s="748">
        <v>43999</v>
      </c>
      <c r="AH1347" s="417" t="s">
        <v>210</v>
      </c>
      <c r="AI1347" s="392" t="s">
        <v>210</v>
      </c>
      <c r="AJ1347" s="392" t="s">
        <v>210</v>
      </c>
      <c r="AK1347" s="340" t="s">
        <v>210</v>
      </c>
      <c r="AL1347" s="341" t="s">
        <v>210</v>
      </c>
      <c r="AM1347" s="341" t="s">
        <v>210</v>
      </c>
      <c r="AN1347" s="341" t="s">
        <v>210</v>
      </c>
      <c r="AO1347" s="341" t="s">
        <v>210</v>
      </c>
      <c r="AP1347" s="1063" t="s">
        <v>622</v>
      </c>
      <c r="AQ1347" s="429" t="s">
        <v>4547</v>
      </c>
      <c r="AR1347" s="452">
        <v>853</v>
      </c>
      <c r="AS1347" s="324">
        <v>150</v>
      </c>
      <c r="AT1347" s="432">
        <v>1</v>
      </c>
      <c r="AU1347" s="432" t="s">
        <v>15288</v>
      </c>
      <c r="AV1347" s="432">
        <v>1.2</v>
      </c>
      <c r="AW1347" s="490" t="s">
        <v>15289</v>
      </c>
      <c r="AX1347" s="453" t="s">
        <v>210</v>
      </c>
      <c r="AY1347" s="429" t="s">
        <v>15290</v>
      </c>
      <c r="AZ1347" s="405" t="s">
        <v>4083</v>
      </c>
      <c r="BA1347" s="324" t="s">
        <v>210</v>
      </c>
      <c r="BB1347" s="324" t="s">
        <v>210</v>
      </c>
      <c r="BC1347" s="324" t="s">
        <v>15291</v>
      </c>
      <c r="BD1347" s="324" t="s">
        <v>15292</v>
      </c>
      <c r="BE1347" s="324" t="s">
        <v>15293</v>
      </c>
      <c r="BF1347" s="324" t="s">
        <v>15294</v>
      </c>
      <c r="BG1347" s="324" t="s">
        <v>15295</v>
      </c>
      <c r="BH1347" s="426" t="s">
        <v>15296</v>
      </c>
      <c r="BI1347" s="453">
        <v>1.1000000000000001</v>
      </c>
      <c r="BJ1347" s="427">
        <v>7.27</v>
      </c>
      <c r="BK1347" s="427" t="s">
        <v>210</v>
      </c>
      <c r="BL1347" s="504" t="s">
        <v>210</v>
      </c>
      <c r="BM1347" s="430" t="s">
        <v>210</v>
      </c>
      <c r="BN1347" s="453" t="s">
        <v>622</v>
      </c>
      <c r="BO1347" s="464">
        <v>1.01</v>
      </c>
      <c r="BP1347" s="455" t="s">
        <v>622</v>
      </c>
      <c r="BQ1347" s="456" t="s">
        <v>10959</v>
      </c>
      <c r="BR1347" s="392" t="s">
        <v>210</v>
      </c>
      <c r="BS1347" s="392" t="s">
        <v>210</v>
      </c>
      <c r="BT1347" s="342" t="s">
        <v>210</v>
      </c>
      <c r="BU1347" s="342" t="s">
        <v>210</v>
      </c>
      <c r="BV1347" s="342" t="s">
        <v>210</v>
      </c>
      <c r="BW1347" s="341" t="s">
        <v>210</v>
      </c>
      <c r="BX1347" s="341" t="s">
        <v>210</v>
      </c>
      <c r="BY1347" s="457"/>
      <c r="BZ1347" s="363"/>
      <c r="CA1347" s="363"/>
      <c r="CB1347" s="363"/>
      <c r="CC1347" s="363"/>
    </row>
    <row r="1348" spans="2:82" ht="22.5" customHeight="1">
      <c r="B1348" s="643">
        <v>190095</v>
      </c>
      <c r="C1348" s="443" t="s">
        <v>15154</v>
      </c>
      <c r="D1348" s="467" t="s">
        <v>15085</v>
      </c>
      <c r="E1348" s="404" t="s">
        <v>15148</v>
      </c>
      <c r="F1348" s="405" t="s">
        <v>7135</v>
      </c>
      <c r="G1348" s="324" t="s">
        <v>7149</v>
      </c>
      <c r="H1348" s="324" t="s">
        <v>8042</v>
      </c>
      <c r="I1348" s="326" t="s">
        <v>383</v>
      </c>
      <c r="J1348" s="324" t="s">
        <v>7171</v>
      </c>
      <c r="K1348" s="324" t="s">
        <v>15149</v>
      </c>
      <c r="L1348" s="342" t="s">
        <v>210</v>
      </c>
      <c r="M1348" s="324" t="s">
        <v>7457</v>
      </c>
      <c r="N1348" s="444" t="s">
        <v>15322</v>
      </c>
      <c r="O1348" s="324">
        <v>39</v>
      </c>
      <c r="P1348" s="458">
        <v>1499</v>
      </c>
      <c r="Q1348" s="459">
        <v>803</v>
      </c>
      <c r="R1348" s="420" t="s">
        <v>7206</v>
      </c>
      <c r="S1348" s="394" t="s">
        <v>15282</v>
      </c>
      <c r="T1348" s="394" t="s">
        <v>15150</v>
      </c>
      <c r="U1348" s="394" t="s">
        <v>15151</v>
      </c>
      <c r="V1348" s="394" t="s">
        <v>15283</v>
      </c>
      <c r="W1348" s="332" t="s">
        <v>644</v>
      </c>
      <c r="X1348" s="394" t="s">
        <v>11202</v>
      </c>
      <c r="Y1348" s="394" t="s">
        <v>11201</v>
      </c>
      <c r="Z1348" s="394" t="s">
        <v>11200</v>
      </c>
      <c r="AA1348" s="394" t="s">
        <v>11203</v>
      </c>
      <c r="AB1348" s="416"/>
      <c r="AC1348" s="416"/>
      <c r="AD1348" s="334" t="s">
        <v>7404</v>
      </c>
      <c r="AE1348" s="499" t="s">
        <v>7446</v>
      </c>
      <c r="AF1348" s="475">
        <v>43895</v>
      </c>
      <c r="AG1348" s="748">
        <v>43941</v>
      </c>
      <c r="AH1348" s="417" t="s">
        <v>210</v>
      </c>
      <c r="AI1348" s="392" t="s">
        <v>210</v>
      </c>
      <c r="AJ1348" s="392" t="s">
        <v>210</v>
      </c>
      <c r="AK1348" s="340" t="s">
        <v>210</v>
      </c>
      <c r="AL1348" s="341" t="s">
        <v>210</v>
      </c>
      <c r="AM1348" s="341" t="s">
        <v>210</v>
      </c>
      <c r="AN1348" s="341" t="s">
        <v>210</v>
      </c>
      <c r="AO1348" s="341" t="s">
        <v>210</v>
      </c>
      <c r="AP1348" s="1063" t="s">
        <v>622</v>
      </c>
      <c r="AQ1348" s="429" t="s">
        <v>4547</v>
      </c>
      <c r="AR1348" s="452">
        <v>890</v>
      </c>
      <c r="AS1348" s="324">
        <v>150</v>
      </c>
      <c r="AT1348" s="432">
        <v>0.8</v>
      </c>
      <c r="AU1348" s="432" t="s">
        <v>15347</v>
      </c>
      <c r="AV1348" s="432">
        <v>0.9</v>
      </c>
      <c r="AW1348" s="490" t="s">
        <v>15348</v>
      </c>
      <c r="AX1348" s="453" t="s">
        <v>15349</v>
      </c>
      <c r="AY1348" s="429" t="s">
        <v>15350</v>
      </c>
      <c r="AZ1348" s="405" t="s">
        <v>4083</v>
      </c>
      <c r="BA1348" s="324" t="s">
        <v>210</v>
      </c>
      <c r="BB1348" s="324" t="s">
        <v>210</v>
      </c>
      <c r="BC1348" s="324" t="s">
        <v>15351</v>
      </c>
      <c r="BD1348" s="324" t="s">
        <v>15352</v>
      </c>
      <c r="BE1348" s="324" t="s">
        <v>15353</v>
      </c>
      <c r="BF1348" s="324" t="s">
        <v>15354</v>
      </c>
      <c r="BG1348" s="324" t="s">
        <v>15355</v>
      </c>
      <c r="BH1348" s="426" t="s">
        <v>15356</v>
      </c>
      <c r="BI1348" s="453">
        <v>3.3</v>
      </c>
      <c r="BJ1348" s="427" t="s">
        <v>15357</v>
      </c>
      <c r="BK1348" s="428" t="s">
        <v>15358</v>
      </c>
      <c r="BL1348" s="429">
        <f>1.95*2</f>
        <v>3.9</v>
      </c>
      <c r="BM1348" s="430" t="s">
        <v>15349</v>
      </c>
      <c r="BN1348" s="453" t="s">
        <v>622</v>
      </c>
      <c r="BO1348" s="464">
        <v>1.0900000000000001</v>
      </c>
      <c r="BP1348" s="455" t="s">
        <v>15349</v>
      </c>
      <c r="BQ1348" s="456" t="s">
        <v>15360</v>
      </c>
      <c r="BR1348" s="342" t="s">
        <v>622</v>
      </c>
      <c r="BS1348" s="342" t="s">
        <v>622</v>
      </c>
      <c r="BT1348" s="342" t="s">
        <v>210</v>
      </c>
      <c r="BU1348" s="342" t="s">
        <v>210</v>
      </c>
      <c r="BV1348" s="342" t="s">
        <v>210</v>
      </c>
      <c r="BW1348" s="341" t="s">
        <v>210</v>
      </c>
      <c r="BX1348" s="341" t="s">
        <v>210</v>
      </c>
      <c r="BY1348" s="888" t="s">
        <v>15359</v>
      </c>
      <c r="BZ1348" s="363"/>
      <c r="CA1348" s="363"/>
      <c r="CB1348" s="363"/>
      <c r="CC1348" s="363"/>
    </row>
    <row r="1349" spans="2:82" ht="22.5" customHeight="1">
      <c r="B1349" s="493">
        <v>190096</v>
      </c>
      <c r="C1349" s="443" t="s">
        <v>15216</v>
      </c>
      <c r="D1349" s="467" t="s">
        <v>15232</v>
      </c>
      <c r="E1349" s="404" t="s">
        <v>5362</v>
      </c>
      <c r="F1349" s="405" t="s">
        <v>15195</v>
      </c>
      <c r="G1349" s="324" t="s">
        <v>15196</v>
      </c>
      <c r="H1349" s="324" t="s">
        <v>15197</v>
      </c>
      <c r="I1349" s="326" t="s">
        <v>383</v>
      </c>
      <c r="J1349" s="326" t="s">
        <v>399</v>
      </c>
      <c r="K1349" s="324" t="s">
        <v>7495</v>
      </c>
      <c r="L1349" s="342">
        <v>38</v>
      </c>
      <c r="M1349" s="324" t="s">
        <v>7457</v>
      </c>
      <c r="N1349" s="444" t="s">
        <v>15209</v>
      </c>
      <c r="O1349" s="324">
        <v>100</v>
      </c>
      <c r="P1349" s="458">
        <v>853</v>
      </c>
      <c r="Q1349" s="459">
        <v>853</v>
      </c>
      <c r="R1349" s="420" t="s">
        <v>15344</v>
      </c>
      <c r="S1349" s="394" t="s">
        <v>15516</v>
      </c>
      <c r="T1349" s="394" t="s">
        <v>15517</v>
      </c>
      <c r="U1349" s="394" t="s">
        <v>16318</v>
      </c>
      <c r="V1349" s="394" t="s">
        <v>15518</v>
      </c>
      <c r="W1349" s="460" t="s">
        <v>4029</v>
      </c>
      <c r="X1349" s="394" t="s">
        <v>13508</v>
      </c>
      <c r="Y1349" s="394" t="s">
        <v>13509</v>
      </c>
      <c r="Z1349" s="394" t="s">
        <v>13510</v>
      </c>
      <c r="AA1349" s="394" t="s">
        <v>13511</v>
      </c>
      <c r="AB1349" s="416"/>
      <c r="AC1349" s="416"/>
      <c r="AD1349" s="334" t="s">
        <v>2326</v>
      </c>
      <c r="AE1349" s="335" t="s">
        <v>210</v>
      </c>
      <c r="AF1349" s="475">
        <v>43900</v>
      </c>
      <c r="AG1349" s="748">
        <v>43944</v>
      </c>
      <c r="AH1349" s="417" t="s">
        <v>210</v>
      </c>
      <c r="AI1349" s="392" t="s">
        <v>210</v>
      </c>
      <c r="AJ1349" s="392" t="s">
        <v>210</v>
      </c>
      <c r="AK1349" s="340" t="s">
        <v>210</v>
      </c>
      <c r="AL1349" s="341" t="s">
        <v>210</v>
      </c>
      <c r="AM1349" s="341" t="s">
        <v>210</v>
      </c>
      <c r="AN1349" s="418" t="s">
        <v>210</v>
      </c>
      <c r="AO1349" s="418" t="s">
        <v>210</v>
      </c>
      <c r="AP1349" s="418" t="s">
        <v>210</v>
      </c>
      <c r="AQ1349" s="429" t="s">
        <v>4547</v>
      </c>
      <c r="AR1349" s="452">
        <v>1230</v>
      </c>
      <c r="AS1349" s="324">
        <v>100</v>
      </c>
      <c r="AT1349" s="432">
        <v>1.2</v>
      </c>
      <c r="AU1349" s="432" t="s">
        <v>15303</v>
      </c>
      <c r="AV1349" s="432">
        <v>1.2</v>
      </c>
      <c r="AW1349" s="490" t="s">
        <v>15304</v>
      </c>
      <c r="AX1349" s="453" t="s">
        <v>210</v>
      </c>
      <c r="AY1349" s="429" t="s">
        <v>210</v>
      </c>
      <c r="AZ1349" s="405" t="s">
        <v>4083</v>
      </c>
      <c r="BA1349" s="324" t="s">
        <v>210</v>
      </c>
      <c r="BB1349" s="324" t="s">
        <v>210</v>
      </c>
      <c r="BC1349" s="324" t="s">
        <v>15305</v>
      </c>
      <c r="BD1349" s="324" t="s">
        <v>15303</v>
      </c>
      <c r="BE1349" s="324" t="s">
        <v>15306</v>
      </c>
      <c r="BF1349" s="324" t="s">
        <v>15307</v>
      </c>
      <c r="BG1349" s="324" t="s">
        <v>15308</v>
      </c>
      <c r="BH1349" s="426" t="s">
        <v>15309</v>
      </c>
      <c r="BI1349" s="453">
        <v>3</v>
      </c>
      <c r="BJ1349" s="427">
        <v>3.3</v>
      </c>
      <c r="BK1349" s="428" t="s">
        <v>15310</v>
      </c>
      <c r="BL1349" s="429">
        <f>2.7+4</f>
        <v>6.7</v>
      </c>
      <c r="BM1349" s="430" t="s">
        <v>210</v>
      </c>
      <c r="BN1349" s="410"/>
      <c r="BO1349" s="502"/>
      <c r="BP1349" s="492"/>
      <c r="BQ1349" s="456" t="s">
        <v>5862</v>
      </c>
      <c r="BR1349" s="392" t="s">
        <v>210</v>
      </c>
      <c r="BS1349" s="342" t="s">
        <v>622</v>
      </c>
      <c r="BT1349" s="342" t="s">
        <v>210</v>
      </c>
      <c r="BU1349" s="342" t="s">
        <v>210</v>
      </c>
      <c r="BV1349" s="342" t="s">
        <v>210</v>
      </c>
      <c r="BW1349" s="341" t="s">
        <v>210</v>
      </c>
      <c r="BX1349" s="904" t="s">
        <v>15130</v>
      </c>
      <c r="BY1349" s="457"/>
      <c r="BZ1349" s="363"/>
      <c r="CA1349" s="363"/>
      <c r="CB1349" s="363"/>
      <c r="CC1349" s="363"/>
    </row>
    <row r="1350" spans="2:82" ht="22.5" customHeight="1">
      <c r="B1350" s="643">
        <v>190097</v>
      </c>
      <c r="C1350" s="443" t="s">
        <v>15217</v>
      </c>
      <c r="D1350" s="467" t="s">
        <v>15343</v>
      </c>
      <c r="E1350" s="404" t="s">
        <v>5362</v>
      </c>
      <c r="F1350" s="405" t="s">
        <v>15317</v>
      </c>
      <c r="G1350" s="324" t="s">
        <v>15318</v>
      </c>
      <c r="H1350" s="324" t="s">
        <v>15319</v>
      </c>
      <c r="I1350" s="326" t="s">
        <v>383</v>
      </c>
      <c r="J1350" s="326" t="s">
        <v>399</v>
      </c>
      <c r="K1350" s="324" t="s">
        <v>15385</v>
      </c>
      <c r="L1350" s="342">
        <v>11.9</v>
      </c>
      <c r="M1350" s="324" t="s">
        <v>7457</v>
      </c>
      <c r="N1350" s="444" t="s">
        <v>438</v>
      </c>
      <c r="O1350" s="324">
        <v>35</v>
      </c>
      <c r="P1350" s="445">
        <v>700</v>
      </c>
      <c r="Q1350" s="446">
        <f>P1350</f>
        <v>700</v>
      </c>
      <c r="R1350" s="420" t="s">
        <v>9345</v>
      </c>
      <c r="S1350" s="394" t="s">
        <v>15565</v>
      </c>
      <c r="T1350" s="394" t="s">
        <v>15566</v>
      </c>
      <c r="U1350" s="394" t="s">
        <v>15567</v>
      </c>
      <c r="V1350" s="394" t="s">
        <v>15568</v>
      </c>
      <c r="W1350" s="332" t="s">
        <v>644</v>
      </c>
      <c r="X1350" s="394" t="s">
        <v>15311</v>
      </c>
      <c r="Y1350" s="394" t="s">
        <v>15312</v>
      </c>
      <c r="Z1350" s="394" t="s">
        <v>16531</v>
      </c>
      <c r="AA1350" s="394" t="s">
        <v>15313</v>
      </c>
      <c r="AB1350" s="416"/>
      <c r="AC1350" s="416"/>
      <c r="AD1350" s="447" t="s">
        <v>15569</v>
      </c>
      <c r="AE1350" s="499" t="s">
        <v>7446</v>
      </c>
      <c r="AF1350" s="475">
        <v>43900</v>
      </c>
      <c r="AG1350" s="748">
        <v>43941</v>
      </c>
      <c r="AH1350" s="417" t="s">
        <v>210</v>
      </c>
      <c r="AI1350" s="392" t="s">
        <v>210</v>
      </c>
      <c r="AJ1350" s="392" t="s">
        <v>210</v>
      </c>
      <c r="AK1350" s="340" t="s">
        <v>210</v>
      </c>
      <c r="AL1350" s="341" t="s">
        <v>210</v>
      </c>
      <c r="AM1350" s="341" t="s">
        <v>210</v>
      </c>
      <c r="AN1350" s="418" t="s">
        <v>210</v>
      </c>
      <c r="AO1350" s="418" t="s">
        <v>210</v>
      </c>
      <c r="AP1350" s="1063" t="s">
        <v>622</v>
      </c>
      <c r="AQ1350" s="429" t="s">
        <v>4547</v>
      </c>
      <c r="AR1350" s="452">
        <v>976</v>
      </c>
      <c r="AS1350" s="324">
        <v>80</v>
      </c>
      <c r="AT1350" s="432">
        <v>1</v>
      </c>
      <c r="AU1350" s="432" t="s">
        <v>15386</v>
      </c>
      <c r="AV1350" s="432">
        <v>1</v>
      </c>
      <c r="AW1350" s="490" t="s">
        <v>15386</v>
      </c>
      <c r="AX1350" s="453" t="s">
        <v>210</v>
      </c>
      <c r="AY1350" s="429" t="s">
        <v>210</v>
      </c>
      <c r="AZ1350" s="405" t="s">
        <v>4083</v>
      </c>
      <c r="BA1350" s="324" t="s">
        <v>210</v>
      </c>
      <c r="BB1350" s="324" t="s">
        <v>210</v>
      </c>
      <c r="BC1350" s="324" t="s">
        <v>210</v>
      </c>
      <c r="BD1350" s="324" t="s">
        <v>210</v>
      </c>
      <c r="BE1350" s="324" t="s">
        <v>210</v>
      </c>
      <c r="BF1350" s="324" t="s">
        <v>210</v>
      </c>
      <c r="BG1350" s="324" t="s">
        <v>210</v>
      </c>
      <c r="BH1350" s="324" t="s">
        <v>210</v>
      </c>
      <c r="BI1350" s="453">
        <v>6.6</v>
      </c>
      <c r="BJ1350" s="427" t="s">
        <v>15387</v>
      </c>
      <c r="BK1350" s="428" t="s">
        <v>15387</v>
      </c>
      <c r="BL1350" s="429" t="s">
        <v>15388</v>
      </c>
      <c r="BM1350" s="430" t="s">
        <v>210</v>
      </c>
      <c r="BN1350" s="1072" t="s">
        <v>210</v>
      </c>
      <c r="BO1350" s="431" t="s">
        <v>210</v>
      </c>
      <c r="BP1350" s="506" t="s">
        <v>210</v>
      </c>
      <c r="BQ1350" s="456" t="s">
        <v>15389</v>
      </c>
      <c r="BR1350" s="392" t="s">
        <v>210</v>
      </c>
      <c r="BS1350" s="342" t="s">
        <v>622</v>
      </c>
      <c r="BT1350" s="342" t="s">
        <v>210</v>
      </c>
      <c r="BU1350" s="342" t="s">
        <v>210</v>
      </c>
      <c r="BV1350" s="342" t="s">
        <v>210</v>
      </c>
      <c r="BW1350" s="341" t="s">
        <v>210</v>
      </c>
      <c r="BX1350" s="341" t="s">
        <v>210</v>
      </c>
      <c r="BY1350" s="457" t="s">
        <v>15390</v>
      </c>
      <c r="BZ1350" s="363"/>
      <c r="CA1350" s="363"/>
      <c r="CB1350" s="363"/>
      <c r="CC1350" s="363"/>
    </row>
    <row r="1351" spans="2:82" ht="22.5" customHeight="1">
      <c r="B1351" s="493">
        <v>190098</v>
      </c>
      <c r="C1351" s="443" t="s">
        <v>15218</v>
      </c>
      <c r="D1351" s="467" t="s">
        <v>8462</v>
      </c>
      <c r="E1351" s="404" t="s">
        <v>5362</v>
      </c>
      <c r="F1351" s="405" t="s">
        <v>7337</v>
      </c>
      <c r="G1351" s="324" t="s">
        <v>15210</v>
      </c>
      <c r="H1351" s="324" t="s">
        <v>15274</v>
      </c>
      <c r="I1351" s="324" t="s">
        <v>15211</v>
      </c>
      <c r="J1351" s="324" t="s">
        <v>15212</v>
      </c>
      <c r="K1351" s="324" t="s">
        <v>15267</v>
      </c>
      <c r="L1351" s="342" t="s">
        <v>210</v>
      </c>
      <c r="M1351" s="324" t="s">
        <v>6518</v>
      </c>
      <c r="N1351" s="444" t="s">
        <v>15268</v>
      </c>
      <c r="O1351" s="324">
        <v>30</v>
      </c>
      <c r="P1351" s="458">
        <v>524.88</v>
      </c>
      <c r="Q1351" s="459">
        <v>233.12</v>
      </c>
      <c r="R1351" s="420" t="s">
        <v>15269</v>
      </c>
      <c r="S1351" s="513"/>
      <c r="T1351" s="394" t="s">
        <v>15272</v>
      </c>
      <c r="U1351" s="394" t="s">
        <v>15273</v>
      </c>
      <c r="V1351" s="513"/>
      <c r="W1351" s="460" t="s">
        <v>15198</v>
      </c>
      <c r="X1351" s="394" t="s">
        <v>15201</v>
      </c>
      <c r="Y1351" s="394" t="s">
        <v>15202</v>
      </c>
      <c r="Z1351" s="394" t="s">
        <v>15203</v>
      </c>
      <c r="AA1351" s="394" t="s">
        <v>15204</v>
      </c>
      <c r="AB1351" s="416"/>
      <c r="AC1351" s="416"/>
      <c r="AD1351" s="461"/>
      <c r="AE1351" s="335" t="s">
        <v>210</v>
      </c>
      <c r="AF1351" s="475">
        <v>43900</v>
      </c>
      <c r="AG1351" s="748">
        <v>43930</v>
      </c>
      <c r="AH1351" s="417" t="s">
        <v>210</v>
      </c>
      <c r="AI1351" s="392" t="s">
        <v>210</v>
      </c>
      <c r="AJ1351" s="392" t="s">
        <v>210</v>
      </c>
      <c r="AK1351" s="340" t="s">
        <v>210</v>
      </c>
      <c r="AL1351" s="341" t="s">
        <v>210</v>
      </c>
      <c r="AM1351" s="341" t="s">
        <v>210</v>
      </c>
      <c r="AN1351" s="341" t="s">
        <v>210</v>
      </c>
      <c r="AO1351" s="341" t="s">
        <v>210</v>
      </c>
      <c r="AP1351" s="392" t="s">
        <v>210</v>
      </c>
      <c r="AQ1351" s="433" t="s">
        <v>15275</v>
      </c>
      <c r="AR1351" s="452">
        <f>236+57</f>
        <v>293</v>
      </c>
      <c r="AS1351" s="324">
        <v>100</v>
      </c>
      <c r="AT1351" s="432">
        <v>1.4</v>
      </c>
      <c r="AU1351" s="432" t="s">
        <v>15276</v>
      </c>
      <c r="AV1351" s="432">
        <v>1</v>
      </c>
      <c r="AW1351" s="432" t="s">
        <v>15276</v>
      </c>
      <c r="AX1351" s="453" t="s">
        <v>210</v>
      </c>
      <c r="AY1351" s="429" t="s">
        <v>210</v>
      </c>
      <c r="AZ1351" s="405" t="s">
        <v>4083</v>
      </c>
      <c r="BA1351" s="324" t="s">
        <v>210</v>
      </c>
      <c r="BB1351" s="324" t="s">
        <v>210</v>
      </c>
      <c r="BC1351" s="324" t="s">
        <v>210</v>
      </c>
      <c r="BD1351" s="324" t="s">
        <v>210</v>
      </c>
      <c r="BE1351" s="324" t="s">
        <v>15277</v>
      </c>
      <c r="BF1351" s="324" t="s">
        <v>15278</v>
      </c>
      <c r="BG1351" s="324" t="s">
        <v>15279</v>
      </c>
      <c r="BH1351" s="426" t="s">
        <v>15280</v>
      </c>
      <c r="BI1351" s="410"/>
      <c r="BJ1351" s="427">
        <v>1.8</v>
      </c>
      <c r="BK1351" s="428" t="s">
        <v>15281</v>
      </c>
      <c r="BL1351" s="429">
        <v>1.8</v>
      </c>
      <c r="BM1351" s="430" t="s">
        <v>210</v>
      </c>
      <c r="BN1351" s="1072" t="s">
        <v>210</v>
      </c>
      <c r="BO1351" s="431" t="s">
        <v>210</v>
      </c>
      <c r="BP1351" s="455" t="s">
        <v>622</v>
      </c>
      <c r="BQ1351" s="456" t="s">
        <v>1059</v>
      </c>
      <c r="BR1351" s="342" t="s">
        <v>622</v>
      </c>
      <c r="BS1351" s="342" t="s">
        <v>622</v>
      </c>
      <c r="BT1351" s="342" t="s">
        <v>210</v>
      </c>
      <c r="BU1351" s="342" t="s">
        <v>210</v>
      </c>
      <c r="BV1351" s="342" t="s">
        <v>210</v>
      </c>
      <c r="BW1351" s="341" t="s">
        <v>210</v>
      </c>
      <c r="BX1351" s="341" t="s">
        <v>210</v>
      </c>
      <c r="BY1351" s="457"/>
      <c r="BZ1351" s="363"/>
      <c r="CA1351" s="363"/>
      <c r="CB1351" s="363"/>
      <c r="CC1351" s="363"/>
    </row>
    <row r="1352" spans="2:82" ht="22.5" customHeight="1">
      <c r="B1352" s="643">
        <v>190099</v>
      </c>
      <c r="C1352" s="443" t="s">
        <v>15445</v>
      </c>
      <c r="D1352" s="467" t="s">
        <v>15770</v>
      </c>
      <c r="E1352" s="404" t="s">
        <v>5362</v>
      </c>
      <c r="F1352" s="405" t="s">
        <v>15252</v>
      </c>
      <c r="G1352" s="324" t="s">
        <v>15253</v>
      </c>
      <c r="H1352" s="324" t="s">
        <v>15254</v>
      </c>
      <c r="I1352" s="326" t="s">
        <v>383</v>
      </c>
      <c r="J1352" s="324" t="s">
        <v>3939</v>
      </c>
      <c r="K1352" s="324" t="s">
        <v>5225</v>
      </c>
      <c r="L1352" s="342" t="s">
        <v>210</v>
      </c>
      <c r="M1352" s="324" t="s">
        <v>6625</v>
      </c>
      <c r="N1352" s="444" t="s">
        <v>438</v>
      </c>
      <c r="O1352" s="324">
        <v>21</v>
      </c>
      <c r="P1352" s="458">
        <v>2846.62</v>
      </c>
      <c r="Q1352" s="459">
        <v>1476.55</v>
      </c>
      <c r="R1352" s="460" t="s">
        <v>4471</v>
      </c>
      <c r="S1352" s="394" t="s">
        <v>15255</v>
      </c>
      <c r="T1352" s="394" t="s">
        <v>12326</v>
      </c>
      <c r="U1352" s="394" t="s">
        <v>15256</v>
      </c>
      <c r="V1352" s="394" t="s">
        <v>15257</v>
      </c>
      <c r="W1352" s="460" t="s">
        <v>15334</v>
      </c>
      <c r="X1352" s="394" t="s">
        <v>15332</v>
      </c>
      <c r="Y1352" s="513"/>
      <c r="Z1352" s="513"/>
      <c r="AA1352" s="394" t="s">
        <v>15333</v>
      </c>
      <c r="AB1352" s="416"/>
      <c r="AC1352" s="416"/>
      <c r="AD1352" s="447" t="s">
        <v>15670</v>
      </c>
      <c r="AE1352" s="499" t="s">
        <v>15671</v>
      </c>
      <c r="AF1352" s="475">
        <v>43913</v>
      </c>
      <c r="AG1352" s="748">
        <v>43991</v>
      </c>
      <c r="AH1352" s="417" t="s">
        <v>210</v>
      </c>
      <c r="AI1352" s="392" t="s">
        <v>210</v>
      </c>
      <c r="AJ1352" s="392" t="s">
        <v>210</v>
      </c>
      <c r="AK1352" s="340" t="s">
        <v>210</v>
      </c>
      <c r="AL1352" s="341" t="s">
        <v>210</v>
      </c>
      <c r="AM1352" s="341" t="s">
        <v>210</v>
      </c>
      <c r="AN1352" s="418" t="s">
        <v>210</v>
      </c>
      <c r="AO1352" s="418" t="s">
        <v>210</v>
      </c>
      <c r="AP1352" s="1063" t="s">
        <v>622</v>
      </c>
      <c r="AQ1352" s="429" t="s">
        <v>4547</v>
      </c>
      <c r="AR1352" s="452">
        <f>1116+724</f>
        <v>1840</v>
      </c>
      <c r="AS1352" s="324">
        <v>100</v>
      </c>
      <c r="AT1352" s="432">
        <v>1</v>
      </c>
      <c r="AU1352" s="432" t="s">
        <v>15405</v>
      </c>
      <c r="AV1352" s="432">
        <v>1.5</v>
      </c>
      <c r="AW1352" s="490" t="s">
        <v>15406</v>
      </c>
      <c r="AX1352" s="453" t="s">
        <v>210</v>
      </c>
      <c r="AY1352" s="429" t="s">
        <v>15223</v>
      </c>
      <c r="AZ1352" s="405" t="s">
        <v>622</v>
      </c>
      <c r="BA1352" s="324" t="s">
        <v>15407</v>
      </c>
      <c r="BB1352" s="324" t="s">
        <v>15408</v>
      </c>
      <c r="BC1352" s="324" t="s">
        <v>15409</v>
      </c>
      <c r="BD1352" s="324" t="s">
        <v>15408</v>
      </c>
      <c r="BE1352" s="324" t="s">
        <v>15410</v>
      </c>
      <c r="BF1352" s="324" t="s">
        <v>15408</v>
      </c>
      <c r="BG1352" s="324" t="s">
        <v>15411</v>
      </c>
      <c r="BH1352" s="426" t="s">
        <v>15412</v>
      </c>
      <c r="BI1352" s="453">
        <v>1.25</v>
      </c>
      <c r="BJ1352" s="427">
        <v>1.08</v>
      </c>
      <c r="BK1352" s="428" t="s">
        <v>15413</v>
      </c>
      <c r="BL1352" s="429">
        <v>1.95</v>
      </c>
      <c r="BM1352" s="430" t="s">
        <v>622</v>
      </c>
      <c r="BN1352" s="1072" t="s">
        <v>210</v>
      </c>
      <c r="BO1352" s="431" t="s">
        <v>210</v>
      </c>
      <c r="BP1352" s="455" t="s">
        <v>622</v>
      </c>
      <c r="BQ1352" s="456" t="s">
        <v>15414</v>
      </c>
      <c r="BR1352" s="342" t="s">
        <v>210</v>
      </c>
      <c r="BS1352" s="342" t="s">
        <v>210</v>
      </c>
      <c r="BT1352" s="342" t="s">
        <v>210</v>
      </c>
      <c r="BU1352" s="342" t="s">
        <v>210</v>
      </c>
      <c r="BV1352" s="342" t="s">
        <v>210</v>
      </c>
      <c r="BW1352" s="341" t="s">
        <v>210</v>
      </c>
      <c r="BX1352" s="341" t="s">
        <v>210</v>
      </c>
      <c r="BY1352" s="457" t="s">
        <v>15415</v>
      </c>
      <c r="BZ1352" s="363"/>
      <c r="CA1352" s="363"/>
      <c r="CB1352" s="363"/>
      <c r="CC1352" s="363"/>
    </row>
    <row r="1353" spans="2:82" ht="22.5" customHeight="1">
      <c r="B1353" s="493">
        <v>190100</v>
      </c>
      <c r="C1353" s="443" t="s">
        <v>15469</v>
      </c>
      <c r="D1353" s="467" t="s">
        <v>15430</v>
      </c>
      <c r="E1353" s="404" t="s">
        <v>5363</v>
      </c>
      <c r="F1353" s="321" t="s">
        <v>109</v>
      </c>
      <c r="G1353" s="326" t="s">
        <v>15470</v>
      </c>
      <c r="H1353" s="326" t="s">
        <v>15471</v>
      </c>
      <c r="I1353" s="326" t="s">
        <v>11</v>
      </c>
      <c r="J1353" s="326" t="s">
        <v>15472</v>
      </c>
      <c r="K1353" s="324" t="s">
        <v>917</v>
      </c>
      <c r="L1353" s="342" t="s">
        <v>15473</v>
      </c>
      <c r="M1353" s="324" t="s">
        <v>7457</v>
      </c>
      <c r="N1353" s="444" t="s">
        <v>15474</v>
      </c>
      <c r="O1353" s="324">
        <v>34</v>
      </c>
      <c r="P1353" s="445">
        <f>Q1353</f>
        <v>1000</v>
      </c>
      <c r="Q1353" s="446">
        <f>730+270</f>
        <v>1000</v>
      </c>
      <c r="R1353" s="329" t="s">
        <v>15475</v>
      </c>
      <c r="S1353" s="331" t="s">
        <v>15476</v>
      </c>
      <c r="T1353" s="331" t="s">
        <v>15477</v>
      </c>
      <c r="U1353" s="330"/>
      <c r="V1353" s="331" t="s">
        <v>15478</v>
      </c>
      <c r="W1353" s="332" t="s">
        <v>15479</v>
      </c>
      <c r="X1353" s="331" t="s">
        <v>15480</v>
      </c>
      <c r="Y1353" s="330"/>
      <c r="Z1353" s="330"/>
      <c r="AA1353" s="331" t="s">
        <v>15481</v>
      </c>
      <c r="AB1353" s="416"/>
      <c r="AC1353" s="416"/>
      <c r="AD1353" s="447" t="s">
        <v>16077</v>
      </c>
      <c r="AE1353" s="335" t="s">
        <v>15482</v>
      </c>
      <c r="AF1353" s="475">
        <v>43915</v>
      </c>
      <c r="AG1353" s="748">
        <v>43980</v>
      </c>
      <c r="AH1353" s="417" t="s">
        <v>15483</v>
      </c>
      <c r="AI1353" s="392" t="s">
        <v>15473</v>
      </c>
      <c r="AJ1353" s="392" t="s">
        <v>15483</v>
      </c>
      <c r="AK1353" s="340" t="s">
        <v>15484</v>
      </c>
      <c r="AL1353" s="341" t="s">
        <v>15484</v>
      </c>
      <c r="AM1353" s="341" t="s">
        <v>15473</v>
      </c>
      <c r="AN1353" s="418" t="s">
        <v>15473</v>
      </c>
      <c r="AO1353" s="418" t="s">
        <v>15473</v>
      </c>
      <c r="AP1353" s="1063" t="s">
        <v>15485</v>
      </c>
      <c r="AQ1353" s="429" t="s">
        <v>4547</v>
      </c>
      <c r="AR1353" s="452">
        <f>216.6+774.2</f>
        <v>990.80000000000007</v>
      </c>
      <c r="AS1353" s="324">
        <v>100</v>
      </c>
      <c r="AT1353" s="432">
        <v>0.8</v>
      </c>
      <c r="AU1353" s="432" t="s">
        <v>15486</v>
      </c>
      <c r="AV1353" s="432">
        <v>1.4</v>
      </c>
      <c r="AW1353" s="490" t="s">
        <v>15487</v>
      </c>
      <c r="AX1353" s="453" t="s">
        <v>15473</v>
      </c>
      <c r="AY1353" s="429" t="s">
        <v>15488</v>
      </c>
      <c r="AZ1353" s="405" t="s">
        <v>4083</v>
      </c>
      <c r="BA1353" s="324" t="s">
        <v>15473</v>
      </c>
      <c r="BB1353" s="324" t="s">
        <v>15484</v>
      </c>
      <c r="BC1353" s="324" t="s">
        <v>15489</v>
      </c>
      <c r="BD1353" s="324" t="s">
        <v>15490</v>
      </c>
      <c r="BE1353" s="324" t="s">
        <v>15489</v>
      </c>
      <c r="BF1353" s="324" t="s">
        <v>15491</v>
      </c>
      <c r="BG1353" s="324" t="s">
        <v>15492</v>
      </c>
      <c r="BH1353" s="426" t="s">
        <v>15493</v>
      </c>
      <c r="BI1353" s="410"/>
      <c r="BJ1353" s="427">
        <v>2.31</v>
      </c>
      <c r="BK1353" s="428" t="s">
        <v>15473</v>
      </c>
      <c r="BL1353" s="429" t="s">
        <v>15484</v>
      </c>
      <c r="BM1353" s="430" t="s">
        <v>15473</v>
      </c>
      <c r="BN1353" s="1072" t="s">
        <v>15484</v>
      </c>
      <c r="BO1353" s="380"/>
      <c r="BP1353" s="492"/>
      <c r="BQ1353" s="456" t="s">
        <v>10959</v>
      </c>
      <c r="BR1353" s="342" t="s">
        <v>15494</v>
      </c>
      <c r="BS1353" s="342" t="s">
        <v>15484</v>
      </c>
      <c r="BT1353" s="342" t="s">
        <v>15484</v>
      </c>
      <c r="BU1353" s="342" t="s">
        <v>15484</v>
      </c>
      <c r="BV1353" s="342" t="s">
        <v>15484</v>
      </c>
      <c r="BW1353" s="341" t="s">
        <v>15484</v>
      </c>
      <c r="BX1353" s="341" t="s">
        <v>15484</v>
      </c>
      <c r="BY1353" s="457" t="s">
        <v>15495</v>
      </c>
      <c r="BZ1353" s="363"/>
      <c r="CA1353" s="363"/>
      <c r="CB1353" s="363"/>
      <c r="CC1353" s="363"/>
    </row>
    <row r="1354" spans="2:82" s="465" customFormat="1" ht="22.5" customHeight="1">
      <c r="B1354" s="682">
        <v>190101</v>
      </c>
      <c r="C1354" s="781" t="s">
        <v>15345</v>
      </c>
      <c r="D1354" s="829" t="s">
        <v>15431</v>
      </c>
      <c r="E1354" s="752" t="s">
        <v>5362</v>
      </c>
      <c r="F1354" s="753" t="s">
        <v>1043</v>
      </c>
      <c r="G1354" s="754" t="s">
        <v>10436</v>
      </c>
      <c r="H1354" s="754" t="s">
        <v>10437</v>
      </c>
      <c r="I1354" s="754" t="s">
        <v>1066</v>
      </c>
      <c r="J1354" s="754" t="s">
        <v>7171</v>
      </c>
      <c r="K1354" s="662" t="s">
        <v>806</v>
      </c>
      <c r="L1354" s="688" t="s">
        <v>210</v>
      </c>
      <c r="M1354" s="754" t="s">
        <v>6518</v>
      </c>
      <c r="N1354" s="755" t="s">
        <v>468</v>
      </c>
      <c r="O1354" s="754">
        <v>140</v>
      </c>
      <c r="P1354" s="782">
        <f>Q1354*2</f>
        <v>700</v>
      </c>
      <c r="Q1354" s="783">
        <v>350</v>
      </c>
      <c r="R1354" s="756" t="s">
        <v>9249</v>
      </c>
      <c r="S1354" s="708" t="s">
        <v>11218</v>
      </c>
      <c r="T1354" s="708" t="s">
        <v>11219</v>
      </c>
      <c r="U1354" s="708" t="s">
        <v>16305</v>
      </c>
      <c r="V1354" s="708" t="s">
        <v>11220</v>
      </c>
      <c r="W1354" s="757"/>
      <c r="X1354" s="708"/>
      <c r="Y1354" s="708"/>
      <c r="Z1354" s="708"/>
      <c r="AA1354" s="708"/>
      <c r="AB1354" s="758"/>
      <c r="AC1354" s="758"/>
      <c r="AD1354" s="759" t="s">
        <v>15859</v>
      </c>
      <c r="AE1354" s="672" t="s">
        <v>210</v>
      </c>
      <c r="AF1354" s="761">
        <v>43914</v>
      </c>
      <c r="AG1354" s="674">
        <v>43978</v>
      </c>
      <c r="AH1354" s="675" t="s">
        <v>210</v>
      </c>
      <c r="AI1354" s="676" t="s">
        <v>210</v>
      </c>
      <c r="AJ1354" s="676" t="s">
        <v>210</v>
      </c>
      <c r="AK1354" s="677" t="s">
        <v>210</v>
      </c>
      <c r="AL1354" s="678" t="s">
        <v>210</v>
      </c>
      <c r="AM1354" s="678" t="s">
        <v>210</v>
      </c>
      <c r="AN1354" s="678" t="s">
        <v>210</v>
      </c>
      <c r="AO1354" s="678" t="s">
        <v>210</v>
      </c>
      <c r="AP1354" s="676" t="s">
        <v>210</v>
      </c>
      <c r="AQ1354" s="762" t="s">
        <v>15460</v>
      </c>
      <c r="AR1354" s="763">
        <v>467</v>
      </c>
      <c r="AS1354" s="754">
        <v>150</v>
      </c>
      <c r="AT1354" s="785">
        <v>0.8</v>
      </c>
      <c r="AU1354" s="785" t="s">
        <v>15461</v>
      </c>
      <c r="AV1354" s="785">
        <v>0.8</v>
      </c>
      <c r="AW1354" s="785" t="s">
        <v>15461</v>
      </c>
      <c r="AX1354" s="765" t="s">
        <v>210</v>
      </c>
      <c r="AY1354" s="766" t="s">
        <v>210</v>
      </c>
      <c r="AZ1354" s="753" t="s">
        <v>4083</v>
      </c>
      <c r="BA1354" s="754" t="s">
        <v>210</v>
      </c>
      <c r="BB1354" s="754" t="s">
        <v>210</v>
      </c>
      <c r="BC1354" s="754" t="s">
        <v>210</v>
      </c>
      <c r="BD1354" s="754" t="s">
        <v>210</v>
      </c>
      <c r="BE1354" s="754" t="s">
        <v>3459</v>
      </c>
      <c r="BF1354" s="754" t="s">
        <v>10823</v>
      </c>
      <c r="BG1354" s="754" t="s">
        <v>3555</v>
      </c>
      <c r="BH1354" s="767" t="s">
        <v>5234</v>
      </c>
      <c r="BI1354" s="765">
        <v>0.8</v>
      </c>
      <c r="BJ1354" s="768" t="s">
        <v>210</v>
      </c>
      <c r="BK1354" s="769" t="s">
        <v>10825</v>
      </c>
      <c r="BL1354" s="766">
        <v>1.55</v>
      </c>
      <c r="BM1354" s="770" t="s">
        <v>210</v>
      </c>
      <c r="BN1354" s="765" t="s">
        <v>622</v>
      </c>
      <c r="BO1354" s="771">
        <v>2.4700000000000002</v>
      </c>
      <c r="BP1354" s="772" t="s">
        <v>210</v>
      </c>
      <c r="BQ1354" s="773" t="s">
        <v>6407</v>
      </c>
      <c r="BR1354" s="676" t="s">
        <v>210</v>
      </c>
      <c r="BS1354" s="676" t="s">
        <v>210</v>
      </c>
      <c r="BT1354" s="676" t="s">
        <v>210</v>
      </c>
      <c r="BU1354" s="676" t="s">
        <v>210</v>
      </c>
      <c r="BV1354" s="676" t="s">
        <v>210</v>
      </c>
      <c r="BW1354" s="676" t="s">
        <v>210</v>
      </c>
      <c r="BX1354" s="676" t="s">
        <v>210</v>
      </c>
      <c r="BY1354" s="774" t="s">
        <v>16671</v>
      </c>
      <c r="BZ1354" s="483"/>
      <c r="CA1354" s="483"/>
      <c r="CB1354" s="483"/>
      <c r="CC1354" s="483"/>
      <c r="CD1354" s="484"/>
    </row>
    <row r="1355" spans="2:82" ht="22.5" customHeight="1">
      <c r="B1355" s="493">
        <v>190102</v>
      </c>
      <c r="C1355" s="443" t="s">
        <v>15416</v>
      </c>
      <c r="D1355" s="467" t="s">
        <v>15432</v>
      </c>
      <c r="E1355" s="404" t="s">
        <v>15363</v>
      </c>
      <c r="F1355" s="405" t="s">
        <v>709</v>
      </c>
      <c r="G1355" s="324" t="s">
        <v>15394</v>
      </c>
      <c r="H1355" s="324" t="s">
        <v>15500</v>
      </c>
      <c r="I1355" s="326" t="s">
        <v>11</v>
      </c>
      <c r="J1355" s="326" t="s">
        <v>399</v>
      </c>
      <c r="K1355" s="324" t="s">
        <v>363</v>
      </c>
      <c r="L1355" s="342">
        <v>40</v>
      </c>
      <c r="M1355" s="324" t="s">
        <v>7457</v>
      </c>
      <c r="N1355" s="444" t="s">
        <v>15501</v>
      </c>
      <c r="O1355" s="324">
        <v>30</v>
      </c>
      <c r="P1355" s="458">
        <v>1050</v>
      </c>
      <c r="Q1355" s="459">
        <v>1134</v>
      </c>
      <c r="R1355" s="460" t="s">
        <v>5915</v>
      </c>
      <c r="S1355" s="513"/>
      <c r="T1355" s="513"/>
      <c r="U1355" s="513"/>
      <c r="V1355" s="513"/>
      <c r="W1355" s="460" t="s">
        <v>5915</v>
      </c>
      <c r="X1355" s="394" t="s">
        <v>15395</v>
      </c>
      <c r="Y1355" s="394" t="s">
        <v>12491</v>
      </c>
      <c r="Z1355" s="394" t="s">
        <v>12490</v>
      </c>
      <c r="AA1355" s="394" t="s">
        <v>15396</v>
      </c>
      <c r="AB1355" s="416"/>
      <c r="AC1355" s="416"/>
      <c r="AD1355" s="334" t="s">
        <v>2327</v>
      </c>
      <c r="AE1355" s="499" t="s">
        <v>15777</v>
      </c>
      <c r="AF1355" s="475">
        <v>43920</v>
      </c>
      <c r="AG1355" s="748">
        <v>43973</v>
      </c>
      <c r="AH1355" s="417" t="s">
        <v>210</v>
      </c>
      <c r="AI1355" s="392" t="s">
        <v>210</v>
      </c>
      <c r="AJ1355" s="392" t="s">
        <v>210</v>
      </c>
      <c r="AK1355" s="340" t="s">
        <v>210</v>
      </c>
      <c r="AL1355" s="341" t="s">
        <v>210</v>
      </c>
      <c r="AM1355" s="341" t="s">
        <v>210</v>
      </c>
      <c r="AN1355" s="496" t="s">
        <v>15984</v>
      </c>
      <c r="AO1355" s="341" t="s">
        <v>210</v>
      </c>
      <c r="AP1355" s="1063" t="s">
        <v>622</v>
      </c>
      <c r="AQ1355" s="429" t="s">
        <v>4547</v>
      </c>
      <c r="AR1355" s="452">
        <v>1469.4</v>
      </c>
      <c r="AS1355" s="324">
        <v>120</v>
      </c>
      <c r="AT1355" s="432">
        <v>1.2</v>
      </c>
      <c r="AU1355" s="432" t="s">
        <v>15723</v>
      </c>
      <c r="AV1355" s="432">
        <v>1.6</v>
      </c>
      <c r="AW1355" s="432" t="s">
        <v>6579</v>
      </c>
      <c r="AX1355" s="453" t="s">
        <v>210</v>
      </c>
      <c r="AY1355" s="429" t="s">
        <v>210</v>
      </c>
      <c r="AZ1355" s="405" t="s">
        <v>622</v>
      </c>
      <c r="BA1355" s="324" t="s">
        <v>15502</v>
      </c>
      <c r="BB1355" s="324" t="s">
        <v>15503</v>
      </c>
      <c r="BC1355" s="324" t="s">
        <v>15504</v>
      </c>
      <c r="BD1355" s="324" t="s">
        <v>15503</v>
      </c>
      <c r="BE1355" s="324" t="s">
        <v>15505</v>
      </c>
      <c r="BF1355" s="324" t="s">
        <v>15506</v>
      </c>
      <c r="BG1355" s="324" t="s">
        <v>15507</v>
      </c>
      <c r="BH1355" s="324" t="s">
        <v>15506</v>
      </c>
      <c r="BI1355" s="453">
        <v>1.6</v>
      </c>
      <c r="BJ1355" s="427">
        <v>1.34</v>
      </c>
      <c r="BK1355" s="428" t="s">
        <v>15509</v>
      </c>
      <c r="BL1355" s="429">
        <f>1.75+1.25+1.9+4.15+1.05+0.95</f>
        <v>11.05</v>
      </c>
      <c r="BM1355" s="430" t="s">
        <v>622</v>
      </c>
      <c r="BN1355" s="410"/>
      <c r="BO1355" s="502"/>
      <c r="BP1355" s="455" t="s">
        <v>622</v>
      </c>
      <c r="BQ1355" s="456" t="s">
        <v>5862</v>
      </c>
      <c r="BR1355" s="392" t="s">
        <v>210</v>
      </c>
      <c r="BS1355" s="342" t="s">
        <v>622</v>
      </c>
      <c r="BT1355" s="392" t="s">
        <v>210</v>
      </c>
      <c r="BU1355" s="392" t="s">
        <v>210</v>
      </c>
      <c r="BV1355" s="392" t="s">
        <v>210</v>
      </c>
      <c r="BW1355" s="392" t="s">
        <v>210</v>
      </c>
      <c r="BX1355" s="392" t="s">
        <v>210</v>
      </c>
      <c r="BY1355" s="457" t="s">
        <v>15508</v>
      </c>
      <c r="BZ1355" s="363"/>
      <c r="CA1355" s="363"/>
      <c r="CB1355" s="363"/>
      <c r="CC1355" s="363"/>
    </row>
    <row r="1356" spans="2:82" ht="22.5" customHeight="1">
      <c r="B1356" s="643">
        <v>190103</v>
      </c>
      <c r="C1356" s="443" t="s">
        <v>15515</v>
      </c>
      <c r="D1356" s="467" t="s">
        <v>13767</v>
      </c>
      <c r="E1356" s="404" t="s">
        <v>5362</v>
      </c>
      <c r="F1356" s="405" t="s">
        <v>15533</v>
      </c>
      <c r="G1356" s="324" t="s">
        <v>15534</v>
      </c>
      <c r="H1356" s="324" t="s">
        <v>15535</v>
      </c>
      <c r="I1356" s="326" t="s">
        <v>11</v>
      </c>
      <c r="J1356" s="326" t="s">
        <v>399</v>
      </c>
      <c r="K1356" s="324" t="s">
        <v>15600</v>
      </c>
      <c r="L1356" s="342">
        <v>17.5</v>
      </c>
      <c r="M1356" s="324" t="s">
        <v>7457</v>
      </c>
      <c r="N1356" s="444" t="s">
        <v>15536</v>
      </c>
      <c r="O1356" s="324">
        <v>50</v>
      </c>
      <c r="P1356" s="458">
        <f>Q1356</f>
        <v>1120</v>
      </c>
      <c r="Q1356" s="459">
        <v>1120</v>
      </c>
      <c r="R1356" s="329" t="s">
        <v>1090</v>
      </c>
      <c r="S1356" s="394" t="s">
        <v>15462</v>
      </c>
      <c r="T1356" s="394" t="s">
        <v>15463</v>
      </c>
      <c r="U1356" s="394" t="s">
        <v>15464</v>
      </c>
      <c r="V1356" s="394" t="s">
        <v>15465</v>
      </c>
      <c r="W1356" s="332" t="s">
        <v>3601</v>
      </c>
      <c r="X1356" s="332" t="s">
        <v>12614</v>
      </c>
      <c r="Y1356" s="332" t="s">
        <v>12617</v>
      </c>
      <c r="Z1356" s="332" t="s">
        <v>12615</v>
      </c>
      <c r="AA1356" s="394" t="s">
        <v>12616</v>
      </c>
      <c r="AB1356" s="416"/>
      <c r="AC1356" s="416"/>
      <c r="AD1356" s="461"/>
      <c r="AE1356" s="485"/>
      <c r="AF1356" s="475">
        <v>43927</v>
      </c>
      <c r="AG1356" s="389"/>
      <c r="AH1356" s="417" t="s">
        <v>210</v>
      </c>
      <c r="AI1356" s="392" t="s">
        <v>210</v>
      </c>
      <c r="AJ1356" s="392" t="s">
        <v>210</v>
      </c>
      <c r="AK1356" s="340" t="s">
        <v>210</v>
      </c>
      <c r="AL1356" s="341" t="s">
        <v>210</v>
      </c>
      <c r="AM1356" s="341" t="s">
        <v>210</v>
      </c>
      <c r="AN1356" s="341" t="s">
        <v>210</v>
      </c>
      <c r="AO1356" s="341" t="s">
        <v>210</v>
      </c>
      <c r="AP1356" s="1063" t="s">
        <v>622</v>
      </c>
      <c r="AQ1356" s="429" t="s">
        <v>4547</v>
      </c>
      <c r="AR1356" s="452">
        <v>2532</v>
      </c>
      <c r="AS1356" s="324">
        <v>80</v>
      </c>
      <c r="AT1356" s="432">
        <v>1</v>
      </c>
      <c r="AU1356" s="432" t="s">
        <v>15598</v>
      </c>
      <c r="AV1356" s="432">
        <v>1.5</v>
      </c>
      <c r="AW1356" s="490" t="s">
        <v>15599</v>
      </c>
      <c r="AX1356" s="453" t="s">
        <v>210</v>
      </c>
      <c r="AY1356" s="429" t="s">
        <v>210</v>
      </c>
      <c r="AZ1356" s="405" t="s">
        <v>4083</v>
      </c>
      <c r="BA1356" s="324" t="s">
        <v>210</v>
      </c>
      <c r="BB1356" s="324" t="s">
        <v>210</v>
      </c>
      <c r="BC1356" s="324" t="s">
        <v>15537</v>
      </c>
      <c r="BD1356" s="324" t="s">
        <v>15538</v>
      </c>
      <c r="BE1356" s="324" t="s">
        <v>15539</v>
      </c>
      <c r="BF1356" s="324" t="s">
        <v>15540</v>
      </c>
      <c r="BG1356" s="324" t="s">
        <v>15541</v>
      </c>
      <c r="BH1356" s="426" t="s">
        <v>15542</v>
      </c>
      <c r="BI1356" s="453">
        <v>1.5</v>
      </c>
      <c r="BJ1356" s="427">
        <v>1.45</v>
      </c>
      <c r="BK1356" s="428" t="s">
        <v>10645</v>
      </c>
      <c r="BL1356" s="429">
        <f>2.5+6.6</f>
        <v>9.1</v>
      </c>
      <c r="BM1356" s="430" t="s">
        <v>210</v>
      </c>
      <c r="BN1356" s="453" t="s">
        <v>622</v>
      </c>
      <c r="BO1356" s="464">
        <v>1.59</v>
      </c>
      <c r="BP1356" s="455" t="s">
        <v>622</v>
      </c>
      <c r="BQ1356" s="456" t="s">
        <v>15543</v>
      </c>
      <c r="BR1356" s="392" t="s">
        <v>210</v>
      </c>
      <c r="BS1356" s="342" t="s">
        <v>622</v>
      </c>
      <c r="BT1356" s="392" t="s">
        <v>210</v>
      </c>
      <c r="BU1356" s="392" t="s">
        <v>210</v>
      </c>
      <c r="BV1356" s="392" t="s">
        <v>210</v>
      </c>
      <c r="BW1356" s="392" t="s">
        <v>210</v>
      </c>
      <c r="BX1356" s="392" t="s">
        <v>210</v>
      </c>
      <c r="BY1356" s="457" t="s">
        <v>15544</v>
      </c>
      <c r="BZ1356" s="363"/>
      <c r="CA1356" s="363"/>
      <c r="CB1356" s="363"/>
      <c r="CC1356" s="363"/>
    </row>
    <row r="1357" spans="2:82" ht="22.5" customHeight="1">
      <c r="B1357" s="493">
        <v>190104</v>
      </c>
      <c r="C1357" s="443" t="s">
        <v>15927</v>
      </c>
      <c r="D1357" s="467" t="s">
        <v>15768</v>
      </c>
      <c r="E1357" s="404" t="s">
        <v>5362</v>
      </c>
      <c r="F1357" s="405" t="s">
        <v>15195</v>
      </c>
      <c r="G1357" s="324" t="s">
        <v>15511</v>
      </c>
      <c r="H1357" s="324" t="s">
        <v>15512</v>
      </c>
      <c r="I1357" s="326" t="s">
        <v>11</v>
      </c>
      <c r="J1357" s="326" t="s">
        <v>15645</v>
      </c>
      <c r="K1357" s="324" t="s">
        <v>917</v>
      </c>
      <c r="L1357" s="342" t="s">
        <v>15646</v>
      </c>
      <c r="M1357" s="324" t="s">
        <v>7457</v>
      </c>
      <c r="N1357" s="444" t="s">
        <v>15972</v>
      </c>
      <c r="O1357" s="324">
        <v>200</v>
      </c>
      <c r="P1357" s="445">
        <v>3600</v>
      </c>
      <c r="Q1357" s="446">
        <f>P1357</f>
        <v>3600</v>
      </c>
      <c r="R1357" s="420" t="s">
        <v>15647</v>
      </c>
      <c r="S1357" s="394" t="s">
        <v>15684</v>
      </c>
      <c r="T1357" s="394" t="s">
        <v>15685</v>
      </c>
      <c r="U1357" s="394" t="s">
        <v>16311</v>
      </c>
      <c r="V1357" s="394" t="s">
        <v>15686</v>
      </c>
      <c r="W1357" s="460" t="s">
        <v>15496</v>
      </c>
      <c r="X1357" s="394" t="s">
        <v>15497</v>
      </c>
      <c r="Y1357" s="394" t="s">
        <v>15648</v>
      </c>
      <c r="Z1357" s="394" t="s">
        <v>16322</v>
      </c>
      <c r="AA1357" s="394" t="s">
        <v>14055</v>
      </c>
      <c r="AB1357" s="416"/>
      <c r="AC1357" s="416"/>
      <c r="AD1357" s="334" t="s">
        <v>2326</v>
      </c>
      <c r="AE1357" s="499" t="s">
        <v>15973</v>
      </c>
      <c r="AF1357" s="475">
        <v>43929</v>
      </c>
      <c r="AG1357" s="748">
        <v>43997</v>
      </c>
      <c r="AH1357" s="417" t="s">
        <v>15649</v>
      </c>
      <c r="AI1357" s="392" t="s">
        <v>15649</v>
      </c>
      <c r="AJ1357" s="392" t="s">
        <v>764</v>
      </c>
      <c r="AK1357" s="340" t="s">
        <v>764</v>
      </c>
      <c r="AL1357" s="341" t="s">
        <v>15650</v>
      </c>
      <c r="AM1357" s="341" t="s">
        <v>764</v>
      </c>
      <c r="AN1357" s="341" t="s">
        <v>15650</v>
      </c>
      <c r="AO1357" s="341" t="s">
        <v>15651</v>
      </c>
      <c r="AP1357" s="418" t="s">
        <v>15652</v>
      </c>
      <c r="AQ1357" s="429" t="s">
        <v>4547</v>
      </c>
      <c r="AR1357" s="452">
        <v>4120</v>
      </c>
      <c r="AS1357" s="324">
        <v>120</v>
      </c>
      <c r="AT1357" s="432">
        <v>1</v>
      </c>
      <c r="AU1357" s="432" t="s">
        <v>15653</v>
      </c>
      <c r="AV1357" s="432">
        <v>1</v>
      </c>
      <c r="AW1357" s="490" t="s">
        <v>15654</v>
      </c>
      <c r="AX1357" s="453" t="s">
        <v>15652</v>
      </c>
      <c r="AY1357" s="429" t="s">
        <v>15655</v>
      </c>
      <c r="AZ1357" s="405" t="s">
        <v>4083</v>
      </c>
      <c r="BA1357" s="324" t="s">
        <v>15656</v>
      </c>
      <c r="BB1357" s="324" t="s">
        <v>15651</v>
      </c>
      <c r="BC1357" s="324" t="s">
        <v>15657</v>
      </c>
      <c r="BD1357" s="326" t="s">
        <v>3494</v>
      </c>
      <c r="BE1357" s="832" t="s">
        <v>15658</v>
      </c>
      <c r="BF1357" s="324" t="s">
        <v>15659</v>
      </c>
      <c r="BG1357" s="324" t="s">
        <v>15660</v>
      </c>
      <c r="BH1357" s="426" t="s">
        <v>15661</v>
      </c>
      <c r="BI1357" s="453">
        <v>1.2</v>
      </c>
      <c r="BJ1357" s="427" t="s">
        <v>16080</v>
      </c>
      <c r="BK1357" s="428" t="s">
        <v>15747</v>
      </c>
      <c r="BL1357" s="429">
        <v>2.2000000000000002</v>
      </c>
      <c r="BM1357" s="430" t="s">
        <v>15651</v>
      </c>
      <c r="BN1357" s="453" t="s">
        <v>622</v>
      </c>
      <c r="BO1357" s="464">
        <v>3.54</v>
      </c>
      <c r="BP1357" s="492"/>
      <c r="BQ1357" s="456" t="s">
        <v>10959</v>
      </c>
      <c r="BR1357" s="392" t="s">
        <v>15651</v>
      </c>
      <c r="BS1357" s="392" t="s">
        <v>15651</v>
      </c>
      <c r="BT1357" s="392" t="s">
        <v>15651</v>
      </c>
      <c r="BU1357" s="392" t="s">
        <v>15651</v>
      </c>
      <c r="BV1357" s="392" t="s">
        <v>764</v>
      </c>
      <c r="BW1357" s="392" t="s">
        <v>15651</v>
      </c>
      <c r="BX1357" s="392" t="s">
        <v>764</v>
      </c>
      <c r="BY1357" s="457"/>
      <c r="BZ1357" s="363"/>
      <c r="CA1357" s="363"/>
      <c r="CB1357" s="363"/>
      <c r="CC1357" s="363"/>
    </row>
    <row r="1358" spans="2:82" ht="22.5" customHeight="1">
      <c r="B1358" s="643">
        <v>190105</v>
      </c>
      <c r="C1358" s="443" t="s">
        <v>16000</v>
      </c>
      <c r="D1358" s="467" t="s">
        <v>15301</v>
      </c>
      <c r="E1358" s="404" t="s">
        <v>15155</v>
      </c>
      <c r="F1358" s="405" t="s">
        <v>15439</v>
      </c>
      <c r="G1358" s="324" t="s">
        <v>15609</v>
      </c>
      <c r="H1358" s="324" t="s">
        <v>15440</v>
      </c>
      <c r="I1358" s="326" t="s">
        <v>11</v>
      </c>
      <c r="J1358" s="324" t="s">
        <v>6632</v>
      </c>
      <c r="K1358" s="324" t="s">
        <v>15514</v>
      </c>
      <c r="L1358" s="342" t="s">
        <v>210</v>
      </c>
      <c r="M1358" s="324" t="s">
        <v>7457</v>
      </c>
      <c r="N1358" s="444" t="s">
        <v>15601</v>
      </c>
      <c r="O1358" s="324">
        <v>30</v>
      </c>
      <c r="P1358" s="445">
        <f>Q1358</f>
        <v>989.73</v>
      </c>
      <c r="Q1358" s="446">
        <f>989.73</f>
        <v>989.73</v>
      </c>
      <c r="R1358" s="420" t="s">
        <v>15336</v>
      </c>
      <c r="S1358" s="394" t="s">
        <v>15340</v>
      </c>
      <c r="T1358" s="394" t="s">
        <v>16002</v>
      </c>
      <c r="U1358" s="394" t="s">
        <v>16001</v>
      </c>
      <c r="V1358" s="1049" t="s">
        <v>15339</v>
      </c>
      <c r="W1358" s="332" t="s">
        <v>15336</v>
      </c>
      <c r="X1358" s="513"/>
      <c r="Y1358" s="394" t="s">
        <v>16002</v>
      </c>
      <c r="Z1358" s="394" t="s">
        <v>16001</v>
      </c>
      <c r="AA1358" s="1049" t="s">
        <v>15339</v>
      </c>
      <c r="AB1358" s="416" t="s">
        <v>15585</v>
      </c>
      <c r="AC1358" s="416" t="s">
        <v>15590</v>
      </c>
      <c r="AD1358" s="498" t="s">
        <v>1410</v>
      </c>
      <c r="AE1358" s="499" t="s">
        <v>1720</v>
      </c>
      <c r="AF1358" s="475">
        <v>43929</v>
      </c>
      <c r="AG1358" s="748">
        <v>43972</v>
      </c>
      <c r="AH1358" s="417" t="s">
        <v>210</v>
      </c>
      <c r="AI1358" s="392" t="s">
        <v>210</v>
      </c>
      <c r="AJ1358" s="392" t="s">
        <v>210</v>
      </c>
      <c r="AK1358" s="340" t="s">
        <v>210</v>
      </c>
      <c r="AL1358" s="341" t="s">
        <v>210</v>
      </c>
      <c r="AM1358" s="341" t="s">
        <v>210</v>
      </c>
      <c r="AN1358" s="341" t="s">
        <v>210</v>
      </c>
      <c r="AO1358" s="341" t="s">
        <v>210</v>
      </c>
      <c r="AP1358" s="1063" t="s">
        <v>622</v>
      </c>
      <c r="AQ1358" s="429" t="s">
        <v>4547</v>
      </c>
      <c r="AR1358" s="452">
        <v>1247.4000000000001</v>
      </c>
      <c r="AS1358" s="324">
        <v>150</v>
      </c>
      <c r="AT1358" s="432">
        <v>1</v>
      </c>
      <c r="AU1358" s="324" t="s">
        <v>15607</v>
      </c>
      <c r="AV1358" s="432">
        <v>1.2</v>
      </c>
      <c r="AW1358" s="490" t="s">
        <v>15603</v>
      </c>
      <c r="AX1358" s="453" t="s">
        <v>210</v>
      </c>
      <c r="AY1358" s="429" t="s">
        <v>8601</v>
      </c>
      <c r="AZ1358" s="405" t="s">
        <v>4083</v>
      </c>
      <c r="BA1358" s="324" t="s">
        <v>210</v>
      </c>
      <c r="BB1358" s="324" t="s">
        <v>210</v>
      </c>
      <c r="BC1358" s="324" t="s">
        <v>210</v>
      </c>
      <c r="BD1358" s="324" t="s">
        <v>210</v>
      </c>
      <c r="BE1358" s="324" t="s">
        <v>15604</v>
      </c>
      <c r="BF1358" s="324" t="s">
        <v>15607</v>
      </c>
      <c r="BG1358" s="324" t="s">
        <v>15605</v>
      </c>
      <c r="BH1358" s="426" t="s">
        <v>15603</v>
      </c>
      <c r="BI1358" s="453">
        <v>0.6</v>
      </c>
      <c r="BJ1358" s="427" t="s">
        <v>15606</v>
      </c>
      <c r="BK1358" s="428" t="s">
        <v>15607</v>
      </c>
      <c r="BL1358" s="429">
        <v>0.8</v>
      </c>
      <c r="BM1358" s="430" t="s">
        <v>210</v>
      </c>
      <c r="BN1358" s="1072" t="s">
        <v>210</v>
      </c>
      <c r="BO1358" s="431" t="s">
        <v>210</v>
      </c>
      <c r="BP1358" s="455" t="s">
        <v>210</v>
      </c>
      <c r="BQ1358" s="456" t="s">
        <v>15608</v>
      </c>
      <c r="BR1358" s="392" t="s">
        <v>210</v>
      </c>
      <c r="BS1358" s="342" t="s">
        <v>622</v>
      </c>
      <c r="BT1358" s="392" t="s">
        <v>15651</v>
      </c>
      <c r="BU1358" s="392" t="s">
        <v>15651</v>
      </c>
      <c r="BV1358" s="392" t="s">
        <v>764</v>
      </c>
      <c r="BW1358" s="392" t="s">
        <v>15651</v>
      </c>
      <c r="BX1358" s="392" t="s">
        <v>764</v>
      </c>
      <c r="BY1358" s="457" t="s">
        <v>15602</v>
      </c>
      <c r="BZ1358" s="363"/>
      <c r="CA1358" s="363"/>
      <c r="CB1358" s="363"/>
      <c r="CC1358" s="363"/>
    </row>
    <row r="1359" spans="2:82" ht="22.5" customHeight="1">
      <c r="B1359" s="493">
        <v>190106</v>
      </c>
      <c r="C1359" s="366" t="s">
        <v>15519</v>
      </c>
      <c r="D1359" s="1264" t="s">
        <v>15667</v>
      </c>
      <c r="E1359" s="404" t="s">
        <v>5363</v>
      </c>
      <c r="F1359" s="321" t="s">
        <v>265</v>
      </c>
      <c r="G1359" s="326" t="s">
        <v>15520</v>
      </c>
      <c r="H1359" s="324" t="s">
        <v>15521</v>
      </c>
      <c r="I1359" s="326" t="s">
        <v>383</v>
      </c>
      <c r="J1359" s="324" t="s">
        <v>17056</v>
      </c>
      <c r="K1359" s="324" t="s">
        <v>917</v>
      </c>
      <c r="L1359" s="342" t="s">
        <v>210</v>
      </c>
      <c r="M1359" s="324" t="s">
        <v>15523</v>
      </c>
      <c r="N1359" s="444" t="s">
        <v>15724</v>
      </c>
      <c r="O1359" s="324">
        <v>30</v>
      </c>
      <c r="P1359" s="445">
        <f>Q1359*2+600</f>
        <v>4200</v>
      </c>
      <c r="Q1359" s="446">
        <v>1800</v>
      </c>
      <c r="R1359" s="420" t="s">
        <v>16828</v>
      </c>
      <c r="S1359" s="394" t="s">
        <v>15996</v>
      </c>
      <c r="T1359" s="394" t="s">
        <v>15997</v>
      </c>
      <c r="U1359" s="394" t="s">
        <v>15998</v>
      </c>
      <c r="V1359" s="394" t="s">
        <v>15999</v>
      </c>
      <c r="W1359" s="460" t="s">
        <v>15524</v>
      </c>
      <c r="X1359" s="394" t="s">
        <v>15527</v>
      </c>
      <c r="Y1359" s="394" t="s">
        <v>15528</v>
      </c>
      <c r="Z1359" s="513"/>
      <c r="AA1359" s="394" t="s">
        <v>15529</v>
      </c>
      <c r="AB1359" s="416" t="s">
        <v>15995</v>
      </c>
      <c r="AC1359" s="416"/>
      <c r="AD1359" s="447" t="s">
        <v>16978</v>
      </c>
      <c r="AE1359" s="499" t="s">
        <v>231</v>
      </c>
      <c r="AF1359" s="475">
        <v>43931</v>
      </c>
      <c r="AG1359" s="748">
        <v>44050</v>
      </c>
      <c r="AH1359" s="417" t="s">
        <v>210</v>
      </c>
      <c r="AI1359" s="392" t="s">
        <v>210</v>
      </c>
      <c r="AJ1359" s="392" t="s">
        <v>210</v>
      </c>
      <c r="AK1359" s="340" t="s">
        <v>210</v>
      </c>
      <c r="AL1359" s="341" t="s">
        <v>210</v>
      </c>
      <c r="AM1359" s="341" t="s">
        <v>210</v>
      </c>
      <c r="AN1359" s="341" t="s">
        <v>210</v>
      </c>
      <c r="AO1359" s="341" t="s">
        <v>210</v>
      </c>
      <c r="AP1359" s="1063" t="s">
        <v>622</v>
      </c>
      <c r="AQ1359" s="429" t="s">
        <v>4547</v>
      </c>
      <c r="AR1359" s="452">
        <v>2231</v>
      </c>
      <c r="AS1359" s="324">
        <v>150</v>
      </c>
      <c r="AT1359" s="432">
        <v>0.8</v>
      </c>
      <c r="AU1359" s="432" t="s">
        <v>6579</v>
      </c>
      <c r="AV1359" s="432">
        <v>1.5</v>
      </c>
      <c r="AW1359" s="490" t="s">
        <v>15725</v>
      </c>
      <c r="AX1359" s="453" t="s">
        <v>210</v>
      </c>
      <c r="AY1359" s="429" t="s">
        <v>210</v>
      </c>
      <c r="AZ1359" s="405" t="s">
        <v>622</v>
      </c>
      <c r="BA1359" s="324" t="s">
        <v>15726</v>
      </c>
      <c r="BB1359" s="324" t="s">
        <v>15727</v>
      </c>
      <c r="BC1359" s="324" t="s">
        <v>15728</v>
      </c>
      <c r="BD1359" s="324" t="s">
        <v>15727</v>
      </c>
      <c r="BE1359" s="324" t="s">
        <v>15729</v>
      </c>
      <c r="BF1359" s="324" t="s">
        <v>6579</v>
      </c>
      <c r="BG1359" s="324" t="s">
        <v>15730</v>
      </c>
      <c r="BH1359" s="426" t="s">
        <v>15731</v>
      </c>
      <c r="BI1359" s="453">
        <v>2.2000000000000002</v>
      </c>
      <c r="BJ1359" s="427">
        <v>2.2999999999999998</v>
      </c>
      <c r="BK1359" s="428" t="s">
        <v>15732</v>
      </c>
      <c r="BL1359" s="429">
        <v>1.1000000000000001</v>
      </c>
      <c r="BM1359" s="430" t="s">
        <v>622</v>
      </c>
      <c r="BN1359" s="453" t="s">
        <v>622</v>
      </c>
      <c r="BO1359" s="464">
        <v>1.55</v>
      </c>
      <c r="BP1359" s="455" t="s">
        <v>622</v>
      </c>
      <c r="BQ1359" s="456" t="s">
        <v>10959</v>
      </c>
      <c r="BR1359" s="392" t="s">
        <v>210</v>
      </c>
      <c r="BS1359" s="342" t="s">
        <v>622</v>
      </c>
      <c r="BT1359" s="392" t="s">
        <v>210</v>
      </c>
      <c r="BU1359" s="392" t="s">
        <v>210</v>
      </c>
      <c r="BV1359" s="392" t="s">
        <v>210</v>
      </c>
      <c r="BW1359" s="392" t="s">
        <v>210</v>
      </c>
      <c r="BX1359" s="392" t="s">
        <v>210</v>
      </c>
      <c r="BY1359" s="457" t="s">
        <v>15776</v>
      </c>
      <c r="BZ1359" s="363"/>
      <c r="CA1359" s="363"/>
      <c r="CB1359" s="363"/>
      <c r="CC1359" s="363"/>
    </row>
    <row r="1360" spans="2:82" ht="22.5" customHeight="1">
      <c r="B1360" s="643">
        <v>190107</v>
      </c>
      <c r="C1360" s="443" t="s">
        <v>15757</v>
      </c>
      <c r="D1360" s="467" t="s">
        <v>15559</v>
      </c>
      <c r="E1360" s="404" t="s">
        <v>5362</v>
      </c>
      <c r="F1360" s="405" t="s">
        <v>1043</v>
      </c>
      <c r="G1360" s="324" t="s">
        <v>15383</v>
      </c>
      <c r="H1360" s="324" t="s">
        <v>15562</v>
      </c>
      <c r="I1360" s="326" t="s">
        <v>11</v>
      </c>
      <c r="J1360" s="326" t="s">
        <v>399</v>
      </c>
      <c r="K1360" s="324" t="s">
        <v>363</v>
      </c>
      <c r="L1360" s="342">
        <v>15</v>
      </c>
      <c r="M1360" s="324" t="s">
        <v>7457</v>
      </c>
      <c r="N1360" s="444" t="s">
        <v>437</v>
      </c>
      <c r="O1360" s="324">
        <v>70</v>
      </c>
      <c r="P1360" s="445">
        <f>Q1360</f>
        <v>995</v>
      </c>
      <c r="Q1360" s="446">
        <v>995</v>
      </c>
      <c r="R1360" s="420" t="s">
        <v>1057</v>
      </c>
      <c r="S1360" s="394" t="s">
        <v>11283</v>
      </c>
      <c r="T1360" s="394" t="s">
        <v>11284</v>
      </c>
      <c r="U1360" s="394" t="s">
        <v>16292</v>
      </c>
      <c r="V1360" s="394" t="s">
        <v>11285</v>
      </c>
      <c r="W1360" s="460" t="s">
        <v>10150</v>
      </c>
      <c r="X1360" s="513"/>
      <c r="Y1360" s="394" t="s">
        <v>11282</v>
      </c>
      <c r="Z1360" s="394" t="s">
        <v>16323</v>
      </c>
      <c r="AA1360" s="394" t="s">
        <v>11280</v>
      </c>
      <c r="AB1360" s="416" t="s">
        <v>15498</v>
      </c>
      <c r="AC1360" s="416"/>
      <c r="AD1360" s="498" t="s">
        <v>1591</v>
      </c>
      <c r="AE1360" s="499" t="s">
        <v>210</v>
      </c>
      <c r="AF1360" s="475">
        <v>43931</v>
      </c>
      <c r="AG1360" s="748">
        <v>43986</v>
      </c>
      <c r="AH1360" s="417" t="s">
        <v>210</v>
      </c>
      <c r="AI1360" s="392" t="s">
        <v>210</v>
      </c>
      <c r="AJ1360" s="392" t="s">
        <v>210</v>
      </c>
      <c r="AK1360" s="340" t="s">
        <v>210</v>
      </c>
      <c r="AL1360" s="341" t="s">
        <v>210</v>
      </c>
      <c r="AM1360" s="341" t="s">
        <v>210</v>
      </c>
      <c r="AN1360" s="341" t="s">
        <v>210</v>
      </c>
      <c r="AO1360" s="341" t="s">
        <v>210</v>
      </c>
      <c r="AP1360" s="1063" t="s">
        <v>622</v>
      </c>
      <c r="AQ1360" s="429" t="s">
        <v>4547</v>
      </c>
      <c r="AR1360" s="452">
        <v>1308</v>
      </c>
      <c r="AS1360" s="324">
        <v>120</v>
      </c>
      <c r="AT1360" s="432">
        <v>1</v>
      </c>
      <c r="AU1360" s="432" t="s">
        <v>15752</v>
      </c>
      <c r="AV1360" s="432">
        <v>1.2</v>
      </c>
      <c r="AW1360" s="490" t="s">
        <v>15753</v>
      </c>
      <c r="AX1360" s="453" t="s">
        <v>210</v>
      </c>
      <c r="AY1360" s="429" t="s">
        <v>210</v>
      </c>
      <c r="AZ1360" s="405" t="s">
        <v>4083</v>
      </c>
      <c r="BA1360" s="324" t="s">
        <v>210</v>
      </c>
      <c r="BB1360" s="324" t="s">
        <v>210</v>
      </c>
      <c r="BC1360" s="324" t="s">
        <v>210</v>
      </c>
      <c r="BD1360" s="324" t="s">
        <v>210</v>
      </c>
      <c r="BE1360" s="324" t="s">
        <v>15754</v>
      </c>
      <c r="BF1360" s="324" t="s">
        <v>6579</v>
      </c>
      <c r="BG1360" s="324" t="s">
        <v>15755</v>
      </c>
      <c r="BH1360" s="324" t="s">
        <v>6579</v>
      </c>
      <c r="BI1360" s="453">
        <v>1.2</v>
      </c>
      <c r="BJ1360" s="427">
        <v>7.98</v>
      </c>
      <c r="BK1360" s="428" t="s">
        <v>210</v>
      </c>
      <c r="BL1360" s="429" t="s">
        <v>210</v>
      </c>
      <c r="BM1360" s="430" t="s">
        <v>210</v>
      </c>
      <c r="BN1360" s="453" t="s">
        <v>622</v>
      </c>
      <c r="BO1360" s="502"/>
      <c r="BP1360" s="455" t="s">
        <v>622</v>
      </c>
      <c r="BQ1360" s="456" t="s">
        <v>15756</v>
      </c>
      <c r="BR1360" s="392" t="s">
        <v>210</v>
      </c>
      <c r="BS1360" s="342" t="s">
        <v>622</v>
      </c>
      <c r="BT1360" s="392" t="s">
        <v>210</v>
      </c>
      <c r="BU1360" s="392" t="s">
        <v>210</v>
      </c>
      <c r="BV1360" s="392" t="s">
        <v>210</v>
      </c>
      <c r="BW1360" s="392" t="s">
        <v>210</v>
      </c>
      <c r="BX1360" s="392" t="s">
        <v>210</v>
      </c>
      <c r="BY1360" s="457"/>
      <c r="BZ1360" s="363"/>
      <c r="CA1360" s="363"/>
      <c r="CB1360" s="363"/>
      <c r="CC1360" s="363"/>
    </row>
    <row r="1361" spans="1:81" ht="22.5" customHeight="1">
      <c r="B1361" s="493">
        <v>190108</v>
      </c>
      <c r="C1361" s="443" t="s">
        <v>15425</v>
      </c>
      <c r="D1361" s="467" t="s">
        <v>13767</v>
      </c>
      <c r="E1361" s="404" t="s">
        <v>5362</v>
      </c>
      <c r="F1361" s="405" t="s">
        <v>15426</v>
      </c>
      <c r="G1361" s="324" t="s">
        <v>15427</v>
      </c>
      <c r="H1361" s="324" t="s">
        <v>15561</v>
      </c>
      <c r="I1361" s="326" t="s">
        <v>11</v>
      </c>
      <c r="J1361" s="324" t="s">
        <v>6632</v>
      </c>
      <c r="K1361" s="324" t="s">
        <v>3400</v>
      </c>
      <c r="L1361" s="342" t="s">
        <v>210</v>
      </c>
      <c r="M1361" s="324" t="s">
        <v>7457</v>
      </c>
      <c r="N1361" s="444" t="s">
        <v>15698</v>
      </c>
      <c r="O1361" s="324">
        <v>30</v>
      </c>
      <c r="P1361" s="458">
        <f>430+1214</f>
        <v>1644</v>
      </c>
      <c r="Q1361" s="459">
        <f>424+1137</f>
        <v>1561</v>
      </c>
      <c r="R1361" s="329" t="s">
        <v>513</v>
      </c>
      <c r="S1361" s="394" t="s">
        <v>15441</v>
      </c>
      <c r="T1361" s="394" t="s">
        <v>15442</v>
      </c>
      <c r="U1361" s="394" t="s">
        <v>15443</v>
      </c>
      <c r="V1361" s="1049" t="s">
        <v>16542</v>
      </c>
      <c r="W1361" s="332" t="s">
        <v>513</v>
      </c>
      <c r="X1361" s="513"/>
      <c r="Y1361" s="513"/>
      <c r="Z1361" s="513"/>
      <c r="AA1361" s="513"/>
      <c r="AB1361" s="416"/>
      <c r="AC1361" s="416"/>
      <c r="AD1361" s="447" t="s">
        <v>2912</v>
      </c>
      <c r="AE1361" s="499" t="s">
        <v>16123</v>
      </c>
      <c r="AF1361" s="475">
        <v>43934</v>
      </c>
      <c r="AG1361" s="748">
        <v>43986</v>
      </c>
      <c r="AH1361" s="417" t="s">
        <v>210</v>
      </c>
      <c r="AI1361" s="392" t="s">
        <v>210</v>
      </c>
      <c r="AJ1361" s="392" t="s">
        <v>210</v>
      </c>
      <c r="AK1361" s="340" t="s">
        <v>210</v>
      </c>
      <c r="AL1361" s="341" t="s">
        <v>210</v>
      </c>
      <c r="AM1361" s="341" t="s">
        <v>210</v>
      </c>
      <c r="AN1361" s="341" t="s">
        <v>210</v>
      </c>
      <c r="AO1361" s="341" t="s">
        <v>210</v>
      </c>
      <c r="AP1361" s="1063" t="s">
        <v>622</v>
      </c>
      <c r="AQ1361" s="429" t="s">
        <v>4547</v>
      </c>
      <c r="AR1361" s="452">
        <v>1396</v>
      </c>
      <c r="AS1361" s="324">
        <v>100</v>
      </c>
      <c r="AT1361" s="432">
        <v>0.8</v>
      </c>
      <c r="AU1361" s="432" t="s">
        <v>15699</v>
      </c>
      <c r="AV1361" s="432">
        <v>0.8</v>
      </c>
      <c r="AW1361" s="490" t="s">
        <v>15700</v>
      </c>
      <c r="AX1361" s="453" t="s">
        <v>15701</v>
      </c>
      <c r="AY1361" s="429" t="s">
        <v>15701</v>
      </c>
      <c r="AZ1361" s="405" t="s">
        <v>4083</v>
      </c>
      <c r="BA1361" s="324" t="s">
        <v>210</v>
      </c>
      <c r="BB1361" s="324" t="s">
        <v>210</v>
      </c>
      <c r="BC1361" s="324" t="s">
        <v>210</v>
      </c>
      <c r="BD1361" s="324" t="s">
        <v>210</v>
      </c>
      <c r="BE1361" s="324" t="s">
        <v>15702</v>
      </c>
      <c r="BF1361" s="324" t="s">
        <v>15700</v>
      </c>
      <c r="BG1361" s="324" t="s">
        <v>15703</v>
      </c>
      <c r="BH1361" s="426" t="s">
        <v>15704</v>
      </c>
      <c r="BI1361" s="453">
        <v>1.7</v>
      </c>
      <c r="BJ1361" s="427" t="s">
        <v>15701</v>
      </c>
      <c r="BK1361" s="428" t="s">
        <v>9854</v>
      </c>
      <c r="BL1361" s="429">
        <v>4</v>
      </c>
      <c r="BM1361" s="430" t="s">
        <v>210</v>
      </c>
      <c r="BN1361" s="453" t="s">
        <v>622</v>
      </c>
      <c r="BO1361" s="464">
        <v>1.23</v>
      </c>
      <c r="BP1361" s="455" t="s">
        <v>210</v>
      </c>
      <c r="BQ1361" s="456" t="s">
        <v>10959</v>
      </c>
      <c r="BR1361" s="392" t="s">
        <v>309</v>
      </c>
      <c r="BS1361" s="342" t="s">
        <v>622</v>
      </c>
      <c r="BT1361" s="392" t="s">
        <v>309</v>
      </c>
      <c r="BU1361" s="392" t="s">
        <v>309</v>
      </c>
      <c r="BV1361" s="392" t="s">
        <v>210</v>
      </c>
      <c r="BW1361" s="392" t="s">
        <v>309</v>
      </c>
      <c r="BX1361" s="392" t="s">
        <v>210</v>
      </c>
      <c r="BY1361" s="457" t="s">
        <v>15705</v>
      </c>
      <c r="BZ1361" s="363"/>
      <c r="CA1361" s="363"/>
      <c r="CB1361" s="363"/>
      <c r="CC1361" s="363"/>
    </row>
    <row r="1362" spans="1:81" ht="22.5" customHeight="1">
      <c r="B1362" s="1089">
        <v>190109</v>
      </c>
      <c r="C1362" s="443" t="s">
        <v>15748</v>
      </c>
      <c r="D1362" s="439" t="s">
        <v>15665</v>
      </c>
      <c r="E1362" s="404" t="s">
        <v>5362</v>
      </c>
      <c r="F1362" s="405" t="s">
        <v>839</v>
      </c>
      <c r="G1362" s="324" t="s">
        <v>15571</v>
      </c>
      <c r="H1362" s="324" t="s">
        <v>15683</v>
      </c>
      <c r="I1362" s="326" t="s">
        <v>11</v>
      </c>
      <c r="J1362" s="326" t="s">
        <v>399</v>
      </c>
      <c r="K1362" s="324" t="s">
        <v>247</v>
      </c>
      <c r="L1362" s="342">
        <v>5.4</v>
      </c>
      <c r="M1362" s="324" t="s">
        <v>7457</v>
      </c>
      <c r="N1362" s="444" t="s">
        <v>437</v>
      </c>
      <c r="O1362" s="324">
        <v>30</v>
      </c>
      <c r="P1362" s="445">
        <v>250</v>
      </c>
      <c r="Q1362" s="446">
        <f>P1362</f>
        <v>250</v>
      </c>
      <c r="R1362" s="420" t="s">
        <v>15712</v>
      </c>
      <c r="S1362" s="513"/>
      <c r="T1362" s="513"/>
      <c r="U1362" s="513"/>
      <c r="V1362" s="1269"/>
      <c r="W1362" s="394" t="s">
        <v>15547</v>
      </c>
      <c r="X1362" s="394" t="s">
        <v>15548</v>
      </c>
      <c r="Y1362" s="394" t="s">
        <v>15551</v>
      </c>
      <c r="Z1362" s="394" t="s">
        <v>15550</v>
      </c>
      <c r="AA1362" s="394" t="s">
        <v>15549</v>
      </c>
      <c r="AB1362" s="416"/>
      <c r="AC1362" s="416"/>
      <c r="AD1362" s="461"/>
      <c r="AE1362" s="499" t="s">
        <v>210</v>
      </c>
      <c r="AF1362" s="475">
        <v>43935</v>
      </c>
      <c r="AG1362" s="389"/>
      <c r="AH1362" s="417" t="s">
        <v>210</v>
      </c>
      <c r="AI1362" s="392" t="s">
        <v>210</v>
      </c>
      <c r="AJ1362" s="392" t="s">
        <v>210</v>
      </c>
      <c r="AK1362" s="340" t="s">
        <v>210</v>
      </c>
      <c r="AL1362" s="341" t="s">
        <v>210</v>
      </c>
      <c r="AM1362" s="341" t="s">
        <v>210</v>
      </c>
      <c r="AN1362" s="496" t="s">
        <v>15674</v>
      </c>
      <c r="AO1362" s="341" t="s">
        <v>210</v>
      </c>
      <c r="AP1362" s="1063" t="s">
        <v>622</v>
      </c>
      <c r="AQ1362" s="429" t="s">
        <v>4547</v>
      </c>
      <c r="AR1362" s="452">
        <v>494.8</v>
      </c>
      <c r="AS1362" s="324">
        <v>100</v>
      </c>
      <c r="AT1362" s="432">
        <v>1</v>
      </c>
      <c r="AU1362" s="432" t="s">
        <v>15675</v>
      </c>
      <c r="AV1362" s="432">
        <v>1.5</v>
      </c>
      <c r="AW1362" s="490" t="s">
        <v>15676</v>
      </c>
      <c r="AX1362" s="453" t="s">
        <v>210</v>
      </c>
      <c r="AY1362" s="429" t="s">
        <v>210</v>
      </c>
      <c r="AZ1362" s="405" t="s">
        <v>622</v>
      </c>
      <c r="BA1362" s="324" t="s">
        <v>15678</v>
      </c>
      <c r="BB1362" s="324" t="s">
        <v>3372</v>
      </c>
      <c r="BC1362" s="324" t="s">
        <v>15679</v>
      </c>
      <c r="BD1362" s="324" t="s">
        <v>3372</v>
      </c>
      <c r="BE1362" s="324" t="s">
        <v>15677</v>
      </c>
      <c r="BF1362" s="324" t="s">
        <v>15680</v>
      </c>
      <c r="BG1362" s="324" t="s">
        <v>15681</v>
      </c>
      <c r="BH1362" s="426" t="s">
        <v>15682</v>
      </c>
      <c r="BI1362" s="453">
        <v>0.9</v>
      </c>
      <c r="BJ1362" s="411"/>
      <c r="BK1362" s="428" t="s">
        <v>10645</v>
      </c>
      <c r="BL1362" s="429">
        <v>6.3</v>
      </c>
      <c r="BM1362" s="430" t="s">
        <v>210</v>
      </c>
      <c r="BN1362" s="453" t="s">
        <v>622</v>
      </c>
      <c r="BO1362" s="464">
        <v>1.22</v>
      </c>
      <c r="BP1362" s="492"/>
      <c r="BQ1362" s="456" t="s">
        <v>1059</v>
      </c>
      <c r="BR1362" s="342" t="s">
        <v>622</v>
      </c>
      <c r="BS1362" s="342" t="s">
        <v>622</v>
      </c>
      <c r="BT1362" s="392" t="s">
        <v>14961</v>
      </c>
      <c r="BU1362" s="392" t="s">
        <v>14961</v>
      </c>
      <c r="BV1362" s="392" t="s">
        <v>210</v>
      </c>
      <c r="BW1362" s="392" t="s">
        <v>14961</v>
      </c>
      <c r="BX1362" s="392" t="s">
        <v>210</v>
      </c>
      <c r="BY1362" s="457"/>
      <c r="BZ1362" s="363"/>
      <c r="CA1362" s="363"/>
      <c r="CB1362" s="363"/>
      <c r="CC1362" s="363"/>
    </row>
    <row r="1363" spans="1:81" ht="22.5" customHeight="1">
      <c r="B1363" s="493">
        <v>190110</v>
      </c>
      <c r="C1363" s="443" t="s">
        <v>15673</v>
      </c>
      <c r="D1363" s="467" t="s">
        <v>15666</v>
      </c>
      <c r="E1363" s="404" t="s">
        <v>5362</v>
      </c>
      <c r="F1363" s="405" t="s">
        <v>15573</v>
      </c>
      <c r="G1363" s="324" t="s">
        <v>15574</v>
      </c>
      <c r="H1363" s="324" t="s">
        <v>15575</v>
      </c>
      <c r="I1363" s="326" t="s">
        <v>11</v>
      </c>
      <c r="J1363" s="324" t="s">
        <v>6632</v>
      </c>
      <c r="K1363" s="324" t="s">
        <v>363</v>
      </c>
      <c r="L1363" s="342">
        <v>10</v>
      </c>
      <c r="M1363" s="324" t="s">
        <v>7457</v>
      </c>
      <c r="N1363" s="444" t="s">
        <v>437</v>
      </c>
      <c r="O1363" s="324">
        <v>150</v>
      </c>
      <c r="P1363" s="458">
        <v>379.29599999999999</v>
      </c>
      <c r="Q1363" s="459">
        <v>259.60000000000002</v>
      </c>
      <c r="R1363" s="420" t="s">
        <v>15581</v>
      </c>
      <c r="S1363" s="394" t="s">
        <v>15582</v>
      </c>
      <c r="T1363" s="394" t="s">
        <v>15583</v>
      </c>
      <c r="U1363" s="394" t="s">
        <v>15580</v>
      </c>
      <c r="V1363" s="394" t="s">
        <v>15584</v>
      </c>
      <c r="W1363" s="460" t="s">
        <v>15591</v>
      </c>
      <c r="X1363" s="394" t="s">
        <v>15576</v>
      </c>
      <c r="Y1363" s="394" t="s">
        <v>15579</v>
      </c>
      <c r="Z1363" s="394" t="s">
        <v>15578</v>
      </c>
      <c r="AA1363" s="394" t="s">
        <v>15577</v>
      </c>
      <c r="AB1363" s="416"/>
      <c r="AC1363" s="416"/>
      <c r="AD1363" s="334" t="s">
        <v>2336</v>
      </c>
      <c r="AE1363" s="499" t="s">
        <v>210</v>
      </c>
      <c r="AF1363" s="475">
        <v>43938</v>
      </c>
      <c r="AG1363" s="748">
        <v>43985</v>
      </c>
      <c r="AH1363" s="417" t="s">
        <v>210</v>
      </c>
      <c r="AI1363" s="392" t="s">
        <v>210</v>
      </c>
      <c r="AJ1363" s="392" t="s">
        <v>210</v>
      </c>
      <c r="AK1363" s="340" t="s">
        <v>210</v>
      </c>
      <c r="AL1363" s="341" t="s">
        <v>210</v>
      </c>
      <c r="AM1363" s="341" t="s">
        <v>210</v>
      </c>
      <c r="AN1363" s="341" t="s">
        <v>210</v>
      </c>
      <c r="AO1363" s="341" t="s">
        <v>210</v>
      </c>
      <c r="AP1363" s="341" t="s">
        <v>210</v>
      </c>
      <c r="AQ1363" s="429" t="s">
        <v>4547</v>
      </c>
      <c r="AR1363" s="452">
        <v>551.70000000000005</v>
      </c>
      <c r="AS1363" s="324">
        <v>100</v>
      </c>
      <c r="AT1363" s="432">
        <v>1</v>
      </c>
      <c r="AU1363" s="432" t="s">
        <v>15733</v>
      </c>
      <c r="AV1363" s="432">
        <v>1.5</v>
      </c>
      <c r="AW1363" s="490" t="s">
        <v>15734</v>
      </c>
      <c r="AX1363" s="453" t="s">
        <v>210</v>
      </c>
      <c r="AY1363" s="429" t="s">
        <v>210</v>
      </c>
      <c r="AZ1363" s="405" t="s">
        <v>4083</v>
      </c>
      <c r="BA1363" s="324" t="s">
        <v>210</v>
      </c>
      <c r="BB1363" s="324" t="s">
        <v>210</v>
      </c>
      <c r="BC1363" s="324" t="s">
        <v>15735</v>
      </c>
      <c r="BD1363" s="324" t="s">
        <v>15736</v>
      </c>
      <c r="BE1363" s="324" t="s">
        <v>210</v>
      </c>
      <c r="BF1363" s="324" t="s">
        <v>210</v>
      </c>
      <c r="BG1363" s="324" t="s">
        <v>15737</v>
      </c>
      <c r="BH1363" s="426" t="s">
        <v>15738</v>
      </c>
      <c r="BI1363" s="453">
        <v>2.2000000000000002</v>
      </c>
      <c r="BJ1363" s="427">
        <v>2.48</v>
      </c>
      <c r="BK1363" s="428" t="s">
        <v>15739</v>
      </c>
      <c r="BL1363" s="429">
        <v>2.2000000000000002</v>
      </c>
      <c r="BM1363" s="430" t="s">
        <v>210</v>
      </c>
      <c r="BN1363" s="453" t="s">
        <v>622</v>
      </c>
      <c r="BO1363" s="464">
        <v>1.22</v>
      </c>
      <c r="BP1363" s="455" t="s">
        <v>622</v>
      </c>
      <c r="BQ1363" s="456" t="s">
        <v>10959</v>
      </c>
      <c r="BR1363" s="392" t="s">
        <v>210</v>
      </c>
      <c r="BS1363" s="342" t="s">
        <v>622</v>
      </c>
      <c r="BT1363" s="392" t="s">
        <v>210</v>
      </c>
      <c r="BU1363" s="392" t="s">
        <v>210</v>
      </c>
      <c r="BV1363" s="392" t="s">
        <v>210</v>
      </c>
      <c r="BW1363" s="392" t="s">
        <v>210</v>
      </c>
      <c r="BX1363" s="392" t="s">
        <v>210</v>
      </c>
      <c r="BY1363" s="457" t="s">
        <v>15767</v>
      </c>
      <c r="BZ1363" s="363"/>
      <c r="CA1363" s="363"/>
      <c r="CB1363" s="363"/>
      <c r="CC1363" s="363"/>
    </row>
    <row r="1364" spans="1:81" ht="22.5" customHeight="1">
      <c r="B1364" s="493">
        <v>190111</v>
      </c>
      <c r="C1364" s="443" t="s">
        <v>15866</v>
      </c>
      <c r="D1364" s="467" t="s">
        <v>13767</v>
      </c>
      <c r="E1364" s="404" t="s">
        <v>5362</v>
      </c>
      <c r="F1364" s="405" t="s">
        <v>15020</v>
      </c>
      <c r="G1364" s="324" t="s">
        <v>15021</v>
      </c>
      <c r="H1364" s="324" t="s">
        <v>15022</v>
      </c>
      <c r="I1364" s="326" t="s">
        <v>383</v>
      </c>
      <c r="J1364" s="324" t="s">
        <v>15664</v>
      </c>
      <c r="K1364" s="326" t="s">
        <v>806</v>
      </c>
      <c r="L1364" s="342" t="s">
        <v>210</v>
      </c>
      <c r="M1364" s="324" t="s">
        <v>6625</v>
      </c>
      <c r="N1364" s="444" t="s">
        <v>15811</v>
      </c>
      <c r="O1364" s="324">
        <v>30</v>
      </c>
      <c r="P1364" s="445">
        <f>Q1364+1500</f>
        <v>3700</v>
      </c>
      <c r="Q1364" s="446">
        <f>1500+700</f>
        <v>2200</v>
      </c>
      <c r="R1364" s="420" t="s">
        <v>13218</v>
      </c>
      <c r="S1364" s="394" t="s">
        <v>11408</v>
      </c>
      <c r="T1364" s="394" t="s">
        <v>11410</v>
      </c>
      <c r="U1364" s="394" t="s">
        <v>11409</v>
      </c>
      <c r="V1364" s="394" t="s">
        <v>11411</v>
      </c>
      <c r="W1364" s="460" t="s">
        <v>8060</v>
      </c>
      <c r="X1364" s="394" t="s">
        <v>11406</v>
      </c>
      <c r="Y1364" s="394" t="s">
        <v>11405</v>
      </c>
      <c r="Z1364" s="394" t="s">
        <v>11404</v>
      </c>
      <c r="AA1364" s="394" t="s">
        <v>11407</v>
      </c>
      <c r="AB1364" s="416"/>
      <c r="AC1364" s="416"/>
      <c r="AD1364" s="447" t="s">
        <v>16083</v>
      </c>
      <c r="AE1364" s="499" t="s">
        <v>210</v>
      </c>
      <c r="AF1364" s="475">
        <v>43942</v>
      </c>
      <c r="AG1364" s="748">
        <v>44111</v>
      </c>
      <c r="AH1364" s="417" t="s">
        <v>210</v>
      </c>
      <c r="AI1364" s="392" t="s">
        <v>210</v>
      </c>
      <c r="AJ1364" s="392" t="s">
        <v>210</v>
      </c>
      <c r="AK1364" s="340" t="s">
        <v>210</v>
      </c>
      <c r="AL1364" s="341" t="s">
        <v>210</v>
      </c>
      <c r="AM1364" s="341" t="s">
        <v>210</v>
      </c>
      <c r="AN1364" s="341" t="s">
        <v>210</v>
      </c>
      <c r="AO1364" s="341" t="s">
        <v>210</v>
      </c>
      <c r="AP1364" s="1063" t="s">
        <v>622</v>
      </c>
      <c r="AQ1364" s="429" t="s">
        <v>4547</v>
      </c>
      <c r="AR1364" s="452">
        <v>3055</v>
      </c>
      <c r="AS1364" s="324">
        <v>100</v>
      </c>
      <c r="AT1364" s="432">
        <v>1</v>
      </c>
      <c r="AU1364" s="432" t="s">
        <v>15813</v>
      </c>
      <c r="AV1364" s="432">
        <v>1.5</v>
      </c>
      <c r="AW1364" s="490" t="s">
        <v>15814</v>
      </c>
      <c r="AX1364" s="453" t="s">
        <v>295</v>
      </c>
      <c r="AY1364" s="429" t="s">
        <v>622</v>
      </c>
      <c r="AZ1364" s="405" t="s">
        <v>4083</v>
      </c>
      <c r="BA1364" s="324" t="s">
        <v>210</v>
      </c>
      <c r="BB1364" s="324" t="s">
        <v>210</v>
      </c>
      <c r="BC1364" s="324" t="s">
        <v>15815</v>
      </c>
      <c r="BD1364" s="324" t="s">
        <v>15816</v>
      </c>
      <c r="BE1364" s="324" t="s">
        <v>15817</v>
      </c>
      <c r="BF1364" s="324" t="s">
        <v>15818</v>
      </c>
      <c r="BG1364" s="324" t="s">
        <v>15819</v>
      </c>
      <c r="BH1364" s="426" t="s">
        <v>15820</v>
      </c>
      <c r="BI1364" s="453">
        <v>4.13</v>
      </c>
      <c r="BJ1364" s="427">
        <v>1.62</v>
      </c>
      <c r="BK1364" s="428" t="s">
        <v>15821</v>
      </c>
      <c r="BL1364" s="429">
        <v>0.35</v>
      </c>
      <c r="BM1364" s="430" t="s">
        <v>210</v>
      </c>
      <c r="BN1364" s="453" t="s">
        <v>622</v>
      </c>
      <c r="BO1364" s="464">
        <v>1.44</v>
      </c>
      <c r="BP1364" s="455" t="s">
        <v>622</v>
      </c>
      <c r="BQ1364" s="456" t="s">
        <v>1059</v>
      </c>
      <c r="BR1364" s="392" t="s">
        <v>16754</v>
      </c>
      <c r="BS1364" s="342" t="s">
        <v>622</v>
      </c>
      <c r="BT1364" s="392" t="s">
        <v>210</v>
      </c>
      <c r="BU1364" s="392" t="s">
        <v>210</v>
      </c>
      <c r="BV1364" s="392" t="s">
        <v>210</v>
      </c>
      <c r="BW1364" s="392" t="s">
        <v>210</v>
      </c>
      <c r="BX1364" s="392" t="s">
        <v>210</v>
      </c>
      <c r="BY1364" s="457" t="s">
        <v>15812</v>
      </c>
      <c r="BZ1364" s="363"/>
      <c r="CA1364" s="363"/>
      <c r="CB1364" s="363"/>
      <c r="CC1364" s="363"/>
    </row>
    <row r="1365" spans="1:81" ht="22.5" customHeight="1">
      <c r="B1365" s="493">
        <v>190112</v>
      </c>
      <c r="C1365" s="494" t="s">
        <v>16745</v>
      </c>
      <c r="D1365" s="439" t="s">
        <v>16719</v>
      </c>
      <c r="E1365" s="404" t="s">
        <v>5362</v>
      </c>
      <c r="F1365" s="405" t="s">
        <v>2300</v>
      </c>
      <c r="G1365" s="324" t="s">
        <v>10601</v>
      </c>
      <c r="H1365" s="324" t="s">
        <v>10602</v>
      </c>
      <c r="I1365" s="326" t="s">
        <v>383</v>
      </c>
      <c r="J1365" s="326" t="s">
        <v>399</v>
      </c>
      <c r="K1365" s="324" t="s">
        <v>16746</v>
      </c>
      <c r="L1365" s="342" t="s">
        <v>210</v>
      </c>
      <c r="M1365" s="324" t="s">
        <v>7457</v>
      </c>
      <c r="N1365" s="444" t="s">
        <v>521</v>
      </c>
      <c r="O1365" s="324">
        <v>0</v>
      </c>
      <c r="P1365" s="445">
        <v>190</v>
      </c>
      <c r="Q1365" s="446">
        <f>P1365</f>
        <v>190</v>
      </c>
      <c r="R1365" s="420" t="s">
        <v>15772</v>
      </c>
      <c r="S1365" s="394" t="s">
        <v>15771</v>
      </c>
      <c r="T1365" s="513"/>
      <c r="U1365" s="394" t="s">
        <v>16242</v>
      </c>
      <c r="V1365" s="394" t="s">
        <v>15763</v>
      </c>
      <c r="W1365" s="394" t="s">
        <v>16749</v>
      </c>
      <c r="X1365" s="513"/>
      <c r="Y1365" s="513"/>
      <c r="Z1365" s="513"/>
      <c r="AA1365" s="513"/>
      <c r="AB1365" s="416" t="s">
        <v>15764</v>
      </c>
      <c r="AC1365" s="416"/>
      <c r="AD1365" s="447" t="s">
        <v>17005</v>
      </c>
      <c r="AE1365" s="499" t="s">
        <v>210</v>
      </c>
      <c r="AF1365" s="475">
        <v>43958</v>
      </c>
      <c r="AG1365" s="748">
        <v>44060</v>
      </c>
      <c r="AH1365" s="417" t="s">
        <v>210</v>
      </c>
      <c r="AI1365" s="392" t="s">
        <v>210</v>
      </c>
      <c r="AJ1365" s="392" t="s">
        <v>210</v>
      </c>
      <c r="AK1365" s="340" t="s">
        <v>210</v>
      </c>
      <c r="AL1365" s="341" t="s">
        <v>210</v>
      </c>
      <c r="AM1365" s="341" t="s">
        <v>210</v>
      </c>
      <c r="AN1365" s="341" t="s">
        <v>210</v>
      </c>
      <c r="AO1365" s="341" t="s">
        <v>210</v>
      </c>
      <c r="AP1365" s="1063" t="s">
        <v>622</v>
      </c>
      <c r="AQ1365" s="429" t="s">
        <v>4547</v>
      </c>
      <c r="AR1365" s="452">
        <v>308</v>
      </c>
      <c r="AS1365" s="324">
        <v>100</v>
      </c>
      <c r="AT1365" s="432">
        <v>1</v>
      </c>
      <c r="AU1365" s="432" t="s">
        <v>16750</v>
      </c>
      <c r="AV1365" s="432">
        <v>1.5</v>
      </c>
      <c r="AW1365" s="490" t="s">
        <v>16751</v>
      </c>
      <c r="AX1365" s="453" t="s">
        <v>210</v>
      </c>
      <c r="AY1365" s="429" t="s">
        <v>15223</v>
      </c>
      <c r="AZ1365" s="405" t="s">
        <v>4083</v>
      </c>
      <c r="BA1365" s="324" t="s">
        <v>210</v>
      </c>
      <c r="BB1365" s="324" t="s">
        <v>210</v>
      </c>
      <c r="BC1365" s="324" t="s">
        <v>3475</v>
      </c>
      <c r="BD1365" s="324" t="s">
        <v>3512</v>
      </c>
      <c r="BE1365" s="324" t="s">
        <v>3558</v>
      </c>
      <c r="BF1365" s="324" t="s">
        <v>3495</v>
      </c>
      <c r="BG1365" s="324" t="s">
        <v>3555</v>
      </c>
      <c r="BH1365" s="324" t="s">
        <v>3495</v>
      </c>
      <c r="BI1365" s="453">
        <v>1.7</v>
      </c>
      <c r="BJ1365" s="427">
        <v>1.75</v>
      </c>
      <c r="BK1365" s="428" t="s">
        <v>210</v>
      </c>
      <c r="BL1365" s="429" t="s">
        <v>210</v>
      </c>
      <c r="BM1365" s="430" t="s">
        <v>210</v>
      </c>
      <c r="BN1365" s="453" t="s">
        <v>16753</v>
      </c>
      <c r="BO1365" s="464" t="s">
        <v>16752</v>
      </c>
      <c r="BP1365" s="455" t="s">
        <v>622</v>
      </c>
      <c r="BQ1365" s="456" t="s">
        <v>917</v>
      </c>
      <c r="BR1365" s="342" t="s">
        <v>16755</v>
      </c>
      <c r="BS1365" s="342" t="s">
        <v>622</v>
      </c>
      <c r="BT1365" s="392" t="s">
        <v>210</v>
      </c>
      <c r="BU1365" s="392" t="s">
        <v>210</v>
      </c>
      <c r="BV1365" s="392" t="s">
        <v>210</v>
      </c>
      <c r="BW1365" s="392" t="s">
        <v>210</v>
      </c>
      <c r="BX1365" s="392" t="s">
        <v>210</v>
      </c>
      <c r="BY1365" s="457"/>
      <c r="BZ1365" s="363"/>
      <c r="CA1365" s="363"/>
      <c r="CB1365" s="363"/>
      <c r="CC1365" s="363"/>
    </row>
    <row r="1366" spans="1:81" ht="22.5" customHeight="1">
      <c r="B1366" s="493">
        <v>190114</v>
      </c>
      <c r="C1366" s="494" t="s">
        <v>15688</v>
      </c>
      <c r="D1366" s="467" t="s">
        <v>15030</v>
      </c>
      <c r="E1366" s="404" t="s">
        <v>5363</v>
      </c>
      <c r="F1366" s="405" t="s">
        <v>15689</v>
      </c>
      <c r="G1366" s="324" t="s">
        <v>15690</v>
      </c>
      <c r="H1366" s="324" t="s">
        <v>15691</v>
      </c>
      <c r="I1366" s="326" t="s">
        <v>11</v>
      </c>
      <c r="J1366" s="324" t="s">
        <v>7171</v>
      </c>
      <c r="K1366" s="324" t="s">
        <v>307</v>
      </c>
      <c r="L1366" s="342" t="s">
        <v>210</v>
      </c>
      <c r="M1366" s="324" t="s">
        <v>7457</v>
      </c>
      <c r="N1366" s="444" t="s">
        <v>16747</v>
      </c>
      <c r="O1366" s="408"/>
      <c r="P1366" s="458">
        <f>499.06+499.06+377.06</f>
        <v>1375.18</v>
      </c>
      <c r="Q1366" s="459">
        <f>255.03+255.03+194.02</f>
        <v>704.08</v>
      </c>
      <c r="R1366" s="420" t="s">
        <v>15741</v>
      </c>
      <c r="S1366" s="394" t="s">
        <v>15695</v>
      </c>
      <c r="T1366" s="394" t="s">
        <v>15696</v>
      </c>
      <c r="U1366" s="394" t="s">
        <v>16235</v>
      </c>
      <c r="V1366" s="394" t="s">
        <v>15697</v>
      </c>
      <c r="W1366" s="460" t="s">
        <v>15693</v>
      </c>
      <c r="X1366" s="513"/>
      <c r="Y1366" s="513"/>
      <c r="Z1366" s="513"/>
      <c r="AA1366" s="513"/>
      <c r="AB1366" s="416" t="s">
        <v>16181</v>
      </c>
      <c r="AC1366" s="416"/>
      <c r="AD1366" s="447" t="s">
        <v>16184</v>
      </c>
      <c r="AE1366" s="499" t="s">
        <v>210</v>
      </c>
      <c r="AF1366" s="475">
        <v>43958</v>
      </c>
      <c r="AG1366" s="748">
        <v>43991</v>
      </c>
      <c r="AH1366" s="417" t="s">
        <v>210</v>
      </c>
      <c r="AI1366" s="392" t="s">
        <v>210</v>
      </c>
      <c r="AJ1366" s="392" t="s">
        <v>210</v>
      </c>
      <c r="AK1366" s="340" t="s">
        <v>210</v>
      </c>
      <c r="AL1366" s="341" t="s">
        <v>210</v>
      </c>
      <c r="AM1366" s="341" t="s">
        <v>210</v>
      </c>
      <c r="AN1366" s="341" t="s">
        <v>210</v>
      </c>
      <c r="AO1366" s="341" t="s">
        <v>210</v>
      </c>
      <c r="AP1366" s="341" t="s">
        <v>210</v>
      </c>
      <c r="AQ1366" s="429" t="s">
        <v>4548</v>
      </c>
      <c r="AR1366" s="452">
        <v>964.6</v>
      </c>
      <c r="AS1366" s="324">
        <v>50</v>
      </c>
      <c r="AT1366" s="432">
        <v>1</v>
      </c>
      <c r="AU1366" s="432" t="s">
        <v>15800</v>
      </c>
      <c r="AV1366" s="432">
        <v>1.5</v>
      </c>
      <c r="AW1366" s="490" t="s">
        <v>15801</v>
      </c>
      <c r="AX1366" s="453" t="s">
        <v>295</v>
      </c>
      <c r="AY1366" s="429" t="s">
        <v>295</v>
      </c>
      <c r="AZ1366" s="405" t="s">
        <v>4083</v>
      </c>
      <c r="BA1366" s="324" t="s">
        <v>210</v>
      </c>
      <c r="BB1366" s="324" t="s">
        <v>210</v>
      </c>
      <c r="BC1366" s="324" t="s">
        <v>15802</v>
      </c>
      <c r="BD1366" s="324" t="s">
        <v>15803</v>
      </c>
      <c r="BE1366" s="324" t="s">
        <v>15804</v>
      </c>
      <c r="BF1366" s="324" t="s">
        <v>15803</v>
      </c>
      <c r="BG1366" s="324" t="s">
        <v>15805</v>
      </c>
      <c r="BH1366" s="426" t="s">
        <v>15806</v>
      </c>
      <c r="BI1366" s="453">
        <v>2.9</v>
      </c>
      <c r="BJ1366" s="427">
        <v>2.2599999999999998</v>
      </c>
      <c r="BK1366" s="428" t="s">
        <v>15807</v>
      </c>
      <c r="BL1366" s="429" t="s">
        <v>15808</v>
      </c>
      <c r="BM1366" s="430" t="s">
        <v>622</v>
      </c>
      <c r="BN1366" s="453" t="s">
        <v>622</v>
      </c>
      <c r="BO1366" s="464">
        <v>1.06</v>
      </c>
      <c r="BP1366" s="455" t="s">
        <v>622</v>
      </c>
      <c r="BQ1366" s="456" t="s">
        <v>15809</v>
      </c>
      <c r="BR1366" s="392" t="s">
        <v>210</v>
      </c>
      <c r="BS1366" s="342" t="s">
        <v>622</v>
      </c>
      <c r="BT1366" s="392" t="s">
        <v>210</v>
      </c>
      <c r="BU1366" s="392" t="s">
        <v>210</v>
      </c>
      <c r="BV1366" s="392" t="s">
        <v>210</v>
      </c>
      <c r="BW1366" s="392" t="s">
        <v>210</v>
      </c>
      <c r="BX1366" s="392" t="s">
        <v>210</v>
      </c>
      <c r="BY1366" s="457" t="s">
        <v>15810</v>
      </c>
      <c r="BZ1366" s="363"/>
      <c r="CA1366" s="363"/>
      <c r="CB1366" s="363"/>
      <c r="CC1366" s="363"/>
    </row>
    <row r="1367" spans="1:81" ht="22.5" customHeight="1">
      <c r="B1367" s="493">
        <v>190115</v>
      </c>
      <c r="C1367" s="443" t="s">
        <v>15553</v>
      </c>
      <c r="D1367" s="467" t="s">
        <v>15086</v>
      </c>
      <c r="E1367" s="404" t="s">
        <v>5362</v>
      </c>
      <c r="F1367" s="405" t="s">
        <v>15555</v>
      </c>
      <c r="G1367" s="324" t="s">
        <v>15556</v>
      </c>
      <c r="H1367" s="324" t="s">
        <v>15560</v>
      </c>
      <c r="I1367" s="326" t="s">
        <v>11</v>
      </c>
      <c r="J1367" s="326" t="s">
        <v>399</v>
      </c>
      <c r="K1367" s="324" t="s">
        <v>917</v>
      </c>
      <c r="L1367" s="342" t="s">
        <v>210</v>
      </c>
      <c r="M1367" s="324" t="s">
        <v>7457</v>
      </c>
      <c r="N1367" s="444" t="s">
        <v>15744</v>
      </c>
      <c r="O1367" s="324">
        <v>85</v>
      </c>
      <c r="P1367" s="445">
        <v>4200</v>
      </c>
      <c r="Q1367" s="446">
        <f>P1367</f>
        <v>4200</v>
      </c>
      <c r="R1367" s="420" t="s">
        <v>442</v>
      </c>
      <c r="S1367" s="394" t="s">
        <v>12566</v>
      </c>
      <c r="T1367" s="394" t="s">
        <v>12567</v>
      </c>
      <c r="U1367" s="394" t="s">
        <v>16336</v>
      </c>
      <c r="V1367" s="394" t="s">
        <v>12568</v>
      </c>
      <c r="W1367" s="332" t="s">
        <v>3084</v>
      </c>
      <c r="X1367" s="394" t="s">
        <v>12542</v>
      </c>
      <c r="Y1367" s="394" t="s">
        <v>11693</v>
      </c>
      <c r="Z1367" s="394" t="s">
        <v>16340</v>
      </c>
      <c r="AA1367" s="394" t="s">
        <v>11692</v>
      </c>
      <c r="AB1367" s="416"/>
      <c r="AC1367" s="416"/>
      <c r="AD1367" s="334" t="s">
        <v>2321</v>
      </c>
      <c r="AE1367" s="485"/>
      <c r="AF1367" s="475">
        <v>43963</v>
      </c>
      <c r="AG1367" s="748">
        <v>44027</v>
      </c>
      <c r="AH1367" s="417" t="s">
        <v>210</v>
      </c>
      <c r="AI1367" s="392" t="s">
        <v>210</v>
      </c>
      <c r="AJ1367" s="392" t="s">
        <v>210</v>
      </c>
      <c r="AK1367" s="340" t="s">
        <v>210</v>
      </c>
      <c r="AL1367" s="341" t="s">
        <v>210</v>
      </c>
      <c r="AM1367" s="341" t="s">
        <v>210</v>
      </c>
      <c r="AN1367" s="341" t="s">
        <v>210</v>
      </c>
      <c r="AO1367" s="341" t="s">
        <v>210</v>
      </c>
      <c r="AP1367" s="341" t="s">
        <v>210</v>
      </c>
      <c r="AQ1367" s="429" t="s">
        <v>4547</v>
      </c>
      <c r="AR1367" s="452">
        <f>4556+116</f>
        <v>4672</v>
      </c>
      <c r="AS1367" s="324">
        <v>150</v>
      </c>
      <c r="AT1367" s="432">
        <v>0.8</v>
      </c>
      <c r="AU1367" s="432" t="s">
        <v>15867</v>
      </c>
      <c r="AV1367" s="432">
        <v>1</v>
      </c>
      <c r="AW1367" s="432" t="s">
        <v>15867</v>
      </c>
      <c r="AX1367" s="453" t="s">
        <v>210</v>
      </c>
      <c r="AY1367" s="429" t="s">
        <v>210</v>
      </c>
      <c r="AZ1367" s="405" t="s">
        <v>4083</v>
      </c>
      <c r="BA1367" s="324" t="s">
        <v>210</v>
      </c>
      <c r="BB1367" s="324" t="s">
        <v>210</v>
      </c>
      <c r="BC1367" s="324" t="s">
        <v>210</v>
      </c>
      <c r="BD1367" s="324" t="s">
        <v>210</v>
      </c>
      <c r="BE1367" s="324" t="s">
        <v>15868</v>
      </c>
      <c r="BF1367" s="324" t="s">
        <v>15869</v>
      </c>
      <c r="BG1367" s="324" t="s">
        <v>15870</v>
      </c>
      <c r="BH1367" s="426" t="s">
        <v>15871</v>
      </c>
      <c r="BI1367" s="453">
        <v>2.2999999999999998</v>
      </c>
      <c r="BJ1367" s="427">
        <v>7.07</v>
      </c>
      <c r="BK1367" s="428" t="s">
        <v>15872</v>
      </c>
      <c r="BL1367" s="429">
        <v>1.25</v>
      </c>
      <c r="BM1367" s="430" t="s">
        <v>210</v>
      </c>
      <c r="BN1367" s="453" t="s">
        <v>622</v>
      </c>
      <c r="BO1367" s="454" t="s">
        <v>15873</v>
      </c>
      <c r="BP1367" s="455" t="s">
        <v>622</v>
      </c>
      <c r="BQ1367" s="456" t="s">
        <v>15874</v>
      </c>
      <c r="BR1367" s="392" t="s">
        <v>210</v>
      </c>
      <c r="BS1367" s="342" t="s">
        <v>622</v>
      </c>
      <c r="BT1367" s="392" t="s">
        <v>210</v>
      </c>
      <c r="BU1367" s="392" t="s">
        <v>210</v>
      </c>
      <c r="BV1367" s="392" t="s">
        <v>210</v>
      </c>
      <c r="BW1367" s="392" t="s">
        <v>210</v>
      </c>
      <c r="BX1367" s="392" t="s">
        <v>210</v>
      </c>
      <c r="BY1367" s="457" t="s">
        <v>15875</v>
      </c>
      <c r="BZ1367" s="363"/>
      <c r="CA1367" s="363"/>
      <c r="CB1367" s="363"/>
      <c r="CC1367" s="363"/>
    </row>
    <row r="1368" spans="1:81" ht="22.5" customHeight="1">
      <c r="B1368" s="493">
        <v>190116</v>
      </c>
      <c r="C1368" s="443" t="s">
        <v>15719</v>
      </c>
      <c r="D1368" s="439" t="s">
        <v>15829</v>
      </c>
      <c r="E1368" s="404" t="s">
        <v>5362</v>
      </c>
      <c r="F1368" s="407" t="s">
        <v>15749</v>
      </c>
      <c r="G1368" s="324" t="s">
        <v>15750</v>
      </c>
      <c r="H1368" s="324" t="s">
        <v>15751</v>
      </c>
      <c r="I1368" s="326" t="s">
        <v>11</v>
      </c>
      <c r="J1368" s="324" t="s">
        <v>7171</v>
      </c>
      <c r="K1368" s="324" t="s">
        <v>15879</v>
      </c>
      <c r="L1368" s="342">
        <v>20</v>
      </c>
      <c r="M1368" s="324" t="s">
        <v>7457</v>
      </c>
      <c r="N1368" s="444" t="s">
        <v>15880</v>
      </c>
      <c r="O1368" s="324">
        <v>100</v>
      </c>
      <c r="P1368" s="445">
        <v>3200</v>
      </c>
      <c r="Q1368" s="446">
        <f>P1368</f>
        <v>3200</v>
      </c>
      <c r="R1368" s="420" t="s">
        <v>1057</v>
      </c>
      <c r="S1368" s="394" t="s">
        <v>11283</v>
      </c>
      <c r="T1368" s="394" t="s">
        <v>11284</v>
      </c>
      <c r="U1368" s="394" t="s">
        <v>16292</v>
      </c>
      <c r="V1368" s="394" t="s">
        <v>11285</v>
      </c>
      <c r="W1368" s="460" t="s">
        <v>10150</v>
      </c>
      <c r="X1368" s="394" t="s">
        <v>13410</v>
      </c>
      <c r="Y1368" s="394" t="s">
        <v>11282</v>
      </c>
      <c r="Z1368" s="394" t="s">
        <v>16323</v>
      </c>
      <c r="AA1368" s="416"/>
      <c r="AB1368" s="416" t="s">
        <v>15720</v>
      </c>
      <c r="AC1368" s="416"/>
      <c r="AD1368" s="498" t="s">
        <v>1591</v>
      </c>
      <c r="AE1368" s="499" t="s">
        <v>210</v>
      </c>
      <c r="AF1368" s="475">
        <v>43963</v>
      </c>
      <c r="AG1368" s="748">
        <v>44015</v>
      </c>
      <c r="AH1368" s="417" t="s">
        <v>210</v>
      </c>
      <c r="AI1368" s="392" t="s">
        <v>210</v>
      </c>
      <c r="AJ1368" s="392" t="s">
        <v>210</v>
      </c>
      <c r="AK1368" s="340" t="s">
        <v>210</v>
      </c>
      <c r="AL1368" s="341" t="s">
        <v>210</v>
      </c>
      <c r="AM1368" s="1270" t="s">
        <v>8761</v>
      </c>
      <c r="AN1368" s="341" t="s">
        <v>210</v>
      </c>
      <c r="AO1368" s="341" t="s">
        <v>210</v>
      </c>
      <c r="AP1368" s="1063" t="s">
        <v>622</v>
      </c>
      <c r="AQ1368" s="429" t="s">
        <v>4547</v>
      </c>
      <c r="AR1368" s="452">
        <f>3299+272</f>
        <v>3571</v>
      </c>
      <c r="AS1368" s="324">
        <v>150</v>
      </c>
      <c r="AT1368" s="432">
        <v>1</v>
      </c>
      <c r="AU1368" s="432" t="s">
        <v>15881</v>
      </c>
      <c r="AV1368" s="432">
        <v>1.2</v>
      </c>
      <c r="AW1368" s="490" t="s">
        <v>3512</v>
      </c>
      <c r="AX1368" s="453" t="s">
        <v>210</v>
      </c>
      <c r="AY1368" s="429" t="s">
        <v>210</v>
      </c>
      <c r="AZ1368" s="405" t="s">
        <v>4083</v>
      </c>
      <c r="BA1368" s="324" t="s">
        <v>210</v>
      </c>
      <c r="BB1368" s="324" t="s">
        <v>210</v>
      </c>
      <c r="BC1368" s="324" t="s">
        <v>210</v>
      </c>
      <c r="BD1368" s="324" t="s">
        <v>210</v>
      </c>
      <c r="BE1368" s="324" t="s">
        <v>15882</v>
      </c>
      <c r="BF1368" s="324" t="s">
        <v>3512</v>
      </c>
      <c r="BG1368" s="324" t="s">
        <v>15883</v>
      </c>
      <c r="BH1368" s="426" t="s">
        <v>15884</v>
      </c>
      <c r="BI1368" s="453">
        <v>3.1</v>
      </c>
      <c r="BJ1368" s="427" t="s">
        <v>15885</v>
      </c>
      <c r="BK1368" s="428" t="s">
        <v>15656</v>
      </c>
      <c r="BL1368" s="429" t="s">
        <v>15656</v>
      </c>
      <c r="BM1368" s="430" t="s">
        <v>210</v>
      </c>
      <c r="BN1368" s="453" t="s">
        <v>622</v>
      </c>
      <c r="BO1368" s="464">
        <v>1.85</v>
      </c>
      <c r="BP1368" s="455" t="s">
        <v>210</v>
      </c>
      <c r="BQ1368" s="456" t="s">
        <v>15887</v>
      </c>
      <c r="BR1368" s="392" t="s">
        <v>210</v>
      </c>
      <c r="BS1368" s="342" t="s">
        <v>622</v>
      </c>
      <c r="BT1368" s="392" t="s">
        <v>210</v>
      </c>
      <c r="BU1368" s="392" t="s">
        <v>210</v>
      </c>
      <c r="BV1368" s="1053" t="s">
        <v>15886</v>
      </c>
      <c r="BW1368" s="392" t="s">
        <v>210</v>
      </c>
      <c r="BX1368" s="392" t="s">
        <v>210</v>
      </c>
      <c r="BY1368" s="457" t="s">
        <v>15888</v>
      </c>
      <c r="BZ1368" s="363"/>
      <c r="CA1368" s="363"/>
      <c r="CB1368" s="363"/>
      <c r="CC1368" s="363"/>
    </row>
    <row r="1369" spans="1:81" ht="22.5" customHeight="1">
      <c r="B1369" s="493">
        <v>190117</v>
      </c>
      <c r="C1369" s="494" t="s">
        <v>15795</v>
      </c>
      <c r="D1369" s="467" t="s">
        <v>15934</v>
      </c>
      <c r="E1369" s="404" t="s">
        <v>15759</v>
      </c>
      <c r="F1369" s="405" t="s">
        <v>15760</v>
      </c>
      <c r="G1369" s="324" t="s">
        <v>15761</v>
      </c>
      <c r="H1369" s="324" t="s">
        <v>15981</v>
      </c>
      <c r="I1369" s="326" t="s">
        <v>11</v>
      </c>
      <c r="J1369" s="326" t="s">
        <v>399</v>
      </c>
      <c r="K1369" s="324" t="s">
        <v>15982</v>
      </c>
      <c r="L1369" s="342" t="s">
        <v>210</v>
      </c>
      <c r="M1369" s="324" t="s">
        <v>7457</v>
      </c>
      <c r="N1369" s="444" t="s">
        <v>15983</v>
      </c>
      <c r="O1369" s="324">
        <v>34</v>
      </c>
      <c r="P1369" s="458">
        <f>Q1369</f>
        <v>1628.29</v>
      </c>
      <c r="Q1369" s="459">
        <f>212.3+729.06+479.41+207.52</f>
        <v>1628.29</v>
      </c>
      <c r="R1369" s="420" t="s">
        <v>15778</v>
      </c>
      <c r="S1369" s="394" t="s">
        <v>15781</v>
      </c>
      <c r="T1369" s="394" t="s">
        <v>15782</v>
      </c>
      <c r="U1369" s="394" t="s">
        <v>15783</v>
      </c>
      <c r="V1369" s="394" t="s">
        <v>15784</v>
      </c>
      <c r="W1369" s="460" t="s">
        <v>15785</v>
      </c>
      <c r="X1369" s="394" t="s">
        <v>15793</v>
      </c>
      <c r="Y1369" s="394" t="s">
        <v>15788</v>
      </c>
      <c r="Z1369" s="394" t="s">
        <v>15794</v>
      </c>
      <c r="AA1369" s="394" t="s">
        <v>15789</v>
      </c>
      <c r="AB1369" s="416" t="s">
        <v>15790</v>
      </c>
      <c r="AC1369" s="416"/>
      <c r="AD1369" s="447" t="s">
        <v>16984</v>
      </c>
      <c r="AE1369" s="499" t="s">
        <v>946</v>
      </c>
      <c r="AF1369" s="475">
        <v>43963</v>
      </c>
      <c r="AG1369" s="748">
        <v>44043</v>
      </c>
      <c r="AH1369" s="417" t="s">
        <v>210</v>
      </c>
      <c r="AI1369" s="392" t="s">
        <v>210</v>
      </c>
      <c r="AJ1369" s="392" t="s">
        <v>210</v>
      </c>
      <c r="AK1369" s="340" t="s">
        <v>210</v>
      </c>
      <c r="AL1369" s="341" t="s">
        <v>210</v>
      </c>
      <c r="AM1369" s="341" t="s">
        <v>210</v>
      </c>
      <c r="AN1369" s="341" t="s">
        <v>210</v>
      </c>
      <c r="AO1369" s="341" t="s">
        <v>210</v>
      </c>
      <c r="AP1369" s="1063" t="s">
        <v>622</v>
      </c>
      <c r="AQ1369" s="429" t="s">
        <v>4547</v>
      </c>
      <c r="AR1369" s="452">
        <f>1731+617</f>
        <v>2348</v>
      </c>
      <c r="AS1369" s="324">
        <v>100</v>
      </c>
      <c r="AT1369" s="432">
        <v>1</v>
      </c>
      <c r="AU1369" s="432" t="s">
        <v>15986</v>
      </c>
      <c r="AV1369" s="432" t="s">
        <v>15985</v>
      </c>
      <c r="AW1369" s="490" t="s">
        <v>15987</v>
      </c>
      <c r="AX1369" s="453" t="s">
        <v>210</v>
      </c>
      <c r="AY1369" s="429" t="s">
        <v>210</v>
      </c>
      <c r="AZ1369" s="405" t="s">
        <v>622</v>
      </c>
      <c r="BA1369" s="324" t="s">
        <v>3458</v>
      </c>
      <c r="BB1369" s="324" t="s">
        <v>3372</v>
      </c>
      <c r="BC1369" s="324" t="s">
        <v>15988</v>
      </c>
      <c r="BD1369" s="324" t="s">
        <v>15989</v>
      </c>
      <c r="BE1369" s="324" t="s">
        <v>15990</v>
      </c>
      <c r="BF1369" s="324" t="s">
        <v>15989</v>
      </c>
      <c r="BG1369" s="324" t="s">
        <v>15991</v>
      </c>
      <c r="BH1369" s="426" t="s">
        <v>15992</v>
      </c>
      <c r="BI1369" s="453">
        <v>1.45</v>
      </c>
      <c r="BJ1369" s="427">
        <v>1.1299999999999999</v>
      </c>
      <c r="BK1369" s="428" t="s">
        <v>15993</v>
      </c>
      <c r="BL1369" s="429">
        <v>8.85</v>
      </c>
      <c r="BM1369" s="430" t="s">
        <v>210</v>
      </c>
      <c r="BN1369" s="453" t="s">
        <v>622</v>
      </c>
      <c r="BO1369" s="464">
        <v>1.25</v>
      </c>
      <c r="BP1369" s="492"/>
      <c r="BQ1369" s="456" t="s">
        <v>10959</v>
      </c>
      <c r="BR1369" s="342" t="s">
        <v>622</v>
      </c>
      <c r="BS1369" s="342" t="s">
        <v>622</v>
      </c>
      <c r="BT1369" s="392" t="s">
        <v>210</v>
      </c>
      <c r="BU1369" s="392" t="s">
        <v>210</v>
      </c>
      <c r="BV1369" s="392" t="s">
        <v>210</v>
      </c>
      <c r="BW1369" s="392" t="s">
        <v>210</v>
      </c>
      <c r="BX1369" s="392" t="s">
        <v>210</v>
      </c>
      <c r="BY1369" s="457" t="s">
        <v>16022</v>
      </c>
      <c r="BZ1369" s="363"/>
      <c r="CA1369" s="363"/>
      <c r="CB1369" s="363"/>
      <c r="CC1369" s="363"/>
    </row>
    <row r="1370" spans="1:81" ht="22.5" customHeight="1">
      <c r="B1370" s="493">
        <v>190118</v>
      </c>
      <c r="C1370" s="443" t="s">
        <v>16124</v>
      </c>
      <c r="D1370" s="439" t="s">
        <v>16057</v>
      </c>
      <c r="E1370" s="404" t="s">
        <v>5363</v>
      </c>
      <c r="F1370" s="405" t="s">
        <v>265</v>
      </c>
      <c r="G1370" s="324" t="s">
        <v>15978</v>
      </c>
      <c r="H1370" s="324" t="s">
        <v>15979</v>
      </c>
      <c r="I1370" s="326" t="s">
        <v>11</v>
      </c>
      <c r="J1370" s="324" t="s">
        <v>7171</v>
      </c>
      <c r="K1370" s="324" t="s">
        <v>247</v>
      </c>
      <c r="L1370" s="342" t="s">
        <v>210</v>
      </c>
      <c r="M1370" s="324" t="s">
        <v>9103</v>
      </c>
      <c r="N1370" s="444" t="s">
        <v>15744</v>
      </c>
      <c r="O1370" s="324">
        <v>21</v>
      </c>
      <c r="P1370" s="458">
        <v>1416.14</v>
      </c>
      <c r="Q1370" s="459">
        <v>671.77</v>
      </c>
      <c r="R1370" s="329" t="s">
        <v>7442</v>
      </c>
      <c r="S1370" s="331" t="s">
        <v>15878</v>
      </c>
      <c r="T1370" s="394" t="s">
        <v>14985</v>
      </c>
      <c r="U1370" s="394" t="s">
        <v>14984</v>
      </c>
      <c r="V1370" s="331" t="s">
        <v>15877</v>
      </c>
      <c r="W1370" s="332" t="s">
        <v>432</v>
      </c>
      <c r="X1370" s="331" t="s">
        <v>210</v>
      </c>
      <c r="Y1370" s="331" t="s">
        <v>210</v>
      </c>
      <c r="Z1370" s="331" t="s">
        <v>210</v>
      </c>
      <c r="AA1370" s="331" t="s">
        <v>210</v>
      </c>
      <c r="AB1370" s="416" t="s">
        <v>16099</v>
      </c>
      <c r="AC1370" s="416"/>
      <c r="AD1370" s="447" t="s">
        <v>17797</v>
      </c>
      <c r="AE1370" s="499" t="s">
        <v>17799</v>
      </c>
      <c r="AF1370" s="475">
        <v>43969</v>
      </c>
      <c r="AG1370" s="748">
        <v>44113</v>
      </c>
      <c r="AH1370" s="486" t="s">
        <v>16638</v>
      </c>
      <c r="AI1370" s="487" t="s">
        <v>16639</v>
      </c>
      <c r="AJ1370" s="487" t="s">
        <v>16640</v>
      </c>
      <c r="AK1370" s="451" t="s">
        <v>16641</v>
      </c>
      <c r="AL1370" s="341" t="s">
        <v>210</v>
      </c>
      <c r="AM1370" s="341" t="s">
        <v>210</v>
      </c>
      <c r="AN1370" s="341" t="s">
        <v>210</v>
      </c>
      <c r="AO1370" s="341" t="s">
        <v>210</v>
      </c>
      <c r="AP1370" s="1063" t="s">
        <v>622</v>
      </c>
      <c r="AQ1370" s="429" t="s">
        <v>4547</v>
      </c>
      <c r="AR1370" s="452">
        <v>789</v>
      </c>
      <c r="AS1370" s="324">
        <v>150</v>
      </c>
      <c r="AT1370" s="432">
        <v>1</v>
      </c>
      <c r="AU1370" s="432" t="s">
        <v>16886</v>
      </c>
      <c r="AV1370" s="432">
        <v>1.5</v>
      </c>
      <c r="AW1370" s="490" t="s">
        <v>16887</v>
      </c>
      <c r="AX1370" s="453" t="s">
        <v>210</v>
      </c>
      <c r="AY1370" s="429" t="s">
        <v>210</v>
      </c>
      <c r="AZ1370" s="405" t="s">
        <v>622</v>
      </c>
      <c r="BA1370" s="324" t="s">
        <v>16071</v>
      </c>
      <c r="BB1370" s="324" t="s">
        <v>16072</v>
      </c>
      <c r="BC1370" s="324" t="s">
        <v>16073</v>
      </c>
      <c r="BD1370" s="324" t="s">
        <v>6579</v>
      </c>
      <c r="BE1370" s="324" t="s">
        <v>16074</v>
      </c>
      <c r="BF1370" s="324" t="s">
        <v>16075</v>
      </c>
      <c r="BG1370" s="324" t="s">
        <v>16076</v>
      </c>
      <c r="BH1370" s="324" t="s">
        <v>6579</v>
      </c>
      <c r="BI1370" s="453">
        <v>2.5</v>
      </c>
      <c r="BJ1370" s="427">
        <v>1.6</v>
      </c>
      <c r="BK1370" s="428" t="s">
        <v>16642</v>
      </c>
      <c r="BL1370" s="429">
        <f>0.9+0.9+0.6</f>
        <v>2.4</v>
      </c>
      <c r="BM1370" s="430" t="s">
        <v>210</v>
      </c>
      <c r="BN1370" s="453" t="s">
        <v>622</v>
      </c>
      <c r="BO1370" s="464">
        <v>1.31</v>
      </c>
      <c r="BP1370" s="455" t="s">
        <v>622</v>
      </c>
      <c r="BQ1370" s="456" t="s">
        <v>10959</v>
      </c>
      <c r="BR1370" s="392" t="s">
        <v>210</v>
      </c>
      <c r="BS1370" s="342" t="s">
        <v>622</v>
      </c>
      <c r="BT1370" s="392" t="s">
        <v>210</v>
      </c>
      <c r="BU1370" s="392" t="s">
        <v>210</v>
      </c>
      <c r="BV1370" s="392" t="s">
        <v>210</v>
      </c>
      <c r="BW1370" s="392" t="s">
        <v>210</v>
      </c>
      <c r="BX1370" s="392" t="s">
        <v>210</v>
      </c>
      <c r="BY1370" s="457" t="s">
        <v>16637</v>
      </c>
      <c r="BZ1370" s="363"/>
      <c r="CA1370" s="363"/>
      <c r="CB1370" s="363"/>
      <c r="CC1370" s="363"/>
    </row>
    <row r="1371" spans="1:81" ht="22.5" customHeight="1">
      <c r="B1371" s="493">
        <v>190119</v>
      </c>
      <c r="C1371" s="443" t="s">
        <v>15831</v>
      </c>
      <c r="D1371" s="467" t="s">
        <v>15935</v>
      </c>
      <c r="E1371" s="404" t="s">
        <v>5362</v>
      </c>
      <c r="F1371" s="405" t="s">
        <v>15832</v>
      </c>
      <c r="G1371" s="324" t="s">
        <v>15833</v>
      </c>
      <c r="H1371" s="324" t="s">
        <v>16014</v>
      </c>
      <c r="I1371" s="326" t="s">
        <v>11</v>
      </c>
      <c r="J1371" s="326" t="s">
        <v>399</v>
      </c>
      <c r="K1371" s="324" t="s">
        <v>917</v>
      </c>
      <c r="L1371" s="342" t="s">
        <v>210</v>
      </c>
      <c r="M1371" s="324" t="s">
        <v>7457</v>
      </c>
      <c r="N1371" s="444" t="s">
        <v>437</v>
      </c>
      <c r="O1371" s="324">
        <v>30</v>
      </c>
      <c r="P1371" s="458">
        <v>2866.11</v>
      </c>
      <c r="Q1371" s="459">
        <v>2885.02</v>
      </c>
      <c r="R1371" s="420" t="s">
        <v>15834</v>
      </c>
      <c r="S1371" s="394" t="s">
        <v>15841</v>
      </c>
      <c r="T1371" s="394" t="s">
        <v>15843</v>
      </c>
      <c r="U1371" s="394" t="s">
        <v>15842</v>
      </c>
      <c r="V1371" s="394" t="s">
        <v>15844</v>
      </c>
      <c r="W1371" s="460" t="s">
        <v>15899</v>
      </c>
      <c r="X1371" s="394" t="s">
        <v>15897</v>
      </c>
      <c r="Y1371" s="513"/>
      <c r="Z1371" s="513"/>
      <c r="AA1371" s="394" t="s">
        <v>15898</v>
      </c>
      <c r="AB1371" s="416" t="s">
        <v>16053</v>
      </c>
      <c r="AC1371" s="416"/>
      <c r="AD1371" s="447" t="s">
        <v>16599</v>
      </c>
      <c r="AE1371" s="499" t="s">
        <v>210</v>
      </c>
      <c r="AF1371" s="475">
        <v>43970</v>
      </c>
      <c r="AG1371" s="748">
        <v>44020</v>
      </c>
      <c r="AH1371" s="417" t="s">
        <v>210</v>
      </c>
      <c r="AI1371" s="392" t="s">
        <v>210</v>
      </c>
      <c r="AJ1371" s="392" t="s">
        <v>210</v>
      </c>
      <c r="AK1371" s="340" t="s">
        <v>210</v>
      </c>
      <c r="AL1371" s="341" t="s">
        <v>210</v>
      </c>
      <c r="AM1371" s="341" t="s">
        <v>210</v>
      </c>
      <c r="AN1371" s="392" t="s">
        <v>210</v>
      </c>
      <c r="AO1371" s="392" t="s">
        <v>210</v>
      </c>
      <c r="AP1371" s="1063" t="s">
        <v>622</v>
      </c>
      <c r="AQ1371" s="1071" t="s">
        <v>4547</v>
      </c>
      <c r="AR1371" s="452">
        <v>3264</v>
      </c>
      <c r="AS1371" s="324">
        <v>80</v>
      </c>
      <c r="AT1371" s="432">
        <v>1</v>
      </c>
      <c r="AU1371" s="432" t="s">
        <v>3443</v>
      </c>
      <c r="AV1371" s="432">
        <v>1.5</v>
      </c>
      <c r="AW1371" s="490" t="s">
        <v>16015</v>
      </c>
      <c r="AX1371" s="453" t="s">
        <v>210</v>
      </c>
      <c r="AY1371" s="429" t="s">
        <v>210</v>
      </c>
      <c r="AZ1371" s="405" t="s">
        <v>622</v>
      </c>
      <c r="BA1371" s="324" t="s">
        <v>16016</v>
      </c>
      <c r="BB1371" s="324" t="s">
        <v>16017</v>
      </c>
      <c r="BC1371" s="324" t="s">
        <v>16018</v>
      </c>
      <c r="BD1371" s="324" t="s">
        <v>16019</v>
      </c>
      <c r="BE1371" s="324" t="s">
        <v>210</v>
      </c>
      <c r="BF1371" s="324" t="s">
        <v>210</v>
      </c>
      <c r="BG1371" s="324" t="s">
        <v>210</v>
      </c>
      <c r="BH1371" s="324" t="s">
        <v>210</v>
      </c>
      <c r="BI1371" s="453">
        <v>1.1000000000000001</v>
      </c>
      <c r="BJ1371" s="427">
        <v>1.96</v>
      </c>
      <c r="BK1371" s="428" t="s">
        <v>16017</v>
      </c>
      <c r="BL1371" s="429">
        <v>3.2</v>
      </c>
      <c r="BM1371" s="430" t="s">
        <v>210</v>
      </c>
      <c r="BN1371" s="453" t="s">
        <v>622</v>
      </c>
      <c r="BO1371" s="464">
        <v>1.25</v>
      </c>
      <c r="BP1371" s="492"/>
      <c r="BQ1371" s="456" t="s">
        <v>10959</v>
      </c>
      <c r="BR1371" s="342" t="s">
        <v>622</v>
      </c>
      <c r="BS1371" s="342" t="s">
        <v>622</v>
      </c>
      <c r="BT1371" s="392" t="s">
        <v>210</v>
      </c>
      <c r="BU1371" s="392" t="s">
        <v>210</v>
      </c>
      <c r="BV1371" s="392" t="s">
        <v>210</v>
      </c>
      <c r="BW1371" s="392" t="s">
        <v>210</v>
      </c>
      <c r="BX1371" s="392" t="s">
        <v>210</v>
      </c>
      <c r="BY1371" s="457" t="s">
        <v>16021</v>
      </c>
      <c r="BZ1371" s="363"/>
      <c r="CA1371" s="363"/>
      <c r="CB1371" s="363"/>
      <c r="CC1371" s="363"/>
    </row>
    <row r="1372" spans="1:81" ht="22.5" customHeight="1">
      <c r="B1372" s="493">
        <v>190120</v>
      </c>
      <c r="C1372" s="494" t="s">
        <v>15962</v>
      </c>
      <c r="D1372" s="467" t="s">
        <v>15086</v>
      </c>
      <c r="E1372" s="404" t="s">
        <v>5362</v>
      </c>
      <c r="F1372" s="405" t="s">
        <v>15959</v>
      </c>
      <c r="G1372" s="324" t="s">
        <v>15960</v>
      </c>
      <c r="H1372" s="324" t="s">
        <v>15961</v>
      </c>
      <c r="I1372" s="326" t="s">
        <v>11</v>
      </c>
      <c r="J1372" s="326" t="s">
        <v>399</v>
      </c>
      <c r="K1372" s="324" t="s">
        <v>917</v>
      </c>
      <c r="L1372" s="342" t="s">
        <v>210</v>
      </c>
      <c r="M1372" s="324" t="s">
        <v>7457</v>
      </c>
      <c r="N1372" s="444" t="s">
        <v>437</v>
      </c>
      <c r="O1372" s="324">
        <v>200</v>
      </c>
      <c r="P1372" s="458">
        <v>1148.28</v>
      </c>
      <c r="Q1372" s="459">
        <v>1161.48</v>
      </c>
      <c r="R1372" s="420" t="s">
        <v>15958</v>
      </c>
      <c r="S1372" s="513"/>
      <c r="T1372" s="394" t="s">
        <v>11262</v>
      </c>
      <c r="U1372" s="394" t="s">
        <v>16414</v>
      </c>
      <c r="V1372" s="394" t="s">
        <v>11263</v>
      </c>
      <c r="W1372" s="332" t="s">
        <v>1096</v>
      </c>
      <c r="X1372" s="331" t="s">
        <v>12845</v>
      </c>
      <c r="Y1372" s="331" t="s">
        <v>11249</v>
      </c>
      <c r="Z1372" s="331" t="s">
        <v>12847</v>
      </c>
      <c r="AA1372" s="331" t="s">
        <v>12846</v>
      </c>
      <c r="AB1372" s="416"/>
      <c r="AC1372" s="416"/>
      <c r="AD1372" s="461"/>
      <c r="AE1372" s="499" t="s">
        <v>210</v>
      </c>
      <c r="AF1372" s="475">
        <v>43972</v>
      </c>
      <c r="AG1372" s="748">
        <v>44046</v>
      </c>
      <c r="AH1372" s="417" t="s">
        <v>210</v>
      </c>
      <c r="AI1372" s="392" t="s">
        <v>210</v>
      </c>
      <c r="AJ1372" s="392" t="s">
        <v>210</v>
      </c>
      <c r="AK1372" s="340" t="s">
        <v>210</v>
      </c>
      <c r="AL1372" s="341" t="s">
        <v>210</v>
      </c>
      <c r="AM1372" s="341" t="s">
        <v>210</v>
      </c>
      <c r="AN1372" s="425" t="s">
        <v>8760</v>
      </c>
      <c r="AO1372" s="392" t="s">
        <v>210</v>
      </c>
      <c r="AP1372" s="392" t="s">
        <v>210</v>
      </c>
      <c r="AQ1372" s="1071" t="s">
        <v>4547</v>
      </c>
      <c r="AR1372" s="452">
        <v>1332</v>
      </c>
      <c r="AS1372" s="324">
        <v>120</v>
      </c>
      <c r="AT1372" s="432">
        <v>1</v>
      </c>
      <c r="AU1372" s="432" t="s">
        <v>3443</v>
      </c>
      <c r="AV1372" s="432">
        <v>1.5</v>
      </c>
      <c r="AW1372" s="490" t="s">
        <v>16034</v>
      </c>
      <c r="AX1372" s="453" t="s">
        <v>210</v>
      </c>
      <c r="AY1372" s="429" t="s">
        <v>210</v>
      </c>
      <c r="AZ1372" s="405" t="s">
        <v>622</v>
      </c>
      <c r="BA1372" s="324" t="s">
        <v>15963</v>
      </c>
      <c r="BB1372" s="324" t="s">
        <v>15964</v>
      </c>
      <c r="BC1372" s="324" t="s">
        <v>15965</v>
      </c>
      <c r="BD1372" s="324" t="s">
        <v>15966</v>
      </c>
      <c r="BE1372" s="324" t="s">
        <v>15967</v>
      </c>
      <c r="BF1372" s="324" t="s">
        <v>15968</v>
      </c>
      <c r="BG1372" s="324" t="s">
        <v>15969</v>
      </c>
      <c r="BH1372" s="426" t="s">
        <v>15970</v>
      </c>
      <c r="BI1372" s="453">
        <v>2.1</v>
      </c>
      <c r="BJ1372" s="411"/>
      <c r="BK1372" s="428" t="s">
        <v>15971</v>
      </c>
      <c r="BL1372" s="429">
        <v>15</v>
      </c>
      <c r="BM1372" s="414"/>
      <c r="BN1372" s="410"/>
      <c r="BO1372" s="502"/>
      <c r="BP1372" s="455" t="s">
        <v>210</v>
      </c>
      <c r="BQ1372" s="456" t="s">
        <v>10959</v>
      </c>
      <c r="BR1372" s="392" t="s">
        <v>210</v>
      </c>
      <c r="BS1372" s="342" t="s">
        <v>622</v>
      </c>
      <c r="BT1372" s="392" t="s">
        <v>210</v>
      </c>
      <c r="BU1372" s="392" t="s">
        <v>210</v>
      </c>
      <c r="BV1372" s="392" t="s">
        <v>210</v>
      </c>
      <c r="BW1372" s="392" t="s">
        <v>210</v>
      </c>
      <c r="BX1372" s="392" t="s">
        <v>210</v>
      </c>
      <c r="BY1372" s="457" t="s">
        <v>16078</v>
      </c>
      <c r="BZ1372" s="363"/>
      <c r="CA1372" s="363"/>
      <c r="CB1372" s="363"/>
      <c r="CC1372" s="363"/>
    </row>
    <row r="1373" spans="1:81" ht="22.5" customHeight="1">
      <c r="B1373" s="493">
        <v>190121</v>
      </c>
      <c r="C1373" s="443" t="s">
        <v>15944</v>
      </c>
      <c r="D1373" s="467" t="s">
        <v>16035</v>
      </c>
      <c r="E1373" s="404" t="s">
        <v>5362</v>
      </c>
      <c r="F1373" s="405" t="s">
        <v>15939</v>
      </c>
      <c r="G1373" s="324" t="s">
        <v>15936</v>
      </c>
      <c r="H1373" s="324" t="s">
        <v>15937</v>
      </c>
      <c r="I1373" s="326" t="s">
        <v>11</v>
      </c>
      <c r="J1373" s="326" t="s">
        <v>399</v>
      </c>
      <c r="K1373" s="324" t="s">
        <v>15938</v>
      </c>
      <c r="L1373" s="342">
        <v>20</v>
      </c>
      <c r="M1373" s="324" t="s">
        <v>7457</v>
      </c>
      <c r="N1373" s="444" t="s">
        <v>16086</v>
      </c>
      <c r="O1373" s="324">
        <v>50</v>
      </c>
      <c r="P1373" s="445">
        <f>Q1373</f>
        <v>690</v>
      </c>
      <c r="Q1373" s="446">
        <f>430+260</f>
        <v>690</v>
      </c>
      <c r="R1373" s="420" t="s">
        <v>15862</v>
      </c>
      <c r="S1373" s="394" t="s">
        <v>15940</v>
      </c>
      <c r="T1373" s="394" t="s">
        <v>15941</v>
      </c>
      <c r="U1373" s="513"/>
      <c r="V1373" s="394" t="s">
        <v>15942</v>
      </c>
      <c r="W1373" s="332" t="s">
        <v>3601</v>
      </c>
      <c r="X1373" s="332" t="s">
        <v>12614</v>
      </c>
      <c r="Y1373" s="332" t="s">
        <v>12617</v>
      </c>
      <c r="Z1373" s="332" t="s">
        <v>12615</v>
      </c>
      <c r="AA1373" s="394" t="s">
        <v>12616</v>
      </c>
      <c r="AB1373" s="416" t="s">
        <v>16096</v>
      </c>
      <c r="AC1373" s="416"/>
      <c r="AD1373" s="447" t="s">
        <v>17037</v>
      </c>
      <c r="AE1373" s="499" t="s">
        <v>17035</v>
      </c>
      <c r="AF1373" s="475">
        <v>43973</v>
      </c>
      <c r="AG1373" s="389"/>
      <c r="AH1373" s="417" t="s">
        <v>210</v>
      </c>
      <c r="AI1373" s="392" t="s">
        <v>210</v>
      </c>
      <c r="AJ1373" s="392" t="s">
        <v>210</v>
      </c>
      <c r="AK1373" s="340" t="s">
        <v>210</v>
      </c>
      <c r="AL1373" s="341" t="s">
        <v>210</v>
      </c>
      <c r="AM1373" s="341" t="s">
        <v>210</v>
      </c>
      <c r="AN1373" s="392" t="s">
        <v>210</v>
      </c>
      <c r="AO1373" s="392" t="s">
        <v>210</v>
      </c>
      <c r="AP1373" s="425" t="s">
        <v>622</v>
      </c>
      <c r="AQ1373" s="1071" t="s">
        <v>4547</v>
      </c>
      <c r="AR1373" s="452">
        <v>985</v>
      </c>
      <c r="AS1373" s="324">
        <v>100</v>
      </c>
      <c r="AT1373" s="432">
        <v>1</v>
      </c>
      <c r="AU1373" s="432" t="s">
        <v>16087</v>
      </c>
      <c r="AV1373" s="432">
        <v>1.5</v>
      </c>
      <c r="AW1373" s="490" t="s">
        <v>16088</v>
      </c>
      <c r="AX1373" s="453" t="s">
        <v>210</v>
      </c>
      <c r="AY1373" s="429" t="s">
        <v>210</v>
      </c>
      <c r="AZ1373" s="405" t="s">
        <v>4083</v>
      </c>
      <c r="BA1373" s="324" t="s">
        <v>210</v>
      </c>
      <c r="BB1373" s="324" t="s">
        <v>210</v>
      </c>
      <c r="BC1373" s="324" t="s">
        <v>16093</v>
      </c>
      <c r="BD1373" s="324" t="s">
        <v>3372</v>
      </c>
      <c r="BE1373" s="324" t="s">
        <v>16089</v>
      </c>
      <c r="BF1373" s="324" t="s">
        <v>16090</v>
      </c>
      <c r="BG1373" s="324" t="s">
        <v>16091</v>
      </c>
      <c r="BH1373" s="426" t="s">
        <v>16092</v>
      </c>
      <c r="BI1373" s="453">
        <v>1.6</v>
      </c>
      <c r="BJ1373" s="427">
        <v>2.35</v>
      </c>
      <c r="BK1373" s="428" t="s">
        <v>16094</v>
      </c>
      <c r="BL1373" s="429">
        <v>3</v>
      </c>
      <c r="BM1373" s="430" t="s">
        <v>210</v>
      </c>
      <c r="BN1373" s="453" t="s">
        <v>622</v>
      </c>
      <c r="BO1373" s="454">
        <v>0.99</v>
      </c>
      <c r="BP1373" s="455" t="s">
        <v>622</v>
      </c>
      <c r="BQ1373" s="456" t="s">
        <v>10350</v>
      </c>
      <c r="BR1373" s="392" t="s">
        <v>210</v>
      </c>
      <c r="BS1373" s="342" t="s">
        <v>622</v>
      </c>
      <c r="BT1373" s="392" t="s">
        <v>210</v>
      </c>
      <c r="BU1373" s="392" t="s">
        <v>210</v>
      </c>
      <c r="BV1373" s="392" t="s">
        <v>210</v>
      </c>
      <c r="BW1373" s="392" t="s">
        <v>210</v>
      </c>
      <c r="BX1373" s="392" t="s">
        <v>210</v>
      </c>
      <c r="BY1373" s="457" t="s">
        <v>16095</v>
      </c>
      <c r="BZ1373" s="363"/>
      <c r="CA1373" s="363"/>
      <c r="CB1373" s="363"/>
      <c r="CC1373" s="363"/>
    </row>
    <row r="1374" spans="1:81" ht="22.5" customHeight="1">
      <c r="A1374" s="288"/>
      <c r="B1374" s="493">
        <v>190122</v>
      </c>
      <c r="C1374" s="443" t="s">
        <v>15706</v>
      </c>
      <c r="D1374" s="467" t="s">
        <v>16544</v>
      </c>
      <c r="E1374" s="404" t="s">
        <v>5363</v>
      </c>
      <c r="F1374" s="405" t="s">
        <v>15616</v>
      </c>
      <c r="G1374" s="324" t="s">
        <v>15945</v>
      </c>
      <c r="H1374" s="408"/>
      <c r="I1374" s="326" t="s">
        <v>11</v>
      </c>
      <c r="J1374" s="408"/>
      <c r="K1374" s="324" t="s">
        <v>917</v>
      </c>
      <c r="L1374" s="342" t="s">
        <v>210</v>
      </c>
      <c r="M1374" s="408"/>
      <c r="N1374" s="511"/>
      <c r="O1374" s="408"/>
      <c r="P1374" s="495"/>
      <c r="Q1374" s="497"/>
      <c r="R1374" s="332" t="s">
        <v>432</v>
      </c>
      <c r="S1374" s="331" t="s">
        <v>210</v>
      </c>
      <c r="T1374" s="331" t="s">
        <v>210</v>
      </c>
      <c r="U1374" s="331" t="s">
        <v>210</v>
      </c>
      <c r="V1374" s="331" t="s">
        <v>210</v>
      </c>
      <c r="W1374" s="332" t="s">
        <v>432</v>
      </c>
      <c r="X1374" s="331" t="s">
        <v>210</v>
      </c>
      <c r="Y1374" s="331" t="s">
        <v>210</v>
      </c>
      <c r="Z1374" s="331" t="s">
        <v>210</v>
      </c>
      <c r="AA1374" s="331" t="s">
        <v>210</v>
      </c>
      <c r="AB1374" s="416" t="s">
        <v>16099</v>
      </c>
      <c r="AC1374" s="416"/>
      <c r="AD1374" s="461"/>
      <c r="AE1374" s="485"/>
      <c r="AF1374" s="475">
        <v>43978</v>
      </c>
      <c r="AG1374" s="389"/>
      <c r="AH1374" s="410"/>
      <c r="AI1374" s="500"/>
      <c r="AJ1374" s="500"/>
      <c r="AK1374" s="371"/>
      <c r="AL1374" s="341" t="s">
        <v>210</v>
      </c>
      <c r="AM1374" s="341" t="s">
        <v>210</v>
      </c>
      <c r="AN1374" s="347"/>
      <c r="AO1374" s="392" t="s">
        <v>210</v>
      </c>
      <c r="AP1374" s="425" t="s">
        <v>622</v>
      </c>
      <c r="AQ1374" s="1071" t="s">
        <v>4547</v>
      </c>
      <c r="AR1374" s="501"/>
      <c r="AS1374" s="408"/>
      <c r="AT1374" s="500"/>
      <c r="AU1374" s="500"/>
      <c r="AV1374" s="500"/>
      <c r="AW1374" s="422"/>
      <c r="AX1374" s="410"/>
      <c r="AY1374" s="413"/>
      <c r="AZ1374" s="407"/>
      <c r="BA1374" s="408"/>
      <c r="BB1374" s="408"/>
      <c r="BC1374" s="408"/>
      <c r="BD1374" s="408"/>
      <c r="BE1374" s="408"/>
      <c r="BF1374" s="408"/>
      <c r="BG1374" s="408"/>
      <c r="BH1374" s="409"/>
      <c r="BI1374" s="410"/>
      <c r="BJ1374" s="411"/>
      <c r="BK1374" s="412"/>
      <c r="BL1374" s="413"/>
      <c r="BM1374" s="414"/>
      <c r="BN1374" s="410"/>
      <c r="BO1374" s="502"/>
      <c r="BP1374" s="492"/>
      <c r="BQ1374" s="456" t="s">
        <v>917</v>
      </c>
      <c r="BR1374" s="392" t="s">
        <v>210</v>
      </c>
      <c r="BS1374" s="361"/>
      <c r="BT1374" s="392" t="s">
        <v>210</v>
      </c>
      <c r="BU1374" s="392" t="s">
        <v>210</v>
      </c>
      <c r="BV1374" s="392" t="s">
        <v>210</v>
      </c>
      <c r="BW1374" s="392" t="s">
        <v>210</v>
      </c>
      <c r="BX1374" s="392" t="s">
        <v>210</v>
      </c>
      <c r="BY1374" s="457" t="s">
        <v>18103</v>
      </c>
      <c r="BZ1374" s="363"/>
      <c r="CA1374" s="363"/>
      <c r="CB1374" s="363"/>
      <c r="CC1374" s="363"/>
    </row>
    <row r="1375" spans="1:81" ht="22.5" customHeight="1">
      <c r="B1375" s="493">
        <v>190123</v>
      </c>
      <c r="C1375" s="494" t="s">
        <v>17568</v>
      </c>
      <c r="D1375" s="467" t="s">
        <v>17566</v>
      </c>
      <c r="E1375" s="404" t="s">
        <v>5362</v>
      </c>
      <c r="F1375" s="405" t="s">
        <v>15906</v>
      </c>
      <c r="G1375" s="324" t="s">
        <v>15907</v>
      </c>
      <c r="H1375" s="324" t="s">
        <v>15908</v>
      </c>
      <c r="I1375" s="326" t="s">
        <v>11</v>
      </c>
      <c r="J1375" s="326" t="s">
        <v>399</v>
      </c>
      <c r="K1375" s="324" t="s">
        <v>16012</v>
      </c>
      <c r="L1375" s="342">
        <v>30</v>
      </c>
      <c r="M1375" s="324" t="s">
        <v>7457</v>
      </c>
      <c r="N1375" s="444" t="s">
        <v>17567</v>
      </c>
      <c r="O1375" s="324">
        <v>35</v>
      </c>
      <c r="P1375" s="445">
        <f>880+890</f>
        <v>1770</v>
      </c>
      <c r="Q1375" s="446">
        <f>P1375</f>
        <v>1770</v>
      </c>
      <c r="R1375" s="420" t="s">
        <v>16030</v>
      </c>
      <c r="S1375" s="394" t="s">
        <v>17594</v>
      </c>
      <c r="T1375" s="394" t="s">
        <v>17596</v>
      </c>
      <c r="U1375" s="394" t="s">
        <v>17597</v>
      </c>
      <c r="V1375" s="394" t="s">
        <v>17595</v>
      </c>
      <c r="W1375" s="460" t="s">
        <v>15910</v>
      </c>
      <c r="X1375" s="394" t="s">
        <v>16027</v>
      </c>
      <c r="Y1375" s="394" t="s">
        <v>16029</v>
      </c>
      <c r="Z1375" s="394" t="s">
        <v>16028</v>
      </c>
      <c r="AA1375" s="394" t="s">
        <v>11509</v>
      </c>
      <c r="AB1375" s="416"/>
      <c r="AC1375" s="416"/>
      <c r="AD1375" s="461"/>
      <c r="AE1375" s="485"/>
      <c r="AF1375" s="475">
        <v>43983</v>
      </c>
      <c r="AG1375" s="389"/>
      <c r="AH1375" s="417" t="s">
        <v>210</v>
      </c>
      <c r="AI1375" s="392" t="s">
        <v>210</v>
      </c>
      <c r="AJ1375" s="392" t="s">
        <v>210</v>
      </c>
      <c r="AK1375" s="340" t="s">
        <v>210</v>
      </c>
      <c r="AL1375" s="341" t="s">
        <v>210</v>
      </c>
      <c r="AM1375" s="341" t="s">
        <v>210</v>
      </c>
      <c r="AN1375" s="392" t="s">
        <v>210</v>
      </c>
      <c r="AO1375" s="392" t="s">
        <v>210</v>
      </c>
      <c r="AP1375" s="392" t="s">
        <v>210</v>
      </c>
      <c r="AQ1375" s="433" t="s">
        <v>16033</v>
      </c>
      <c r="AR1375" s="452">
        <f>1061+1055</f>
        <v>2116</v>
      </c>
      <c r="AS1375" s="324">
        <v>50</v>
      </c>
      <c r="AT1375" s="432">
        <v>1</v>
      </c>
      <c r="AU1375" s="432" t="s">
        <v>17570</v>
      </c>
      <c r="AV1375" s="432">
        <v>1.5</v>
      </c>
      <c r="AW1375" s="432" t="s">
        <v>17570</v>
      </c>
      <c r="AX1375" s="453" t="s">
        <v>210</v>
      </c>
      <c r="AY1375" s="429" t="s">
        <v>210</v>
      </c>
      <c r="AZ1375" s="405" t="s">
        <v>4083</v>
      </c>
      <c r="BA1375" s="324" t="s">
        <v>210</v>
      </c>
      <c r="BB1375" s="324" t="s">
        <v>210</v>
      </c>
      <c r="BC1375" s="324" t="s">
        <v>17571</v>
      </c>
      <c r="BD1375" s="324" t="s">
        <v>17570</v>
      </c>
      <c r="BE1375" s="324" t="s">
        <v>17572</v>
      </c>
      <c r="BF1375" s="324" t="s">
        <v>17573</v>
      </c>
      <c r="BG1375" s="324" t="s">
        <v>17574</v>
      </c>
      <c r="BH1375" s="426" t="s">
        <v>17575</v>
      </c>
      <c r="BI1375" s="453">
        <v>7.5</v>
      </c>
      <c r="BJ1375" s="427">
        <v>1.2</v>
      </c>
      <c r="BK1375" s="428" t="s">
        <v>17573</v>
      </c>
      <c r="BL1375" s="429">
        <v>0.9</v>
      </c>
      <c r="BM1375" s="430" t="s">
        <v>210</v>
      </c>
      <c r="BN1375" s="453" t="s">
        <v>622</v>
      </c>
      <c r="BO1375" s="454">
        <v>1.25</v>
      </c>
      <c r="BP1375" s="455" t="s">
        <v>622</v>
      </c>
      <c r="BQ1375" s="456" t="s">
        <v>247</v>
      </c>
      <c r="BR1375" s="392" t="s">
        <v>210</v>
      </c>
      <c r="BS1375" s="342" t="s">
        <v>622</v>
      </c>
      <c r="BT1375" s="392" t="s">
        <v>210</v>
      </c>
      <c r="BU1375" s="392" t="s">
        <v>210</v>
      </c>
      <c r="BV1375" s="392" t="s">
        <v>210</v>
      </c>
      <c r="BW1375" s="392" t="s">
        <v>210</v>
      </c>
      <c r="BX1375" s="392" t="s">
        <v>210</v>
      </c>
      <c r="BY1375" s="457" t="s">
        <v>17569</v>
      </c>
      <c r="BZ1375" s="363"/>
      <c r="CA1375" s="363"/>
      <c r="CB1375" s="363"/>
      <c r="CC1375" s="363"/>
    </row>
    <row r="1376" spans="1:81" ht="22.5" customHeight="1">
      <c r="B1376" s="493">
        <v>190124</v>
      </c>
      <c r="C1376" s="443" t="s">
        <v>16994</v>
      </c>
      <c r="D1376" s="439" t="s">
        <v>16036</v>
      </c>
      <c r="E1376" s="404" t="s">
        <v>5363</v>
      </c>
      <c r="F1376" s="405" t="s">
        <v>16007</v>
      </c>
      <c r="G1376" s="324" t="s">
        <v>16008</v>
      </c>
      <c r="H1376" s="324" t="s">
        <v>16011</v>
      </c>
      <c r="I1376" s="326" t="s">
        <v>11</v>
      </c>
      <c r="J1376" s="324" t="s">
        <v>6632</v>
      </c>
      <c r="K1376" s="324" t="s">
        <v>247</v>
      </c>
      <c r="L1376" s="342" t="s">
        <v>210</v>
      </c>
      <c r="M1376" s="324" t="s">
        <v>7457</v>
      </c>
      <c r="N1376" s="444" t="s">
        <v>438</v>
      </c>
      <c r="O1376" s="324">
        <v>40</v>
      </c>
      <c r="P1376" s="445">
        <v>270</v>
      </c>
      <c r="Q1376" s="497"/>
      <c r="R1376" s="416" t="s">
        <v>15857</v>
      </c>
      <c r="S1376" s="332" t="s">
        <v>17002</v>
      </c>
      <c r="T1376" s="394" t="s">
        <v>17003</v>
      </c>
      <c r="U1376" s="394" t="s">
        <v>17000</v>
      </c>
      <c r="V1376" s="394" t="s">
        <v>17004</v>
      </c>
      <c r="W1376" s="332" t="s">
        <v>432</v>
      </c>
      <c r="X1376" s="331" t="s">
        <v>210</v>
      </c>
      <c r="Y1376" s="331" t="s">
        <v>210</v>
      </c>
      <c r="Z1376" s="331" t="s">
        <v>210</v>
      </c>
      <c r="AA1376" s="331" t="s">
        <v>210</v>
      </c>
      <c r="AB1376" s="416"/>
      <c r="AC1376" s="416"/>
      <c r="AD1376" s="334" t="s">
        <v>2324</v>
      </c>
      <c r="AE1376" s="499" t="s">
        <v>1720</v>
      </c>
      <c r="AF1376" s="475">
        <v>43983</v>
      </c>
      <c r="AG1376" s="389"/>
      <c r="AH1376" s="453">
        <v>11</v>
      </c>
      <c r="AI1376" s="432">
        <v>18.3</v>
      </c>
      <c r="AJ1376" s="432">
        <v>11.8</v>
      </c>
      <c r="AK1376" s="340">
        <f>SUM(AH1376:AJ1376)</f>
        <v>41.1</v>
      </c>
      <c r="AL1376" s="341" t="s">
        <v>210</v>
      </c>
      <c r="AM1376" s="341" t="s">
        <v>210</v>
      </c>
      <c r="AN1376" s="392" t="s">
        <v>210</v>
      </c>
      <c r="AO1376" s="392" t="s">
        <v>210</v>
      </c>
      <c r="AP1376" s="392" t="s">
        <v>210</v>
      </c>
      <c r="AQ1376" s="429" t="s">
        <v>4547</v>
      </c>
      <c r="AR1376" s="452">
        <f>419+66</f>
        <v>485</v>
      </c>
      <c r="AS1376" s="324">
        <v>80</v>
      </c>
      <c r="AT1376" s="432">
        <v>1</v>
      </c>
      <c r="AU1376" s="432" t="s">
        <v>17195</v>
      </c>
      <c r="AV1376" s="432">
        <v>1.5</v>
      </c>
      <c r="AW1376" s="490" t="s">
        <v>17195</v>
      </c>
      <c r="AX1376" s="453" t="s">
        <v>210</v>
      </c>
      <c r="AY1376" s="429" t="s">
        <v>210</v>
      </c>
      <c r="AZ1376" s="405" t="s">
        <v>4083</v>
      </c>
      <c r="BA1376" s="324" t="s">
        <v>210</v>
      </c>
      <c r="BB1376" s="324" t="s">
        <v>210</v>
      </c>
      <c r="BC1376" s="324" t="s">
        <v>17207</v>
      </c>
      <c r="BD1376" s="324" t="s">
        <v>17208</v>
      </c>
      <c r="BE1376" s="324" t="s">
        <v>17209</v>
      </c>
      <c r="BF1376" s="324" t="s">
        <v>17208</v>
      </c>
      <c r="BG1376" s="324" t="s">
        <v>17210</v>
      </c>
      <c r="BH1376" s="426" t="s">
        <v>17211</v>
      </c>
      <c r="BI1376" s="453">
        <v>2.2000000000000002</v>
      </c>
      <c r="BJ1376" s="427">
        <v>1.83</v>
      </c>
      <c r="BK1376" s="428" t="s">
        <v>17212</v>
      </c>
      <c r="BL1376" s="429">
        <v>2</v>
      </c>
      <c r="BM1376" s="430" t="s">
        <v>210</v>
      </c>
      <c r="BN1376" s="453" t="s">
        <v>622</v>
      </c>
      <c r="BO1376" s="454">
        <v>1.01</v>
      </c>
      <c r="BP1376" s="455" t="s">
        <v>622</v>
      </c>
      <c r="BQ1376" s="456" t="s">
        <v>917</v>
      </c>
      <c r="BR1376" s="392" t="s">
        <v>210</v>
      </c>
      <c r="BS1376" s="342" t="s">
        <v>622</v>
      </c>
      <c r="BT1376" s="392" t="s">
        <v>210</v>
      </c>
      <c r="BU1376" s="392" t="s">
        <v>210</v>
      </c>
      <c r="BV1376" s="392" t="s">
        <v>210</v>
      </c>
      <c r="BW1376" s="392" t="s">
        <v>210</v>
      </c>
      <c r="BX1376" s="392" t="s">
        <v>210</v>
      </c>
      <c r="BY1376" s="457" t="s">
        <v>17224</v>
      </c>
      <c r="BZ1376" s="363"/>
      <c r="CA1376" s="363"/>
      <c r="CB1376" s="363"/>
      <c r="CC1376" s="363"/>
    </row>
    <row r="1377" spans="2:82" ht="22.5" customHeight="1">
      <c r="B1377" s="493" t="s">
        <v>16992</v>
      </c>
      <c r="C1377" s="443" t="s">
        <v>16995</v>
      </c>
      <c r="D1377" s="439" t="s">
        <v>9918</v>
      </c>
      <c r="E1377" s="404" t="s">
        <v>5363</v>
      </c>
      <c r="F1377" s="405" t="s">
        <v>8858</v>
      </c>
      <c r="G1377" s="324" t="s">
        <v>2943</v>
      </c>
      <c r="H1377" s="324" t="s">
        <v>16011</v>
      </c>
      <c r="I1377" s="326" t="s">
        <v>11</v>
      </c>
      <c r="J1377" s="324" t="s">
        <v>7171</v>
      </c>
      <c r="K1377" s="324" t="s">
        <v>917</v>
      </c>
      <c r="L1377" s="342" t="s">
        <v>210</v>
      </c>
      <c r="M1377" s="324" t="s">
        <v>7457</v>
      </c>
      <c r="N1377" s="444" t="s">
        <v>438</v>
      </c>
      <c r="O1377" s="324">
        <v>40</v>
      </c>
      <c r="P1377" s="445">
        <v>400</v>
      </c>
      <c r="Q1377" s="497"/>
      <c r="R1377" s="416" t="s">
        <v>15857</v>
      </c>
      <c r="S1377" s="332" t="s">
        <v>17002</v>
      </c>
      <c r="T1377" s="394" t="s">
        <v>17003</v>
      </c>
      <c r="U1377" s="394" t="s">
        <v>17000</v>
      </c>
      <c r="V1377" s="394" t="s">
        <v>17004</v>
      </c>
      <c r="W1377" s="332" t="s">
        <v>432</v>
      </c>
      <c r="X1377" s="331" t="s">
        <v>210</v>
      </c>
      <c r="Y1377" s="331" t="s">
        <v>210</v>
      </c>
      <c r="Z1377" s="331" t="s">
        <v>210</v>
      </c>
      <c r="AA1377" s="331" t="s">
        <v>210</v>
      </c>
      <c r="AB1377" s="416"/>
      <c r="AC1377" s="416"/>
      <c r="AD1377" s="334" t="s">
        <v>2324</v>
      </c>
      <c r="AE1377" s="499" t="s">
        <v>1720</v>
      </c>
      <c r="AF1377" s="475">
        <v>43983</v>
      </c>
      <c r="AG1377" s="389"/>
      <c r="AH1377" s="486" t="s">
        <v>17364</v>
      </c>
      <c r="AI1377" s="487" t="s">
        <v>17365</v>
      </c>
      <c r="AJ1377" s="487" t="s">
        <v>17366</v>
      </c>
      <c r="AK1377" s="451" t="s">
        <v>17367</v>
      </c>
      <c r="AL1377" s="341" t="s">
        <v>210</v>
      </c>
      <c r="AM1377" s="341" t="s">
        <v>210</v>
      </c>
      <c r="AN1377" s="392" t="s">
        <v>210</v>
      </c>
      <c r="AO1377" s="392" t="s">
        <v>210</v>
      </c>
      <c r="AP1377" s="392" t="s">
        <v>210</v>
      </c>
      <c r="AQ1377" s="429" t="s">
        <v>4547</v>
      </c>
      <c r="AR1377" s="452">
        <v>647</v>
      </c>
      <c r="AS1377" s="324">
        <v>80</v>
      </c>
      <c r="AT1377" s="432">
        <v>1</v>
      </c>
      <c r="AU1377" s="432" t="s">
        <v>17195</v>
      </c>
      <c r="AV1377" s="432">
        <v>1.5</v>
      </c>
      <c r="AW1377" s="490" t="s">
        <v>17195</v>
      </c>
      <c r="AX1377" s="453" t="s">
        <v>210</v>
      </c>
      <c r="AY1377" s="429" t="s">
        <v>210</v>
      </c>
      <c r="AZ1377" s="407"/>
      <c r="BA1377" s="408"/>
      <c r="BB1377" s="408"/>
      <c r="BC1377" s="408"/>
      <c r="BD1377" s="408"/>
      <c r="BE1377" s="408"/>
      <c r="BF1377" s="408"/>
      <c r="BG1377" s="408"/>
      <c r="BH1377" s="409"/>
      <c r="BI1377" s="410"/>
      <c r="BJ1377" s="411"/>
      <c r="BK1377" s="412"/>
      <c r="BL1377" s="413"/>
      <c r="BM1377" s="414"/>
      <c r="BN1377" s="410"/>
      <c r="BO1377" s="502"/>
      <c r="BP1377" s="492"/>
      <c r="BQ1377" s="360"/>
      <c r="BR1377" s="361"/>
      <c r="BS1377" s="342" t="s">
        <v>622</v>
      </c>
      <c r="BT1377" s="392" t="s">
        <v>210</v>
      </c>
      <c r="BU1377" s="392" t="s">
        <v>210</v>
      </c>
      <c r="BV1377" s="392" t="s">
        <v>210</v>
      </c>
      <c r="BW1377" s="392" t="s">
        <v>210</v>
      </c>
      <c r="BX1377" s="392" t="s">
        <v>210</v>
      </c>
      <c r="BY1377" s="457" t="str">
        <f>BY1376</f>
        <v>3棟。既存擁壁近接。</v>
      </c>
      <c r="BZ1377" s="363"/>
      <c r="CA1377" s="363"/>
      <c r="CB1377" s="363"/>
      <c r="CC1377" s="363"/>
    </row>
    <row r="1378" spans="2:82" ht="22.5" customHeight="1">
      <c r="B1378" s="493" t="s">
        <v>16993</v>
      </c>
      <c r="C1378" s="443" t="s">
        <v>16996</v>
      </c>
      <c r="D1378" s="439" t="s">
        <v>9918</v>
      </c>
      <c r="E1378" s="404" t="s">
        <v>5363</v>
      </c>
      <c r="F1378" s="405" t="s">
        <v>8858</v>
      </c>
      <c r="G1378" s="324" t="s">
        <v>2943</v>
      </c>
      <c r="H1378" s="324" t="s">
        <v>16011</v>
      </c>
      <c r="I1378" s="326" t="s">
        <v>11</v>
      </c>
      <c r="J1378" s="326" t="s">
        <v>399</v>
      </c>
      <c r="K1378" s="324" t="s">
        <v>16997</v>
      </c>
      <c r="L1378" s="342" t="s">
        <v>210</v>
      </c>
      <c r="M1378" s="324" t="s">
        <v>9103</v>
      </c>
      <c r="N1378" s="444" t="s">
        <v>438</v>
      </c>
      <c r="O1378" s="324">
        <v>40</v>
      </c>
      <c r="P1378" s="445">
        <v>520</v>
      </c>
      <c r="Q1378" s="497"/>
      <c r="R1378" s="416" t="s">
        <v>15857</v>
      </c>
      <c r="S1378" s="332" t="s">
        <v>16998</v>
      </c>
      <c r="T1378" s="394" t="s">
        <v>16999</v>
      </c>
      <c r="U1378" s="394" t="s">
        <v>17000</v>
      </c>
      <c r="V1378" s="394" t="s">
        <v>17001</v>
      </c>
      <c r="W1378" s="332" t="s">
        <v>432</v>
      </c>
      <c r="X1378" s="331" t="s">
        <v>210</v>
      </c>
      <c r="Y1378" s="331" t="s">
        <v>210</v>
      </c>
      <c r="Z1378" s="331" t="s">
        <v>210</v>
      </c>
      <c r="AA1378" s="331" t="s">
        <v>210</v>
      </c>
      <c r="AB1378" s="416"/>
      <c r="AC1378" s="416"/>
      <c r="AD1378" s="334" t="s">
        <v>2324</v>
      </c>
      <c r="AE1378" s="499" t="s">
        <v>1720</v>
      </c>
      <c r="AF1378" s="475">
        <v>43983</v>
      </c>
      <c r="AG1378" s="389"/>
      <c r="AH1378" s="453">
        <v>11.6</v>
      </c>
      <c r="AI1378" s="432">
        <v>31.5</v>
      </c>
      <c r="AJ1378" s="432">
        <v>23.9</v>
      </c>
      <c r="AK1378" s="340">
        <f>SUM(AH1378:AJ1378)</f>
        <v>67</v>
      </c>
      <c r="AL1378" s="341" t="s">
        <v>210</v>
      </c>
      <c r="AM1378" s="341" t="s">
        <v>210</v>
      </c>
      <c r="AN1378" s="392" t="s">
        <v>210</v>
      </c>
      <c r="AO1378" s="392" t="s">
        <v>210</v>
      </c>
      <c r="AP1378" s="392" t="s">
        <v>210</v>
      </c>
      <c r="AQ1378" s="429" t="s">
        <v>4547</v>
      </c>
      <c r="AR1378" s="452">
        <v>66</v>
      </c>
      <c r="AS1378" s="324">
        <v>120</v>
      </c>
      <c r="AT1378" s="432">
        <v>1</v>
      </c>
      <c r="AU1378" s="432" t="s">
        <v>17195</v>
      </c>
      <c r="AV1378" s="432">
        <v>1.5</v>
      </c>
      <c r="AW1378" s="490" t="s">
        <v>17195</v>
      </c>
      <c r="AX1378" s="453" t="s">
        <v>210</v>
      </c>
      <c r="AY1378" s="429" t="s">
        <v>210</v>
      </c>
      <c r="AZ1378" s="407"/>
      <c r="BA1378" s="408"/>
      <c r="BB1378" s="408"/>
      <c r="BC1378" s="408"/>
      <c r="BD1378" s="408"/>
      <c r="BE1378" s="408"/>
      <c r="BF1378" s="408"/>
      <c r="BG1378" s="408"/>
      <c r="BH1378" s="409"/>
      <c r="BI1378" s="410"/>
      <c r="BJ1378" s="411"/>
      <c r="BK1378" s="412"/>
      <c r="BL1378" s="413"/>
      <c r="BM1378" s="414"/>
      <c r="BN1378" s="410"/>
      <c r="BO1378" s="502"/>
      <c r="BP1378" s="492"/>
      <c r="BQ1378" s="360"/>
      <c r="BR1378" s="361"/>
      <c r="BS1378" s="342" t="s">
        <v>622</v>
      </c>
      <c r="BT1378" s="392" t="s">
        <v>210</v>
      </c>
      <c r="BU1378" s="392" t="s">
        <v>210</v>
      </c>
      <c r="BV1378" s="392" t="s">
        <v>210</v>
      </c>
      <c r="BW1378" s="392" t="s">
        <v>210</v>
      </c>
      <c r="BX1378" s="392" t="s">
        <v>210</v>
      </c>
      <c r="BY1378" s="457" t="str">
        <f>BY1376</f>
        <v>3棟。既存擁壁近接。</v>
      </c>
      <c r="BZ1378" s="363"/>
      <c r="CA1378" s="363"/>
      <c r="CB1378" s="363"/>
      <c r="CC1378" s="363"/>
    </row>
    <row r="1379" spans="2:82" ht="22.5" customHeight="1">
      <c r="B1379" s="493">
        <v>190125</v>
      </c>
      <c r="C1379" s="443" t="s">
        <v>15848</v>
      </c>
      <c r="D1379" s="467" t="s">
        <v>16035</v>
      </c>
      <c r="E1379" s="404" t="s">
        <v>5362</v>
      </c>
      <c r="F1379" s="405" t="s">
        <v>15849</v>
      </c>
      <c r="G1379" s="324" t="s">
        <v>17644</v>
      </c>
      <c r="H1379" s="324" t="s">
        <v>15850</v>
      </c>
      <c r="I1379" s="326" t="s">
        <v>11</v>
      </c>
      <c r="J1379" s="326" t="s">
        <v>399</v>
      </c>
      <c r="K1379" s="324" t="s">
        <v>917</v>
      </c>
      <c r="L1379" s="342" t="s">
        <v>210</v>
      </c>
      <c r="M1379" s="324" t="s">
        <v>7457</v>
      </c>
      <c r="N1379" s="444" t="s">
        <v>437</v>
      </c>
      <c r="O1379" s="324">
        <v>140</v>
      </c>
      <c r="P1379" s="458">
        <v>1161.75</v>
      </c>
      <c r="Q1379" s="459">
        <v>1221.5</v>
      </c>
      <c r="R1379" s="420" t="s">
        <v>16038</v>
      </c>
      <c r="S1379" s="394" t="s">
        <v>16081</v>
      </c>
      <c r="T1379" s="513"/>
      <c r="U1379" s="513"/>
      <c r="V1379" s="394" t="s">
        <v>16082</v>
      </c>
      <c r="W1379" s="460" t="s">
        <v>16041</v>
      </c>
      <c r="X1379" s="394" t="s">
        <v>12261</v>
      </c>
      <c r="Y1379" s="394" t="s">
        <v>12262</v>
      </c>
      <c r="Z1379" s="394" t="s">
        <v>16334</v>
      </c>
      <c r="AA1379" s="394" t="s">
        <v>16042</v>
      </c>
      <c r="AB1379" s="416" t="s">
        <v>16037</v>
      </c>
      <c r="AC1379" s="416"/>
      <c r="AD1379" s="447" t="s">
        <v>16657</v>
      </c>
      <c r="AE1379" s="499" t="s">
        <v>779</v>
      </c>
      <c r="AF1379" s="475">
        <v>43983</v>
      </c>
      <c r="AG1379" s="748">
        <v>44018</v>
      </c>
      <c r="AH1379" s="417" t="s">
        <v>210</v>
      </c>
      <c r="AI1379" s="392" t="s">
        <v>210</v>
      </c>
      <c r="AJ1379" s="392" t="s">
        <v>210</v>
      </c>
      <c r="AK1379" s="340" t="s">
        <v>210</v>
      </c>
      <c r="AL1379" s="341" t="s">
        <v>210</v>
      </c>
      <c r="AM1379" s="341" t="s">
        <v>210</v>
      </c>
      <c r="AN1379" s="392" t="s">
        <v>210</v>
      </c>
      <c r="AO1379" s="392" t="s">
        <v>210</v>
      </c>
      <c r="AP1379" s="392" t="s">
        <v>210</v>
      </c>
      <c r="AQ1379" s="429" t="s">
        <v>4547</v>
      </c>
      <c r="AR1379" s="452">
        <v>1392</v>
      </c>
      <c r="AS1379" s="324">
        <v>120</v>
      </c>
      <c r="AT1379" s="432">
        <v>1</v>
      </c>
      <c r="AU1379" s="432" t="s">
        <v>16152</v>
      </c>
      <c r="AV1379" s="432">
        <v>1.5</v>
      </c>
      <c r="AW1379" s="490" t="s">
        <v>16153</v>
      </c>
      <c r="AX1379" s="453" t="s">
        <v>210</v>
      </c>
      <c r="AY1379" s="429" t="s">
        <v>210</v>
      </c>
      <c r="AZ1379" s="405" t="s">
        <v>4083</v>
      </c>
      <c r="BA1379" s="324" t="s">
        <v>210</v>
      </c>
      <c r="BB1379" s="324" t="s">
        <v>210</v>
      </c>
      <c r="BC1379" s="324" t="s">
        <v>16154</v>
      </c>
      <c r="BD1379" s="324" t="s">
        <v>3372</v>
      </c>
      <c r="BE1379" s="324" t="s">
        <v>16155</v>
      </c>
      <c r="BF1379" s="324" t="s">
        <v>16156</v>
      </c>
      <c r="BG1379" s="324" t="s">
        <v>16157</v>
      </c>
      <c r="BH1379" s="426" t="s">
        <v>16153</v>
      </c>
      <c r="BI1379" s="453">
        <v>1.2</v>
      </c>
      <c r="BJ1379" s="427">
        <v>1.87</v>
      </c>
      <c r="BK1379" s="428" t="s">
        <v>10645</v>
      </c>
      <c r="BL1379" s="429">
        <f>1.25+6.95</f>
        <v>8.1999999999999993</v>
      </c>
      <c r="BM1379" s="430" t="s">
        <v>210</v>
      </c>
      <c r="BN1379" s="453" t="s">
        <v>622</v>
      </c>
      <c r="BO1379" s="454">
        <v>1.06</v>
      </c>
      <c r="BP1379" s="455" t="s">
        <v>622</v>
      </c>
      <c r="BQ1379" s="456" t="s">
        <v>16158</v>
      </c>
      <c r="BR1379" s="392" t="s">
        <v>210</v>
      </c>
      <c r="BS1379" s="342" t="s">
        <v>622</v>
      </c>
      <c r="BT1379" s="392" t="s">
        <v>210</v>
      </c>
      <c r="BU1379" s="392" t="s">
        <v>210</v>
      </c>
      <c r="BV1379" s="392" t="s">
        <v>210</v>
      </c>
      <c r="BW1379" s="392" t="s">
        <v>210</v>
      </c>
      <c r="BX1379" s="392" t="s">
        <v>210</v>
      </c>
      <c r="BY1379" s="457"/>
      <c r="BZ1379" s="363"/>
      <c r="CA1379" s="363"/>
      <c r="CB1379" s="363"/>
      <c r="CC1379" s="363"/>
    </row>
    <row r="1380" spans="2:82" ht="22.5" customHeight="1">
      <c r="B1380" s="493">
        <v>190126</v>
      </c>
      <c r="C1380" s="494" t="s">
        <v>16056</v>
      </c>
      <c r="D1380" s="467" t="s">
        <v>15912</v>
      </c>
      <c r="E1380" s="404" t="s">
        <v>15615</v>
      </c>
      <c r="F1380" s="405" t="s">
        <v>15616</v>
      </c>
      <c r="G1380" s="324" t="s">
        <v>15617</v>
      </c>
      <c r="H1380" s="324" t="s">
        <v>15618</v>
      </c>
      <c r="I1380" s="326" t="s">
        <v>11</v>
      </c>
      <c r="J1380" s="324" t="s">
        <v>7171</v>
      </c>
      <c r="K1380" s="324" t="s">
        <v>15775</v>
      </c>
      <c r="L1380" s="342" t="s">
        <v>210</v>
      </c>
      <c r="M1380" s="324" t="s">
        <v>7457</v>
      </c>
      <c r="N1380" s="444" t="s">
        <v>15889</v>
      </c>
      <c r="O1380" s="408"/>
      <c r="P1380" s="445">
        <f>Q1380*2</f>
        <v>700</v>
      </c>
      <c r="Q1380" s="446">
        <v>350</v>
      </c>
      <c r="R1380" s="420" t="s">
        <v>15625</v>
      </c>
      <c r="S1380" s="394" t="s">
        <v>16062</v>
      </c>
      <c r="T1380" s="394" t="s">
        <v>15619</v>
      </c>
      <c r="U1380" s="394" t="s">
        <v>16387</v>
      </c>
      <c r="V1380" s="394" t="s">
        <v>16063</v>
      </c>
      <c r="W1380" s="460" t="s">
        <v>15620</v>
      </c>
      <c r="X1380" s="394" t="s">
        <v>15621</v>
      </c>
      <c r="Y1380" s="394" t="s">
        <v>15623</v>
      </c>
      <c r="Z1380" s="394" t="s">
        <v>16401</v>
      </c>
      <c r="AA1380" s="394" t="s">
        <v>15622</v>
      </c>
      <c r="AB1380" s="416"/>
      <c r="AC1380" s="416"/>
      <c r="AD1380" s="461"/>
      <c r="AE1380" s="485"/>
      <c r="AF1380" s="475">
        <v>43983</v>
      </c>
      <c r="AG1380" s="389"/>
      <c r="AH1380" s="417" t="s">
        <v>210</v>
      </c>
      <c r="AI1380" s="392" t="s">
        <v>210</v>
      </c>
      <c r="AJ1380" s="392" t="s">
        <v>210</v>
      </c>
      <c r="AK1380" s="340" t="s">
        <v>210</v>
      </c>
      <c r="AL1380" s="341" t="s">
        <v>210</v>
      </c>
      <c r="AM1380" s="341" t="s">
        <v>210</v>
      </c>
      <c r="AN1380" s="341" t="s">
        <v>210</v>
      </c>
      <c r="AO1380" s="341" t="s">
        <v>210</v>
      </c>
      <c r="AP1380" s="496" t="s">
        <v>983</v>
      </c>
      <c r="AQ1380" s="429" t="s">
        <v>4547</v>
      </c>
      <c r="AR1380" s="452">
        <v>449</v>
      </c>
      <c r="AS1380" s="324">
        <v>150</v>
      </c>
      <c r="AT1380" s="432">
        <v>0.8</v>
      </c>
      <c r="AU1380" s="432" t="s">
        <v>15894</v>
      </c>
      <c r="AV1380" s="432">
        <v>1.5</v>
      </c>
      <c r="AW1380" s="490" t="s">
        <v>15895</v>
      </c>
      <c r="AX1380" s="486" t="s">
        <v>15896</v>
      </c>
      <c r="AY1380" s="429" t="s">
        <v>210</v>
      </c>
      <c r="AZ1380" s="405" t="s">
        <v>4083</v>
      </c>
      <c r="BA1380" s="324" t="s">
        <v>210</v>
      </c>
      <c r="BB1380" s="324" t="s">
        <v>210</v>
      </c>
      <c r="BC1380" s="324" t="s">
        <v>210</v>
      </c>
      <c r="BD1380" s="324" t="s">
        <v>210</v>
      </c>
      <c r="BE1380" s="324" t="s">
        <v>15890</v>
      </c>
      <c r="BF1380" s="324" t="s">
        <v>15891</v>
      </c>
      <c r="BG1380" s="324" t="s">
        <v>15892</v>
      </c>
      <c r="BH1380" s="324" t="s">
        <v>15891</v>
      </c>
      <c r="BI1380" s="453">
        <v>2.4</v>
      </c>
      <c r="BJ1380" s="427" t="s">
        <v>15893</v>
      </c>
      <c r="BK1380" s="428" t="s">
        <v>210</v>
      </c>
      <c r="BL1380" s="429" t="s">
        <v>210</v>
      </c>
      <c r="BM1380" s="430" t="s">
        <v>210</v>
      </c>
      <c r="BN1380" s="453" t="s">
        <v>622</v>
      </c>
      <c r="BO1380" s="464">
        <v>1.1599999999999999</v>
      </c>
      <c r="BP1380" s="455" t="s">
        <v>210</v>
      </c>
      <c r="BQ1380" s="456" t="s">
        <v>15913</v>
      </c>
      <c r="BR1380" s="392" t="s">
        <v>210</v>
      </c>
      <c r="BS1380" s="342" t="s">
        <v>622</v>
      </c>
      <c r="BT1380" s="392" t="s">
        <v>210</v>
      </c>
      <c r="BU1380" s="392" t="s">
        <v>210</v>
      </c>
      <c r="BV1380" s="392" t="s">
        <v>210</v>
      </c>
      <c r="BW1380" s="392" t="s">
        <v>210</v>
      </c>
      <c r="BX1380" s="392" t="s">
        <v>210</v>
      </c>
      <c r="BY1380" s="457" t="s">
        <v>16178</v>
      </c>
      <c r="BZ1380" s="363"/>
      <c r="CA1380" s="363"/>
      <c r="CB1380" s="363"/>
      <c r="CC1380" s="363"/>
    </row>
    <row r="1381" spans="2:82" ht="22.5" customHeight="1">
      <c r="B1381" s="493">
        <v>190127</v>
      </c>
      <c r="C1381" s="443" t="s">
        <v>16084</v>
      </c>
      <c r="D1381" s="467" t="s">
        <v>13767</v>
      </c>
      <c r="E1381" s="404" t="s">
        <v>15977</v>
      </c>
      <c r="F1381" s="405" t="s">
        <v>15914</v>
      </c>
      <c r="G1381" s="324" t="s">
        <v>15915</v>
      </c>
      <c r="H1381" s="324" t="s">
        <v>16013</v>
      </c>
      <c r="I1381" s="326" t="s">
        <v>11</v>
      </c>
      <c r="J1381" s="324" t="s">
        <v>16065</v>
      </c>
      <c r="K1381" s="324" t="s">
        <v>16064</v>
      </c>
      <c r="L1381" s="342">
        <v>7.7</v>
      </c>
      <c r="M1381" s="324" t="s">
        <v>6625</v>
      </c>
      <c r="N1381" s="444" t="s">
        <v>16554</v>
      </c>
      <c r="O1381" s="324">
        <v>30</v>
      </c>
      <c r="P1381" s="458">
        <v>2295.77</v>
      </c>
      <c r="Q1381" s="459">
        <v>1381.15</v>
      </c>
      <c r="R1381" s="420" t="s">
        <v>16066</v>
      </c>
      <c r="S1381" s="513"/>
      <c r="T1381" s="513"/>
      <c r="U1381" s="394" t="s">
        <v>16425</v>
      </c>
      <c r="V1381" s="513"/>
      <c r="W1381" s="460" t="s">
        <v>16207</v>
      </c>
      <c r="X1381" s="394" t="s">
        <v>16205</v>
      </c>
      <c r="Y1381" s="513"/>
      <c r="Z1381" s="513"/>
      <c r="AA1381" s="394" t="s">
        <v>16206</v>
      </c>
      <c r="AB1381" s="416"/>
      <c r="AC1381" s="416"/>
      <c r="AD1381" s="447" t="s">
        <v>16069</v>
      </c>
      <c r="AE1381" s="499" t="s">
        <v>16070</v>
      </c>
      <c r="AF1381" s="475">
        <v>43984</v>
      </c>
      <c r="AG1381" s="748">
        <v>44067</v>
      </c>
      <c r="AH1381" s="417" t="s">
        <v>210</v>
      </c>
      <c r="AI1381" s="392" t="s">
        <v>210</v>
      </c>
      <c r="AJ1381" s="392" t="s">
        <v>210</v>
      </c>
      <c r="AK1381" s="340" t="s">
        <v>210</v>
      </c>
      <c r="AL1381" s="341" t="s">
        <v>210</v>
      </c>
      <c r="AM1381" s="341" t="s">
        <v>210</v>
      </c>
      <c r="AN1381" s="392" t="s">
        <v>210</v>
      </c>
      <c r="AO1381" s="392" t="s">
        <v>210</v>
      </c>
      <c r="AP1381" s="392" t="s">
        <v>210</v>
      </c>
      <c r="AQ1381" s="429" t="s">
        <v>4547</v>
      </c>
      <c r="AR1381" s="452">
        <f>1386+327</f>
        <v>1713</v>
      </c>
      <c r="AS1381" s="324">
        <v>150</v>
      </c>
      <c r="AT1381" s="432">
        <v>1</v>
      </c>
      <c r="AU1381" s="432" t="s">
        <v>16555</v>
      </c>
      <c r="AV1381" s="432">
        <v>2</v>
      </c>
      <c r="AW1381" s="432" t="s">
        <v>16555</v>
      </c>
      <c r="AX1381" s="453" t="s">
        <v>16556</v>
      </c>
      <c r="AY1381" s="429" t="s">
        <v>16557</v>
      </c>
      <c r="AZ1381" s="405" t="s">
        <v>4083</v>
      </c>
      <c r="BA1381" s="324" t="s">
        <v>210</v>
      </c>
      <c r="BB1381" s="324" t="s">
        <v>210</v>
      </c>
      <c r="BC1381" s="324" t="s">
        <v>210</v>
      </c>
      <c r="BD1381" s="324" t="s">
        <v>210</v>
      </c>
      <c r="BE1381" s="324" t="s">
        <v>210</v>
      </c>
      <c r="BF1381" s="324" t="s">
        <v>210</v>
      </c>
      <c r="BG1381" s="324" t="s">
        <v>16558</v>
      </c>
      <c r="BH1381" s="426" t="s">
        <v>16559</v>
      </c>
      <c r="BI1381" s="453">
        <v>2.65</v>
      </c>
      <c r="BJ1381" s="427">
        <v>2.71</v>
      </c>
      <c r="BK1381" s="428" t="s">
        <v>210</v>
      </c>
      <c r="BL1381" s="429" t="s">
        <v>210</v>
      </c>
      <c r="BM1381" s="430" t="s">
        <v>210</v>
      </c>
      <c r="BN1381" s="453" t="s">
        <v>622</v>
      </c>
      <c r="BO1381" s="454">
        <v>1.42</v>
      </c>
      <c r="BP1381" s="455" t="s">
        <v>622</v>
      </c>
      <c r="BQ1381" s="456" t="s">
        <v>16560</v>
      </c>
      <c r="BR1381" s="392" t="s">
        <v>210</v>
      </c>
      <c r="BS1381" s="342" t="s">
        <v>622</v>
      </c>
      <c r="BT1381" s="392" t="s">
        <v>210</v>
      </c>
      <c r="BU1381" s="392" t="s">
        <v>210</v>
      </c>
      <c r="BV1381" s="392" t="s">
        <v>210</v>
      </c>
      <c r="BW1381" s="392" t="s">
        <v>210</v>
      </c>
      <c r="BX1381" s="392" t="s">
        <v>210</v>
      </c>
      <c r="BY1381" s="457" t="s">
        <v>16561</v>
      </c>
      <c r="BZ1381" s="363"/>
      <c r="CA1381" s="363"/>
      <c r="CB1381" s="363"/>
      <c r="CC1381" s="363"/>
    </row>
    <row r="1382" spans="2:82" ht="22.5" customHeight="1">
      <c r="B1382" s="493">
        <v>190128</v>
      </c>
      <c r="C1382" s="443" t="s">
        <v>16174</v>
      </c>
      <c r="D1382" s="467" t="s">
        <v>13767</v>
      </c>
      <c r="E1382" s="404" t="s">
        <v>5362</v>
      </c>
      <c r="F1382" s="405" t="s">
        <v>16147</v>
      </c>
      <c r="G1382" s="324" t="s">
        <v>16148</v>
      </c>
      <c r="H1382" s="324" t="s">
        <v>16149</v>
      </c>
      <c r="I1382" s="324" t="s">
        <v>16168</v>
      </c>
      <c r="J1382" s="324" t="s">
        <v>16167</v>
      </c>
      <c r="K1382" s="324" t="s">
        <v>16166</v>
      </c>
      <c r="L1382" s="342" t="s">
        <v>16165</v>
      </c>
      <c r="M1382" s="324" t="s">
        <v>16165</v>
      </c>
      <c r="N1382" s="444" t="s">
        <v>16165</v>
      </c>
      <c r="O1382" s="324">
        <v>90</v>
      </c>
      <c r="P1382" s="445">
        <f>Q1382</f>
        <v>5000</v>
      </c>
      <c r="Q1382" s="446">
        <v>5000</v>
      </c>
      <c r="R1382" s="420" t="s">
        <v>16140</v>
      </c>
      <c r="S1382" s="394" t="s">
        <v>16141</v>
      </c>
      <c r="T1382" s="394" t="s">
        <v>16143</v>
      </c>
      <c r="U1382" s="394" t="s">
        <v>16309</v>
      </c>
      <c r="V1382" s="394" t="s">
        <v>16142</v>
      </c>
      <c r="W1382" s="514"/>
      <c r="X1382" s="513"/>
      <c r="Y1382" s="513"/>
      <c r="Z1382" s="513"/>
      <c r="AA1382" s="513"/>
      <c r="AB1382" s="416"/>
      <c r="AC1382" s="416"/>
      <c r="AD1382" s="447" t="s">
        <v>210</v>
      </c>
      <c r="AE1382" s="499" t="s">
        <v>210</v>
      </c>
      <c r="AF1382" s="475">
        <v>43990</v>
      </c>
      <c r="AG1382" s="748">
        <v>44015</v>
      </c>
      <c r="AH1382" s="417" t="s">
        <v>210</v>
      </c>
      <c r="AI1382" s="392" t="s">
        <v>210</v>
      </c>
      <c r="AJ1382" s="392" t="s">
        <v>210</v>
      </c>
      <c r="AK1382" s="340" t="s">
        <v>210</v>
      </c>
      <c r="AL1382" s="341" t="s">
        <v>210</v>
      </c>
      <c r="AM1382" s="341" t="s">
        <v>210</v>
      </c>
      <c r="AN1382" s="392" t="s">
        <v>210</v>
      </c>
      <c r="AO1382" s="392" t="s">
        <v>210</v>
      </c>
      <c r="AP1382" s="392" t="s">
        <v>210</v>
      </c>
      <c r="AQ1382" s="433" t="s">
        <v>16163</v>
      </c>
      <c r="AR1382" s="452">
        <v>6830</v>
      </c>
      <c r="AS1382" s="324">
        <v>100</v>
      </c>
      <c r="AT1382" s="432">
        <v>1.5</v>
      </c>
      <c r="AU1382" s="432" t="s">
        <v>16626</v>
      </c>
      <c r="AV1382" s="432">
        <v>1.5</v>
      </c>
      <c r="AW1382" s="490" t="s">
        <v>16627</v>
      </c>
      <c r="AX1382" s="453" t="s">
        <v>210</v>
      </c>
      <c r="AY1382" s="429" t="s">
        <v>210</v>
      </c>
      <c r="AZ1382" s="405" t="s">
        <v>4083</v>
      </c>
      <c r="BA1382" s="324" t="s">
        <v>210</v>
      </c>
      <c r="BB1382" s="324" t="s">
        <v>210</v>
      </c>
      <c r="BC1382" s="324" t="s">
        <v>3459</v>
      </c>
      <c r="BD1382" s="324" t="s">
        <v>16169</v>
      </c>
      <c r="BE1382" s="324" t="s">
        <v>16170</v>
      </c>
      <c r="BF1382" s="324" t="s">
        <v>16171</v>
      </c>
      <c r="BG1382" s="324" t="s">
        <v>16172</v>
      </c>
      <c r="BH1382" s="426" t="s">
        <v>16173</v>
      </c>
      <c r="BI1382" s="453">
        <v>5.8</v>
      </c>
      <c r="BJ1382" s="427">
        <v>1.88</v>
      </c>
      <c r="BK1382" s="428" t="s">
        <v>16173</v>
      </c>
      <c r="BL1382" s="429">
        <v>1.35</v>
      </c>
      <c r="BM1382" s="430" t="s">
        <v>210</v>
      </c>
      <c r="BN1382" s="453" t="s">
        <v>622</v>
      </c>
      <c r="BO1382" s="454">
        <v>1.27</v>
      </c>
      <c r="BP1382" s="455" t="s">
        <v>622</v>
      </c>
      <c r="BQ1382" s="456" t="s">
        <v>247</v>
      </c>
      <c r="BR1382" s="392" t="s">
        <v>210</v>
      </c>
      <c r="BS1382" s="392" t="s">
        <v>210</v>
      </c>
      <c r="BT1382" s="392" t="s">
        <v>210</v>
      </c>
      <c r="BU1382" s="392" t="s">
        <v>210</v>
      </c>
      <c r="BV1382" s="392" t="s">
        <v>210</v>
      </c>
      <c r="BW1382" s="392" t="s">
        <v>210</v>
      </c>
      <c r="BX1382" s="392" t="s">
        <v>210</v>
      </c>
      <c r="BY1382" s="457" t="s">
        <v>16162</v>
      </c>
      <c r="BZ1382" s="363"/>
      <c r="CA1382" s="363"/>
      <c r="CB1382" s="363"/>
      <c r="CC1382" s="363"/>
    </row>
    <row r="1383" spans="2:82" ht="22.5" customHeight="1">
      <c r="B1383" s="493">
        <v>190129</v>
      </c>
      <c r="C1383" s="443" t="s">
        <v>16159</v>
      </c>
      <c r="D1383" s="467" t="s">
        <v>16185</v>
      </c>
      <c r="E1383" s="404" t="s">
        <v>5363</v>
      </c>
      <c r="F1383" s="405" t="s">
        <v>265</v>
      </c>
      <c r="G1383" s="324" t="s">
        <v>16160</v>
      </c>
      <c r="H1383" s="324" t="s">
        <v>16161</v>
      </c>
      <c r="I1383" s="326" t="s">
        <v>11</v>
      </c>
      <c r="J1383" s="324" t="s">
        <v>6632</v>
      </c>
      <c r="K1383" s="324" t="s">
        <v>3400</v>
      </c>
      <c r="L1383" s="342" t="s">
        <v>210</v>
      </c>
      <c r="M1383" s="324" t="s">
        <v>9103</v>
      </c>
      <c r="N1383" s="444" t="s">
        <v>16967</v>
      </c>
      <c r="O1383" s="324">
        <v>29</v>
      </c>
      <c r="P1383" s="1275"/>
      <c r="Q1383" s="1276">
        <f>900+1450+300</f>
        <v>2650</v>
      </c>
      <c r="R1383" s="420" t="s">
        <v>2344</v>
      </c>
      <c r="S1383" s="394" t="s">
        <v>12407</v>
      </c>
      <c r="T1383" s="394" t="s">
        <v>12408</v>
      </c>
      <c r="U1383" s="394" t="s">
        <v>16411</v>
      </c>
      <c r="V1383" s="394" t="s">
        <v>12409</v>
      </c>
      <c r="W1383" s="460" t="s">
        <v>5284</v>
      </c>
      <c r="X1383" s="394" t="s">
        <v>16175</v>
      </c>
      <c r="Y1383" s="394" t="s">
        <v>12784</v>
      </c>
      <c r="Z1383" s="394" t="s">
        <v>16501</v>
      </c>
      <c r="AA1383" s="394" t="s">
        <v>12413</v>
      </c>
      <c r="AB1383" s="416" t="s">
        <v>15857</v>
      </c>
      <c r="AC1383" s="416"/>
      <c r="AD1383" s="447" t="s">
        <v>17618</v>
      </c>
      <c r="AE1383" s="499" t="s">
        <v>17619</v>
      </c>
      <c r="AF1383" s="475">
        <v>43990</v>
      </c>
      <c r="AG1383" s="748">
        <v>44116</v>
      </c>
      <c r="AH1383" s="417" t="s">
        <v>210</v>
      </c>
      <c r="AI1383" s="392" t="s">
        <v>210</v>
      </c>
      <c r="AJ1383" s="392" t="s">
        <v>210</v>
      </c>
      <c r="AK1383" s="340" t="s">
        <v>210</v>
      </c>
      <c r="AL1383" s="341" t="s">
        <v>210</v>
      </c>
      <c r="AM1383" s="341" t="s">
        <v>210</v>
      </c>
      <c r="AN1383" s="392" t="s">
        <v>210</v>
      </c>
      <c r="AO1383" s="392" t="s">
        <v>210</v>
      </c>
      <c r="AP1383" s="392" t="s">
        <v>210</v>
      </c>
      <c r="AQ1383" s="429" t="s">
        <v>4547</v>
      </c>
      <c r="AR1383" s="452">
        <f>2690+279</f>
        <v>2969</v>
      </c>
      <c r="AS1383" s="324">
        <v>150</v>
      </c>
      <c r="AT1383" s="432">
        <v>1</v>
      </c>
      <c r="AU1383" s="432" t="s">
        <v>16968</v>
      </c>
      <c r="AV1383" s="432">
        <v>1.5</v>
      </c>
      <c r="AW1383" s="490" t="s">
        <v>16968</v>
      </c>
      <c r="AX1383" s="486" t="s">
        <v>16970</v>
      </c>
      <c r="AY1383" s="429" t="s">
        <v>16969</v>
      </c>
      <c r="AZ1383" s="405" t="s">
        <v>4083</v>
      </c>
      <c r="BA1383" s="324" t="s">
        <v>210</v>
      </c>
      <c r="BB1383" s="324" t="s">
        <v>210</v>
      </c>
      <c r="BC1383" s="324" t="s">
        <v>210</v>
      </c>
      <c r="BD1383" s="324" t="s">
        <v>210</v>
      </c>
      <c r="BE1383" s="324" t="s">
        <v>16971</v>
      </c>
      <c r="BF1383" s="324" t="s">
        <v>16968</v>
      </c>
      <c r="BG1383" s="324" t="s">
        <v>16972</v>
      </c>
      <c r="BH1383" s="324" t="s">
        <v>16968</v>
      </c>
      <c r="BI1383" s="453" t="s">
        <v>16973</v>
      </c>
      <c r="BJ1383" s="427">
        <v>1.44</v>
      </c>
      <c r="BK1383" s="428" t="s">
        <v>210</v>
      </c>
      <c r="BL1383" s="429" t="s">
        <v>210</v>
      </c>
      <c r="BM1383" s="430" t="s">
        <v>210</v>
      </c>
      <c r="BN1383" s="453" t="s">
        <v>16974</v>
      </c>
      <c r="BO1383" s="464" t="s">
        <v>16974</v>
      </c>
      <c r="BP1383" s="492"/>
      <c r="BQ1383" s="456" t="s">
        <v>16975</v>
      </c>
      <c r="BR1383" s="392" t="s">
        <v>210</v>
      </c>
      <c r="BS1383" s="342" t="s">
        <v>622</v>
      </c>
      <c r="BT1383" s="392" t="s">
        <v>210</v>
      </c>
      <c r="BU1383" s="392" t="s">
        <v>210</v>
      </c>
      <c r="BV1383" s="392" t="s">
        <v>210</v>
      </c>
      <c r="BW1383" s="392" t="s">
        <v>210</v>
      </c>
      <c r="BX1383" s="392" t="s">
        <v>210</v>
      </c>
      <c r="BY1383" s="457" t="s">
        <v>16976</v>
      </c>
      <c r="BZ1383" s="363"/>
      <c r="CA1383" s="363"/>
      <c r="CB1383" s="363"/>
      <c r="CC1383" s="363"/>
    </row>
    <row r="1384" spans="2:82" s="465" customFormat="1" ht="22.5" customHeight="1">
      <c r="B1384" s="1874">
        <v>190130</v>
      </c>
      <c r="C1384" s="1067" t="s">
        <v>16804</v>
      </c>
      <c r="D1384" s="751" t="s">
        <v>16192</v>
      </c>
      <c r="E1384" s="752" t="s">
        <v>5362</v>
      </c>
      <c r="F1384" s="753" t="s">
        <v>16186</v>
      </c>
      <c r="G1384" s="754" t="s">
        <v>16187</v>
      </c>
      <c r="H1384" s="754" t="s">
        <v>16188</v>
      </c>
      <c r="I1384" s="662" t="s">
        <v>11</v>
      </c>
      <c r="J1384" s="754" t="s">
        <v>7171</v>
      </c>
      <c r="K1384" s="754" t="s">
        <v>917</v>
      </c>
      <c r="L1384" s="688" t="s">
        <v>210</v>
      </c>
      <c r="M1384" s="754" t="s">
        <v>7457</v>
      </c>
      <c r="N1384" s="755" t="s">
        <v>438</v>
      </c>
      <c r="O1384" s="754">
        <v>0</v>
      </c>
      <c r="P1384" s="782">
        <v>3000</v>
      </c>
      <c r="Q1384" s="783">
        <v>2200</v>
      </c>
      <c r="R1384" s="756" t="s">
        <v>16191</v>
      </c>
      <c r="S1384" s="708" t="s">
        <v>16193</v>
      </c>
      <c r="T1384" s="708" t="s">
        <v>16194</v>
      </c>
      <c r="U1384" s="708" t="s">
        <v>16195</v>
      </c>
      <c r="V1384" s="708" t="s">
        <v>16196</v>
      </c>
      <c r="W1384" s="669" t="s">
        <v>432</v>
      </c>
      <c r="X1384" s="668" t="s">
        <v>210</v>
      </c>
      <c r="Y1384" s="668" t="s">
        <v>210</v>
      </c>
      <c r="Z1384" s="668" t="s">
        <v>210</v>
      </c>
      <c r="AA1384" s="668" t="s">
        <v>210</v>
      </c>
      <c r="AB1384" s="758"/>
      <c r="AC1384" s="758"/>
      <c r="AD1384" s="759"/>
      <c r="AE1384" s="760"/>
      <c r="AF1384" s="761">
        <v>43992</v>
      </c>
      <c r="AG1384" s="674" t="s">
        <v>17716</v>
      </c>
      <c r="AH1384" s="765"/>
      <c r="AI1384" s="785"/>
      <c r="AJ1384" s="785"/>
      <c r="AK1384" s="677"/>
      <c r="AL1384" s="678" t="s">
        <v>210</v>
      </c>
      <c r="AM1384" s="678" t="s">
        <v>210</v>
      </c>
      <c r="AN1384" s="676" t="s">
        <v>210</v>
      </c>
      <c r="AO1384" s="676" t="s">
        <v>210</v>
      </c>
      <c r="AP1384" s="1057" t="s">
        <v>983</v>
      </c>
      <c r="AQ1384" s="766" t="s">
        <v>4547</v>
      </c>
      <c r="AR1384" s="763">
        <v>2251</v>
      </c>
      <c r="AS1384" s="754">
        <v>120</v>
      </c>
      <c r="AT1384" s="785">
        <v>1</v>
      </c>
      <c r="AU1384" s="785" t="s">
        <v>16811</v>
      </c>
      <c r="AV1384" s="785">
        <v>1.5</v>
      </c>
      <c r="AW1384" s="785" t="s">
        <v>16811</v>
      </c>
      <c r="AX1384" s="765" t="s">
        <v>210</v>
      </c>
      <c r="AY1384" s="766" t="s">
        <v>210</v>
      </c>
      <c r="AZ1384" s="753" t="s">
        <v>622</v>
      </c>
      <c r="BA1384" s="754" t="s">
        <v>16812</v>
      </c>
      <c r="BB1384" s="754" t="s">
        <v>16813</v>
      </c>
      <c r="BC1384" s="754" t="s">
        <v>16814</v>
      </c>
      <c r="BD1384" s="754" t="s">
        <v>16813</v>
      </c>
      <c r="BE1384" s="754" t="s">
        <v>16812</v>
      </c>
      <c r="BF1384" s="754" t="s">
        <v>16815</v>
      </c>
      <c r="BG1384" s="754" t="s">
        <v>16816</v>
      </c>
      <c r="BH1384" s="785" t="s">
        <v>16811</v>
      </c>
      <c r="BI1384" s="765">
        <v>1.6</v>
      </c>
      <c r="BJ1384" s="768">
        <v>1.49</v>
      </c>
      <c r="BK1384" s="769" t="s">
        <v>210</v>
      </c>
      <c r="BL1384" s="766" t="s">
        <v>210</v>
      </c>
      <c r="BM1384" s="770" t="s">
        <v>210</v>
      </c>
      <c r="BN1384" s="765" t="s">
        <v>622</v>
      </c>
      <c r="BO1384" s="1058" t="s">
        <v>16817</v>
      </c>
      <c r="BP1384" s="772" t="s">
        <v>622</v>
      </c>
      <c r="BQ1384" s="773" t="s">
        <v>247</v>
      </c>
      <c r="BR1384" s="688"/>
      <c r="BS1384" s="688" t="s">
        <v>622</v>
      </c>
      <c r="BT1384" s="676" t="s">
        <v>210</v>
      </c>
      <c r="BU1384" s="676" t="s">
        <v>210</v>
      </c>
      <c r="BV1384" s="676" t="s">
        <v>210</v>
      </c>
      <c r="BW1384" s="676" t="s">
        <v>210</v>
      </c>
      <c r="BX1384" s="676" t="s">
        <v>210</v>
      </c>
      <c r="BY1384" s="774" t="s">
        <v>16818</v>
      </c>
      <c r="BZ1384" s="483"/>
      <c r="CA1384" s="483"/>
      <c r="CB1384" s="483"/>
      <c r="CC1384" s="483"/>
      <c r="CD1384" s="484"/>
    </row>
    <row r="1385" spans="2:82" s="465" customFormat="1" ht="22.5" customHeight="1">
      <c r="B1385" s="1874" t="s">
        <v>16801</v>
      </c>
      <c r="C1385" s="1067" t="s">
        <v>16805</v>
      </c>
      <c r="D1385" s="751" t="s">
        <v>4854</v>
      </c>
      <c r="E1385" s="752" t="s">
        <v>5362</v>
      </c>
      <c r="F1385" s="753" t="s">
        <v>327</v>
      </c>
      <c r="G1385" s="754" t="s">
        <v>16187</v>
      </c>
      <c r="H1385" s="754" t="s">
        <v>16188</v>
      </c>
      <c r="I1385" s="662" t="s">
        <v>11</v>
      </c>
      <c r="J1385" s="662" t="s">
        <v>399</v>
      </c>
      <c r="K1385" s="754" t="s">
        <v>16809</v>
      </c>
      <c r="L1385" s="688">
        <v>5.4</v>
      </c>
      <c r="M1385" s="754" t="s">
        <v>7457</v>
      </c>
      <c r="N1385" s="755" t="s">
        <v>438</v>
      </c>
      <c r="O1385" s="754">
        <v>0</v>
      </c>
      <c r="P1385" s="782">
        <v>1500</v>
      </c>
      <c r="Q1385" s="783">
        <f>P1385</f>
        <v>1500</v>
      </c>
      <c r="R1385" s="756" t="s">
        <v>16189</v>
      </c>
      <c r="S1385" s="708" t="s">
        <v>16193</v>
      </c>
      <c r="T1385" s="708" t="s">
        <v>16194</v>
      </c>
      <c r="U1385" s="708" t="s">
        <v>16195</v>
      </c>
      <c r="V1385" s="708" t="s">
        <v>16196</v>
      </c>
      <c r="W1385" s="669" t="s">
        <v>432</v>
      </c>
      <c r="X1385" s="668" t="s">
        <v>210</v>
      </c>
      <c r="Y1385" s="668" t="s">
        <v>210</v>
      </c>
      <c r="Z1385" s="668" t="s">
        <v>210</v>
      </c>
      <c r="AA1385" s="668" t="s">
        <v>210</v>
      </c>
      <c r="AB1385" s="758"/>
      <c r="AC1385" s="758"/>
      <c r="AD1385" s="759"/>
      <c r="AE1385" s="760"/>
      <c r="AF1385" s="761">
        <v>43992</v>
      </c>
      <c r="AG1385" s="674" t="s">
        <v>17716</v>
      </c>
      <c r="AH1385" s="765"/>
      <c r="AI1385" s="785"/>
      <c r="AJ1385" s="785"/>
      <c r="AK1385" s="677"/>
      <c r="AL1385" s="678" t="s">
        <v>210</v>
      </c>
      <c r="AM1385" s="678" t="s">
        <v>210</v>
      </c>
      <c r="AN1385" s="676" t="s">
        <v>210</v>
      </c>
      <c r="AO1385" s="676" t="s">
        <v>210</v>
      </c>
      <c r="AP1385" s="1057" t="s">
        <v>983</v>
      </c>
      <c r="AQ1385" s="766" t="s">
        <v>4547</v>
      </c>
      <c r="AR1385" s="763">
        <v>1938</v>
      </c>
      <c r="AS1385" s="754">
        <v>120</v>
      </c>
      <c r="AT1385" s="785">
        <v>1</v>
      </c>
      <c r="AU1385" s="785" t="s">
        <v>16811</v>
      </c>
      <c r="AV1385" s="785">
        <v>1.5</v>
      </c>
      <c r="AW1385" s="785" t="s">
        <v>16811</v>
      </c>
      <c r="AX1385" s="765" t="s">
        <v>210</v>
      </c>
      <c r="AY1385" s="766" t="s">
        <v>210</v>
      </c>
      <c r="AZ1385" s="753"/>
      <c r="BA1385" s="754"/>
      <c r="BB1385" s="754"/>
      <c r="BC1385" s="754"/>
      <c r="BD1385" s="754"/>
      <c r="BE1385" s="754"/>
      <c r="BF1385" s="754"/>
      <c r="BG1385" s="754"/>
      <c r="BH1385" s="767"/>
      <c r="BI1385" s="765"/>
      <c r="BJ1385" s="768"/>
      <c r="BK1385" s="769"/>
      <c r="BL1385" s="766"/>
      <c r="BM1385" s="770"/>
      <c r="BN1385" s="765"/>
      <c r="BO1385" s="771"/>
      <c r="BP1385" s="772"/>
      <c r="BQ1385" s="773" t="s">
        <v>247</v>
      </c>
      <c r="BR1385" s="688"/>
      <c r="BS1385" s="688" t="s">
        <v>622</v>
      </c>
      <c r="BT1385" s="676" t="s">
        <v>210</v>
      </c>
      <c r="BU1385" s="676" t="s">
        <v>210</v>
      </c>
      <c r="BV1385" s="676" t="s">
        <v>210</v>
      </c>
      <c r="BW1385" s="676" t="s">
        <v>210</v>
      </c>
      <c r="BX1385" s="676" t="s">
        <v>210</v>
      </c>
      <c r="BY1385" s="774" t="s">
        <v>17715</v>
      </c>
      <c r="BZ1385" s="483"/>
      <c r="CA1385" s="483"/>
      <c r="CB1385" s="483"/>
      <c r="CC1385" s="483"/>
      <c r="CD1385" s="484"/>
    </row>
    <row r="1386" spans="2:82" s="465" customFormat="1" ht="22.5" customHeight="1">
      <c r="B1386" s="1874" t="s">
        <v>16802</v>
      </c>
      <c r="C1386" s="1067" t="s">
        <v>16806</v>
      </c>
      <c r="D1386" s="751" t="s">
        <v>4854</v>
      </c>
      <c r="E1386" s="752" t="s">
        <v>5362</v>
      </c>
      <c r="F1386" s="753" t="s">
        <v>327</v>
      </c>
      <c r="G1386" s="754" t="s">
        <v>16187</v>
      </c>
      <c r="H1386" s="754" t="s">
        <v>16188</v>
      </c>
      <c r="I1386" s="662" t="s">
        <v>11</v>
      </c>
      <c r="J1386" s="662" t="s">
        <v>399</v>
      </c>
      <c r="K1386" s="754" t="s">
        <v>16810</v>
      </c>
      <c r="L1386" s="688">
        <v>5.4</v>
      </c>
      <c r="M1386" s="754" t="s">
        <v>7457</v>
      </c>
      <c r="N1386" s="755" t="s">
        <v>437</v>
      </c>
      <c r="O1386" s="754">
        <v>0</v>
      </c>
      <c r="P1386" s="782">
        <v>50</v>
      </c>
      <c r="Q1386" s="783">
        <f>P1386</f>
        <v>50</v>
      </c>
      <c r="R1386" s="756" t="s">
        <v>16189</v>
      </c>
      <c r="S1386" s="708" t="s">
        <v>16193</v>
      </c>
      <c r="T1386" s="708" t="s">
        <v>16194</v>
      </c>
      <c r="U1386" s="708" t="s">
        <v>16195</v>
      </c>
      <c r="V1386" s="708" t="s">
        <v>16196</v>
      </c>
      <c r="W1386" s="669" t="s">
        <v>432</v>
      </c>
      <c r="X1386" s="668" t="s">
        <v>210</v>
      </c>
      <c r="Y1386" s="668" t="s">
        <v>210</v>
      </c>
      <c r="Z1386" s="668" t="s">
        <v>210</v>
      </c>
      <c r="AA1386" s="668" t="s">
        <v>210</v>
      </c>
      <c r="AB1386" s="758"/>
      <c r="AC1386" s="758"/>
      <c r="AD1386" s="759"/>
      <c r="AE1386" s="760" t="s">
        <v>210</v>
      </c>
      <c r="AF1386" s="761">
        <v>43992</v>
      </c>
      <c r="AG1386" s="674" t="s">
        <v>17716</v>
      </c>
      <c r="AH1386" s="765"/>
      <c r="AI1386" s="785"/>
      <c r="AJ1386" s="785"/>
      <c r="AK1386" s="677"/>
      <c r="AL1386" s="678" t="s">
        <v>210</v>
      </c>
      <c r="AM1386" s="678" t="s">
        <v>210</v>
      </c>
      <c r="AN1386" s="676" t="s">
        <v>210</v>
      </c>
      <c r="AO1386" s="676" t="s">
        <v>210</v>
      </c>
      <c r="AP1386" s="1057" t="s">
        <v>983</v>
      </c>
      <c r="AQ1386" s="766" t="s">
        <v>4547</v>
      </c>
      <c r="AR1386" s="763">
        <v>4886</v>
      </c>
      <c r="AS1386" s="754">
        <v>120</v>
      </c>
      <c r="AT1386" s="785">
        <v>1</v>
      </c>
      <c r="AU1386" s="785" t="s">
        <v>16811</v>
      </c>
      <c r="AV1386" s="785">
        <v>1.5</v>
      </c>
      <c r="AW1386" s="785" t="s">
        <v>16811</v>
      </c>
      <c r="AX1386" s="765" t="s">
        <v>210</v>
      </c>
      <c r="AY1386" s="766" t="s">
        <v>210</v>
      </c>
      <c r="AZ1386" s="753"/>
      <c r="BA1386" s="754"/>
      <c r="BB1386" s="754"/>
      <c r="BC1386" s="754"/>
      <c r="BD1386" s="754"/>
      <c r="BE1386" s="754"/>
      <c r="BF1386" s="754"/>
      <c r="BG1386" s="754"/>
      <c r="BH1386" s="767"/>
      <c r="BI1386" s="765"/>
      <c r="BJ1386" s="768"/>
      <c r="BK1386" s="769"/>
      <c r="BL1386" s="766"/>
      <c r="BM1386" s="770"/>
      <c r="BN1386" s="765"/>
      <c r="BO1386" s="771"/>
      <c r="BP1386" s="772"/>
      <c r="BQ1386" s="773" t="s">
        <v>247</v>
      </c>
      <c r="BR1386" s="688"/>
      <c r="BS1386" s="688" t="s">
        <v>622</v>
      </c>
      <c r="BT1386" s="676" t="s">
        <v>210</v>
      </c>
      <c r="BU1386" s="676" t="s">
        <v>210</v>
      </c>
      <c r="BV1386" s="676" t="s">
        <v>210</v>
      </c>
      <c r="BW1386" s="676" t="s">
        <v>210</v>
      </c>
      <c r="BX1386" s="676" t="s">
        <v>210</v>
      </c>
      <c r="BY1386" s="774"/>
      <c r="BZ1386" s="483"/>
      <c r="CA1386" s="483"/>
      <c r="CB1386" s="483"/>
      <c r="CC1386" s="483"/>
      <c r="CD1386" s="484"/>
    </row>
    <row r="1387" spans="2:82" s="465" customFormat="1" ht="22.5" customHeight="1">
      <c r="B1387" s="1874" t="s">
        <v>16803</v>
      </c>
      <c r="C1387" s="1067" t="s">
        <v>16807</v>
      </c>
      <c r="D1387" s="751" t="s">
        <v>4854</v>
      </c>
      <c r="E1387" s="752" t="s">
        <v>5362</v>
      </c>
      <c r="F1387" s="753" t="s">
        <v>327</v>
      </c>
      <c r="G1387" s="754" t="s">
        <v>16187</v>
      </c>
      <c r="H1387" s="754" t="s">
        <v>16188</v>
      </c>
      <c r="I1387" s="662" t="s">
        <v>11</v>
      </c>
      <c r="J1387" s="754" t="s">
        <v>16808</v>
      </c>
      <c r="K1387" s="754" t="s">
        <v>10843</v>
      </c>
      <c r="L1387" s="688">
        <v>5.4</v>
      </c>
      <c r="M1387" s="754" t="s">
        <v>9103</v>
      </c>
      <c r="N1387" s="755" t="s">
        <v>438</v>
      </c>
      <c r="O1387" s="754">
        <v>0</v>
      </c>
      <c r="P1387" s="782">
        <v>3900</v>
      </c>
      <c r="Q1387" s="783">
        <f>P1387</f>
        <v>3900</v>
      </c>
      <c r="R1387" s="756" t="s">
        <v>16189</v>
      </c>
      <c r="S1387" s="708" t="s">
        <v>16193</v>
      </c>
      <c r="T1387" s="708" t="s">
        <v>16194</v>
      </c>
      <c r="U1387" s="708" t="s">
        <v>16195</v>
      </c>
      <c r="V1387" s="708" t="s">
        <v>16196</v>
      </c>
      <c r="W1387" s="669" t="s">
        <v>432</v>
      </c>
      <c r="X1387" s="668" t="s">
        <v>210</v>
      </c>
      <c r="Y1387" s="668" t="s">
        <v>210</v>
      </c>
      <c r="Z1387" s="668" t="s">
        <v>210</v>
      </c>
      <c r="AA1387" s="668" t="s">
        <v>210</v>
      </c>
      <c r="AB1387" s="758"/>
      <c r="AC1387" s="758"/>
      <c r="AD1387" s="759"/>
      <c r="AE1387" s="760"/>
      <c r="AF1387" s="761">
        <v>43992</v>
      </c>
      <c r="AG1387" s="674" t="s">
        <v>17716</v>
      </c>
      <c r="AH1387" s="675" t="s">
        <v>210</v>
      </c>
      <c r="AI1387" s="676" t="s">
        <v>210</v>
      </c>
      <c r="AJ1387" s="676" t="s">
        <v>210</v>
      </c>
      <c r="AK1387" s="677" t="s">
        <v>210</v>
      </c>
      <c r="AL1387" s="678" t="s">
        <v>210</v>
      </c>
      <c r="AM1387" s="678" t="s">
        <v>210</v>
      </c>
      <c r="AN1387" s="676" t="s">
        <v>210</v>
      </c>
      <c r="AO1387" s="676" t="s">
        <v>210</v>
      </c>
      <c r="AP1387" s="1057" t="s">
        <v>983</v>
      </c>
      <c r="AQ1387" s="766" t="s">
        <v>4547</v>
      </c>
      <c r="AR1387" s="763">
        <v>297</v>
      </c>
      <c r="AS1387" s="754">
        <v>120</v>
      </c>
      <c r="AT1387" s="785">
        <v>1</v>
      </c>
      <c r="AU1387" s="785" t="s">
        <v>16811</v>
      </c>
      <c r="AV1387" s="785">
        <v>1.5</v>
      </c>
      <c r="AW1387" s="785" t="s">
        <v>16811</v>
      </c>
      <c r="AX1387" s="765" t="s">
        <v>210</v>
      </c>
      <c r="AY1387" s="766" t="s">
        <v>210</v>
      </c>
      <c r="AZ1387" s="753"/>
      <c r="BA1387" s="754"/>
      <c r="BB1387" s="754"/>
      <c r="BC1387" s="754"/>
      <c r="BD1387" s="754"/>
      <c r="BE1387" s="754"/>
      <c r="BF1387" s="754"/>
      <c r="BG1387" s="754"/>
      <c r="BH1387" s="767"/>
      <c r="BI1387" s="765"/>
      <c r="BJ1387" s="768"/>
      <c r="BK1387" s="769"/>
      <c r="BL1387" s="766"/>
      <c r="BM1387" s="770"/>
      <c r="BN1387" s="765"/>
      <c r="BO1387" s="771"/>
      <c r="BP1387" s="772"/>
      <c r="BQ1387" s="773" t="s">
        <v>247</v>
      </c>
      <c r="BR1387" s="688"/>
      <c r="BS1387" s="688" t="s">
        <v>622</v>
      </c>
      <c r="BT1387" s="676" t="s">
        <v>210</v>
      </c>
      <c r="BU1387" s="676" t="s">
        <v>210</v>
      </c>
      <c r="BV1387" s="676" t="s">
        <v>210</v>
      </c>
      <c r="BW1387" s="676" t="s">
        <v>210</v>
      </c>
      <c r="BX1387" s="676" t="s">
        <v>210</v>
      </c>
      <c r="BY1387" s="774"/>
      <c r="BZ1387" s="483"/>
      <c r="CA1387" s="483"/>
      <c r="CB1387" s="483"/>
      <c r="CC1387" s="483"/>
      <c r="CD1387" s="484"/>
    </row>
    <row r="1388" spans="2:82" ht="22.5" customHeight="1">
      <c r="B1388" s="507">
        <v>190131</v>
      </c>
      <c r="C1388" s="494" t="s">
        <v>16577</v>
      </c>
      <c r="D1388" s="467" t="s">
        <v>16716</v>
      </c>
      <c r="E1388" s="404" t="s">
        <v>5363</v>
      </c>
      <c r="F1388" s="405" t="s">
        <v>239</v>
      </c>
      <c r="G1388" s="324" t="s">
        <v>16597</v>
      </c>
      <c r="H1388" s="324" t="s">
        <v>16830</v>
      </c>
      <c r="I1388" s="326" t="s">
        <v>11</v>
      </c>
      <c r="J1388" s="326" t="s">
        <v>399</v>
      </c>
      <c r="K1388" s="324" t="s">
        <v>16598</v>
      </c>
      <c r="L1388" s="342" t="s">
        <v>210</v>
      </c>
      <c r="M1388" s="324" t="s">
        <v>7457</v>
      </c>
      <c r="N1388" s="444" t="s">
        <v>438</v>
      </c>
      <c r="O1388" s="324">
        <v>52</v>
      </c>
      <c r="P1388" s="495"/>
      <c r="Q1388" s="497"/>
      <c r="R1388" s="332" t="s">
        <v>432</v>
      </c>
      <c r="S1388" s="1296" t="s">
        <v>210</v>
      </c>
      <c r="T1388" s="1296" t="s">
        <v>210</v>
      </c>
      <c r="U1388" s="1296" t="s">
        <v>210</v>
      </c>
      <c r="V1388" s="1296" t="s">
        <v>210</v>
      </c>
      <c r="W1388" s="332" t="s">
        <v>432</v>
      </c>
      <c r="X1388" s="331" t="s">
        <v>210</v>
      </c>
      <c r="Y1388" s="331" t="s">
        <v>210</v>
      </c>
      <c r="Z1388" s="331" t="s">
        <v>210</v>
      </c>
      <c r="AA1388" s="331" t="s">
        <v>210</v>
      </c>
      <c r="AB1388" s="416" t="s">
        <v>16584</v>
      </c>
      <c r="AC1388" s="416"/>
      <c r="AD1388" s="447" t="s">
        <v>17676</v>
      </c>
      <c r="AE1388" s="499" t="s">
        <v>2839</v>
      </c>
      <c r="AF1388" s="475">
        <v>43997</v>
      </c>
      <c r="AG1388" s="389"/>
      <c r="AH1388" s="453">
        <v>9</v>
      </c>
      <c r="AI1388" s="432">
        <v>16.899999999999999</v>
      </c>
      <c r="AJ1388" s="432">
        <v>18.2</v>
      </c>
      <c r="AK1388" s="340">
        <f>SUM(AH1388:AJ1388)</f>
        <v>44.099999999999994</v>
      </c>
      <c r="AL1388" s="341" t="s">
        <v>210</v>
      </c>
      <c r="AM1388" s="341" t="s">
        <v>210</v>
      </c>
      <c r="AN1388" s="392" t="s">
        <v>210</v>
      </c>
      <c r="AO1388" s="392" t="s">
        <v>210</v>
      </c>
      <c r="AP1388" s="496" t="s">
        <v>983</v>
      </c>
      <c r="AQ1388" s="429" t="s">
        <v>4547</v>
      </c>
      <c r="AR1388" s="452">
        <v>4479</v>
      </c>
      <c r="AS1388" s="324">
        <v>80</v>
      </c>
      <c r="AT1388" s="432">
        <v>0.8</v>
      </c>
      <c r="AU1388" s="432" t="s">
        <v>17308</v>
      </c>
      <c r="AV1388" s="432">
        <v>1</v>
      </c>
      <c r="AW1388" s="490" t="s">
        <v>17309</v>
      </c>
      <c r="AX1388" s="453" t="s">
        <v>210</v>
      </c>
      <c r="AY1388" s="429" t="s">
        <v>8601</v>
      </c>
      <c r="AZ1388" s="405" t="s">
        <v>4083</v>
      </c>
      <c r="BA1388" s="324" t="s">
        <v>210</v>
      </c>
      <c r="BB1388" s="324" t="s">
        <v>210</v>
      </c>
      <c r="BC1388" s="324" t="s">
        <v>210</v>
      </c>
      <c r="BD1388" s="324" t="s">
        <v>210</v>
      </c>
      <c r="BE1388" s="324" t="s">
        <v>17310</v>
      </c>
      <c r="BF1388" s="324" t="s">
        <v>17309</v>
      </c>
      <c r="BG1388" s="324" t="s">
        <v>17310</v>
      </c>
      <c r="BH1388" s="432" t="s">
        <v>17308</v>
      </c>
      <c r="BI1388" s="453">
        <v>1.5</v>
      </c>
      <c r="BJ1388" s="427">
        <v>3.19</v>
      </c>
      <c r="BK1388" s="428" t="s">
        <v>210</v>
      </c>
      <c r="BL1388" s="429" t="s">
        <v>210</v>
      </c>
      <c r="BM1388" s="430" t="s">
        <v>210</v>
      </c>
      <c r="BN1388" s="410"/>
      <c r="BO1388" s="502"/>
      <c r="BP1388" s="492"/>
      <c r="BQ1388" s="456" t="s">
        <v>1059</v>
      </c>
      <c r="BR1388" s="392" t="s">
        <v>210</v>
      </c>
      <c r="BS1388" s="392" t="s">
        <v>210</v>
      </c>
      <c r="BT1388" s="392" t="s">
        <v>210</v>
      </c>
      <c r="BU1388" s="392" t="s">
        <v>210</v>
      </c>
      <c r="BV1388" s="392" t="s">
        <v>210</v>
      </c>
      <c r="BW1388" s="392" t="s">
        <v>210</v>
      </c>
      <c r="BX1388" s="392" t="s">
        <v>210</v>
      </c>
      <c r="BY1388" s="457"/>
      <c r="BZ1388" s="363"/>
      <c r="CA1388" s="363"/>
      <c r="CB1388" s="363"/>
      <c r="CC1388" s="363"/>
    </row>
    <row r="1389" spans="2:82" ht="22.5" customHeight="1">
      <c r="B1389" s="507">
        <v>190132</v>
      </c>
      <c r="C1389" s="494" t="s">
        <v>16562</v>
      </c>
      <c r="D1389" s="467" t="s">
        <v>16614</v>
      </c>
      <c r="E1389" s="404" t="s">
        <v>16563</v>
      </c>
      <c r="F1389" s="405" t="s">
        <v>264</v>
      </c>
      <c r="G1389" s="324" t="s">
        <v>16615</v>
      </c>
      <c r="H1389" s="324" t="s">
        <v>16616</v>
      </c>
      <c r="I1389" s="326" t="s">
        <v>11</v>
      </c>
      <c r="J1389" s="324" t="s">
        <v>7171</v>
      </c>
      <c r="K1389" s="324" t="s">
        <v>16564</v>
      </c>
      <c r="L1389" s="342">
        <v>3</v>
      </c>
      <c r="M1389" s="324" t="s">
        <v>7457</v>
      </c>
      <c r="N1389" s="444" t="s">
        <v>16617</v>
      </c>
      <c r="O1389" s="324">
        <v>35</v>
      </c>
      <c r="P1389" s="458">
        <v>1042.8</v>
      </c>
      <c r="Q1389" s="459">
        <v>627</v>
      </c>
      <c r="R1389" s="420" t="s">
        <v>16565</v>
      </c>
      <c r="S1389" s="394" t="s">
        <v>16568</v>
      </c>
      <c r="T1389" s="513"/>
      <c r="U1389" s="513"/>
      <c r="V1389" s="1277"/>
      <c r="W1389" s="332" t="s">
        <v>16565</v>
      </c>
      <c r="X1389" s="394" t="s">
        <v>16567</v>
      </c>
      <c r="Y1389" s="513"/>
      <c r="Z1389" s="513"/>
      <c r="AA1389" s="513"/>
      <c r="AB1389" s="416" t="s">
        <v>16570</v>
      </c>
      <c r="AC1389" s="416"/>
      <c r="AD1389" s="447" t="s">
        <v>18036</v>
      </c>
      <c r="AE1389" s="485"/>
      <c r="AF1389" s="475">
        <v>43997</v>
      </c>
      <c r="AG1389" s="389"/>
      <c r="AH1389" s="417" t="s">
        <v>210</v>
      </c>
      <c r="AI1389" s="392" t="s">
        <v>210</v>
      </c>
      <c r="AJ1389" s="392" t="s">
        <v>210</v>
      </c>
      <c r="AK1389" s="340" t="s">
        <v>210</v>
      </c>
      <c r="AL1389" s="392" t="s">
        <v>210</v>
      </c>
      <c r="AM1389" s="392" t="s">
        <v>210</v>
      </c>
      <c r="AN1389" s="392" t="s">
        <v>210</v>
      </c>
      <c r="AO1389" s="392" t="s">
        <v>210</v>
      </c>
      <c r="AP1389" s="392" t="s">
        <v>210</v>
      </c>
      <c r="AQ1389" s="429" t="s">
        <v>4547</v>
      </c>
      <c r="AR1389" s="452">
        <v>733</v>
      </c>
      <c r="AS1389" s="324">
        <v>120</v>
      </c>
      <c r="AT1389" s="432">
        <v>1</v>
      </c>
      <c r="AU1389" s="432" t="s">
        <v>16618</v>
      </c>
      <c r="AV1389" s="432">
        <v>1.2</v>
      </c>
      <c r="AW1389" s="490" t="s">
        <v>16619</v>
      </c>
      <c r="AX1389" s="453" t="s">
        <v>210</v>
      </c>
      <c r="AY1389" s="429" t="s">
        <v>210</v>
      </c>
      <c r="AZ1389" s="405" t="s">
        <v>4083</v>
      </c>
      <c r="BA1389" s="324" t="s">
        <v>210</v>
      </c>
      <c r="BB1389" s="324" t="s">
        <v>210</v>
      </c>
      <c r="BC1389" s="324" t="s">
        <v>210</v>
      </c>
      <c r="BD1389" s="324" t="s">
        <v>210</v>
      </c>
      <c r="BE1389" s="324" t="s">
        <v>16620</v>
      </c>
      <c r="BF1389" s="324" t="s">
        <v>16621</v>
      </c>
      <c r="BG1389" s="324" t="s">
        <v>16622</v>
      </c>
      <c r="BH1389" s="426" t="s">
        <v>16623</v>
      </c>
      <c r="BI1389" s="453">
        <v>2.4</v>
      </c>
      <c r="BJ1389" s="411"/>
      <c r="BK1389" s="428" t="s">
        <v>210</v>
      </c>
      <c r="BL1389" s="429" t="s">
        <v>210</v>
      </c>
      <c r="BM1389" s="430" t="s">
        <v>210</v>
      </c>
      <c r="BN1389" s="453" t="s">
        <v>622</v>
      </c>
      <c r="BO1389" s="454">
        <v>0.92</v>
      </c>
      <c r="BP1389" s="455" t="s">
        <v>622</v>
      </c>
      <c r="BQ1389" s="456" t="s">
        <v>247</v>
      </c>
      <c r="BR1389" s="392" t="s">
        <v>210</v>
      </c>
      <c r="BS1389" s="342" t="s">
        <v>622</v>
      </c>
      <c r="BT1389" s="392" t="s">
        <v>210</v>
      </c>
      <c r="BU1389" s="392" t="s">
        <v>210</v>
      </c>
      <c r="BV1389" s="392" t="s">
        <v>210</v>
      </c>
      <c r="BW1389" s="392" t="s">
        <v>210</v>
      </c>
      <c r="BX1389" s="392" t="s">
        <v>210</v>
      </c>
      <c r="BY1389" s="457"/>
      <c r="BZ1389" s="363"/>
      <c r="CA1389" s="363"/>
      <c r="CB1389" s="363"/>
      <c r="CC1389" s="363"/>
    </row>
    <row r="1390" spans="2:82" ht="22.5" customHeight="1">
      <c r="B1390" s="507">
        <v>190133</v>
      </c>
      <c r="C1390" s="443" t="s">
        <v>16583</v>
      </c>
      <c r="D1390" s="467" t="s">
        <v>16655</v>
      </c>
      <c r="E1390" s="404" t="s">
        <v>6879</v>
      </c>
      <c r="F1390" s="405" t="s">
        <v>16673</v>
      </c>
      <c r="G1390" s="324" t="s">
        <v>16674</v>
      </c>
      <c r="H1390" s="324" t="s">
        <v>16675</v>
      </c>
      <c r="I1390" s="326" t="s">
        <v>11</v>
      </c>
      <c r="J1390" s="326" t="s">
        <v>399</v>
      </c>
      <c r="K1390" s="324" t="s">
        <v>363</v>
      </c>
      <c r="L1390" s="361"/>
      <c r="M1390" s="324" t="s">
        <v>7457</v>
      </c>
      <c r="N1390" s="444" t="s">
        <v>437</v>
      </c>
      <c r="O1390" s="324">
        <v>30</v>
      </c>
      <c r="P1390" s="445">
        <f>Q1390</f>
        <v>160</v>
      </c>
      <c r="Q1390" s="446">
        <v>160</v>
      </c>
      <c r="R1390" s="420" t="s">
        <v>16648</v>
      </c>
      <c r="S1390" s="394" t="s">
        <v>16643</v>
      </c>
      <c r="T1390" s="394" t="s">
        <v>16644</v>
      </c>
      <c r="U1390" s="394" t="s">
        <v>16645</v>
      </c>
      <c r="V1390" s="394" t="s">
        <v>16646</v>
      </c>
      <c r="W1390" s="332" t="s">
        <v>644</v>
      </c>
      <c r="X1390" s="513"/>
      <c r="Y1390" s="513"/>
      <c r="Z1390" s="513"/>
      <c r="AA1390" s="513"/>
      <c r="AB1390" s="416" t="s">
        <v>16573</v>
      </c>
      <c r="AC1390" s="416"/>
      <c r="AD1390" s="461"/>
      <c r="AE1390" s="499" t="s">
        <v>210</v>
      </c>
      <c r="AF1390" s="475">
        <v>43997</v>
      </c>
      <c r="AG1390" s="748">
        <v>44131</v>
      </c>
      <c r="AH1390" s="417" t="s">
        <v>210</v>
      </c>
      <c r="AI1390" s="392" t="s">
        <v>210</v>
      </c>
      <c r="AJ1390" s="392" t="s">
        <v>210</v>
      </c>
      <c r="AK1390" s="340" t="s">
        <v>210</v>
      </c>
      <c r="AL1390" s="392" t="s">
        <v>210</v>
      </c>
      <c r="AM1390" s="392" t="s">
        <v>210</v>
      </c>
      <c r="AN1390" s="392" t="s">
        <v>210</v>
      </c>
      <c r="AO1390" s="392" t="s">
        <v>210</v>
      </c>
      <c r="AP1390" s="392" t="s">
        <v>210</v>
      </c>
      <c r="AQ1390" s="429" t="s">
        <v>4547</v>
      </c>
      <c r="AR1390" s="452">
        <v>255</v>
      </c>
      <c r="AS1390" s="324">
        <v>80</v>
      </c>
      <c r="AT1390" s="432">
        <v>1</v>
      </c>
      <c r="AU1390" s="432" t="s">
        <v>16676</v>
      </c>
      <c r="AV1390" s="432">
        <v>1.5</v>
      </c>
      <c r="AW1390" s="432" t="s">
        <v>16676</v>
      </c>
      <c r="AX1390" s="453" t="s">
        <v>210</v>
      </c>
      <c r="AY1390" s="429" t="s">
        <v>210</v>
      </c>
      <c r="AZ1390" s="405" t="s">
        <v>622</v>
      </c>
      <c r="BA1390" s="324" t="s">
        <v>3459</v>
      </c>
      <c r="BB1390" s="324" t="s">
        <v>16677</v>
      </c>
      <c r="BC1390" s="324" t="s">
        <v>16678</v>
      </c>
      <c r="BD1390" s="324" t="s">
        <v>16677</v>
      </c>
      <c r="BE1390" s="324" t="s">
        <v>16679</v>
      </c>
      <c r="BF1390" s="324" t="s">
        <v>16680</v>
      </c>
      <c r="BG1390" s="324" t="s">
        <v>16681</v>
      </c>
      <c r="BH1390" s="426" t="s">
        <v>16682</v>
      </c>
      <c r="BI1390" s="453">
        <v>1.3</v>
      </c>
      <c r="BJ1390" s="427">
        <v>1.63</v>
      </c>
      <c r="BK1390" s="428" t="s">
        <v>16683</v>
      </c>
      <c r="BL1390" s="429">
        <v>2</v>
      </c>
      <c r="BM1390" s="414"/>
      <c r="BN1390" s="453" t="s">
        <v>622</v>
      </c>
      <c r="BO1390" s="454">
        <v>0.87</v>
      </c>
      <c r="BP1390" s="455" t="s">
        <v>622</v>
      </c>
      <c r="BQ1390" s="456" t="s">
        <v>10350</v>
      </c>
      <c r="BR1390" s="392" t="s">
        <v>210</v>
      </c>
      <c r="BS1390" s="392" t="s">
        <v>210</v>
      </c>
      <c r="BT1390" s="392" t="s">
        <v>210</v>
      </c>
      <c r="BU1390" s="392" t="s">
        <v>210</v>
      </c>
      <c r="BV1390" s="392" t="s">
        <v>210</v>
      </c>
      <c r="BW1390" s="392" t="s">
        <v>210</v>
      </c>
      <c r="BX1390" s="392" t="s">
        <v>210</v>
      </c>
      <c r="BY1390" s="457"/>
      <c r="BZ1390" s="363"/>
      <c r="CA1390" s="363"/>
      <c r="CB1390" s="363"/>
      <c r="CC1390" s="363"/>
    </row>
    <row r="1391" spans="2:82" ht="22.5" customHeight="1">
      <c r="B1391" s="507">
        <v>190134</v>
      </c>
      <c r="C1391" s="443" t="s">
        <v>16549</v>
      </c>
      <c r="D1391" s="467" t="s">
        <v>7070</v>
      </c>
      <c r="E1391" s="404" t="s">
        <v>5362</v>
      </c>
      <c r="F1391" s="405" t="s">
        <v>16550</v>
      </c>
      <c r="G1391" s="324" t="s">
        <v>16551</v>
      </c>
      <c r="H1391" s="324" t="s">
        <v>16552</v>
      </c>
      <c r="I1391" s="326" t="s">
        <v>11</v>
      </c>
      <c r="J1391" s="324" t="s">
        <v>7171</v>
      </c>
      <c r="K1391" s="324" t="s">
        <v>247</v>
      </c>
      <c r="L1391" s="342">
        <v>20</v>
      </c>
      <c r="M1391" s="324" t="s">
        <v>7457</v>
      </c>
      <c r="N1391" s="444" t="s">
        <v>438</v>
      </c>
      <c r="O1391" s="324">
        <v>40</v>
      </c>
      <c r="P1391" s="822">
        <v>6057.58</v>
      </c>
      <c r="Q1391" s="558">
        <v>5445.05</v>
      </c>
      <c r="R1391" s="420" t="s">
        <v>16545</v>
      </c>
      <c r="S1391" s="394" t="s">
        <v>16579</v>
      </c>
      <c r="T1391" s="394" t="s">
        <v>16580</v>
      </c>
      <c r="U1391" s="394" t="s">
        <v>16581</v>
      </c>
      <c r="V1391" s="394" t="s">
        <v>16582</v>
      </c>
      <c r="W1391" s="460" t="s">
        <v>16586</v>
      </c>
      <c r="X1391" s="394" t="s">
        <v>16924</v>
      </c>
      <c r="Y1391" s="394" t="s">
        <v>16962</v>
      </c>
      <c r="Z1391" s="394" t="s">
        <v>16961</v>
      </c>
      <c r="AA1391" s="394" t="s">
        <v>16925</v>
      </c>
      <c r="AB1391" s="416"/>
      <c r="AC1391" s="416"/>
      <c r="AD1391" s="447" t="s">
        <v>17541</v>
      </c>
      <c r="AE1391" s="485"/>
      <c r="AF1391" s="475">
        <v>43997</v>
      </c>
      <c r="AG1391" s="748">
        <v>44127</v>
      </c>
      <c r="AH1391" s="417" t="s">
        <v>210</v>
      </c>
      <c r="AI1391" s="392" t="s">
        <v>210</v>
      </c>
      <c r="AJ1391" s="392" t="s">
        <v>210</v>
      </c>
      <c r="AK1391" s="340" t="s">
        <v>210</v>
      </c>
      <c r="AL1391" s="392" t="s">
        <v>210</v>
      </c>
      <c r="AM1391" s="392" t="s">
        <v>210</v>
      </c>
      <c r="AN1391" s="392" t="s">
        <v>210</v>
      </c>
      <c r="AO1391" s="392" t="s">
        <v>210</v>
      </c>
      <c r="AP1391" s="392" t="s">
        <v>210</v>
      </c>
      <c r="AQ1391" s="429" t="s">
        <v>4547</v>
      </c>
      <c r="AR1391" s="452">
        <v>5876</v>
      </c>
      <c r="AS1391" s="324">
        <v>150</v>
      </c>
      <c r="AT1391" s="432">
        <v>1</v>
      </c>
      <c r="AU1391" s="432" t="s">
        <v>16926</v>
      </c>
      <c r="AV1391" s="432">
        <v>1.3</v>
      </c>
      <c r="AW1391" s="490" t="s">
        <v>3936</v>
      </c>
      <c r="AX1391" s="486" t="s">
        <v>16927</v>
      </c>
      <c r="AY1391" s="1040" t="s">
        <v>16929</v>
      </c>
      <c r="AZ1391" s="405" t="s">
        <v>4083</v>
      </c>
      <c r="BA1391" s="324" t="s">
        <v>210</v>
      </c>
      <c r="BB1391" s="324" t="s">
        <v>210</v>
      </c>
      <c r="BC1391" s="324" t="s">
        <v>210</v>
      </c>
      <c r="BD1391" s="324" t="s">
        <v>210</v>
      </c>
      <c r="BE1391" s="324" t="s">
        <v>3459</v>
      </c>
      <c r="BF1391" s="324" t="s">
        <v>16926</v>
      </c>
      <c r="BG1391" s="324" t="s">
        <v>16665</v>
      </c>
      <c r="BH1391" s="324" t="s">
        <v>16926</v>
      </c>
      <c r="BI1391" s="453">
        <v>1.9</v>
      </c>
      <c r="BJ1391" s="427" t="s">
        <v>210</v>
      </c>
      <c r="BK1391" s="428" t="s">
        <v>210</v>
      </c>
      <c r="BL1391" s="429" t="s">
        <v>210</v>
      </c>
      <c r="BM1391" s="430" t="s">
        <v>210</v>
      </c>
      <c r="BN1391" s="453" t="s">
        <v>622</v>
      </c>
      <c r="BO1391" s="464">
        <v>1.23</v>
      </c>
      <c r="BP1391" s="455" t="s">
        <v>6914</v>
      </c>
      <c r="BQ1391" s="456" t="s">
        <v>247</v>
      </c>
      <c r="BR1391" s="342" t="s">
        <v>622</v>
      </c>
      <c r="BS1391" s="392" t="s">
        <v>210</v>
      </c>
      <c r="BT1391" s="392" t="s">
        <v>210</v>
      </c>
      <c r="BU1391" s="392" t="s">
        <v>210</v>
      </c>
      <c r="BV1391" s="392" t="s">
        <v>210</v>
      </c>
      <c r="BW1391" s="392" t="s">
        <v>210</v>
      </c>
      <c r="BX1391" s="392" t="s">
        <v>210</v>
      </c>
      <c r="BY1391" s="457" t="s">
        <v>16930</v>
      </c>
      <c r="BZ1391" s="363"/>
      <c r="CA1391" s="363"/>
      <c r="CB1391" s="363"/>
      <c r="CC1391" s="363"/>
    </row>
    <row r="1392" spans="2:82" ht="22.5" customHeight="1">
      <c r="B1392" s="507">
        <v>190135</v>
      </c>
      <c r="C1392" s="443" t="s">
        <v>16658</v>
      </c>
      <c r="D1392" s="467" t="s">
        <v>16589</v>
      </c>
      <c r="E1392" s="404" t="s">
        <v>5362</v>
      </c>
      <c r="F1392" s="405" t="s">
        <v>7337</v>
      </c>
      <c r="G1392" s="324" t="s">
        <v>9518</v>
      </c>
      <c r="H1392" s="324" t="s">
        <v>16588</v>
      </c>
      <c r="I1392" s="326" t="s">
        <v>11</v>
      </c>
      <c r="J1392" s="326" t="s">
        <v>399</v>
      </c>
      <c r="K1392" s="324" t="s">
        <v>419</v>
      </c>
      <c r="L1392" s="342" t="s">
        <v>210</v>
      </c>
      <c r="M1392" s="324" t="s">
        <v>7457</v>
      </c>
      <c r="N1392" s="444" t="s">
        <v>437</v>
      </c>
      <c r="O1392" s="324">
        <v>30</v>
      </c>
      <c r="P1392" s="445">
        <v>400</v>
      </c>
      <c r="Q1392" s="446">
        <f>P1392</f>
        <v>400</v>
      </c>
      <c r="R1392" s="394" t="s">
        <v>17599</v>
      </c>
      <c r="S1392" s="394" t="s">
        <v>17600</v>
      </c>
      <c r="T1392" s="394" t="s">
        <v>17602</v>
      </c>
      <c r="U1392" s="394" t="s">
        <v>17601</v>
      </c>
      <c r="V1392" s="332" t="s">
        <v>17603</v>
      </c>
      <c r="W1392" s="812" t="s">
        <v>16590</v>
      </c>
      <c r="X1392" s="394" t="s">
        <v>16591</v>
      </c>
      <c r="Y1392" s="394" t="s">
        <v>16592</v>
      </c>
      <c r="Z1392" s="513"/>
      <c r="AA1392" s="332" t="s">
        <v>16593</v>
      </c>
      <c r="AB1392" s="416"/>
      <c r="AC1392" s="416"/>
      <c r="AD1392" s="461"/>
      <c r="AE1392" s="499" t="s">
        <v>210</v>
      </c>
      <c r="AF1392" s="475">
        <v>43999</v>
      </c>
      <c r="AG1392" s="748">
        <v>44074</v>
      </c>
      <c r="AH1392" s="417" t="s">
        <v>210</v>
      </c>
      <c r="AI1392" s="392" t="s">
        <v>210</v>
      </c>
      <c r="AJ1392" s="392" t="s">
        <v>210</v>
      </c>
      <c r="AK1392" s="340" t="s">
        <v>210</v>
      </c>
      <c r="AL1392" s="392" t="s">
        <v>210</v>
      </c>
      <c r="AM1392" s="392" t="s">
        <v>210</v>
      </c>
      <c r="AN1392" s="392" t="s">
        <v>210</v>
      </c>
      <c r="AO1392" s="392" t="s">
        <v>210</v>
      </c>
      <c r="AP1392" s="392" t="s">
        <v>210</v>
      </c>
      <c r="AQ1392" s="429" t="s">
        <v>4547</v>
      </c>
      <c r="AR1392" s="452">
        <v>495</v>
      </c>
      <c r="AS1392" s="324">
        <v>100</v>
      </c>
      <c r="AT1392" s="432">
        <v>1</v>
      </c>
      <c r="AU1392" s="432" t="s">
        <v>16662</v>
      </c>
      <c r="AV1392" s="432">
        <v>1.5</v>
      </c>
      <c r="AW1392" s="490" t="s">
        <v>16663</v>
      </c>
      <c r="AX1392" s="453" t="s">
        <v>210</v>
      </c>
      <c r="AY1392" s="429" t="s">
        <v>210</v>
      </c>
      <c r="AZ1392" s="405" t="s">
        <v>4083</v>
      </c>
      <c r="BA1392" s="324" t="s">
        <v>210</v>
      </c>
      <c r="BB1392" s="324" t="s">
        <v>210</v>
      </c>
      <c r="BC1392" s="324" t="s">
        <v>16664</v>
      </c>
      <c r="BD1392" s="324" t="s">
        <v>3372</v>
      </c>
      <c r="BE1392" s="324" t="s">
        <v>16665</v>
      </c>
      <c r="BF1392" s="324" t="s">
        <v>3372</v>
      </c>
      <c r="BG1392" s="324" t="s">
        <v>16665</v>
      </c>
      <c r="BH1392" s="426" t="s">
        <v>16666</v>
      </c>
      <c r="BI1392" s="453">
        <v>1</v>
      </c>
      <c r="BJ1392" s="427">
        <v>7</v>
      </c>
      <c r="BK1392" s="428" t="s">
        <v>16667</v>
      </c>
      <c r="BL1392" s="429">
        <f>3.7+2.1</f>
        <v>5.8000000000000007</v>
      </c>
      <c r="BM1392" s="430" t="s">
        <v>210</v>
      </c>
      <c r="BN1392" s="453" t="s">
        <v>16669</v>
      </c>
      <c r="BO1392" s="454" t="s">
        <v>16668</v>
      </c>
      <c r="BP1392" s="455" t="s">
        <v>622</v>
      </c>
      <c r="BQ1392" s="456" t="s">
        <v>16670</v>
      </c>
      <c r="BR1392" s="392" t="s">
        <v>210</v>
      </c>
      <c r="BS1392" s="342" t="s">
        <v>622</v>
      </c>
      <c r="BT1392" s="392" t="s">
        <v>210</v>
      </c>
      <c r="BU1392" s="392" t="s">
        <v>210</v>
      </c>
      <c r="BV1392" s="392" t="s">
        <v>210</v>
      </c>
      <c r="BW1392" s="392" t="s">
        <v>210</v>
      </c>
      <c r="BX1392" s="392" t="s">
        <v>210</v>
      </c>
      <c r="BY1392" s="457"/>
      <c r="BZ1392" s="363"/>
      <c r="CA1392" s="363"/>
      <c r="CB1392" s="363"/>
      <c r="CC1392" s="363"/>
    </row>
    <row r="1393" spans="2:81" ht="22.5" customHeight="1">
      <c r="B1393" s="507">
        <v>190136</v>
      </c>
      <c r="C1393" s="443" t="s">
        <v>16633</v>
      </c>
      <c r="D1393" s="467" t="s">
        <v>16625</v>
      </c>
      <c r="E1393" s="404" t="s">
        <v>5363</v>
      </c>
      <c r="F1393" s="405" t="s">
        <v>16612</v>
      </c>
      <c r="G1393" s="324" t="s">
        <v>16613</v>
      </c>
      <c r="H1393" s="324" t="s">
        <v>16845</v>
      </c>
      <c r="I1393" s="326" t="s">
        <v>11</v>
      </c>
      <c r="J1393" s="326" t="s">
        <v>399</v>
      </c>
      <c r="K1393" s="324" t="s">
        <v>917</v>
      </c>
      <c r="L1393" s="342" t="s">
        <v>210</v>
      </c>
      <c r="M1393" s="324" t="s">
        <v>7457</v>
      </c>
      <c r="N1393" s="444" t="s">
        <v>438</v>
      </c>
      <c r="O1393" s="324">
        <v>42</v>
      </c>
      <c r="P1393" s="445">
        <v>3500</v>
      </c>
      <c r="Q1393" s="446">
        <f>P1393</f>
        <v>3500</v>
      </c>
      <c r="R1393" s="447" t="s">
        <v>16605</v>
      </c>
      <c r="S1393" s="394" t="s">
        <v>16600</v>
      </c>
      <c r="T1393" s="394" t="s">
        <v>16602</v>
      </c>
      <c r="U1393" s="394" t="s">
        <v>16601</v>
      </c>
      <c r="V1393" s="332" t="s">
        <v>16603</v>
      </c>
      <c r="W1393" s="332" t="s">
        <v>432</v>
      </c>
      <c r="X1393" s="331" t="s">
        <v>210</v>
      </c>
      <c r="Y1393" s="331" t="s">
        <v>210</v>
      </c>
      <c r="Z1393" s="331" t="s">
        <v>210</v>
      </c>
      <c r="AA1393" s="331" t="s">
        <v>210</v>
      </c>
      <c r="AB1393" s="416" t="s">
        <v>16604</v>
      </c>
      <c r="AC1393" s="416"/>
      <c r="AD1393" s="461"/>
      <c r="AE1393" s="485"/>
      <c r="AF1393" s="475">
        <v>44001</v>
      </c>
      <c r="AG1393" s="389"/>
      <c r="AH1393" s="453">
        <v>10.5</v>
      </c>
      <c r="AI1393" s="432">
        <v>16.399999999999999</v>
      </c>
      <c r="AJ1393" s="432">
        <v>13.4</v>
      </c>
      <c r="AK1393" s="340">
        <f>SUM(AH1393:AJ1393)</f>
        <v>40.299999999999997</v>
      </c>
      <c r="AL1393" s="392" t="s">
        <v>210</v>
      </c>
      <c r="AM1393" s="392" t="s">
        <v>210</v>
      </c>
      <c r="AN1393" s="487" t="s">
        <v>16852</v>
      </c>
      <c r="AO1393" s="392" t="s">
        <v>210</v>
      </c>
      <c r="AP1393" s="496" t="s">
        <v>622</v>
      </c>
      <c r="AQ1393" s="429" t="s">
        <v>4547</v>
      </c>
      <c r="AR1393" s="452">
        <v>4296</v>
      </c>
      <c r="AS1393" s="324">
        <v>100</v>
      </c>
      <c r="AT1393" s="500"/>
      <c r="AU1393" s="432" t="s">
        <v>16846</v>
      </c>
      <c r="AV1393" s="500"/>
      <c r="AW1393" s="490" t="s">
        <v>16847</v>
      </c>
      <c r="AX1393" s="453" t="s">
        <v>210</v>
      </c>
      <c r="AY1393" s="1040" t="s">
        <v>16928</v>
      </c>
      <c r="AZ1393" s="405" t="s">
        <v>622</v>
      </c>
      <c r="BA1393" s="324" t="s">
        <v>16848</v>
      </c>
      <c r="BB1393" s="324" t="s">
        <v>16849</v>
      </c>
      <c r="BC1393" s="324" t="s">
        <v>16850</v>
      </c>
      <c r="BD1393" s="324" t="s">
        <v>16851</v>
      </c>
      <c r="BE1393" s="324" t="s">
        <v>210</v>
      </c>
      <c r="BF1393" s="324" t="s">
        <v>210</v>
      </c>
      <c r="BG1393" s="324" t="s">
        <v>210</v>
      </c>
      <c r="BH1393" s="324" t="s">
        <v>210</v>
      </c>
      <c r="BI1393" s="453">
        <v>0.4</v>
      </c>
      <c r="BJ1393" s="411"/>
      <c r="BK1393" s="412"/>
      <c r="BL1393" s="413"/>
      <c r="BM1393" s="414"/>
      <c r="BN1393" s="453" t="s">
        <v>622</v>
      </c>
      <c r="BO1393" s="454">
        <v>1.45</v>
      </c>
      <c r="BP1393" s="492"/>
      <c r="BQ1393" s="456" t="s">
        <v>16854</v>
      </c>
      <c r="BR1393" s="342" t="s">
        <v>622</v>
      </c>
      <c r="BS1393" s="342" t="s">
        <v>622</v>
      </c>
      <c r="BT1393" s="392" t="s">
        <v>210</v>
      </c>
      <c r="BU1393" s="392" t="s">
        <v>210</v>
      </c>
      <c r="BV1393" s="392" t="s">
        <v>210</v>
      </c>
      <c r="BW1393" s="392" t="s">
        <v>210</v>
      </c>
      <c r="BX1393" s="392" t="s">
        <v>210</v>
      </c>
      <c r="BY1393" s="457" t="s">
        <v>16853</v>
      </c>
      <c r="BZ1393" s="363"/>
      <c r="CA1393" s="363"/>
      <c r="CB1393" s="363"/>
      <c r="CC1393" s="363"/>
    </row>
    <row r="1394" spans="2:81" ht="22.5" customHeight="1">
      <c r="B1394" s="507">
        <v>190137</v>
      </c>
      <c r="C1394" s="443" t="s">
        <v>16128</v>
      </c>
      <c r="D1394" s="467" t="s">
        <v>15086</v>
      </c>
      <c r="E1394" s="404" t="s">
        <v>5363</v>
      </c>
      <c r="F1394" s="405" t="s">
        <v>16136</v>
      </c>
      <c r="G1394" s="324" t="s">
        <v>16137</v>
      </c>
      <c r="H1394" s="324" t="s">
        <v>16138</v>
      </c>
      <c r="I1394" s="326" t="s">
        <v>11</v>
      </c>
      <c r="J1394" s="326" t="s">
        <v>399</v>
      </c>
      <c r="K1394" s="324" t="s">
        <v>917</v>
      </c>
      <c r="L1394" s="342" t="s">
        <v>210</v>
      </c>
      <c r="M1394" s="324" t="s">
        <v>9103</v>
      </c>
      <c r="N1394" s="444" t="s">
        <v>16632</v>
      </c>
      <c r="O1394" s="324">
        <v>40</v>
      </c>
      <c r="P1394" s="445">
        <v>3400</v>
      </c>
      <c r="Q1394" s="446">
        <f>P1394</f>
        <v>3400</v>
      </c>
      <c r="R1394" s="420" t="s">
        <v>16135</v>
      </c>
      <c r="S1394" s="394" t="s">
        <v>16129</v>
      </c>
      <c r="T1394" s="394" t="s">
        <v>16131</v>
      </c>
      <c r="U1394" s="394" t="s">
        <v>16130</v>
      </c>
      <c r="V1394" s="394" t="s">
        <v>16132</v>
      </c>
      <c r="W1394" s="460" t="s">
        <v>16628</v>
      </c>
      <c r="X1394" s="394" t="s">
        <v>16631</v>
      </c>
      <c r="Y1394" s="394" t="s">
        <v>16634</v>
      </c>
      <c r="Z1394" s="394" t="s">
        <v>16635</v>
      </c>
      <c r="AA1394" s="394" t="s">
        <v>16630</v>
      </c>
      <c r="AB1394" s="416" t="s">
        <v>16134</v>
      </c>
      <c r="AC1394" s="416"/>
      <c r="AD1394" s="461"/>
      <c r="AE1394" s="499" t="s">
        <v>295</v>
      </c>
      <c r="AF1394" s="475">
        <v>44005</v>
      </c>
      <c r="AG1394" s="748">
        <v>44113</v>
      </c>
      <c r="AH1394" s="417" t="s">
        <v>210</v>
      </c>
      <c r="AI1394" s="392" t="s">
        <v>210</v>
      </c>
      <c r="AJ1394" s="392" t="s">
        <v>210</v>
      </c>
      <c r="AK1394" s="340" t="s">
        <v>210</v>
      </c>
      <c r="AL1394" s="392" t="s">
        <v>210</v>
      </c>
      <c r="AM1394" s="392" t="s">
        <v>210</v>
      </c>
      <c r="AN1394" s="432" t="s">
        <v>16835</v>
      </c>
      <c r="AO1394" s="392" t="s">
        <v>210</v>
      </c>
      <c r="AP1394" s="496" t="s">
        <v>622</v>
      </c>
      <c r="AQ1394" s="429" t="s">
        <v>4547</v>
      </c>
      <c r="AR1394" s="452">
        <v>4004</v>
      </c>
      <c r="AS1394" s="324">
        <v>150</v>
      </c>
      <c r="AT1394" s="432">
        <v>1</v>
      </c>
      <c r="AU1394" s="432" t="s">
        <v>16842</v>
      </c>
      <c r="AV1394" s="432">
        <v>1</v>
      </c>
      <c r="AW1394" s="490" t="s">
        <v>16841</v>
      </c>
      <c r="AX1394" s="453" t="s">
        <v>210</v>
      </c>
      <c r="AY1394" s="429" t="s">
        <v>210</v>
      </c>
      <c r="AZ1394" s="405" t="s">
        <v>4083</v>
      </c>
      <c r="BA1394" s="324" t="s">
        <v>210</v>
      </c>
      <c r="BB1394" s="324" t="s">
        <v>210</v>
      </c>
      <c r="BC1394" s="324" t="s">
        <v>210</v>
      </c>
      <c r="BD1394" s="324" t="s">
        <v>210</v>
      </c>
      <c r="BE1394" s="324" t="s">
        <v>210</v>
      </c>
      <c r="BF1394" s="324" t="s">
        <v>210</v>
      </c>
      <c r="BG1394" s="324" t="s">
        <v>16836</v>
      </c>
      <c r="BH1394" s="426" t="s">
        <v>16837</v>
      </c>
      <c r="BI1394" s="453">
        <v>3.7</v>
      </c>
      <c r="BJ1394" s="427" t="s">
        <v>16838</v>
      </c>
      <c r="BK1394" s="428" t="s">
        <v>16839</v>
      </c>
      <c r="BL1394" s="429">
        <v>2.1</v>
      </c>
      <c r="BM1394" s="430" t="s">
        <v>210</v>
      </c>
      <c r="BN1394" s="453" t="s">
        <v>622</v>
      </c>
      <c r="BO1394" s="454">
        <v>3.97</v>
      </c>
      <c r="BP1394" s="455" t="s">
        <v>16840</v>
      </c>
      <c r="BQ1394" s="456" t="s">
        <v>10350</v>
      </c>
      <c r="BR1394" s="342" t="s">
        <v>622</v>
      </c>
      <c r="BS1394" s="342" t="s">
        <v>622</v>
      </c>
      <c r="BT1394" s="392" t="s">
        <v>210</v>
      </c>
      <c r="BU1394" s="392" t="s">
        <v>210</v>
      </c>
      <c r="BV1394" s="392" t="s">
        <v>210</v>
      </c>
      <c r="BW1394" s="392" t="s">
        <v>210</v>
      </c>
      <c r="BX1394" s="392" t="s">
        <v>210</v>
      </c>
      <c r="BY1394" s="457" t="s">
        <v>16139</v>
      </c>
      <c r="BZ1394" s="363"/>
      <c r="CA1394" s="363"/>
      <c r="CB1394" s="363"/>
      <c r="CC1394" s="363"/>
    </row>
    <row r="1395" spans="2:81" ht="22.5" customHeight="1">
      <c r="B1395" s="507">
        <v>190138</v>
      </c>
      <c r="C1395" s="494" t="s">
        <v>16684</v>
      </c>
      <c r="D1395" s="467" t="s">
        <v>16717</v>
      </c>
      <c r="E1395" s="404" t="s">
        <v>5362</v>
      </c>
      <c r="F1395" s="405" t="s">
        <v>16856</v>
      </c>
      <c r="G1395" s="324" t="s">
        <v>16857</v>
      </c>
      <c r="H1395" s="324" t="s">
        <v>16858</v>
      </c>
      <c r="I1395" s="326" t="s">
        <v>11</v>
      </c>
      <c r="J1395" s="324" t="s">
        <v>16686</v>
      </c>
      <c r="K1395" s="324" t="s">
        <v>917</v>
      </c>
      <c r="L1395" s="342" t="s">
        <v>210</v>
      </c>
      <c r="M1395" s="324" t="s">
        <v>7457</v>
      </c>
      <c r="N1395" s="444" t="s">
        <v>438</v>
      </c>
      <c r="O1395" s="324">
        <v>37</v>
      </c>
      <c r="P1395" s="445">
        <v>3400</v>
      </c>
      <c r="Q1395" s="446">
        <v>3000</v>
      </c>
      <c r="R1395" s="420" t="s">
        <v>16687</v>
      </c>
      <c r="S1395" s="394" t="s">
        <v>16688</v>
      </c>
      <c r="T1395" s="394" t="s">
        <v>16689</v>
      </c>
      <c r="U1395" s="394" t="s">
        <v>16690</v>
      </c>
      <c r="V1395" s="394" t="s">
        <v>16691</v>
      </c>
      <c r="W1395" s="460" t="s">
        <v>16696</v>
      </c>
      <c r="X1395" s="394" t="s">
        <v>16695</v>
      </c>
      <c r="Y1395" s="394" t="s">
        <v>16694</v>
      </c>
      <c r="Z1395" s="394" t="s">
        <v>16693</v>
      </c>
      <c r="AA1395" s="394" t="s">
        <v>16692</v>
      </c>
      <c r="AB1395" s="416"/>
      <c r="AC1395" s="416"/>
      <c r="AD1395" s="447" t="s">
        <v>17233</v>
      </c>
      <c r="AE1395" s="499" t="s">
        <v>1038</v>
      </c>
      <c r="AF1395" s="475">
        <v>44011</v>
      </c>
      <c r="AG1395" s="748">
        <v>44089</v>
      </c>
      <c r="AH1395" s="417" t="s">
        <v>210</v>
      </c>
      <c r="AI1395" s="392" t="s">
        <v>210</v>
      </c>
      <c r="AJ1395" s="392" t="s">
        <v>210</v>
      </c>
      <c r="AK1395" s="340" t="s">
        <v>210</v>
      </c>
      <c r="AL1395" s="392" t="s">
        <v>210</v>
      </c>
      <c r="AM1395" s="392" t="s">
        <v>210</v>
      </c>
      <c r="AN1395" s="392" t="s">
        <v>210</v>
      </c>
      <c r="AO1395" s="392" t="s">
        <v>210</v>
      </c>
      <c r="AP1395" s="496" t="s">
        <v>622</v>
      </c>
      <c r="AQ1395" s="429" t="s">
        <v>4547</v>
      </c>
      <c r="AR1395" s="452">
        <v>3511</v>
      </c>
      <c r="AS1395" s="324">
        <v>80</v>
      </c>
      <c r="AT1395" s="432">
        <v>0.8</v>
      </c>
      <c r="AU1395" s="432" t="s">
        <v>16934</v>
      </c>
      <c r="AV1395" s="432">
        <v>1.5</v>
      </c>
      <c r="AW1395" s="490" t="s">
        <v>16935</v>
      </c>
      <c r="AX1395" s="453" t="s">
        <v>210</v>
      </c>
      <c r="AY1395" s="1040" t="s">
        <v>16936</v>
      </c>
      <c r="AZ1395" s="405" t="s">
        <v>660</v>
      </c>
      <c r="BA1395" s="324" t="s">
        <v>16937</v>
      </c>
      <c r="BB1395" s="324" t="s">
        <v>16938</v>
      </c>
      <c r="BC1395" s="324" t="s">
        <v>16939</v>
      </c>
      <c r="BD1395" s="324" t="s">
        <v>16938</v>
      </c>
      <c r="BE1395" s="324" t="s">
        <v>16940</v>
      </c>
      <c r="BF1395" s="324" t="s">
        <v>16941</v>
      </c>
      <c r="BG1395" s="324" t="s">
        <v>16942</v>
      </c>
      <c r="BH1395" s="426" t="s">
        <v>16943</v>
      </c>
      <c r="BI1395" s="453">
        <v>0.7</v>
      </c>
      <c r="BJ1395" s="411"/>
      <c r="BK1395" s="428" t="s">
        <v>16941</v>
      </c>
      <c r="BL1395" s="429">
        <v>1.4</v>
      </c>
      <c r="BM1395" s="430" t="s">
        <v>622</v>
      </c>
      <c r="BN1395" s="453" t="s">
        <v>622</v>
      </c>
      <c r="BO1395" s="464">
        <v>0.95</v>
      </c>
      <c r="BP1395" s="492"/>
      <c r="BQ1395" s="456" t="s">
        <v>10959</v>
      </c>
      <c r="BR1395" s="342" t="s">
        <v>622</v>
      </c>
      <c r="BS1395" s="342" t="s">
        <v>622</v>
      </c>
      <c r="BT1395" s="392" t="s">
        <v>210</v>
      </c>
      <c r="BU1395" s="392" t="s">
        <v>210</v>
      </c>
      <c r="BV1395" s="392" t="s">
        <v>210</v>
      </c>
      <c r="BW1395" s="392" t="s">
        <v>210</v>
      </c>
      <c r="BX1395" s="392" t="s">
        <v>210</v>
      </c>
      <c r="BY1395" s="457" t="s">
        <v>16697</v>
      </c>
      <c r="BZ1395" s="363"/>
      <c r="CA1395" s="363"/>
      <c r="CB1395" s="363"/>
      <c r="CC1395" s="363"/>
    </row>
    <row r="1396" spans="2:81" ht="22.5" customHeight="1">
      <c r="B1396" s="507" t="s">
        <v>16710</v>
      </c>
      <c r="C1396" s="494" t="s">
        <v>16685</v>
      </c>
      <c r="D1396" s="467" t="s">
        <v>16718</v>
      </c>
      <c r="E1396" s="404" t="s">
        <v>5362</v>
      </c>
      <c r="F1396" s="405" t="s">
        <v>16856</v>
      </c>
      <c r="G1396" s="324" t="s">
        <v>16857</v>
      </c>
      <c r="H1396" s="324" t="s">
        <v>16858</v>
      </c>
      <c r="I1396" s="326" t="s">
        <v>11</v>
      </c>
      <c r="J1396" s="326" t="s">
        <v>399</v>
      </c>
      <c r="K1396" s="324" t="s">
        <v>917</v>
      </c>
      <c r="L1396" s="342" t="s">
        <v>210</v>
      </c>
      <c r="M1396" s="324" t="s">
        <v>7457</v>
      </c>
      <c r="N1396" s="444" t="s">
        <v>438</v>
      </c>
      <c r="O1396" s="324">
        <v>37</v>
      </c>
      <c r="P1396" s="445">
        <f>Q1396</f>
        <v>800</v>
      </c>
      <c r="Q1396" s="446">
        <v>800</v>
      </c>
      <c r="R1396" s="420" t="s">
        <v>16687</v>
      </c>
      <c r="S1396" s="394" t="s">
        <v>16688</v>
      </c>
      <c r="T1396" s="394" t="s">
        <v>16689</v>
      </c>
      <c r="U1396" s="394" t="s">
        <v>16690</v>
      </c>
      <c r="V1396" s="394" t="s">
        <v>16691</v>
      </c>
      <c r="W1396" s="460" t="s">
        <v>16696</v>
      </c>
      <c r="X1396" s="394" t="s">
        <v>16695</v>
      </c>
      <c r="Y1396" s="394" t="s">
        <v>16694</v>
      </c>
      <c r="Z1396" s="394" t="s">
        <v>16693</v>
      </c>
      <c r="AA1396" s="394" t="s">
        <v>16692</v>
      </c>
      <c r="AB1396" s="416"/>
      <c r="AC1396" s="416"/>
      <c r="AD1396" s="447" t="s">
        <v>17233</v>
      </c>
      <c r="AE1396" s="499" t="s">
        <v>1038</v>
      </c>
      <c r="AF1396" s="475">
        <v>44011</v>
      </c>
      <c r="AG1396" s="748">
        <v>44089</v>
      </c>
      <c r="AH1396" s="417" t="s">
        <v>210</v>
      </c>
      <c r="AI1396" s="392" t="s">
        <v>210</v>
      </c>
      <c r="AJ1396" s="392" t="s">
        <v>210</v>
      </c>
      <c r="AK1396" s="340" t="s">
        <v>210</v>
      </c>
      <c r="AL1396" s="392" t="s">
        <v>210</v>
      </c>
      <c r="AM1396" s="392" t="s">
        <v>210</v>
      </c>
      <c r="AN1396" s="392" t="s">
        <v>210</v>
      </c>
      <c r="AO1396" s="392" t="s">
        <v>210</v>
      </c>
      <c r="AP1396" s="496" t="s">
        <v>622</v>
      </c>
      <c r="AQ1396" s="429" t="s">
        <v>4547</v>
      </c>
      <c r="AR1396" s="452">
        <v>974</v>
      </c>
      <c r="AS1396" s="324">
        <v>80</v>
      </c>
      <c r="AT1396" s="432">
        <v>1</v>
      </c>
      <c r="AU1396" s="432" t="s">
        <v>16934</v>
      </c>
      <c r="AV1396" s="432">
        <v>1.6</v>
      </c>
      <c r="AW1396" s="490" t="s">
        <v>16935</v>
      </c>
      <c r="AX1396" s="453" t="s">
        <v>210</v>
      </c>
      <c r="AY1396" s="429" t="s">
        <v>210</v>
      </c>
      <c r="AZ1396" s="405" t="s">
        <v>660</v>
      </c>
      <c r="BA1396" s="324" t="s">
        <v>16937</v>
      </c>
      <c r="BB1396" s="324" t="s">
        <v>16938</v>
      </c>
      <c r="BC1396" s="324" t="s">
        <v>16939</v>
      </c>
      <c r="BD1396" s="324" t="s">
        <v>16938</v>
      </c>
      <c r="BE1396" s="324" t="s">
        <v>16940</v>
      </c>
      <c r="BF1396" s="324" t="s">
        <v>16941</v>
      </c>
      <c r="BG1396" s="324" t="s">
        <v>16942</v>
      </c>
      <c r="BH1396" s="426" t="s">
        <v>16943</v>
      </c>
      <c r="BI1396" s="453">
        <v>0.7</v>
      </c>
      <c r="BJ1396" s="411"/>
      <c r="BK1396" s="428" t="s">
        <v>16941</v>
      </c>
      <c r="BL1396" s="429">
        <v>1.4</v>
      </c>
      <c r="BM1396" s="430" t="s">
        <v>622</v>
      </c>
      <c r="BN1396" s="453" t="s">
        <v>622</v>
      </c>
      <c r="BO1396" s="464">
        <v>0.95</v>
      </c>
      <c r="BP1396" s="492"/>
      <c r="BQ1396" s="456" t="s">
        <v>10959</v>
      </c>
      <c r="BR1396" s="342" t="s">
        <v>622</v>
      </c>
      <c r="BS1396" s="342" t="s">
        <v>622</v>
      </c>
      <c r="BT1396" s="392" t="s">
        <v>210</v>
      </c>
      <c r="BU1396" s="392" t="s">
        <v>210</v>
      </c>
      <c r="BV1396" s="392" t="s">
        <v>210</v>
      </c>
      <c r="BW1396" s="392" t="s">
        <v>210</v>
      </c>
      <c r="BX1396" s="392" t="s">
        <v>210</v>
      </c>
      <c r="BY1396" s="457"/>
      <c r="BZ1396" s="363"/>
      <c r="CA1396" s="363"/>
      <c r="CB1396" s="363"/>
      <c r="CC1396" s="363"/>
    </row>
    <row r="1397" spans="2:81" ht="22.5" customHeight="1">
      <c r="B1397" s="507">
        <v>190139</v>
      </c>
      <c r="C1397" s="494" t="s">
        <v>16964</v>
      </c>
      <c r="D1397" s="439" t="s">
        <v>16715</v>
      </c>
      <c r="E1397" s="404" t="s">
        <v>15363</v>
      </c>
      <c r="F1397" s="405" t="s">
        <v>16700</v>
      </c>
      <c r="G1397" s="324" t="s">
        <v>16701</v>
      </c>
      <c r="H1397" s="324" t="s">
        <v>16702</v>
      </c>
      <c r="I1397" s="326" t="s">
        <v>11</v>
      </c>
      <c r="J1397" s="326" t="s">
        <v>399</v>
      </c>
      <c r="K1397" s="324" t="s">
        <v>16703</v>
      </c>
      <c r="L1397" s="342">
        <v>12</v>
      </c>
      <c r="M1397" s="324" t="s">
        <v>7457</v>
      </c>
      <c r="N1397" s="444" t="s">
        <v>438</v>
      </c>
      <c r="O1397" s="324">
        <v>60</v>
      </c>
      <c r="P1397" s="1314">
        <v>1100</v>
      </c>
      <c r="Q1397" s="446">
        <f>P1397</f>
        <v>1100</v>
      </c>
      <c r="R1397" s="447" t="s">
        <v>16705</v>
      </c>
      <c r="S1397" s="513"/>
      <c r="T1397" s="513"/>
      <c r="U1397" s="513"/>
      <c r="V1397" s="1269"/>
      <c r="W1397" s="812" t="s">
        <v>16704</v>
      </c>
      <c r="X1397" s="394" t="s">
        <v>16708</v>
      </c>
      <c r="Y1397" s="394" t="s">
        <v>16707</v>
      </c>
      <c r="Z1397" s="394" t="s">
        <v>16706</v>
      </c>
      <c r="AA1397" s="394" t="s">
        <v>16709</v>
      </c>
      <c r="AB1397" s="416"/>
      <c r="AC1397" s="1283"/>
      <c r="AD1397" s="334" t="s">
        <v>2327</v>
      </c>
      <c r="AE1397" s="499" t="s">
        <v>966</v>
      </c>
      <c r="AF1397" s="475">
        <v>44011</v>
      </c>
      <c r="AG1397" s="748">
        <v>44076</v>
      </c>
      <c r="AH1397" s="417" t="s">
        <v>210</v>
      </c>
      <c r="AI1397" s="392" t="s">
        <v>210</v>
      </c>
      <c r="AJ1397" s="392" t="s">
        <v>210</v>
      </c>
      <c r="AK1397" s="340" t="s">
        <v>210</v>
      </c>
      <c r="AL1397" s="392" t="s">
        <v>210</v>
      </c>
      <c r="AM1397" s="392" t="s">
        <v>210</v>
      </c>
      <c r="AN1397" s="487" t="s">
        <v>16725</v>
      </c>
      <c r="AO1397" s="392" t="s">
        <v>210</v>
      </c>
      <c r="AP1397" s="392" t="s">
        <v>210</v>
      </c>
      <c r="AQ1397" s="429" t="s">
        <v>4547</v>
      </c>
      <c r="AR1397" s="452">
        <v>1330</v>
      </c>
      <c r="AS1397" s="324">
        <v>100</v>
      </c>
      <c r="AT1397" s="432">
        <v>1</v>
      </c>
      <c r="AU1397" s="432" t="s">
        <v>16944</v>
      </c>
      <c r="AV1397" s="432">
        <v>1.8</v>
      </c>
      <c r="AW1397" s="490" t="s">
        <v>16945</v>
      </c>
      <c r="AX1397" s="453" t="s">
        <v>210</v>
      </c>
      <c r="AY1397" s="429" t="s">
        <v>210</v>
      </c>
      <c r="AZ1397" s="405" t="s">
        <v>622</v>
      </c>
      <c r="BA1397" s="324" t="s">
        <v>16946</v>
      </c>
      <c r="BB1397" s="324" t="s">
        <v>3372</v>
      </c>
      <c r="BC1397" s="324" t="s">
        <v>16947</v>
      </c>
      <c r="BD1397" s="324" t="s">
        <v>3372</v>
      </c>
      <c r="BE1397" s="324" t="s">
        <v>16948</v>
      </c>
      <c r="BF1397" s="324" t="s">
        <v>16949</v>
      </c>
      <c r="BG1397" s="324" t="s">
        <v>16950</v>
      </c>
      <c r="BH1397" s="426" t="s">
        <v>16951</v>
      </c>
      <c r="BI1397" s="453">
        <v>1.04</v>
      </c>
      <c r="BJ1397" s="427">
        <v>2.2999999999999998</v>
      </c>
      <c r="BK1397" s="428" t="s">
        <v>16952</v>
      </c>
      <c r="BL1397" s="429">
        <v>2.25</v>
      </c>
      <c r="BM1397" s="414"/>
      <c r="BN1397" s="453" t="s">
        <v>622</v>
      </c>
      <c r="BO1397" s="464">
        <v>0.97</v>
      </c>
      <c r="BP1397" s="455" t="s">
        <v>622</v>
      </c>
      <c r="BQ1397" s="456" t="s">
        <v>10350</v>
      </c>
      <c r="BR1397" s="392" t="s">
        <v>210</v>
      </c>
      <c r="BS1397" s="392" t="s">
        <v>210</v>
      </c>
      <c r="BT1397" s="392" t="s">
        <v>210</v>
      </c>
      <c r="BU1397" s="392" t="s">
        <v>210</v>
      </c>
      <c r="BV1397" s="392" t="s">
        <v>210</v>
      </c>
      <c r="BW1397" s="392" t="s">
        <v>210</v>
      </c>
      <c r="BX1397" s="392" t="s">
        <v>210</v>
      </c>
      <c r="BY1397" s="457" t="s">
        <v>16953</v>
      </c>
      <c r="BZ1397" s="363"/>
      <c r="CA1397" s="363"/>
      <c r="CB1397" s="363"/>
      <c r="CC1397" s="363"/>
    </row>
    <row r="1398" spans="2:81" ht="22.5" customHeight="1">
      <c r="B1398" s="507">
        <v>200001</v>
      </c>
      <c r="C1398" s="494" t="s">
        <v>16735</v>
      </c>
      <c r="D1398" s="439" t="s">
        <v>4849</v>
      </c>
      <c r="E1398" s="404" t="s">
        <v>5363</v>
      </c>
      <c r="F1398" s="405" t="s">
        <v>16742</v>
      </c>
      <c r="G1398" s="324" t="s">
        <v>16743</v>
      </c>
      <c r="H1398" s="324" t="s">
        <v>16744</v>
      </c>
      <c r="I1398" s="326" t="s">
        <v>11</v>
      </c>
      <c r="J1398" s="324" t="s">
        <v>16686</v>
      </c>
      <c r="K1398" s="324" t="s">
        <v>247</v>
      </c>
      <c r="L1398" s="361"/>
      <c r="M1398" s="324" t="s">
        <v>7457</v>
      </c>
      <c r="N1398" s="444" t="s">
        <v>16741</v>
      </c>
      <c r="O1398" s="324">
        <v>30</v>
      </c>
      <c r="P1398" s="822">
        <v>1166</v>
      </c>
      <c r="Q1398" s="459">
        <v>869</v>
      </c>
      <c r="R1398" s="447" t="s">
        <v>16736</v>
      </c>
      <c r="S1398" s="394" t="s">
        <v>16737</v>
      </c>
      <c r="T1398" s="394" t="s">
        <v>16738</v>
      </c>
      <c r="U1398" s="394" t="s">
        <v>16740</v>
      </c>
      <c r="V1398" s="394" t="s">
        <v>16739</v>
      </c>
      <c r="W1398" s="1282" t="s">
        <v>16756</v>
      </c>
      <c r="X1398" s="394" t="s">
        <v>16760</v>
      </c>
      <c r="Y1398" s="394" t="s">
        <v>16758</v>
      </c>
      <c r="Z1398" s="394" t="s">
        <v>16757</v>
      </c>
      <c r="AA1398" s="1049" t="s">
        <v>16759</v>
      </c>
      <c r="AB1398" s="1283"/>
      <c r="AC1398" s="1283"/>
      <c r="AD1398" s="447" t="s">
        <v>17371</v>
      </c>
      <c r="AE1398" s="499" t="s">
        <v>210</v>
      </c>
      <c r="AF1398" s="475">
        <v>44013</v>
      </c>
      <c r="AG1398" s="748">
        <v>44088</v>
      </c>
      <c r="AH1398" s="417" t="s">
        <v>210</v>
      </c>
      <c r="AI1398" s="392" t="s">
        <v>210</v>
      </c>
      <c r="AJ1398" s="392" t="s">
        <v>210</v>
      </c>
      <c r="AK1398" s="340" t="s">
        <v>210</v>
      </c>
      <c r="AL1398" s="392" t="s">
        <v>210</v>
      </c>
      <c r="AM1398" s="392" t="s">
        <v>210</v>
      </c>
      <c r="AN1398" s="392" t="s">
        <v>210</v>
      </c>
      <c r="AO1398" s="392" t="s">
        <v>210</v>
      </c>
      <c r="AP1398" s="392" t="s">
        <v>210</v>
      </c>
      <c r="AQ1398" s="429" t="s">
        <v>4547</v>
      </c>
      <c r="AR1398" s="452">
        <v>1044</v>
      </c>
      <c r="AS1398" s="324">
        <v>100</v>
      </c>
      <c r="AT1398" s="432">
        <v>1</v>
      </c>
      <c r="AU1398" s="432" t="s">
        <v>16955</v>
      </c>
      <c r="AV1398" s="432">
        <v>1.2</v>
      </c>
      <c r="AW1398" s="490" t="s">
        <v>16956</v>
      </c>
      <c r="AX1398" s="453" t="s">
        <v>210</v>
      </c>
      <c r="AY1398" s="1040" t="s">
        <v>16960</v>
      </c>
      <c r="AZ1398" s="405" t="s">
        <v>4083</v>
      </c>
      <c r="BA1398" s="324" t="s">
        <v>210</v>
      </c>
      <c r="BB1398" s="324" t="s">
        <v>210</v>
      </c>
      <c r="BC1398" s="324" t="s">
        <v>210</v>
      </c>
      <c r="BD1398" s="324" t="s">
        <v>210</v>
      </c>
      <c r="BE1398" s="324" t="s">
        <v>16764</v>
      </c>
      <c r="BF1398" s="324" t="s">
        <v>16765</v>
      </c>
      <c r="BG1398" s="324" t="s">
        <v>16766</v>
      </c>
      <c r="BH1398" s="426" t="s">
        <v>16767</v>
      </c>
      <c r="BI1398" s="453">
        <v>3.25</v>
      </c>
      <c r="BJ1398" s="427" t="s">
        <v>16768</v>
      </c>
      <c r="BK1398" s="427" t="s">
        <v>16768</v>
      </c>
      <c r="BL1398" s="429" t="s">
        <v>210</v>
      </c>
      <c r="BM1398" s="430" t="s">
        <v>210</v>
      </c>
      <c r="BN1398" s="453" t="s">
        <v>622</v>
      </c>
      <c r="BO1398" s="454" t="s">
        <v>16957</v>
      </c>
      <c r="BP1398" s="455" t="s">
        <v>16769</v>
      </c>
      <c r="BQ1398" s="456" t="s">
        <v>10350</v>
      </c>
      <c r="BR1398" s="392" t="s">
        <v>210</v>
      </c>
      <c r="BS1398" s="342" t="s">
        <v>622</v>
      </c>
      <c r="BT1398" s="392" t="s">
        <v>210</v>
      </c>
      <c r="BU1398" s="392" t="s">
        <v>210</v>
      </c>
      <c r="BV1398" s="392" t="s">
        <v>210</v>
      </c>
      <c r="BW1398" s="392" t="s">
        <v>210</v>
      </c>
      <c r="BX1398" s="392" t="s">
        <v>210</v>
      </c>
      <c r="BY1398" s="457" t="s">
        <v>16834</v>
      </c>
      <c r="BZ1398" s="363"/>
      <c r="CA1398" s="363"/>
      <c r="CB1398" s="363"/>
      <c r="CC1398" s="363"/>
    </row>
    <row r="1399" spans="2:81" ht="22.5" customHeight="1">
      <c r="B1399" s="507">
        <v>200002</v>
      </c>
      <c r="C1399" s="366" t="s">
        <v>16729</v>
      </c>
      <c r="D1399" s="1264" t="s">
        <v>16790</v>
      </c>
      <c r="E1399" s="404" t="s">
        <v>5363</v>
      </c>
      <c r="F1399" s="321" t="s">
        <v>5193</v>
      </c>
      <c r="G1399" s="326" t="s">
        <v>16730</v>
      </c>
      <c r="H1399" s="324" t="s">
        <v>16731</v>
      </c>
      <c r="I1399" s="326" t="s">
        <v>11</v>
      </c>
      <c r="J1399" s="326" t="s">
        <v>399</v>
      </c>
      <c r="K1399" s="324" t="s">
        <v>17268</v>
      </c>
      <c r="L1399" s="342" t="s">
        <v>210</v>
      </c>
      <c r="M1399" s="324" t="s">
        <v>7457</v>
      </c>
      <c r="N1399" s="444" t="s">
        <v>437</v>
      </c>
      <c r="O1399" s="324">
        <v>35</v>
      </c>
      <c r="P1399" s="445">
        <f>Q1399</f>
        <v>850</v>
      </c>
      <c r="Q1399" s="446">
        <f>460+190+200</f>
        <v>850</v>
      </c>
      <c r="R1399" s="329" t="s">
        <v>663</v>
      </c>
      <c r="S1399" s="513"/>
      <c r="T1399" s="513"/>
      <c r="U1399" s="513"/>
      <c r="V1399" s="513"/>
      <c r="W1399" s="460" t="s">
        <v>16728</v>
      </c>
      <c r="X1399" s="513"/>
      <c r="Y1399" s="332" t="s">
        <v>11625</v>
      </c>
      <c r="Z1399" s="332" t="s">
        <v>16479</v>
      </c>
      <c r="AA1399" s="332" t="s">
        <v>11627</v>
      </c>
      <c r="AB1399" s="416" t="s">
        <v>16727</v>
      </c>
      <c r="AC1399" s="416"/>
      <c r="AD1399" s="334" t="s">
        <v>2326</v>
      </c>
      <c r="AE1399" s="499" t="s">
        <v>210</v>
      </c>
      <c r="AF1399" s="475">
        <v>44018</v>
      </c>
      <c r="AG1399" s="748">
        <v>44125</v>
      </c>
      <c r="AH1399" s="417" t="s">
        <v>210</v>
      </c>
      <c r="AI1399" s="392" t="s">
        <v>210</v>
      </c>
      <c r="AJ1399" s="392" t="s">
        <v>210</v>
      </c>
      <c r="AK1399" s="340" t="s">
        <v>210</v>
      </c>
      <c r="AL1399" s="392" t="s">
        <v>210</v>
      </c>
      <c r="AM1399" s="392" t="s">
        <v>210</v>
      </c>
      <c r="AN1399" s="392" t="s">
        <v>210</v>
      </c>
      <c r="AO1399" s="496" t="s">
        <v>622</v>
      </c>
      <c r="AP1399" s="392" t="s">
        <v>210</v>
      </c>
      <c r="AQ1399" s="429" t="s">
        <v>4547</v>
      </c>
      <c r="AR1399" s="501"/>
      <c r="AS1399" s="324">
        <v>80</v>
      </c>
      <c r="AT1399" s="432">
        <v>1</v>
      </c>
      <c r="AU1399" s="432" t="s">
        <v>17269</v>
      </c>
      <c r="AV1399" s="432">
        <v>1.2</v>
      </c>
      <c r="AW1399" s="490" t="s">
        <v>17270</v>
      </c>
      <c r="AX1399" s="453" t="s">
        <v>210</v>
      </c>
      <c r="AY1399" s="429" t="s">
        <v>210</v>
      </c>
      <c r="AZ1399" s="405" t="s">
        <v>4083</v>
      </c>
      <c r="BA1399" s="324" t="s">
        <v>210</v>
      </c>
      <c r="BB1399" s="324" t="s">
        <v>210</v>
      </c>
      <c r="BC1399" s="324" t="s">
        <v>16859</v>
      </c>
      <c r="BD1399" s="324" t="s">
        <v>16860</v>
      </c>
      <c r="BE1399" s="324" t="s">
        <v>16861</v>
      </c>
      <c r="BF1399" s="324" t="s">
        <v>16862</v>
      </c>
      <c r="BG1399" s="324" t="s">
        <v>16863</v>
      </c>
      <c r="BH1399" s="426" t="s">
        <v>16864</v>
      </c>
      <c r="BI1399" s="453">
        <v>2.5</v>
      </c>
      <c r="BJ1399" s="427">
        <v>2.4</v>
      </c>
      <c r="BK1399" s="324" t="s">
        <v>16865</v>
      </c>
      <c r="BL1399" s="429">
        <v>3.05</v>
      </c>
      <c r="BM1399" s="430" t="s">
        <v>210</v>
      </c>
      <c r="BN1399" s="453" t="s">
        <v>210</v>
      </c>
      <c r="BO1399" s="454" t="s">
        <v>210</v>
      </c>
      <c r="BP1399" s="455" t="s">
        <v>622</v>
      </c>
      <c r="BQ1399" s="456" t="s">
        <v>1059</v>
      </c>
      <c r="BR1399" s="392" t="s">
        <v>210</v>
      </c>
      <c r="BS1399" s="342" t="s">
        <v>622</v>
      </c>
      <c r="BT1399" s="392" t="s">
        <v>210</v>
      </c>
      <c r="BU1399" s="392" t="s">
        <v>210</v>
      </c>
      <c r="BV1399" s="392" t="s">
        <v>210</v>
      </c>
      <c r="BW1399" s="392" t="s">
        <v>210</v>
      </c>
      <c r="BX1399" s="392" t="s">
        <v>210</v>
      </c>
      <c r="BY1399" s="457" t="s">
        <v>16726</v>
      </c>
      <c r="BZ1399" s="363"/>
      <c r="CA1399" s="363"/>
      <c r="CB1399" s="363"/>
      <c r="CC1399" s="363"/>
    </row>
    <row r="1400" spans="2:81" ht="22.5" customHeight="1">
      <c r="B1400" s="507">
        <v>200003</v>
      </c>
      <c r="C1400" s="443" t="s">
        <v>16833</v>
      </c>
      <c r="D1400" s="467" t="s">
        <v>16855</v>
      </c>
      <c r="E1400" s="404" t="s">
        <v>5362</v>
      </c>
      <c r="F1400" s="405" t="s">
        <v>16150</v>
      </c>
      <c r="G1400" s="324" t="s">
        <v>16151</v>
      </c>
      <c r="H1400" s="324" t="s">
        <v>16795</v>
      </c>
      <c r="I1400" s="326" t="s">
        <v>11</v>
      </c>
      <c r="J1400" s="324" t="s">
        <v>16686</v>
      </c>
      <c r="K1400" s="324" t="s">
        <v>247</v>
      </c>
      <c r="L1400" s="342">
        <v>35</v>
      </c>
      <c r="M1400" s="324" t="s">
        <v>7457</v>
      </c>
      <c r="N1400" s="444" t="s">
        <v>17124</v>
      </c>
      <c r="O1400" s="324">
        <v>150</v>
      </c>
      <c r="P1400" s="445">
        <f>3600+1400*2</f>
        <v>6400</v>
      </c>
      <c r="Q1400" s="446">
        <f>3600+1400</f>
        <v>5000</v>
      </c>
      <c r="R1400" s="420" t="s">
        <v>17125</v>
      </c>
      <c r="S1400" s="513"/>
      <c r="T1400" s="513"/>
      <c r="U1400" s="513"/>
      <c r="V1400" s="1269"/>
      <c r="W1400" s="394" t="s">
        <v>16791</v>
      </c>
      <c r="X1400" s="394" t="s">
        <v>16792</v>
      </c>
      <c r="Y1400" s="394" t="s">
        <v>16793</v>
      </c>
      <c r="Z1400" s="513"/>
      <c r="AA1400" s="394" t="s">
        <v>16794</v>
      </c>
      <c r="AB1400" s="1283"/>
      <c r="AC1400" s="1283"/>
      <c r="AD1400" s="461"/>
      <c r="AE1400" s="485"/>
      <c r="AF1400" s="475">
        <v>44018</v>
      </c>
      <c r="AG1400" s="748">
        <v>44103</v>
      </c>
      <c r="AH1400" s="417" t="s">
        <v>210</v>
      </c>
      <c r="AI1400" s="392" t="s">
        <v>210</v>
      </c>
      <c r="AJ1400" s="392" t="s">
        <v>210</v>
      </c>
      <c r="AK1400" s="340" t="s">
        <v>210</v>
      </c>
      <c r="AL1400" s="392" t="s">
        <v>210</v>
      </c>
      <c r="AM1400" s="392" t="s">
        <v>210</v>
      </c>
      <c r="AN1400" s="392" t="s">
        <v>210</v>
      </c>
      <c r="AO1400" s="392" t="s">
        <v>210</v>
      </c>
      <c r="AP1400" s="392" t="s">
        <v>210</v>
      </c>
      <c r="AQ1400" s="429" t="s">
        <v>4547</v>
      </c>
      <c r="AR1400" s="452">
        <v>5902</v>
      </c>
      <c r="AS1400" s="324">
        <v>150</v>
      </c>
      <c r="AT1400" s="432">
        <v>1.5</v>
      </c>
      <c r="AU1400" s="432" t="s">
        <v>17128</v>
      </c>
      <c r="AV1400" s="432">
        <v>1.5</v>
      </c>
      <c r="AW1400" s="432" t="s">
        <v>17128</v>
      </c>
      <c r="AX1400" s="453" t="s">
        <v>210</v>
      </c>
      <c r="AY1400" s="1040" t="s">
        <v>17584</v>
      </c>
      <c r="AZ1400" s="405" t="s">
        <v>4083</v>
      </c>
      <c r="BA1400" s="324" t="s">
        <v>210</v>
      </c>
      <c r="BB1400" s="324" t="s">
        <v>210</v>
      </c>
      <c r="BC1400" s="324" t="s">
        <v>210</v>
      </c>
      <c r="BD1400" s="324" t="s">
        <v>210</v>
      </c>
      <c r="BE1400" s="324" t="s">
        <v>17130</v>
      </c>
      <c r="BF1400" s="324" t="s">
        <v>17131</v>
      </c>
      <c r="BG1400" s="324" t="s">
        <v>17132</v>
      </c>
      <c r="BH1400" s="426" t="s">
        <v>17129</v>
      </c>
      <c r="BI1400" s="453">
        <v>1.1000000000000001</v>
      </c>
      <c r="BJ1400" s="427">
        <v>1.1890000000000001</v>
      </c>
      <c r="BK1400" s="427" t="s">
        <v>13377</v>
      </c>
      <c r="BL1400" s="429" t="s">
        <v>210</v>
      </c>
      <c r="BM1400" s="430" t="s">
        <v>210</v>
      </c>
      <c r="BN1400" s="453" t="s">
        <v>622</v>
      </c>
      <c r="BO1400" s="464">
        <v>1.05</v>
      </c>
      <c r="BP1400" s="455" t="s">
        <v>622</v>
      </c>
      <c r="BQ1400" s="456" t="s">
        <v>10350</v>
      </c>
      <c r="BR1400" s="342" t="s">
        <v>622</v>
      </c>
      <c r="BS1400" s="392" t="s">
        <v>210</v>
      </c>
      <c r="BT1400" s="392" t="s">
        <v>210</v>
      </c>
      <c r="BU1400" s="392" t="s">
        <v>210</v>
      </c>
      <c r="BV1400" s="392" t="s">
        <v>210</v>
      </c>
      <c r="BW1400" s="392" t="s">
        <v>210</v>
      </c>
      <c r="BX1400" s="392" t="s">
        <v>17139</v>
      </c>
      <c r="BY1400" s="457" t="s">
        <v>17562</v>
      </c>
      <c r="BZ1400" s="363"/>
      <c r="CA1400" s="363"/>
      <c r="CB1400" s="363"/>
      <c r="CC1400" s="363"/>
    </row>
    <row r="1401" spans="2:81" ht="22.5" customHeight="1">
      <c r="B1401" s="507">
        <v>200004</v>
      </c>
      <c r="C1401" s="494" t="s">
        <v>16832</v>
      </c>
      <c r="D1401" s="467" t="s">
        <v>13767</v>
      </c>
      <c r="E1401" s="404" t="s">
        <v>5362</v>
      </c>
      <c r="F1401" s="405" t="s">
        <v>225</v>
      </c>
      <c r="G1401" s="324" t="s">
        <v>16888</v>
      </c>
      <c r="H1401" s="324" t="s">
        <v>16889</v>
      </c>
      <c r="I1401" s="326" t="s">
        <v>11</v>
      </c>
      <c r="J1401" s="326" t="s">
        <v>399</v>
      </c>
      <c r="K1401" s="324" t="s">
        <v>16890</v>
      </c>
      <c r="L1401" s="342">
        <v>10</v>
      </c>
      <c r="M1401" s="324" t="s">
        <v>7457</v>
      </c>
      <c r="N1401" s="444" t="s">
        <v>16891</v>
      </c>
      <c r="O1401" s="324">
        <v>30</v>
      </c>
      <c r="P1401" s="445">
        <v>2000</v>
      </c>
      <c r="Q1401" s="446">
        <f>P1401</f>
        <v>2000</v>
      </c>
      <c r="R1401" s="420" t="s">
        <v>16784</v>
      </c>
      <c r="S1401" s="394" t="s">
        <v>16899</v>
      </c>
      <c r="T1401" s="394" t="s">
        <v>16897</v>
      </c>
      <c r="U1401" s="394" t="s">
        <v>16898</v>
      </c>
      <c r="V1401" s="394" t="s">
        <v>16900</v>
      </c>
      <c r="W1401" s="460" t="s">
        <v>16785</v>
      </c>
      <c r="X1401" s="394" t="s">
        <v>16786</v>
      </c>
      <c r="Y1401" s="394" t="s">
        <v>16788</v>
      </c>
      <c r="Z1401" s="394" t="s">
        <v>16787</v>
      </c>
      <c r="AA1401" s="394" t="s">
        <v>16789</v>
      </c>
      <c r="AB1401" s="416" t="s">
        <v>16829</v>
      </c>
      <c r="AC1401" s="416"/>
      <c r="AD1401" s="498" t="s">
        <v>1410</v>
      </c>
      <c r="AE1401" s="485"/>
      <c r="AF1401" s="475">
        <v>44019</v>
      </c>
      <c r="AG1401" s="748">
        <v>44127</v>
      </c>
      <c r="AH1401" s="417" t="s">
        <v>210</v>
      </c>
      <c r="AI1401" s="392" t="s">
        <v>210</v>
      </c>
      <c r="AJ1401" s="392" t="s">
        <v>210</v>
      </c>
      <c r="AK1401" s="340" t="s">
        <v>210</v>
      </c>
      <c r="AL1401" s="392" t="s">
        <v>210</v>
      </c>
      <c r="AM1401" s="392" t="s">
        <v>210</v>
      </c>
      <c r="AN1401" s="392" t="s">
        <v>210</v>
      </c>
      <c r="AO1401" s="392" t="s">
        <v>210</v>
      </c>
      <c r="AP1401" s="496" t="s">
        <v>622</v>
      </c>
      <c r="AQ1401" s="429" t="s">
        <v>4547</v>
      </c>
      <c r="AR1401" s="452">
        <v>2274</v>
      </c>
      <c r="AS1401" s="324">
        <v>150</v>
      </c>
      <c r="AT1401" s="432">
        <v>1.2</v>
      </c>
      <c r="AU1401" s="432" t="s">
        <v>3443</v>
      </c>
      <c r="AV1401" s="432">
        <v>1.2</v>
      </c>
      <c r="AW1401" s="490" t="s">
        <v>16896</v>
      </c>
      <c r="AX1401" s="486" t="s">
        <v>13380</v>
      </c>
      <c r="AY1401" s="429" t="s">
        <v>210</v>
      </c>
      <c r="AZ1401" s="405" t="s">
        <v>4083</v>
      </c>
      <c r="BA1401" s="324" t="s">
        <v>210</v>
      </c>
      <c r="BB1401" s="324" t="s">
        <v>210</v>
      </c>
      <c r="BC1401" s="324" t="s">
        <v>210</v>
      </c>
      <c r="BD1401" s="324" t="s">
        <v>210</v>
      </c>
      <c r="BE1401" s="324" t="s">
        <v>16892</v>
      </c>
      <c r="BF1401" s="324" t="s">
        <v>16893</v>
      </c>
      <c r="BG1401" s="324" t="s">
        <v>16892</v>
      </c>
      <c r="BH1401" s="324" t="s">
        <v>16893</v>
      </c>
      <c r="BI1401" s="453">
        <v>2.4</v>
      </c>
      <c r="BJ1401" s="427">
        <v>27.5</v>
      </c>
      <c r="BK1401" s="428" t="s">
        <v>16894</v>
      </c>
      <c r="BL1401" s="429">
        <v>1.3</v>
      </c>
      <c r="BM1401" s="430" t="s">
        <v>210</v>
      </c>
      <c r="BN1401" s="453" t="s">
        <v>210</v>
      </c>
      <c r="BO1401" s="454" t="s">
        <v>210</v>
      </c>
      <c r="BP1401" s="455" t="s">
        <v>16769</v>
      </c>
      <c r="BQ1401" s="456" t="s">
        <v>16895</v>
      </c>
      <c r="BR1401" s="342" t="s">
        <v>622</v>
      </c>
      <c r="BS1401" s="342" t="s">
        <v>622</v>
      </c>
      <c r="BT1401" s="392" t="s">
        <v>210</v>
      </c>
      <c r="BU1401" s="342" t="s">
        <v>622</v>
      </c>
      <c r="BV1401" s="392" t="s">
        <v>210</v>
      </c>
      <c r="BW1401" s="392" t="s">
        <v>210</v>
      </c>
      <c r="BX1401" s="392" t="s">
        <v>17403</v>
      </c>
      <c r="BY1401" s="362" t="s">
        <v>954</v>
      </c>
      <c r="BZ1401" s="363"/>
      <c r="CA1401" s="363"/>
      <c r="CB1401" s="363"/>
      <c r="CC1401" s="363"/>
    </row>
    <row r="1402" spans="2:81" ht="22.5" customHeight="1">
      <c r="B1402" s="507">
        <v>200005</v>
      </c>
      <c r="C1402" s="366" t="s">
        <v>16905</v>
      </c>
      <c r="D1402" s="1264" t="s">
        <v>16922</v>
      </c>
      <c r="E1402" s="404" t="s">
        <v>15363</v>
      </c>
      <c r="F1402" s="321" t="s">
        <v>16901</v>
      </c>
      <c r="G1402" s="326" t="s">
        <v>16902</v>
      </c>
      <c r="H1402" s="324" t="s">
        <v>16903</v>
      </c>
      <c r="I1402" s="326" t="s">
        <v>11</v>
      </c>
      <c r="J1402" s="326" t="s">
        <v>399</v>
      </c>
      <c r="K1402" s="324" t="s">
        <v>917</v>
      </c>
      <c r="L1402" s="342" t="s">
        <v>210</v>
      </c>
      <c r="M1402" s="324" t="s">
        <v>7457</v>
      </c>
      <c r="N1402" s="444" t="s">
        <v>438</v>
      </c>
      <c r="O1402" s="324">
        <v>36</v>
      </c>
      <c r="P1402" s="458">
        <v>919</v>
      </c>
      <c r="Q1402" s="459">
        <v>919</v>
      </c>
      <c r="R1402" s="420" t="s">
        <v>16919</v>
      </c>
      <c r="S1402" s="394" t="s">
        <v>16880</v>
      </c>
      <c r="T1402" s="394" t="s">
        <v>16879</v>
      </c>
      <c r="U1402" s="394" t="s">
        <v>16878</v>
      </c>
      <c r="V1402" s="394" t="s">
        <v>16881</v>
      </c>
      <c r="W1402" s="460" t="s">
        <v>16882</v>
      </c>
      <c r="X1402" s="394" t="s">
        <v>16883</v>
      </c>
      <c r="Y1402" s="513"/>
      <c r="Z1402" s="513"/>
      <c r="AA1402" s="394" t="s">
        <v>16884</v>
      </c>
      <c r="AB1402" s="1283"/>
      <c r="AC1402" s="1283"/>
      <c r="AD1402" s="498" t="s">
        <v>321</v>
      </c>
      <c r="AE1402" s="499" t="s">
        <v>17476</v>
      </c>
      <c r="AF1402" s="475">
        <v>44021</v>
      </c>
      <c r="AG1402" s="748">
        <v>44062</v>
      </c>
      <c r="AH1402" s="417" t="s">
        <v>210</v>
      </c>
      <c r="AI1402" s="392" t="s">
        <v>210</v>
      </c>
      <c r="AJ1402" s="392" t="s">
        <v>210</v>
      </c>
      <c r="AK1402" s="340" t="s">
        <v>210</v>
      </c>
      <c r="AL1402" s="392" t="s">
        <v>210</v>
      </c>
      <c r="AM1402" s="392" t="s">
        <v>210</v>
      </c>
      <c r="AN1402" s="392" t="s">
        <v>210</v>
      </c>
      <c r="AO1402" s="392" t="s">
        <v>210</v>
      </c>
      <c r="AP1402" s="496" t="s">
        <v>622</v>
      </c>
      <c r="AQ1402" s="429" t="s">
        <v>4547</v>
      </c>
      <c r="AR1402" s="452">
        <v>1172</v>
      </c>
      <c r="AS1402" s="324">
        <v>80</v>
      </c>
      <c r="AT1402" s="432">
        <v>1</v>
      </c>
      <c r="AU1402" s="432" t="s">
        <v>16985</v>
      </c>
      <c r="AV1402" s="432">
        <v>1.5</v>
      </c>
      <c r="AW1402" s="490" t="s">
        <v>16986</v>
      </c>
      <c r="AX1402" s="453" t="s">
        <v>210</v>
      </c>
      <c r="AY1402" s="429" t="s">
        <v>8601</v>
      </c>
      <c r="AZ1402" s="405" t="s">
        <v>4083</v>
      </c>
      <c r="BA1402" s="324" t="s">
        <v>210</v>
      </c>
      <c r="BB1402" s="324" t="s">
        <v>210</v>
      </c>
      <c r="BC1402" s="324" t="s">
        <v>16987</v>
      </c>
      <c r="BD1402" s="324" t="s">
        <v>16988</v>
      </c>
      <c r="BE1402" s="324" t="s">
        <v>16989</v>
      </c>
      <c r="BF1402" s="324" t="s">
        <v>16988</v>
      </c>
      <c r="BG1402" s="324" t="s">
        <v>210</v>
      </c>
      <c r="BH1402" s="426" t="s">
        <v>210</v>
      </c>
      <c r="BI1402" s="453">
        <v>1</v>
      </c>
      <c r="BJ1402" s="411"/>
      <c r="BK1402" s="427" t="s">
        <v>210</v>
      </c>
      <c r="BL1402" s="429" t="s">
        <v>210</v>
      </c>
      <c r="BM1402" s="430" t="s">
        <v>210</v>
      </c>
      <c r="BN1402" s="453" t="s">
        <v>210</v>
      </c>
      <c r="BO1402" s="454" t="s">
        <v>210</v>
      </c>
      <c r="BP1402" s="492"/>
      <c r="BQ1402" s="456" t="s">
        <v>1059</v>
      </c>
      <c r="BR1402" s="361"/>
      <c r="BS1402" s="342" t="s">
        <v>622</v>
      </c>
      <c r="BT1402" s="392" t="s">
        <v>210</v>
      </c>
      <c r="BU1402" s="392" t="s">
        <v>210</v>
      </c>
      <c r="BV1402" s="392" t="s">
        <v>210</v>
      </c>
      <c r="BW1402" s="392" t="s">
        <v>210</v>
      </c>
      <c r="BX1402" s="392" t="s">
        <v>210</v>
      </c>
      <c r="BY1402" s="457" t="s">
        <v>16990</v>
      </c>
      <c r="BZ1402" s="363"/>
      <c r="CA1402" s="363"/>
      <c r="CB1402" s="363"/>
      <c r="CC1402" s="363"/>
    </row>
    <row r="1403" spans="2:81" ht="22.5" customHeight="1">
      <c r="B1403" s="507">
        <v>200006</v>
      </c>
      <c r="C1403" s="366" t="s">
        <v>16907</v>
      </c>
      <c r="D1403" s="1264" t="s">
        <v>16923</v>
      </c>
      <c r="E1403" s="404" t="s">
        <v>5362</v>
      </c>
      <c r="F1403" s="321" t="s">
        <v>222</v>
      </c>
      <c r="G1403" s="326" t="s">
        <v>1860</v>
      </c>
      <c r="H1403" s="324" t="s">
        <v>16908</v>
      </c>
      <c r="I1403" s="326" t="s">
        <v>11</v>
      </c>
      <c r="J1403" s="326" t="s">
        <v>399</v>
      </c>
      <c r="K1403" s="324" t="s">
        <v>917</v>
      </c>
      <c r="L1403" s="342" t="s">
        <v>210</v>
      </c>
      <c r="M1403" s="324" t="s">
        <v>7457</v>
      </c>
      <c r="N1403" s="444" t="s">
        <v>437</v>
      </c>
      <c r="O1403" s="324">
        <v>180</v>
      </c>
      <c r="P1403" s="458">
        <v>1095.9100000000001</v>
      </c>
      <c r="Q1403" s="459">
        <v>1125.9000000000001</v>
      </c>
      <c r="R1403" s="420" t="s">
        <v>14852</v>
      </c>
      <c r="S1403" s="394" t="s">
        <v>17164</v>
      </c>
      <c r="T1403" s="394" t="s">
        <v>11262</v>
      </c>
      <c r="U1403" s="394" t="s">
        <v>16414</v>
      </c>
      <c r="V1403" s="394" t="s">
        <v>11263</v>
      </c>
      <c r="W1403" s="332" t="s">
        <v>1096</v>
      </c>
      <c r="X1403" s="331" t="s">
        <v>12845</v>
      </c>
      <c r="Y1403" s="331" t="s">
        <v>11249</v>
      </c>
      <c r="Z1403" s="331" t="s">
        <v>12847</v>
      </c>
      <c r="AA1403" s="331" t="s">
        <v>12846</v>
      </c>
      <c r="AB1403" s="1283"/>
      <c r="AC1403" s="1283"/>
      <c r="AD1403" s="334" t="s">
        <v>2321</v>
      </c>
      <c r="AE1403" s="499" t="s">
        <v>210</v>
      </c>
      <c r="AF1403" s="475">
        <v>44025</v>
      </c>
      <c r="AG1403" s="748">
        <v>44089</v>
      </c>
      <c r="AH1403" s="417" t="s">
        <v>210</v>
      </c>
      <c r="AI1403" s="392" t="s">
        <v>210</v>
      </c>
      <c r="AJ1403" s="392" t="s">
        <v>210</v>
      </c>
      <c r="AK1403" s="340" t="s">
        <v>210</v>
      </c>
      <c r="AL1403" s="392" t="s">
        <v>210</v>
      </c>
      <c r="AM1403" s="392" t="s">
        <v>210</v>
      </c>
      <c r="AN1403" s="392" t="s">
        <v>210</v>
      </c>
      <c r="AO1403" s="392" t="s">
        <v>210</v>
      </c>
      <c r="AP1403" s="392" t="s">
        <v>210</v>
      </c>
      <c r="AQ1403" s="429" t="s">
        <v>4547</v>
      </c>
      <c r="AR1403" s="452">
        <v>1464</v>
      </c>
      <c r="AS1403" s="324">
        <v>150</v>
      </c>
      <c r="AT1403" s="432">
        <v>0.8</v>
      </c>
      <c r="AU1403" s="432" t="s">
        <v>17041</v>
      </c>
      <c r="AV1403" s="432">
        <v>1.2</v>
      </c>
      <c r="AW1403" s="432" t="s">
        <v>17041</v>
      </c>
      <c r="AX1403" s="453" t="s">
        <v>210</v>
      </c>
      <c r="AY1403" s="429" t="s">
        <v>210</v>
      </c>
      <c r="AZ1403" s="405" t="s">
        <v>4083</v>
      </c>
      <c r="BA1403" s="324" t="s">
        <v>210</v>
      </c>
      <c r="BB1403" s="324" t="s">
        <v>210</v>
      </c>
      <c r="BC1403" s="324" t="s">
        <v>17042</v>
      </c>
      <c r="BD1403" s="324" t="s">
        <v>3372</v>
      </c>
      <c r="BE1403" s="324" t="s">
        <v>17043</v>
      </c>
      <c r="BF1403" s="324" t="s">
        <v>17041</v>
      </c>
      <c r="BG1403" s="324" t="s">
        <v>17044</v>
      </c>
      <c r="BH1403" s="324" t="s">
        <v>17041</v>
      </c>
      <c r="BI1403" s="453">
        <v>1.4</v>
      </c>
      <c r="BJ1403" s="427">
        <v>0.81</v>
      </c>
      <c r="BK1403" s="428" t="s">
        <v>17045</v>
      </c>
      <c r="BL1403" s="429">
        <v>0.7</v>
      </c>
      <c r="BM1403" s="430" t="s">
        <v>17046</v>
      </c>
      <c r="BN1403" s="453" t="s">
        <v>210</v>
      </c>
      <c r="BO1403" s="464">
        <v>0.76</v>
      </c>
      <c r="BP1403" s="455" t="s">
        <v>622</v>
      </c>
      <c r="BQ1403" s="456" t="s">
        <v>10350</v>
      </c>
      <c r="BR1403" s="342" t="s">
        <v>622</v>
      </c>
      <c r="BS1403" s="342" t="s">
        <v>622</v>
      </c>
      <c r="BT1403" s="392" t="s">
        <v>210</v>
      </c>
      <c r="BU1403" s="392" t="s">
        <v>210</v>
      </c>
      <c r="BV1403" s="392" t="s">
        <v>210</v>
      </c>
      <c r="BW1403" s="392" t="s">
        <v>210</v>
      </c>
      <c r="BX1403" s="392" t="s">
        <v>210</v>
      </c>
      <c r="BY1403" s="457" t="s">
        <v>17047</v>
      </c>
      <c r="BZ1403" s="363"/>
      <c r="CA1403" s="363"/>
      <c r="CB1403" s="363"/>
      <c r="CC1403" s="363"/>
    </row>
    <row r="1404" spans="2:81" ht="22.5" customHeight="1">
      <c r="B1404" s="507">
        <v>200007</v>
      </c>
      <c r="C1404" s="366" t="s">
        <v>16911</v>
      </c>
      <c r="D1404" s="1264" t="s">
        <v>16977</v>
      </c>
      <c r="E1404" s="404" t="s">
        <v>5362</v>
      </c>
      <c r="F1404" s="321" t="s">
        <v>16912</v>
      </c>
      <c r="G1404" s="326" t="s">
        <v>16913</v>
      </c>
      <c r="H1404" s="324" t="s">
        <v>16914</v>
      </c>
      <c r="I1404" s="326" t="s">
        <v>11</v>
      </c>
      <c r="J1404" s="326" t="s">
        <v>399</v>
      </c>
      <c r="K1404" s="324" t="s">
        <v>16915</v>
      </c>
      <c r="L1404" s="342" t="s">
        <v>210</v>
      </c>
      <c r="M1404" s="324" t="s">
        <v>7457</v>
      </c>
      <c r="N1404" s="444" t="s">
        <v>437</v>
      </c>
      <c r="O1404" s="324">
        <v>200</v>
      </c>
      <c r="P1404" s="458">
        <v>466</v>
      </c>
      <c r="Q1404" s="446">
        <f>P1404</f>
        <v>466</v>
      </c>
      <c r="R1404" s="420" t="s">
        <v>17014</v>
      </c>
      <c r="S1404" s="513"/>
      <c r="T1404" s="513"/>
      <c r="U1404" s="513"/>
      <c r="V1404" s="513"/>
      <c r="W1404" s="460" t="s">
        <v>16931</v>
      </c>
      <c r="X1404" s="394" t="s">
        <v>16916</v>
      </c>
      <c r="Y1404" s="394" t="s">
        <v>16917</v>
      </c>
      <c r="Z1404" s="513"/>
      <c r="AA1404" s="394" t="s">
        <v>16918</v>
      </c>
      <c r="AB1404" s="416"/>
      <c r="AC1404" s="416"/>
      <c r="AD1404" s="334" t="s">
        <v>2322</v>
      </c>
      <c r="AE1404" s="499" t="s">
        <v>210</v>
      </c>
      <c r="AF1404" s="475">
        <v>44026</v>
      </c>
      <c r="AG1404" s="748">
        <v>44065</v>
      </c>
      <c r="AH1404" s="417" t="s">
        <v>210</v>
      </c>
      <c r="AI1404" s="392" t="s">
        <v>210</v>
      </c>
      <c r="AJ1404" s="392" t="s">
        <v>210</v>
      </c>
      <c r="AK1404" s="340" t="s">
        <v>210</v>
      </c>
      <c r="AL1404" s="392" t="s">
        <v>210</v>
      </c>
      <c r="AM1404" s="392" t="s">
        <v>210</v>
      </c>
      <c r="AN1404" s="392" t="s">
        <v>210</v>
      </c>
      <c r="AO1404" s="392" t="s">
        <v>210</v>
      </c>
      <c r="AP1404" s="392" t="s">
        <v>210</v>
      </c>
      <c r="AQ1404" s="429" t="s">
        <v>4547</v>
      </c>
      <c r="AR1404" s="452">
        <v>611</v>
      </c>
      <c r="AS1404" s="324">
        <v>100</v>
      </c>
      <c r="AT1404" s="432">
        <v>1</v>
      </c>
      <c r="AU1404" s="432" t="s">
        <v>17057</v>
      </c>
      <c r="AV1404" s="432">
        <v>1.5</v>
      </c>
      <c r="AW1404" s="490" t="s">
        <v>17058</v>
      </c>
      <c r="AX1404" s="453" t="s">
        <v>210</v>
      </c>
      <c r="AY1404" s="429" t="s">
        <v>8601</v>
      </c>
      <c r="AZ1404" s="405" t="s">
        <v>622</v>
      </c>
      <c r="BA1404" s="324" t="s">
        <v>3459</v>
      </c>
      <c r="BB1404" s="324" t="s">
        <v>3372</v>
      </c>
      <c r="BC1404" s="324" t="s">
        <v>17011</v>
      </c>
      <c r="BD1404" s="324" t="s">
        <v>3372</v>
      </c>
      <c r="BE1404" s="324" t="s">
        <v>17012</v>
      </c>
      <c r="BF1404" s="324" t="s">
        <v>3372</v>
      </c>
      <c r="BG1404" s="324" t="s">
        <v>17013</v>
      </c>
      <c r="BH1404" s="324" t="s">
        <v>3372</v>
      </c>
      <c r="BI1404" s="453">
        <v>1.44</v>
      </c>
      <c r="BJ1404" s="427">
        <v>2.2400000000000002</v>
      </c>
      <c r="BK1404" s="428" t="s">
        <v>17010</v>
      </c>
      <c r="BL1404" s="429">
        <f>0.85+1.6+1.2+1.8</f>
        <v>5.45</v>
      </c>
      <c r="BM1404" s="430" t="s">
        <v>210</v>
      </c>
      <c r="BN1404" s="453" t="s">
        <v>622</v>
      </c>
      <c r="BO1404" s="464">
        <v>1.03</v>
      </c>
      <c r="BP1404" s="455" t="s">
        <v>622</v>
      </c>
      <c r="BQ1404" s="456" t="s">
        <v>1059</v>
      </c>
      <c r="BR1404" s="392" t="s">
        <v>210</v>
      </c>
      <c r="BS1404" s="342" t="s">
        <v>622</v>
      </c>
      <c r="BT1404" s="392" t="s">
        <v>210</v>
      </c>
      <c r="BU1404" s="392" t="s">
        <v>210</v>
      </c>
      <c r="BV1404" s="392" t="s">
        <v>210</v>
      </c>
      <c r="BW1404" s="392" t="s">
        <v>210</v>
      </c>
      <c r="BX1404" s="392" t="s">
        <v>210</v>
      </c>
      <c r="BY1404" s="457"/>
      <c r="BZ1404" s="363"/>
      <c r="CA1404" s="363"/>
      <c r="CB1404" s="363"/>
      <c r="CC1404" s="363"/>
    </row>
    <row r="1405" spans="2:81" ht="22.5" customHeight="1">
      <c r="B1405" s="507">
        <v>200008</v>
      </c>
      <c r="C1405" s="494" t="s">
        <v>16963</v>
      </c>
      <c r="D1405" s="439" t="s">
        <v>4849</v>
      </c>
      <c r="E1405" s="404" t="s">
        <v>15363</v>
      </c>
      <c r="F1405" s="405" t="s">
        <v>297</v>
      </c>
      <c r="G1405" s="324" t="s">
        <v>1835</v>
      </c>
      <c r="H1405" s="324" t="s">
        <v>16702</v>
      </c>
      <c r="I1405" s="326" t="s">
        <v>11</v>
      </c>
      <c r="J1405" s="326" t="s">
        <v>399</v>
      </c>
      <c r="K1405" s="324" t="s">
        <v>16703</v>
      </c>
      <c r="L1405" s="342">
        <v>12</v>
      </c>
      <c r="M1405" s="324" t="s">
        <v>7457</v>
      </c>
      <c r="N1405" s="444" t="s">
        <v>438</v>
      </c>
      <c r="O1405" s="324">
        <v>60</v>
      </c>
      <c r="P1405" s="822">
        <v>809</v>
      </c>
      <c r="Q1405" s="459">
        <v>809</v>
      </c>
      <c r="R1405" s="447" t="s">
        <v>1091</v>
      </c>
      <c r="S1405" s="394" t="s">
        <v>16708</v>
      </c>
      <c r="T1405" s="394" t="s">
        <v>16707</v>
      </c>
      <c r="U1405" s="394" t="s">
        <v>16706</v>
      </c>
      <c r="V1405" s="394" t="s">
        <v>16709</v>
      </c>
      <c r="W1405" s="1282" t="s">
        <v>1438</v>
      </c>
      <c r="X1405" s="394" t="s">
        <v>16713</v>
      </c>
      <c r="Y1405" s="394" t="s">
        <v>16712</v>
      </c>
      <c r="Z1405" s="394" t="s">
        <v>16711</v>
      </c>
      <c r="AA1405" s="1049" t="s">
        <v>16714</v>
      </c>
      <c r="AB1405" s="416" t="s">
        <v>5767</v>
      </c>
      <c r="AC1405" s="1283"/>
      <c r="AD1405" s="334" t="s">
        <v>2327</v>
      </c>
      <c r="AE1405" s="499" t="s">
        <v>966</v>
      </c>
      <c r="AF1405" s="475">
        <v>44027</v>
      </c>
      <c r="AG1405" s="748">
        <v>44076</v>
      </c>
      <c r="AH1405" s="417" t="s">
        <v>210</v>
      </c>
      <c r="AI1405" s="392" t="s">
        <v>210</v>
      </c>
      <c r="AJ1405" s="392" t="s">
        <v>210</v>
      </c>
      <c r="AK1405" s="340" t="s">
        <v>210</v>
      </c>
      <c r="AL1405" s="392" t="s">
        <v>210</v>
      </c>
      <c r="AM1405" s="392" t="s">
        <v>210</v>
      </c>
      <c r="AN1405" s="487" t="s">
        <v>9136</v>
      </c>
      <c r="AO1405" s="392" t="s">
        <v>210</v>
      </c>
      <c r="AP1405" s="392" t="s">
        <v>210</v>
      </c>
      <c r="AQ1405" s="429" t="s">
        <v>4547</v>
      </c>
      <c r="AR1405" s="452">
        <v>1230</v>
      </c>
      <c r="AS1405" s="324">
        <v>100</v>
      </c>
      <c r="AT1405" s="432">
        <v>1</v>
      </c>
      <c r="AU1405" s="432" t="s">
        <v>3443</v>
      </c>
      <c r="AV1405" s="432">
        <v>1.8</v>
      </c>
      <c r="AW1405" s="490" t="s">
        <v>16945</v>
      </c>
      <c r="AX1405" s="453" t="s">
        <v>210</v>
      </c>
      <c r="AY1405" s="429" t="s">
        <v>210</v>
      </c>
      <c r="AZ1405" s="405" t="s">
        <v>622</v>
      </c>
      <c r="BA1405" s="324" t="s">
        <v>3565</v>
      </c>
      <c r="BB1405" s="324" t="s">
        <v>3372</v>
      </c>
      <c r="BC1405" s="324" t="s">
        <v>3558</v>
      </c>
      <c r="BD1405" s="324" t="s">
        <v>3372</v>
      </c>
      <c r="BE1405" s="324" t="s">
        <v>3555</v>
      </c>
      <c r="BF1405" s="324" t="s">
        <v>5352</v>
      </c>
      <c r="BG1405" s="324" t="s">
        <v>210</v>
      </c>
      <c r="BH1405" s="426" t="s">
        <v>210</v>
      </c>
      <c r="BI1405" s="453">
        <v>1.04</v>
      </c>
      <c r="BJ1405" s="427">
        <v>2.2999999999999998</v>
      </c>
      <c r="BK1405" s="428" t="s">
        <v>16952</v>
      </c>
      <c r="BL1405" s="429">
        <v>2.25</v>
      </c>
      <c r="BM1405" s="414"/>
      <c r="BN1405" s="453" t="s">
        <v>622</v>
      </c>
      <c r="BO1405" s="464">
        <v>0.97</v>
      </c>
      <c r="BP1405" s="455" t="s">
        <v>622</v>
      </c>
      <c r="BQ1405" s="456" t="s">
        <v>10350</v>
      </c>
      <c r="BR1405" s="392" t="s">
        <v>210</v>
      </c>
      <c r="BS1405" s="392" t="s">
        <v>210</v>
      </c>
      <c r="BT1405" s="392" t="s">
        <v>210</v>
      </c>
      <c r="BU1405" s="392" t="s">
        <v>210</v>
      </c>
      <c r="BV1405" s="392" t="s">
        <v>210</v>
      </c>
      <c r="BW1405" s="392" t="s">
        <v>210</v>
      </c>
      <c r="BX1405" s="392" t="s">
        <v>210</v>
      </c>
      <c r="BY1405" s="457" t="s">
        <v>16953</v>
      </c>
      <c r="BZ1405" s="363"/>
      <c r="CA1405" s="363"/>
      <c r="CB1405" s="363"/>
      <c r="CC1405" s="363"/>
    </row>
    <row r="1406" spans="2:81" ht="22.5" customHeight="1">
      <c r="B1406" s="507">
        <v>200009</v>
      </c>
      <c r="C1406" s="366" t="s">
        <v>17008</v>
      </c>
      <c r="D1406" s="1264" t="s">
        <v>16991</v>
      </c>
      <c r="E1406" s="404" t="s">
        <v>5363</v>
      </c>
      <c r="F1406" s="321" t="s">
        <v>265</v>
      </c>
      <c r="G1406" s="326" t="s">
        <v>16877</v>
      </c>
      <c r="H1406" s="324" t="s">
        <v>17009</v>
      </c>
      <c r="I1406" s="326" t="s">
        <v>11</v>
      </c>
      <c r="J1406" s="324" t="s">
        <v>7171</v>
      </c>
      <c r="K1406" s="324" t="s">
        <v>917</v>
      </c>
      <c r="L1406" s="342" t="s">
        <v>210</v>
      </c>
      <c r="M1406" s="324" t="s">
        <v>9103</v>
      </c>
      <c r="N1406" s="444" t="s">
        <v>438</v>
      </c>
      <c r="O1406" s="324">
        <v>29</v>
      </c>
      <c r="P1406" s="495"/>
      <c r="Q1406" s="446">
        <v>2800</v>
      </c>
      <c r="R1406" s="420" t="s">
        <v>16826</v>
      </c>
      <c r="S1406" s="394" t="s">
        <v>16822</v>
      </c>
      <c r="T1406" s="394" t="s">
        <v>16824</v>
      </c>
      <c r="U1406" s="394" t="s">
        <v>16823</v>
      </c>
      <c r="V1406" s="394" t="s">
        <v>16825</v>
      </c>
      <c r="W1406" s="460" t="s">
        <v>16875</v>
      </c>
      <c r="X1406" s="394" t="s">
        <v>17143</v>
      </c>
      <c r="Y1406" s="513"/>
      <c r="Z1406" s="513"/>
      <c r="AA1406" s="394" t="s">
        <v>17144</v>
      </c>
      <c r="AB1406" s="416"/>
      <c r="AC1406" s="416"/>
      <c r="AD1406" s="447" t="s">
        <v>17379</v>
      </c>
      <c r="AE1406" s="499" t="s">
        <v>17246</v>
      </c>
      <c r="AF1406" s="475">
        <v>44029</v>
      </c>
      <c r="AG1406" s="748">
        <v>44092</v>
      </c>
      <c r="AH1406" s="417" t="s">
        <v>210</v>
      </c>
      <c r="AI1406" s="392" t="s">
        <v>210</v>
      </c>
      <c r="AJ1406" s="392" t="s">
        <v>210</v>
      </c>
      <c r="AK1406" s="340" t="s">
        <v>210</v>
      </c>
      <c r="AL1406" s="392" t="s">
        <v>210</v>
      </c>
      <c r="AM1406" s="392" t="s">
        <v>210</v>
      </c>
      <c r="AN1406" s="392" t="s">
        <v>210</v>
      </c>
      <c r="AO1406" s="392" t="s">
        <v>210</v>
      </c>
      <c r="AP1406" s="496" t="s">
        <v>622</v>
      </c>
      <c r="AQ1406" s="429" t="s">
        <v>4547</v>
      </c>
      <c r="AR1406" s="452">
        <v>3543</v>
      </c>
      <c r="AS1406" s="324">
        <v>160</v>
      </c>
      <c r="AT1406" s="432">
        <v>0.8</v>
      </c>
      <c r="AU1406" s="432" t="s">
        <v>17145</v>
      </c>
      <c r="AV1406" s="432">
        <v>1.5</v>
      </c>
      <c r="AW1406" s="490" t="s">
        <v>17146</v>
      </c>
      <c r="AX1406" s="453" t="s">
        <v>210</v>
      </c>
      <c r="AY1406" s="429" t="s">
        <v>210</v>
      </c>
      <c r="AZ1406" s="405" t="s">
        <v>622</v>
      </c>
      <c r="BA1406" s="324" t="s">
        <v>17147</v>
      </c>
      <c r="BB1406" s="324" t="s">
        <v>17148</v>
      </c>
      <c r="BC1406" s="324" t="s">
        <v>17149</v>
      </c>
      <c r="BD1406" s="324" t="s">
        <v>17148</v>
      </c>
      <c r="BE1406" s="324" t="s">
        <v>17150</v>
      </c>
      <c r="BF1406" s="324" t="s">
        <v>17151</v>
      </c>
      <c r="BG1406" s="324" t="s">
        <v>17152</v>
      </c>
      <c r="BH1406" s="324" t="s">
        <v>17151</v>
      </c>
      <c r="BI1406" s="453">
        <v>1.4</v>
      </c>
      <c r="BJ1406" s="427">
        <v>1.71</v>
      </c>
      <c r="BK1406" s="428" t="s">
        <v>17153</v>
      </c>
      <c r="BL1406" s="429">
        <v>2.9</v>
      </c>
      <c r="BM1406" s="430" t="s">
        <v>210</v>
      </c>
      <c r="BN1406" s="453" t="s">
        <v>622</v>
      </c>
      <c r="BO1406" s="464">
        <v>0.84</v>
      </c>
      <c r="BP1406" s="455" t="s">
        <v>622</v>
      </c>
      <c r="BQ1406" s="456" t="s">
        <v>1059</v>
      </c>
      <c r="BR1406" s="392" t="s">
        <v>210</v>
      </c>
      <c r="BS1406" s="342" t="s">
        <v>622</v>
      </c>
      <c r="BT1406" s="392" t="s">
        <v>210</v>
      </c>
      <c r="BU1406" s="392" t="s">
        <v>210</v>
      </c>
      <c r="BV1406" s="392" t="s">
        <v>210</v>
      </c>
      <c r="BW1406" s="392" t="s">
        <v>210</v>
      </c>
      <c r="BX1406" s="392" t="s">
        <v>210</v>
      </c>
      <c r="BY1406" s="457"/>
      <c r="BZ1406" s="363"/>
      <c r="CA1406" s="363"/>
      <c r="CB1406" s="363"/>
      <c r="CC1406" s="363"/>
    </row>
    <row r="1407" spans="2:81" ht="22.5" customHeight="1">
      <c r="B1407" s="507">
        <v>200010</v>
      </c>
      <c r="C1407" s="494" t="s">
        <v>17006</v>
      </c>
      <c r="D1407" s="467" t="s">
        <v>17007</v>
      </c>
      <c r="E1407" s="404" t="s">
        <v>6879</v>
      </c>
      <c r="F1407" s="405" t="s">
        <v>372</v>
      </c>
      <c r="G1407" s="324" t="s">
        <v>16770</v>
      </c>
      <c r="H1407" s="324" t="s">
        <v>16771</v>
      </c>
      <c r="I1407" s="326" t="s">
        <v>11</v>
      </c>
      <c r="J1407" s="324" t="s">
        <v>3939</v>
      </c>
      <c r="K1407" s="324" t="s">
        <v>5225</v>
      </c>
      <c r="L1407" s="342" t="s">
        <v>210</v>
      </c>
      <c r="M1407" s="324" t="s">
        <v>9103</v>
      </c>
      <c r="N1407" s="444" t="s">
        <v>17178</v>
      </c>
      <c r="O1407" s="324">
        <v>30</v>
      </c>
      <c r="P1407" s="458">
        <v>1957.2</v>
      </c>
      <c r="Q1407" s="459">
        <v>995.3</v>
      </c>
      <c r="R1407" s="460" t="s">
        <v>4471</v>
      </c>
      <c r="S1407" s="394" t="s">
        <v>17160</v>
      </c>
      <c r="T1407" s="394" t="s">
        <v>17163</v>
      </c>
      <c r="U1407" s="394" t="s">
        <v>17161</v>
      </c>
      <c r="V1407" s="394" t="s">
        <v>17162</v>
      </c>
      <c r="W1407" s="332" t="s">
        <v>5767</v>
      </c>
      <c r="X1407" s="332" t="s">
        <v>17027</v>
      </c>
      <c r="Y1407" s="332" t="s">
        <v>17029</v>
      </c>
      <c r="Z1407" s="513"/>
      <c r="AA1407" s="394" t="s">
        <v>17028</v>
      </c>
      <c r="AB1407" s="416"/>
      <c r="AC1407" s="416"/>
      <c r="AD1407" s="447" t="s">
        <v>17608</v>
      </c>
      <c r="AE1407" s="499" t="s">
        <v>17844</v>
      </c>
      <c r="AF1407" s="475">
        <v>44032</v>
      </c>
      <c r="AG1407" s="748">
        <v>44127</v>
      </c>
      <c r="AH1407" s="417" t="s">
        <v>210</v>
      </c>
      <c r="AI1407" s="392" t="s">
        <v>210</v>
      </c>
      <c r="AJ1407" s="392" t="s">
        <v>210</v>
      </c>
      <c r="AK1407" s="340" t="s">
        <v>210</v>
      </c>
      <c r="AL1407" s="392" t="s">
        <v>210</v>
      </c>
      <c r="AM1407" s="392" t="s">
        <v>210</v>
      </c>
      <c r="AN1407" s="392" t="s">
        <v>210</v>
      </c>
      <c r="AO1407" s="392" t="s">
        <v>210</v>
      </c>
      <c r="AP1407" s="496" t="s">
        <v>622</v>
      </c>
      <c r="AQ1407" s="429" t="s">
        <v>4547</v>
      </c>
      <c r="AR1407" s="452">
        <v>1294</v>
      </c>
      <c r="AS1407" s="324">
        <v>120</v>
      </c>
      <c r="AT1407" s="432">
        <v>1</v>
      </c>
      <c r="AU1407" s="432" t="s">
        <v>17179</v>
      </c>
      <c r="AV1407" s="432">
        <v>1.5</v>
      </c>
      <c r="AW1407" s="432" t="s">
        <v>17179</v>
      </c>
      <c r="AX1407" s="453" t="s">
        <v>210</v>
      </c>
      <c r="AY1407" s="429" t="s">
        <v>17180</v>
      </c>
      <c r="AZ1407" s="405" t="s">
        <v>4083</v>
      </c>
      <c r="BA1407" s="324" t="s">
        <v>210</v>
      </c>
      <c r="BB1407" s="324" t="s">
        <v>210</v>
      </c>
      <c r="BC1407" s="324" t="s">
        <v>210</v>
      </c>
      <c r="BD1407" s="324" t="s">
        <v>210</v>
      </c>
      <c r="BE1407" s="324" t="s">
        <v>17147</v>
      </c>
      <c r="BF1407" s="324" t="s">
        <v>17179</v>
      </c>
      <c r="BG1407" s="324" t="s">
        <v>17181</v>
      </c>
      <c r="BH1407" s="426" t="s">
        <v>17179</v>
      </c>
      <c r="BI1407" s="453">
        <v>2.2000000000000002</v>
      </c>
      <c r="BJ1407" s="427">
        <v>7.31</v>
      </c>
      <c r="BK1407" s="427" t="s">
        <v>210</v>
      </c>
      <c r="BL1407" s="429" t="s">
        <v>210</v>
      </c>
      <c r="BM1407" s="430" t="s">
        <v>210</v>
      </c>
      <c r="BN1407" s="453" t="s">
        <v>210</v>
      </c>
      <c r="BO1407" s="502"/>
      <c r="BP1407" s="455" t="s">
        <v>622</v>
      </c>
      <c r="BQ1407" s="360"/>
      <c r="BR1407" s="392" t="s">
        <v>210</v>
      </c>
      <c r="BS1407" s="342" t="s">
        <v>622</v>
      </c>
      <c r="BT1407" s="392" t="s">
        <v>210</v>
      </c>
      <c r="BU1407" s="392" t="s">
        <v>210</v>
      </c>
      <c r="BV1407" s="392" t="s">
        <v>210</v>
      </c>
      <c r="BW1407" s="392" t="s">
        <v>210</v>
      </c>
      <c r="BX1407" s="392" t="s">
        <v>210</v>
      </c>
      <c r="BY1407" s="457"/>
      <c r="BZ1407" s="363"/>
      <c r="CA1407" s="363"/>
      <c r="CB1407" s="363"/>
      <c r="CC1407" s="363"/>
    </row>
    <row r="1408" spans="2:81" ht="22.5" customHeight="1">
      <c r="B1408" s="507">
        <v>200011</v>
      </c>
      <c r="C1408" s="366" t="s">
        <v>17030</v>
      </c>
      <c r="D1408" s="1264" t="s">
        <v>16718</v>
      </c>
      <c r="E1408" s="368" t="s">
        <v>17017</v>
      </c>
      <c r="F1408" s="321" t="s">
        <v>17018</v>
      </c>
      <c r="G1408" s="326" t="s">
        <v>17019</v>
      </c>
      <c r="H1408" s="324" t="s">
        <v>17020</v>
      </c>
      <c r="I1408" s="326" t="s">
        <v>11</v>
      </c>
      <c r="J1408" s="326" t="s">
        <v>399</v>
      </c>
      <c r="K1408" s="324" t="s">
        <v>917</v>
      </c>
      <c r="L1408" s="342" t="s">
        <v>210</v>
      </c>
      <c r="M1408" s="324" t="s">
        <v>7457</v>
      </c>
      <c r="N1408" s="444" t="s">
        <v>438</v>
      </c>
      <c r="O1408" s="324">
        <v>30</v>
      </c>
      <c r="P1408" s="458">
        <v>727.7</v>
      </c>
      <c r="Q1408" s="459">
        <v>752.3</v>
      </c>
      <c r="R1408" s="420" t="s">
        <v>17021</v>
      </c>
      <c r="S1408" s="394" t="s">
        <v>17024</v>
      </c>
      <c r="T1408" s="394" t="s">
        <v>17025</v>
      </c>
      <c r="U1408" s="513"/>
      <c r="V1408" s="394" t="s">
        <v>17026</v>
      </c>
      <c r="W1408" s="460" t="s">
        <v>17197</v>
      </c>
      <c r="X1408" s="394" t="s">
        <v>17198</v>
      </c>
      <c r="Y1408" s="513"/>
      <c r="Z1408" s="513"/>
      <c r="AA1408" s="513"/>
      <c r="AB1408" s="416"/>
      <c r="AC1408" s="416"/>
      <c r="AD1408" s="498" t="s">
        <v>321</v>
      </c>
      <c r="AE1408" s="499" t="s">
        <v>17769</v>
      </c>
      <c r="AF1408" s="475">
        <v>44032</v>
      </c>
      <c r="AG1408" s="748">
        <v>44097</v>
      </c>
      <c r="AH1408" s="417" t="s">
        <v>210</v>
      </c>
      <c r="AI1408" s="392" t="s">
        <v>210</v>
      </c>
      <c r="AJ1408" s="392" t="s">
        <v>210</v>
      </c>
      <c r="AK1408" s="340" t="s">
        <v>210</v>
      </c>
      <c r="AL1408" s="392" t="s">
        <v>210</v>
      </c>
      <c r="AM1408" s="392" t="s">
        <v>210</v>
      </c>
      <c r="AN1408" s="392" t="s">
        <v>210</v>
      </c>
      <c r="AO1408" s="392" t="s">
        <v>210</v>
      </c>
      <c r="AP1408" s="496" t="s">
        <v>622</v>
      </c>
      <c r="AQ1408" s="429" t="s">
        <v>4547</v>
      </c>
      <c r="AR1408" s="452">
        <v>961</v>
      </c>
      <c r="AS1408" s="324">
        <v>100</v>
      </c>
      <c r="AT1408" s="432">
        <v>1</v>
      </c>
      <c r="AU1408" s="432" t="s">
        <v>17195</v>
      </c>
      <c r="AV1408" s="432">
        <v>1.5</v>
      </c>
      <c r="AW1408" s="490" t="s">
        <v>17196</v>
      </c>
      <c r="AX1408" s="453" t="s">
        <v>210</v>
      </c>
      <c r="AY1408" s="429" t="s">
        <v>210</v>
      </c>
      <c r="AZ1408" s="405" t="s">
        <v>622</v>
      </c>
      <c r="BA1408" s="324" t="s">
        <v>17201</v>
      </c>
      <c r="BB1408" s="324" t="s">
        <v>17202</v>
      </c>
      <c r="BC1408" s="324" t="s">
        <v>17203</v>
      </c>
      <c r="BD1408" s="324" t="s">
        <v>17196</v>
      </c>
      <c r="BE1408" s="324" t="s">
        <v>17204</v>
      </c>
      <c r="BF1408" s="324" t="s">
        <v>17196</v>
      </c>
      <c r="BG1408" s="324" t="s">
        <v>17205</v>
      </c>
      <c r="BH1408" s="324" t="s">
        <v>17196</v>
      </c>
      <c r="BI1408" s="453">
        <v>2.8</v>
      </c>
      <c r="BJ1408" s="411"/>
      <c r="BK1408" s="427" t="s">
        <v>210</v>
      </c>
      <c r="BL1408" s="429" t="s">
        <v>210</v>
      </c>
      <c r="BM1408" s="430" t="s">
        <v>210</v>
      </c>
      <c r="BN1408" s="453" t="s">
        <v>622</v>
      </c>
      <c r="BO1408" s="464">
        <v>0.57999999999999996</v>
      </c>
      <c r="BP1408" s="492"/>
      <c r="BQ1408" s="456" t="s">
        <v>247</v>
      </c>
      <c r="BR1408" s="392" t="s">
        <v>210</v>
      </c>
      <c r="BS1408" s="342" t="s">
        <v>622</v>
      </c>
      <c r="BT1408" s="392" t="s">
        <v>210</v>
      </c>
      <c r="BU1408" s="392" t="s">
        <v>210</v>
      </c>
      <c r="BV1408" s="392" t="s">
        <v>210</v>
      </c>
      <c r="BW1408" s="392" t="s">
        <v>210</v>
      </c>
      <c r="BX1408" s="392" t="s">
        <v>210</v>
      </c>
      <c r="BY1408" s="457"/>
      <c r="BZ1408" s="363"/>
      <c r="CA1408" s="363"/>
      <c r="CB1408" s="363"/>
      <c r="CC1408" s="363"/>
    </row>
    <row r="1409" spans="2:82" ht="22.5" customHeight="1">
      <c r="B1409" s="507">
        <v>200012</v>
      </c>
      <c r="C1409" s="443" t="s">
        <v>17353</v>
      </c>
      <c r="D1409" s="467" t="s">
        <v>4849</v>
      </c>
      <c r="E1409" s="404" t="s">
        <v>5363</v>
      </c>
      <c r="F1409" s="405" t="s">
        <v>372</v>
      </c>
      <c r="G1409" s="324" t="s">
        <v>3928</v>
      </c>
      <c r="H1409" s="324" t="s">
        <v>17038</v>
      </c>
      <c r="I1409" s="326" t="s">
        <v>11</v>
      </c>
      <c r="J1409" s="324" t="s">
        <v>16686</v>
      </c>
      <c r="K1409" s="324" t="s">
        <v>17039</v>
      </c>
      <c r="L1409" s="342" t="s">
        <v>210</v>
      </c>
      <c r="M1409" s="324" t="s">
        <v>9103</v>
      </c>
      <c r="N1409" s="444" t="s">
        <v>438</v>
      </c>
      <c r="O1409" s="324">
        <v>35</v>
      </c>
      <c r="P1409" s="458">
        <v>1785.54</v>
      </c>
      <c r="Q1409" s="459">
        <v>1587.3</v>
      </c>
      <c r="R1409" s="329" t="s">
        <v>1094</v>
      </c>
      <c r="S1409" s="394" t="s">
        <v>17265</v>
      </c>
      <c r="T1409" s="331" t="s">
        <v>11123</v>
      </c>
      <c r="U1409" s="331" t="s">
        <v>16236</v>
      </c>
      <c r="V1409" s="331" t="s">
        <v>11124</v>
      </c>
      <c r="W1409" s="332" t="s">
        <v>432</v>
      </c>
      <c r="X1409" s="331" t="s">
        <v>210</v>
      </c>
      <c r="Y1409" s="331" t="s">
        <v>210</v>
      </c>
      <c r="Z1409" s="331" t="s">
        <v>210</v>
      </c>
      <c r="AA1409" s="331" t="s">
        <v>210</v>
      </c>
      <c r="AB1409" s="416" t="s">
        <v>16099</v>
      </c>
      <c r="AC1409" s="416"/>
      <c r="AD1409" s="334" t="s">
        <v>2329</v>
      </c>
      <c r="AE1409" s="499" t="s">
        <v>373</v>
      </c>
      <c r="AF1409" s="475">
        <v>44034</v>
      </c>
      <c r="AG1409" s="748">
        <v>44131</v>
      </c>
      <c r="AH1409" s="453">
        <v>28.1</v>
      </c>
      <c r="AI1409" s="432">
        <v>35.1</v>
      </c>
      <c r="AJ1409" s="432">
        <v>29.5</v>
      </c>
      <c r="AK1409" s="340">
        <f>SUM(AH1409:AJ1409)</f>
        <v>92.7</v>
      </c>
      <c r="AL1409" s="392" t="s">
        <v>210</v>
      </c>
      <c r="AM1409" s="392" t="s">
        <v>210</v>
      </c>
      <c r="AN1409" s="392" t="s">
        <v>210</v>
      </c>
      <c r="AO1409" s="392" t="s">
        <v>210</v>
      </c>
      <c r="AP1409" s="496" t="s">
        <v>622</v>
      </c>
      <c r="AQ1409" s="429" t="s">
        <v>4547</v>
      </c>
      <c r="AR1409" s="452">
        <v>2700</v>
      </c>
      <c r="AS1409" s="324">
        <v>150</v>
      </c>
      <c r="AT1409" s="432">
        <v>1</v>
      </c>
      <c r="AU1409" s="432" t="s">
        <v>17539</v>
      </c>
      <c r="AV1409" s="432">
        <v>1.5</v>
      </c>
      <c r="AW1409" s="490" t="s">
        <v>17538</v>
      </c>
      <c r="AX1409" s="453" t="s">
        <v>210</v>
      </c>
      <c r="AY1409" s="429" t="s">
        <v>8601</v>
      </c>
      <c r="AZ1409" s="405" t="s">
        <v>4083</v>
      </c>
      <c r="BA1409" s="324" t="s">
        <v>210</v>
      </c>
      <c r="BB1409" s="324" t="s">
        <v>210</v>
      </c>
      <c r="BC1409" s="324" t="s">
        <v>210</v>
      </c>
      <c r="BD1409" s="324" t="s">
        <v>210</v>
      </c>
      <c r="BE1409" s="324" t="s">
        <v>17354</v>
      </c>
      <c r="BF1409" s="324" t="s">
        <v>17355</v>
      </c>
      <c r="BG1409" s="324" t="s">
        <v>17356</v>
      </c>
      <c r="BH1409" s="426" t="s">
        <v>17357</v>
      </c>
      <c r="BI1409" s="453">
        <v>1.28</v>
      </c>
      <c r="BJ1409" s="427">
        <v>4.5999999999999996</v>
      </c>
      <c r="BK1409" s="428" t="s">
        <v>17358</v>
      </c>
      <c r="BL1409" s="429">
        <v>1</v>
      </c>
      <c r="BM1409" s="430" t="s">
        <v>210</v>
      </c>
      <c r="BN1409" s="453" t="s">
        <v>622</v>
      </c>
      <c r="BO1409" s="464">
        <v>1.47</v>
      </c>
      <c r="BP1409" s="455" t="s">
        <v>622</v>
      </c>
      <c r="BQ1409" s="456" t="s">
        <v>10959</v>
      </c>
      <c r="BR1409" s="392" t="s">
        <v>210</v>
      </c>
      <c r="BS1409" s="342" t="s">
        <v>622</v>
      </c>
      <c r="BT1409" s="392" t="s">
        <v>210</v>
      </c>
      <c r="BU1409" s="392" t="s">
        <v>210</v>
      </c>
      <c r="BV1409" s="392" t="s">
        <v>210</v>
      </c>
      <c r="BW1409" s="392" t="s">
        <v>210</v>
      </c>
      <c r="BX1409" s="392" t="s">
        <v>210</v>
      </c>
      <c r="BY1409" s="457" t="s">
        <v>17359</v>
      </c>
      <c r="BZ1409" s="363"/>
      <c r="CA1409" s="363"/>
      <c r="CB1409" s="363"/>
      <c r="CC1409" s="363"/>
    </row>
    <row r="1410" spans="2:82" ht="22.5" customHeight="1">
      <c r="B1410" s="507">
        <v>200013</v>
      </c>
      <c r="C1410" s="443" t="s">
        <v>17059</v>
      </c>
      <c r="D1410" s="467" t="s">
        <v>17082</v>
      </c>
      <c r="E1410" s="404" t="s">
        <v>6879</v>
      </c>
      <c r="F1410" s="407" t="s">
        <v>1043</v>
      </c>
      <c r="G1410" s="324" t="s">
        <v>17054</v>
      </c>
      <c r="H1410" s="324" t="s">
        <v>17055</v>
      </c>
      <c r="I1410" s="326" t="s">
        <v>11</v>
      </c>
      <c r="J1410" s="326" t="s">
        <v>399</v>
      </c>
      <c r="K1410" s="324" t="s">
        <v>17235</v>
      </c>
      <c r="L1410" s="361"/>
      <c r="M1410" s="324" t="s">
        <v>7457</v>
      </c>
      <c r="N1410" s="444" t="s">
        <v>438</v>
      </c>
      <c r="O1410" s="324">
        <v>76</v>
      </c>
      <c r="P1410" s="458">
        <v>1398.4</v>
      </c>
      <c r="Q1410" s="459">
        <v>1398.4</v>
      </c>
      <c r="R1410" s="420" t="s">
        <v>17040</v>
      </c>
      <c r="S1410" s="394" t="s">
        <v>11289</v>
      </c>
      <c r="T1410" s="394" t="s">
        <v>14975</v>
      </c>
      <c r="U1410" s="394" t="s">
        <v>16304</v>
      </c>
      <c r="V1410" s="394" t="s">
        <v>11288</v>
      </c>
      <c r="W1410" s="332" t="s">
        <v>644</v>
      </c>
      <c r="X1410" s="513"/>
      <c r="Y1410" s="513"/>
      <c r="Z1410" s="513"/>
      <c r="AA1410" s="513"/>
      <c r="AB1410" s="416" t="s">
        <v>16650</v>
      </c>
      <c r="AC1410" s="416"/>
      <c r="AD1410" s="498" t="s">
        <v>321</v>
      </c>
      <c r="AE1410" s="499" t="s">
        <v>353</v>
      </c>
      <c r="AF1410" s="475">
        <v>44034</v>
      </c>
      <c r="AG1410" s="748">
        <v>44120</v>
      </c>
      <c r="AH1410" s="417" t="s">
        <v>210</v>
      </c>
      <c r="AI1410" s="392" t="s">
        <v>210</v>
      </c>
      <c r="AJ1410" s="392" t="s">
        <v>210</v>
      </c>
      <c r="AK1410" s="340" t="s">
        <v>210</v>
      </c>
      <c r="AL1410" s="392" t="s">
        <v>210</v>
      </c>
      <c r="AM1410" s="392" t="s">
        <v>210</v>
      </c>
      <c r="AN1410" s="392" t="s">
        <v>210</v>
      </c>
      <c r="AO1410" s="392" t="s">
        <v>210</v>
      </c>
      <c r="AP1410" s="392" t="s">
        <v>210</v>
      </c>
      <c r="AQ1410" s="429" t="s">
        <v>4547</v>
      </c>
      <c r="AR1410" s="452">
        <v>2279</v>
      </c>
      <c r="AS1410" s="324">
        <v>100</v>
      </c>
      <c r="AT1410" s="432">
        <v>1</v>
      </c>
      <c r="AU1410" s="432" t="s">
        <v>17236</v>
      </c>
      <c r="AV1410" s="432">
        <v>1.5</v>
      </c>
      <c r="AW1410" s="490" t="s">
        <v>17236</v>
      </c>
      <c r="AX1410" s="453" t="s">
        <v>210</v>
      </c>
      <c r="AY1410" s="429" t="s">
        <v>210</v>
      </c>
      <c r="AZ1410" s="405" t="s">
        <v>4083</v>
      </c>
      <c r="BA1410" s="324" t="s">
        <v>210</v>
      </c>
      <c r="BB1410" s="324" t="s">
        <v>210</v>
      </c>
      <c r="BC1410" s="324" t="s">
        <v>17237</v>
      </c>
      <c r="BD1410" s="324" t="s">
        <v>17236</v>
      </c>
      <c r="BE1410" s="324" t="s">
        <v>17238</v>
      </c>
      <c r="BF1410" s="324" t="s">
        <v>17236</v>
      </c>
      <c r="BG1410" s="324" t="s">
        <v>17239</v>
      </c>
      <c r="BH1410" s="426" t="s">
        <v>3713</v>
      </c>
      <c r="BI1410" s="453">
        <v>1.2</v>
      </c>
      <c r="BJ1410" s="427" t="s">
        <v>210</v>
      </c>
      <c r="BK1410" s="428" t="s">
        <v>17241</v>
      </c>
      <c r="BL1410" s="429" t="s">
        <v>17240</v>
      </c>
      <c r="BM1410" s="430" t="s">
        <v>210</v>
      </c>
      <c r="BN1410" s="410"/>
      <c r="BO1410" s="502"/>
      <c r="BP1410" s="492"/>
      <c r="BQ1410" s="456" t="s">
        <v>247</v>
      </c>
      <c r="BR1410" s="361"/>
      <c r="BS1410" s="342" t="s">
        <v>622</v>
      </c>
      <c r="BT1410" s="392" t="s">
        <v>210</v>
      </c>
      <c r="BU1410" s="392" t="s">
        <v>210</v>
      </c>
      <c r="BV1410" s="392" t="s">
        <v>210</v>
      </c>
      <c r="BW1410" s="392" t="s">
        <v>210</v>
      </c>
      <c r="BX1410" s="392" t="s">
        <v>210</v>
      </c>
      <c r="BY1410" s="457"/>
      <c r="BZ1410" s="363"/>
      <c r="CA1410" s="363"/>
      <c r="CB1410" s="363"/>
      <c r="CC1410" s="363"/>
    </row>
    <row r="1411" spans="2:82" ht="22.5" customHeight="1">
      <c r="B1411" s="507">
        <v>200014</v>
      </c>
      <c r="C1411" s="443" t="s">
        <v>17060</v>
      </c>
      <c r="D1411" s="467" t="s">
        <v>17080</v>
      </c>
      <c r="E1411" s="404" t="s">
        <v>5362</v>
      </c>
      <c r="F1411" s="405" t="s">
        <v>227</v>
      </c>
      <c r="G1411" s="324" t="s">
        <v>17052</v>
      </c>
      <c r="H1411" s="324" t="s">
        <v>17053</v>
      </c>
      <c r="I1411" s="326" t="s">
        <v>11</v>
      </c>
      <c r="J1411" s="324" t="s">
        <v>16686</v>
      </c>
      <c r="K1411" s="324" t="s">
        <v>17361</v>
      </c>
      <c r="L1411" s="342">
        <v>65</v>
      </c>
      <c r="M1411" s="324" t="s">
        <v>7457</v>
      </c>
      <c r="N1411" s="444" t="s">
        <v>17708</v>
      </c>
      <c r="O1411" s="324" t="s">
        <v>17709</v>
      </c>
      <c r="P1411" s="458">
        <v>4115</v>
      </c>
      <c r="Q1411" s="459">
        <v>3208</v>
      </c>
      <c r="R1411" s="460" t="s">
        <v>15837</v>
      </c>
      <c r="S1411" s="513"/>
      <c r="T1411" s="513"/>
      <c r="U1411" s="513"/>
      <c r="V1411" s="513"/>
      <c r="W1411" s="460" t="s">
        <v>15837</v>
      </c>
      <c r="X1411" s="394" t="s">
        <v>15827</v>
      </c>
      <c r="Y1411" s="394" t="s">
        <v>15826</v>
      </c>
      <c r="Z1411" s="394" t="s">
        <v>15825</v>
      </c>
      <c r="AA1411" s="394" t="s">
        <v>15828</v>
      </c>
      <c r="AB1411" s="416"/>
      <c r="AC1411" s="416"/>
      <c r="AD1411" s="447" t="s">
        <v>18114</v>
      </c>
      <c r="AE1411" s="499" t="s">
        <v>353</v>
      </c>
      <c r="AF1411" s="475">
        <v>44034</v>
      </c>
      <c r="AG1411" s="389"/>
      <c r="AH1411" s="417" t="s">
        <v>210</v>
      </c>
      <c r="AI1411" s="392" t="s">
        <v>210</v>
      </c>
      <c r="AJ1411" s="392" t="s">
        <v>210</v>
      </c>
      <c r="AK1411" s="340" t="s">
        <v>210</v>
      </c>
      <c r="AL1411" s="392" t="s">
        <v>210</v>
      </c>
      <c r="AM1411" s="392" t="s">
        <v>210</v>
      </c>
      <c r="AN1411" s="392" t="s">
        <v>210</v>
      </c>
      <c r="AO1411" s="392" t="s">
        <v>210</v>
      </c>
      <c r="AP1411" s="392" t="s">
        <v>210</v>
      </c>
      <c r="AQ1411" s="429" t="s">
        <v>4547</v>
      </c>
      <c r="AR1411" s="452">
        <v>3501</v>
      </c>
      <c r="AS1411" s="324">
        <v>150</v>
      </c>
      <c r="AT1411" s="432">
        <v>1</v>
      </c>
      <c r="AU1411" s="432" t="s">
        <v>17710</v>
      </c>
      <c r="AV1411" s="432">
        <v>1.5</v>
      </c>
      <c r="AW1411" s="490" t="s">
        <v>8224</v>
      </c>
      <c r="AX1411" s="453" t="s">
        <v>210</v>
      </c>
      <c r="AY1411" s="429" t="s">
        <v>210</v>
      </c>
      <c r="AZ1411" s="405" t="s">
        <v>4083</v>
      </c>
      <c r="BA1411" s="324" t="s">
        <v>210</v>
      </c>
      <c r="BB1411" s="324" t="s">
        <v>210</v>
      </c>
      <c r="BC1411" s="324" t="s">
        <v>210</v>
      </c>
      <c r="BD1411" s="324" t="s">
        <v>210</v>
      </c>
      <c r="BE1411" s="324" t="s">
        <v>17711</v>
      </c>
      <c r="BF1411" s="324" t="s">
        <v>17712</v>
      </c>
      <c r="BG1411" s="324" t="s">
        <v>17713</v>
      </c>
      <c r="BH1411" s="426" t="s">
        <v>17714</v>
      </c>
      <c r="BI1411" s="453">
        <v>1.7</v>
      </c>
      <c r="BJ1411" s="427">
        <v>8.82</v>
      </c>
      <c r="BK1411" s="428" t="s">
        <v>584</v>
      </c>
      <c r="BL1411" s="429" t="s">
        <v>584</v>
      </c>
      <c r="BM1411" s="430" t="s">
        <v>210</v>
      </c>
      <c r="BN1411" s="453" t="s">
        <v>622</v>
      </c>
      <c r="BO1411" s="464">
        <v>1.06</v>
      </c>
      <c r="BP1411" s="455" t="s">
        <v>622</v>
      </c>
      <c r="BQ1411" s="456" t="s">
        <v>10350</v>
      </c>
      <c r="BR1411" s="1315" t="s">
        <v>17584</v>
      </c>
      <c r="BS1411" s="342" t="s">
        <v>622</v>
      </c>
      <c r="BT1411" s="392" t="s">
        <v>210</v>
      </c>
      <c r="BU1411" s="392" t="s">
        <v>210</v>
      </c>
      <c r="BV1411" s="392" t="s">
        <v>210</v>
      </c>
      <c r="BW1411" s="392" t="s">
        <v>210</v>
      </c>
      <c r="BX1411" s="392" t="s">
        <v>210</v>
      </c>
      <c r="BY1411" s="457"/>
      <c r="BZ1411" s="363"/>
      <c r="CA1411" s="363"/>
      <c r="CB1411" s="363"/>
      <c r="CC1411" s="363"/>
    </row>
    <row r="1412" spans="2:82" ht="22.5" customHeight="1">
      <c r="B1412" s="507">
        <v>200015</v>
      </c>
      <c r="C1412" s="366" t="s">
        <v>16724</v>
      </c>
      <c r="D1412" s="1264" t="s">
        <v>17081</v>
      </c>
      <c r="E1412" s="404" t="s">
        <v>5362</v>
      </c>
      <c r="F1412" s="321" t="s">
        <v>17084</v>
      </c>
      <c r="G1412" s="326" t="s">
        <v>17085</v>
      </c>
      <c r="H1412" s="324" t="s">
        <v>17086</v>
      </c>
      <c r="I1412" s="326" t="s">
        <v>11</v>
      </c>
      <c r="J1412" s="324" t="s">
        <v>17087</v>
      </c>
      <c r="K1412" s="324" t="s">
        <v>17088</v>
      </c>
      <c r="L1412" s="361"/>
      <c r="M1412" s="324" t="s">
        <v>7457</v>
      </c>
      <c r="N1412" s="444" t="s">
        <v>438</v>
      </c>
      <c r="O1412" s="408"/>
      <c r="P1412" s="1316">
        <v>1300</v>
      </c>
      <c r="Q1412" s="1317">
        <v>1200</v>
      </c>
      <c r="R1412" s="460" t="s">
        <v>16721</v>
      </c>
      <c r="S1412" s="394" t="s">
        <v>17156</v>
      </c>
      <c r="T1412" s="394" t="s">
        <v>17158</v>
      </c>
      <c r="U1412" s="394" t="s">
        <v>17157</v>
      </c>
      <c r="V1412" s="394" t="s">
        <v>17159</v>
      </c>
      <c r="W1412" s="460" t="s">
        <v>17232</v>
      </c>
      <c r="X1412" s="513"/>
      <c r="Y1412" s="513"/>
      <c r="Z1412" s="513"/>
      <c r="AA1412" s="513"/>
      <c r="AB1412" s="416"/>
      <c r="AC1412" s="416"/>
      <c r="AD1412" s="461"/>
      <c r="AE1412" s="485"/>
      <c r="AF1412" s="475">
        <v>44039</v>
      </c>
      <c r="AG1412" s="389"/>
      <c r="AH1412" s="417" t="s">
        <v>210</v>
      </c>
      <c r="AI1412" s="392" t="s">
        <v>210</v>
      </c>
      <c r="AJ1412" s="392" t="s">
        <v>210</v>
      </c>
      <c r="AK1412" s="340" t="s">
        <v>210</v>
      </c>
      <c r="AL1412" s="392" t="s">
        <v>210</v>
      </c>
      <c r="AM1412" s="392" t="s">
        <v>210</v>
      </c>
      <c r="AN1412" s="392" t="s">
        <v>210</v>
      </c>
      <c r="AO1412" s="392" t="s">
        <v>210</v>
      </c>
      <c r="AP1412" s="496" t="s">
        <v>622</v>
      </c>
      <c r="AQ1412" s="429" t="s">
        <v>4547</v>
      </c>
      <c r="AR1412" s="501"/>
      <c r="AS1412" s="324">
        <v>150</v>
      </c>
      <c r="AT1412" s="432">
        <v>1</v>
      </c>
      <c r="AU1412" s="432" t="s">
        <v>17231</v>
      </c>
      <c r="AV1412" s="432">
        <v>1.5</v>
      </c>
      <c r="AW1412" s="490" t="s">
        <v>17231</v>
      </c>
      <c r="AX1412" s="453" t="s">
        <v>210</v>
      </c>
      <c r="AY1412" s="429" t="s">
        <v>17230</v>
      </c>
      <c r="AZ1412" s="405" t="s">
        <v>4083</v>
      </c>
      <c r="BA1412" s="324" t="s">
        <v>210</v>
      </c>
      <c r="BB1412" s="324" t="s">
        <v>210</v>
      </c>
      <c r="BC1412" s="324" t="s">
        <v>17225</v>
      </c>
      <c r="BD1412" s="324" t="s">
        <v>17226</v>
      </c>
      <c r="BE1412" s="324" t="s">
        <v>17227</v>
      </c>
      <c r="BF1412" s="324" t="s">
        <v>17226</v>
      </c>
      <c r="BG1412" s="324" t="s">
        <v>17228</v>
      </c>
      <c r="BH1412" s="426" t="s">
        <v>17229</v>
      </c>
      <c r="BI1412" s="410"/>
      <c r="BJ1412" s="411"/>
      <c r="BK1412" s="427" t="s">
        <v>210</v>
      </c>
      <c r="BL1412" s="429" t="s">
        <v>210</v>
      </c>
      <c r="BM1412" s="430" t="s">
        <v>210</v>
      </c>
      <c r="BN1412" s="410"/>
      <c r="BO1412" s="502"/>
      <c r="BP1412" s="492"/>
      <c r="BQ1412" s="360"/>
      <c r="BR1412" s="392" t="s">
        <v>210</v>
      </c>
      <c r="BS1412" s="342" t="s">
        <v>622</v>
      </c>
      <c r="BT1412" s="392" t="s">
        <v>210</v>
      </c>
      <c r="BU1412" s="392" t="s">
        <v>798</v>
      </c>
      <c r="BV1412" s="392" t="s">
        <v>210</v>
      </c>
      <c r="BW1412" s="392" t="s">
        <v>210</v>
      </c>
      <c r="BX1412" s="392" t="s">
        <v>210</v>
      </c>
      <c r="BY1412" s="457" t="s">
        <v>17083</v>
      </c>
      <c r="BZ1412" s="363"/>
      <c r="CA1412" s="363"/>
      <c r="CB1412" s="363"/>
      <c r="CC1412" s="363"/>
    </row>
    <row r="1413" spans="2:82" ht="22.5" customHeight="1">
      <c r="B1413" s="507">
        <v>200016</v>
      </c>
      <c r="C1413" s="494" t="s">
        <v>17109</v>
      </c>
      <c r="D1413" s="439" t="s">
        <v>17134</v>
      </c>
      <c r="E1413" s="404" t="s">
        <v>6879</v>
      </c>
      <c r="F1413" s="405" t="s">
        <v>9210</v>
      </c>
      <c r="G1413" s="324" t="s">
        <v>17095</v>
      </c>
      <c r="H1413" s="324" t="s">
        <v>17096</v>
      </c>
      <c r="I1413" s="326" t="s">
        <v>11</v>
      </c>
      <c r="J1413" s="326" t="s">
        <v>399</v>
      </c>
      <c r="K1413" s="324" t="s">
        <v>17256</v>
      </c>
      <c r="L1413" s="342">
        <v>20</v>
      </c>
      <c r="M1413" s="324" t="s">
        <v>7457</v>
      </c>
      <c r="N1413" s="444" t="s">
        <v>17257</v>
      </c>
      <c r="O1413" s="324">
        <v>30</v>
      </c>
      <c r="P1413" s="458">
        <v>5328</v>
      </c>
      <c r="Q1413" s="459">
        <v>4864</v>
      </c>
      <c r="R1413" s="447" t="s">
        <v>17192</v>
      </c>
      <c r="S1413" s="394" t="s">
        <v>17194</v>
      </c>
      <c r="T1413" s="513"/>
      <c r="U1413" s="513"/>
      <c r="V1413" s="394" t="s">
        <v>17193</v>
      </c>
      <c r="W1413" s="332" t="s">
        <v>644</v>
      </c>
      <c r="X1413" s="394" t="s">
        <v>17188</v>
      </c>
      <c r="Y1413" s="394" t="s">
        <v>17189</v>
      </c>
      <c r="Z1413" s="394" t="s">
        <v>17190</v>
      </c>
      <c r="AA1413" s="1049" t="s">
        <v>17191</v>
      </c>
      <c r="AB1413" s="1283"/>
      <c r="AC1413" s="1283"/>
      <c r="AD1413" s="461"/>
      <c r="AE1413" s="499" t="s">
        <v>17583</v>
      </c>
      <c r="AF1413" s="475">
        <v>44041</v>
      </c>
      <c r="AG1413" s="748">
        <v>44074</v>
      </c>
      <c r="AH1413" s="417" t="s">
        <v>210</v>
      </c>
      <c r="AI1413" s="392" t="s">
        <v>210</v>
      </c>
      <c r="AJ1413" s="392" t="s">
        <v>210</v>
      </c>
      <c r="AK1413" s="340" t="s">
        <v>210</v>
      </c>
      <c r="AL1413" s="392" t="s">
        <v>210</v>
      </c>
      <c r="AM1413" s="392" t="s">
        <v>210</v>
      </c>
      <c r="AN1413" s="392" t="s">
        <v>210</v>
      </c>
      <c r="AO1413" s="392" t="s">
        <v>210</v>
      </c>
      <c r="AP1413" s="496" t="s">
        <v>622</v>
      </c>
      <c r="AQ1413" s="429" t="s">
        <v>4547</v>
      </c>
      <c r="AR1413" s="452">
        <v>5474</v>
      </c>
      <c r="AS1413" s="324">
        <v>100</v>
      </c>
      <c r="AT1413" s="432">
        <v>1</v>
      </c>
      <c r="AU1413" s="432" t="s">
        <v>17258</v>
      </c>
      <c r="AV1413" s="432">
        <v>1.5</v>
      </c>
      <c r="AW1413" s="490" t="s">
        <v>17259</v>
      </c>
      <c r="AX1413" s="453" t="s">
        <v>210</v>
      </c>
      <c r="AY1413" s="429" t="s">
        <v>210</v>
      </c>
      <c r="AZ1413" s="405" t="s">
        <v>4083</v>
      </c>
      <c r="BA1413" s="324" t="s">
        <v>210</v>
      </c>
      <c r="BB1413" s="324" t="s">
        <v>210</v>
      </c>
      <c r="BC1413" s="324" t="s">
        <v>17260</v>
      </c>
      <c r="BD1413" s="324" t="s">
        <v>17261</v>
      </c>
      <c r="BE1413" s="324" t="s">
        <v>17260</v>
      </c>
      <c r="BF1413" s="324" t="s">
        <v>17261</v>
      </c>
      <c r="BG1413" s="324" t="s">
        <v>17262</v>
      </c>
      <c r="BH1413" s="324" t="s">
        <v>17261</v>
      </c>
      <c r="BI1413" s="453">
        <v>0.5</v>
      </c>
      <c r="BJ1413" s="427" t="s">
        <v>17263</v>
      </c>
      <c r="BK1413" s="427" t="s">
        <v>210</v>
      </c>
      <c r="BL1413" s="429" t="s">
        <v>210</v>
      </c>
      <c r="BM1413" s="430" t="s">
        <v>210</v>
      </c>
      <c r="BN1413" s="453" t="s">
        <v>622</v>
      </c>
      <c r="BO1413" s="464">
        <v>0.82</v>
      </c>
      <c r="BP1413" s="455" t="s">
        <v>622</v>
      </c>
      <c r="BQ1413" s="456" t="s">
        <v>17264</v>
      </c>
      <c r="BR1413" s="1315" t="s">
        <v>15896</v>
      </c>
      <c r="BS1413" s="342" t="s">
        <v>622</v>
      </c>
      <c r="BT1413" s="392" t="s">
        <v>210</v>
      </c>
      <c r="BU1413" s="392" t="s">
        <v>210</v>
      </c>
      <c r="BV1413" s="392" t="s">
        <v>210</v>
      </c>
      <c r="BW1413" s="392" t="s">
        <v>210</v>
      </c>
      <c r="BX1413" s="392" t="s">
        <v>210</v>
      </c>
      <c r="BY1413" s="457" t="s">
        <v>17267</v>
      </c>
      <c r="BZ1413" s="363"/>
      <c r="CA1413" s="363"/>
      <c r="CB1413" s="363"/>
      <c r="CC1413" s="363"/>
    </row>
    <row r="1414" spans="2:82" ht="22.5" customHeight="1">
      <c r="B1414" s="507">
        <v>200017</v>
      </c>
      <c r="C1414" s="443" t="s">
        <v>16607</v>
      </c>
      <c r="D1414" s="467" t="s">
        <v>17135</v>
      </c>
      <c r="E1414" s="404" t="s">
        <v>6879</v>
      </c>
      <c r="F1414" s="405" t="s">
        <v>16608</v>
      </c>
      <c r="G1414" s="324" t="s">
        <v>16609</v>
      </c>
      <c r="H1414" s="324" t="s">
        <v>16610</v>
      </c>
      <c r="I1414" s="324" t="s">
        <v>16611</v>
      </c>
      <c r="J1414" s="324" t="s">
        <v>7171</v>
      </c>
      <c r="K1414" s="324" t="s">
        <v>13943</v>
      </c>
      <c r="L1414" s="342" t="s">
        <v>210</v>
      </c>
      <c r="M1414" s="324" t="s">
        <v>17242</v>
      </c>
      <c r="N1414" s="444" t="s">
        <v>17243</v>
      </c>
      <c r="O1414" s="324" t="s">
        <v>17244</v>
      </c>
      <c r="P1414" s="822">
        <v>1196</v>
      </c>
      <c r="Q1414" s="369">
        <v>1080</v>
      </c>
      <c r="R1414" s="447" t="s">
        <v>17121</v>
      </c>
      <c r="S1414" s="394" t="s">
        <v>17117</v>
      </c>
      <c r="T1414" s="394" t="s">
        <v>17119</v>
      </c>
      <c r="U1414" s="394" t="s">
        <v>17118</v>
      </c>
      <c r="V1414" s="394" t="s">
        <v>17120</v>
      </c>
      <c r="W1414" s="1282" t="s">
        <v>17115</v>
      </c>
      <c r="X1414" s="394" t="s">
        <v>11485</v>
      </c>
      <c r="Y1414" s="394" t="s">
        <v>11486</v>
      </c>
      <c r="Z1414" s="394" t="s">
        <v>11487</v>
      </c>
      <c r="AA1414" s="394" t="s">
        <v>11488</v>
      </c>
      <c r="AB1414" s="1283" t="s">
        <v>17099</v>
      </c>
      <c r="AC1414" s="1283"/>
      <c r="AD1414" s="447" t="s">
        <v>17525</v>
      </c>
      <c r="AE1414" s="499" t="s">
        <v>210</v>
      </c>
      <c r="AF1414" s="475">
        <v>44042</v>
      </c>
      <c r="AG1414" s="748">
        <v>44074</v>
      </c>
      <c r="AH1414" s="417" t="s">
        <v>210</v>
      </c>
      <c r="AI1414" s="392" t="s">
        <v>210</v>
      </c>
      <c r="AJ1414" s="392" t="s">
        <v>210</v>
      </c>
      <c r="AK1414" s="340" t="s">
        <v>210</v>
      </c>
      <c r="AL1414" s="392" t="s">
        <v>210</v>
      </c>
      <c r="AM1414" s="392" t="s">
        <v>210</v>
      </c>
      <c r="AN1414" s="392" t="s">
        <v>210</v>
      </c>
      <c r="AO1414" s="392" t="s">
        <v>210</v>
      </c>
      <c r="AP1414" s="392" t="s">
        <v>210</v>
      </c>
      <c r="AQ1414" s="433" t="s">
        <v>17116</v>
      </c>
      <c r="AR1414" s="452">
        <v>1295</v>
      </c>
      <c r="AS1414" s="324">
        <v>150</v>
      </c>
      <c r="AT1414" s="432">
        <v>1.5</v>
      </c>
      <c r="AU1414" s="432" t="s">
        <v>17249</v>
      </c>
      <c r="AV1414" s="432">
        <v>1.5</v>
      </c>
      <c r="AW1414" s="490" t="s">
        <v>17250</v>
      </c>
      <c r="AX1414" s="453" t="s">
        <v>210</v>
      </c>
      <c r="AY1414" s="429" t="s">
        <v>210</v>
      </c>
      <c r="AZ1414" s="405" t="s">
        <v>4083</v>
      </c>
      <c r="BA1414" s="324" t="s">
        <v>210</v>
      </c>
      <c r="BB1414" s="324" t="s">
        <v>210</v>
      </c>
      <c r="BC1414" s="324" t="s">
        <v>17251</v>
      </c>
      <c r="BD1414" s="324" t="s">
        <v>17252</v>
      </c>
      <c r="BE1414" s="324" t="s">
        <v>17251</v>
      </c>
      <c r="BF1414" s="324" t="s">
        <v>17252</v>
      </c>
      <c r="BG1414" s="324" t="s">
        <v>17253</v>
      </c>
      <c r="BH1414" s="426" t="s">
        <v>17254</v>
      </c>
      <c r="BI1414" s="453">
        <v>1.6</v>
      </c>
      <c r="BJ1414" s="427">
        <v>5.93</v>
      </c>
      <c r="BK1414" s="428" t="s">
        <v>17255</v>
      </c>
      <c r="BL1414" s="429">
        <v>2.7</v>
      </c>
      <c r="BM1414" s="430" t="s">
        <v>210</v>
      </c>
      <c r="BN1414" s="453" t="s">
        <v>622</v>
      </c>
      <c r="BO1414" s="464">
        <v>1</v>
      </c>
      <c r="BP1414" s="455" t="s">
        <v>622</v>
      </c>
      <c r="BQ1414" s="456" t="s">
        <v>10959</v>
      </c>
      <c r="BR1414" s="392" t="s">
        <v>210</v>
      </c>
      <c r="BS1414" s="342" t="s">
        <v>622</v>
      </c>
      <c r="BT1414" s="392" t="s">
        <v>210</v>
      </c>
      <c r="BU1414" s="392" t="s">
        <v>798</v>
      </c>
      <c r="BV1414" s="392" t="s">
        <v>210</v>
      </c>
      <c r="BW1414" s="392" t="s">
        <v>210</v>
      </c>
      <c r="BX1414" s="392" t="s">
        <v>210</v>
      </c>
      <c r="BY1414" s="457"/>
      <c r="BZ1414" s="363"/>
      <c r="CA1414" s="363"/>
      <c r="CB1414" s="363"/>
      <c r="CC1414" s="363"/>
    </row>
    <row r="1415" spans="2:82" s="1036" customFormat="1" ht="22.5" customHeight="1">
      <c r="B1415" s="1830">
        <v>200018</v>
      </c>
      <c r="C1415" s="1831" t="s">
        <v>17110</v>
      </c>
      <c r="D1415" s="1832" t="s">
        <v>17136</v>
      </c>
      <c r="E1415" s="1833" t="s">
        <v>17100</v>
      </c>
      <c r="F1415" s="1834" t="s">
        <v>17101</v>
      </c>
      <c r="G1415" s="1082" t="s">
        <v>17102</v>
      </c>
      <c r="H1415" s="1002" t="s">
        <v>17103</v>
      </c>
      <c r="I1415" s="1082" t="s">
        <v>11</v>
      </c>
      <c r="J1415" s="1002" t="s">
        <v>7171</v>
      </c>
      <c r="K1415" s="1002" t="s">
        <v>838</v>
      </c>
      <c r="L1415" s="1003"/>
      <c r="M1415" s="1002" t="s">
        <v>7457</v>
      </c>
      <c r="N1415" s="1004" t="s">
        <v>661</v>
      </c>
      <c r="O1415" s="1002"/>
      <c r="P1415" s="1005"/>
      <c r="Q1415" s="1006"/>
      <c r="R1415" s="1083" t="s">
        <v>17104</v>
      </c>
      <c r="S1415" s="848" t="s">
        <v>17105</v>
      </c>
      <c r="T1415" s="848"/>
      <c r="U1415" s="848"/>
      <c r="V1415" s="848"/>
      <c r="W1415" s="1084" t="s">
        <v>17165</v>
      </c>
      <c r="X1415" s="848" t="s">
        <v>17114</v>
      </c>
      <c r="Y1415" s="848" t="s">
        <v>17113</v>
      </c>
      <c r="Z1415" s="848" t="s">
        <v>17112</v>
      </c>
      <c r="AA1415" s="848"/>
      <c r="AB1415" s="1010"/>
      <c r="AC1415" s="1010"/>
      <c r="AD1415" s="1011"/>
      <c r="AE1415" s="1085"/>
      <c r="AF1415" s="1086">
        <v>44042</v>
      </c>
      <c r="AG1415" s="1014"/>
      <c r="AH1415" s="1015" t="s">
        <v>210</v>
      </c>
      <c r="AI1415" s="1016" t="s">
        <v>210</v>
      </c>
      <c r="AJ1415" s="1016" t="s">
        <v>210</v>
      </c>
      <c r="AK1415" s="1017" t="s">
        <v>210</v>
      </c>
      <c r="AL1415" s="1016" t="s">
        <v>210</v>
      </c>
      <c r="AM1415" s="1016" t="s">
        <v>210</v>
      </c>
      <c r="AN1415" s="1016" t="s">
        <v>210</v>
      </c>
      <c r="AO1415" s="1016" t="s">
        <v>210</v>
      </c>
      <c r="AP1415" s="1835" t="s">
        <v>622</v>
      </c>
      <c r="AQ1415" s="1025" t="s">
        <v>4547</v>
      </c>
      <c r="AR1415" s="1021"/>
      <c r="AS1415" s="1002"/>
      <c r="AT1415" s="1022"/>
      <c r="AU1415" s="1022"/>
      <c r="AV1415" s="1022"/>
      <c r="AW1415" s="1023"/>
      <c r="AX1415" s="1027"/>
      <c r="AY1415" s="1025"/>
      <c r="AZ1415" s="1001"/>
      <c r="BA1415" s="1002"/>
      <c r="BB1415" s="1002"/>
      <c r="BC1415" s="1002"/>
      <c r="BD1415" s="1002"/>
      <c r="BE1415" s="1002"/>
      <c r="BF1415" s="1002"/>
      <c r="BG1415" s="1002"/>
      <c r="BH1415" s="1026"/>
      <c r="BI1415" s="1027"/>
      <c r="BJ1415" s="1028"/>
      <c r="BK1415" s="1029"/>
      <c r="BL1415" s="1025"/>
      <c r="BM1415" s="1030"/>
      <c r="BN1415" s="1027"/>
      <c r="BO1415" s="1031"/>
      <c r="BP1415" s="1032"/>
      <c r="BQ1415" s="1024"/>
      <c r="BR1415" s="1003"/>
      <c r="BS1415" s="1003"/>
      <c r="BT1415" s="1003"/>
      <c r="BU1415" s="1003"/>
      <c r="BV1415" s="1003"/>
      <c r="BW1415" s="1003"/>
      <c r="BX1415" s="1003"/>
      <c r="BY1415" s="1033" t="s">
        <v>17622</v>
      </c>
      <c r="BZ1415" s="1034"/>
      <c r="CA1415" s="1034"/>
      <c r="CB1415" s="1034"/>
      <c r="CC1415" s="1034"/>
      <c r="CD1415" s="1035"/>
    </row>
    <row r="1416" spans="2:82" ht="22.5" customHeight="1">
      <c r="B1416" s="507">
        <v>200019</v>
      </c>
      <c r="C1416" s="494" t="s">
        <v>17138</v>
      </c>
      <c r="D1416" s="467" t="s">
        <v>17137</v>
      </c>
      <c r="E1416" s="404" t="s">
        <v>5362</v>
      </c>
      <c r="F1416" s="405" t="s">
        <v>839</v>
      </c>
      <c r="G1416" s="324" t="s">
        <v>17331</v>
      </c>
      <c r="H1416" s="324" t="s">
        <v>17332</v>
      </c>
      <c r="I1416" s="326" t="s">
        <v>11</v>
      </c>
      <c r="J1416" s="324" t="s">
        <v>16686</v>
      </c>
      <c r="K1416" s="324" t="s">
        <v>247</v>
      </c>
      <c r="L1416" s="342">
        <v>15</v>
      </c>
      <c r="M1416" s="324" t="s">
        <v>7457</v>
      </c>
      <c r="N1416" s="444" t="s">
        <v>17333</v>
      </c>
      <c r="O1416" s="324">
        <v>40</v>
      </c>
      <c r="P1416" s="1314">
        <f>Q1416*2</f>
        <v>1100</v>
      </c>
      <c r="Q1416" s="446">
        <v>550</v>
      </c>
      <c r="R1416" s="394" t="s">
        <v>17218</v>
      </c>
      <c r="S1416" s="394" t="s">
        <v>17219</v>
      </c>
      <c r="T1416" s="513"/>
      <c r="U1416" s="513"/>
      <c r="V1416" s="332" t="s">
        <v>17220</v>
      </c>
      <c r="W1416" s="394" t="s">
        <v>17106</v>
      </c>
      <c r="X1416" s="394" t="s">
        <v>15996</v>
      </c>
      <c r="Y1416" s="513"/>
      <c r="Z1416" s="513"/>
      <c r="AA1416" s="394" t="s">
        <v>17155</v>
      </c>
      <c r="AB1416" s="416"/>
      <c r="AC1416" s="416"/>
      <c r="AD1416" s="447" t="s">
        <v>17724</v>
      </c>
      <c r="AE1416" s="499" t="s">
        <v>17909</v>
      </c>
      <c r="AF1416" s="475">
        <v>44042</v>
      </c>
      <c r="AG1416" s="748">
        <v>44111</v>
      </c>
      <c r="AH1416" s="417" t="s">
        <v>210</v>
      </c>
      <c r="AI1416" s="392" t="s">
        <v>210</v>
      </c>
      <c r="AJ1416" s="392" t="s">
        <v>210</v>
      </c>
      <c r="AK1416" s="340" t="s">
        <v>210</v>
      </c>
      <c r="AL1416" s="392" t="s">
        <v>210</v>
      </c>
      <c r="AM1416" s="392" t="s">
        <v>210</v>
      </c>
      <c r="AN1416" s="392" t="s">
        <v>210</v>
      </c>
      <c r="AO1416" s="392" t="s">
        <v>210</v>
      </c>
      <c r="AP1416" s="392" t="s">
        <v>210</v>
      </c>
      <c r="AQ1416" s="429" t="s">
        <v>4547</v>
      </c>
      <c r="AR1416" s="452">
        <v>761</v>
      </c>
      <c r="AS1416" s="324">
        <v>100</v>
      </c>
      <c r="AT1416" s="432">
        <v>1</v>
      </c>
      <c r="AU1416" s="432" t="s">
        <v>17334</v>
      </c>
      <c r="AV1416" s="432">
        <v>1.5</v>
      </c>
      <c r="AW1416" s="490" t="s">
        <v>17335</v>
      </c>
      <c r="AX1416" s="453" t="s">
        <v>210</v>
      </c>
      <c r="AY1416" s="429" t="s">
        <v>8601</v>
      </c>
      <c r="AZ1416" s="405" t="s">
        <v>622</v>
      </c>
      <c r="BA1416" s="324" t="s">
        <v>17336</v>
      </c>
      <c r="BB1416" s="324" t="s">
        <v>17337</v>
      </c>
      <c r="BC1416" s="324" t="s">
        <v>17338</v>
      </c>
      <c r="BD1416" s="324" t="s">
        <v>17339</v>
      </c>
      <c r="BE1416" s="324" t="s">
        <v>17340</v>
      </c>
      <c r="BF1416" s="324" t="s">
        <v>17339</v>
      </c>
      <c r="BG1416" s="324" t="s">
        <v>17341</v>
      </c>
      <c r="BH1416" s="426" t="s">
        <v>17342</v>
      </c>
      <c r="BI1416" s="453">
        <v>1.2</v>
      </c>
      <c r="BJ1416" s="427">
        <v>1.27</v>
      </c>
      <c r="BK1416" s="428" t="s">
        <v>17847</v>
      </c>
      <c r="BL1416" s="429">
        <v>5.8</v>
      </c>
      <c r="BM1416" s="430" t="s">
        <v>210</v>
      </c>
      <c r="BN1416" s="453" t="s">
        <v>622</v>
      </c>
      <c r="BO1416" s="464">
        <v>1.06</v>
      </c>
      <c r="BP1416" s="492"/>
      <c r="BQ1416" s="456" t="s">
        <v>17343</v>
      </c>
      <c r="BR1416" s="361"/>
      <c r="BS1416" s="342" t="s">
        <v>622</v>
      </c>
      <c r="BT1416" s="392" t="s">
        <v>210</v>
      </c>
      <c r="BU1416" s="392" t="s">
        <v>210</v>
      </c>
      <c r="BV1416" s="392" t="s">
        <v>210</v>
      </c>
      <c r="BW1416" s="392" t="s">
        <v>210</v>
      </c>
      <c r="BX1416" s="392" t="s">
        <v>10552</v>
      </c>
      <c r="BY1416" s="457"/>
      <c r="BZ1416" s="363"/>
      <c r="CA1416" s="363"/>
      <c r="CB1416" s="363"/>
      <c r="CC1416" s="363"/>
    </row>
    <row r="1417" spans="2:82" ht="22.5" customHeight="1">
      <c r="B1417" s="507">
        <v>200020</v>
      </c>
      <c r="C1417" s="494" t="s">
        <v>17142</v>
      </c>
      <c r="D1417" s="467" t="s">
        <v>17182</v>
      </c>
      <c r="E1417" s="404" t="s">
        <v>5363</v>
      </c>
      <c r="F1417" s="405" t="s">
        <v>16144</v>
      </c>
      <c r="G1417" s="324" t="s">
        <v>16145</v>
      </c>
      <c r="H1417" s="324" t="s">
        <v>16146</v>
      </c>
      <c r="I1417" s="326" t="s">
        <v>11</v>
      </c>
      <c r="J1417" s="326" t="s">
        <v>399</v>
      </c>
      <c r="K1417" s="324" t="s">
        <v>917</v>
      </c>
      <c r="L1417" s="342" t="s">
        <v>210</v>
      </c>
      <c r="M1417" s="324" t="s">
        <v>7457</v>
      </c>
      <c r="N1417" s="444" t="s">
        <v>438</v>
      </c>
      <c r="O1417" s="324">
        <v>59</v>
      </c>
      <c r="P1417" s="1314">
        <v>3400</v>
      </c>
      <c r="Q1417" s="446">
        <f>P1417</f>
        <v>3400</v>
      </c>
      <c r="R1417" s="329" t="s">
        <v>447</v>
      </c>
      <c r="S1417" s="331" t="s">
        <v>11188</v>
      </c>
      <c r="T1417" s="331" t="s">
        <v>11078</v>
      </c>
      <c r="U1417" s="331" t="s">
        <v>16355</v>
      </c>
      <c r="V1417" s="331" t="s">
        <v>11189</v>
      </c>
      <c r="W1417" s="460" t="s">
        <v>16866</v>
      </c>
      <c r="X1417" s="394" t="s">
        <v>16867</v>
      </c>
      <c r="Y1417" s="394" t="s">
        <v>16868</v>
      </c>
      <c r="Z1417" s="394" t="s">
        <v>16870</v>
      </c>
      <c r="AA1417" s="394" t="s">
        <v>16869</v>
      </c>
      <c r="AB1417" s="416"/>
      <c r="AC1417" s="416"/>
      <c r="AD1417" s="461"/>
      <c r="AE1417" s="485"/>
      <c r="AF1417" s="475">
        <v>44042</v>
      </c>
      <c r="AG1417" s="389"/>
      <c r="AH1417" s="417" t="s">
        <v>210</v>
      </c>
      <c r="AI1417" s="392" t="s">
        <v>210</v>
      </c>
      <c r="AJ1417" s="392" t="s">
        <v>210</v>
      </c>
      <c r="AK1417" s="340" t="s">
        <v>210</v>
      </c>
      <c r="AL1417" s="392" t="s">
        <v>210</v>
      </c>
      <c r="AM1417" s="392" t="s">
        <v>210</v>
      </c>
      <c r="AN1417" s="392" t="s">
        <v>210</v>
      </c>
      <c r="AO1417" s="392" t="s">
        <v>210</v>
      </c>
      <c r="AP1417" s="392" t="s">
        <v>210</v>
      </c>
      <c r="AQ1417" s="429" t="s">
        <v>4547</v>
      </c>
      <c r="AR1417" s="452">
        <f>3707+314</f>
        <v>4021</v>
      </c>
      <c r="AS1417" s="324">
        <v>100</v>
      </c>
      <c r="AT1417" s="432">
        <v>0.8</v>
      </c>
      <c r="AU1417" s="432" t="s">
        <v>17183</v>
      </c>
      <c r="AV1417" s="432">
        <v>1.2</v>
      </c>
      <c r="AW1417" s="490" t="s">
        <v>17184</v>
      </c>
      <c r="AX1417" s="453" t="s">
        <v>210</v>
      </c>
      <c r="AY1417" s="1040" t="s">
        <v>17185</v>
      </c>
      <c r="AZ1417" s="405" t="s">
        <v>4083</v>
      </c>
      <c r="BA1417" s="324" t="s">
        <v>210</v>
      </c>
      <c r="BB1417" s="324" t="s">
        <v>210</v>
      </c>
      <c r="BC1417" s="324" t="s">
        <v>210</v>
      </c>
      <c r="BD1417" s="324" t="s">
        <v>210</v>
      </c>
      <c r="BE1417" s="324" t="s">
        <v>16176</v>
      </c>
      <c r="BF1417" s="324" t="s">
        <v>16177</v>
      </c>
      <c r="BG1417" s="427" t="s">
        <v>210</v>
      </c>
      <c r="BH1417" s="427" t="s">
        <v>210</v>
      </c>
      <c r="BI1417" s="453">
        <v>0.7</v>
      </c>
      <c r="BJ1417" s="411"/>
      <c r="BK1417" s="428" t="s">
        <v>17186</v>
      </c>
      <c r="BL1417" s="429">
        <v>1.7</v>
      </c>
      <c r="BM1417" s="430" t="s">
        <v>210</v>
      </c>
      <c r="BN1417" s="1321" t="s">
        <v>210</v>
      </c>
      <c r="BO1417" s="392" t="s">
        <v>210</v>
      </c>
      <c r="BP1417" s="455" t="s">
        <v>622</v>
      </c>
      <c r="BQ1417" s="456" t="s">
        <v>17297</v>
      </c>
      <c r="BR1417" s="1315" t="s">
        <v>13380</v>
      </c>
      <c r="BS1417" s="342" t="s">
        <v>622</v>
      </c>
      <c r="BT1417" s="392" t="s">
        <v>210</v>
      </c>
      <c r="BU1417" s="392" t="s">
        <v>210</v>
      </c>
      <c r="BV1417" s="392" t="s">
        <v>210</v>
      </c>
      <c r="BW1417" s="392" t="s">
        <v>210</v>
      </c>
      <c r="BX1417" s="392" t="s">
        <v>210</v>
      </c>
      <c r="BY1417" s="457"/>
      <c r="BZ1417" s="363"/>
      <c r="CA1417" s="363"/>
      <c r="CB1417" s="363"/>
      <c r="CC1417" s="363"/>
    </row>
    <row r="1418" spans="2:82" ht="22.5" customHeight="1">
      <c r="B1418" s="507">
        <v>200021</v>
      </c>
      <c r="C1418" s="443" t="s">
        <v>17187</v>
      </c>
      <c r="D1418" s="467" t="s">
        <v>17222</v>
      </c>
      <c r="E1418" s="404" t="s">
        <v>5363</v>
      </c>
      <c r="F1418" s="405" t="s">
        <v>15918</v>
      </c>
      <c r="G1418" s="324" t="s">
        <v>15919</v>
      </c>
      <c r="H1418" s="324" t="s">
        <v>15920</v>
      </c>
      <c r="I1418" s="326" t="s">
        <v>11</v>
      </c>
      <c r="J1418" s="326" t="s">
        <v>399</v>
      </c>
      <c r="K1418" s="324" t="s">
        <v>917</v>
      </c>
      <c r="L1418" s="342" t="s">
        <v>210</v>
      </c>
      <c r="M1418" s="324" t="s">
        <v>7457</v>
      </c>
      <c r="N1418" s="444" t="s">
        <v>17372</v>
      </c>
      <c r="O1418" s="324">
        <v>37.299999999999997</v>
      </c>
      <c r="P1418" s="1314">
        <v>1100</v>
      </c>
      <c r="Q1418" s="446">
        <f>P1418</f>
        <v>1100</v>
      </c>
      <c r="R1418" s="329" t="s">
        <v>469</v>
      </c>
      <c r="S1418" s="331" t="s">
        <v>11204</v>
      </c>
      <c r="T1418" s="331" t="s">
        <v>11205</v>
      </c>
      <c r="U1418" s="331" t="s">
        <v>11207</v>
      </c>
      <c r="V1418" s="649" t="s">
        <v>15921</v>
      </c>
      <c r="W1418" s="460" t="s">
        <v>15930</v>
      </c>
      <c r="X1418" s="394" t="s">
        <v>16058</v>
      </c>
      <c r="Y1418" s="394" t="s">
        <v>16060</v>
      </c>
      <c r="Z1418" s="394" t="s">
        <v>16059</v>
      </c>
      <c r="AA1418" s="394" t="s">
        <v>16061</v>
      </c>
      <c r="AB1418" s="416" t="s">
        <v>17177</v>
      </c>
      <c r="AC1418" s="416" t="s">
        <v>17168</v>
      </c>
      <c r="AD1418" s="334" t="s">
        <v>2325</v>
      </c>
      <c r="AE1418" s="499" t="s">
        <v>2032</v>
      </c>
      <c r="AF1418" s="475">
        <v>44044</v>
      </c>
      <c r="AG1418" s="748">
        <v>44092</v>
      </c>
      <c r="AH1418" s="417" t="s">
        <v>210</v>
      </c>
      <c r="AI1418" s="392" t="s">
        <v>210</v>
      </c>
      <c r="AJ1418" s="392" t="s">
        <v>210</v>
      </c>
      <c r="AK1418" s="340" t="s">
        <v>210</v>
      </c>
      <c r="AL1418" s="392" t="s">
        <v>210</v>
      </c>
      <c r="AM1418" s="392" t="s">
        <v>210</v>
      </c>
      <c r="AN1418" s="392" t="s">
        <v>210</v>
      </c>
      <c r="AO1418" s="392" t="s">
        <v>210</v>
      </c>
      <c r="AP1418" s="392" t="s">
        <v>210</v>
      </c>
      <c r="AQ1418" s="429" t="s">
        <v>4547</v>
      </c>
      <c r="AR1418" s="452">
        <v>1405</v>
      </c>
      <c r="AS1418" s="324">
        <v>100</v>
      </c>
      <c r="AT1418" s="432">
        <v>0.8</v>
      </c>
      <c r="AU1418" s="432" t="s">
        <v>3443</v>
      </c>
      <c r="AV1418" s="432">
        <v>1.5</v>
      </c>
      <c r="AW1418" s="490" t="s">
        <v>17373</v>
      </c>
      <c r="AX1418" s="453" t="s">
        <v>210</v>
      </c>
      <c r="AY1418" s="429" t="s">
        <v>8601</v>
      </c>
      <c r="AZ1418" s="405" t="s">
        <v>4083</v>
      </c>
      <c r="BA1418" s="324" t="s">
        <v>210</v>
      </c>
      <c r="BB1418" s="324" t="s">
        <v>210</v>
      </c>
      <c r="BC1418" s="324" t="s">
        <v>17374</v>
      </c>
      <c r="BD1418" s="324" t="s">
        <v>17373</v>
      </c>
      <c r="BE1418" s="324" t="s">
        <v>17375</v>
      </c>
      <c r="BF1418" s="324" t="s">
        <v>17373</v>
      </c>
      <c r="BG1418" s="324" t="s">
        <v>17376</v>
      </c>
      <c r="BH1418" s="324" t="s">
        <v>17373</v>
      </c>
      <c r="BI1418" s="453">
        <v>1</v>
      </c>
      <c r="BJ1418" s="427" t="s">
        <v>210</v>
      </c>
      <c r="BK1418" s="427" t="s">
        <v>210</v>
      </c>
      <c r="BL1418" s="429" t="s">
        <v>210</v>
      </c>
      <c r="BM1418" s="430" t="s">
        <v>210</v>
      </c>
      <c r="BN1418" s="453" t="s">
        <v>622</v>
      </c>
      <c r="BO1418" s="464">
        <v>1.02</v>
      </c>
      <c r="BP1418" s="455" t="s">
        <v>210</v>
      </c>
      <c r="BQ1418" s="456" t="s">
        <v>17378</v>
      </c>
      <c r="BR1418" s="1315" t="s">
        <v>17377</v>
      </c>
      <c r="BS1418" s="342" t="s">
        <v>622</v>
      </c>
      <c r="BT1418" s="392" t="s">
        <v>210</v>
      </c>
      <c r="BU1418" s="392" t="s">
        <v>210</v>
      </c>
      <c r="BV1418" s="392" t="s">
        <v>210</v>
      </c>
      <c r="BW1418" s="392" t="s">
        <v>210</v>
      </c>
      <c r="BX1418" s="392" t="s">
        <v>210</v>
      </c>
      <c r="BY1418" s="457"/>
      <c r="BZ1418" s="363"/>
      <c r="CA1418" s="363"/>
      <c r="CB1418" s="363"/>
      <c r="CC1418" s="363"/>
    </row>
    <row r="1419" spans="2:82" ht="22.5" customHeight="1">
      <c r="B1419" s="507">
        <v>200022</v>
      </c>
      <c r="C1419" s="366" t="s">
        <v>17247</v>
      </c>
      <c r="D1419" s="1264" t="s">
        <v>17223</v>
      </c>
      <c r="E1419" s="404" t="s">
        <v>5362</v>
      </c>
      <c r="F1419" s="405" t="s">
        <v>17213</v>
      </c>
      <c r="G1419" s="324" t="s">
        <v>17214</v>
      </c>
      <c r="H1419" s="324" t="s">
        <v>17215</v>
      </c>
      <c r="I1419" s="326" t="s">
        <v>11</v>
      </c>
      <c r="J1419" s="326" t="s">
        <v>399</v>
      </c>
      <c r="K1419" s="324" t="s">
        <v>917</v>
      </c>
      <c r="L1419" s="342" t="s">
        <v>210</v>
      </c>
      <c r="M1419" s="324" t="s">
        <v>7457</v>
      </c>
      <c r="N1419" s="444" t="s">
        <v>17771</v>
      </c>
      <c r="O1419" s="324">
        <v>40</v>
      </c>
      <c r="P1419" s="1314">
        <f>Q1419</f>
        <v>6230</v>
      </c>
      <c r="Q1419" s="497">
        <v>6230</v>
      </c>
      <c r="R1419" s="420" t="s">
        <v>17173</v>
      </c>
      <c r="S1419" s="394" t="s">
        <v>17172</v>
      </c>
      <c r="T1419" s="394" t="s">
        <v>17175</v>
      </c>
      <c r="U1419" s="394" t="s">
        <v>17174</v>
      </c>
      <c r="V1419" s="394" t="s">
        <v>17176</v>
      </c>
      <c r="W1419" s="460" t="s">
        <v>6598</v>
      </c>
      <c r="X1419" s="394" t="s">
        <v>12283</v>
      </c>
      <c r="Y1419" s="394" t="s">
        <v>12284</v>
      </c>
      <c r="Z1419" s="394" t="s">
        <v>16320</v>
      </c>
      <c r="AA1419" s="394" t="s">
        <v>17777</v>
      </c>
      <c r="AB1419" s="416" t="s">
        <v>17171</v>
      </c>
      <c r="AC1419" s="416"/>
      <c r="AD1419" s="461"/>
      <c r="AE1419" s="485"/>
      <c r="AF1419" s="475">
        <v>44046</v>
      </c>
      <c r="AG1419" s="389"/>
      <c r="AH1419" s="417" t="s">
        <v>210</v>
      </c>
      <c r="AI1419" s="392" t="s">
        <v>210</v>
      </c>
      <c r="AJ1419" s="392" t="s">
        <v>210</v>
      </c>
      <c r="AK1419" s="340" t="s">
        <v>210</v>
      </c>
      <c r="AL1419" s="392" t="s">
        <v>210</v>
      </c>
      <c r="AM1419" s="392" t="s">
        <v>210</v>
      </c>
      <c r="AN1419" s="392" t="s">
        <v>210</v>
      </c>
      <c r="AO1419" s="392" t="s">
        <v>210</v>
      </c>
      <c r="AP1419" s="392" t="s">
        <v>210</v>
      </c>
      <c r="AQ1419" s="429" t="s">
        <v>4547</v>
      </c>
      <c r="AR1419" s="452">
        <v>7692</v>
      </c>
      <c r="AS1419" s="324">
        <v>100</v>
      </c>
      <c r="AT1419" s="432">
        <v>1</v>
      </c>
      <c r="AU1419" s="432" t="s">
        <v>17773</v>
      </c>
      <c r="AV1419" s="432">
        <v>1.5</v>
      </c>
      <c r="AW1419" s="490" t="s">
        <v>17772</v>
      </c>
      <c r="AX1419" s="453" t="s">
        <v>210</v>
      </c>
      <c r="AY1419" s="429" t="s">
        <v>8601</v>
      </c>
      <c r="AZ1419" s="405" t="s">
        <v>622</v>
      </c>
      <c r="BA1419" s="324" t="s">
        <v>17774</v>
      </c>
      <c r="BB1419" s="490" t="s">
        <v>17772</v>
      </c>
      <c r="BC1419" s="324" t="s">
        <v>17774</v>
      </c>
      <c r="BD1419" s="490" t="s">
        <v>17772</v>
      </c>
      <c r="BE1419" s="324" t="s">
        <v>295</v>
      </c>
      <c r="BF1419" s="324" t="s">
        <v>295</v>
      </c>
      <c r="BG1419" s="324" t="s">
        <v>295</v>
      </c>
      <c r="BH1419" s="324" t="s">
        <v>295</v>
      </c>
      <c r="BI1419" s="453">
        <v>0.6</v>
      </c>
      <c r="BJ1419" s="427">
        <v>1.6</v>
      </c>
      <c r="BK1419" s="490" t="s">
        <v>17772</v>
      </c>
      <c r="BL1419" s="429">
        <v>4.2</v>
      </c>
      <c r="BM1419" s="430" t="s">
        <v>622</v>
      </c>
      <c r="BN1419" s="453" t="s">
        <v>622</v>
      </c>
      <c r="BO1419" s="464">
        <v>3.23</v>
      </c>
      <c r="BP1419" s="455" t="s">
        <v>622</v>
      </c>
      <c r="BQ1419" s="456" t="s">
        <v>17776</v>
      </c>
      <c r="BR1419" s="1315" t="s">
        <v>17775</v>
      </c>
      <c r="BS1419" s="392" t="s">
        <v>210</v>
      </c>
      <c r="BT1419" s="392" t="s">
        <v>210</v>
      </c>
      <c r="BU1419" s="392" t="s">
        <v>210</v>
      </c>
      <c r="BV1419" s="392" t="s">
        <v>210</v>
      </c>
      <c r="BW1419" s="392" t="s">
        <v>210</v>
      </c>
      <c r="BX1419" s="392" t="s">
        <v>210</v>
      </c>
      <c r="BY1419" s="457"/>
      <c r="BZ1419" s="363"/>
      <c r="CA1419" s="363"/>
      <c r="CB1419" s="363"/>
      <c r="CC1419" s="363"/>
    </row>
    <row r="1420" spans="2:82" ht="22.5" customHeight="1">
      <c r="B1420" s="507">
        <v>200023</v>
      </c>
      <c r="C1420" s="366" t="s">
        <v>17031</v>
      </c>
      <c r="D1420" s="1264" t="s">
        <v>17283</v>
      </c>
      <c r="E1420" s="404" t="s">
        <v>15363</v>
      </c>
      <c r="F1420" s="321" t="s">
        <v>265</v>
      </c>
      <c r="G1420" s="326" t="s">
        <v>17032</v>
      </c>
      <c r="H1420" s="324" t="s">
        <v>17033</v>
      </c>
      <c r="I1420" s="326" t="s">
        <v>11</v>
      </c>
      <c r="J1420" s="326" t="s">
        <v>399</v>
      </c>
      <c r="K1420" s="324" t="s">
        <v>17361</v>
      </c>
      <c r="L1420" s="361"/>
      <c r="M1420" s="324" t="s">
        <v>7457</v>
      </c>
      <c r="N1420" s="444" t="s">
        <v>438</v>
      </c>
      <c r="O1420" s="324">
        <v>29</v>
      </c>
      <c r="P1420" s="458">
        <v>458</v>
      </c>
      <c r="Q1420" s="459">
        <v>480</v>
      </c>
      <c r="R1420" s="420" t="s">
        <v>17513</v>
      </c>
      <c r="S1420" s="394" t="s">
        <v>17521</v>
      </c>
      <c r="T1420" s="394" t="s">
        <v>17522</v>
      </c>
      <c r="U1420" s="513"/>
      <c r="V1420" s="394" t="s">
        <v>17523</v>
      </c>
      <c r="W1420" s="460" t="s">
        <v>17091</v>
      </c>
      <c r="X1420" s="394" t="s">
        <v>17092</v>
      </c>
      <c r="Y1420" s="394" t="s">
        <v>17093</v>
      </c>
      <c r="Z1420" s="394" t="s">
        <v>17094</v>
      </c>
      <c r="AA1420" s="394" t="s">
        <v>17234</v>
      </c>
      <c r="AB1420" s="416"/>
      <c r="AC1420" s="416"/>
      <c r="AD1420" s="447" t="s">
        <v>17888</v>
      </c>
      <c r="AE1420" s="499" t="s">
        <v>245</v>
      </c>
      <c r="AF1420" s="475">
        <v>44047</v>
      </c>
      <c r="AG1420" s="389"/>
      <c r="AH1420" s="417" t="s">
        <v>210</v>
      </c>
      <c r="AI1420" s="392" t="s">
        <v>210</v>
      </c>
      <c r="AJ1420" s="392" t="s">
        <v>210</v>
      </c>
      <c r="AK1420" s="340" t="s">
        <v>210</v>
      </c>
      <c r="AL1420" s="392" t="s">
        <v>210</v>
      </c>
      <c r="AM1420" s="392" t="s">
        <v>210</v>
      </c>
      <c r="AN1420" s="392" t="s">
        <v>210</v>
      </c>
      <c r="AO1420" s="392" t="s">
        <v>210</v>
      </c>
      <c r="AP1420" s="496" t="s">
        <v>622</v>
      </c>
      <c r="AQ1420" s="429" t="s">
        <v>4547</v>
      </c>
      <c r="AR1420" s="452">
        <v>540</v>
      </c>
      <c r="AS1420" s="324">
        <v>150</v>
      </c>
      <c r="AT1420" s="432">
        <v>1</v>
      </c>
      <c r="AU1420" s="490" t="s">
        <v>17516</v>
      </c>
      <c r="AV1420" s="432">
        <v>1.5</v>
      </c>
      <c r="AW1420" s="490" t="s">
        <v>17516</v>
      </c>
      <c r="AX1420" s="453" t="s">
        <v>210</v>
      </c>
      <c r="AY1420" s="429" t="s">
        <v>210</v>
      </c>
      <c r="AZ1420" s="405" t="s">
        <v>4083</v>
      </c>
      <c r="BA1420" s="324" t="s">
        <v>210</v>
      </c>
      <c r="BB1420" s="324" t="s">
        <v>210</v>
      </c>
      <c r="BC1420" s="324" t="s">
        <v>17517</v>
      </c>
      <c r="BD1420" s="324" t="s">
        <v>3372</v>
      </c>
      <c r="BE1420" s="324" t="s">
        <v>17518</v>
      </c>
      <c r="BF1420" s="324" t="s">
        <v>17519</v>
      </c>
      <c r="BG1420" s="324" t="s">
        <v>17520</v>
      </c>
      <c r="BH1420" s="324" t="s">
        <v>17519</v>
      </c>
      <c r="BI1420" s="453">
        <v>1</v>
      </c>
      <c r="BJ1420" s="427">
        <v>1.36</v>
      </c>
      <c r="BK1420" s="427" t="s">
        <v>210</v>
      </c>
      <c r="BL1420" s="429" t="s">
        <v>210</v>
      </c>
      <c r="BM1420" s="430" t="s">
        <v>210</v>
      </c>
      <c r="BN1420" s="453" t="s">
        <v>622</v>
      </c>
      <c r="BO1420" s="464">
        <v>2.0699999999999998</v>
      </c>
      <c r="BP1420" s="455" t="s">
        <v>622</v>
      </c>
      <c r="BQ1420" s="456" t="s">
        <v>10350</v>
      </c>
      <c r="BR1420" s="392" t="s">
        <v>210</v>
      </c>
      <c r="BS1420" s="342" t="s">
        <v>622</v>
      </c>
      <c r="BT1420" s="392" t="s">
        <v>210</v>
      </c>
      <c r="BU1420" s="392" t="s">
        <v>210</v>
      </c>
      <c r="BV1420" s="392" t="s">
        <v>210</v>
      </c>
      <c r="BW1420" s="392" t="s">
        <v>210</v>
      </c>
      <c r="BX1420" s="392" t="s">
        <v>210</v>
      </c>
      <c r="BY1420" s="457"/>
      <c r="BZ1420" s="363"/>
      <c r="CA1420" s="363"/>
      <c r="CB1420" s="363"/>
      <c r="CC1420" s="363"/>
    </row>
    <row r="1421" spans="2:82" ht="22.5" customHeight="1">
      <c r="B1421" s="507">
        <v>200024</v>
      </c>
      <c r="C1421" s="443" t="s">
        <v>17248</v>
      </c>
      <c r="D1421" s="467" t="s">
        <v>17282</v>
      </c>
      <c r="E1421" s="404" t="s">
        <v>5363</v>
      </c>
      <c r="F1421" s="405" t="s">
        <v>15437</v>
      </c>
      <c r="G1421" s="324" t="s">
        <v>15438</v>
      </c>
      <c r="H1421" s="324" t="s">
        <v>17466</v>
      </c>
      <c r="I1421" s="326" t="s">
        <v>11</v>
      </c>
      <c r="J1421" s="324" t="s">
        <v>16686</v>
      </c>
      <c r="K1421" s="324" t="s">
        <v>9115</v>
      </c>
      <c r="L1421" s="342" t="s">
        <v>210</v>
      </c>
      <c r="M1421" s="324" t="s">
        <v>9103</v>
      </c>
      <c r="N1421" s="444" t="s">
        <v>438</v>
      </c>
      <c r="O1421" s="324">
        <v>30</v>
      </c>
      <c r="P1421" s="495"/>
      <c r="Q1421" s="446">
        <v>4300</v>
      </c>
      <c r="R1421" s="329" t="s">
        <v>15835</v>
      </c>
      <c r="S1421" s="394" t="s">
        <v>17467</v>
      </c>
      <c r="T1421" s="394" t="s">
        <v>11483</v>
      </c>
      <c r="U1421" s="394" t="s">
        <v>17468</v>
      </c>
      <c r="V1421" s="394" t="s">
        <v>11484</v>
      </c>
      <c r="W1421" s="460" t="s">
        <v>9523</v>
      </c>
      <c r="X1421" s="394" t="s">
        <v>15468</v>
      </c>
      <c r="Y1421" s="394" t="s">
        <v>15467</v>
      </c>
      <c r="Z1421" s="332" t="s">
        <v>16366</v>
      </c>
      <c r="AA1421" s="394" t="s">
        <v>11389</v>
      </c>
      <c r="AB1421" s="416"/>
      <c r="AC1421" s="416"/>
      <c r="AD1421" s="461"/>
      <c r="AE1421" s="485"/>
      <c r="AF1421" s="475">
        <v>44048</v>
      </c>
      <c r="AG1421" s="389"/>
      <c r="AH1421" s="417" t="s">
        <v>210</v>
      </c>
      <c r="AI1421" s="392" t="s">
        <v>210</v>
      </c>
      <c r="AJ1421" s="392" t="s">
        <v>210</v>
      </c>
      <c r="AK1421" s="340" t="s">
        <v>210</v>
      </c>
      <c r="AL1421" s="392" t="s">
        <v>210</v>
      </c>
      <c r="AM1421" s="392" t="s">
        <v>210</v>
      </c>
      <c r="AN1421" s="392" t="s">
        <v>210</v>
      </c>
      <c r="AO1421" s="392" t="s">
        <v>210</v>
      </c>
      <c r="AP1421" s="496" t="s">
        <v>622</v>
      </c>
      <c r="AQ1421" s="429" t="s">
        <v>4547</v>
      </c>
      <c r="AR1421" s="452">
        <v>4860</v>
      </c>
      <c r="AS1421" s="324">
        <v>150</v>
      </c>
      <c r="AT1421" s="432">
        <v>1</v>
      </c>
      <c r="AU1421" s="432" t="s">
        <v>17469</v>
      </c>
      <c r="AV1421" s="432">
        <v>1.5</v>
      </c>
      <c r="AW1421" s="490" t="s">
        <v>17469</v>
      </c>
      <c r="AX1421" s="453" t="s">
        <v>210</v>
      </c>
      <c r="AY1421" s="429" t="s">
        <v>210</v>
      </c>
      <c r="AZ1421" s="405" t="s">
        <v>4083</v>
      </c>
      <c r="BA1421" s="324" t="s">
        <v>210</v>
      </c>
      <c r="BB1421" s="324" t="s">
        <v>210</v>
      </c>
      <c r="BC1421" s="324" t="s">
        <v>17470</v>
      </c>
      <c r="BD1421" s="324" t="s">
        <v>17471</v>
      </c>
      <c r="BE1421" s="324" t="s">
        <v>17472</v>
      </c>
      <c r="BF1421" s="324" t="s">
        <v>17473</v>
      </c>
      <c r="BG1421" s="324" t="s">
        <v>17470</v>
      </c>
      <c r="BH1421" s="426" t="s">
        <v>17474</v>
      </c>
      <c r="BI1421" s="453">
        <v>4</v>
      </c>
      <c r="BJ1421" s="427">
        <v>1.3</v>
      </c>
      <c r="BK1421" s="428" t="s">
        <v>3492</v>
      </c>
      <c r="BL1421" s="429">
        <v>1.1499999999999999</v>
      </c>
      <c r="BM1421" s="430" t="s">
        <v>210</v>
      </c>
      <c r="BN1421" s="453" t="s">
        <v>622</v>
      </c>
      <c r="BO1421" s="464">
        <v>1.7</v>
      </c>
      <c r="BP1421" s="455" t="s">
        <v>622</v>
      </c>
      <c r="BQ1421" s="360"/>
      <c r="BR1421" s="392" t="s">
        <v>210</v>
      </c>
      <c r="BS1421" s="342" t="s">
        <v>622</v>
      </c>
      <c r="BT1421" s="392" t="s">
        <v>210</v>
      </c>
      <c r="BU1421" s="392" t="s">
        <v>210</v>
      </c>
      <c r="BV1421" s="392" t="s">
        <v>210</v>
      </c>
      <c r="BW1421" s="392" t="s">
        <v>210</v>
      </c>
      <c r="BX1421" s="392" t="s">
        <v>210</v>
      </c>
      <c r="BY1421" s="457"/>
      <c r="BZ1421" s="363"/>
      <c r="CA1421" s="363"/>
      <c r="CB1421" s="363"/>
      <c r="CC1421" s="363"/>
    </row>
    <row r="1422" spans="2:82" ht="22.5" customHeight="1">
      <c r="B1422" s="507">
        <v>200025</v>
      </c>
      <c r="C1422" s="494" t="s">
        <v>16876</v>
      </c>
      <c r="D1422" s="467" t="s">
        <v>17281</v>
      </c>
      <c r="E1422" s="404" t="s">
        <v>5362</v>
      </c>
      <c r="F1422" s="405" t="s">
        <v>227</v>
      </c>
      <c r="G1422" s="324" t="s">
        <v>17284</v>
      </c>
      <c r="H1422" s="324" t="s">
        <v>17285</v>
      </c>
      <c r="I1422" s="326" t="s">
        <v>11</v>
      </c>
      <c r="J1422" s="326" t="s">
        <v>399</v>
      </c>
      <c r="K1422" s="324" t="s">
        <v>247</v>
      </c>
      <c r="L1422" s="342">
        <v>10</v>
      </c>
      <c r="M1422" s="324" t="s">
        <v>7457</v>
      </c>
      <c r="N1422" s="444" t="s">
        <v>438</v>
      </c>
      <c r="O1422" s="324">
        <v>30</v>
      </c>
      <c r="P1422" s="458">
        <v>540</v>
      </c>
      <c r="Q1422" s="459">
        <v>548</v>
      </c>
      <c r="R1422" s="420" t="s">
        <v>17273</v>
      </c>
      <c r="S1422" s="394" t="s">
        <v>17274</v>
      </c>
      <c r="T1422" s="394" t="s">
        <v>17276</v>
      </c>
      <c r="U1422" s="394" t="s">
        <v>17275</v>
      </c>
      <c r="V1422" s="394" t="s">
        <v>17277</v>
      </c>
      <c r="W1422" s="332" t="s">
        <v>644</v>
      </c>
      <c r="X1422" s="394" t="s">
        <v>12756</v>
      </c>
      <c r="Y1422" s="394" t="s">
        <v>11525</v>
      </c>
      <c r="Z1422" s="394" t="s">
        <v>12758</v>
      </c>
      <c r="AA1422" s="394" t="s">
        <v>12759</v>
      </c>
      <c r="AB1422" s="416"/>
      <c r="AC1422" s="416"/>
      <c r="AD1422" s="447" t="s">
        <v>17629</v>
      </c>
      <c r="AE1422" s="499" t="s">
        <v>1720</v>
      </c>
      <c r="AF1422" s="475">
        <v>44050</v>
      </c>
      <c r="AG1422" s="748">
        <v>44081</v>
      </c>
      <c r="AH1422" s="417" t="s">
        <v>210</v>
      </c>
      <c r="AI1422" s="392" t="s">
        <v>210</v>
      </c>
      <c r="AJ1422" s="392" t="s">
        <v>210</v>
      </c>
      <c r="AK1422" s="340" t="s">
        <v>210</v>
      </c>
      <c r="AL1422" s="392" t="s">
        <v>210</v>
      </c>
      <c r="AM1422" s="392" t="s">
        <v>210</v>
      </c>
      <c r="AN1422" s="392" t="s">
        <v>210</v>
      </c>
      <c r="AO1422" s="392" t="s">
        <v>210</v>
      </c>
      <c r="AP1422" s="392" t="s">
        <v>210</v>
      </c>
      <c r="AQ1422" s="429" t="s">
        <v>4547</v>
      </c>
      <c r="AR1422" s="452">
        <v>648</v>
      </c>
      <c r="AS1422" s="324">
        <v>120</v>
      </c>
      <c r="AT1422" s="432">
        <v>1</v>
      </c>
      <c r="AU1422" s="432" t="s">
        <v>17320</v>
      </c>
      <c r="AV1422" s="432">
        <v>1.8</v>
      </c>
      <c r="AW1422" s="490" t="s">
        <v>17321</v>
      </c>
      <c r="AX1422" s="453" t="s">
        <v>210</v>
      </c>
      <c r="AY1422" s="429" t="s">
        <v>210</v>
      </c>
      <c r="AZ1422" s="405" t="s">
        <v>4083</v>
      </c>
      <c r="BA1422" s="324" t="s">
        <v>210</v>
      </c>
      <c r="BB1422" s="324" t="s">
        <v>210</v>
      </c>
      <c r="BC1422" s="324" t="s">
        <v>17322</v>
      </c>
      <c r="BD1422" s="324" t="s">
        <v>17323</v>
      </c>
      <c r="BE1422" s="324" t="s">
        <v>210</v>
      </c>
      <c r="BF1422" s="324" t="s">
        <v>210</v>
      </c>
      <c r="BG1422" s="324" t="s">
        <v>210</v>
      </c>
      <c r="BH1422" s="324" t="s">
        <v>210</v>
      </c>
      <c r="BI1422" s="453">
        <v>0.55000000000000004</v>
      </c>
      <c r="BJ1422" s="427">
        <v>2.75</v>
      </c>
      <c r="BK1422" s="428" t="s">
        <v>17321</v>
      </c>
      <c r="BL1422" s="429">
        <v>0.9</v>
      </c>
      <c r="BM1422" s="430" t="s">
        <v>210</v>
      </c>
      <c r="BN1422" s="453" t="s">
        <v>622</v>
      </c>
      <c r="BO1422" s="464">
        <v>1.1100000000000001</v>
      </c>
      <c r="BP1422" s="455" t="s">
        <v>622</v>
      </c>
      <c r="BQ1422" s="456" t="s">
        <v>10350</v>
      </c>
      <c r="BR1422" s="1315" t="s">
        <v>17324</v>
      </c>
      <c r="BS1422" s="342" t="s">
        <v>622</v>
      </c>
      <c r="BT1422" s="392" t="s">
        <v>210</v>
      </c>
      <c r="BU1422" s="392" t="s">
        <v>210</v>
      </c>
      <c r="BV1422" s="392" t="s">
        <v>210</v>
      </c>
      <c r="BW1422" s="392" t="s">
        <v>210</v>
      </c>
      <c r="BX1422" s="392" t="s">
        <v>210</v>
      </c>
      <c r="BY1422" s="457"/>
      <c r="BZ1422" s="363"/>
      <c r="CA1422" s="363"/>
      <c r="CB1422" s="363"/>
      <c r="CC1422" s="363"/>
    </row>
    <row r="1423" spans="2:82" ht="22.5" customHeight="1">
      <c r="B1423" s="507">
        <v>200026</v>
      </c>
      <c r="C1423" s="366" t="s">
        <v>17286</v>
      </c>
      <c r="D1423" s="1264" t="s">
        <v>17328</v>
      </c>
      <c r="E1423" s="404" t="s">
        <v>5362</v>
      </c>
      <c r="F1423" s="321" t="s">
        <v>17291</v>
      </c>
      <c r="G1423" s="326" t="s">
        <v>17292</v>
      </c>
      <c r="H1423" s="324" t="s">
        <v>17293</v>
      </c>
      <c r="I1423" s="326" t="s">
        <v>11</v>
      </c>
      <c r="J1423" s="326" t="s">
        <v>399</v>
      </c>
      <c r="K1423" s="324" t="s">
        <v>17256</v>
      </c>
      <c r="L1423" s="342">
        <v>10</v>
      </c>
      <c r="M1423" s="324" t="s">
        <v>7457</v>
      </c>
      <c r="N1423" s="444" t="s">
        <v>17481</v>
      </c>
      <c r="O1423" s="324">
        <v>36</v>
      </c>
      <c r="P1423" s="458">
        <v>616</v>
      </c>
      <c r="Q1423" s="459">
        <v>601</v>
      </c>
      <c r="R1423" s="332" t="s">
        <v>17287</v>
      </c>
      <c r="S1423" s="513"/>
      <c r="T1423" s="513"/>
      <c r="U1423" s="513"/>
      <c r="V1423" s="1277"/>
      <c r="W1423" s="332" t="s">
        <v>17287</v>
      </c>
      <c r="X1423" s="394" t="s">
        <v>17290</v>
      </c>
      <c r="Y1423" s="394" t="s">
        <v>17294</v>
      </c>
      <c r="Z1423" s="394" t="s">
        <v>17295</v>
      </c>
      <c r="AA1423" s="394" t="s">
        <v>17296</v>
      </c>
      <c r="AB1423" s="416"/>
      <c r="AC1423" s="416"/>
      <c r="AD1423" s="461"/>
      <c r="AE1423" s="485"/>
      <c r="AF1423" s="475">
        <v>44055</v>
      </c>
      <c r="AG1423" s="389"/>
      <c r="AH1423" s="417" t="s">
        <v>210</v>
      </c>
      <c r="AI1423" s="392" t="s">
        <v>210</v>
      </c>
      <c r="AJ1423" s="392" t="s">
        <v>210</v>
      </c>
      <c r="AK1423" s="340" t="s">
        <v>210</v>
      </c>
      <c r="AL1423" s="392" t="s">
        <v>210</v>
      </c>
      <c r="AM1423" s="392" t="s">
        <v>210</v>
      </c>
      <c r="AN1423" s="392" t="s">
        <v>210</v>
      </c>
      <c r="AO1423" s="392" t="s">
        <v>210</v>
      </c>
      <c r="AP1423" s="496" t="s">
        <v>622</v>
      </c>
      <c r="AQ1423" s="429" t="s">
        <v>4547</v>
      </c>
      <c r="AR1423" s="452">
        <v>462</v>
      </c>
      <c r="AS1423" s="324">
        <v>80</v>
      </c>
      <c r="AT1423" s="432">
        <v>1</v>
      </c>
      <c r="AU1423" s="432" t="s">
        <v>17482</v>
      </c>
      <c r="AV1423" s="432">
        <v>1.5</v>
      </c>
      <c r="AW1423" s="432" t="s">
        <v>17482</v>
      </c>
      <c r="AX1423" s="453" t="s">
        <v>210</v>
      </c>
      <c r="AY1423" s="429" t="s">
        <v>8601</v>
      </c>
      <c r="AZ1423" s="405" t="s">
        <v>4083</v>
      </c>
      <c r="BA1423" s="324" t="s">
        <v>210</v>
      </c>
      <c r="BB1423" s="324" t="s">
        <v>210</v>
      </c>
      <c r="BC1423" s="324" t="s">
        <v>17374</v>
      </c>
      <c r="BD1423" s="432" t="s">
        <v>17482</v>
      </c>
      <c r="BE1423" s="324" t="s">
        <v>17483</v>
      </c>
      <c r="BF1423" s="324" t="s">
        <v>17484</v>
      </c>
      <c r="BG1423" s="324" t="s">
        <v>17485</v>
      </c>
      <c r="BH1423" s="426" t="s">
        <v>17486</v>
      </c>
      <c r="BI1423" s="453">
        <v>0.7</v>
      </c>
      <c r="BJ1423" s="427" t="s">
        <v>210</v>
      </c>
      <c r="BK1423" s="427" t="s">
        <v>210</v>
      </c>
      <c r="BL1423" s="429" t="s">
        <v>210</v>
      </c>
      <c r="BM1423" s="430" t="s">
        <v>210</v>
      </c>
      <c r="BN1423" s="453" t="s">
        <v>622</v>
      </c>
      <c r="BO1423" s="464">
        <v>1.5</v>
      </c>
      <c r="BP1423" s="455" t="s">
        <v>210</v>
      </c>
      <c r="BQ1423" s="456" t="s">
        <v>247</v>
      </c>
      <c r="BR1423" s="392" t="s">
        <v>210</v>
      </c>
      <c r="BS1423" s="392" t="s">
        <v>210</v>
      </c>
      <c r="BT1423" s="392" t="s">
        <v>210</v>
      </c>
      <c r="BU1423" s="392" t="s">
        <v>210</v>
      </c>
      <c r="BV1423" s="392" t="s">
        <v>210</v>
      </c>
      <c r="BW1423" s="392" t="s">
        <v>210</v>
      </c>
      <c r="BX1423" s="392" t="s">
        <v>210</v>
      </c>
      <c r="BY1423" s="457"/>
      <c r="BZ1423" s="363"/>
      <c r="CA1423" s="363"/>
      <c r="CB1423" s="363"/>
      <c r="CC1423" s="363"/>
    </row>
    <row r="1424" spans="2:82" ht="22.5" customHeight="1">
      <c r="B1424" s="507">
        <v>200027</v>
      </c>
      <c r="C1424" s="366" t="s">
        <v>17326</v>
      </c>
      <c r="D1424" s="419" t="s">
        <v>17329</v>
      </c>
      <c r="E1424" s="404" t="s">
        <v>5362</v>
      </c>
      <c r="F1424" s="321" t="s">
        <v>17311</v>
      </c>
      <c r="G1424" s="326" t="s">
        <v>17312</v>
      </c>
      <c r="H1424" s="324" t="s">
        <v>17313</v>
      </c>
      <c r="I1424" s="326" t="s">
        <v>11</v>
      </c>
      <c r="J1424" s="326" t="s">
        <v>399</v>
      </c>
      <c r="K1424" s="324" t="s">
        <v>17363</v>
      </c>
      <c r="L1424" s="342" t="s">
        <v>17526</v>
      </c>
      <c r="M1424" s="324" t="s">
        <v>7457</v>
      </c>
      <c r="N1424" s="444" t="s">
        <v>17527</v>
      </c>
      <c r="O1424" s="324">
        <v>30</v>
      </c>
      <c r="P1424" s="1314">
        <v>670</v>
      </c>
      <c r="Q1424" s="446">
        <f>P1424</f>
        <v>670</v>
      </c>
      <c r="R1424" s="420" t="s">
        <v>17389</v>
      </c>
      <c r="S1424" s="394" t="s">
        <v>17390</v>
      </c>
      <c r="T1424" s="513"/>
      <c r="U1424" s="513"/>
      <c r="V1424" s="1277"/>
      <c r="W1424" s="332" t="s">
        <v>17315</v>
      </c>
      <c r="X1424" s="394" t="s">
        <v>17314</v>
      </c>
      <c r="Y1424" s="394" t="s">
        <v>17318</v>
      </c>
      <c r="Z1424" s="513"/>
      <c r="AA1424" s="394" t="s">
        <v>17319</v>
      </c>
      <c r="AB1424" s="416" t="s">
        <v>17386</v>
      </c>
      <c r="AC1424" s="416"/>
      <c r="AD1424" s="461"/>
      <c r="AE1424" s="499" t="s">
        <v>210</v>
      </c>
      <c r="AF1424" s="475">
        <v>44056</v>
      </c>
      <c r="AG1424" s="748">
        <v>44120</v>
      </c>
      <c r="AH1424" s="417" t="s">
        <v>210</v>
      </c>
      <c r="AI1424" s="392" t="s">
        <v>210</v>
      </c>
      <c r="AJ1424" s="392" t="s">
        <v>210</v>
      </c>
      <c r="AK1424" s="340" t="s">
        <v>210</v>
      </c>
      <c r="AL1424" s="392" t="s">
        <v>210</v>
      </c>
      <c r="AM1424" s="392" t="s">
        <v>210</v>
      </c>
      <c r="AN1424" s="392" t="s">
        <v>210</v>
      </c>
      <c r="AO1424" s="392" t="s">
        <v>210</v>
      </c>
      <c r="AP1424" s="496" t="s">
        <v>622</v>
      </c>
      <c r="AQ1424" s="429" t="s">
        <v>4547</v>
      </c>
      <c r="AR1424" s="452">
        <f>782+96</f>
        <v>878</v>
      </c>
      <c r="AS1424" s="324">
        <v>100</v>
      </c>
      <c r="AT1424" s="432">
        <v>1</v>
      </c>
      <c r="AU1424" s="432" t="s">
        <v>17528</v>
      </c>
      <c r="AV1424" s="432">
        <v>1.5</v>
      </c>
      <c r="AW1424" s="432" t="s">
        <v>17528</v>
      </c>
      <c r="AX1424" s="453" t="s">
        <v>210</v>
      </c>
      <c r="AY1424" s="429" t="s">
        <v>210</v>
      </c>
      <c r="AZ1424" s="405" t="s">
        <v>4083</v>
      </c>
      <c r="BA1424" s="324" t="s">
        <v>210</v>
      </c>
      <c r="BB1424" s="324" t="s">
        <v>210</v>
      </c>
      <c r="BC1424" s="324" t="s">
        <v>17529</v>
      </c>
      <c r="BD1424" s="324" t="s">
        <v>17530</v>
      </c>
      <c r="BE1424" s="324" t="s">
        <v>210</v>
      </c>
      <c r="BF1424" s="324" t="s">
        <v>210</v>
      </c>
      <c r="BG1424" s="324" t="s">
        <v>17531</v>
      </c>
      <c r="BH1424" s="426" t="s">
        <v>17532</v>
      </c>
      <c r="BI1424" s="453">
        <v>0.9</v>
      </c>
      <c r="BJ1424" s="427">
        <v>4</v>
      </c>
      <c r="BK1424" s="428" t="s">
        <v>3492</v>
      </c>
      <c r="BL1424" s="429">
        <v>2.8</v>
      </c>
      <c r="BM1424" s="430" t="s">
        <v>210</v>
      </c>
      <c r="BN1424" s="453" t="s">
        <v>622</v>
      </c>
      <c r="BO1424" s="464">
        <v>1.3</v>
      </c>
      <c r="BP1424" s="492"/>
      <c r="BQ1424" s="456" t="s">
        <v>17533</v>
      </c>
      <c r="BR1424" s="1315" t="s">
        <v>17534</v>
      </c>
      <c r="BS1424" s="342" t="s">
        <v>622</v>
      </c>
      <c r="BT1424" s="392" t="s">
        <v>210</v>
      </c>
      <c r="BU1424" s="392" t="s">
        <v>210</v>
      </c>
      <c r="BV1424" s="392" t="s">
        <v>210</v>
      </c>
      <c r="BW1424" s="392" t="s">
        <v>210</v>
      </c>
      <c r="BX1424" s="392" t="s">
        <v>210</v>
      </c>
      <c r="BY1424" s="457"/>
      <c r="BZ1424" s="363"/>
      <c r="CA1424" s="363"/>
      <c r="CB1424" s="363"/>
      <c r="CC1424" s="363"/>
    </row>
    <row r="1425" spans="2:81" ht="22.5" customHeight="1">
      <c r="B1425" s="507">
        <v>200028</v>
      </c>
      <c r="C1425" s="443" t="s">
        <v>17061</v>
      </c>
      <c r="D1425" s="419" t="s">
        <v>17330</v>
      </c>
      <c r="E1425" s="368" t="s">
        <v>17062</v>
      </c>
      <c r="F1425" s="377" t="s">
        <v>17075</v>
      </c>
      <c r="G1425" s="326" t="s">
        <v>17076</v>
      </c>
      <c r="H1425" s="324" t="s">
        <v>17077</v>
      </c>
      <c r="I1425" s="326" t="s">
        <v>11</v>
      </c>
      <c r="J1425" s="324" t="s">
        <v>16686</v>
      </c>
      <c r="K1425" s="324" t="s">
        <v>17362</v>
      </c>
      <c r="L1425" s="342">
        <v>4</v>
      </c>
      <c r="M1425" s="324" t="s">
        <v>7457</v>
      </c>
      <c r="N1425" s="444" t="s">
        <v>17542</v>
      </c>
      <c r="O1425" s="324">
        <v>140</v>
      </c>
      <c r="P1425" s="445">
        <f>Q1425+800</f>
        <v>2400</v>
      </c>
      <c r="Q1425" s="446">
        <v>1600</v>
      </c>
      <c r="R1425" s="420" t="s">
        <v>17072</v>
      </c>
      <c r="S1425" s="394" t="s">
        <v>17069</v>
      </c>
      <c r="T1425" s="394" t="s">
        <v>17070</v>
      </c>
      <c r="U1425" s="394" t="s">
        <v>17581</v>
      </c>
      <c r="V1425" s="394" t="s">
        <v>17071</v>
      </c>
      <c r="W1425" s="460" t="s">
        <v>17066</v>
      </c>
      <c r="X1425" s="394" t="s">
        <v>17064</v>
      </c>
      <c r="Y1425" s="394" t="s">
        <v>17063</v>
      </c>
      <c r="Z1425" s="513"/>
      <c r="AA1425" s="394" t="s">
        <v>17065</v>
      </c>
      <c r="AB1425" s="416"/>
      <c r="AC1425" s="416"/>
      <c r="AD1425" s="498" t="s">
        <v>1591</v>
      </c>
      <c r="AE1425" s="499" t="s">
        <v>210</v>
      </c>
      <c r="AF1425" s="475">
        <v>44056</v>
      </c>
      <c r="AG1425" s="748">
        <v>44113</v>
      </c>
      <c r="AH1425" s="417" t="s">
        <v>210</v>
      </c>
      <c r="AI1425" s="392" t="s">
        <v>210</v>
      </c>
      <c r="AJ1425" s="392" t="s">
        <v>210</v>
      </c>
      <c r="AK1425" s="340" t="s">
        <v>210</v>
      </c>
      <c r="AL1425" s="392" t="s">
        <v>210</v>
      </c>
      <c r="AM1425" s="392" t="s">
        <v>210</v>
      </c>
      <c r="AN1425" s="487" t="s">
        <v>17360</v>
      </c>
      <c r="AO1425" s="392" t="s">
        <v>210</v>
      </c>
      <c r="AP1425" s="392" t="s">
        <v>210</v>
      </c>
      <c r="AQ1425" s="429" t="s">
        <v>4547</v>
      </c>
      <c r="AR1425" s="452">
        <f>1973+102</f>
        <v>2075</v>
      </c>
      <c r="AS1425" s="324">
        <v>150</v>
      </c>
      <c r="AT1425" s="432">
        <v>1</v>
      </c>
      <c r="AU1425" s="432" t="s">
        <v>17543</v>
      </c>
      <c r="AV1425" s="432">
        <v>2</v>
      </c>
      <c r="AW1425" s="490" t="s">
        <v>17544</v>
      </c>
      <c r="AX1425" s="453" t="s">
        <v>210</v>
      </c>
      <c r="AY1425" s="429" t="s">
        <v>210</v>
      </c>
      <c r="AZ1425" s="405" t="s">
        <v>4083</v>
      </c>
      <c r="BA1425" s="324" t="s">
        <v>210</v>
      </c>
      <c r="BB1425" s="324" t="s">
        <v>210</v>
      </c>
      <c r="BC1425" s="324" t="s">
        <v>17545</v>
      </c>
      <c r="BD1425" s="324" t="s">
        <v>17546</v>
      </c>
      <c r="BE1425" s="324" t="s">
        <v>17547</v>
      </c>
      <c r="BF1425" s="324" t="s">
        <v>3845</v>
      </c>
      <c r="BG1425" s="324" t="s">
        <v>17548</v>
      </c>
      <c r="BH1425" s="426" t="s">
        <v>3898</v>
      </c>
      <c r="BI1425" s="453">
        <v>0.5</v>
      </c>
      <c r="BJ1425" s="427">
        <v>1.2</v>
      </c>
      <c r="BK1425" s="428" t="s">
        <v>17549</v>
      </c>
      <c r="BL1425" s="429">
        <v>2.1</v>
      </c>
      <c r="BM1425" s="430" t="s">
        <v>17551</v>
      </c>
      <c r="BN1425" s="453" t="s">
        <v>622</v>
      </c>
      <c r="BO1425" s="464">
        <v>1.1299999999999999</v>
      </c>
      <c r="BP1425" s="455" t="s">
        <v>622</v>
      </c>
      <c r="BQ1425" s="456" t="s">
        <v>10350</v>
      </c>
      <c r="BR1425" s="1315" t="s">
        <v>17550</v>
      </c>
      <c r="BS1425" s="342" t="s">
        <v>622</v>
      </c>
      <c r="BT1425" s="392" t="s">
        <v>210</v>
      </c>
      <c r="BU1425" s="392" t="s">
        <v>210</v>
      </c>
      <c r="BV1425" s="392" t="s">
        <v>210</v>
      </c>
      <c r="BW1425" s="392" t="s">
        <v>210</v>
      </c>
      <c r="BX1425" s="392" t="s">
        <v>210</v>
      </c>
      <c r="BY1425" s="457"/>
      <c r="BZ1425" s="363"/>
      <c r="CA1425" s="363"/>
      <c r="CB1425" s="363"/>
      <c r="CC1425" s="363"/>
    </row>
    <row r="1426" spans="2:81" ht="22.5" customHeight="1">
      <c r="B1426" s="507">
        <v>200029</v>
      </c>
      <c r="C1426" s="443" t="s">
        <v>17505</v>
      </c>
      <c r="D1426" s="1264" t="s">
        <v>17498</v>
      </c>
      <c r="E1426" s="368" t="s">
        <v>16958</v>
      </c>
      <c r="F1426" s="405" t="s">
        <v>17345</v>
      </c>
      <c r="G1426" s="326" t="s">
        <v>17272</v>
      </c>
      <c r="H1426" s="324" t="s">
        <v>17352</v>
      </c>
      <c r="I1426" s="326" t="s">
        <v>11</v>
      </c>
      <c r="J1426" s="324" t="s">
        <v>16686</v>
      </c>
      <c r="K1426" s="324" t="s">
        <v>17351</v>
      </c>
      <c r="L1426" s="342">
        <v>40</v>
      </c>
      <c r="M1426" s="324" t="s">
        <v>7457</v>
      </c>
      <c r="N1426" s="444" t="s">
        <v>17758</v>
      </c>
      <c r="O1426" s="324">
        <v>200</v>
      </c>
      <c r="P1426" s="445">
        <v>2850</v>
      </c>
      <c r="Q1426" s="446">
        <v>2800</v>
      </c>
      <c r="R1426" s="420" t="s">
        <v>16959</v>
      </c>
      <c r="S1426" s="394" t="s">
        <v>17729</v>
      </c>
      <c r="T1426" s="394" t="s">
        <v>17730</v>
      </c>
      <c r="U1426" s="513"/>
      <c r="V1426" s="394" t="s">
        <v>17731</v>
      </c>
      <c r="W1426" s="332" t="s">
        <v>13955</v>
      </c>
      <c r="X1426" s="394" t="s">
        <v>13956</v>
      </c>
      <c r="Y1426" s="394" t="s">
        <v>13957</v>
      </c>
      <c r="Z1426" s="394" t="s">
        <v>13958</v>
      </c>
      <c r="AA1426" s="394" t="s">
        <v>13959</v>
      </c>
      <c r="AB1426" s="416"/>
      <c r="AC1426" s="416"/>
      <c r="AD1426" s="447" t="s">
        <v>18071</v>
      </c>
      <c r="AE1426" s="499" t="s">
        <v>17858</v>
      </c>
      <c r="AF1426" s="475">
        <v>44060</v>
      </c>
      <c r="AG1426" s="389"/>
      <c r="AH1426" s="417" t="s">
        <v>210</v>
      </c>
      <c r="AI1426" s="392" t="s">
        <v>210</v>
      </c>
      <c r="AJ1426" s="392" t="s">
        <v>210</v>
      </c>
      <c r="AK1426" s="340" t="s">
        <v>210</v>
      </c>
      <c r="AL1426" s="392" t="s">
        <v>210</v>
      </c>
      <c r="AM1426" s="392" t="s">
        <v>210</v>
      </c>
      <c r="AN1426" s="487" t="s">
        <v>18097</v>
      </c>
      <c r="AO1426" s="392" t="s">
        <v>210</v>
      </c>
      <c r="AP1426" s="496" t="s">
        <v>622</v>
      </c>
      <c r="AQ1426" s="429" t="s">
        <v>4547</v>
      </c>
      <c r="AR1426" s="452">
        <v>4248</v>
      </c>
      <c r="AS1426" s="324">
        <v>150</v>
      </c>
      <c r="AT1426" s="432">
        <v>1</v>
      </c>
      <c r="AU1426" s="432" t="s">
        <v>17759</v>
      </c>
      <c r="AV1426" s="432">
        <v>1.5</v>
      </c>
      <c r="AW1426" s="490" t="s">
        <v>17760</v>
      </c>
      <c r="AX1426" s="453" t="s">
        <v>210</v>
      </c>
      <c r="AY1426" s="429" t="s">
        <v>210</v>
      </c>
      <c r="AZ1426" s="405" t="s">
        <v>622</v>
      </c>
      <c r="BA1426" s="324" t="s">
        <v>17761</v>
      </c>
      <c r="BB1426" s="324" t="s">
        <v>3382</v>
      </c>
      <c r="BC1426" s="324" t="s">
        <v>17762</v>
      </c>
      <c r="BD1426" s="324" t="s">
        <v>3382</v>
      </c>
      <c r="BE1426" s="324" t="s">
        <v>17763</v>
      </c>
      <c r="BF1426" s="324" t="s">
        <v>3382</v>
      </c>
      <c r="BG1426" s="324" t="s">
        <v>17764</v>
      </c>
      <c r="BH1426" s="426" t="s">
        <v>17765</v>
      </c>
      <c r="BI1426" s="453">
        <v>0.5</v>
      </c>
      <c r="BJ1426" s="427">
        <v>1.35</v>
      </c>
      <c r="BK1426" s="428" t="s">
        <v>17766</v>
      </c>
      <c r="BL1426" s="429">
        <v>4.5</v>
      </c>
      <c r="BM1426" s="430" t="s">
        <v>622</v>
      </c>
      <c r="BN1426" s="453" t="s">
        <v>622</v>
      </c>
      <c r="BO1426" s="464">
        <v>1.74</v>
      </c>
      <c r="BP1426" s="455" t="s">
        <v>622</v>
      </c>
      <c r="BQ1426" s="456" t="s">
        <v>10350</v>
      </c>
      <c r="BR1426" s="1315" t="s">
        <v>17767</v>
      </c>
      <c r="BS1426" s="342" t="s">
        <v>622</v>
      </c>
      <c r="BT1426" s="392" t="s">
        <v>210</v>
      </c>
      <c r="BU1426" s="392" t="s">
        <v>210</v>
      </c>
      <c r="BV1426" s="392" t="s">
        <v>210</v>
      </c>
      <c r="BW1426" s="392" t="s">
        <v>210</v>
      </c>
      <c r="BX1426" s="392" t="s">
        <v>15130</v>
      </c>
      <c r="BY1426" s="457" t="s">
        <v>17768</v>
      </c>
      <c r="BZ1426" s="363"/>
      <c r="CA1426" s="363"/>
      <c r="CB1426" s="363"/>
      <c r="CC1426" s="363"/>
    </row>
    <row r="1427" spans="2:81" ht="22.5" customHeight="1">
      <c r="B1427" s="507">
        <v>200030</v>
      </c>
      <c r="C1427" s="366" t="s">
        <v>17503</v>
      </c>
      <c r="D1427" s="1264" t="s">
        <v>8941</v>
      </c>
      <c r="E1427" s="368" t="s">
        <v>17062</v>
      </c>
      <c r="F1427" s="377" t="s">
        <v>1043</v>
      </c>
      <c r="G1427" s="326" t="s">
        <v>17407</v>
      </c>
      <c r="H1427" s="324" t="s">
        <v>17408</v>
      </c>
      <c r="I1427" s="326" t="s">
        <v>11</v>
      </c>
      <c r="J1427" s="326" t="s">
        <v>399</v>
      </c>
      <c r="K1427" s="324" t="s">
        <v>17409</v>
      </c>
      <c r="L1427" s="342">
        <v>7.2</v>
      </c>
      <c r="M1427" s="324" t="s">
        <v>7457</v>
      </c>
      <c r="N1427" s="444" t="s">
        <v>17875</v>
      </c>
      <c r="O1427" s="324">
        <v>160</v>
      </c>
      <c r="P1427" s="458">
        <v>810</v>
      </c>
      <c r="Q1427" s="459">
        <v>810</v>
      </c>
      <c r="R1427" s="420" t="s">
        <v>17414</v>
      </c>
      <c r="S1427" s="394" t="s">
        <v>17411</v>
      </c>
      <c r="T1427" s="394" t="s">
        <v>17412</v>
      </c>
      <c r="U1427" s="513"/>
      <c r="V1427" s="332" t="s">
        <v>17413</v>
      </c>
      <c r="W1427" s="332" t="s">
        <v>17410</v>
      </c>
      <c r="X1427" s="513"/>
      <c r="Y1427" s="513"/>
      <c r="Z1427" s="513"/>
      <c r="AA1427" s="513"/>
      <c r="AB1427" s="416"/>
      <c r="AC1427" s="416"/>
      <c r="AD1427" s="461"/>
      <c r="AE1427" s="485"/>
      <c r="AF1427" s="475">
        <v>44061</v>
      </c>
      <c r="AG1427" s="389"/>
      <c r="AH1427" s="417" t="s">
        <v>210</v>
      </c>
      <c r="AI1427" s="392" t="s">
        <v>210</v>
      </c>
      <c r="AJ1427" s="392" t="s">
        <v>210</v>
      </c>
      <c r="AK1427" s="340" t="s">
        <v>210</v>
      </c>
      <c r="AL1427" s="392" t="s">
        <v>210</v>
      </c>
      <c r="AM1427" s="392" t="s">
        <v>210</v>
      </c>
      <c r="AN1427" s="487" t="s">
        <v>8052</v>
      </c>
      <c r="AO1427" s="392" t="s">
        <v>210</v>
      </c>
      <c r="AP1427" s="496" t="s">
        <v>622</v>
      </c>
      <c r="AQ1427" s="429" t="s">
        <v>4547</v>
      </c>
      <c r="AR1427" s="452">
        <v>1163</v>
      </c>
      <c r="AS1427" s="324">
        <v>100</v>
      </c>
      <c r="AT1427" s="432">
        <v>1</v>
      </c>
      <c r="AU1427" s="432" t="s">
        <v>17662</v>
      </c>
      <c r="AV1427" s="1927">
        <v>1.75</v>
      </c>
      <c r="AW1427" s="490" t="s">
        <v>17663</v>
      </c>
      <c r="AX1427" s="453" t="s">
        <v>210</v>
      </c>
      <c r="AY1427" s="429" t="s">
        <v>210</v>
      </c>
      <c r="AZ1427" s="405" t="s">
        <v>622</v>
      </c>
      <c r="BA1427" s="324" t="s">
        <v>17656</v>
      </c>
      <c r="BB1427" s="324" t="s">
        <v>17657</v>
      </c>
      <c r="BC1427" s="324" t="s">
        <v>17658</v>
      </c>
      <c r="BD1427" s="324" t="s">
        <v>17657</v>
      </c>
      <c r="BE1427" s="324" t="s">
        <v>17659</v>
      </c>
      <c r="BF1427" s="324" t="s">
        <v>17660</v>
      </c>
      <c r="BG1427" s="324" t="s">
        <v>17661</v>
      </c>
      <c r="BH1427" s="426" t="s">
        <v>3898</v>
      </c>
      <c r="BI1427" s="453">
        <v>1.1000000000000001</v>
      </c>
      <c r="BJ1427" s="427">
        <v>0.97</v>
      </c>
      <c r="BK1427" s="324" t="s">
        <v>17657</v>
      </c>
      <c r="BL1427" s="429">
        <v>7.75</v>
      </c>
      <c r="BM1427" s="430" t="s">
        <v>660</v>
      </c>
      <c r="BN1427" s="410"/>
      <c r="BO1427" s="502"/>
      <c r="BP1427" s="492"/>
      <c r="BQ1427" s="360"/>
      <c r="BR1427" s="392" t="s">
        <v>210</v>
      </c>
      <c r="BS1427" s="342" t="s">
        <v>622</v>
      </c>
      <c r="BT1427" s="392" t="s">
        <v>210</v>
      </c>
      <c r="BU1427" s="392" t="s">
        <v>210</v>
      </c>
      <c r="BV1427" s="392" t="s">
        <v>210</v>
      </c>
      <c r="BW1427" s="392" t="s">
        <v>210</v>
      </c>
      <c r="BX1427" s="392" t="s">
        <v>17694</v>
      </c>
      <c r="BY1427" s="457"/>
      <c r="BZ1427" s="363"/>
      <c r="CA1427" s="363"/>
      <c r="CB1427" s="363"/>
      <c r="CC1427" s="363"/>
    </row>
    <row r="1428" spans="2:81" ht="22.5" customHeight="1">
      <c r="B1428" s="507">
        <v>200031</v>
      </c>
      <c r="C1428" s="494" t="s">
        <v>17504</v>
      </c>
      <c r="D1428" s="467" t="s">
        <v>17701</v>
      </c>
      <c r="E1428" s="404" t="s">
        <v>5362</v>
      </c>
      <c r="F1428" s="405" t="s">
        <v>17456</v>
      </c>
      <c r="G1428" s="324" t="s">
        <v>17457</v>
      </c>
      <c r="H1428" s="324" t="s">
        <v>17458</v>
      </c>
      <c r="I1428" s="326" t="s">
        <v>11</v>
      </c>
      <c r="J1428" s="326" t="s">
        <v>399</v>
      </c>
      <c r="K1428" s="324" t="s">
        <v>247</v>
      </c>
      <c r="L1428" s="342">
        <v>10</v>
      </c>
      <c r="M1428" s="324" t="s">
        <v>7457</v>
      </c>
      <c r="N1428" s="444" t="s">
        <v>438</v>
      </c>
      <c r="O1428" s="324">
        <v>160</v>
      </c>
      <c r="P1428" s="445">
        <v>390</v>
      </c>
      <c r="Q1428" s="446">
        <f>P1428</f>
        <v>390</v>
      </c>
      <c r="R1428" s="447" t="s">
        <v>17459</v>
      </c>
      <c r="S1428" s="394" t="s">
        <v>17460</v>
      </c>
      <c r="T1428" s="394" t="s">
        <v>17462</v>
      </c>
      <c r="U1428" s="394" t="s">
        <v>17461</v>
      </c>
      <c r="V1428" s="394" t="s">
        <v>17463</v>
      </c>
      <c r="W1428" s="332" t="s">
        <v>644</v>
      </c>
      <c r="X1428" s="394" t="s">
        <v>17508</v>
      </c>
      <c r="Y1428" s="394" t="s">
        <v>17511</v>
      </c>
      <c r="Z1428" s="394" t="s">
        <v>17510</v>
      </c>
      <c r="AA1428" s="1049" t="s">
        <v>17509</v>
      </c>
      <c r="AB1428" s="1283"/>
      <c r="AC1428" s="1283"/>
      <c r="AD1428" s="461"/>
      <c r="AE1428" s="485"/>
      <c r="AF1428" s="475">
        <v>44062</v>
      </c>
      <c r="AG1428" s="389"/>
      <c r="AH1428" s="417" t="s">
        <v>210</v>
      </c>
      <c r="AI1428" s="392" t="s">
        <v>210</v>
      </c>
      <c r="AJ1428" s="392" t="s">
        <v>210</v>
      </c>
      <c r="AK1428" s="340" t="s">
        <v>210</v>
      </c>
      <c r="AL1428" s="392" t="s">
        <v>210</v>
      </c>
      <c r="AM1428" s="392" t="s">
        <v>210</v>
      </c>
      <c r="AN1428" s="392" t="s">
        <v>210</v>
      </c>
      <c r="AO1428" s="392" t="s">
        <v>210</v>
      </c>
      <c r="AP1428" s="392" t="s">
        <v>210</v>
      </c>
      <c r="AQ1428" s="429" t="s">
        <v>4547</v>
      </c>
      <c r="AR1428" s="452">
        <v>623</v>
      </c>
      <c r="AS1428" s="324">
        <v>80</v>
      </c>
      <c r="AT1428" s="432">
        <v>1</v>
      </c>
      <c r="AU1428" s="432" t="s">
        <v>17703</v>
      </c>
      <c r="AV1428" s="432">
        <v>1.5</v>
      </c>
      <c r="AW1428" s="490" t="s">
        <v>17702</v>
      </c>
      <c r="AX1428" s="453" t="s">
        <v>210</v>
      </c>
      <c r="AY1428" s="429" t="s">
        <v>210</v>
      </c>
      <c r="AZ1428" s="405" t="s">
        <v>4083</v>
      </c>
      <c r="BA1428" s="324" t="s">
        <v>210</v>
      </c>
      <c r="BB1428" s="324" t="s">
        <v>210</v>
      </c>
      <c r="BC1428" s="324" t="s">
        <v>210</v>
      </c>
      <c r="BD1428" s="324" t="s">
        <v>210</v>
      </c>
      <c r="BE1428" s="324" t="s">
        <v>17704</v>
      </c>
      <c r="BF1428" s="324" t="s">
        <v>17705</v>
      </c>
      <c r="BG1428" s="324" t="s">
        <v>17706</v>
      </c>
      <c r="BH1428" s="324" t="s">
        <v>17705</v>
      </c>
      <c r="BI1428" s="453">
        <v>3.1</v>
      </c>
      <c r="BJ1428" s="427" t="s">
        <v>210</v>
      </c>
      <c r="BK1428" s="427" t="s">
        <v>210</v>
      </c>
      <c r="BL1428" s="429" t="s">
        <v>210</v>
      </c>
      <c r="BM1428" s="430" t="s">
        <v>210</v>
      </c>
      <c r="BN1428" s="453" t="s">
        <v>622</v>
      </c>
      <c r="BO1428" s="464">
        <v>1.51</v>
      </c>
      <c r="BP1428" s="455" t="s">
        <v>210</v>
      </c>
      <c r="BQ1428" s="456" t="s">
        <v>1059</v>
      </c>
      <c r="BR1428" s="1315" t="s">
        <v>17707</v>
      </c>
      <c r="BS1428" s="392" t="s">
        <v>210</v>
      </c>
      <c r="BT1428" s="392" t="s">
        <v>210</v>
      </c>
      <c r="BU1428" s="392" t="s">
        <v>210</v>
      </c>
      <c r="BV1428" s="392" t="s">
        <v>210</v>
      </c>
      <c r="BW1428" s="392" t="s">
        <v>210</v>
      </c>
      <c r="BX1428" s="392" t="s">
        <v>584</v>
      </c>
      <c r="BY1428" s="457"/>
      <c r="BZ1428" s="363"/>
      <c r="CA1428" s="363"/>
      <c r="CB1428" s="363"/>
      <c r="CC1428" s="363"/>
    </row>
    <row r="1429" spans="2:81" ht="22.5" customHeight="1">
      <c r="B1429" s="507">
        <v>200032</v>
      </c>
      <c r="C1429" s="494" t="s">
        <v>17502</v>
      </c>
      <c r="D1429" s="467" t="s">
        <v>17499</v>
      </c>
      <c r="E1429" s="404" t="s">
        <v>5362</v>
      </c>
      <c r="F1429" s="377" t="s">
        <v>1043</v>
      </c>
      <c r="G1429" s="324" t="s">
        <v>17616</v>
      </c>
      <c r="H1429" s="324" t="s">
        <v>17620</v>
      </c>
      <c r="I1429" s="326" t="s">
        <v>11</v>
      </c>
      <c r="J1429" s="324" t="s">
        <v>16686</v>
      </c>
      <c r="K1429" s="324" t="s">
        <v>17621</v>
      </c>
      <c r="L1429" s="342">
        <v>40</v>
      </c>
      <c r="M1429" s="324" t="s">
        <v>7457</v>
      </c>
      <c r="N1429" s="444" t="s">
        <v>438</v>
      </c>
      <c r="O1429" s="324">
        <v>160</v>
      </c>
      <c r="P1429" s="1275"/>
      <c r="Q1429" s="446">
        <v>5500</v>
      </c>
      <c r="R1429" s="329" t="s">
        <v>10056</v>
      </c>
      <c r="S1429" s="394" t="s">
        <v>11283</v>
      </c>
      <c r="T1429" s="394" t="s">
        <v>11284</v>
      </c>
      <c r="U1429" s="394" t="s">
        <v>16292</v>
      </c>
      <c r="V1429" s="394" t="s">
        <v>11285</v>
      </c>
      <c r="W1429" s="460" t="s">
        <v>10150</v>
      </c>
      <c r="X1429" s="394" t="s">
        <v>13410</v>
      </c>
      <c r="Y1429" s="394" t="s">
        <v>11282</v>
      </c>
      <c r="Z1429" s="394" t="s">
        <v>16323</v>
      </c>
      <c r="AA1429" s="416"/>
      <c r="AB1429" s="416" t="s">
        <v>4313</v>
      </c>
      <c r="AC1429" s="1283"/>
      <c r="AD1429" s="498" t="s">
        <v>1591</v>
      </c>
      <c r="AE1429" s="499" t="s">
        <v>17700</v>
      </c>
      <c r="AF1429" s="475">
        <v>44062</v>
      </c>
      <c r="AG1429" s="748">
        <v>44113</v>
      </c>
      <c r="AH1429" s="417" t="s">
        <v>210</v>
      </c>
      <c r="AI1429" s="392" t="s">
        <v>210</v>
      </c>
      <c r="AJ1429" s="392" t="s">
        <v>210</v>
      </c>
      <c r="AK1429" s="340" t="s">
        <v>210</v>
      </c>
      <c r="AL1429" s="392" t="s">
        <v>210</v>
      </c>
      <c r="AM1429" s="392" t="s">
        <v>210</v>
      </c>
      <c r="AN1429" s="392" t="s">
        <v>210</v>
      </c>
      <c r="AO1429" s="392" t="s">
        <v>210</v>
      </c>
      <c r="AP1429" s="496" t="s">
        <v>622</v>
      </c>
      <c r="AQ1429" s="429" t="s">
        <v>4547</v>
      </c>
      <c r="AR1429" s="452">
        <f>6434+88</f>
        <v>6522</v>
      </c>
      <c r="AS1429" s="324">
        <v>180</v>
      </c>
      <c r="AT1429" s="432">
        <v>1</v>
      </c>
      <c r="AU1429" s="432" t="s">
        <v>17623</v>
      </c>
      <c r="AV1429" s="432">
        <v>1</v>
      </c>
      <c r="AW1429" s="490" t="s">
        <v>17624</v>
      </c>
      <c r="AX1429" s="453" t="s">
        <v>210</v>
      </c>
      <c r="AY1429" s="429" t="s">
        <v>8601</v>
      </c>
      <c r="AZ1429" s="405" t="s">
        <v>4083</v>
      </c>
      <c r="BA1429" s="324" t="s">
        <v>210</v>
      </c>
      <c r="BB1429" s="324" t="s">
        <v>210</v>
      </c>
      <c r="BC1429" s="324" t="s">
        <v>3555</v>
      </c>
      <c r="BD1429" s="324" t="s">
        <v>17624</v>
      </c>
      <c r="BE1429" s="324" t="s">
        <v>210</v>
      </c>
      <c r="BF1429" s="324" t="s">
        <v>210</v>
      </c>
      <c r="BG1429" s="324" t="s">
        <v>210</v>
      </c>
      <c r="BH1429" s="324" t="s">
        <v>210</v>
      </c>
      <c r="BI1429" s="453">
        <v>5.3</v>
      </c>
      <c r="BJ1429" s="427">
        <v>29</v>
      </c>
      <c r="BK1429" s="427" t="s">
        <v>210</v>
      </c>
      <c r="BL1429" s="429" t="s">
        <v>210</v>
      </c>
      <c r="BM1429" s="430" t="s">
        <v>210</v>
      </c>
      <c r="BN1429" s="1321" t="s">
        <v>210</v>
      </c>
      <c r="BO1429" s="392" t="s">
        <v>210</v>
      </c>
      <c r="BP1429" s="455" t="s">
        <v>210</v>
      </c>
      <c r="BQ1429" s="456" t="s">
        <v>10350</v>
      </c>
      <c r="BR1429" s="392" t="s">
        <v>210</v>
      </c>
      <c r="BS1429" s="342" t="s">
        <v>622</v>
      </c>
      <c r="BT1429" s="392" t="s">
        <v>210</v>
      </c>
      <c r="BU1429" s="392" t="s">
        <v>210</v>
      </c>
      <c r="BV1429" s="392" t="s">
        <v>210</v>
      </c>
      <c r="BW1429" s="392" t="s">
        <v>210</v>
      </c>
      <c r="BX1429" s="392" t="s">
        <v>15130</v>
      </c>
      <c r="BY1429" s="457" t="s">
        <v>17561</v>
      </c>
      <c r="BZ1429" s="363"/>
      <c r="CA1429" s="363"/>
      <c r="CB1429" s="363"/>
      <c r="CC1429" s="363"/>
    </row>
    <row r="1430" spans="2:81" ht="22.5" customHeight="1">
      <c r="B1430" s="507">
        <v>200033</v>
      </c>
      <c r="C1430" s="366" t="s">
        <v>17606</v>
      </c>
      <c r="D1430" s="1264" t="s">
        <v>17609</v>
      </c>
      <c r="E1430" s="404" t="s">
        <v>5362</v>
      </c>
      <c r="F1430" s="321" t="s">
        <v>839</v>
      </c>
      <c r="G1430" s="326" t="s">
        <v>17585</v>
      </c>
      <c r="H1430" s="324" t="s">
        <v>17586</v>
      </c>
      <c r="I1430" s="326" t="s">
        <v>11</v>
      </c>
      <c r="J1430" s="326" t="s">
        <v>399</v>
      </c>
      <c r="K1430" s="324" t="s">
        <v>247</v>
      </c>
      <c r="L1430" s="342">
        <v>5.4</v>
      </c>
      <c r="M1430" s="324" t="s">
        <v>7457</v>
      </c>
      <c r="N1430" s="444" t="s">
        <v>17631</v>
      </c>
      <c r="O1430" s="324">
        <v>30</v>
      </c>
      <c r="P1430" s="445">
        <v>600</v>
      </c>
      <c r="Q1430" s="446">
        <f>P1430</f>
        <v>600</v>
      </c>
      <c r="R1430" s="447" t="s">
        <v>17641</v>
      </c>
      <c r="S1430" s="513"/>
      <c r="T1430" s="513"/>
      <c r="U1430" s="513"/>
      <c r="V1430" s="1277"/>
      <c r="W1430" s="332" t="s">
        <v>7689</v>
      </c>
      <c r="X1430" s="394" t="s">
        <v>17617</v>
      </c>
      <c r="Y1430" s="394" t="s">
        <v>17626</v>
      </c>
      <c r="Z1430" s="394" t="s">
        <v>17625</v>
      </c>
      <c r="AA1430" s="394" t="s">
        <v>17627</v>
      </c>
      <c r="AB1430" s="1283"/>
      <c r="AC1430" s="1283"/>
      <c r="AD1430" s="447" t="s">
        <v>17891</v>
      </c>
      <c r="AE1430" s="499" t="s">
        <v>17995</v>
      </c>
      <c r="AF1430" s="475">
        <v>44070</v>
      </c>
      <c r="AG1430" s="389"/>
      <c r="AH1430" s="417" t="s">
        <v>210</v>
      </c>
      <c r="AI1430" s="392" t="s">
        <v>210</v>
      </c>
      <c r="AJ1430" s="392" t="s">
        <v>210</v>
      </c>
      <c r="AK1430" s="340" t="s">
        <v>210</v>
      </c>
      <c r="AL1430" s="392" t="s">
        <v>210</v>
      </c>
      <c r="AM1430" s="392" t="s">
        <v>210</v>
      </c>
      <c r="AN1430" s="392" t="s">
        <v>210</v>
      </c>
      <c r="AO1430" s="392" t="s">
        <v>210</v>
      </c>
      <c r="AP1430" s="496" t="s">
        <v>622</v>
      </c>
      <c r="AQ1430" s="429" t="s">
        <v>4547</v>
      </c>
      <c r="AR1430" s="452">
        <v>745</v>
      </c>
      <c r="AS1430" s="324">
        <v>100</v>
      </c>
      <c r="AT1430" s="432">
        <v>1</v>
      </c>
      <c r="AU1430" s="432" t="s">
        <v>17632</v>
      </c>
      <c r="AV1430" s="432">
        <v>1.5</v>
      </c>
      <c r="AW1430" s="490" t="s">
        <v>17633</v>
      </c>
      <c r="AX1430" s="453" t="s">
        <v>210</v>
      </c>
      <c r="AY1430" s="429" t="s">
        <v>210</v>
      </c>
      <c r="AZ1430" s="405" t="s">
        <v>622</v>
      </c>
      <c r="BA1430" s="324" t="s">
        <v>17634</v>
      </c>
      <c r="BB1430" s="324" t="s">
        <v>17635</v>
      </c>
      <c r="BC1430" s="324" t="s">
        <v>17636</v>
      </c>
      <c r="BD1430" s="324" t="s">
        <v>17635</v>
      </c>
      <c r="BE1430" s="324" t="s">
        <v>17637</v>
      </c>
      <c r="BF1430" s="324" t="s">
        <v>17638</v>
      </c>
      <c r="BG1430" s="324" t="s">
        <v>17639</v>
      </c>
      <c r="BH1430" s="426" t="s">
        <v>8985</v>
      </c>
      <c r="BI1430" s="453">
        <v>0.9</v>
      </c>
      <c r="BJ1430" s="427">
        <v>1.76</v>
      </c>
      <c r="BK1430" s="428" t="s">
        <v>17640</v>
      </c>
      <c r="BL1430" s="429">
        <v>0.55000000000000004</v>
      </c>
      <c r="BM1430" s="430" t="s">
        <v>210</v>
      </c>
      <c r="BN1430" s="453" t="s">
        <v>622</v>
      </c>
      <c r="BO1430" s="464">
        <v>1</v>
      </c>
      <c r="BP1430" s="455" t="s">
        <v>622</v>
      </c>
      <c r="BQ1430" s="456" t="s">
        <v>10959</v>
      </c>
      <c r="BR1430" s="392" t="s">
        <v>210</v>
      </c>
      <c r="BS1430" s="342" t="s">
        <v>622</v>
      </c>
      <c r="BT1430" s="392" t="s">
        <v>210</v>
      </c>
      <c r="BU1430" s="392" t="s">
        <v>210</v>
      </c>
      <c r="BV1430" s="392" t="s">
        <v>210</v>
      </c>
      <c r="BW1430" s="392" t="s">
        <v>210</v>
      </c>
      <c r="BX1430" s="392" t="s">
        <v>210</v>
      </c>
      <c r="BY1430" s="457"/>
      <c r="BZ1430" s="363"/>
      <c r="CA1430" s="363"/>
      <c r="CB1430" s="363"/>
      <c r="CC1430" s="363"/>
    </row>
    <row r="1431" spans="2:81" ht="22.5" customHeight="1">
      <c r="B1431" s="507">
        <v>200034</v>
      </c>
      <c r="C1431" s="366" t="s">
        <v>17670</v>
      </c>
      <c r="D1431" s="419" t="s">
        <v>17648</v>
      </c>
      <c r="E1431" s="404" t="s">
        <v>5362</v>
      </c>
      <c r="F1431" s="405" t="s">
        <v>17349</v>
      </c>
      <c r="G1431" s="326" t="s">
        <v>17303</v>
      </c>
      <c r="H1431" s="324" t="s">
        <v>17304</v>
      </c>
      <c r="I1431" s="326" t="s">
        <v>11</v>
      </c>
      <c r="J1431" s="324" t="s">
        <v>16686</v>
      </c>
      <c r="K1431" s="324" t="s">
        <v>17305</v>
      </c>
      <c r="L1431" s="342">
        <v>15</v>
      </c>
      <c r="M1431" s="324" t="s">
        <v>7457</v>
      </c>
      <c r="N1431" s="444" t="s">
        <v>438</v>
      </c>
      <c r="O1431" s="324">
        <v>200</v>
      </c>
      <c r="P1431" s="1275"/>
      <c r="Q1431" s="497"/>
      <c r="R1431" s="420" t="s">
        <v>17298</v>
      </c>
      <c r="S1431" s="394" t="s">
        <v>17299</v>
      </c>
      <c r="T1431" s="394" t="s">
        <v>17300</v>
      </c>
      <c r="U1431" s="394" t="s">
        <v>17301</v>
      </c>
      <c r="V1431" s="394" t="s">
        <v>17302</v>
      </c>
      <c r="W1431" s="332" t="s">
        <v>432</v>
      </c>
      <c r="X1431" s="331" t="s">
        <v>210</v>
      </c>
      <c r="Y1431" s="331" t="s">
        <v>210</v>
      </c>
      <c r="Z1431" s="331" t="s">
        <v>210</v>
      </c>
      <c r="AA1431" s="331" t="s">
        <v>210</v>
      </c>
      <c r="AB1431" s="416"/>
      <c r="AC1431" s="416"/>
      <c r="AD1431" s="461"/>
      <c r="AE1431" s="485"/>
      <c r="AF1431" s="475">
        <v>44076</v>
      </c>
      <c r="AG1431" s="389"/>
      <c r="AH1431" s="410"/>
      <c r="AI1431" s="500"/>
      <c r="AJ1431" s="500"/>
      <c r="AK1431" s="371"/>
      <c r="AL1431" s="392" t="s">
        <v>210</v>
      </c>
      <c r="AM1431" s="392" t="s">
        <v>210</v>
      </c>
      <c r="AN1431" s="392" t="s">
        <v>210</v>
      </c>
      <c r="AO1431" s="392" t="s">
        <v>210</v>
      </c>
      <c r="AP1431" s="392" t="s">
        <v>210</v>
      </c>
      <c r="AQ1431" s="429" t="s">
        <v>4547</v>
      </c>
      <c r="AR1431" s="501"/>
      <c r="AS1431" s="408"/>
      <c r="AT1431" s="500"/>
      <c r="AU1431" s="500"/>
      <c r="AV1431" s="500"/>
      <c r="AW1431" s="422"/>
      <c r="AX1431" s="453" t="s">
        <v>210</v>
      </c>
      <c r="AY1431" s="429" t="s">
        <v>210</v>
      </c>
      <c r="AZ1431" s="405" t="s">
        <v>622</v>
      </c>
      <c r="BA1431" s="324" t="s">
        <v>18039</v>
      </c>
      <c r="BB1431" s="324" t="s">
        <v>18040</v>
      </c>
      <c r="BC1431" s="324" t="s">
        <v>210</v>
      </c>
      <c r="BD1431" s="324" t="s">
        <v>210</v>
      </c>
      <c r="BE1431" s="324" t="s">
        <v>210</v>
      </c>
      <c r="BF1431" s="324" t="s">
        <v>210</v>
      </c>
      <c r="BG1431" s="324" t="s">
        <v>210</v>
      </c>
      <c r="BH1431" s="324" t="s">
        <v>210</v>
      </c>
      <c r="BI1431" s="453">
        <v>2.2000000000000002</v>
      </c>
      <c r="BJ1431" s="427" t="s">
        <v>18038</v>
      </c>
      <c r="BK1431" s="427" t="s">
        <v>210</v>
      </c>
      <c r="BL1431" s="429" t="s">
        <v>210</v>
      </c>
      <c r="BM1431" s="430" t="s">
        <v>210</v>
      </c>
      <c r="BN1431" s="410"/>
      <c r="BO1431" s="502"/>
      <c r="BP1431" s="455" t="s">
        <v>210</v>
      </c>
      <c r="BQ1431" s="360"/>
      <c r="BR1431" s="392" t="s">
        <v>210</v>
      </c>
      <c r="BS1431" s="361"/>
      <c r="BT1431" s="392" t="s">
        <v>210</v>
      </c>
      <c r="BU1431" s="392" t="s">
        <v>210</v>
      </c>
      <c r="BV1431" s="392" t="s">
        <v>210</v>
      </c>
      <c r="BW1431" s="392" t="s">
        <v>210</v>
      </c>
      <c r="BX1431" s="392" t="s">
        <v>210</v>
      </c>
      <c r="BY1431" s="457" t="s">
        <v>18037</v>
      </c>
      <c r="BZ1431" s="363"/>
      <c r="CA1431" s="363"/>
      <c r="CB1431" s="363"/>
      <c r="CC1431" s="363"/>
    </row>
    <row r="1432" spans="2:81" ht="22.5" customHeight="1">
      <c r="B1432" s="507">
        <v>200035</v>
      </c>
      <c r="C1432" s="366" t="s">
        <v>17672</v>
      </c>
      <c r="D1432" s="1264" t="s">
        <v>13768</v>
      </c>
      <c r="E1432" s="404" t="s">
        <v>5362</v>
      </c>
      <c r="F1432" s="321" t="s">
        <v>266</v>
      </c>
      <c r="G1432" s="326" t="s">
        <v>17681</v>
      </c>
      <c r="H1432" s="324" t="s">
        <v>17682</v>
      </c>
      <c r="I1432" s="324" t="s">
        <v>17683</v>
      </c>
      <c r="J1432" s="324" t="s">
        <v>17684</v>
      </c>
      <c r="K1432" s="324" t="s">
        <v>17685</v>
      </c>
      <c r="L1432" s="342" t="s">
        <v>210</v>
      </c>
      <c r="M1432" s="324" t="s">
        <v>17683</v>
      </c>
      <c r="N1432" s="444" t="s">
        <v>17686</v>
      </c>
      <c r="O1432" s="324">
        <v>30</v>
      </c>
      <c r="P1432" s="445">
        <v>700</v>
      </c>
      <c r="Q1432" s="446">
        <f>P1432</f>
        <v>700</v>
      </c>
      <c r="R1432" s="460" t="s">
        <v>17666</v>
      </c>
      <c r="S1432" s="513"/>
      <c r="T1432" s="513"/>
      <c r="U1432" s="513"/>
      <c r="V1432" s="513"/>
      <c r="W1432" s="460" t="s">
        <v>17666</v>
      </c>
      <c r="X1432" s="394" t="s">
        <v>17667</v>
      </c>
      <c r="Y1432" s="394" t="s">
        <v>17668</v>
      </c>
      <c r="Z1432" s="513"/>
      <c r="AA1432" s="394" t="s">
        <v>17669</v>
      </c>
      <c r="AB1432" s="416"/>
      <c r="AC1432" s="416"/>
      <c r="AD1432" s="461"/>
      <c r="AE1432" s="499" t="s">
        <v>210</v>
      </c>
      <c r="AF1432" s="475">
        <v>44077</v>
      </c>
      <c r="AG1432" s="389"/>
      <c r="AH1432" s="417" t="s">
        <v>210</v>
      </c>
      <c r="AI1432" s="392" t="s">
        <v>210</v>
      </c>
      <c r="AJ1432" s="392" t="s">
        <v>210</v>
      </c>
      <c r="AK1432" s="340" t="s">
        <v>210</v>
      </c>
      <c r="AL1432" s="392" t="s">
        <v>210</v>
      </c>
      <c r="AM1432" s="392" t="s">
        <v>210</v>
      </c>
      <c r="AN1432" s="392" t="s">
        <v>210</v>
      </c>
      <c r="AO1432" s="392" t="s">
        <v>210</v>
      </c>
      <c r="AP1432" s="392" t="s">
        <v>210</v>
      </c>
      <c r="AQ1432" s="433" t="s">
        <v>17671</v>
      </c>
      <c r="AR1432" s="452">
        <f>395+392+13.3</f>
        <v>800.3</v>
      </c>
      <c r="AS1432" s="324">
        <v>80</v>
      </c>
      <c r="AT1432" s="432">
        <v>1</v>
      </c>
      <c r="AU1432" s="432" t="s">
        <v>17687</v>
      </c>
      <c r="AV1432" s="432">
        <v>1.5</v>
      </c>
      <c r="AW1432" s="490" t="s">
        <v>17688</v>
      </c>
      <c r="AX1432" s="453" t="s">
        <v>210</v>
      </c>
      <c r="AY1432" s="429" t="s">
        <v>210</v>
      </c>
      <c r="AZ1432" s="405" t="s">
        <v>622</v>
      </c>
      <c r="BA1432" s="324" t="s">
        <v>4136</v>
      </c>
      <c r="BB1432" s="324" t="s">
        <v>17689</v>
      </c>
      <c r="BC1432" s="324" t="s">
        <v>17690</v>
      </c>
      <c r="BD1432" s="324" t="s">
        <v>17689</v>
      </c>
      <c r="BE1432" s="324" t="s">
        <v>17691</v>
      </c>
      <c r="BF1432" s="324" t="s">
        <v>17688</v>
      </c>
      <c r="BG1432" s="324" t="s">
        <v>17692</v>
      </c>
      <c r="BH1432" s="324" t="s">
        <v>17688</v>
      </c>
      <c r="BI1432" s="453">
        <v>0.7</v>
      </c>
      <c r="BJ1432" s="427">
        <v>2.08</v>
      </c>
      <c r="BK1432" s="428" t="s">
        <v>17693</v>
      </c>
      <c r="BL1432" s="429">
        <f>5.1+4.9</f>
        <v>10</v>
      </c>
      <c r="BM1432" s="430" t="s">
        <v>210</v>
      </c>
      <c r="BN1432" s="453" t="s">
        <v>622</v>
      </c>
      <c r="BO1432" s="464">
        <v>1.47</v>
      </c>
      <c r="BP1432" s="455" t="s">
        <v>622</v>
      </c>
      <c r="BQ1432" s="456" t="s">
        <v>17695</v>
      </c>
      <c r="BR1432" s="392" t="s">
        <v>210</v>
      </c>
      <c r="BS1432" s="342" t="s">
        <v>622</v>
      </c>
      <c r="BT1432" s="392" t="s">
        <v>210</v>
      </c>
      <c r="BU1432" s="392" t="s">
        <v>210</v>
      </c>
      <c r="BV1432" s="392" t="s">
        <v>210</v>
      </c>
      <c r="BW1432" s="392" t="s">
        <v>210</v>
      </c>
      <c r="BX1432" s="392" t="s">
        <v>210</v>
      </c>
      <c r="BY1432" s="457"/>
      <c r="BZ1432" s="363"/>
      <c r="CA1432" s="363"/>
      <c r="CB1432" s="363"/>
      <c r="CC1432" s="363"/>
    </row>
    <row r="1433" spans="2:81" ht="22.5" customHeight="1">
      <c r="B1433" s="507">
        <v>200036</v>
      </c>
      <c r="C1433" s="366" t="s">
        <v>17582</v>
      </c>
      <c r="D1433" s="1264" t="s">
        <v>15232</v>
      </c>
      <c r="E1433" s="368" t="s">
        <v>17062</v>
      </c>
      <c r="F1433" s="321" t="s">
        <v>17696</v>
      </c>
      <c r="G1433" s="326" t="s">
        <v>17697</v>
      </c>
      <c r="H1433" s="324" t="s">
        <v>17698</v>
      </c>
      <c r="I1433" s="326" t="s">
        <v>11</v>
      </c>
      <c r="J1433" s="326" t="s">
        <v>399</v>
      </c>
      <c r="K1433" s="324" t="s">
        <v>977</v>
      </c>
      <c r="L1433" s="342">
        <v>14.5</v>
      </c>
      <c r="M1433" s="324" t="s">
        <v>7457</v>
      </c>
      <c r="N1433" s="444" t="s">
        <v>438</v>
      </c>
      <c r="O1433" s="324">
        <v>70</v>
      </c>
      <c r="P1433" s="445">
        <v>1000</v>
      </c>
      <c r="Q1433" s="446">
        <f>P1433</f>
        <v>1000</v>
      </c>
      <c r="R1433" s="420" t="s">
        <v>17494</v>
      </c>
      <c r="S1433" s="394" t="s">
        <v>17495</v>
      </c>
      <c r="T1433" s="394" t="s">
        <v>17565</v>
      </c>
      <c r="U1433" s="394" t="s">
        <v>17563</v>
      </c>
      <c r="V1433" s="394" t="s">
        <v>17564</v>
      </c>
      <c r="W1433" s="332" t="s">
        <v>644</v>
      </c>
      <c r="X1433" s="394" t="s">
        <v>11202</v>
      </c>
      <c r="Y1433" s="394" t="s">
        <v>11201</v>
      </c>
      <c r="Z1433" s="394" t="s">
        <v>11200</v>
      </c>
      <c r="AA1433" s="394" t="s">
        <v>11203</v>
      </c>
      <c r="AB1433" s="416" t="s">
        <v>17490</v>
      </c>
      <c r="AC1433" s="416"/>
      <c r="AD1433" s="447" t="s">
        <v>18120</v>
      </c>
      <c r="AE1433" s="499" t="s">
        <v>17929</v>
      </c>
      <c r="AF1433" s="475">
        <v>44082</v>
      </c>
      <c r="AG1433" s="389"/>
      <c r="AH1433" s="417" t="s">
        <v>210</v>
      </c>
      <c r="AI1433" s="392" t="s">
        <v>210</v>
      </c>
      <c r="AJ1433" s="392" t="s">
        <v>210</v>
      </c>
      <c r="AK1433" s="340" t="s">
        <v>210</v>
      </c>
      <c r="AL1433" s="392" t="s">
        <v>210</v>
      </c>
      <c r="AM1433" s="392" t="s">
        <v>210</v>
      </c>
      <c r="AN1433" s="392" t="s">
        <v>210</v>
      </c>
      <c r="AO1433" s="392" t="s">
        <v>210</v>
      </c>
      <c r="AP1433" s="392" t="s">
        <v>210</v>
      </c>
      <c r="AQ1433" s="429" t="s">
        <v>4547</v>
      </c>
      <c r="AR1433" s="452">
        <v>1285</v>
      </c>
      <c r="AS1433" s="324">
        <v>100</v>
      </c>
      <c r="AT1433" s="432">
        <v>1</v>
      </c>
      <c r="AU1433" s="432" t="s">
        <v>17740</v>
      </c>
      <c r="AV1433" s="432">
        <v>1.5</v>
      </c>
      <c r="AW1433" s="490" t="s">
        <v>17741</v>
      </c>
      <c r="AX1433" s="453" t="s">
        <v>210</v>
      </c>
      <c r="AY1433" s="429" t="s">
        <v>210</v>
      </c>
      <c r="AZ1433" s="405" t="s">
        <v>4083</v>
      </c>
      <c r="BA1433" s="324" t="s">
        <v>210</v>
      </c>
      <c r="BB1433" s="324" t="s">
        <v>210</v>
      </c>
      <c r="BC1433" s="324" t="s">
        <v>17742</v>
      </c>
      <c r="BD1433" s="324" t="s">
        <v>17743</v>
      </c>
      <c r="BE1433" s="324" t="s">
        <v>17744</v>
      </c>
      <c r="BF1433" s="324" t="s">
        <v>17743</v>
      </c>
      <c r="BG1433" s="324" t="s">
        <v>17745</v>
      </c>
      <c r="BH1433" s="426" t="s">
        <v>17746</v>
      </c>
      <c r="BI1433" s="453">
        <v>1.8</v>
      </c>
      <c r="BJ1433" s="427">
        <v>0.86</v>
      </c>
      <c r="BK1433" s="428" t="s">
        <v>17747</v>
      </c>
      <c r="BL1433" s="429">
        <v>1</v>
      </c>
      <c r="BM1433" s="430" t="s">
        <v>210</v>
      </c>
      <c r="BN1433" s="453" t="s">
        <v>622</v>
      </c>
      <c r="BO1433" s="464">
        <v>1.1000000000000001</v>
      </c>
      <c r="BP1433" s="455" t="s">
        <v>622</v>
      </c>
      <c r="BQ1433" s="456" t="s">
        <v>10350</v>
      </c>
      <c r="BR1433" s="392" t="s">
        <v>210</v>
      </c>
      <c r="BS1433" s="342" t="s">
        <v>622</v>
      </c>
      <c r="BT1433" s="392" t="s">
        <v>210</v>
      </c>
      <c r="BU1433" s="392" t="s">
        <v>210</v>
      </c>
      <c r="BV1433" s="392" t="s">
        <v>210</v>
      </c>
      <c r="BW1433" s="392" t="s">
        <v>210</v>
      </c>
      <c r="BX1433" s="392" t="s">
        <v>210</v>
      </c>
      <c r="BY1433" s="457" t="s">
        <v>17748</v>
      </c>
      <c r="BZ1433" s="363"/>
      <c r="CA1433" s="363"/>
      <c r="CB1433" s="363"/>
      <c r="CC1433" s="363"/>
    </row>
    <row r="1434" spans="2:81" ht="22.5" customHeight="1">
      <c r="B1434" s="507">
        <v>200037</v>
      </c>
      <c r="C1434" s="494" t="s">
        <v>17722</v>
      </c>
      <c r="D1434" s="467" t="s">
        <v>17717</v>
      </c>
      <c r="E1434" s="404" t="s">
        <v>5363</v>
      </c>
      <c r="F1434" s="405" t="s">
        <v>213</v>
      </c>
      <c r="G1434" s="324" t="s">
        <v>14663</v>
      </c>
      <c r="H1434" s="324" t="s">
        <v>14664</v>
      </c>
      <c r="I1434" s="326" t="s">
        <v>383</v>
      </c>
      <c r="J1434" s="326" t="s">
        <v>399</v>
      </c>
      <c r="K1434" s="324" t="s">
        <v>917</v>
      </c>
      <c r="L1434" s="342" t="s">
        <v>210</v>
      </c>
      <c r="M1434" s="324" t="s">
        <v>7457</v>
      </c>
      <c r="N1434" s="444" t="s">
        <v>437</v>
      </c>
      <c r="O1434" s="324">
        <v>30</v>
      </c>
      <c r="P1434" s="445">
        <v>150</v>
      </c>
      <c r="Q1434" s="446">
        <f>P1434</f>
        <v>150</v>
      </c>
      <c r="R1434" s="329" t="s">
        <v>3649</v>
      </c>
      <c r="S1434" s="513"/>
      <c r="T1434" s="394" t="s">
        <v>11323</v>
      </c>
      <c r="U1434" s="394" t="s">
        <v>11321</v>
      </c>
      <c r="V1434" s="513"/>
      <c r="W1434" s="1282" t="s">
        <v>17720</v>
      </c>
      <c r="X1434" s="513"/>
      <c r="Y1434" s="394" t="s">
        <v>17719</v>
      </c>
      <c r="Z1434" s="513"/>
      <c r="AA1434" s="1049" t="s">
        <v>17718</v>
      </c>
      <c r="AB1434" s="1283"/>
      <c r="AC1434" s="1283"/>
      <c r="AD1434" s="461"/>
      <c r="AE1434" s="499" t="s">
        <v>210</v>
      </c>
      <c r="AF1434" s="475">
        <v>44084</v>
      </c>
      <c r="AG1434" s="389"/>
      <c r="AH1434" s="417" t="s">
        <v>210</v>
      </c>
      <c r="AI1434" s="392" t="s">
        <v>210</v>
      </c>
      <c r="AJ1434" s="392" t="s">
        <v>210</v>
      </c>
      <c r="AK1434" s="340" t="s">
        <v>210</v>
      </c>
      <c r="AL1434" s="392" t="s">
        <v>210</v>
      </c>
      <c r="AM1434" s="392" t="s">
        <v>210</v>
      </c>
      <c r="AN1434" s="392" t="s">
        <v>210</v>
      </c>
      <c r="AO1434" s="392" t="s">
        <v>210</v>
      </c>
      <c r="AP1434" s="496" t="s">
        <v>622</v>
      </c>
      <c r="AQ1434" s="429" t="s">
        <v>4547</v>
      </c>
      <c r="AR1434" s="452">
        <v>237</v>
      </c>
      <c r="AS1434" s="324">
        <v>100</v>
      </c>
      <c r="AT1434" s="432">
        <v>0.8</v>
      </c>
      <c r="AU1434" s="432" t="s">
        <v>17749</v>
      </c>
      <c r="AV1434" s="432">
        <v>1.2</v>
      </c>
      <c r="AW1434" s="432" t="s">
        <v>17749</v>
      </c>
      <c r="AX1434" s="453" t="s">
        <v>210</v>
      </c>
      <c r="AY1434" s="429" t="s">
        <v>210</v>
      </c>
      <c r="AZ1434" s="405" t="s">
        <v>4083</v>
      </c>
      <c r="BA1434" s="324" t="s">
        <v>210</v>
      </c>
      <c r="BB1434" s="324" t="s">
        <v>210</v>
      </c>
      <c r="BC1434" s="324" t="s">
        <v>210</v>
      </c>
      <c r="BD1434" s="324" t="s">
        <v>210</v>
      </c>
      <c r="BE1434" s="324" t="s">
        <v>210</v>
      </c>
      <c r="BF1434" s="324" t="s">
        <v>210</v>
      </c>
      <c r="BG1434" s="324" t="s">
        <v>17750</v>
      </c>
      <c r="BH1434" s="426" t="s">
        <v>17751</v>
      </c>
      <c r="BI1434" s="453">
        <v>0.9</v>
      </c>
      <c r="BJ1434" s="427" t="s">
        <v>17752</v>
      </c>
      <c r="BK1434" s="428" t="s">
        <v>17753</v>
      </c>
      <c r="BL1434" s="429" t="s">
        <v>17753</v>
      </c>
      <c r="BM1434" s="430" t="s">
        <v>17754</v>
      </c>
      <c r="BN1434" s="453" t="s">
        <v>622</v>
      </c>
      <c r="BO1434" s="464">
        <v>1.42</v>
      </c>
      <c r="BP1434" s="455" t="s">
        <v>210</v>
      </c>
      <c r="BQ1434" s="456" t="s">
        <v>1059</v>
      </c>
      <c r="BR1434" s="392" t="s">
        <v>210</v>
      </c>
      <c r="BS1434" s="342" t="s">
        <v>622</v>
      </c>
      <c r="BT1434" s="392" t="s">
        <v>210</v>
      </c>
      <c r="BU1434" s="392" t="s">
        <v>210</v>
      </c>
      <c r="BV1434" s="392" t="s">
        <v>210</v>
      </c>
      <c r="BW1434" s="392" t="s">
        <v>210</v>
      </c>
      <c r="BX1434" s="392" t="s">
        <v>210</v>
      </c>
      <c r="BY1434" s="457" t="s">
        <v>17726</v>
      </c>
      <c r="BZ1434" s="363"/>
      <c r="CA1434" s="363"/>
      <c r="CB1434" s="363"/>
      <c r="CC1434" s="363"/>
    </row>
    <row r="1435" spans="2:81" ht="22.5" customHeight="1">
      <c r="B1435" s="507">
        <v>200038</v>
      </c>
      <c r="C1435" s="366" t="s">
        <v>17755</v>
      </c>
      <c r="D1435" s="467" t="s">
        <v>17081</v>
      </c>
      <c r="E1435" s="404" t="s">
        <v>6879</v>
      </c>
      <c r="F1435" s="405" t="s">
        <v>709</v>
      </c>
      <c r="G1435" s="326" t="s">
        <v>1782</v>
      </c>
      <c r="H1435" s="324" t="s">
        <v>17727</v>
      </c>
      <c r="I1435" s="326" t="s">
        <v>11</v>
      </c>
      <c r="J1435" s="324" t="s">
        <v>16686</v>
      </c>
      <c r="K1435" s="324" t="s">
        <v>917</v>
      </c>
      <c r="L1435" s="342" t="s">
        <v>210</v>
      </c>
      <c r="M1435" s="324" t="s">
        <v>9103</v>
      </c>
      <c r="N1435" s="444" t="s">
        <v>438</v>
      </c>
      <c r="O1435" s="408"/>
      <c r="P1435" s="445">
        <f>Q1435+100</f>
        <v>2600</v>
      </c>
      <c r="Q1435" s="446">
        <f>2200+300</f>
        <v>2500</v>
      </c>
      <c r="R1435" s="420" t="s">
        <v>16772</v>
      </c>
      <c r="S1435" s="394" t="s">
        <v>16773</v>
      </c>
      <c r="T1435" s="394" t="s">
        <v>17824</v>
      </c>
      <c r="U1435" s="394" t="s">
        <v>17823</v>
      </c>
      <c r="V1435" s="394" t="s">
        <v>16774</v>
      </c>
      <c r="W1435" s="460" t="s">
        <v>16778</v>
      </c>
      <c r="X1435" s="394" t="s">
        <v>16775</v>
      </c>
      <c r="Y1435" s="394" t="s">
        <v>16776</v>
      </c>
      <c r="Z1435" s="513"/>
      <c r="AA1435" s="394" t="s">
        <v>16777</v>
      </c>
      <c r="AB1435" s="416" t="s">
        <v>16783</v>
      </c>
      <c r="AC1435" s="416"/>
      <c r="AD1435" s="461"/>
      <c r="AE1435" s="485"/>
      <c r="AF1435" s="475">
        <v>44085</v>
      </c>
      <c r="AG1435" s="389"/>
      <c r="AH1435" s="417" t="s">
        <v>210</v>
      </c>
      <c r="AI1435" s="392" t="s">
        <v>210</v>
      </c>
      <c r="AJ1435" s="392" t="s">
        <v>210</v>
      </c>
      <c r="AK1435" s="340" t="s">
        <v>210</v>
      </c>
      <c r="AL1435" s="392" t="s">
        <v>210</v>
      </c>
      <c r="AM1435" s="392" t="s">
        <v>210</v>
      </c>
      <c r="AN1435" s="392" t="s">
        <v>210</v>
      </c>
      <c r="AO1435" s="392" t="s">
        <v>210</v>
      </c>
      <c r="AP1435" s="496" t="s">
        <v>622</v>
      </c>
      <c r="AQ1435" s="429" t="s">
        <v>4547</v>
      </c>
      <c r="AR1435" s="452">
        <f>2699+378</f>
        <v>3077</v>
      </c>
      <c r="AS1435" s="324">
        <v>150</v>
      </c>
      <c r="AT1435" s="432">
        <v>0.8</v>
      </c>
      <c r="AU1435" s="432" t="s">
        <v>17825</v>
      </c>
      <c r="AV1435" s="432">
        <v>1.5</v>
      </c>
      <c r="AW1435" s="432" t="s">
        <v>17825</v>
      </c>
      <c r="AX1435" s="453" t="s">
        <v>210</v>
      </c>
      <c r="AY1435" s="429" t="s">
        <v>17826</v>
      </c>
      <c r="AZ1435" s="405" t="s">
        <v>4083</v>
      </c>
      <c r="BA1435" s="324" t="s">
        <v>210</v>
      </c>
      <c r="BB1435" s="324" t="s">
        <v>210</v>
      </c>
      <c r="BC1435" s="324" t="s">
        <v>17827</v>
      </c>
      <c r="BD1435" s="324" t="s">
        <v>17828</v>
      </c>
      <c r="BE1435" s="324" t="s">
        <v>17829</v>
      </c>
      <c r="BF1435" s="324" t="s">
        <v>17830</v>
      </c>
      <c r="BG1435" s="324" t="s">
        <v>17831</v>
      </c>
      <c r="BH1435" s="426" t="s">
        <v>17832</v>
      </c>
      <c r="BI1435" s="453">
        <v>2.7</v>
      </c>
      <c r="BJ1435" s="427">
        <v>1.02</v>
      </c>
      <c r="BK1435" s="428" t="s">
        <v>210</v>
      </c>
      <c r="BL1435" s="429" t="s">
        <v>210</v>
      </c>
      <c r="BM1435" s="430" t="s">
        <v>17046</v>
      </c>
      <c r="BN1435" s="453" t="s">
        <v>622</v>
      </c>
      <c r="BO1435" s="464">
        <v>0.94</v>
      </c>
      <c r="BP1435" s="455" t="s">
        <v>210</v>
      </c>
      <c r="BQ1435" s="456" t="s">
        <v>17833</v>
      </c>
      <c r="BR1435" s="392" t="s">
        <v>210</v>
      </c>
      <c r="BS1435" s="342" t="s">
        <v>622</v>
      </c>
      <c r="BT1435" s="392" t="s">
        <v>210</v>
      </c>
      <c r="BU1435" s="392" t="s">
        <v>210</v>
      </c>
      <c r="BV1435" s="392" t="s">
        <v>210</v>
      </c>
      <c r="BW1435" s="392" t="s">
        <v>210</v>
      </c>
      <c r="BX1435" s="392" t="s">
        <v>210</v>
      </c>
      <c r="BY1435" s="457" t="s">
        <v>17834</v>
      </c>
      <c r="BZ1435" s="363"/>
      <c r="CA1435" s="363"/>
      <c r="CB1435" s="363"/>
      <c r="CC1435" s="363"/>
    </row>
    <row r="1436" spans="2:81" ht="22.5" customHeight="1">
      <c r="B1436" s="507">
        <v>200039</v>
      </c>
      <c r="C1436" s="366" t="s">
        <v>17734</v>
      </c>
      <c r="D1436" s="1264" t="s">
        <v>17735</v>
      </c>
      <c r="E1436" s="368" t="s">
        <v>15155</v>
      </c>
      <c r="F1436" s="321" t="s">
        <v>17576</v>
      </c>
      <c r="G1436" s="326" t="s">
        <v>17577</v>
      </c>
      <c r="H1436" s="324" t="s">
        <v>17792</v>
      </c>
      <c r="I1436" s="326" t="s">
        <v>11</v>
      </c>
      <c r="J1436" s="326" t="s">
        <v>399</v>
      </c>
      <c r="K1436" s="324" t="s">
        <v>17736</v>
      </c>
      <c r="L1436" s="342">
        <v>50</v>
      </c>
      <c r="M1436" s="324" t="s">
        <v>7457</v>
      </c>
      <c r="N1436" s="444" t="s">
        <v>438</v>
      </c>
      <c r="O1436" s="324">
        <v>130</v>
      </c>
      <c r="P1436" s="458">
        <v>1056</v>
      </c>
      <c r="Q1436" s="459">
        <v>1028</v>
      </c>
      <c r="R1436" s="420" t="s">
        <v>17589</v>
      </c>
      <c r="S1436" s="394" t="s">
        <v>17590</v>
      </c>
      <c r="T1436" s="394" t="s">
        <v>17592</v>
      </c>
      <c r="U1436" s="394" t="s">
        <v>17591</v>
      </c>
      <c r="V1436" s="394" t="s">
        <v>17593</v>
      </c>
      <c r="W1436" s="332" t="s">
        <v>644</v>
      </c>
      <c r="X1436" s="513"/>
      <c r="Y1436" s="513"/>
      <c r="Z1436" s="513"/>
      <c r="AA1436" s="513"/>
      <c r="AB1436" s="416"/>
      <c r="AC1436" s="416"/>
      <c r="AD1436" s="447" t="s">
        <v>17928</v>
      </c>
      <c r="AE1436" s="499" t="s">
        <v>17857</v>
      </c>
      <c r="AF1436" s="475">
        <v>44088</v>
      </c>
      <c r="AG1436" s="748">
        <v>44113</v>
      </c>
      <c r="AH1436" s="417" t="s">
        <v>210</v>
      </c>
      <c r="AI1436" s="392" t="s">
        <v>210</v>
      </c>
      <c r="AJ1436" s="392" t="s">
        <v>210</v>
      </c>
      <c r="AK1436" s="340" t="s">
        <v>210</v>
      </c>
      <c r="AL1436" s="392" t="s">
        <v>210</v>
      </c>
      <c r="AM1436" s="392" t="s">
        <v>210</v>
      </c>
      <c r="AN1436" s="392" t="s">
        <v>210</v>
      </c>
      <c r="AO1436" s="392" t="s">
        <v>210</v>
      </c>
      <c r="AP1436" s="496" t="s">
        <v>622</v>
      </c>
      <c r="AQ1436" s="429" t="s">
        <v>4547</v>
      </c>
      <c r="AR1436" s="452">
        <v>851</v>
      </c>
      <c r="AS1436" s="324">
        <v>120</v>
      </c>
      <c r="AT1436" s="432">
        <v>1.5</v>
      </c>
      <c r="AU1436" s="432" t="s">
        <v>17788</v>
      </c>
      <c r="AV1436" s="432">
        <v>1</v>
      </c>
      <c r="AW1436" s="490" t="s">
        <v>17789</v>
      </c>
      <c r="AX1436" s="453" t="s">
        <v>210</v>
      </c>
      <c r="AY1436" s="429" t="s">
        <v>210</v>
      </c>
      <c r="AZ1436" s="405" t="s">
        <v>4083</v>
      </c>
      <c r="BA1436" s="324" t="s">
        <v>210</v>
      </c>
      <c r="BB1436" s="324" t="s">
        <v>210</v>
      </c>
      <c r="BC1436" s="324" t="s">
        <v>210</v>
      </c>
      <c r="BD1436" s="324" t="s">
        <v>210</v>
      </c>
      <c r="BE1436" s="324" t="s">
        <v>3555</v>
      </c>
      <c r="BF1436" s="324" t="s">
        <v>17789</v>
      </c>
      <c r="BG1436" s="324" t="s">
        <v>17790</v>
      </c>
      <c r="BH1436" s="324" t="s">
        <v>17789</v>
      </c>
      <c r="BI1436" s="453">
        <v>3</v>
      </c>
      <c r="BJ1436" s="427">
        <v>6.2</v>
      </c>
      <c r="BK1436" s="428" t="s">
        <v>17791</v>
      </c>
      <c r="BL1436" s="429">
        <f>5.6+1.45</f>
        <v>7.05</v>
      </c>
      <c r="BM1436" s="430" t="s">
        <v>295</v>
      </c>
      <c r="BN1436" s="410"/>
      <c r="BO1436" s="502"/>
      <c r="BP1436" s="492"/>
      <c r="BQ1436" s="456" t="s">
        <v>247</v>
      </c>
      <c r="BR1436" s="392" t="s">
        <v>210</v>
      </c>
      <c r="BS1436" s="342" t="s">
        <v>622</v>
      </c>
      <c r="BT1436" s="392" t="s">
        <v>210</v>
      </c>
      <c r="BU1436" s="392" t="s">
        <v>210</v>
      </c>
      <c r="BV1436" s="392" t="s">
        <v>210</v>
      </c>
      <c r="BW1436" s="392" t="s">
        <v>210</v>
      </c>
      <c r="BX1436" s="392" t="s">
        <v>210</v>
      </c>
      <c r="BY1436" s="457"/>
      <c r="BZ1436" s="363"/>
      <c r="CA1436" s="363"/>
      <c r="CB1436" s="363"/>
      <c r="CC1436" s="363"/>
    </row>
    <row r="1437" spans="2:81" ht="22.5" customHeight="1">
      <c r="B1437" s="507">
        <v>200040</v>
      </c>
      <c r="C1437" s="366" t="s">
        <v>17802</v>
      </c>
      <c r="D1437" s="1264" t="s">
        <v>17784</v>
      </c>
      <c r="E1437" s="368" t="s">
        <v>17062</v>
      </c>
      <c r="F1437" s="377" t="s">
        <v>17835</v>
      </c>
      <c r="G1437" s="326" t="s">
        <v>17054</v>
      </c>
      <c r="H1437" s="324" t="s">
        <v>17836</v>
      </c>
      <c r="I1437" s="326" t="s">
        <v>383</v>
      </c>
      <c r="J1437" s="326" t="s">
        <v>399</v>
      </c>
      <c r="K1437" s="324" t="s">
        <v>17785</v>
      </c>
      <c r="L1437" s="342">
        <v>40</v>
      </c>
      <c r="M1437" s="324" t="s">
        <v>7457</v>
      </c>
      <c r="N1437" s="444" t="s">
        <v>438</v>
      </c>
      <c r="O1437" s="324">
        <v>70</v>
      </c>
      <c r="P1437" s="445">
        <v>2003</v>
      </c>
      <c r="Q1437" s="446">
        <v>2222</v>
      </c>
      <c r="R1437" s="420" t="s">
        <v>17645</v>
      </c>
      <c r="S1437" s="394" t="s">
        <v>17649</v>
      </c>
      <c r="T1437" s="394" t="s">
        <v>17650</v>
      </c>
      <c r="U1437" s="513"/>
      <c r="V1437" s="394" t="s">
        <v>17651</v>
      </c>
      <c r="W1437" s="460" t="s">
        <v>17646</v>
      </c>
      <c r="X1437" s="394" t="s">
        <v>17664</v>
      </c>
      <c r="Y1437" s="394" t="s">
        <v>17652</v>
      </c>
      <c r="Z1437" s="513"/>
      <c r="AA1437" s="394" t="s">
        <v>17653</v>
      </c>
      <c r="AB1437" s="416"/>
      <c r="AC1437" s="416"/>
      <c r="AD1437" s="334" t="s">
        <v>2337</v>
      </c>
      <c r="AE1437" s="499" t="s">
        <v>353</v>
      </c>
      <c r="AF1437" s="475">
        <v>44092</v>
      </c>
      <c r="AG1437" s="389"/>
      <c r="AH1437" s="417" t="s">
        <v>210</v>
      </c>
      <c r="AI1437" s="392" t="s">
        <v>210</v>
      </c>
      <c r="AJ1437" s="392" t="s">
        <v>210</v>
      </c>
      <c r="AK1437" s="340" t="s">
        <v>210</v>
      </c>
      <c r="AL1437" s="392" t="s">
        <v>210</v>
      </c>
      <c r="AM1437" s="392" t="s">
        <v>210</v>
      </c>
      <c r="AN1437" s="392" t="s">
        <v>210</v>
      </c>
      <c r="AO1437" s="392" t="s">
        <v>210</v>
      </c>
      <c r="AP1437" s="392" t="s">
        <v>210</v>
      </c>
      <c r="AQ1437" s="433" t="s">
        <v>17756</v>
      </c>
      <c r="AR1437" s="452">
        <v>2520</v>
      </c>
      <c r="AS1437" s="324">
        <v>120</v>
      </c>
      <c r="AT1437" s="432">
        <v>1</v>
      </c>
      <c r="AU1437" s="432" t="s">
        <v>17837</v>
      </c>
      <c r="AV1437" s="432">
        <v>1.5</v>
      </c>
      <c r="AW1437" s="490" t="s">
        <v>17838</v>
      </c>
      <c r="AX1437" s="453" t="s">
        <v>210</v>
      </c>
      <c r="AY1437" s="429" t="s">
        <v>210</v>
      </c>
      <c r="AZ1437" s="405" t="s">
        <v>4083</v>
      </c>
      <c r="BA1437" s="324" t="s">
        <v>210</v>
      </c>
      <c r="BB1437" s="324" t="s">
        <v>210</v>
      </c>
      <c r="BC1437" s="324" t="s">
        <v>17839</v>
      </c>
      <c r="BD1437" s="324" t="s">
        <v>17838</v>
      </c>
      <c r="BE1437" s="324" t="s">
        <v>17840</v>
      </c>
      <c r="BF1437" s="324" t="s">
        <v>17838</v>
      </c>
      <c r="BG1437" s="324" t="s">
        <v>17841</v>
      </c>
      <c r="BH1437" s="324" t="s">
        <v>17838</v>
      </c>
      <c r="BI1437" s="453">
        <v>2.7</v>
      </c>
      <c r="BJ1437" s="427">
        <v>4.5199999999999996</v>
      </c>
      <c r="BK1437" s="428" t="s">
        <v>17842</v>
      </c>
      <c r="BL1437" s="429">
        <v>2.4500000000000002</v>
      </c>
      <c r="BM1437" s="430" t="s">
        <v>210</v>
      </c>
      <c r="BN1437" s="453" t="s">
        <v>622</v>
      </c>
      <c r="BO1437" s="464">
        <v>1.26</v>
      </c>
      <c r="BP1437" s="455" t="s">
        <v>622</v>
      </c>
      <c r="BQ1437" s="456" t="s">
        <v>247</v>
      </c>
      <c r="BR1437" s="392" t="s">
        <v>210</v>
      </c>
      <c r="BS1437" s="342" t="s">
        <v>622</v>
      </c>
      <c r="BT1437" s="392" t="s">
        <v>210</v>
      </c>
      <c r="BU1437" s="392" t="s">
        <v>210</v>
      </c>
      <c r="BV1437" s="392" t="s">
        <v>210</v>
      </c>
      <c r="BW1437" s="392" t="s">
        <v>210</v>
      </c>
      <c r="BX1437" s="392" t="s">
        <v>210</v>
      </c>
      <c r="BY1437" s="457"/>
      <c r="BZ1437" s="363"/>
      <c r="CA1437" s="363"/>
      <c r="CB1437" s="363"/>
      <c r="CC1437" s="363"/>
    </row>
    <row r="1438" spans="2:81" ht="22.5" customHeight="1">
      <c r="B1438" s="507">
        <v>200041</v>
      </c>
      <c r="C1438" s="366" t="s">
        <v>17588</v>
      </c>
      <c r="D1438" s="1264" t="s">
        <v>16718</v>
      </c>
      <c r="E1438" s="404" t="s">
        <v>5362</v>
      </c>
      <c r="F1438" s="321" t="s">
        <v>17800</v>
      </c>
      <c r="G1438" s="326" t="s">
        <v>17801</v>
      </c>
      <c r="H1438" s="324" t="s">
        <v>17924</v>
      </c>
      <c r="I1438" s="326" t="s">
        <v>383</v>
      </c>
      <c r="J1438" s="326" t="s">
        <v>399</v>
      </c>
      <c r="K1438" s="324" t="s">
        <v>917</v>
      </c>
      <c r="L1438" s="342" t="s">
        <v>210</v>
      </c>
      <c r="M1438" s="324" t="s">
        <v>7457</v>
      </c>
      <c r="N1438" s="444" t="s">
        <v>17930</v>
      </c>
      <c r="O1438" s="324">
        <v>55</v>
      </c>
      <c r="P1438" s="458">
        <v>1732</v>
      </c>
      <c r="Q1438" s="459">
        <v>1853</v>
      </c>
      <c r="R1438" s="420" t="s">
        <v>17587</v>
      </c>
      <c r="S1438" s="394" t="s">
        <v>17821</v>
      </c>
      <c r="T1438" s="394" t="s">
        <v>12292</v>
      </c>
      <c r="U1438" s="394" t="s">
        <v>16338</v>
      </c>
      <c r="V1438" s="394" t="s">
        <v>12293</v>
      </c>
      <c r="W1438" s="1282" t="s">
        <v>1106</v>
      </c>
      <c r="X1438" s="394" t="s">
        <v>17793</v>
      </c>
      <c r="Y1438" s="394" t="s">
        <v>17794</v>
      </c>
      <c r="Z1438" s="394" t="s">
        <v>17795</v>
      </c>
      <c r="AA1438" s="394" t="s">
        <v>17796</v>
      </c>
      <c r="AB1438" s="416"/>
      <c r="AC1438" s="416"/>
      <c r="AD1438" s="447" t="s">
        <v>18121</v>
      </c>
      <c r="AE1438" s="499" t="s">
        <v>18106</v>
      </c>
      <c r="AF1438" s="475">
        <v>44097</v>
      </c>
      <c r="AG1438" s="389"/>
      <c r="AH1438" s="417" t="s">
        <v>210</v>
      </c>
      <c r="AI1438" s="392" t="s">
        <v>210</v>
      </c>
      <c r="AJ1438" s="392" t="s">
        <v>210</v>
      </c>
      <c r="AK1438" s="340" t="s">
        <v>210</v>
      </c>
      <c r="AL1438" s="392" t="s">
        <v>210</v>
      </c>
      <c r="AM1438" s="392" t="s">
        <v>210</v>
      </c>
      <c r="AN1438" s="392" t="s">
        <v>210</v>
      </c>
      <c r="AO1438" s="392" t="s">
        <v>210</v>
      </c>
      <c r="AP1438" s="392" t="s">
        <v>210</v>
      </c>
      <c r="AQ1438" s="429" t="s">
        <v>4547</v>
      </c>
      <c r="AR1438" s="452">
        <v>2151</v>
      </c>
      <c r="AS1438" s="324">
        <v>100</v>
      </c>
      <c r="AT1438" s="432">
        <v>0.8</v>
      </c>
      <c r="AU1438" s="432" t="s">
        <v>17931</v>
      </c>
      <c r="AV1438" s="432">
        <v>1.5</v>
      </c>
      <c r="AW1438" s="490" t="s">
        <v>17932</v>
      </c>
      <c r="AX1438" s="453" t="s">
        <v>210</v>
      </c>
      <c r="AY1438" s="429" t="s">
        <v>622</v>
      </c>
      <c r="AZ1438" s="405" t="s">
        <v>4083</v>
      </c>
      <c r="BA1438" s="324" t="s">
        <v>210</v>
      </c>
      <c r="BB1438" s="324" t="s">
        <v>210</v>
      </c>
      <c r="BC1438" s="324" t="s">
        <v>17933</v>
      </c>
      <c r="BD1438" s="324" t="s">
        <v>17932</v>
      </c>
      <c r="BE1438" s="324" t="s">
        <v>17934</v>
      </c>
      <c r="BF1438" s="324" t="s">
        <v>17931</v>
      </c>
      <c r="BG1438" s="324" t="s">
        <v>17935</v>
      </c>
      <c r="BH1438" s="426" t="s">
        <v>17935</v>
      </c>
      <c r="BI1438" s="453">
        <v>1.75</v>
      </c>
      <c r="BJ1438" s="411"/>
      <c r="BK1438" s="428" t="s">
        <v>17932</v>
      </c>
      <c r="BL1438" s="429">
        <v>1</v>
      </c>
      <c r="BM1438" s="414"/>
      <c r="BN1438" s="410"/>
      <c r="BO1438" s="502"/>
      <c r="BP1438" s="492"/>
      <c r="BQ1438" s="456" t="s">
        <v>10959</v>
      </c>
      <c r="BR1438" s="361"/>
      <c r="BS1438" s="342" t="s">
        <v>622</v>
      </c>
      <c r="BT1438" s="392" t="s">
        <v>210</v>
      </c>
      <c r="BU1438" s="392" t="s">
        <v>210</v>
      </c>
      <c r="BV1438" s="392" t="s">
        <v>210</v>
      </c>
      <c r="BW1438" s="392" t="s">
        <v>210</v>
      </c>
      <c r="BX1438" s="392" t="s">
        <v>210</v>
      </c>
      <c r="BY1438" s="457"/>
      <c r="BZ1438" s="363"/>
      <c r="CA1438" s="363"/>
      <c r="CB1438" s="363"/>
      <c r="CC1438" s="363"/>
    </row>
    <row r="1439" spans="2:81" ht="22.5" customHeight="1">
      <c r="B1439" s="507">
        <v>200042</v>
      </c>
      <c r="C1439" s="366" t="s">
        <v>17859</v>
      </c>
      <c r="D1439" s="1264" t="s">
        <v>15088</v>
      </c>
      <c r="E1439" s="404" t="s">
        <v>5363</v>
      </c>
      <c r="F1439" s="321" t="s">
        <v>17804</v>
      </c>
      <c r="G1439" s="326" t="s">
        <v>17971</v>
      </c>
      <c r="H1439" s="324" t="s">
        <v>17970</v>
      </c>
      <c r="I1439" s="326" t="s">
        <v>11</v>
      </c>
      <c r="J1439" s="326" t="s">
        <v>399</v>
      </c>
      <c r="K1439" s="324" t="s">
        <v>917</v>
      </c>
      <c r="L1439" s="342" t="s">
        <v>210</v>
      </c>
      <c r="M1439" s="324" t="s">
        <v>7457</v>
      </c>
      <c r="N1439" s="444" t="s">
        <v>438</v>
      </c>
      <c r="O1439" s="324">
        <v>40</v>
      </c>
      <c r="P1439" s="445">
        <v>1100</v>
      </c>
      <c r="Q1439" s="446">
        <f>P1439</f>
        <v>1100</v>
      </c>
      <c r="R1439" s="420" t="s">
        <v>17807</v>
      </c>
      <c r="S1439" s="394" t="s">
        <v>17808</v>
      </c>
      <c r="T1439" s="394" t="s">
        <v>17809</v>
      </c>
      <c r="U1439" s="513"/>
      <c r="V1439" s="394" t="s">
        <v>17810</v>
      </c>
      <c r="W1439" s="332" t="s">
        <v>432</v>
      </c>
      <c r="X1439" s="331" t="s">
        <v>210</v>
      </c>
      <c r="Y1439" s="331" t="s">
        <v>210</v>
      </c>
      <c r="Z1439" s="331" t="s">
        <v>210</v>
      </c>
      <c r="AA1439" s="331" t="s">
        <v>210</v>
      </c>
      <c r="AB1439" s="416" t="s">
        <v>1106</v>
      </c>
      <c r="AC1439" s="416"/>
      <c r="AD1439" s="461"/>
      <c r="AE1439" s="485"/>
      <c r="AF1439" s="475">
        <v>44099</v>
      </c>
      <c r="AG1439" s="389"/>
      <c r="AH1439" s="453">
        <v>5.9</v>
      </c>
      <c r="AI1439" s="432">
        <v>14</v>
      </c>
      <c r="AJ1439" s="432">
        <v>13.5</v>
      </c>
      <c r="AK1439" s="340">
        <f>SUM(AH1439:AJ1439)</f>
        <v>33.4</v>
      </c>
      <c r="AL1439" s="392" t="s">
        <v>210</v>
      </c>
      <c r="AM1439" s="392" t="s">
        <v>210</v>
      </c>
      <c r="AN1439" s="392" t="s">
        <v>210</v>
      </c>
      <c r="AO1439" s="392" t="s">
        <v>210</v>
      </c>
      <c r="AP1439" s="496" t="s">
        <v>622</v>
      </c>
      <c r="AQ1439" s="429" t="s">
        <v>4547</v>
      </c>
      <c r="AR1439" s="452">
        <v>1239</v>
      </c>
      <c r="AS1439" s="324">
        <v>150</v>
      </c>
      <c r="AT1439" s="432">
        <v>0.8</v>
      </c>
      <c r="AU1439" s="432" t="s">
        <v>18007</v>
      </c>
      <c r="AV1439" s="432">
        <v>1.2</v>
      </c>
      <c r="AW1439" s="490" t="s">
        <v>18008</v>
      </c>
      <c r="AX1439" s="453" t="s">
        <v>210</v>
      </c>
      <c r="AY1439" s="429" t="s">
        <v>8601</v>
      </c>
      <c r="AZ1439" s="405" t="s">
        <v>4083</v>
      </c>
      <c r="BA1439" s="324" t="s">
        <v>210</v>
      </c>
      <c r="BB1439" s="324" t="s">
        <v>210</v>
      </c>
      <c r="BC1439" s="324" t="s">
        <v>210</v>
      </c>
      <c r="BD1439" s="324" t="s">
        <v>210</v>
      </c>
      <c r="BE1439" s="324" t="s">
        <v>210</v>
      </c>
      <c r="BF1439" s="324" t="s">
        <v>210</v>
      </c>
      <c r="BG1439" s="324" t="s">
        <v>210</v>
      </c>
      <c r="BH1439" s="324" t="s">
        <v>210</v>
      </c>
      <c r="BI1439" s="453">
        <v>0.9</v>
      </c>
      <c r="BJ1439" s="427" t="s">
        <v>16080</v>
      </c>
      <c r="BK1439" s="428" t="s">
        <v>210</v>
      </c>
      <c r="BL1439" s="429" t="s">
        <v>210</v>
      </c>
      <c r="BM1439" s="430" t="s">
        <v>210</v>
      </c>
      <c r="BN1439" s="453" t="s">
        <v>622</v>
      </c>
      <c r="BO1439" s="464">
        <v>2.85</v>
      </c>
      <c r="BP1439" s="455" t="s">
        <v>210</v>
      </c>
      <c r="BQ1439" s="456" t="s">
        <v>1059</v>
      </c>
      <c r="BR1439" s="392" t="s">
        <v>210</v>
      </c>
      <c r="BS1439" s="361"/>
      <c r="BT1439" s="392" t="s">
        <v>210</v>
      </c>
      <c r="BU1439" s="392" t="s">
        <v>210</v>
      </c>
      <c r="BV1439" s="392" t="s">
        <v>210</v>
      </c>
      <c r="BW1439" s="392" t="s">
        <v>210</v>
      </c>
      <c r="BX1439" s="392" t="s">
        <v>210</v>
      </c>
      <c r="BY1439" s="457" t="s">
        <v>18009</v>
      </c>
      <c r="BZ1439" s="363"/>
      <c r="CA1439" s="363"/>
      <c r="CB1439" s="363"/>
      <c r="CC1439" s="363"/>
    </row>
    <row r="1440" spans="2:81" ht="22.5" customHeight="1">
      <c r="B1440" s="507">
        <v>200043</v>
      </c>
      <c r="C1440" s="366" t="s">
        <v>17882</v>
      </c>
      <c r="D1440" s="1264" t="s">
        <v>17878</v>
      </c>
      <c r="E1440" s="368" t="s">
        <v>17062</v>
      </c>
      <c r="F1440" s="321" t="s">
        <v>1509</v>
      </c>
      <c r="G1440" s="326" t="s">
        <v>17872</v>
      </c>
      <c r="H1440" s="324" t="s">
        <v>17873</v>
      </c>
      <c r="I1440" s="326" t="s">
        <v>11</v>
      </c>
      <c r="J1440" s="326" t="s">
        <v>399</v>
      </c>
      <c r="K1440" s="324" t="s">
        <v>17874</v>
      </c>
      <c r="L1440" s="342" t="s">
        <v>210</v>
      </c>
      <c r="M1440" s="324" t="s">
        <v>7457</v>
      </c>
      <c r="N1440" s="444" t="s">
        <v>437</v>
      </c>
      <c r="O1440" s="324">
        <v>100</v>
      </c>
      <c r="P1440" s="445">
        <v>1300</v>
      </c>
      <c r="Q1440" s="446">
        <f>P1440</f>
        <v>1300</v>
      </c>
      <c r="R1440" s="420" t="s">
        <v>442</v>
      </c>
      <c r="S1440" s="394" t="s">
        <v>12566</v>
      </c>
      <c r="T1440" s="394" t="s">
        <v>12567</v>
      </c>
      <c r="U1440" s="394" t="s">
        <v>16336</v>
      </c>
      <c r="V1440" s="394" t="s">
        <v>12568</v>
      </c>
      <c r="W1440" s="332" t="s">
        <v>3084</v>
      </c>
      <c r="X1440" s="394" t="s">
        <v>12542</v>
      </c>
      <c r="Y1440" s="394" t="s">
        <v>11693</v>
      </c>
      <c r="Z1440" s="394" t="s">
        <v>16340</v>
      </c>
      <c r="AA1440" s="394" t="s">
        <v>11692</v>
      </c>
      <c r="AB1440" s="416"/>
      <c r="AC1440" s="416"/>
      <c r="AD1440" s="461"/>
      <c r="AE1440" s="499" t="s">
        <v>210</v>
      </c>
      <c r="AF1440" s="475">
        <v>44105</v>
      </c>
      <c r="AG1440" s="389"/>
      <c r="AH1440" s="417" t="s">
        <v>210</v>
      </c>
      <c r="AI1440" s="392" t="s">
        <v>210</v>
      </c>
      <c r="AJ1440" s="392" t="s">
        <v>210</v>
      </c>
      <c r="AK1440" s="340" t="s">
        <v>210</v>
      </c>
      <c r="AL1440" s="392" t="s">
        <v>210</v>
      </c>
      <c r="AM1440" s="392" t="s">
        <v>210</v>
      </c>
      <c r="AN1440" s="487" t="s">
        <v>18126</v>
      </c>
      <c r="AO1440" s="392" t="s">
        <v>210</v>
      </c>
      <c r="AP1440" s="392" t="s">
        <v>210</v>
      </c>
      <c r="AQ1440" s="429" t="s">
        <v>4547</v>
      </c>
      <c r="AR1440" s="452">
        <v>1497</v>
      </c>
      <c r="AS1440" s="324">
        <v>80</v>
      </c>
      <c r="AT1440" s="432">
        <v>1</v>
      </c>
      <c r="AU1440" s="432" t="s">
        <v>18127</v>
      </c>
      <c r="AV1440" s="432">
        <v>1.5</v>
      </c>
      <c r="AW1440" s="490" t="s">
        <v>18128</v>
      </c>
      <c r="AX1440" s="453" t="s">
        <v>210</v>
      </c>
      <c r="AY1440" s="429" t="s">
        <v>210</v>
      </c>
      <c r="AZ1440" s="405" t="s">
        <v>4083</v>
      </c>
      <c r="BA1440" s="324" t="s">
        <v>210</v>
      </c>
      <c r="BB1440" s="324" t="s">
        <v>210</v>
      </c>
      <c r="BC1440" s="324" t="s">
        <v>18129</v>
      </c>
      <c r="BD1440" s="324" t="s">
        <v>3492</v>
      </c>
      <c r="BE1440" s="324" t="s">
        <v>18130</v>
      </c>
      <c r="BF1440" s="324" t="s">
        <v>18131</v>
      </c>
      <c r="BG1440" s="324" t="s">
        <v>18129</v>
      </c>
      <c r="BH1440" s="426" t="s">
        <v>18132</v>
      </c>
      <c r="BI1440" s="453">
        <v>0.5</v>
      </c>
      <c r="BJ1440" s="427">
        <v>2.2999999999999998</v>
      </c>
      <c r="BK1440" s="428" t="s">
        <v>3492</v>
      </c>
      <c r="BL1440" s="429">
        <v>2.4500000000000002</v>
      </c>
      <c r="BM1440" s="430" t="s">
        <v>210</v>
      </c>
      <c r="BN1440" s="453" t="s">
        <v>622</v>
      </c>
      <c r="BO1440" s="464">
        <v>1.19</v>
      </c>
      <c r="BP1440" s="455" t="s">
        <v>622</v>
      </c>
      <c r="BQ1440" s="456" t="s">
        <v>10959</v>
      </c>
      <c r="BR1440" s="392" t="s">
        <v>210</v>
      </c>
      <c r="BS1440" s="361"/>
      <c r="BT1440" s="392" t="s">
        <v>210</v>
      </c>
      <c r="BU1440" s="392" t="s">
        <v>210</v>
      </c>
      <c r="BV1440" s="392" t="s">
        <v>210</v>
      </c>
      <c r="BW1440" s="392" t="s">
        <v>210</v>
      </c>
      <c r="BX1440" s="392" t="s">
        <v>210</v>
      </c>
      <c r="BY1440" s="457"/>
      <c r="BZ1440" s="363"/>
      <c r="CA1440" s="363"/>
      <c r="CB1440" s="363"/>
      <c r="CC1440" s="363"/>
    </row>
    <row r="1441" spans="1:82" ht="22.5" customHeight="1">
      <c r="B1441" s="507">
        <v>200044</v>
      </c>
      <c r="C1441" s="494" t="s">
        <v>17876</v>
      </c>
      <c r="D1441" s="1264" t="s">
        <v>15088</v>
      </c>
      <c r="E1441" s="404" t="s">
        <v>5363</v>
      </c>
      <c r="F1441" s="405" t="s">
        <v>240</v>
      </c>
      <c r="G1441" s="324" t="s">
        <v>17925</v>
      </c>
      <c r="H1441" s="324" t="s">
        <v>17926</v>
      </c>
      <c r="I1441" s="326" t="s">
        <v>11</v>
      </c>
      <c r="J1441" s="326" t="s">
        <v>399</v>
      </c>
      <c r="K1441" s="324" t="s">
        <v>917</v>
      </c>
      <c r="L1441" s="342" t="s">
        <v>210</v>
      </c>
      <c r="M1441" s="324" t="s">
        <v>7457</v>
      </c>
      <c r="N1441" s="444" t="s">
        <v>438</v>
      </c>
      <c r="O1441" s="408"/>
      <c r="P1441" s="1314">
        <v>2900</v>
      </c>
      <c r="Q1441" s="446">
        <f>P1441</f>
        <v>2900</v>
      </c>
      <c r="R1441" s="329" t="s">
        <v>469</v>
      </c>
      <c r="S1441" s="331" t="s">
        <v>12965</v>
      </c>
      <c r="T1441" s="331" t="s">
        <v>11205</v>
      </c>
      <c r="U1441" s="331" t="s">
        <v>11207</v>
      </c>
      <c r="V1441" s="649" t="s">
        <v>17877</v>
      </c>
      <c r="W1441" s="332" t="s">
        <v>432</v>
      </c>
      <c r="X1441" s="331" t="s">
        <v>210</v>
      </c>
      <c r="Y1441" s="331" t="s">
        <v>210</v>
      </c>
      <c r="Z1441" s="331" t="s">
        <v>210</v>
      </c>
      <c r="AA1441" s="331" t="s">
        <v>210</v>
      </c>
      <c r="AB1441" s="416" t="s">
        <v>1106</v>
      </c>
      <c r="AC1441" s="416"/>
      <c r="AD1441" s="461"/>
      <c r="AE1441" s="485"/>
      <c r="AF1441" s="475">
        <v>44106</v>
      </c>
      <c r="AG1441" s="389"/>
      <c r="AH1441" s="453">
        <v>7.8</v>
      </c>
      <c r="AI1441" s="432">
        <v>14.5</v>
      </c>
      <c r="AJ1441" s="432">
        <v>11.9</v>
      </c>
      <c r="AK1441" s="340">
        <f>SUM(AH1441:AJ1441)</f>
        <v>34.200000000000003</v>
      </c>
      <c r="AL1441" s="392" t="s">
        <v>210</v>
      </c>
      <c r="AM1441" s="392" t="s">
        <v>210</v>
      </c>
      <c r="AN1441" s="392" t="s">
        <v>210</v>
      </c>
      <c r="AO1441" s="392" t="s">
        <v>210</v>
      </c>
      <c r="AP1441" s="496" t="s">
        <v>622</v>
      </c>
      <c r="AQ1441" s="429" t="s">
        <v>4547</v>
      </c>
      <c r="AR1441" s="452">
        <v>3354</v>
      </c>
      <c r="AS1441" s="324">
        <v>150</v>
      </c>
      <c r="AT1441" s="432">
        <v>0.8</v>
      </c>
      <c r="AU1441" s="432" t="s">
        <v>18025</v>
      </c>
      <c r="AV1441" s="432">
        <v>1</v>
      </c>
      <c r="AW1441" s="490" t="s">
        <v>18026</v>
      </c>
      <c r="AX1441" s="453" t="s">
        <v>210</v>
      </c>
      <c r="AY1441" s="429" t="s">
        <v>622</v>
      </c>
      <c r="AZ1441" s="405" t="s">
        <v>4083</v>
      </c>
      <c r="BA1441" s="324" t="s">
        <v>210</v>
      </c>
      <c r="BB1441" s="324" t="s">
        <v>210</v>
      </c>
      <c r="BC1441" s="324" t="s">
        <v>210</v>
      </c>
      <c r="BD1441" s="324" t="s">
        <v>210</v>
      </c>
      <c r="BE1441" s="324" t="s">
        <v>18027</v>
      </c>
      <c r="BF1441" s="324" t="s">
        <v>18028</v>
      </c>
      <c r="BG1441" s="324" t="s">
        <v>18029</v>
      </c>
      <c r="BH1441" s="324" t="s">
        <v>18028</v>
      </c>
      <c r="BI1441" s="453">
        <v>2.2000000000000002</v>
      </c>
      <c r="BJ1441" s="427">
        <v>3.44</v>
      </c>
      <c r="BK1441" s="428" t="s">
        <v>18030</v>
      </c>
      <c r="BL1441" s="429" t="s">
        <v>18030</v>
      </c>
      <c r="BM1441" s="430" t="s">
        <v>18031</v>
      </c>
      <c r="BN1441" s="453" t="s">
        <v>622</v>
      </c>
      <c r="BO1441" s="464">
        <v>1.57</v>
      </c>
      <c r="BP1441" s="455" t="s">
        <v>622</v>
      </c>
      <c r="BQ1441" s="456" t="s">
        <v>10959</v>
      </c>
      <c r="BR1441" s="392" t="s">
        <v>210</v>
      </c>
      <c r="BS1441" s="361"/>
      <c r="BT1441" s="392" t="s">
        <v>210</v>
      </c>
      <c r="BU1441" s="392" t="s">
        <v>210</v>
      </c>
      <c r="BV1441" s="392" t="s">
        <v>210</v>
      </c>
      <c r="BW1441" s="392" t="s">
        <v>210</v>
      </c>
      <c r="BX1441" s="392" t="s">
        <v>210</v>
      </c>
      <c r="BY1441" s="457" t="s">
        <v>18032</v>
      </c>
      <c r="BZ1441" s="363"/>
      <c r="CA1441" s="363"/>
      <c r="CB1441" s="363"/>
      <c r="CC1441" s="363"/>
    </row>
    <row r="1442" spans="1:82" ht="22.5" customHeight="1">
      <c r="B1442" s="507">
        <v>200045</v>
      </c>
      <c r="C1442" s="443" t="s">
        <v>17852</v>
      </c>
      <c r="D1442" s="467" t="s">
        <v>17880</v>
      </c>
      <c r="E1442" s="404" t="s">
        <v>5362</v>
      </c>
      <c r="F1442" s="405" t="s">
        <v>17921</v>
      </c>
      <c r="G1442" s="324" t="s">
        <v>17922</v>
      </c>
      <c r="H1442" s="324" t="s">
        <v>17923</v>
      </c>
      <c r="I1442" s="326" t="s">
        <v>11</v>
      </c>
      <c r="J1442" s="326" t="s">
        <v>399</v>
      </c>
      <c r="K1442" s="324" t="s">
        <v>247</v>
      </c>
      <c r="L1442" s="342">
        <v>2</v>
      </c>
      <c r="M1442" s="324" t="s">
        <v>7457</v>
      </c>
      <c r="N1442" s="444" t="s">
        <v>437</v>
      </c>
      <c r="O1442" s="324">
        <v>30</v>
      </c>
      <c r="P1442" s="822">
        <v>317</v>
      </c>
      <c r="Q1442" s="459">
        <v>284</v>
      </c>
      <c r="R1442" s="8" t="s">
        <v>8922</v>
      </c>
      <c r="S1442" s="513"/>
      <c r="T1442" s="513"/>
      <c r="U1442" s="513"/>
      <c r="V1442" s="513"/>
      <c r="W1442" s="8" t="s">
        <v>8922</v>
      </c>
      <c r="X1442" s="394" t="s">
        <v>17853</v>
      </c>
      <c r="Y1442" s="394" t="s">
        <v>17856</v>
      </c>
      <c r="Z1442" s="394" t="s">
        <v>17854</v>
      </c>
      <c r="AA1442" s="394" t="s">
        <v>17855</v>
      </c>
      <c r="AB1442" s="416"/>
      <c r="AC1442" s="416"/>
      <c r="AD1442" s="461"/>
      <c r="AE1442" s="499" t="s">
        <v>210</v>
      </c>
      <c r="AF1442" s="475">
        <v>44109</v>
      </c>
      <c r="AG1442" s="389"/>
      <c r="AH1442" s="417" t="s">
        <v>210</v>
      </c>
      <c r="AI1442" s="392" t="s">
        <v>210</v>
      </c>
      <c r="AJ1442" s="392" t="s">
        <v>210</v>
      </c>
      <c r="AK1442" s="340" t="s">
        <v>210</v>
      </c>
      <c r="AL1442" s="392" t="s">
        <v>210</v>
      </c>
      <c r="AM1442" s="392" t="s">
        <v>210</v>
      </c>
      <c r="AN1442" s="392" t="s">
        <v>210</v>
      </c>
      <c r="AO1442" s="392" t="s">
        <v>210</v>
      </c>
      <c r="AP1442" s="392" t="s">
        <v>210</v>
      </c>
      <c r="AQ1442" s="429" t="s">
        <v>4547</v>
      </c>
      <c r="AR1442" s="452">
        <v>527</v>
      </c>
      <c r="AS1442" s="324">
        <v>100</v>
      </c>
      <c r="AT1442" s="432">
        <v>1.5</v>
      </c>
      <c r="AU1442" s="432" t="s">
        <v>17936</v>
      </c>
      <c r="AV1442" s="432">
        <v>1</v>
      </c>
      <c r="AW1442" s="490" t="s">
        <v>17936</v>
      </c>
      <c r="AX1442" s="453" t="s">
        <v>210</v>
      </c>
      <c r="AY1442" s="429" t="s">
        <v>210</v>
      </c>
      <c r="AZ1442" s="405" t="s">
        <v>622</v>
      </c>
      <c r="BA1442" s="324" t="s">
        <v>17937</v>
      </c>
      <c r="BB1442" s="324" t="s">
        <v>17938</v>
      </c>
      <c r="BC1442" s="324" t="s">
        <v>17939</v>
      </c>
      <c r="BD1442" s="324" t="s">
        <v>17940</v>
      </c>
      <c r="BE1442" s="324" t="s">
        <v>17941</v>
      </c>
      <c r="BF1442" s="324" t="s">
        <v>17942</v>
      </c>
      <c r="BG1442" s="324" t="s">
        <v>17943</v>
      </c>
      <c r="BH1442" s="426" t="s">
        <v>17932</v>
      </c>
      <c r="BI1442" s="453">
        <v>0.9</v>
      </c>
      <c r="BJ1442" s="427">
        <v>1.28</v>
      </c>
      <c r="BK1442" s="428" t="s">
        <v>17932</v>
      </c>
      <c r="BL1442" s="429">
        <v>1.9</v>
      </c>
      <c r="BM1442" s="430" t="s">
        <v>18031</v>
      </c>
      <c r="BN1442" s="453" t="s">
        <v>18034</v>
      </c>
      <c r="BO1442" s="464" t="s">
        <v>18030</v>
      </c>
      <c r="BP1442" s="455" t="s">
        <v>622</v>
      </c>
      <c r="BQ1442" s="456" t="s">
        <v>10959</v>
      </c>
      <c r="BR1442" s="392" t="s">
        <v>210</v>
      </c>
      <c r="BS1442" s="342" t="s">
        <v>622</v>
      </c>
      <c r="BT1442" s="392" t="s">
        <v>210</v>
      </c>
      <c r="BU1442" s="392" t="s">
        <v>210</v>
      </c>
      <c r="BV1442" s="392" t="s">
        <v>210</v>
      </c>
      <c r="BW1442" s="392" t="s">
        <v>210</v>
      </c>
      <c r="BX1442" s="392" t="s">
        <v>210</v>
      </c>
      <c r="BY1442" s="457"/>
      <c r="BZ1442" s="363"/>
      <c r="CA1442" s="363"/>
      <c r="CB1442" s="363"/>
      <c r="CC1442" s="363"/>
    </row>
    <row r="1443" spans="1:82" ht="22.5" customHeight="1">
      <c r="B1443" s="507">
        <v>200046</v>
      </c>
      <c r="C1443" s="366" t="s">
        <v>17883</v>
      </c>
      <c r="D1443" s="467" t="s">
        <v>17879</v>
      </c>
      <c r="E1443" s="368" t="s">
        <v>17062</v>
      </c>
      <c r="F1443" s="321" t="s">
        <v>8858</v>
      </c>
      <c r="G1443" s="326" t="s">
        <v>2943</v>
      </c>
      <c r="H1443" s="324" t="s">
        <v>17860</v>
      </c>
      <c r="I1443" s="324" t="s">
        <v>766</v>
      </c>
      <c r="J1443" s="324" t="s">
        <v>7171</v>
      </c>
      <c r="K1443" s="324" t="s">
        <v>17944</v>
      </c>
      <c r="L1443" s="342" t="s">
        <v>210</v>
      </c>
      <c r="M1443" s="324" t="s">
        <v>766</v>
      </c>
      <c r="N1443" s="444" t="s">
        <v>17945</v>
      </c>
      <c r="O1443" s="324">
        <v>40</v>
      </c>
      <c r="P1443" s="445">
        <f>Q1443*2</f>
        <v>2400</v>
      </c>
      <c r="Q1443" s="446">
        <v>1200</v>
      </c>
      <c r="R1443" s="420" t="s">
        <v>17865</v>
      </c>
      <c r="S1443" s="394" t="s">
        <v>17866</v>
      </c>
      <c r="T1443" s="394" t="s">
        <v>17867</v>
      </c>
      <c r="U1443" s="394" t="s">
        <v>17868</v>
      </c>
      <c r="V1443" s="394" t="s">
        <v>17869</v>
      </c>
      <c r="W1443" s="460" t="s">
        <v>17861</v>
      </c>
      <c r="X1443" s="394" t="s">
        <v>17862</v>
      </c>
      <c r="Y1443" s="394" t="s">
        <v>17863</v>
      </c>
      <c r="Z1443" s="513"/>
      <c r="AA1443" s="394" t="s">
        <v>17864</v>
      </c>
      <c r="AB1443" s="416"/>
      <c r="AC1443" s="416"/>
      <c r="AD1443" s="461"/>
      <c r="AE1443" s="485"/>
      <c r="AF1443" s="475">
        <v>44109</v>
      </c>
      <c r="AG1443" s="389"/>
      <c r="AH1443" s="417" t="s">
        <v>210</v>
      </c>
      <c r="AI1443" s="392" t="s">
        <v>210</v>
      </c>
      <c r="AJ1443" s="392" t="s">
        <v>210</v>
      </c>
      <c r="AK1443" s="340" t="s">
        <v>210</v>
      </c>
      <c r="AL1443" s="392" t="s">
        <v>210</v>
      </c>
      <c r="AM1443" s="392" t="s">
        <v>210</v>
      </c>
      <c r="AN1443" s="392" t="s">
        <v>210</v>
      </c>
      <c r="AO1443" s="392" t="s">
        <v>210</v>
      </c>
      <c r="AP1443" s="392" t="s">
        <v>210</v>
      </c>
      <c r="AQ1443" s="433" t="s">
        <v>17946</v>
      </c>
      <c r="AR1443" s="452">
        <v>1464</v>
      </c>
      <c r="AS1443" s="324">
        <v>80</v>
      </c>
      <c r="AT1443" s="432">
        <v>1</v>
      </c>
      <c r="AU1443" s="432" t="s">
        <v>17936</v>
      </c>
      <c r="AV1443" s="432">
        <v>1.4</v>
      </c>
      <c r="AW1443" s="490" t="s">
        <v>17936</v>
      </c>
      <c r="AX1443" s="453" t="s">
        <v>210</v>
      </c>
      <c r="AY1443" s="429" t="s">
        <v>210</v>
      </c>
      <c r="AZ1443" s="405" t="s">
        <v>4083</v>
      </c>
      <c r="BA1443" s="324" t="s">
        <v>210</v>
      </c>
      <c r="BB1443" s="324" t="s">
        <v>210</v>
      </c>
      <c r="BC1443" s="324" t="s">
        <v>17947</v>
      </c>
      <c r="BD1443" s="324" t="s">
        <v>17940</v>
      </c>
      <c r="BE1443" s="324" t="s">
        <v>17948</v>
      </c>
      <c r="BF1443" s="324" t="s">
        <v>17932</v>
      </c>
      <c r="BG1443" s="324" t="s">
        <v>17935</v>
      </c>
      <c r="BH1443" s="426" t="s">
        <v>17935</v>
      </c>
      <c r="BI1443" s="453">
        <v>2.2000000000000002</v>
      </c>
      <c r="BJ1443" s="411"/>
      <c r="BK1443" s="428" t="s">
        <v>17932</v>
      </c>
      <c r="BL1443" s="429">
        <v>3.9</v>
      </c>
      <c r="BM1443" s="430" t="s">
        <v>210</v>
      </c>
      <c r="BN1443" s="410"/>
      <c r="BO1443" s="502"/>
      <c r="BP1443" s="492"/>
      <c r="BQ1443" s="360"/>
      <c r="BR1443" s="342" t="s">
        <v>17949</v>
      </c>
      <c r="BS1443" s="361"/>
      <c r="BT1443" s="392" t="s">
        <v>210</v>
      </c>
      <c r="BU1443" s="392" t="s">
        <v>210</v>
      </c>
      <c r="BV1443" s="392" t="s">
        <v>210</v>
      </c>
      <c r="BW1443" s="392" t="s">
        <v>210</v>
      </c>
      <c r="BX1443" s="392" t="s">
        <v>210</v>
      </c>
      <c r="BY1443" s="457"/>
      <c r="BZ1443" s="363"/>
      <c r="CA1443" s="363"/>
      <c r="CB1443" s="363"/>
      <c r="CC1443" s="363"/>
    </row>
    <row r="1444" spans="1:82" ht="22.5" customHeight="1">
      <c r="B1444" s="507">
        <v>200047</v>
      </c>
      <c r="C1444" s="366" t="s">
        <v>17918</v>
      </c>
      <c r="D1444" s="467" t="s">
        <v>18107</v>
      </c>
      <c r="E1444" s="404" t="s">
        <v>15363</v>
      </c>
      <c r="F1444" s="321" t="s">
        <v>17917</v>
      </c>
      <c r="G1444" s="326" t="s">
        <v>17919</v>
      </c>
      <c r="H1444" s="324" t="s">
        <v>17920</v>
      </c>
      <c r="I1444" s="326" t="s">
        <v>11</v>
      </c>
      <c r="J1444" s="324" t="s">
        <v>16686</v>
      </c>
      <c r="K1444" s="324" t="s">
        <v>6337</v>
      </c>
      <c r="L1444" s="342">
        <v>18</v>
      </c>
      <c r="M1444" s="324" t="s">
        <v>7457</v>
      </c>
      <c r="N1444" s="444" t="s">
        <v>18108</v>
      </c>
      <c r="O1444" s="324">
        <v>30</v>
      </c>
      <c r="P1444" s="458">
        <v>2849.9</v>
      </c>
      <c r="Q1444" s="459">
        <v>2808.2</v>
      </c>
      <c r="R1444" s="420" t="s">
        <v>2974</v>
      </c>
      <c r="S1444" s="394" t="s">
        <v>11806</v>
      </c>
      <c r="T1444" s="400"/>
      <c r="U1444" s="400"/>
      <c r="V1444" s="394" t="s">
        <v>11807</v>
      </c>
      <c r="W1444" s="332" t="s">
        <v>1683</v>
      </c>
      <c r="X1444" s="331" t="s">
        <v>11803</v>
      </c>
      <c r="Y1444" s="331" t="s">
        <v>11804</v>
      </c>
      <c r="Z1444" s="331" t="s">
        <v>16512</v>
      </c>
      <c r="AA1444" s="331" t="s">
        <v>11805</v>
      </c>
      <c r="AB1444" s="416"/>
      <c r="AC1444" s="416"/>
      <c r="AD1444" s="461"/>
      <c r="AE1444" s="485"/>
      <c r="AF1444" s="475">
        <v>44110</v>
      </c>
      <c r="AG1444" s="389"/>
      <c r="AH1444" s="417" t="s">
        <v>210</v>
      </c>
      <c r="AI1444" s="392" t="s">
        <v>210</v>
      </c>
      <c r="AJ1444" s="392" t="s">
        <v>210</v>
      </c>
      <c r="AK1444" s="340" t="s">
        <v>210</v>
      </c>
      <c r="AL1444" s="392" t="s">
        <v>210</v>
      </c>
      <c r="AM1444" s="392" t="s">
        <v>210</v>
      </c>
      <c r="AN1444" s="392" t="s">
        <v>210</v>
      </c>
      <c r="AO1444" s="392" t="s">
        <v>210</v>
      </c>
      <c r="AP1444" s="392" t="s">
        <v>210</v>
      </c>
      <c r="AQ1444" s="429" t="s">
        <v>4547</v>
      </c>
      <c r="AR1444" s="452">
        <f>1256+1590+208</f>
        <v>3054</v>
      </c>
      <c r="AS1444" s="324">
        <v>150</v>
      </c>
      <c r="AT1444" s="432">
        <v>1</v>
      </c>
      <c r="AU1444" s="432" t="s">
        <v>18109</v>
      </c>
      <c r="AV1444" s="432">
        <v>1.5</v>
      </c>
      <c r="AW1444" s="490" t="s">
        <v>18110</v>
      </c>
      <c r="AX1444" s="453" t="s">
        <v>17998</v>
      </c>
      <c r="AY1444" s="429" t="s">
        <v>210</v>
      </c>
      <c r="AZ1444" s="405" t="s">
        <v>4083</v>
      </c>
      <c r="BA1444" s="324" t="s">
        <v>210</v>
      </c>
      <c r="BB1444" s="324" t="s">
        <v>210</v>
      </c>
      <c r="BC1444" s="324" t="s">
        <v>3580</v>
      </c>
      <c r="BD1444" s="324" t="s">
        <v>17999</v>
      </c>
      <c r="BE1444" s="324" t="s">
        <v>18000</v>
      </c>
      <c r="BF1444" s="324" t="s">
        <v>18001</v>
      </c>
      <c r="BG1444" s="324" t="s">
        <v>18002</v>
      </c>
      <c r="BH1444" s="324" t="s">
        <v>18001</v>
      </c>
      <c r="BI1444" s="453">
        <v>3.5</v>
      </c>
      <c r="BJ1444" s="427">
        <v>2.34</v>
      </c>
      <c r="BK1444" s="428" t="s">
        <v>210</v>
      </c>
      <c r="BL1444" s="429" t="s">
        <v>210</v>
      </c>
      <c r="BM1444" s="430" t="s">
        <v>210</v>
      </c>
      <c r="BN1444" s="453" t="s">
        <v>622</v>
      </c>
      <c r="BO1444" s="464">
        <v>2.1800000000000002</v>
      </c>
      <c r="BP1444" s="455" t="s">
        <v>622</v>
      </c>
      <c r="BQ1444" s="456" t="s">
        <v>1059</v>
      </c>
      <c r="BR1444" s="342" t="s">
        <v>18003</v>
      </c>
      <c r="BS1444" s="361"/>
      <c r="BT1444" s="392" t="s">
        <v>210</v>
      </c>
      <c r="BU1444" s="392" t="s">
        <v>210</v>
      </c>
      <c r="BV1444" s="1053" t="s">
        <v>16179</v>
      </c>
      <c r="BW1444" s="392" t="s">
        <v>210</v>
      </c>
      <c r="BX1444" s="392" t="s">
        <v>210</v>
      </c>
      <c r="BY1444" s="457" t="s">
        <v>18111</v>
      </c>
      <c r="BZ1444" s="363"/>
      <c r="CA1444" s="363"/>
      <c r="CB1444" s="363"/>
      <c r="CC1444" s="363"/>
    </row>
    <row r="1445" spans="1:82" ht="22.5" customHeight="1">
      <c r="B1445" s="507">
        <v>200048</v>
      </c>
      <c r="C1445" s="366" t="s">
        <v>17954</v>
      </c>
      <c r="D1445" s="1264" t="s">
        <v>18005</v>
      </c>
      <c r="E1445" s="368" t="s">
        <v>17955</v>
      </c>
      <c r="F1445" s="321" t="s">
        <v>265</v>
      </c>
      <c r="G1445" s="326" t="s">
        <v>17996</v>
      </c>
      <c r="H1445" s="324" t="s">
        <v>17997</v>
      </c>
      <c r="I1445" s="326" t="s">
        <v>11</v>
      </c>
      <c r="J1445" s="324" t="s">
        <v>7171</v>
      </c>
      <c r="K1445" s="324" t="s">
        <v>18041</v>
      </c>
      <c r="L1445" s="361"/>
      <c r="M1445" s="324" t="s">
        <v>7457</v>
      </c>
      <c r="N1445" s="444" t="s">
        <v>18042</v>
      </c>
      <c r="O1445" s="324">
        <v>37.4</v>
      </c>
      <c r="P1445" s="445">
        <f>Q1445*2</f>
        <v>2400</v>
      </c>
      <c r="Q1445" s="446">
        <v>1200</v>
      </c>
      <c r="R1445" s="420" t="s">
        <v>17963</v>
      </c>
      <c r="S1445" s="394" t="s">
        <v>18043</v>
      </c>
      <c r="T1445" s="394" t="s">
        <v>18044</v>
      </c>
      <c r="U1445" s="513"/>
      <c r="V1445" s="394" t="s">
        <v>18045</v>
      </c>
      <c r="W1445" s="514"/>
      <c r="X1445" s="513"/>
      <c r="Y1445" s="513"/>
      <c r="Z1445" s="513"/>
      <c r="AA1445" s="513"/>
      <c r="AB1445" s="515"/>
      <c r="AC1445" s="416"/>
      <c r="AD1445" s="461"/>
      <c r="AE1445" s="485"/>
      <c r="AF1445" s="475">
        <v>44117</v>
      </c>
      <c r="AG1445" s="389"/>
      <c r="AH1445" s="417" t="s">
        <v>210</v>
      </c>
      <c r="AI1445" s="392" t="s">
        <v>210</v>
      </c>
      <c r="AJ1445" s="392" t="s">
        <v>210</v>
      </c>
      <c r="AK1445" s="340" t="s">
        <v>210</v>
      </c>
      <c r="AL1445" s="392" t="s">
        <v>210</v>
      </c>
      <c r="AM1445" s="392" t="s">
        <v>210</v>
      </c>
      <c r="AN1445" s="392" t="s">
        <v>210</v>
      </c>
      <c r="AO1445" s="392" t="s">
        <v>210</v>
      </c>
      <c r="AP1445" s="496" t="s">
        <v>622</v>
      </c>
      <c r="AQ1445" s="429" t="s">
        <v>4547</v>
      </c>
      <c r="AR1445" s="452">
        <v>1378</v>
      </c>
      <c r="AS1445" s="324">
        <v>150</v>
      </c>
      <c r="AT1445" s="432">
        <v>1</v>
      </c>
      <c r="AU1445" s="432" t="s">
        <v>18046</v>
      </c>
      <c r="AV1445" s="432">
        <v>1.2</v>
      </c>
      <c r="AW1445" s="490" t="s">
        <v>7859</v>
      </c>
      <c r="AX1445" s="453" t="s">
        <v>210</v>
      </c>
      <c r="AY1445" s="429" t="s">
        <v>210</v>
      </c>
      <c r="AZ1445" s="405" t="s">
        <v>4083</v>
      </c>
      <c r="BA1445" s="324" t="s">
        <v>210</v>
      </c>
      <c r="BB1445" s="324" t="s">
        <v>210</v>
      </c>
      <c r="BC1445" s="324" t="s">
        <v>210</v>
      </c>
      <c r="BD1445" s="324" t="s">
        <v>210</v>
      </c>
      <c r="BE1445" s="324" t="s">
        <v>210</v>
      </c>
      <c r="BF1445" s="324" t="s">
        <v>210</v>
      </c>
      <c r="BG1445" s="324" t="s">
        <v>18047</v>
      </c>
      <c r="BH1445" s="426" t="s">
        <v>18048</v>
      </c>
      <c r="BI1445" s="453">
        <v>4</v>
      </c>
      <c r="BJ1445" s="427" t="s">
        <v>18038</v>
      </c>
      <c r="BK1445" s="428" t="s">
        <v>210</v>
      </c>
      <c r="BL1445" s="429" t="s">
        <v>210</v>
      </c>
      <c r="BM1445" s="430" t="s">
        <v>660</v>
      </c>
      <c r="BN1445" s="453" t="s">
        <v>622</v>
      </c>
      <c r="BO1445" s="464">
        <v>1.5669999999999999</v>
      </c>
      <c r="BP1445" s="455" t="s">
        <v>210</v>
      </c>
      <c r="BQ1445" s="456" t="s">
        <v>18041</v>
      </c>
      <c r="BR1445" s="342" t="s">
        <v>1074</v>
      </c>
      <c r="BS1445" s="361"/>
      <c r="BT1445" s="392" t="s">
        <v>210</v>
      </c>
      <c r="BU1445" s="392" t="s">
        <v>210</v>
      </c>
      <c r="BV1445" s="392" t="s">
        <v>210</v>
      </c>
      <c r="BW1445" s="392" t="s">
        <v>210</v>
      </c>
      <c r="BX1445" s="392" t="s">
        <v>210</v>
      </c>
      <c r="BY1445" s="457" t="s">
        <v>18049</v>
      </c>
      <c r="BZ1445" s="363"/>
      <c r="CA1445" s="363"/>
      <c r="CB1445" s="363"/>
      <c r="CC1445" s="363"/>
    </row>
    <row r="1446" spans="1:82" ht="22.5" customHeight="1">
      <c r="B1446" s="507">
        <v>200049</v>
      </c>
      <c r="C1446" s="494" t="s">
        <v>18094</v>
      </c>
      <c r="D1446" s="467" t="s">
        <v>18118</v>
      </c>
      <c r="E1446" s="404" t="s">
        <v>18092</v>
      </c>
      <c r="F1446" s="405" t="s">
        <v>18095</v>
      </c>
      <c r="G1446" s="324" t="s">
        <v>18096</v>
      </c>
      <c r="H1446" s="408"/>
      <c r="I1446" s="326" t="s">
        <v>11</v>
      </c>
      <c r="J1446" s="326" t="s">
        <v>399</v>
      </c>
      <c r="K1446" s="324" t="s">
        <v>363</v>
      </c>
      <c r="L1446" s="361"/>
      <c r="M1446" s="324" t="s">
        <v>7457</v>
      </c>
      <c r="N1446" s="511"/>
      <c r="O1446" s="408"/>
      <c r="P1446" s="445">
        <v>2200</v>
      </c>
      <c r="Q1446" s="446">
        <f>P1446</f>
        <v>2200</v>
      </c>
      <c r="R1446" s="420" t="s">
        <v>18072</v>
      </c>
      <c r="S1446" s="394" t="s">
        <v>18076</v>
      </c>
      <c r="T1446" s="394" t="s">
        <v>18075</v>
      </c>
      <c r="U1446" s="394" t="s">
        <v>18077</v>
      </c>
      <c r="V1446" s="394" t="s">
        <v>18078</v>
      </c>
      <c r="W1446" s="460" t="s">
        <v>18086</v>
      </c>
      <c r="X1446" s="394" t="s">
        <v>18081</v>
      </c>
      <c r="Y1446" s="394" t="s">
        <v>18083</v>
      </c>
      <c r="Z1446" s="394" t="s">
        <v>18082</v>
      </c>
      <c r="AA1446" s="394" t="s">
        <v>18084</v>
      </c>
      <c r="AB1446" s="416" t="s">
        <v>18087</v>
      </c>
      <c r="AC1446" s="416"/>
      <c r="AD1446" s="461"/>
      <c r="AE1446" s="485"/>
      <c r="AF1446" s="475">
        <v>44126</v>
      </c>
      <c r="AG1446" s="389"/>
      <c r="AH1446" s="417" t="s">
        <v>210</v>
      </c>
      <c r="AI1446" s="392" t="s">
        <v>210</v>
      </c>
      <c r="AJ1446" s="392" t="s">
        <v>210</v>
      </c>
      <c r="AK1446" s="340" t="s">
        <v>210</v>
      </c>
      <c r="AL1446" s="392" t="s">
        <v>210</v>
      </c>
      <c r="AM1446" s="392" t="s">
        <v>210</v>
      </c>
      <c r="AN1446" s="500"/>
      <c r="AO1446" s="392" t="s">
        <v>210</v>
      </c>
      <c r="AP1446" s="496" t="s">
        <v>622</v>
      </c>
      <c r="AQ1446" s="429" t="s">
        <v>4547</v>
      </c>
      <c r="AR1446" s="501"/>
      <c r="AS1446" s="408"/>
      <c r="AT1446" s="500"/>
      <c r="AU1446" s="500"/>
      <c r="AV1446" s="500"/>
      <c r="AW1446" s="422"/>
      <c r="AX1446" s="410"/>
      <c r="AY1446" s="413"/>
      <c r="AZ1446" s="407"/>
      <c r="BA1446" s="408"/>
      <c r="BB1446" s="408"/>
      <c r="BC1446" s="408"/>
      <c r="BD1446" s="408"/>
      <c r="BE1446" s="408"/>
      <c r="BF1446" s="408"/>
      <c r="BG1446" s="408"/>
      <c r="BH1446" s="409"/>
      <c r="BI1446" s="410"/>
      <c r="BJ1446" s="411"/>
      <c r="BK1446" s="412"/>
      <c r="BL1446" s="413"/>
      <c r="BM1446" s="414"/>
      <c r="BN1446" s="410"/>
      <c r="BO1446" s="502"/>
      <c r="BP1446" s="492"/>
      <c r="BQ1446" s="360"/>
      <c r="BR1446" s="361"/>
      <c r="BS1446" s="361"/>
      <c r="BT1446" s="361"/>
      <c r="BU1446" s="361"/>
      <c r="BV1446" s="361"/>
      <c r="BW1446" s="361"/>
      <c r="BX1446" s="361"/>
      <c r="BY1446" s="457"/>
      <c r="BZ1446" s="363"/>
      <c r="CA1446" s="363"/>
      <c r="CB1446" s="363"/>
      <c r="CC1446" s="363"/>
    </row>
    <row r="1447" spans="1:82" ht="22.5" customHeight="1">
      <c r="B1447" s="507">
        <v>200050</v>
      </c>
      <c r="C1447" s="494" t="s">
        <v>18123</v>
      </c>
      <c r="D1447" s="467" t="s">
        <v>18119</v>
      </c>
      <c r="E1447" s="404" t="s">
        <v>18092</v>
      </c>
      <c r="F1447" s="405" t="s">
        <v>18098</v>
      </c>
      <c r="G1447" s="324" t="s">
        <v>18099</v>
      </c>
      <c r="H1447" s="324" t="s">
        <v>18100</v>
      </c>
      <c r="I1447" s="326" t="s">
        <v>11</v>
      </c>
      <c r="J1447" s="326" t="s">
        <v>399</v>
      </c>
      <c r="K1447" s="324" t="s">
        <v>247</v>
      </c>
      <c r="L1447" s="361"/>
      <c r="M1447" s="324" t="s">
        <v>7457</v>
      </c>
      <c r="N1447" s="511"/>
      <c r="O1447" s="408"/>
      <c r="P1447" s="445">
        <f>300+100</f>
        <v>400</v>
      </c>
      <c r="Q1447" s="446">
        <f>P1447</f>
        <v>400</v>
      </c>
      <c r="R1447" s="447" t="s">
        <v>7260</v>
      </c>
      <c r="S1447" s="513"/>
      <c r="T1447" s="513"/>
      <c r="U1447" s="513"/>
      <c r="V1447" s="513"/>
      <c r="W1447" s="460" t="s">
        <v>1438</v>
      </c>
      <c r="X1447" s="394" t="s">
        <v>11699</v>
      </c>
      <c r="Y1447" s="394" t="s">
        <v>11310</v>
      </c>
      <c r="Z1447" s="394" t="s">
        <v>11700</v>
      </c>
      <c r="AA1447" s="394" t="s">
        <v>11701</v>
      </c>
      <c r="AB1447" s="1283" t="s">
        <v>18101</v>
      </c>
      <c r="AC1447" s="416"/>
      <c r="AD1447" s="461"/>
      <c r="AE1447" s="485"/>
      <c r="AF1447" s="475">
        <v>44127</v>
      </c>
      <c r="AG1447" s="389"/>
      <c r="AH1447" s="417" t="s">
        <v>210</v>
      </c>
      <c r="AI1447" s="392" t="s">
        <v>210</v>
      </c>
      <c r="AJ1447" s="392" t="s">
        <v>210</v>
      </c>
      <c r="AK1447" s="340" t="s">
        <v>210</v>
      </c>
      <c r="AL1447" s="392" t="s">
        <v>210</v>
      </c>
      <c r="AM1447" s="392" t="s">
        <v>210</v>
      </c>
      <c r="AN1447" s="392" t="s">
        <v>210</v>
      </c>
      <c r="AO1447" s="392" t="s">
        <v>210</v>
      </c>
      <c r="AP1447" s="496" t="s">
        <v>622</v>
      </c>
      <c r="AQ1447" s="429" t="s">
        <v>4547</v>
      </c>
      <c r="AR1447" s="501"/>
      <c r="AS1447" s="408"/>
      <c r="AT1447" s="500"/>
      <c r="AU1447" s="500"/>
      <c r="AV1447" s="500"/>
      <c r="AW1447" s="422"/>
      <c r="AX1447" s="410"/>
      <c r="AY1447" s="413"/>
      <c r="AZ1447" s="407"/>
      <c r="BA1447" s="408"/>
      <c r="BB1447" s="408"/>
      <c r="BC1447" s="408"/>
      <c r="BD1447" s="408"/>
      <c r="BE1447" s="408"/>
      <c r="BF1447" s="408"/>
      <c r="BG1447" s="408"/>
      <c r="BH1447" s="409"/>
      <c r="BI1447" s="410"/>
      <c r="BJ1447" s="411"/>
      <c r="BK1447" s="412"/>
      <c r="BL1447" s="413"/>
      <c r="BM1447" s="414"/>
      <c r="BN1447" s="410"/>
      <c r="BO1447" s="502"/>
      <c r="BP1447" s="492"/>
      <c r="BQ1447" s="360"/>
      <c r="BR1447" s="361"/>
      <c r="BS1447" s="361"/>
      <c r="BT1447" s="361"/>
      <c r="BU1447" s="361"/>
      <c r="BV1447" s="361"/>
      <c r="BW1447" s="361"/>
      <c r="BX1447" s="361"/>
      <c r="BY1447" s="457" t="s">
        <v>18112</v>
      </c>
      <c r="BZ1447" s="363"/>
      <c r="CA1447" s="363"/>
      <c r="CB1447" s="363"/>
      <c r="CC1447" s="363"/>
    </row>
    <row r="1448" spans="1:82" ht="22.5" customHeight="1">
      <c r="B1448" s="507"/>
      <c r="C1448" s="517"/>
      <c r="D1448" s="509"/>
      <c r="E1448" s="510"/>
      <c r="F1448" s="407"/>
      <c r="G1448" s="408"/>
      <c r="H1448" s="408"/>
      <c r="I1448" s="408"/>
      <c r="J1448" s="408"/>
      <c r="K1448" s="408"/>
      <c r="L1448" s="361"/>
      <c r="M1448" s="408"/>
      <c r="N1448" s="511"/>
      <c r="O1448" s="408"/>
      <c r="P1448" s="1275"/>
      <c r="Q1448" s="497"/>
      <c r="R1448" s="461"/>
      <c r="S1448" s="513"/>
      <c r="T1448" s="513"/>
      <c r="U1448" s="513"/>
      <c r="V1448" s="513"/>
      <c r="W1448" s="1278"/>
      <c r="X1448" s="513"/>
      <c r="Y1448" s="513"/>
      <c r="Z1448" s="513"/>
      <c r="AA1448" s="1277"/>
      <c r="AB1448" s="1281"/>
      <c r="AC1448" s="1281"/>
      <c r="AD1448" s="461"/>
      <c r="AE1448" s="485"/>
      <c r="AF1448" s="388"/>
      <c r="AG1448" s="389"/>
      <c r="AH1448" s="410"/>
      <c r="AI1448" s="500"/>
      <c r="AJ1448" s="500"/>
      <c r="AK1448" s="371"/>
      <c r="AL1448" s="410"/>
      <c r="AM1448" s="500"/>
      <c r="AN1448" s="500"/>
      <c r="AO1448" s="422"/>
      <c r="AP1448" s="516"/>
      <c r="AQ1448" s="343"/>
      <c r="AR1448" s="501"/>
      <c r="AS1448" s="408"/>
      <c r="AT1448" s="500"/>
      <c r="AU1448" s="500"/>
      <c r="AV1448" s="500"/>
      <c r="AW1448" s="422"/>
      <c r="AX1448" s="410"/>
      <c r="AY1448" s="413"/>
      <c r="AZ1448" s="407"/>
      <c r="BA1448" s="408"/>
      <c r="BB1448" s="408"/>
      <c r="BC1448" s="408"/>
      <c r="BD1448" s="408"/>
      <c r="BE1448" s="408"/>
      <c r="BF1448" s="408"/>
      <c r="BG1448" s="408"/>
      <c r="BH1448" s="409"/>
      <c r="BI1448" s="410"/>
      <c r="BJ1448" s="411"/>
      <c r="BK1448" s="412"/>
      <c r="BL1448" s="413"/>
      <c r="BM1448" s="414"/>
      <c r="BN1448" s="410"/>
      <c r="BO1448" s="502"/>
      <c r="BP1448" s="492"/>
      <c r="BQ1448" s="360"/>
      <c r="BR1448" s="361"/>
      <c r="BS1448" s="361"/>
      <c r="BT1448" s="361"/>
      <c r="BU1448" s="361"/>
      <c r="BV1448" s="361"/>
      <c r="BW1448" s="361"/>
      <c r="BX1448" s="361"/>
      <c r="BY1448" s="457"/>
      <c r="BZ1448" s="363"/>
      <c r="CA1448" s="363"/>
      <c r="CB1448" s="363"/>
      <c r="CC1448" s="363"/>
    </row>
    <row r="1449" spans="1:82" ht="22.5" customHeight="1">
      <c r="B1449" s="507">
        <v>199002</v>
      </c>
      <c r="C1449" s="494" t="s">
        <v>14522</v>
      </c>
      <c r="D1449" s="439" t="s">
        <v>4849</v>
      </c>
      <c r="E1449" s="404" t="s">
        <v>5363</v>
      </c>
      <c r="F1449" s="405" t="s">
        <v>14526</v>
      </c>
      <c r="G1449" s="324" t="s">
        <v>14527</v>
      </c>
      <c r="H1449" s="408"/>
      <c r="I1449" s="326" t="s">
        <v>383</v>
      </c>
      <c r="J1449" s="324" t="s">
        <v>7171</v>
      </c>
      <c r="K1449" s="324" t="s">
        <v>917</v>
      </c>
      <c r="L1449" s="342" t="s">
        <v>210</v>
      </c>
      <c r="M1449" s="324" t="s">
        <v>7457</v>
      </c>
      <c r="N1449" s="444" t="s">
        <v>438</v>
      </c>
      <c r="O1449" s="324">
        <v>30</v>
      </c>
      <c r="P1449" s="458">
        <v>883.67</v>
      </c>
      <c r="Q1449" s="459">
        <v>479.09</v>
      </c>
      <c r="R1449" s="420" t="s">
        <v>14523</v>
      </c>
      <c r="S1449" s="394" t="s">
        <v>14528</v>
      </c>
      <c r="T1449" s="394" t="s">
        <v>14529</v>
      </c>
      <c r="U1449" s="394" t="s">
        <v>16260</v>
      </c>
      <c r="V1449" s="394" t="s">
        <v>14530</v>
      </c>
      <c r="W1449" s="332" t="s">
        <v>432</v>
      </c>
      <c r="X1449" s="331" t="s">
        <v>210</v>
      </c>
      <c r="Y1449" s="331" t="s">
        <v>210</v>
      </c>
      <c r="Z1449" s="331" t="s">
        <v>210</v>
      </c>
      <c r="AA1449" s="331" t="s">
        <v>210</v>
      </c>
      <c r="AB1449" s="416" t="s">
        <v>14534</v>
      </c>
      <c r="AC1449" s="416"/>
      <c r="AD1449" s="447" t="s">
        <v>14953</v>
      </c>
      <c r="AE1449" s="499" t="s">
        <v>14954</v>
      </c>
      <c r="AF1449" s="475">
        <v>43871</v>
      </c>
      <c r="AG1449" s="748">
        <v>43882</v>
      </c>
      <c r="AH1449" s="486" t="s">
        <v>14863</v>
      </c>
      <c r="AI1449" s="487" t="s">
        <v>14864</v>
      </c>
      <c r="AJ1449" s="487" t="s">
        <v>14865</v>
      </c>
      <c r="AK1449" s="451" t="s">
        <v>14866</v>
      </c>
      <c r="AL1449" s="410"/>
      <c r="AM1449" s="500"/>
      <c r="AN1449" s="500"/>
      <c r="AO1449" s="422"/>
      <c r="AP1449" s="516"/>
      <c r="AQ1449" s="343"/>
      <c r="AR1449" s="501"/>
      <c r="AS1449" s="408"/>
      <c r="AT1449" s="500"/>
      <c r="AU1449" s="500"/>
      <c r="AV1449" s="500"/>
      <c r="AW1449" s="422"/>
      <c r="AX1449" s="410"/>
      <c r="AY1449" s="413"/>
      <c r="AZ1449" s="407"/>
      <c r="BA1449" s="408"/>
      <c r="BB1449" s="408"/>
      <c r="BC1449" s="408"/>
      <c r="BD1449" s="408"/>
      <c r="BE1449" s="408"/>
      <c r="BF1449" s="408"/>
      <c r="BG1449" s="408"/>
      <c r="BH1449" s="409"/>
      <c r="BI1449" s="410"/>
      <c r="BJ1449" s="411"/>
      <c r="BK1449" s="412"/>
      <c r="BL1449" s="413"/>
      <c r="BM1449" s="414"/>
      <c r="BN1449" s="410"/>
      <c r="BO1449" s="502"/>
      <c r="BP1449" s="492"/>
      <c r="BQ1449" s="360"/>
      <c r="BR1449" s="361"/>
      <c r="BS1449" s="342" t="s">
        <v>622</v>
      </c>
      <c r="BT1449" s="392" t="s">
        <v>210</v>
      </c>
      <c r="BU1449" s="392" t="s">
        <v>210</v>
      </c>
      <c r="BV1449" s="392" t="s">
        <v>210</v>
      </c>
      <c r="BW1449" s="392" t="s">
        <v>210</v>
      </c>
      <c r="BX1449" s="392" t="s">
        <v>210</v>
      </c>
      <c r="BY1449" s="457" t="s">
        <v>14531</v>
      </c>
      <c r="BZ1449" s="363"/>
      <c r="CA1449" s="363"/>
      <c r="CB1449" s="363"/>
      <c r="CC1449" s="363"/>
    </row>
    <row r="1450" spans="1:82" ht="22.5" customHeight="1">
      <c r="B1450" s="507">
        <v>199912</v>
      </c>
      <c r="C1450" s="494" t="s">
        <v>15851</v>
      </c>
      <c r="D1450" s="439" t="s">
        <v>4849</v>
      </c>
      <c r="E1450" s="404" t="s">
        <v>15852</v>
      </c>
      <c r="F1450" s="405" t="s">
        <v>15853</v>
      </c>
      <c r="G1450" s="324" t="s">
        <v>15854</v>
      </c>
      <c r="H1450" s="324" t="s">
        <v>15855</v>
      </c>
      <c r="I1450" s="326" t="s">
        <v>383</v>
      </c>
      <c r="J1450" s="324" t="s">
        <v>15522</v>
      </c>
      <c r="K1450" s="324" t="s">
        <v>917</v>
      </c>
      <c r="L1450" s="342" t="s">
        <v>210</v>
      </c>
      <c r="M1450" s="324" t="s">
        <v>9103</v>
      </c>
      <c r="N1450" s="444" t="s">
        <v>438</v>
      </c>
      <c r="O1450" s="324">
        <v>44</v>
      </c>
      <c r="P1450" s="458">
        <v>65015</v>
      </c>
      <c r="Q1450" s="459">
        <v>38953</v>
      </c>
      <c r="R1450" s="512"/>
      <c r="S1450" s="513"/>
      <c r="T1450" s="513"/>
      <c r="U1450" s="513"/>
      <c r="V1450" s="513"/>
      <c r="W1450" s="332" t="s">
        <v>432</v>
      </c>
      <c r="X1450" s="331" t="s">
        <v>210</v>
      </c>
      <c r="Y1450" s="331" t="s">
        <v>210</v>
      </c>
      <c r="Z1450" s="331" t="s">
        <v>210</v>
      </c>
      <c r="AA1450" s="331" t="s">
        <v>210</v>
      </c>
      <c r="AB1450" s="416" t="s">
        <v>15856</v>
      </c>
      <c r="AC1450" s="416"/>
      <c r="AD1450" s="461"/>
      <c r="AE1450" s="485"/>
      <c r="AF1450" s="475">
        <v>43965</v>
      </c>
      <c r="AG1450" s="389"/>
      <c r="AH1450" s="410"/>
      <c r="AI1450" s="500"/>
      <c r="AJ1450" s="500"/>
      <c r="AK1450" s="371"/>
      <c r="AL1450" s="341" t="s">
        <v>210</v>
      </c>
      <c r="AM1450" s="341" t="s">
        <v>210</v>
      </c>
      <c r="AN1450" s="341" t="s">
        <v>210</v>
      </c>
      <c r="AO1450" s="341" t="s">
        <v>210</v>
      </c>
      <c r="AP1450" s="516"/>
      <c r="AQ1450" s="429" t="s">
        <v>4547</v>
      </c>
      <c r="AR1450" s="501"/>
      <c r="AS1450" s="408"/>
      <c r="AT1450" s="500"/>
      <c r="AU1450" s="500"/>
      <c r="AV1450" s="500"/>
      <c r="AW1450" s="422"/>
      <c r="AX1450" s="410"/>
      <c r="AY1450" s="413"/>
      <c r="AZ1450" s="407"/>
      <c r="BA1450" s="408"/>
      <c r="BB1450" s="408"/>
      <c r="BC1450" s="408"/>
      <c r="BD1450" s="408"/>
      <c r="BE1450" s="408"/>
      <c r="BF1450" s="408"/>
      <c r="BG1450" s="408"/>
      <c r="BH1450" s="409"/>
      <c r="BI1450" s="410"/>
      <c r="BJ1450" s="411"/>
      <c r="BK1450" s="412"/>
      <c r="BL1450" s="413"/>
      <c r="BM1450" s="414"/>
      <c r="BN1450" s="410"/>
      <c r="BO1450" s="502"/>
      <c r="BP1450" s="492"/>
      <c r="BQ1450" s="360"/>
      <c r="BR1450" s="361"/>
      <c r="BS1450" s="361"/>
      <c r="BT1450" s="392" t="s">
        <v>210</v>
      </c>
      <c r="BU1450" s="392" t="s">
        <v>210</v>
      </c>
      <c r="BV1450" s="392" t="s">
        <v>210</v>
      </c>
      <c r="BW1450" s="392" t="s">
        <v>210</v>
      </c>
      <c r="BX1450" s="392" t="s">
        <v>210</v>
      </c>
      <c r="BY1450" s="457"/>
      <c r="BZ1450" s="363"/>
      <c r="CA1450" s="363"/>
      <c r="CB1450" s="363"/>
      <c r="CC1450" s="363"/>
    </row>
    <row r="1451" spans="1:82" ht="22.5" customHeight="1" thickBot="1">
      <c r="B1451" s="507"/>
      <c r="C1451" s="517"/>
      <c r="D1451" s="509"/>
      <c r="E1451" s="510"/>
      <c r="F1451" s="407"/>
      <c r="G1451" s="408"/>
      <c r="H1451" s="408"/>
      <c r="I1451" s="408"/>
      <c r="J1451" s="408"/>
      <c r="K1451" s="408"/>
      <c r="L1451" s="361"/>
      <c r="M1451" s="408"/>
      <c r="N1451" s="511"/>
      <c r="O1451" s="408"/>
      <c r="P1451" s="495"/>
      <c r="Q1451" s="497"/>
      <c r="R1451" s="512"/>
      <c r="S1451" s="513"/>
      <c r="T1451" s="513"/>
      <c r="U1451" s="513"/>
      <c r="V1451" s="513"/>
      <c r="W1451" s="514"/>
      <c r="X1451" s="513"/>
      <c r="Y1451" s="513"/>
      <c r="Z1451" s="513"/>
      <c r="AA1451" s="513"/>
      <c r="AB1451" s="515"/>
      <c r="AC1451" s="515"/>
      <c r="AD1451" s="461"/>
      <c r="AE1451" s="485"/>
      <c r="AF1451" s="388"/>
      <c r="AG1451" s="389"/>
      <c r="AH1451" s="410"/>
      <c r="AI1451" s="500"/>
      <c r="AJ1451" s="500"/>
      <c r="AK1451" s="371"/>
      <c r="AL1451" s="410"/>
      <c r="AM1451" s="500"/>
      <c r="AN1451" s="500"/>
      <c r="AO1451" s="422"/>
      <c r="AP1451" s="516"/>
      <c r="AQ1451" s="343"/>
      <c r="AR1451" s="501"/>
      <c r="AS1451" s="408"/>
      <c r="AT1451" s="500"/>
      <c r="AU1451" s="500"/>
      <c r="AV1451" s="500"/>
      <c r="AW1451" s="422"/>
      <c r="AX1451" s="410"/>
      <c r="AY1451" s="413"/>
      <c r="AZ1451" s="407"/>
      <c r="BA1451" s="408"/>
      <c r="BB1451" s="408"/>
      <c r="BC1451" s="408"/>
      <c r="BD1451" s="408"/>
      <c r="BE1451" s="408"/>
      <c r="BF1451" s="408"/>
      <c r="BG1451" s="408"/>
      <c r="BH1451" s="409"/>
      <c r="BI1451" s="410"/>
      <c r="BJ1451" s="411"/>
      <c r="BK1451" s="412"/>
      <c r="BL1451" s="413"/>
      <c r="BM1451" s="414"/>
      <c r="BN1451" s="410"/>
      <c r="BO1451" s="502"/>
      <c r="BP1451" s="492"/>
      <c r="BQ1451" s="360"/>
      <c r="BR1451" s="361"/>
      <c r="BS1451" s="361"/>
      <c r="BT1451" s="361"/>
      <c r="BU1451" s="361"/>
      <c r="BV1451" s="361"/>
      <c r="BW1451" s="361"/>
      <c r="BX1451" s="361"/>
      <c r="BY1451" s="457"/>
      <c r="BZ1451" s="363"/>
      <c r="CA1451" s="363"/>
      <c r="CB1451" s="363"/>
      <c r="CC1451" s="363"/>
    </row>
    <row r="1452" spans="1:82" s="518" customFormat="1" ht="22.5" customHeight="1" thickTop="1">
      <c r="B1452" s="2042" t="s">
        <v>10837</v>
      </c>
      <c r="C1452" s="519"/>
      <c r="D1452" s="520"/>
      <c r="E1452" s="521"/>
      <c r="F1452" s="522"/>
      <c r="G1452" s="523"/>
      <c r="H1452" s="523"/>
      <c r="I1452" s="523"/>
      <c r="J1452" s="523"/>
      <c r="K1452" s="523"/>
      <c r="L1452" s="524"/>
      <c r="M1452" s="523"/>
      <c r="N1452" s="525"/>
      <c r="O1452" s="523"/>
      <c r="P1452" s="526"/>
      <c r="Q1452" s="527"/>
      <c r="R1452" s="528"/>
      <c r="S1452" s="529"/>
      <c r="T1452" s="529"/>
      <c r="U1452" s="529"/>
      <c r="V1452" s="529"/>
      <c r="W1452" s="530"/>
      <c r="X1452" s="529"/>
      <c r="Y1452" s="529"/>
      <c r="Z1452" s="529"/>
      <c r="AA1452" s="529"/>
      <c r="AB1452" s="531"/>
      <c r="AC1452" s="531"/>
      <c r="AD1452" s="532"/>
      <c r="AE1452" s="533"/>
      <c r="AF1452" s="534"/>
      <c r="AG1452" s="535"/>
      <c r="AH1452" s="536"/>
      <c r="AI1452" s="537"/>
      <c r="AJ1452" s="537"/>
      <c r="AK1452" s="538"/>
      <c r="AL1452" s="536"/>
      <c r="AM1452" s="537"/>
      <c r="AN1452" s="537"/>
      <c r="AO1452" s="539"/>
      <c r="AP1452" s="540"/>
      <c r="AQ1452" s="541"/>
      <c r="AR1452" s="542"/>
      <c r="AS1452" s="523"/>
      <c r="AT1452" s="537"/>
      <c r="AU1452" s="537"/>
      <c r="AV1452" s="537"/>
      <c r="AW1452" s="539"/>
      <c r="AX1452" s="536"/>
      <c r="AY1452" s="543"/>
      <c r="AZ1452" s="522"/>
      <c r="BA1452" s="523"/>
      <c r="BB1452" s="523"/>
      <c r="BC1452" s="523"/>
      <c r="BD1452" s="523"/>
      <c r="BE1452" s="523"/>
      <c r="BF1452" s="523"/>
      <c r="BG1452" s="523"/>
      <c r="BH1452" s="544"/>
      <c r="BI1452" s="536"/>
      <c r="BJ1452" s="545"/>
      <c r="BK1452" s="546"/>
      <c r="BL1452" s="543"/>
      <c r="BM1452" s="547"/>
      <c r="BN1452" s="536"/>
      <c r="BO1452" s="548"/>
      <c r="BP1452" s="549"/>
      <c r="BQ1452" s="550"/>
      <c r="BR1452" s="524"/>
      <c r="BS1452" s="524"/>
      <c r="BT1452" s="524"/>
      <c r="BU1452" s="524"/>
      <c r="BV1452" s="524"/>
      <c r="BW1452" s="524"/>
      <c r="BX1452" s="524"/>
      <c r="BY1452" s="551"/>
      <c r="BZ1452" s="552"/>
      <c r="CA1452" s="552"/>
      <c r="CB1452" s="552"/>
      <c r="CC1452" s="552"/>
      <c r="CD1452" s="553"/>
    </row>
    <row r="1453" spans="1:82" ht="22.5" customHeight="1">
      <c r="A1453" s="287" t="s">
        <v>15709</v>
      </c>
      <c r="B1453" s="2043"/>
      <c r="C1453" s="1928" t="s">
        <v>15708</v>
      </c>
      <c r="D1453" s="509"/>
      <c r="E1453" s="404" t="s">
        <v>5363</v>
      </c>
      <c r="F1453" s="405" t="s">
        <v>17350</v>
      </c>
      <c r="G1453" s="326" t="s">
        <v>2283</v>
      </c>
      <c r="H1453" s="408"/>
      <c r="I1453" s="326" t="s">
        <v>11</v>
      </c>
      <c r="J1453" s="408"/>
      <c r="K1453" s="408"/>
      <c r="L1453" s="361"/>
      <c r="M1453" s="408"/>
      <c r="N1453" s="511"/>
      <c r="O1453" s="408"/>
      <c r="P1453" s="495"/>
      <c r="Q1453" s="497"/>
      <c r="R1453" s="332" t="s">
        <v>432</v>
      </c>
      <c r="S1453" s="331" t="s">
        <v>210</v>
      </c>
      <c r="T1453" s="331" t="s">
        <v>210</v>
      </c>
      <c r="U1453" s="331" t="s">
        <v>210</v>
      </c>
      <c r="V1453" s="331" t="s">
        <v>210</v>
      </c>
      <c r="W1453" s="332" t="s">
        <v>432</v>
      </c>
      <c r="X1453" s="331" t="s">
        <v>210</v>
      </c>
      <c r="Y1453" s="331" t="s">
        <v>210</v>
      </c>
      <c r="Z1453" s="331" t="s">
        <v>210</v>
      </c>
      <c r="AA1453" s="331" t="s">
        <v>210</v>
      </c>
      <c r="AB1453" s="416" t="s">
        <v>16099</v>
      </c>
      <c r="AC1453" s="416"/>
      <c r="AD1453" s="461"/>
      <c r="AE1453" s="485"/>
      <c r="AF1453" s="388"/>
      <c r="AG1453" s="389"/>
      <c r="AH1453" s="410"/>
      <c r="AI1453" s="500"/>
      <c r="AJ1453" s="500"/>
      <c r="AK1453" s="371"/>
      <c r="AL1453" s="341" t="s">
        <v>210</v>
      </c>
      <c r="AM1453" s="392" t="s">
        <v>210</v>
      </c>
      <c r="AN1453" s="500"/>
      <c r="AO1453" s="392" t="s">
        <v>210</v>
      </c>
      <c r="AP1453" s="516"/>
      <c r="AQ1453" s="429" t="s">
        <v>4547</v>
      </c>
      <c r="AR1453" s="501"/>
      <c r="AS1453" s="408"/>
      <c r="AT1453" s="500"/>
      <c r="AU1453" s="500"/>
      <c r="AV1453" s="500"/>
      <c r="AW1453" s="422"/>
      <c r="AX1453" s="410"/>
      <c r="AY1453" s="413"/>
      <c r="AZ1453" s="407"/>
      <c r="BA1453" s="408"/>
      <c r="BB1453" s="408"/>
      <c r="BC1453" s="408"/>
      <c r="BD1453" s="408"/>
      <c r="BE1453" s="408"/>
      <c r="BF1453" s="408"/>
      <c r="BG1453" s="408"/>
      <c r="BH1453" s="409"/>
      <c r="BI1453" s="410"/>
      <c r="BJ1453" s="411"/>
      <c r="BK1453" s="412"/>
      <c r="BL1453" s="413"/>
      <c r="BM1453" s="414"/>
      <c r="BN1453" s="410"/>
      <c r="BO1453" s="502"/>
      <c r="BP1453" s="492"/>
      <c r="BQ1453" s="360"/>
      <c r="BR1453" s="361"/>
      <c r="BS1453" s="361"/>
      <c r="BT1453" s="392" t="s">
        <v>210</v>
      </c>
      <c r="BU1453" s="392" t="s">
        <v>210</v>
      </c>
      <c r="BV1453" s="392" t="s">
        <v>210</v>
      </c>
      <c r="BW1453" s="392" t="s">
        <v>210</v>
      </c>
      <c r="BX1453" s="392" t="s">
        <v>210</v>
      </c>
      <c r="BY1453" s="457"/>
      <c r="BZ1453" s="363"/>
      <c r="CA1453" s="363"/>
      <c r="CB1453" s="363"/>
      <c r="CC1453" s="363"/>
    </row>
    <row r="1454" spans="1:82" ht="22.5" customHeight="1">
      <c r="B1454" s="2043"/>
      <c r="C1454" s="517" t="s">
        <v>18060</v>
      </c>
      <c r="D1454" s="509"/>
      <c r="E1454" s="404" t="s">
        <v>5362</v>
      </c>
      <c r="F1454" s="405" t="s">
        <v>18061</v>
      </c>
      <c r="G1454" s="408"/>
      <c r="H1454" s="408"/>
      <c r="I1454" s="326" t="s">
        <v>11</v>
      </c>
      <c r="J1454" s="408"/>
      <c r="K1454" s="408"/>
      <c r="L1454" s="361"/>
      <c r="M1454" s="408"/>
      <c r="N1454" s="511"/>
      <c r="O1454" s="408"/>
      <c r="P1454" s="495"/>
      <c r="Q1454" s="497"/>
      <c r="R1454" s="512"/>
      <c r="S1454" s="513"/>
      <c r="T1454" s="513"/>
      <c r="U1454" s="513"/>
      <c r="V1454" s="513"/>
      <c r="W1454" s="332" t="s">
        <v>432</v>
      </c>
      <c r="X1454" s="331" t="s">
        <v>210</v>
      </c>
      <c r="Y1454" s="331" t="s">
        <v>210</v>
      </c>
      <c r="Z1454" s="331" t="s">
        <v>210</v>
      </c>
      <c r="AA1454" s="331" t="s">
        <v>210</v>
      </c>
      <c r="AB1454" s="416" t="s">
        <v>18062</v>
      </c>
      <c r="AC1454" s="515"/>
      <c r="AD1454" s="461"/>
      <c r="AE1454" s="485"/>
      <c r="AF1454" s="388"/>
      <c r="AG1454" s="389"/>
      <c r="AH1454" s="410"/>
      <c r="AI1454" s="500"/>
      <c r="AJ1454" s="500"/>
      <c r="AK1454" s="371"/>
      <c r="AL1454" s="410"/>
      <c r="AM1454" s="500"/>
      <c r="AN1454" s="500"/>
      <c r="AO1454" s="422"/>
      <c r="AP1454" s="516"/>
      <c r="AQ1454" s="429" t="s">
        <v>4547</v>
      </c>
      <c r="AR1454" s="501"/>
      <c r="AS1454" s="408"/>
      <c r="AT1454" s="500"/>
      <c r="AU1454" s="500"/>
      <c r="AV1454" s="500"/>
      <c r="AW1454" s="422"/>
      <c r="AX1454" s="410"/>
      <c r="AY1454" s="413"/>
      <c r="AZ1454" s="407"/>
      <c r="BA1454" s="408"/>
      <c r="BB1454" s="408"/>
      <c r="BC1454" s="408"/>
      <c r="BD1454" s="408"/>
      <c r="BE1454" s="408"/>
      <c r="BF1454" s="408"/>
      <c r="BG1454" s="408"/>
      <c r="BH1454" s="409"/>
      <c r="BI1454" s="410"/>
      <c r="BJ1454" s="411"/>
      <c r="BK1454" s="412"/>
      <c r="BL1454" s="413"/>
      <c r="BM1454" s="414"/>
      <c r="BN1454" s="410"/>
      <c r="BO1454" s="502"/>
      <c r="BP1454" s="492"/>
      <c r="BQ1454" s="360"/>
      <c r="BR1454" s="361"/>
      <c r="BS1454" s="361"/>
      <c r="BT1454" s="361"/>
      <c r="BU1454" s="361"/>
      <c r="BV1454" s="361"/>
      <c r="BW1454" s="361"/>
      <c r="BX1454" s="361"/>
      <c r="BY1454" s="457"/>
      <c r="BZ1454" s="363"/>
      <c r="CA1454" s="363"/>
      <c r="CB1454" s="363"/>
      <c r="CC1454" s="363"/>
    </row>
    <row r="1455" spans="1:82" ht="22.5" customHeight="1">
      <c r="B1455" s="2043"/>
      <c r="C1455" s="1929" t="s">
        <v>17894</v>
      </c>
      <c r="D1455" s="509"/>
      <c r="E1455" s="404" t="s">
        <v>5363</v>
      </c>
      <c r="F1455" s="405" t="s">
        <v>59</v>
      </c>
      <c r="G1455" s="324" t="s">
        <v>17896</v>
      </c>
      <c r="H1455" s="408"/>
      <c r="I1455" s="326" t="s">
        <v>11</v>
      </c>
      <c r="J1455" s="326" t="s">
        <v>399</v>
      </c>
      <c r="K1455" s="324" t="s">
        <v>917</v>
      </c>
      <c r="L1455" s="342" t="s">
        <v>210</v>
      </c>
      <c r="M1455" s="324" t="s">
        <v>7457</v>
      </c>
      <c r="N1455" s="511"/>
      <c r="O1455" s="408"/>
      <c r="P1455" s="495"/>
      <c r="Q1455" s="497"/>
      <c r="R1455" s="329" t="s">
        <v>469</v>
      </c>
      <c r="S1455" s="331" t="s">
        <v>11204</v>
      </c>
      <c r="T1455" s="331" t="s">
        <v>11205</v>
      </c>
      <c r="U1455" s="331" t="s">
        <v>11207</v>
      </c>
      <c r="V1455" s="649" t="s">
        <v>15921</v>
      </c>
      <c r="W1455" s="332" t="s">
        <v>432</v>
      </c>
      <c r="X1455" s="331" t="s">
        <v>210</v>
      </c>
      <c r="Y1455" s="331" t="s">
        <v>210</v>
      </c>
      <c r="Z1455" s="331" t="s">
        <v>210</v>
      </c>
      <c r="AA1455" s="331" t="s">
        <v>210</v>
      </c>
      <c r="AB1455" s="416"/>
      <c r="AC1455" s="416"/>
      <c r="AD1455" s="461"/>
      <c r="AE1455" s="485"/>
      <c r="AF1455" s="388"/>
      <c r="AG1455" s="389"/>
      <c r="AH1455" s="410"/>
      <c r="AI1455" s="500"/>
      <c r="AJ1455" s="500"/>
      <c r="AK1455" s="371"/>
      <c r="AL1455" s="410"/>
      <c r="AM1455" s="500"/>
      <c r="AN1455" s="500"/>
      <c r="AO1455" s="422"/>
      <c r="AP1455" s="516"/>
      <c r="AQ1455" s="343"/>
      <c r="AR1455" s="501"/>
      <c r="AS1455" s="408"/>
      <c r="AT1455" s="500"/>
      <c r="AU1455" s="500"/>
      <c r="AV1455" s="500"/>
      <c r="AW1455" s="422"/>
      <c r="AX1455" s="410"/>
      <c r="AY1455" s="413"/>
      <c r="AZ1455" s="407"/>
      <c r="BA1455" s="408"/>
      <c r="BB1455" s="408"/>
      <c r="BC1455" s="408"/>
      <c r="BD1455" s="408"/>
      <c r="BE1455" s="408"/>
      <c r="BF1455" s="408"/>
      <c r="BG1455" s="408"/>
      <c r="BH1455" s="409"/>
      <c r="BI1455" s="410"/>
      <c r="BJ1455" s="411"/>
      <c r="BK1455" s="412"/>
      <c r="BL1455" s="413"/>
      <c r="BM1455" s="414"/>
      <c r="BN1455" s="410"/>
      <c r="BO1455" s="502"/>
      <c r="BP1455" s="492"/>
      <c r="BQ1455" s="360"/>
      <c r="BR1455" s="361"/>
      <c r="BS1455" s="361"/>
      <c r="BT1455" s="361"/>
      <c r="BU1455" s="361"/>
      <c r="BV1455" s="361"/>
      <c r="BW1455" s="361"/>
      <c r="BX1455" s="361"/>
      <c r="BY1455" s="457"/>
      <c r="BZ1455" s="363"/>
      <c r="CA1455" s="363"/>
      <c r="CB1455" s="363"/>
      <c r="CC1455" s="363"/>
    </row>
    <row r="1456" spans="1:82" ht="22.5" customHeight="1">
      <c r="B1456" s="2043"/>
      <c r="C1456" s="1929" t="s">
        <v>17895</v>
      </c>
      <c r="D1456" s="509"/>
      <c r="E1456" s="404" t="s">
        <v>5363</v>
      </c>
      <c r="F1456" s="405" t="s">
        <v>59</v>
      </c>
      <c r="G1456" s="324" t="s">
        <v>17897</v>
      </c>
      <c r="H1456" s="408"/>
      <c r="I1456" s="326" t="s">
        <v>11</v>
      </c>
      <c r="J1456" s="326" t="s">
        <v>399</v>
      </c>
      <c r="K1456" s="324" t="s">
        <v>917</v>
      </c>
      <c r="L1456" s="342" t="s">
        <v>210</v>
      </c>
      <c r="M1456" s="324" t="s">
        <v>7457</v>
      </c>
      <c r="N1456" s="511"/>
      <c r="O1456" s="408"/>
      <c r="P1456" s="495"/>
      <c r="Q1456" s="497"/>
      <c r="R1456" s="329" t="s">
        <v>469</v>
      </c>
      <c r="S1456" s="331" t="s">
        <v>11204</v>
      </c>
      <c r="T1456" s="331" t="s">
        <v>11205</v>
      </c>
      <c r="U1456" s="331" t="s">
        <v>11207</v>
      </c>
      <c r="V1456" s="649" t="s">
        <v>15921</v>
      </c>
      <c r="W1456" s="332" t="s">
        <v>432</v>
      </c>
      <c r="X1456" s="331" t="s">
        <v>210</v>
      </c>
      <c r="Y1456" s="331" t="s">
        <v>210</v>
      </c>
      <c r="Z1456" s="331" t="s">
        <v>210</v>
      </c>
      <c r="AA1456" s="331" t="s">
        <v>210</v>
      </c>
      <c r="AB1456" s="416"/>
      <c r="AC1456" s="416"/>
      <c r="AD1456" s="461"/>
      <c r="AE1456" s="485"/>
      <c r="AF1456" s="388"/>
      <c r="AG1456" s="389"/>
      <c r="AH1456" s="410"/>
      <c r="AI1456" s="500"/>
      <c r="AJ1456" s="500"/>
      <c r="AK1456" s="371"/>
      <c r="AL1456" s="410"/>
      <c r="AM1456" s="500"/>
      <c r="AN1456" s="500"/>
      <c r="AO1456" s="422"/>
      <c r="AP1456" s="516"/>
      <c r="AQ1456" s="343"/>
      <c r="AR1456" s="501"/>
      <c r="AS1456" s="408"/>
      <c r="AT1456" s="500"/>
      <c r="AU1456" s="500"/>
      <c r="AV1456" s="500"/>
      <c r="AW1456" s="422"/>
      <c r="AX1456" s="410"/>
      <c r="AY1456" s="413"/>
      <c r="AZ1456" s="407"/>
      <c r="BA1456" s="408"/>
      <c r="BB1456" s="408"/>
      <c r="BC1456" s="408"/>
      <c r="BD1456" s="408"/>
      <c r="BE1456" s="408"/>
      <c r="BF1456" s="408"/>
      <c r="BG1456" s="408"/>
      <c r="BH1456" s="409"/>
      <c r="BI1456" s="410"/>
      <c r="BJ1456" s="411"/>
      <c r="BK1456" s="412"/>
      <c r="BL1456" s="413"/>
      <c r="BM1456" s="414"/>
      <c r="BN1456" s="410"/>
      <c r="BO1456" s="502"/>
      <c r="BP1456" s="492"/>
      <c r="BQ1456" s="360"/>
      <c r="BR1456" s="361"/>
      <c r="BS1456" s="361"/>
      <c r="BT1456" s="361"/>
      <c r="BU1456" s="361"/>
      <c r="BV1456" s="361"/>
      <c r="BW1456" s="361"/>
      <c r="BX1456" s="361"/>
      <c r="BY1456" s="457"/>
      <c r="BZ1456" s="363"/>
      <c r="CA1456" s="363"/>
      <c r="CB1456" s="363"/>
      <c r="CC1456" s="363"/>
    </row>
    <row r="1457" spans="1:82" ht="22.5" customHeight="1">
      <c r="B1457" s="2043"/>
      <c r="C1457" s="1930" t="s">
        <v>17848</v>
      </c>
      <c r="D1457" s="554"/>
      <c r="E1457" s="404" t="s">
        <v>15363</v>
      </c>
      <c r="F1457" s="377"/>
      <c r="G1457" s="374"/>
      <c r="H1457" s="408"/>
      <c r="I1457" s="408"/>
      <c r="J1457" s="408"/>
      <c r="K1457" s="408"/>
      <c r="L1457" s="361"/>
      <c r="M1457" s="408"/>
      <c r="N1457" s="511"/>
      <c r="O1457" s="408"/>
      <c r="P1457" s="495"/>
      <c r="Q1457" s="497"/>
      <c r="R1457" s="420" t="s">
        <v>17910</v>
      </c>
      <c r="S1457" s="394" t="s">
        <v>17914</v>
      </c>
      <c r="T1457" s="394" t="s">
        <v>17913</v>
      </c>
      <c r="U1457" s="513"/>
      <c r="V1457" s="394" t="s">
        <v>17915</v>
      </c>
      <c r="W1457" s="332" t="s">
        <v>432</v>
      </c>
      <c r="X1457" s="331" t="s">
        <v>210</v>
      </c>
      <c r="Y1457" s="331" t="s">
        <v>210</v>
      </c>
      <c r="Z1457" s="331" t="s">
        <v>210</v>
      </c>
      <c r="AA1457" s="331" t="s">
        <v>210</v>
      </c>
      <c r="AB1457" s="416" t="s">
        <v>17849</v>
      </c>
      <c r="AC1457" s="416"/>
      <c r="AD1457" s="461"/>
      <c r="AE1457" s="485"/>
      <c r="AF1457" s="388"/>
      <c r="AG1457" s="389"/>
      <c r="AH1457" s="410"/>
      <c r="AI1457" s="500"/>
      <c r="AJ1457" s="500"/>
      <c r="AK1457" s="371"/>
      <c r="AL1457" s="341" t="s">
        <v>210</v>
      </c>
      <c r="AM1457" s="392" t="s">
        <v>210</v>
      </c>
      <c r="AN1457" s="500"/>
      <c r="AO1457" s="392" t="s">
        <v>210</v>
      </c>
      <c r="AP1457" s="516"/>
      <c r="AQ1457" s="343"/>
      <c r="AR1457" s="501"/>
      <c r="AS1457" s="408"/>
      <c r="AT1457" s="500"/>
      <c r="AU1457" s="500"/>
      <c r="AV1457" s="500"/>
      <c r="AW1457" s="422"/>
      <c r="AX1457" s="410"/>
      <c r="AY1457" s="413"/>
      <c r="AZ1457" s="407"/>
      <c r="BA1457" s="408"/>
      <c r="BB1457" s="408"/>
      <c r="BC1457" s="408"/>
      <c r="BD1457" s="408"/>
      <c r="BE1457" s="408"/>
      <c r="BF1457" s="408"/>
      <c r="BG1457" s="408"/>
      <c r="BH1457" s="409"/>
      <c r="BI1457" s="410"/>
      <c r="BJ1457" s="411"/>
      <c r="BK1457" s="412"/>
      <c r="BL1457" s="413"/>
      <c r="BM1457" s="414"/>
      <c r="BN1457" s="410"/>
      <c r="BO1457" s="502"/>
      <c r="BP1457" s="492"/>
      <c r="BQ1457" s="360"/>
      <c r="BR1457" s="361"/>
      <c r="BS1457" s="361"/>
      <c r="BT1457" s="361"/>
      <c r="BU1457" s="361"/>
      <c r="BV1457" s="361"/>
      <c r="BW1457" s="361"/>
      <c r="BX1457" s="361"/>
      <c r="BY1457" s="457"/>
      <c r="BZ1457" s="363"/>
      <c r="CA1457" s="363"/>
      <c r="CB1457" s="363"/>
      <c r="CC1457" s="363"/>
    </row>
    <row r="1458" spans="1:82" ht="22.5" customHeight="1">
      <c r="A1458" s="287" t="s">
        <v>18015</v>
      </c>
      <c r="B1458" s="2043"/>
      <c r="C1458" s="517" t="s">
        <v>18014</v>
      </c>
      <c r="D1458" s="509"/>
      <c r="E1458" s="404" t="s">
        <v>6879</v>
      </c>
      <c r="F1458" s="407"/>
      <c r="G1458" s="408"/>
      <c r="H1458" s="408"/>
      <c r="I1458" s="408"/>
      <c r="J1458" s="408"/>
      <c r="K1458" s="408"/>
      <c r="L1458" s="361"/>
      <c r="M1458" s="408"/>
      <c r="N1458" s="511"/>
      <c r="O1458" s="408"/>
      <c r="P1458" s="495"/>
      <c r="Q1458" s="497"/>
      <c r="R1458" s="420" t="s">
        <v>18016</v>
      </c>
      <c r="S1458" s="513"/>
      <c r="T1458" s="513"/>
      <c r="U1458" s="513"/>
      <c r="V1458" s="513"/>
      <c r="W1458" s="332" t="s">
        <v>432</v>
      </c>
      <c r="X1458" s="331" t="s">
        <v>210</v>
      </c>
      <c r="Y1458" s="331" t="s">
        <v>210</v>
      </c>
      <c r="Z1458" s="331" t="s">
        <v>210</v>
      </c>
      <c r="AA1458" s="331" t="s">
        <v>210</v>
      </c>
      <c r="AB1458" s="515"/>
      <c r="AC1458" s="515"/>
      <c r="AD1458" s="461"/>
      <c r="AE1458" s="485"/>
      <c r="AF1458" s="388"/>
      <c r="AG1458" s="389"/>
      <c r="AH1458" s="410"/>
      <c r="AI1458" s="500"/>
      <c r="AJ1458" s="500"/>
      <c r="AK1458" s="371"/>
      <c r="AL1458" s="410"/>
      <c r="AM1458" s="500"/>
      <c r="AN1458" s="500"/>
      <c r="AO1458" s="422"/>
      <c r="AP1458" s="516"/>
      <c r="AQ1458" s="343"/>
      <c r="AR1458" s="501"/>
      <c r="AS1458" s="408"/>
      <c r="AT1458" s="500"/>
      <c r="AU1458" s="500"/>
      <c r="AV1458" s="500"/>
      <c r="AW1458" s="422"/>
      <c r="AX1458" s="410"/>
      <c r="AY1458" s="413"/>
      <c r="AZ1458" s="407"/>
      <c r="BA1458" s="408"/>
      <c r="BB1458" s="408"/>
      <c r="BC1458" s="408"/>
      <c r="BD1458" s="408"/>
      <c r="BE1458" s="408"/>
      <c r="BF1458" s="408"/>
      <c r="BG1458" s="408"/>
      <c r="BH1458" s="409"/>
      <c r="BI1458" s="410"/>
      <c r="BJ1458" s="411"/>
      <c r="BK1458" s="412"/>
      <c r="BL1458" s="413"/>
      <c r="BM1458" s="414"/>
      <c r="BN1458" s="410"/>
      <c r="BO1458" s="502"/>
      <c r="BP1458" s="492"/>
      <c r="BQ1458" s="360"/>
      <c r="BR1458" s="361"/>
      <c r="BS1458" s="361"/>
      <c r="BT1458" s="361"/>
      <c r="BU1458" s="361"/>
      <c r="BV1458" s="361"/>
      <c r="BW1458" s="361"/>
      <c r="BX1458" s="361"/>
      <c r="BY1458" s="457" t="s">
        <v>18019</v>
      </c>
      <c r="BZ1458" s="363"/>
      <c r="CA1458" s="363"/>
      <c r="CB1458" s="363"/>
      <c r="CC1458" s="363"/>
    </row>
    <row r="1459" spans="1:82" ht="22.5" customHeight="1">
      <c r="B1459" s="2043"/>
      <c r="C1459" s="1930" t="s">
        <v>17822</v>
      </c>
      <c r="D1459" s="554"/>
      <c r="E1459" s="404" t="s">
        <v>5362</v>
      </c>
      <c r="F1459" s="321" t="s">
        <v>17814</v>
      </c>
      <c r="G1459" s="326" t="s">
        <v>17813</v>
      </c>
      <c r="H1459" s="324" t="s">
        <v>17815</v>
      </c>
      <c r="I1459" s="326" t="s">
        <v>11</v>
      </c>
      <c r="J1459" s="326" t="s">
        <v>399</v>
      </c>
      <c r="K1459" s="408"/>
      <c r="L1459" s="361"/>
      <c r="M1459" s="408"/>
      <c r="N1459" s="511"/>
      <c r="O1459" s="408"/>
      <c r="P1459" s="495"/>
      <c r="Q1459" s="497"/>
      <c r="R1459" s="329" t="s">
        <v>1093</v>
      </c>
      <c r="S1459" s="332" t="s">
        <v>12863</v>
      </c>
      <c r="T1459" s="332" t="s">
        <v>12864</v>
      </c>
      <c r="U1459" s="332" t="s">
        <v>16419</v>
      </c>
      <c r="V1459" s="332" t="s">
        <v>12865</v>
      </c>
      <c r="W1459" s="332" t="s">
        <v>432</v>
      </c>
      <c r="X1459" s="331" t="s">
        <v>210</v>
      </c>
      <c r="Y1459" s="331" t="s">
        <v>210</v>
      </c>
      <c r="Z1459" s="331" t="s">
        <v>210</v>
      </c>
      <c r="AA1459" s="331" t="s">
        <v>210</v>
      </c>
      <c r="AB1459" s="416"/>
      <c r="AC1459" s="416"/>
      <c r="AD1459" s="461"/>
      <c r="AE1459" s="485"/>
      <c r="AF1459" s="475">
        <v>44099</v>
      </c>
      <c r="AG1459" s="389"/>
      <c r="AH1459" s="410"/>
      <c r="AI1459" s="500"/>
      <c r="AJ1459" s="500"/>
      <c r="AK1459" s="371"/>
      <c r="AL1459" s="341" t="s">
        <v>210</v>
      </c>
      <c r="AM1459" s="392" t="s">
        <v>210</v>
      </c>
      <c r="AN1459" s="500"/>
      <c r="AO1459" s="392" t="s">
        <v>210</v>
      </c>
      <c r="AP1459" s="516"/>
      <c r="AQ1459" s="343"/>
      <c r="AR1459" s="501"/>
      <c r="AS1459" s="408"/>
      <c r="AT1459" s="500"/>
      <c r="AU1459" s="500"/>
      <c r="AV1459" s="500"/>
      <c r="AW1459" s="422"/>
      <c r="AX1459" s="410"/>
      <c r="AY1459" s="413"/>
      <c r="AZ1459" s="407"/>
      <c r="BA1459" s="408"/>
      <c r="BB1459" s="408"/>
      <c r="BC1459" s="408"/>
      <c r="BD1459" s="408"/>
      <c r="BE1459" s="408"/>
      <c r="BF1459" s="408"/>
      <c r="BG1459" s="408"/>
      <c r="BH1459" s="409"/>
      <c r="BI1459" s="410"/>
      <c r="BJ1459" s="411"/>
      <c r="BK1459" s="412"/>
      <c r="BL1459" s="413"/>
      <c r="BM1459" s="414"/>
      <c r="BN1459" s="410"/>
      <c r="BO1459" s="502"/>
      <c r="BP1459" s="492"/>
      <c r="BQ1459" s="360"/>
      <c r="BR1459" s="361"/>
      <c r="BS1459" s="361"/>
      <c r="BT1459" s="361"/>
      <c r="BU1459" s="361"/>
      <c r="BV1459" s="361"/>
      <c r="BW1459" s="361"/>
      <c r="BX1459" s="361"/>
      <c r="BY1459" s="457"/>
      <c r="BZ1459" s="363"/>
      <c r="CA1459" s="363"/>
      <c r="CB1459" s="363"/>
      <c r="CC1459" s="363"/>
    </row>
    <row r="1460" spans="1:82" ht="22.5" customHeight="1">
      <c r="B1460" s="2043"/>
      <c r="C1460" s="1928" t="s">
        <v>15864</v>
      </c>
      <c r="D1460" s="509"/>
      <c r="E1460" s="404" t="s">
        <v>5363</v>
      </c>
      <c r="F1460" s="405" t="s">
        <v>17347</v>
      </c>
      <c r="G1460" s="324" t="s">
        <v>16008</v>
      </c>
      <c r="H1460" s="324" t="s">
        <v>16009</v>
      </c>
      <c r="I1460" s="326" t="s">
        <v>11</v>
      </c>
      <c r="J1460" s="408"/>
      <c r="K1460" s="408"/>
      <c r="L1460" s="342" t="s">
        <v>210</v>
      </c>
      <c r="M1460" s="408"/>
      <c r="N1460" s="511"/>
      <c r="O1460" s="408"/>
      <c r="P1460" s="495"/>
      <c r="Q1460" s="497"/>
      <c r="R1460" s="416" t="s">
        <v>15857</v>
      </c>
      <c r="S1460" s="1269"/>
      <c r="T1460" s="513"/>
      <c r="U1460" s="513"/>
      <c r="V1460" s="513"/>
      <c r="W1460" s="332" t="s">
        <v>432</v>
      </c>
      <c r="X1460" s="331" t="s">
        <v>210</v>
      </c>
      <c r="Y1460" s="331" t="s">
        <v>210</v>
      </c>
      <c r="Z1460" s="331" t="s">
        <v>210</v>
      </c>
      <c r="AA1460" s="331" t="s">
        <v>210</v>
      </c>
      <c r="AB1460" s="416"/>
      <c r="AC1460" s="416"/>
      <c r="AD1460" s="461"/>
      <c r="AE1460" s="485"/>
      <c r="AF1460" s="388"/>
      <c r="AG1460" s="389"/>
      <c r="AH1460" s="410"/>
      <c r="AI1460" s="500"/>
      <c r="AJ1460" s="500"/>
      <c r="AK1460" s="371"/>
      <c r="AL1460" s="341" t="s">
        <v>210</v>
      </c>
      <c r="AM1460" s="392" t="s">
        <v>210</v>
      </c>
      <c r="AN1460" s="500"/>
      <c r="AO1460" s="392" t="s">
        <v>210</v>
      </c>
      <c r="AP1460" s="516"/>
      <c r="AQ1460" s="429" t="s">
        <v>4547</v>
      </c>
      <c r="AR1460" s="501"/>
      <c r="AS1460" s="408"/>
      <c r="AT1460" s="500"/>
      <c r="AU1460" s="500"/>
      <c r="AV1460" s="500"/>
      <c r="AW1460" s="422"/>
      <c r="AX1460" s="410"/>
      <c r="AY1460" s="413"/>
      <c r="AZ1460" s="407"/>
      <c r="BA1460" s="408"/>
      <c r="BB1460" s="408"/>
      <c r="BC1460" s="408"/>
      <c r="BD1460" s="408"/>
      <c r="BE1460" s="408"/>
      <c r="BF1460" s="408"/>
      <c r="BG1460" s="408"/>
      <c r="BH1460" s="409"/>
      <c r="BI1460" s="410"/>
      <c r="BJ1460" s="411"/>
      <c r="BK1460" s="412"/>
      <c r="BL1460" s="413"/>
      <c r="BM1460" s="414"/>
      <c r="BN1460" s="410"/>
      <c r="BO1460" s="502"/>
      <c r="BP1460" s="492"/>
      <c r="BQ1460" s="360"/>
      <c r="BR1460" s="361"/>
      <c r="BS1460" s="361"/>
      <c r="BT1460" s="392" t="s">
        <v>210</v>
      </c>
      <c r="BU1460" s="392" t="s">
        <v>210</v>
      </c>
      <c r="BV1460" s="392" t="s">
        <v>210</v>
      </c>
      <c r="BW1460" s="392" t="s">
        <v>210</v>
      </c>
      <c r="BX1460" s="392" t="s">
        <v>210</v>
      </c>
      <c r="BY1460" s="457" t="s">
        <v>16010</v>
      </c>
      <c r="BZ1460" s="363"/>
      <c r="CA1460" s="363"/>
      <c r="CB1460" s="363"/>
      <c r="CC1460" s="363"/>
    </row>
    <row r="1461" spans="1:82" ht="22.5" customHeight="1">
      <c r="B1461" s="2043"/>
      <c r="C1461" s="1928" t="s">
        <v>15417</v>
      </c>
      <c r="D1461" s="509"/>
      <c r="E1461" s="404" t="s">
        <v>15418</v>
      </c>
      <c r="F1461" s="405" t="s">
        <v>17346</v>
      </c>
      <c r="G1461" s="324" t="s">
        <v>15419</v>
      </c>
      <c r="H1461" s="408"/>
      <c r="I1461" s="326" t="s">
        <v>11</v>
      </c>
      <c r="J1461" s="408"/>
      <c r="K1461" s="408"/>
      <c r="L1461" s="361"/>
      <c r="M1461" s="408"/>
      <c r="N1461" s="511"/>
      <c r="O1461" s="408"/>
      <c r="P1461" s="1275"/>
      <c r="Q1461" s="558"/>
      <c r="R1461" s="420" t="s">
        <v>15420</v>
      </c>
      <c r="S1461" s="394" t="s">
        <v>15421</v>
      </c>
      <c r="T1461" s="394" t="s">
        <v>15422</v>
      </c>
      <c r="U1461" s="394" t="s">
        <v>16237</v>
      </c>
      <c r="V1461" s="394" t="s">
        <v>15423</v>
      </c>
      <c r="W1461" s="332" t="s">
        <v>432</v>
      </c>
      <c r="X1461" s="331" t="s">
        <v>210</v>
      </c>
      <c r="Y1461" s="331" t="s">
        <v>210</v>
      </c>
      <c r="Z1461" s="331" t="s">
        <v>210</v>
      </c>
      <c r="AA1461" s="331" t="s">
        <v>210</v>
      </c>
      <c r="AB1461" s="416" t="s">
        <v>15857</v>
      </c>
      <c r="AC1461" s="416"/>
      <c r="AD1461" s="461"/>
      <c r="AE1461" s="485"/>
      <c r="AF1461" s="388"/>
      <c r="AG1461" s="389"/>
      <c r="AH1461" s="410"/>
      <c r="AI1461" s="500"/>
      <c r="AJ1461" s="500"/>
      <c r="AK1461" s="371"/>
      <c r="AL1461" s="341" t="s">
        <v>210</v>
      </c>
      <c r="AM1461" s="392" t="s">
        <v>210</v>
      </c>
      <c r="AN1461" s="500"/>
      <c r="AO1461" s="392" t="s">
        <v>210</v>
      </c>
      <c r="AP1461" s="516"/>
      <c r="AQ1461" s="429" t="s">
        <v>4547</v>
      </c>
      <c r="AR1461" s="501"/>
      <c r="AS1461" s="408"/>
      <c r="AT1461" s="500"/>
      <c r="AU1461" s="500"/>
      <c r="AV1461" s="500"/>
      <c r="AW1461" s="422"/>
      <c r="AX1461" s="410"/>
      <c r="AY1461" s="413"/>
      <c r="AZ1461" s="407"/>
      <c r="BA1461" s="408"/>
      <c r="BB1461" s="408"/>
      <c r="BC1461" s="408"/>
      <c r="BD1461" s="408"/>
      <c r="BE1461" s="408"/>
      <c r="BF1461" s="408"/>
      <c r="BG1461" s="408"/>
      <c r="BH1461" s="409"/>
      <c r="BI1461" s="410"/>
      <c r="BJ1461" s="411"/>
      <c r="BK1461" s="412"/>
      <c r="BL1461" s="413"/>
      <c r="BM1461" s="414"/>
      <c r="BN1461" s="410"/>
      <c r="BO1461" s="502"/>
      <c r="BP1461" s="492"/>
      <c r="BQ1461" s="360"/>
      <c r="BR1461" s="361"/>
      <c r="BS1461" s="361"/>
      <c r="BT1461" s="392" t="s">
        <v>210</v>
      </c>
      <c r="BU1461" s="392" t="s">
        <v>210</v>
      </c>
      <c r="BV1461" s="392" t="s">
        <v>210</v>
      </c>
      <c r="BW1461" s="392" t="s">
        <v>210</v>
      </c>
      <c r="BX1461" s="392" t="s">
        <v>210</v>
      </c>
      <c r="BY1461" s="457"/>
      <c r="BZ1461" s="363"/>
      <c r="CA1461" s="363"/>
      <c r="CB1461" s="363"/>
      <c r="CC1461" s="363"/>
    </row>
    <row r="1462" spans="1:82" ht="22.5" customHeight="1">
      <c r="B1462" s="2043"/>
      <c r="C1462" s="508" t="s">
        <v>17966</v>
      </c>
      <c r="D1462" s="554"/>
      <c r="E1462" s="404" t="s">
        <v>5362</v>
      </c>
      <c r="F1462" s="377"/>
      <c r="G1462" s="374"/>
      <c r="H1462" s="408"/>
      <c r="I1462" s="326" t="s">
        <v>11</v>
      </c>
      <c r="J1462" s="408"/>
      <c r="K1462" s="408"/>
      <c r="L1462" s="361"/>
      <c r="M1462" s="408"/>
      <c r="N1462" s="511"/>
      <c r="O1462" s="408"/>
      <c r="P1462" s="495"/>
      <c r="Q1462" s="497"/>
      <c r="R1462" s="420" t="s">
        <v>17967</v>
      </c>
      <c r="S1462" s="513"/>
      <c r="T1462" s="513"/>
      <c r="U1462" s="513"/>
      <c r="V1462" s="513"/>
      <c r="W1462" s="460" t="s">
        <v>18051</v>
      </c>
      <c r="X1462" s="513"/>
      <c r="Y1462" s="513"/>
      <c r="Z1462" s="513"/>
      <c r="AA1462" s="513"/>
      <c r="AB1462" s="515"/>
      <c r="AC1462" s="515"/>
      <c r="AD1462" s="461"/>
      <c r="AE1462" s="485"/>
      <c r="AF1462" s="388"/>
      <c r="AG1462" s="389"/>
      <c r="AH1462" s="410"/>
      <c r="AI1462" s="500"/>
      <c r="AJ1462" s="500"/>
      <c r="AK1462" s="371"/>
      <c r="AL1462" s="341" t="s">
        <v>210</v>
      </c>
      <c r="AM1462" s="392" t="s">
        <v>210</v>
      </c>
      <c r="AN1462" s="500"/>
      <c r="AO1462" s="392" t="s">
        <v>210</v>
      </c>
      <c r="AP1462" s="496" t="s">
        <v>622</v>
      </c>
      <c r="AQ1462" s="429" t="s">
        <v>4547</v>
      </c>
      <c r="AR1462" s="501"/>
      <c r="AS1462" s="408"/>
      <c r="AT1462" s="500"/>
      <c r="AU1462" s="500"/>
      <c r="AV1462" s="500"/>
      <c r="AW1462" s="422"/>
      <c r="AX1462" s="410"/>
      <c r="AY1462" s="413"/>
      <c r="AZ1462" s="407"/>
      <c r="BA1462" s="408"/>
      <c r="BB1462" s="408"/>
      <c r="BC1462" s="408"/>
      <c r="BD1462" s="408"/>
      <c r="BE1462" s="408"/>
      <c r="BF1462" s="408"/>
      <c r="BG1462" s="408"/>
      <c r="BH1462" s="409"/>
      <c r="BI1462" s="410"/>
      <c r="BJ1462" s="411"/>
      <c r="BK1462" s="412"/>
      <c r="BL1462" s="413"/>
      <c r="BM1462" s="414"/>
      <c r="BN1462" s="410"/>
      <c r="BO1462" s="502"/>
      <c r="BP1462" s="492"/>
      <c r="BQ1462" s="360"/>
      <c r="BR1462" s="361"/>
      <c r="BS1462" s="361"/>
      <c r="BT1462" s="361"/>
      <c r="BU1462" s="361"/>
      <c r="BV1462" s="361"/>
      <c r="BW1462" s="361"/>
      <c r="BX1462" s="361"/>
      <c r="BY1462" s="457"/>
      <c r="BZ1462" s="363"/>
      <c r="CA1462" s="363"/>
      <c r="CB1462" s="363"/>
      <c r="CC1462" s="363"/>
    </row>
    <row r="1463" spans="1:82" ht="22.5" customHeight="1">
      <c r="B1463" s="2043"/>
      <c r="C1463" s="508" t="s">
        <v>17972</v>
      </c>
      <c r="D1463" s="554"/>
      <c r="E1463" s="404" t="s">
        <v>5362</v>
      </c>
      <c r="F1463" s="377"/>
      <c r="G1463" s="374"/>
      <c r="H1463" s="408"/>
      <c r="I1463" s="326" t="s">
        <v>11</v>
      </c>
      <c r="J1463" s="326" t="s">
        <v>399</v>
      </c>
      <c r="K1463" s="324" t="s">
        <v>917</v>
      </c>
      <c r="L1463" s="342" t="s">
        <v>210</v>
      </c>
      <c r="M1463" s="324" t="s">
        <v>7457</v>
      </c>
      <c r="N1463" s="511"/>
      <c r="O1463" s="408"/>
      <c r="P1463" s="495"/>
      <c r="Q1463" s="497"/>
      <c r="R1463" s="420" t="s">
        <v>17973</v>
      </c>
      <c r="S1463" s="394" t="s">
        <v>17974</v>
      </c>
      <c r="T1463" s="394" t="s">
        <v>17975</v>
      </c>
      <c r="U1463" s="394" t="s">
        <v>17976</v>
      </c>
      <c r="V1463" s="394" t="s">
        <v>17977</v>
      </c>
      <c r="W1463" s="1282" t="s">
        <v>1106</v>
      </c>
      <c r="X1463" s="394" t="s">
        <v>12294</v>
      </c>
      <c r="Y1463" s="394" t="s">
        <v>11486</v>
      </c>
      <c r="Z1463" s="394" t="s">
        <v>11487</v>
      </c>
      <c r="AA1463" s="394" t="s">
        <v>11488</v>
      </c>
      <c r="AB1463" s="515"/>
      <c r="AC1463" s="515"/>
      <c r="AD1463" s="461"/>
      <c r="AE1463" s="485"/>
      <c r="AF1463" s="388"/>
      <c r="AG1463" s="389"/>
      <c r="AH1463" s="410"/>
      <c r="AI1463" s="500"/>
      <c r="AJ1463" s="500"/>
      <c r="AK1463" s="371"/>
      <c r="AL1463" s="410"/>
      <c r="AM1463" s="500"/>
      <c r="AN1463" s="500"/>
      <c r="AO1463" s="422"/>
      <c r="AP1463" s="516"/>
      <c r="AQ1463" s="343"/>
      <c r="AR1463" s="501"/>
      <c r="AS1463" s="408"/>
      <c r="AT1463" s="500"/>
      <c r="AU1463" s="500"/>
      <c r="AV1463" s="500"/>
      <c r="AW1463" s="422"/>
      <c r="AX1463" s="410"/>
      <c r="AY1463" s="413"/>
      <c r="AZ1463" s="407"/>
      <c r="BA1463" s="408"/>
      <c r="BB1463" s="408"/>
      <c r="BC1463" s="408"/>
      <c r="BD1463" s="408"/>
      <c r="BE1463" s="408"/>
      <c r="BF1463" s="408"/>
      <c r="BG1463" s="408"/>
      <c r="BH1463" s="409"/>
      <c r="BI1463" s="410"/>
      <c r="BJ1463" s="411"/>
      <c r="BK1463" s="412"/>
      <c r="BL1463" s="413"/>
      <c r="BM1463" s="414"/>
      <c r="BN1463" s="410"/>
      <c r="BO1463" s="502"/>
      <c r="BP1463" s="492"/>
      <c r="BQ1463" s="360"/>
      <c r="BR1463" s="361"/>
      <c r="BS1463" s="361"/>
      <c r="BT1463" s="361"/>
      <c r="BU1463" s="361"/>
      <c r="BV1463" s="361"/>
      <c r="BW1463" s="361"/>
      <c r="BX1463" s="361"/>
      <c r="BY1463" s="457"/>
      <c r="BZ1463" s="363"/>
      <c r="CA1463" s="363"/>
      <c r="CB1463" s="363"/>
      <c r="CC1463" s="363"/>
    </row>
    <row r="1464" spans="1:82" ht="22.5" customHeight="1">
      <c r="B1464" s="2043"/>
      <c r="C1464" s="517" t="s">
        <v>18010</v>
      </c>
      <c r="D1464" s="509"/>
      <c r="E1464" s="404" t="s">
        <v>5362</v>
      </c>
      <c r="F1464" s="405" t="s">
        <v>18011</v>
      </c>
      <c r="G1464" s="324" t="s">
        <v>18012</v>
      </c>
      <c r="H1464" s="324" t="s">
        <v>18013</v>
      </c>
      <c r="I1464" s="326" t="s">
        <v>11</v>
      </c>
      <c r="J1464" s="326" t="s">
        <v>399</v>
      </c>
      <c r="K1464" s="324" t="s">
        <v>917</v>
      </c>
      <c r="L1464" s="342" t="s">
        <v>210</v>
      </c>
      <c r="M1464" s="408"/>
      <c r="N1464" s="511"/>
      <c r="O1464" s="408"/>
      <c r="P1464" s="495"/>
      <c r="Q1464" s="497"/>
      <c r="R1464" s="329" t="s">
        <v>5911</v>
      </c>
      <c r="S1464" s="394" t="s">
        <v>11632</v>
      </c>
      <c r="T1464" s="394" t="s">
        <v>14982</v>
      </c>
      <c r="U1464" s="394" t="s">
        <v>16306</v>
      </c>
      <c r="V1464" s="394" t="s">
        <v>11633</v>
      </c>
      <c r="W1464" s="514"/>
      <c r="X1464" s="513"/>
      <c r="Y1464" s="513"/>
      <c r="Z1464" s="513"/>
      <c r="AA1464" s="513"/>
      <c r="AB1464" s="515"/>
      <c r="AC1464" s="515"/>
      <c r="AD1464" s="461"/>
      <c r="AE1464" s="485"/>
      <c r="AF1464" s="388"/>
      <c r="AG1464" s="389"/>
      <c r="AH1464" s="410"/>
      <c r="AI1464" s="500"/>
      <c r="AJ1464" s="500"/>
      <c r="AK1464" s="371"/>
      <c r="AL1464" s="410"/>
      <c r="AM1464" s="500"/>
      <c r="AN1464" s="500"/>
      <c r="AO1464" s="422"/>
      <c r="AP1464" s="516"/>
      <c r="AQ1464" s="429" t="s">
        <v>4547</v>
      </c>
      <c r="AR1464" s="501"/>
      <c r="AS1464" s="408"/>
      <c r="AT1464" s="500"/>
      <c r="AU1464" s="500"/>
      <c r="AV1464" s="500"/>
      <c r="AW1464" s="422"/>
      <c r="AX1464" s="410"/>
      <c r="AY1464" s="413"/>
      <c r="AZ1464" s="407"/>
      <c r="BA1464" s="408"/>
      <c r="BB1464" s="408"/>
      <c r="BC1464" s="408"/>
      <c r="BD1464" s="408"/>
      <c r="BE1464" s="408"/>
      <c r="BF1464" s="408"/>
      <c r="BG1464" s="408"/>
      <c r="BH1464" s="409"/>
      <c r="BI1464" s="410"/>
      <c r="BJ1464" s="411"/>
      <c r="BK1464" s="412"/>
      <c r="BL1464" s="413"/>
      <c r="BM1464" s="414"/>
      <c r="BN1464" s="410"/>
      <c r="BO1464" s="502"/>
      <c r="BP1464" s="492"/>
      <c r="BQ1464" s="360"/>
      <c r="BR1464" s="361"/>
      <c r="BS1464" s="361"/>
      <c r="BT1464" s="361"/>
      <c r="BU1464" s="361"/>
      <c r="BV1464" s="361"/>
      <c r="BW1464" s="361"/>
      <c r="BX1464" s="361"/>
      <c r="BY1464" s="457"/>
      <c r="BZ1464" s="363"/>
      <c r="CA1464" s="363"/>
      <c r="CB1464" s="363"/>
      <c r="CC1464" s="363"/>
    </row>
    <row r="1465" spans="1:82" ht="22.5" customHeight="1">
      <c r="B1465" s="2043"/>
      <c r="C1465" s="1930" t="s">
        <v>17770</v>
      </c>
      <c r="D1465" s="554"/>
      <c r="E1465" s="368" t="s">
        <v>17062</v>
      </c>
      <c r="F1465" s="321" t="s">
        <v>17980</v>
      </c>
      <c r="G1465" s="326" t="s">
        <v>17981</v>
      </c>
      <c r="H1465" s="324" t="s">
        <v>17982</v>
      </c>
      <c r="I1465" s="326" t="s">
        <v>11</v>
      </c>
      <c r="J1465" s="408"/>
      <c r="K1465" s="408"/>
      <c r="L1465" s="361"/>
      <c r="M1465" s="408"/>
      <c r="N1465" s="511"/>
      <c r="O1465" s="408"/>
      <c r="P1465" s="495"/>
      <c r="Q1465" s="497"/>
      <c r="R1465" s="420" t="s">
        <v>442</v>
      </c>
      <c r="S1465" s="394" t="s">
        <v>12566</v>
      </c>
      <c r="T1465" s="394" t="s">
        <v>12567</v>
      </c>
      <c r="U1465" s="394" t="s">
        <v>16336</v>
      </c>
      <c r="V1465" s="394" t="s">
        <v>12568</v>
      </c>
      <c r="W1465" s="460" t="s">
        <v>17984</v>
      </c>
      <c r="X1465" s="513"/>
      <c r="Y1465" s="394" t="s">
        <v>13301</v>
      </c>
      <c r="Z1465" s="394" t="s">
        <v>16339</v>
      </c>
      <c r="AA1465" s="745" t="s">
        <v>13300</v>
      </c>
      <c r="AB1465" s="515"/>
      <c r="AC1465" s="515"/>
      <c r="AD1465" s="461"/>
      <c r="AE1465" s="485"/>
      <c r="AF1465" s="388"/>
      <c r="AG1465" s="389"/>
      <c r="AH1465" s="410"/>
      <c r="AI1465" s="500"/>
      <c r="AJ1465" s="500"/>
      <c r="AK1465" s="371"/>
      <c r="AL1465" s="341" t="s">
        <v>210</v>
      </c>
      <c r="AM1465" s="392" t="s">
        <v>210</v>
      </c>
      <c r="AN1465" s="500"/>
      <c r="AO1465" s="392" t="s">
        <v>210</v>
      </c>
      <c r="AP1465" s="392" t="s">
        <v>210</v>
      </c>
      <c r="AQ1465" s="429" t="s">
        <v>4547</v>
      </c>
      <c r="AR1465" s="501"/>
      <c r="AS1465" s="408"/>
      <c r="AT1465" s="500"/>
      <c r="AU1465" s="500"/>
      <c r="AV1465" s="500"/>
      <c r="AW1465" s="422"/>
      <c r="AX1465" s="410"/>
      <c r="AY1465" s="413"/>
      <c r="AZ1465" s="407"/>
      <c r="BA1465" s="408"/>
      <c r="BB1465" s="408"/>
      <c r="BC1465" s="408"/>
      <c r="BD1465" s="408"/>
      <c r="BE1465" s="408"/>
      <c r="BF1465" s="408"/>
      <c r="BG1465" s="408"/>
      <c r="BH1465" s="409"/>
      <c r="BI1465" s="410"/>
      <c r="BJ1465" s="411"/>
      <c r="BK1465" s="412"/>
      <c r="BL1465" s="413"/>
      <c r="BM1465" s="414"/>
      <c r="BN1465" s="410"/>
      <c r="BO1465" s="502"/>
      <c r="BP1465" s="492"/>
      <c r="BQ1465" s="360"/>
      <c r="BR1465" s="361"/>
      <c r="BS1465" s="361"/>
      <c r="BT1465" s="361"/>
      <c r="BU1465" s="392" t="s">
        <v>210</v>
      </c>
      <c r="BV1465" s="392" t="s">
        <v>210</v>
      </c>
      <c r="BW1465" s="392" t="s">
        <v>210</v>
      </c>
      <c r="BX1465" s="392" t="s">
        <v>210</v>
      </c>
      <c r="BY1465" s="457" t="s">
        <v>17983</v>
      </c>
      <c r="BZ1465" s="363"/>
      <c r="CA1465" s="363"/>
      <c r="CB1465" s="363"/>
      <c r="CC1465" s="363"/>
    </row>
    <row r="1466" spans="1:82" ht="22.5" customHeight="1">
      <c r="B1466" s="2043"/>
      <c r="C1466" s="1930" t="s">
        <v>17552</v>
      </c>
      <c r="D1466" s="554"/>
      <c r="E1466" s="404" t="s">
        <v>6879</v>
      </c>
      <c r="F1466" s="377"/>
      <c r="G1466" s="374"/>
      <c r="H1466" s="408"/>
      <c r="I1466" s="408"/>
      <c r="J1466" s="408"/>
      <c r="K1466" s="408"/>
      <c r="L1466" s="361"/>
      <c r="M1466" s="408"/>
      <c r="N1466" s="511"/>
      <c r="O1466" s="408"/>
      <c r="P1466" s="495"/>
      <c r="Q1466" s="497"/>
      <c r="R1466" s="420" t="s">
        <v>5436</v>
      </c>
      <c r="S1466" s="513"/>
      <c r="T1466" s="513"/>
      <c r="U1466" s="513"/>
      <c r="V1466" s="513"/>
      <c r="W1466" s="514"/>
      <c r="X1466" s="513"/>
      <c r="Y1466" s="513"/>
      <c r="Z1466" s="513"/>
      <c r="AA1466" s="513"/>
      <c r="AB1466" s="416"/>
      <c r="AC1466" s="416"/>
      <c r="AD1466" s="461"/>
      <c r="AE1466" s="485"/>
      <c r="AF1466" s="388"/>
      <c r="AG1466" s="389"/>
      <c r="AH1466" s="410"/>
      <c r="AI1466" s="500"/>
      <c r="AJ1466" s="500"/>
      <c r="AK1466" s="371"/>
      <c r="AL1466" s="341" t="s">
        <v>210</v>
      </c>
      <c r="AM1466" s="392" t="s">
        <v>210</v>
      </c>
      <c r="AN1466" s="500"/>
      <c r="AO1466" s="392" t="s">
        <v>210</v>
      </c>
      <c r="AP1466" s="392" t="s">
        <v>210</v>
      </c>
      <c r="AQ1466" s="433" t="s">
        <v>16033</v>
      </c>
      <c r="AR1466" s="501"/>
      <c r="AS1466" s="408"/>
      <c r="AT1466" s="500"/>
      <c r="AU1466" s="500"/>
      <c r="AV1466" s="500"/>
      <c r="AW1466" s="422"/>
      <c r="AX1466" s="410"/>
      <c r="AY1466" s="413"/>
      <c r="AZ1466" s="407"/>
      <c r="BA1466" s="408"/>
      <c r="BB1466" s="408"/>
      <c r="BC1466" s="408"/>
      <c r="BD1466" s="408"/>
      <c r="BE1466" s="408"/>
      <c r="BF1466" s="408"/>
      <c r="BG1466" s="408"/>
      <c r="BH1466" s="409"/>
      <c r="BI1466" s="410"/>
      <c r="BJ1466" s="411"/>
      <c r="BK1466" s="412"/>
      <c r="BL1466" s="413"/>
      <c r="BM1466" s="414"/>
      <c r="BN1466" s="410"/>
      <c r="BO1466" s="502"/>
      <c r="BP1466" s="492"/>
      <c r="BQ1466" s="360"/>
      <c r="BR1466" s="361"/>
      <c r="BS1466" s="361"/>
      <c r="BT1466" s="361"/>
      <c r="BU1466" s="361"/>
      <c r="BV1466" s="361"/>
      <c r="BW1466" s="361"/>
      <c r="BX1466" s="361"/>
      <c r="BY1466" s="457" t="s">
        <v>17553</v>
      </c>
      <c r="BZ1466" s="363"/>
      <c r="CA1466" s="363"/>
      <c r="CB1466" s="363"/>
      <c r="CC1466" s="363"/>
    </row>
    <row r="1467" spans="1:82" ht="22.5" customHeight="1">
      <c r="B1467" s="2043"/>
      <c r="C1467" s="517" t="s">
        <v>17986</v>
      </c>
      <c r="D1467" s="509"/>
      <c r="E1467" s="404" t="s">
        <v>6879</v>
      </c>
      <c r="F1467" s="407"/>
      <c r="G1467" s="408"/>
      <c r="H1467" s="408"/>
      <c r="I1467" s="408"/>
      <c r="J1467" s="408"/>
      <c r="K1467" s="408"/>
      <c r="L1467" s="361"/>
      <c r="M1467" s="408"/>
      <c r="N1467" s="511"/>
      <c r="O1467" s="408"/>
      <c r="P1467" s="495"/>
      <c r="Q1467" s="497"/>
      <c r="R1467" s="420" t="s">
        <v>17987</v>
      </c>
      <c r="S1467" s="513"/>
      <c r="T1467" s="513"/>
      <c r="U1467" s="513"/>
      <c r="V1467" s="513"/>
      <c r="W1467" s="514"/>
      <c r="X1467" s="513"/>
      <c r="Y1467" s="513"/>
      <c r="Z1467" s="513"/>
      <c r="AA1467" s="513"/>
      <c r="AB1467" s="515"/>
      <c r="AC1467" s="515"/>
      <c r="AD1467" s="461"/>
      <c r="AE1467" s="485"/>
      <c r="AF1467" s="388"/>
      <c r="AG1467" s="389"/>
      <c r="AH1467" s="410"/>
      <c r="AI1467" s="500"/>
      <c r="AJ1467" s="500"/>
      <c r="AK1467" s="371"/>
      <c r="AL1467" s="410"/>
      <c r="AM1467" s="500"/>
      <c r="AN1467" s="500"/>
      <c r="AO1467" s="422"/>
      <c r="AP1467" s="516"/>
      <c r="AQ1467" s="429" t="s">
        <v>4547</v>
      </c>
      <c r="AR1467" s="501"/>
      <c r="AS1467" s="408"/>
      <c r="AT1467" s="500"/>
      <c r="AU1467" s="500"/>
      <c r="AV1467" s="500"/>
      <c r="AW1467" s="422"/>
      <c r="AX1467" s="410"/>
      <c r="AY1467" s="413"/>
      <c r="AZ1467" s="407"/>
      <c r="BA1467" s="408"/>
      <c r="BB1467" s="408"/>
      <c r="BC1467" s="408"/>
      <c r="BD1467" s="408"/>
      <c r="BE1467" s="408"/>
      <c r="BF1467" s="408"/>
      <c r="BG1467" s="408"/>
      <c r="BH1467" s="409"/>
      <c r="BI1467" s="410"/>
      <c r="BJ1467" s="411"/>
      <c r="BK1467" s="412"/>
      <c r="BL1467" s="413"/>
      <c r="BM1467" s="414"/>
      <c r="BN1467" s="410"/>
      <c r="BO1467" s="502"/>
      <c r="BP1467" s="492"/>
      <c r="BQ1467" s="360"/>
      <c r="BR1467" s="361"/>
      <c r="BS1467" s="361"/>
      <c r="BT1467" s="361"/>
      <c r="BU1467" s="361"/>
      <c r="BV1467" s="361"/>
      <c r="BW1467" s="361"/>
      <c r="BX1467" s="361"/>
      <c r="BY1467" s="457" t="s">
        <v>17990</v>
      </c>
      <c r="BZ1467" s="363"/>
      <c r="CA1467" s="363"/>
      <c r="CB1467" s="363"/>
      <c r="CC1467" s="363"/>
    </row>
    <row r="1468" spans="1:82" ht="22.5" customHeight="1">
      <c r="B1468" s="2043"/>
      <c r="C1468" s="1930" t="s">
        <v>17554</v>
      </c>
      <c r="D1468" s="554"/>
      <c r="E1468" s="404" t="s">
        <v>15363</v>
      </c>
      <c r="F1468" s="321" t="s">
        <v>17555</v>
      </c>
      <c r="G1468" s="326" t="s">
        <v>17556</v>
      </c>
      <c r="H1468" s="408"/>
      <c r="I1468" s="408"/>
      <c r="J1468" s="408"/>
      <c r="K1468" s="408"/>
      <c r="L1468" s="361"/>
      <c r="M1468" s="408"/>
      <c r="N1468" s="511"/>
      <c r="O1468" s="408"/>
      <c r="P1468" s="495"/>
      <c r="Q1468" s="497"/>
      <c r="R1468" s="512"/>
      <c r="S1468" s="513"/>
      <c r="T1468" s="513"/>
      <c r="U1468" s="513"/>
      <c r="V1468" s="513"/>
      <c r="W1468" s="514"/>
      <c r="X1468" s="513"/>
      <c r="Y1468" s="513"/>
      <c r="Z1468" s="513"/>
      <c r="AA1468" s="513"/>
      <c r="AB1468" s="416"/>
      <c r="AC1468" s="416"/>
      <c r="AD1468" s="461"/>
      <c r="AE1468" s="485"/>
      <c r="AF1468" s="388"/>
      <c r="AG1468" s="389"/>
      <c r="AH1468" s="410"/>
      <c r="AI1468" s="500"/>
      <c r="AJ1468" s="500"/>
      <c r="AK1468" s="371"/>
      <c r="AL1468" s="341" t="s">
        <v>210</v>
      </c>
      <c r="AM1468" s="392" t="s">
        <v>210</v>
      </c>
      <c r="AN1468" s="500"/>
      <c r="AO1468" s="392" t="s">
        <v>210</v>
      </c>
      <c r="AP1468" s="516"/>
      <c r="AQ1468" s="343"/>
      <c r="AR1468" s="501"/>
      <c r="AS1468" s="408"/>
      <c r="AT1468" s="500"/>
      <c r="AU1468" s="500"/>
      <c r="AV1468" s="500"/>
      <c r="AW1468" s="422"/>
      <c r="AX1468" s="410"/>
      <c r="AY1468" s="413"/>
      <c r="AZ1468" s="407"/>
      <c r="BA1468" s="408"/>
      <c r="BB1468" s="408"/>
      <c r="BC1468" s="408"/>
      <c r="BD1468" s="408"/>
      <c r="BE1468" s="408"/>
      <c r="BF1468" s="408"/>
      <c r="BG1468" s="408"/>
      <c r="BH1468" s="409"/>
      <c r="BI1468" s="410"/>
      <c r="BJ1468" s="411"/>
      <c r="BK1468" s="412"/>
      <c r="BL1468" s="413"/>
      <c r="BM1468" s="414"/>
      <c r="BN1468" s="410"/>
      <c r="BO1468" s="502"/>
      <c r="BP1468" s="492"/>
      <c r="BQ1468" s="360"/>
      <c r="BR1468" s="361"/>
      <c r="BS1468" s="361"/>
      <c r="BT1468" s="361"/>
      <c r="BU1468" s="361"/>
      <c r="BV1468" s="361"/>
      <c r="BW1468" s="361"/>
      <c r="BX1468" s="361"/>
      <c r="BY1468" s="457"/>
      <c r="BZ1468" s="363"/>
      <c r="CA1468" s="363"/>
      <c r="CB1468" s="363"/>
      <c r="CC1468" s="363"/>
    </row>
    <row r="1469" spans="1:82" ht="22.5" customHeight="1">
      <c r="B1469" s="2043"/>
      <c r="C1469" s="1930" t="s">
        <v>17610</v>
      </c>
      <c r="D1469" s="554"/>
      <c r="E1469" s="368" t="s">
        <v>15155</v>
      </c>
      <c r="F1469" s="377"/>
      <c r="G1469" s="374"/>
      <c r="H1469" s="408"/>
      <c r="I1469" s="408"/>
      <c r="J1469" s="408"/>
      <c r="K1469" s="408"/>
      <c r="L1469" s="361"/>
      <c r="M1469" s="408"/>
      <c r="N1469" s="511"/>
      <c r="O1469" s="408"/>
      <c r="P1469" s="495"/>
      <c r="Q1469" s="497"/>
      <c r="R1469" s="420" t="s">
        <v>17613</v>
      </c>
      <c r="S1469" s="513"/>
      <c r="T1469" s="513"/>
      <c r="U1469" s="513"/>
      <c r="V1469" s="513"/>
      <c r="W1469" s="332" t="s">
        <v>644</v>
      </c>
      <c r="X1469" s="513"/>
      <c r="Y1469" s="513"/>
      <c r="Z1469" s="513"/>
      <c r="AA1469" s="513"/>
      <c r="AB1469" s="416"/>
      <c r="AC1469" s="416"/>
      <c r="AD1469" s="461"/>
      <c r="AE1469" s="485"/>
      <c r="AF1469" s="388"/>
      <c r="AG1469" s="389"/>
      <c r="AH1469" s="410"/>
      <c r="AI1469" s="500"/>
      <c r="AJ1469" s="500"/>
      <c r="AK1469" s="371"/>
      <c r="AL1469" s="341" t="s">
        <v>210</v>
      </c>
      <c r="AM1469" s="392" t="s">
        <v>210</v>
      </c>
      <c r="AN1469" s="500"/>
      <c r="AO1469" s="392" t="s">
        <v>210</v>
      </c>
      <c r="AP1469" s="496" t="s">
        <v>622</v>
      </c>
      <c r="AQ1469" s="429" t="s">
        <v>4547</v>
      </c>
      <c r="AR1469" s="501"/>
      <c r="AS1469" s="408"/>
      <c r="AT1469" s="500"/>
      <c r="AU1469" s="500"/>
      <c r="AV1469" s="500"/>
      <c r="AW1469" s="422"/>
      <c r="AX1469" s="410"/>
      <c r="AY1469" s="413"/>
      <c r="AZ1469" s="407"/>
      <c r="BA1469" s="408"/>
      <c r="BB1469" s="408"/>
      <c r="BC1469" s="408"/>
      <c r="BD1469" s="408"/>
      <c r="BE1469" s="408"/>
      <c r="BF1469" s="408"/>
      <c r="BG1469" s="408"/>
      <c r="BH1469" s="409"/>
      <c r="BI1469" s="410"/>
      <c r="BJ1469" s="411"/>
      <c r="BK1469" s="412"/>
      <c r="BL1469" s="413"/>
      <c r="BM1469" s="414"/>
      <c r="BN1469" s="410"/>
      <c r="BO1469" s="502"/>
      <c r="BP1469" s="492"/>
      <c r="BQ1469" s="360"/>
      <c r="BR1469" s="361"/>
      <c r="BS1469" s="361"/>
      <c r="BT1469" s="361"/>
      <c r="BU1469" s="361"/>
      <c r="BV1469" s="361"/>
      <c r="BW1469" s="361"/>
      <c r="BX1469" s="361"/>
      <c r="BY1469" s="457"/>
      <c r="BZ1469" s="363"/>
      <c r="CA1469" s="363"/>
      <c r="CB1469" s="363"/>
      <c r="CC1469" s="363"/>
    </row>
    <row r="1470" spans="1:82" ht="22.5" customHeight="1">
      <c r="B1470" s="2043"/>
      <c r="C1470" s="1929" t="s">
        <v>17786</v>
      </c>
      <c r="D1470" s="509"/>
      <c r="E1470" s="404" t="s">
        <v>15363</v>
      </c>
      <c r="F1470" s="407"/>
      <c r="G1470" s="408"/>
      <c r="H1470" s="408"/>
      <c r="I1470" s="408"/>
      <c r="J1470" s="408"/>
      <c r="K1470" s="408"/>
      <c r="L1470" s="361"/>
      <c r="M1470" s="408"/>
      <c r="N1470" s="511"/>
      <c r="O1470" s="408"/>
      <c r="P1470" s="495"/>
      <c r="Q1470" s="497"/>
      <c r="R1470" s="512"/>
      <c r="S1470" s="513"/>
      <c r="T1470" s="513"/>
      <c r="U1470" s="513"/>
      <c r="V1470" s="513"/>
      <c r="W1470" s="514"/>
      <c r="X1470" s="513"/>
      <c r="Y1470" s="513"/>
      <c r="Z1470" s="513"/>
      <c r="AA1470" s="513"/>
      <c r="AB1470" s="515"/>
      <c r="AC1470" s="515"/>
      <c r="AD1470" s="461"/>
      <c r="AE1470" s="485"/>
      <c r="AF1470" s="388"/>
      <c r="AG1470" s="389"/>
      <c r="AH1470" s="410"/>
      <c r="AI1470" s="500"/>
      <c r="AJ1470" s="500"/>
      <c r="AK1470" s="371"/>
      <c r="AL1470" s="341" t="s">
        <v>210</v>
      </c>
      <c r="AM1470" s="392" t="s">
        <v>210</v>
      </c>
      <c r="AN1470" s="500"/>
      <c r="AO1470" s="496" t="s">
        <v>622</v>
      </c>
      <c r="AP1470" s="496" t="s">
        <v>622</v>
      </c>
      <c r="AQ1470" s="429" t="s">
        <v>4547</v>
      </c>
      <c r="AR1470" s="501"/>
      <c r="AS1470" s="408"/>
      <c r="AT1470" s="500"/>
      <c r="AU1470" s="500"/>
      <c r="AV1470" s="500"/>
      <c r="AW1470" s="422"/>
      <c r="AX1470" s="410"/>
      <c r="AY1470" s="413"/>
      <c r="AZ1470" s="407"/>
      <c r="BA1470" s="408"/>
      <c r="BB1470" s="408"/>
      <c r="BC1470" s="408"/>
      <c r="BD1470" s="408"/>
      <c r="BE1470" s="408"/>
      <c r="BF1470" s="408"/>
      <c r="BG1470" s="408"/>
      <c r="BH1470" s="409"/>
      <c r="BI1470" s="410"/>
      <c r="BJ1470" s="411"/>
      <c r="BK1470" s="412"/>
      <c r="BL1470" s="413"/>
      <c r="BM1470" s="414"/>
      <c r="BN1470" s="410"/>
      <c r="BO1470" s="502"/>
      <c r="BP1470" s="492"/>
      <c r="BQ1470" s="360"/>
      <c r="BR1470" s="361"/>
      <c r="BS1470" s="361"/>
      <c r="BT1470" s="361"/>
      <c r="BU1470" s="361"/>
      <c r="BV1470" s="361"/>
      <c r="BW1470" s="361"/>
      <c r="BX1470" s="361"/>
      <c r="BY1470" s="457"/>
      <c r="BZ1470" s="363"/>
      <c r="CA1470" s="363"/>
      <c r="CB1470" s="363"/>
      <c r="CC1470" s="363"/>
    </row>
    <row r="1471" spans="1:82" s="518" customFormat="1" ht="22.5" customHeight="1" thickBot="1">
      <c r="B1471" s="2044"/>
      <c r="C1471" s="519"/>
      <c r="D1471" s="520"/>
      <c r="E1471" s="521"/>
      <c r="F1471" s="522"/>
      <c r="G1471" s="523"/>
      <c r="H1471" s="523"/>
      <c r="I1471" s="523"/>
      <c r="J1471" s="523"/>
      <c r="K1471" s="523"/>
      <c r="L1471" s="524"/>
      <c r="M1471" s="523"/>
      <c r="N1471" s="525"/>
      <c r="O1471" s="523"/>
      <c r="P1471" s="526"/>
      <c r="Q1471" s="527"/>
      <c r="R1471" s="528"/>
      <c r="S1471" s="529"/>
      <c r="T1471" s="529"/>
      <c r="U1471" s="529"/>
      <c r="V1471" s="529"/>
      <c r="W1471" s="530"/>
      <c r="X1471" s="529"/>
      <c r="Y1471" s="529"/>
      <c r="Z1471" s="529"/>
      <c r="AA1471" s="529"/>
      <c r="AB1471" s="531"/>
      <c r="AC1471" s="531"/>
      <c r="AD1471" s="532"/>
      <c r="AE1471" s="533"/>
      <c r="AF1471" s="534"/>
      <c r="AG1471" s="535"/>
      <c r="AH1471" s="536"/>
      <c r="AI1471" s="537"/>
      <c r="AJ1471" s="537"/>
      <c r="AK1471" s="538"/>
      <c r="AL1471" s="536"/>
      <c r="AM1471" s="537"/>
      <c r="AN1471" s="537"/>
      <c r="AO1471" s="539"/>
      <c r="AP1471" s="540"/>
      <c r="AQ1471" s="541"/>
      <c r="AR1471" s="542"/>
      <c r="AS1471" s="523"/>
      <c r="AT1471" s="537"/>
      <c r="AU1471" s="537"/>
      <c r="AV1471" s="537"/>
      <c r="AW1471" s="539"/>
      <c r="AX1471" s="536"/>
      <c r="AY1471" s="543"/>
      <c r="AZ1471" s="522"/>
      <c r="BA1471" s="523"/>
      <c r="BB1471" s="523"/>
      <c r="BC1471" s="523"/>
      <c r="BD1471" s="523"/>
      <c r="BE1471" s="523"/>
      <c r="BF1471" s="523"/>
      <c r="BG1471" s="523"/>
      <c r="BH1471" s="544"/>
      <c r="BI1471" s="536"/>
      <c r="BJ1471" s="545"/>
      <c r="BK1471" s="546"/>
      <c r="BL1471" s="543"/>
      <c r="BM1471" s="547"/>
      <c r="BN1471" s="536"/>
      <c r="BO1471" s="548"/>
      <c r="BP1471" s="549"/>
      <c r="BQ1471" s="550"/>
      <c r="BR1471" s="524"/>
      <c r="BS1471" s="524"/>
      <c r="BT1471" s="524"/>
      <c r="BU1471" s="524"/>
      <c r="BV1471" s="524"/>
      <c r="BW1471" s="524"/>
      <c r="BX1471" s="524"/>
      <c r="BY1471" s="551"/>
      <c r="BZ1471" s="552"/>
      <c r="CA1471" s="552"/>
      <c r="CB1471" s="552"/>
      <c r="CC1471" s="552"/>
      <c r="CD1471" s="553"/>
    </row>
    <row r="1472" spans="1:82" ht="22.5" customHeight="1" thickTop="1">
      <c r="B1472" s="442"/>
      <c r="C1472" s="1271" t="s">
        <v>15928</v>
      </c>
      <c r="D1472" s="554"/>
      <c r="E1472" s="404" t="s">
        <v>5362</v>
      </c>
      <c r="F1472" s="405" t="s">
        <v>15195</v>
      </c>
      <c r="G1472" s="324" t="s">
        <v>15511</v>
      </c>
      <c r="H1472" s="324" t="s">
        <v>15512</v>
      </c>
      <c r="I1472" s="326" t="s">
        <v>11</v>
      </c>
      <c r="J1472" s="326" t="s">
        <v>399</v>
      </c>
      <c r="K1472" s="324" t="s">
        <v>917</v>
      </c>
      <c r="L1472" s="342" t="s">
        <v>210</v>
      </c>
      <c r="M1472" s="324" t="s">
        <v>7457</v>
      </c>
      <c r="N1472" s="511"/>
      <c r="O1472" s="408"/>
      <c r="P1472" s="495"/>
      <c r="Q1472" s="497"/>
      <c r="R1472" s="512"/>
      <c r="S1472" s="513"/>
      <c r="T1472" s="513"/>
      <c r="U1472" s="513"/>
      <c r="V1472" s="513"/>
      <c r="W1472" s="332" t="s">
        <v>454</v>
      </c>
      <c r="X1472" s="331" t="s">
        <v>11271</v>
      </c>
      <c r="Y1472" s="331" t="s">
        <v>11272</v>
      </c>
      <c r="Z1472" s="330"/>
      <c r="AA1472" s="331" t="s">
        <v>11270</v>
      </c>
      <c r="AB1472" s="515"/>
      <c r="AC1472" s="515"/>
      <c r="AD1472" s="461"/>
      <c r="AE1472" s="485"/>
      <c r="AF1472" s="388"/>
      <c r="AG1472" s="389"/>
      <c r="AH1472" s="417" t="s">
        <v>210</v>
      </c>
      <c r="AI1472" s="392" t="s">
        <v>210</v>
      </c>
      <c r="AJ1472" s="392" t="s">
        <v>210</v>
      </c>
      <c r="AK1472" s="340" t="s">
        <v>210</v>
      </c>
      <c r="AL1472" s="410"/>
      <c r="AM1472" s="500"/>
      <c r="AN1472" s="500"/>
      <c r="AO1472" s="422"/>
      <c r="AP1472" s="516"/>
      <c r="AQ1472" s="429" t="s">
        <v>4547</v>
      </c>
      <c r="AR1472" s="501"/>
      <c r="AS1472" s="408"/>
      <c r="AT1472" s="500"/>
      <c r="AU1472" s="500"/>
      <c r="AV1472" s="500"/>
      <c r="AW1472" s="422"/>
      <c r="AX1472" s="410"/>
      <c r="AY1472" s="413"/>
      <c r="AZ1472" s="407"/>
      <c r="BA1472" s="408"/>
      <c r="BB1472" s="408"/>
      <c r="BC1472" s="408"/>
      <c r="BD1472" s="408"/>
      <c r="BE1472" s="408"/>
      <c r="BF1472" s="408"/>
      <c r="BG1472" s="408"/>
      <c r="BH1472" s="409"/>
      <c r="BI1472" s="410"/>
      <c r="BJ1472" s="411"/>
      <c r="BK1472" s="412"/>
      <c r="BL1472" s="413"/>
      <c r="BM1472" s="414"/>
      <c r="BN1472" s="410"/>
      <c r="BO1472" s="502"/>
      <c r="BP1472" s="492"/>
      <c r="BQ1472" s="360"/>
      <c r="BR1472" s="361"/>
      <c r="BS1472" s="361"/>
      <c r="BT1472" s="392" t="s">
        <v>210</v>
      </c>
      <c r="BU1472" s="392" t="s">
        <v>210</v>
      </c>
      <c r="BV1472" s="392" t="s">
        <v>210</v>
      </c>
      <c r="BW1472" s="392" t="s">
        <v>210</v>
      </c>
      <c r="BX1472" s="392" t="s">
        <v>210</v>
      </c>
      <c r="BY1472" s="457" t="s">
        <v>15929</v>
      </c>
      <c r="BZ1472" s="363"/>
      <c r="CA1472" s="363"/>
      <c r="CB1472" s="363"/>
      <c r="CC1472" s="363"/>
    </row>
    <row r="1473" spans="1:82" s="1036" customFormat="1" ht="22.5" customHeight="1">
      <c r="B1473" s="1932"/>
      <c r="C1473" s="998" t="s">
        <v>16085</v>
      </c>
      <c r="D1473" s="1827"/>
      <c r="E1473" s="1000" t="s">
        <v>5363</v>
      </c>
      <c r="F1473" s="1001" t="s">
        <v>17348</v>
      </c>
      <c r="G1473" s="1002" t="s">
        <v>2152</v>
      </c>
      <c r="H1473" s="1002"/>
      <c r="I1473" s="1082" t="s">
        <v>11</v>
      </c>
      <c r="J1473" s="1002"/>
      <c r="K1473" s="1002"/>
      <c r="L1473" s="1003"/>
      <c r="M1473" s="1002"/>
      <c r="N1473" s="1004"/>
      <c r="O1473" s="1002"/>
      <c r="P1473" s="1828"/>
      <c r="Q1473" s="1829"/>
      <c r="R1473" s="1083"/>
      <c r="S1473" s="848"/>
      <c r="T1473" s="848"/>
      <c r="U1473" s="848"/>
      <c r="V1473" s="848"/>
      <c r="W1473" s="1009" t="s">
        <v>432</v>
      </c>
      <c r="X1473" s="1008" t="s">
        <v>210</v>
      </c>
      <c r="Y1473" s="1008" t="s">
        <v>210</v>
      </c>
      <c r="Z1473" s="1008" t="s">
        <v>210</v>
      </c>
      <c r="AA1473" s="1008" t="s">
        <v>210</v>
      </c>
      <c r="AB1473" s="1010" t="s">
        <v>16099</v>
      </c>
      <c r="AC1473" s="1010"/>
      <c r="AD1473" s="1011"/>
      <c r="AE1473" s="1085"/>
      <c r="AF1473" s="1086"/>
      <c r="AG1473" s="1014"/>
      <c r="AH1473" s="1027"/>
      <c r="AI1473" s="1022"/>
      <c r="AJ1473" s="1022"/>
      <c r="AK1473" s="1017"/>
      <c r="AL1473" s="1027"/>
      <c r="AM1473" s="1016" t="s">
        <v>210</v>
      </c>
      <c r="AN1473" s="1022"/>
      <c r="AO1473" s="1016" t="s">
        <v>210</v>
      </c>
      <c r="AP1473" s="1019"/>
      <c r="AQ1473" s="1025" t="s">
        <v>4547</v>
      </c>
      <c r="AR1473" s="1021"/>
      <c r="AS1473" s="1002"/>
      <c r="AT1473" s="1022"/>
      <c r="AU1473" s="1022"/>
      <c r="AV1473" s="1022"/>
      <c r="AW1473" s="1023"/>
      <c r="AX1473" s="1027"/>
      <c r="AY1473" s="1025"/>
      <c r="AZ1473" s="1001"/>
      <c r="BA1473" s="1002"/>
      <c r="BB1473" s="1002"/>
      <c r="BC1473" s="1002"/>
      <c r="BD1473" s="1002"/>
      <c r="BE1473" s="1002"/>
      <c r="BF1473" s="1002"/>
      <c r="BG1473" s="1002"/>
      <c r="BH1473" s="1026"/>
      <c r="BI1473" s="1027"/>
      <c r="BJ1473" s="1028"/>
      <c r="BK1473" s="1029"/>
      <c r="BL1473" s="1025"/>
      <c r="BM1473" s="1030"/>
      <c r="BN1473" s="1027"/>
      <c r="BO1473" s="1031"/>
      <c r="BP1473" s="1032"/>
      <c r="BQ1473" s="1024"/>
      <c r="BR1473" s="1003"/>
      <c r="BS1473" s="1003"/>
      <c r="BT1473" s="1003"/>
      <c r="BU1473" s="1003"/>
      <c r="BV1473" s="1016" t="s">
        <v>210</v>
      </c>
      <c r="BW1473" s="1016" t="s">
        <v>210</v>
      </c>
      <c r="BX1473" s="1016" t="s">
        <v>210</v>
      </c>
      <c r="BY1473" s="1033" t="s">
        <v>17559</v>
      </c>
      <c r="BZ1473" s="1034"/>
      <c r="CA1473" s="1034"/>
      <c r="CB1473" s="1034"/>
      <c r="CC1473" s="1034"/>
      <c r="CD1473" s="1035"/>
    </row>
    <row r="1474" spans="1:82" s="1036" customFormat="1" ht="22.5" customHeight="1">
      <c r="A1474" s="287"/>
      <c r="B1474" s="1932"/>
      <c r="C1474" s="998" t="s">
        <v>8745</v>
      </c>
      <c r="D1474" s="999" t="s">
        <v>7463</v>
      </c>
      <c r="E1474" s="1000" t="s">
        <v>5362</v>
      </c>
      <c r="F1474" s="1001" t="s">
        <v>6678</v>
      </c>
      <c r="G1474" s="1002" t="s">
        <v>8560</v>
      </c>
      <c r="H1474" s="1002" t="s">
        <v>8746</v>
      </c>
      <c r="I1474" s="1082" t="s">
        <v>383</v>
      </c>
      <c r="J1474" s="1002"/>
      <c r="K1474" s="1002"/>
      <c r="L1474" s="1003"/>
      <c r="M1474" s="1002"/>
      <c r="N1474" s="1004"/>
      <c r="O1474" s="1002"/>
      <c r="P1474" s="1005"/>
      <c r="Q1474" s="1006"/>
      <c r="R1474" s="1083" t="s">
        <v>3875</v>
      </c>
      <c r="S1474" s="848"/>
      <c r="T1474" s="848"/>
      <c r="U1474" s="848"/>
      <c r="V1474" s="848"/>
      <c r="W1474" s="1084" t="s">
        <v>3875</v>
      </c>
      <c r="X1474" s="848"/>
      <c r="Y1474" s="848"/>
      <c r="Z1474" s="848"/>
      <c r="AA1474" s="848"/>
      <c r="AB1474" s="1010"/>
      <c r="AC1474" s="1010"/>
      <c r="AD1474" s="1011"/>
      <c r="AE1474" s="1085"/>
      <c r="AF1474" s="1086">
        <v>43510</v>
      </c>
      <c r="AG1474" s="1014"/>
      <c r="AH1474" s="1015" t="s">
        <v>210</v>
      </c>
      <c r="AI1474" s="1016" t="s">
        <v>210</v>
      </c>
      <c r="AJ1474" s="1016" t="s">
        <v>210</v>
      </c>
      <c r="AK1474" s="1017" t="s">
        <v>210</v>
      </c>
      <c r="AL1474" s="1027"/>
      <c r="AM1474" s="1022"/>
      <c r="AN1474" s="1022"/>
      <c r="AO1474" s="1023"/>
      <c r="AP1474" s="1019" t="s">
        <v>622</v>
      </c>
      <c r="AQ1474" s="1020"/>
      <c r="AR1474" s="1021"/>
      <c r="AS1474" s="1002"/>
      <c r="AT1474" s="1022"/>
      <c r="AU1474" s="1022"/>
      <c r="AV1474" s="1022"/>
      <c r="AW1474" s="1023"/>
      <c r="AX1474" s="1027"/>
      <c r="AY1474" s="1025"/>
      <c r="AZ1474" s="1001"/>
      <c r="BA1474" s="1002"/>
      <c r="BB1474" s="1002"/>
      <c r="BC1474" s="1002"/>
      <c r="BD1474" s="1002"/>
      <c r="BE1474" s="1002"/>
      <c r="BF1474" s="1002"/>
      <c r="BG1474" s="1002"/>
      <c r="BH1474" s="1026"/>
      <c r="BI1474" s="1027"/>
      <c r="BJ1474" s="1028"/>
      <c r="BK1474" s="1029"/>
      <c r="BL1474" s="1025"/>
      <c r="BM1474" s="1030"/>
      <c r="BN1474" s="1027"/>
      <c r="BO1474" s="1031"/>
      <c r="BP1474" s="1032"/>
      <c r="BQ1474" s="1024"/>
      <c r="BR1474" s="1003"/>
      <c r="BS1474" s="1003"/>
      <c r="BT1474" s="1003" t="s">
        <v>210</v>
      </c>
      <c r="BU1474" s="1003" t="s">
        <v>210</v>
      </c>
      <c r="BV1474" s="1003" t="s">
        <v>210</v>
      </c>
      <c r="BW1474" s="1018" t="s">
        <v>210</v>
      </c>
      <c r="BX1474" s="1018" t="s">
        <v>210</v>
      </c>
      <c r="BY1474" s="1033" t="s">
        <v>9423</v>
      </c>
      <c r="BZ1474" s="1034"/>
      <c r="CA1474" s="1034"/>
      <c r="CB1474" s="1034"/>
      <c r="CC1474" s="1034"/>
      <c r="CD1474" s="1035"/>
    </row>
    <row r="1475" spans="1:82" s="1036" customFormat="1" ht="22.5" customHeight="1">
      <c r="B1475" s="1933"/>
      <c r="C1475" s="1885" t="s">
        <v>17506</v>
      </c>
      <c r="D1475" s="1827"/>
      <c r="E1475" s="1000" t="s">
        <v>5362</v>
      </c>
      <c r="F1475" s="1001" t="s">
        <v>7135</v>
      </c>
      <c r="G1475" s="1002" t="s">
        <v>17512</v>
      </c>
      <c r="H1475" s="1002" t="s">
        <v>15908</v>
      </c>
      <c r="I1475" s="1082" t="s">
        <v>11</v>
      </c>
      <c r="J1475" s="1082" t="s">
        <v>399</v>
      </c>
      <c r="K1475" s="1002" t="s">
        <v>17507</v>
      </c>
      <c r="L1475" s="1003"/>
      <c r="M1475" s="1002" t="s">
        <v>7457</v>
      </c>
      <c r="N1475" s="1004"/>
      <c r="O1475" s="1002"/>
      <c r="P1475" s="1005"/>
      <c r="Q1475" s="1006"/>
      <c r="R1475" s="1083" t="s">
        <v>16030</v>
      </c>
      <c r="S1475" s="848" t="s">
        <v>17594</v>
      </c>
      <c r="T1475" s="848" t="s">
        <v>17596</v>
      </c>
      <c r="U1475" s="848" t="s">
        <v>17597</v>
      </c>
      <c r="V1475" s="848" t="s">
        <v>17595</v>
      </c>
      <c r="W1475" s="1009" t="s">
        <v>432</v>
      </c>
      <c r="X1475" s="1008" t="s">
        <v>210</v>
      </c>
      <c r="Y1475" s="1008" t="s">
        <v>210</v>
      </c>
      <c r="Z1475" s="1008" t="s">
        <v>210</v>
      </c>
      <c r="AA1475" s="1008" t="s">
        <v>210</v>
      </c>
      <c r="AB1475" s="1010"/>
      <c r="AC1475" s="1010"/>
      <c r="AD1475" s="1011"/>
      <c r="AE1475" s="1085"/>
      <c r="AF1475" s="1086"/>
      <c r="AG1475" s="1014"/>
      <c r="AH1475" s="1027"/>
      <c r="AI1475" s="1022"/>
      <c r="AJ1475" s="1022"/>
      <c r="AK1475" s="1017"/>
      <c r="AL1475" s="1027"/>
      <c r="AM1475" s="1022"/>
      <c r="AN1475" s="1022"/>
      <c r="AO1475" s="1023"/>
      <c r="AP1475" s="1019"/>
      <c r="AQ1475" s="1020"/>
      <c r="AR1475" s="1021"/>
      <c r="AS1475" s="1002"/>
      <c r="AT1475" s="1022"/>
      <c r="AU1475" s="1022"/>
      <c r="AV1475" s="1022"/>
      <c r="AW1475" s="1023"/>
      <c r="AX1475" s="1027"/>
      <c r="AY1475" s="1025"/>
      <c r="AZ1475" s="1001"/>
      <c r="BA1475" s="1002"/>
      <c r="BB1475" s="1002"/>
      <c r="BC1475" s="1002"/>
      <c r="BD1475" s="1002"/>
      <c r="BE1475" s="1002"/>
      <c r="BF1475" s="1002"/>
      <c r="BG1475" s="1002"/>
      <c r="BH1475" s="1026"/>
      <c r="BI1475" s="1027"/>
      <c r="BJ1475" s="1028"/>
      <c r="BK1475" s="1029"/>
      <c r="BL1475" s="1025"/>
      <c r="BM1475" s="1030"/>
      <c r="BN1475" s="1027"/>
      <c r="BO1475" s="1031"/>
      <c r="BP1475" s="1032"/>
      <c r="BQ1475" s="1024"/>
      <c r="BR1475" s="1003"/>
      <c r="BS1475" s="1003"/>
      <c r="BT1475" s="1003"/>
      <c r="BU1475" s="1003"/>
      <c r="BV1475" s="1003"/>
      <c r="BW1475" s="1003"/>
      <c r="BX1475" s="1003"/>
      <c r="BY1475" s="1033"/>
      <c r="BZ1475" s="1034"/>
      <c r="CA1475" s="1034"/>
      <c r="CB1475" s="1034"/>
      <c r="CC1475" s="1034"/>
      <c r="CD1475" s="1035"/>
    </row>
    <row r="1476" spans="1:82" ht="22.5" customHeight="1">
      <c r="B1476" s="1931"/>
      <c r="C1476" s="508"/>
      <c r="D1476" s="554"/>
      <c r="E1476" s="555"/>
      <c r="F1476" s="377"/>
      <c r="G1476" s="374"/>
      <c r="H1476" s="408"/>
      <c r="I1476" s="408"/>
      <c r="J1476" s="408"/>
      <c r="K1476" s="408"/>
      <c r="L1476" s="361"/>
      <c r="M1476" s="408"/>
      <c r="N1476" s="511"/>
      <c r="O1476" s="408"/>
      <c r="P1476" s="495"/>
      <c r="Q1476" s="497"/>
      <c r="R1476" s="512"/>
      <c r="S1476" s="513"/>
      <c r="T1476" s="513"/>
      <c r="U1476" s="513"/>
      <c r="V1476" s="513"/>
      <c r="W1476" s="514"/>
      <c r="X1476" s="513"/>
      <c r="Y1476" s="513"/>
      <c r="Z1476" s="513"/>
      <c r="AA1476" s="513"/>
      <c r="AB1476" s="515"/>
      <c r="AC1476" s="515"/>
      <c r="AD1476" s="461"/>
      <c r="AE1476" s="485"/>
      <c r="AF1476" s="388"/>
      <c r="AG1476" s="389"/>
      <c r="AH1476" s="410"/>
      <c r="AI1476" s="500"/>
      <c r="AJ1476" s="500"/>
      <c r="AK1476" s="371"/>
      <c r="AL1476" s="410"/>
      <c r="AM1476" s="500"/>
      <c r="AN1476" s="500"/>
      <c r="AO1476" s="422"/>
      <c r="AP1476" s="516"/>
      <c r="AQ1476" s="343"/>
      <c r="AR1476" s="501"/>
      <c r="AS1476" s="408"/>
      <c r="AT1476" s="500"/>
      <c r="AU1476" s="500"/>
      <c r="AV1476" s="500"/>
      <c r="AW1476" s="422"/>
      <c r="AX1476" s="410"/>
      <c r="AY1476" s="413"/>
      <c r="AZ1476" s="407"/>
      <c r="BA1476" s="408"/>
      <c r="BB1476" s="408"/>
      <c r="BC1476" s="408"/>
      <c r="BD1476" s="408"/>
      <c r="BE1476" s="408"/>
      <c r="BF1476" s="408"/>
      <c r="BG1476" s="408"/>
      <c r="BH1476" s="409"/>
      <c r="BI1476" s="410"/>
      <c r="BJ1476" s="411"/>
      <c r="BK1476" s="412"/>
      <c r="BL1476" s="413"/>
      <c r="BM1476" s="414"/>
      <c r="BN1476" s="410"/>
      <c r="BO1476" s="502"/>
      <c r="BP1476" s="492"/>
      <c r="BQ1476" s="360"/>
      <c r="BR1476" s="361"/>
      <c r="BS1476" s="361"/>
      <c r="BT1476" s="361"/>
      <c r="BU1476" s="361"/>
      <c r="BV1476" s="361"/>
      <c r="BW1476" s="361"/>
      <c r="BX1476" s="361"/>
      <c r="BY1476" s="457"/>
      <c r="BZ1476" s="363"/>
      <c r="CA1476" s="363"/>
      <c r="CB1476" s="363"/>
      <c r="CC1476" s="363"/>
    </row>
    <row r="1477" spans="1:82" ht="22.5" customHeight="1">
      <c r="B1477" s="1931"/>
      <c r="C1477" s="318" t="s">
        <v>955</v>
      </c>
      <c r="D1477" s="1087"/>
      <c r="E1477" s="320" t="s">
        <v>5268</v>
      </c>
      <c r="F1477" s="357" t="s">
        <v>961</v>
      </c>
      <c r="G1477" s="350"/>
      <c r="H1477" s="374"/>
      <c r="I1477" s="326" t="s">
        <v>383</v>
      </c>
      <c r="J1477" s="326" t="s">
        <v>399</v>
      </c>
      <c r="K1477" s="326" t="s">
        <v>917</v>
      </c>
      <c r="L1477" s="392" t="s">
        <v>210</v>
      </c>
      <c r="M1477" s="374"/>
      <c r="N1477" s="325" t="s">
        <v>963</v>
      </c>
      <c r="O1477" s="326">
        <v>30</v>
      </c>
      <c r="P1477" s="327" t="s">
        <v>969</v>
      </c>
      <c r="Q1477" s="369" t="s">
        <v>969</v>
      </c>
      <c r="R1477" s="329" t="s">
        <v>970</v>
      </c>
      <c r="S1477" s="331"/>
      <c r="T1477" s="331"/>
      <c r="U1477" s="331"/>
      <c r="V1477" s="331"/>
      <c r="W1477" s="332" t="s">
        <v>432</v>
      </c>
      <c r="X1477" s="331" t="s">
        <v>11079</v>
      </c>
      <c r="Y1477" s="331" t="s">
        <v>11080</v>
      </c>
      <c r="Z1477" s="331" t="s">
        <v>11080</v>
      </c>
      <c r="AA1477" s="331"/>
      <c r="AB1477" s="333"/>
      <c r="AC1477" s="333"/>
      <c r="AD1477" s="334" t="s">
        <v>945</v>
      </c>
      <c r="AE1477" s="335" t="s">
        <v>1005</v>
      </c>
      <c r="AF1477" s="448">
        <v>41869</v>
      </c>
      <c r="AG1477" s="705">
        <v>41921</v>
      </c>
      <c r="AH1477" s="376"/>
      <c r="AI1477" s="347"/>
      <c r="AJ1477" s="347"/>
      <c r="AK1477" s="371">
        <f t="shared" ref="AK1477:AK1482" si="2">SUM(AH1477:AJ1477)</f>
        <v>0</v>
      </c>
      <c r="AL1477" s="417" t="s">
        <v>210</v>
      </c>
      <c r="AM1477" s="392" t="s">
        <v>210</v>
      </c>
      <c r="AN1477" s="392" t="s">
        <v>210</v>
      </c>
      <c r="AO1477" s="341" t="s">
        <v>210</v>
      </c>
      <c r="AP1477" s="392" t="s">
        <v>210</v>
      </c>
      <c r="AQ1477" s="559"/>
      <c r="AR1477" s="370" t="s">
        <v>969</v>
      </c>
      <c r="AS1477" s="326" t="s">
        <v>969</v>
      </c>
      <c r="AT1477" s="392" t="s">
        <v>968</v>
      </c>
      <c r="AU1477" s="392" t="s">
        <v>210</v>
      </c>
      <c r="AV1477" s="392" t="s">
        <v>210</v>
      </c>
      <c r="AW1477" s="341" t="s">
        <v>210</v>
      </c>
      <c r="AX1477" s="417" t="s">
        <v>210</v>
      </c>
      <c r="AY1477" s="340" t="s">
        <v>210</v>
      </c>
      <c r="AZ1477" s="560" t="s">
        <v>210</v>
      </c>
      <c r="BA1477" s="392" t="s">
        <v>210</v>
      </c>
      <c r="BB1477" s="392" t="s">
        <v>210</v>
      </c>
      <c r="BC1477" s="392" t="s">
        <v>210</v>
      </c>
      <c r="BD1477" s="392" t="s">
        <v>210</v>
      </c>
      <c r="BE1477" s="392" t="s">
        <v>210</v>
      </c>
      <c r="BF1477" s="392" t="s">
        <v>210</v>
      </c>
      <c r="BG1477" s="392" t="s">
        <v>210</v>
      </c>
      <c r="BH1477" s="341" t="s">
        <v>210</v>
      </c>
      <c r="BI1477" s="417" t="s">
        <v>210</v>
      </c>
      <c r="BJ1477" s="431" t="s">
        <v>210</v>
      </c>
      <c r="BK1477" s="561"/>
      <c r="BL1477" s="489"/>
      <c r="BM1477" s="562"/>
      <c r="BN1477" s="417" t="s">
        <v>210</v>
      </c>
      <c r="BO1477" s="392" t="s">
        <v>210</v>
      </c>
      <c r="BP1477" s="340" t="s">
        <v>210</v>
      </c>
      <c r="BQ1477" s="560" t="s">
        <v>210</v>
      </c>
      <c r="BR1477" s="392" t="s">
        <v>210</v>
      </c>
      <c r="BS1477" s="392" t="s">
        <v>210</v>
      </c>
      <c r="BT1477" s="392" t="s">
        <v>210</v>
      </c>
      <c r="BU1477" s="392" t="s">
        <v>210</v>
      </c>
      <c r="BV1477" s="392" t="s">
        <v>210</v>
      </c>
      <c r="BW1477" s="392" t="s">
        <v>210</v>
      </c>
      <c r="BX1477" s="392" t="s">
        <v>210</v>
      </c>
      <c r="BY1477" s="362"/>
      <c r="BZ1477" s="363"/>
      <c r="CA1477" s="363"/>
      <c r="CB1477" s="363"/>
      <c r="CC1477" s="363"/>
    </row>
    <row r="1478" spans="1:82" ht="22.5" customHeight="1">
      <c r="B1478" s="1931"/>
      <c r="C1478" s="366" t="s">
        <v>1051</v>
      </c>
      <c r="D1478" s="556"/>
      <c r="E1478" s="368" t="s">
        <v>7988</v>
      </c>
      <c r="F1478" s="321" t="s">
        <v>1061</v>
      </c>
      <c r="G1478" s="374"/>
      <c r="H1478" s="374"/>
      <c r="I1478" s="326" t="s">
        <v>383</v>
      </c>
      <c r="J1478" s="326" t="s">
        <v>399</v>
      </c>
      <c r="K1478" s="326" t="s">
        <v>917</v>
      </c>
      <c r="L1478" s="392" t="s">
        <v>210</v>
      </c>
      <c r="M1478" s="374"/>
      <c r="N1478" s="325" t="s">
        <v>437</v>
      </c>
      <c r="O1478" s="326">
        <v>40</v>
      </c>
      <c r="P1478" s="557"/>
      <c r="Q1478" s="558"/>
      <c r="R1478" s="329" t="s">
        <v>500</v>
      </c>
      <c r="S1478" s="331"/>
      <c r="T1478" s="331"/>
      <c r="U1478" s="331"/>
      <c r="V1478" s="331"/>
      <c r="W1478" s="332" t="s">
        <v>432</v>
      </c>
      <c r="X1478" s="331" t="s">
        <v>11079</v>
      </c>
      <c r="Y1478" s="331" t="s">
        <v>11080</v>
      </c>
      <c r="Z1478" s="331" t="s">
        <v>11080</v>
      </c>
      <c r="AA1478" s="331"/>
      <c r="AB1478" s="333"/>
      <c r="AC1478" s="333"/>
      <c r="AD1478" s="334" t="s">
        <v>4130</v>
      </c>
      <c r="AE1478" s="335" t="s">
        <v>1409</v>
      </c>
      <c r="AF1478" s="448">
        <v>41948</v>
      </c>
      <c r="AG1478" s="337"/>
      <c r="AH1478" s="417">
        <v>9.4</v>
      </c>
      <c r="AI1478" s="392">
        <v>17.3</v>
      </c>
      <c r="AJ1478" s="392">
        <v>10.5</v>
      </c>
      <c r="AK1478" s="340">
        <f t="shared" si="2"/>
        <v>37.200000000000003</v>
      </c>
      <c r="AL1478" s="417" t="s">
        <v>210</v>
      </c>
      <c r="AM1478" s="392" t="s">
        <v>210</v>
      </c>
      <c r="AN1478" s="392" t="s">
        <v>210</v>
      </c>
      <c r="AO1478" s="341" t="s">
        <v>210</v>
      </c>
      <c r="AP1478" s="392" t="s">
        <v>210</v>
      </c>
      <c r="AQ1478" s="559"/>
      <c r="AR1478" s="370" t="s">
        <v>210</v>
      </c>
      <c r="AS1478" s="326" t="s">
        <v>210</v>
      </c>
      <c r="AT1478" s="392" t="s">
        <v>210</v>
      </c>
      <c r="AU1478" s="392" t="s">
        <v>210</v>
      </c>
      <c r="AV1478" s="392" t="s">
        <v>210</v>
      </c>
      <c r="AW1478" s="341" t="s">
        <v>210</v>
      </c>
      <c r="AX1478" s="417" t="s">
        <v>210</v>
      </c>
      <c r="AY1478" s="340" t="s">
        <v>210</v>
      </c>
      <c r="AZ1478" s="560" t="s">
        <v>210</v>
      </c>
      <c r="BA1478" s="392" t="s">
        <v>210</v>
      </c>
      <c r="BB1478" s="392" t="s">
        <v>210</v>
      </c>
      <c r="BC1478" s="392" t="s">
        <v>210</v>
      </c>
      <c r="BD1478" s="392" t="s">
        <v>210</v>
      </c>
      <c r="BE1478" s="392" t="s">
        <v>210</v>
      </c>
      <c r="BF1478" s="392" t="s">
        <v>210</v>
      </c>
      <c r="BG1478" s="392" t="s">
        <v>210</v>
      </c>
      <c r="BH1478" s="341" t="s">
        <v>210</v>
      </c>
      <c r="BI1478" s="417" t="s">
        <v>210</v>
      </c>
      <c r="BJ1478" s="431" t="s">
        <v>210</v>
      </c>
      <c r="BK1478" s="561"/>
      <c r="BL1478" s="489"/>
      <c r="BM1478" s="562"/>
      <c r="BN1478" s="417" t="s">
        <v>210</v>
      </c>
      <c r="BO1478" s="392" t="s">
        <v>210</v>
      </c>
      <c r="BP1478" s="340" t="s">
        <v>210</v>
      </c>
      <c r="BQ1478" s="560" t="s">
        <v>210</v>
      </c>
      <c r="BR1478" s="392" t="s">
        <v>210</v>
      </c>
      <c r="BS1478" s="392" t="s">
        <v>210</v>
      </c>
      <c r="BT1478" s="392" t="s">
        <v>210</v>
      </c>
      <c r="BU1478" s="392" t="s">
        <v>210</v>
      </c>
      <c r="BV1478" s="392" t="s">
        <v>210</v>
      </c>
      <c r="BW1478" s="392" t="s">
        <v>210</v>
      </c>
      <c r="BX1478" s="392" t="s">
        <v>210</v>
      </c>
      <c r="BY1478" s="362"/>
      <c r="BZ1478" s="363"/>
      <c r="CA1478" s="363"/>
      <c r="CB1478" s="363"/>
      <c r="CC1478" s="363"/>
    </row>
    <row r="1479" spans="1:82" ht="22.5" customHeight="1">
      <c r="B1479" s="563"/>
      <c r="C1479" s="435" t="s">
        <v>480</v>
      </c>
      <c r="D1479" s="564"/>
      <c r="E1479" s="437" t="s">
        <v>7988</v>
      </c>
      <c r="F1479" s="377"/>
      <c r="G1479" s="374"/>
      <c r="H1479" s="374"/>
      <c r="I1479" s="374"/>
      <c r="J1479" s="374"/>
      <c r="K1479" s="374"/>
      <c r="L1479" s="392" t="s">
        <v>210</v>
      </c>
      <c r="M1479" s="565"/>
      <c r="N1479" s="566">
        <v>3</v>
      </c>
      <c r="O1479" s="326">
        <v>75</v>
      </c>
      <c r="P1479" s="327">
        <v>4077</v>
      </c>
      <c r="Q1479" s="558"/>
      <c r="R1479" s="567" t="s">
        <v>1098</v>
      </c>
      <c r="S1479" s="568"/>
      <c r="T1479" s="568"/>
      <c r="U1479" s="568"/>
      <c r="V1479" s="568"/>
      <c r="W1479" s="332" t="s">
        <v>432</v>
      </c>
      <c r="X1479" s="331" t="s">
        <v>11079</v>
      </c>
      <c r="Y1479" s="331" t="s">
        <v>11080</v>
      </c>
      <c r="Z1479" s="331" t="s">
        <v>11080</v>
      </c>
      <c r="AA1479" s="568"/>
      <c r="AB1479" s="333"/>
      <c r="AC1479" s="333"/>
      <c r="AD1479" s="569"/>
      <c r="AE1479" s="570"/>
      <c r="AF1479" s="571"/>
      <c r="AG1479" s="337"/>
      <c r="AH1479" s="572">
        <v>11.19</v>
      </c>
      <c r="AI1479" s="573">
        <v>22.95</v>
      </c>
      <c r="AJ1479" s="573">
        <v>17.420000000000002</v>
      </c>
      <c r="AK1479" s="340">
        <f t="shared" si="2"/>
        <v>51.56</v>
      </c>
      <c r="AL1479" s="377"/>
      <c r="AM1479" s="374"/>
      <c r="AN1479" s="374"/>
      <c r="AO1479" s="565"/>
      <c r="AP1479" s="392" t="s">
        <v>210</v>
      </c>
      <c r="AQ1479" s="559"/>
      <c r="AR1479" s="370" t="s">
        <v>210</v>
      </c>
      <c r="AS1479" s="326" t="s">
        <v>210</v>
      </c>
      <c r="AT1479" s="392" t="s">
        <v>210</v>
      </c>
      <c r="AU1479" s="392" t="s">
        <v>210</v>
      </c>
      <c r="AV1479" s="392" t="s">
        <v>210</v>
      </c>
      <c r="AW1479" s="341" t="s">
        <v>210</v>
      </c>
      <c r="AX1479" s="417" t="s">
        <v>210</v>
      </c>
      <c r="AY1479" s="340" t="s">
        <v>210</v>
      </c>
      <c r="AZ1479" s="560" t="s">
        <v>210</v>
      </c>
      <c r="BA1479" s="392" t="s">
        <v>210</v>
      </c>
      <c r="BB1479" s="392" t="s">
        <v>210</v>
      </c>
      <c r="BC1479" s="392" t="s">
        <v>210</v>
      </c>
      <c r="BD1479" s="392" t="s">
        <v>210</v>
      </c>
      <c r="BE1479" s="392" t="s">
        <v>210</v>
      </c>
      <c r="BF1479" s="392" t="s">
        <v>210</v>
      </c>
      <c r="BG1479" s="392" t="s">
        <v>210</v>
      </c>
      <c r="BH1479" s="341" t="s">
        <v>210</v>
      </c>
      <c r="BI1479" s="417" t="s">
        <v>210</v>
      </c>
      <c r="BJ1479" s="431" t="s">
        <v>210</v>
      </c>
      <c r="BK1479" s="561"/>
      <c r="BL1479" s="489"/>
      <c r="BM1479" s="562"/>
      <c r="BN1479" s="417" t="s">
        <v>210</v>
      </c>
      <c r="BO1479" s="392" t="s">
        <v>210</v>
      </c>
      <c r="BP1479" s="340" t="s">
        <v>210</v>
      </c>
      <c r="BQ1479" s="560" t="s">
        <v>210</v>
      </c>
      <c r="BR1479" s="392" t="s">
        <v>210</v>
      </c>
      <c r="BS1479" s="392" t="s">
        <v>210</v>
      </c>
      <c r="BT1479" s="392" t="s">
        <v>210</v>
      </c>
      <c r="BU1479" s="392" t="s">
        <v>210</v>
      </c>
      <c r="BV1479" s="392" t="s">
        <v>210</v>
      </c>
      <c r="BW1479" s="392" t="s">
        <v>210</v>
      </c>
      <c r="BX1479" s="392" t="s">
        <v>210</v>
      </c>
      <c r="BY1479" s="362"/>
      <c r="BZ1479" s="363"/>
      <c r="CA1479" s="363"/>
      <c r="CB1479" s="363"/>
      <c r="CC1479" s="363"/>
    </row>
    <row r="1480" spans="1:82" ht="22.5" customHeight="1">
      <c r="B1480" s="1931">
        <v>189002</v>
      </c>
      <c r="C1480" s="366" t="s">
        <v>7439</v>
      </c>
      <c r="D1480" s="1088" t="s">
        <v>4849</v>
      </c>
      <c r="E1480" s="368" t="s">
        <v>5363</v>
      </c>
      <c r="F1480" s="321" t="s">
        <v>265</v>
      </c>
      <c r="G1480" s="326" t="s">
        <v>7440</v>
      </c>
      <c r="H1480" s="326" t="s">
        <v>7441</v>
      </c>
      <c r="I1480" s="326" t="s">
        <v>11</v>
      </c>
      <c r="J1480" s="324" t="s">
        <v>214</v>
      </c>
      <c r="K1480" s="326" t="s">
        <v>917</v>
      </c>
      <c r="L1480" s="392" t="s">
        <v>210</v>
      </c>
      <c r="M1480" s="374"/>
      <c r="N1480" s="390"/>
      <c r="O1480" s="374"/>
      <c r="P1480" s="557"/>
      <c r="Q1480" s="558"/>
      <c r="R1480" s="329" t="s">
        <v>7442</v>
      </c>
      <c r="S1480" s="331"/>
      <c r="T1480" s="394" t="s">
        <v>14985</v>
      </c>
      <c r="U1480" s="394" t="s">
        <v>14984</v>
      </c>
      <c r="V1480" s="331"/>
      <c r="W1480" s="332" t="s">
        <v>432</v>
      </c>
      <c r="X1480" s="331" t="s">
        <v>11079</v>
      </c>
      <c r="Y1480" s="331" t="s">
        <v>11080</v>
      </c>
      <c r="Z1480" s="331" t="s">
        <v>11080</v>
      </c>
      <c r="AA1480" s="331"/>
      <c r="AB1480" s="333"/>
      <c r="AC1480" s="333"/>
      <c r="AD1480" s="334" t="s">
        <v>7860</v>
      </c>
      <c r="AE1480" s="335" t="s">
        <v>210</v>
      </c>
      <c r="AF1480" s="571"/>
      <c r="AG1480" s="705">
        <v>43347</v>
      </c>
      <c r="AH1480" s="376"/>
      <c r="AI1480" s="347"/>
      <c r="AJ1480" s="347"/>
      <c r="AK1480" s="371">
        <f t="shared" si="2"/>
        <v>0</v>
      </c>
      <c r="AL1480" s="376"/>
      <c r="AM1480" s="347"/>
      <c r="AN1480" s="347"/>
      <c r="AO1480" s="575"/>
      <c r="AP1480" s="392" t="s">
        <v>210</v>
      </c>
      <c r="AQ1480" s="559"/>
      <c r="AR1480" s="370" t="s">
        <v>210</v>
      </c>
      <c r="AS1480" s="326" t="s">
        <v>210</v>
      </c>
      <c r="AT1480" s="392" t="s">
        <v>210</v>
      </c>
      <c r="AU1480" s="392" t="s">
        <v>210</v>
      </c>
      <c r="AV1480" s="392" t="s">
        <v>210</v>
      </c>
      <c r="AW1480" s="341" t="s">
        <v>210</v>
      </c>
      <c r="AX1480" s="417" t="s">
        <v>210</v>
      </c>
      <c r="AY1480" s="340" t="s">
        <v>210</v>
      </c>
      <c r="AZ1480" s="560" t="s">
        <v>210</v>
      </c>
      <c r="BA1480" s="392" t="s">
        <v>210</v>
      </c>
      <c r="BB1480" s="392" t="s">
        <v>210</v>
      </c>
      <c r="BC1480" s="392" t="s">
        <v>210</v>
      </c>
      <c r="BD1480" s="392" t="s">
        <v>210</v>
      </c>
      <c r="BE1480" s="392" t="s">
        <v>210</v>
      </c>
      <c r="BF1480" s="392" t="s">
        <v>210</v>
      </c>
      <c r="BG1480" s="392" t="s">
        <v>210</v>
      </c>
      <c r="BH1480" s="341" t="s">
        <v>210</v>
      </c>
      <c r="BI1480" s="417" t="s">
        <v>210</v>
      </c>
      <c r="BJ1480" s="431" t="s">
        <v>210</v>
      </c>
      <c r="BK1480" s="561"/>
      <c r="BL1480" s="489"/>
      <c r="BM1480" s="562"/>
      <c r="BN1480" s="417" t="s">
        <v>210</v>
      </c>
      <c r="BO1480" s="392" t="s">
        <v>210</v>
      </c>
      <c r="BP1480" s="340" t="s">
        <v>210</v>
      </c>
      <c r="BQ1480" s="560" t="s">
        <v>210</v>
      </c>
      <c r="BR1480" s="392" t="s">
        <v>210</v>
      </c>
      <c r="BS1480" s="392" t="s">
        <v>210</v>
      </c>
      <c r="BT1480" s="392" t="s">
        <v>210</v>
      </c>
      <c r="BU1480" s="392" t="s">
        <v>210</v>
      </c>
      <c r="BV1480" s="392" t="s">
        <v>210</v>
      </c>
      <c r="BW1480" s="392" t="s">
        <v>210</v>
      </c>
      <c r="BX1480" s="392" t="s">
        <v>210</v>
      </c>
      <c r="BY1480" s="362" t="s">
        <v>7443</v>
      </c>
      <c r="BZ1480" s="363"/>
      <c r="CA1480" s="363"/>
      <c r="CB1480" s="363"/>
      <c r="CC1480" s="363"/>
    </row>
    <row r="1481" spans="1:82" ht="22.5" customHeight="1">
      <c r="B1481" s="1931">
        <v>189005</v>
      </c>
      <c r="C1481" s="366" t="s">
        <v>7284</v>
      </c>
      <c r="D1481" s="574" t="s">
        <v>5516</v>
      </c>
      <c r="E1481" s="368" t="s">
        <v>5363</v>
      </c>
      <c r="F1481" s="321" t="s">
        <v>7301</v>
      </c>
      <c r="G1481" s="326" t="s">
        <v>7302</v>
      </c>
      <c r="H1481" s="374"/>
      <c r="I1481" s="374"/>
      <c r="J1481" s="374"/>
      <c r="K1481" s="326" t="s">
        <v>917</v>
      </c>
      <c r="L1481" s="392" t="s">
        <v>210</v>
      </c>
      <c r="M1481" s="374"/>
      <c r="N1481" s="390"/>
      <c r="O1481" s="374"/>
      <c r="P1481" s="557"/>
      <c r="Q1481" s="558"/>
      <c r="R1481" s="329" t="s">
        <v>432</v>
      </c>
      <c r="S1481" s="331" t="s">
        <v>11079</v>
      </c>
      <c r="T1481" s="331" t="s">
        <v>11079</v>
      </c>
      <c r="U1481" s="331" t="s">
        <v>11079</v>
      </c>
      <c r="V1481" s="331"/>
      <c r="W1481" s="332" t="s">
        <v>432</v>
      </c>
      <c r="X1481" s="331" t="s">
        <v>11079</v>
      </c>
      <c r="Y1481" s="331" t="s">
        <v>11080</v>
      </c>
      <c r="Z1481" s="331" t="s">
        <v>11080</v>
      </c>
      <c r="AA1481" s="331"/>
      <c r="AB1481" s="333"/>
      <c r="AC1481" s="333"/>
      <c r="AD1481" s="569"/>
      <c r="AE1481" s="570"/>
      <c r="AF1481" s="571"/>
      <c r="AG1481" s="337"/>
      <c r="AH1481" s="376"/>
      <c r="AI1481" s="347"/>
      <c r="AJ1481" s="347"/>
      <c r="AK1481" s="371">
        <f t="shared" si="2"/>
        <v>0</v>
      </c>
      <c r="AL1481" s="376"/>
      <c r="AM1481" s="347"/>
      <c r="AN1481" s="347"/>
      <c r="AO1481" s="575"/>
      <c r="AP1481" s="392" t="s">
        <v>210</v>
      </c>
      <c r="AQ1481" s="559"/>
      <c r="AR1481" s="370" t="s">
        <v>210</v>
      </c>
      <c r="AS1481" s="326" t="s">
        <v>210</v>
      </c>
      <c r="AT1481" s="392" t="s">
        <v>210</v>
      </c>
      <c r="AU1481" s="392" t="s">
        <v>210</v>
      </c>
      <c r="AV1481" s="392" t="s">
        <v>210</v>
      </c>
      <c r="AW1481" s="341" t="s">
        <v>210</v>
      </c>
      <c r="AX1481" s="417" t="s">
        <v>210</v>
      </c>
      <c r="AY1481" s="340" t="s">
        <v>210</v>
      </c>
      <c r="AZ1481" s="560" t="s">
        <v>210</v>
      </c>
      <c r="BA1481" s="392" t="s">
        <v>210</v>
      </c>
      <c r="BB1481" s="392" t="s">
        <v>210</v>
      </c>
      <c r="BC1481" s="392" t="s">
        <v>210</v>
      </c>
      <c r="BD1481" s="392" t="s">
        <v>210</v>
      </c>
      <c r="BE1481" s="392" t="s">
        <v>210</v>
      </c>
      <c r="BF1481" s="392" t="s">
        <v>210</v>
      </c>
      <c r="BG1481" s="392" t="s">
        <v>210</v>
      </c>
      <c r="BH1481" s="341" t="s">
        <v>210</v>
      </c>
      <c r="BI1481" s="417" t="s">
        <v>210</v>
      </c>
      <c r="BJ1481" s="431" t="s">
        <v>210</v>
      </c>
      <c r="BK1481" s="561"/>
      <c r="BL1481" s="489"/>
      <c r="BM1481" s="562"/>
      <c r="BN1481" s="417" t="s">
        <v>210</v>
      </c>
      <c r="BO1481" s="392" t="s">
        <v>210</v>
      </c>
      <c r="BP1481" s="340" t="s">
        <v>210</v>
      </c>
      <c r="BQ1481" s="560" t="s">
        <v>210</v>
      </c>
      <c r="BR1481" s="392" t="s">
        <v>210</v>
      </c>
      <c r="BS1481" s="392" t="s">
        <v>210</v>
      </c>
      <c r="BT1481" s="392" t="s">
        <v>210</v>
      </c>
      <c r="BU1481" s="392" t="s">
        <v>210</v>
      </c>
      <c r="BV1481" s="392" t="s">
        <v>210</v>
      </c>
      <c r="BW1481" s="392" t="s">
        <v>210</v>
      </c>
      <c r="BX1481" s="392" t="s">
        <v>210</v>
      </c>
      <c r="BY1481" s="362" t="s">
        <v>8047</v>
      </c>
      <c r="BZ1481" s="363"/>
      <c r="CA1481" s="363"/>
      <c r="CB1481" s="363"/>
      <c r="CC1481" s="363"/>
    </row>
    <row r="1482" spans="1:82" ht="22.5" customHeight="1">
      <c r="B1482" s="1931">
        <v>189006</v>
      </c>
      <c r="C1482" s="366" t="s">
        <v>7285</v>
      </c>
      <c r="D1482" s="574" t="s">
        <v>7077</v>
      </c>
      <c r="E1482" s="368" t="s">
        <v>5363</v>
      </c>
      <c r="F1482" s="321" t="s">
        <v>7301</v>
      </c>
      <c r="G1482" s="326" t="s">
        <v>7302</v>
      </c>
      <c r="H1482" s="374"/>
      <c r="I1482" s="374"/>
      <c r="J1482" s="374"/>
      <c r="K1482" s="326" t="s">
        <v>917</v>
      </c>
      <c r="L1482" s="392" t="s">
        <v>210</v>
      </c>
      <c r="M1482" s="374"/>
      <c r="N1482" s="390"/>
      <c r="O1482" s="374"/>
      <c r="P1482" s="557"/>
      <c r="Q1482" s="558"/>
      <c r="R1482" s="329" t="s">
        <v>432</v>
      </c>
      <c r="S1482" s="331" t="s">
        <v>11079</v>
      </c>
      <c r="T1482" s="331" t="s">
        <v>11079</v>
      </c>
      <c r="U1482" s="331" t="s">
        <v>11079</v>
      </c>
      <c r="V1482" s="331"/>
      <c r="W1482" s="332" t="s">
        <v>432</v>
      </c>
      <c r="X1482" s="331" t="s">
        <v>11079</v>
      </c>
      <c r="Y1482" s="331" t="s">
        <v>11080</v>
      </c>
      <c r="Z1482" s="331" t="s">
        <v>11080</v>
      </c>
      <c r="AA1482" s="331"/>
      <c r="AB1482" s="333"/>
      <c r="AC1482" s="333"/>
      <c r="AD1482" s="569"/>
      <c r="AE1482" s="570"/>
      <c r="AF1482" s="571"/>
      <c r="AG1482" s="337"/>
      <c r="AH1482" s="376"/>
      <c r="AI1482" s="347"/>
      <c r="AJ1482" s="347"/>
      <c r="AK1482" s="371">
        <f t="shared" si="2"/>
        <v>0</v>
      </c>
      <c r="AL1482" s="376"/>
      <c r="AM1482" s="347"/>
      <c r="AN1482" s="347"/>
      <c r="AO1482" s="575"/>
      <c r="AP1482" s="392" t="s">
        <v>210</v>
      </c>
      <c r="AQ1482" s="559"/>
      <c r="AR1482" s="370" t="s">
        <v>210</v>
      </c>
      <c r="AS1482" s="326" t="s">
        <v>210</v>
      </c>
      <c r="AT1482" s="392" t="s">
        <v>210</v>
      </c>
      <c r="AU1482" s="392" t="s">
        <v>210</v>
      </c>
      <c r="AV1482" s="392" t="s">
        <v>210</v>
      </c>
      <c r="AW1482" s="341" t="s">
        <v>210</v>
      </c>
      <c r="AX1482" s="417" t="s">
        <v>210</v>
      </c>
      <c r="AY1482" s="340" t="s">
        <v>210</v>
      </c>
      <c r="AZ1482" s="560" t="s">
        <v>210</v>
      </c>
      <c r="BA1482" s="392" t="s">
        <v>210</v>
      </c>
      <c r="BB1482" s="392" t="s">
        <v>210</v>
      </c>
      <c r="BC1482" s="392" t="s">
        <v>210</v>
      </c>
      <c r="BD1482" s="392" t="s">
        <v>210</v>
      </c>
      <c r="BE1482" s="392" t="s">
        <v>210</v>
      </c>
      <c r="BF1482" s="392" t="s">
        <v>210</v>
      </c>
      <c r="BG1482" s="392" t="s">
        <v>210</v>
      </c>
      <c r="BH1482" s="341" t="s">
        <v>210</v>
      </c>
      <c r="BI1482" s="417" t="s">
        <v>210</v>
      </c>
      <c r="BJ1482" s="431" t="s">
        <v>210</v>
      </c>
      <c r="BK1482" s="561"/>
      <c r="BL1482" s="489"/>
      <c r="BM1482" s="562"/>
      <c r="BN1482" s="417" t="s">
        <v>210</v>
      </c>
      <c r="BO1482" s="392" t="s">
        <v>210</v>
      </c>
      <c r="BP1482" s="340" t="s">
        <v>210</v>
      </c>
      <c r="BQ1482" s="560" t="s">
        <v>210</v>
      </c>
      <c r="BR1482" s="392" t="s">
        <v>210</v>
      </c>
      <c r="BS1482" s="392" t="s">
        <v>210</v>
      </c>
      <c r="BT1482" s="392" t="s">
        <v>210</v>
      </c>
      <c r="BU1482" s="392" t="s">
        <v>210</v>
      </c>
      <c r="BV1482" s="392" t="s">
        <v>210</v>
      </c>
      <c r="BW1482" s="392" t="s">
        <v>210</v>
      </c>
      <c r="BX1482" s="392" t="s">
        <v>210</v>
      </c>
      <c r="BY1482" s="362"/>
      <c r="BZ1482" s="363"/>
      <c r="CA1482" s="363"/>
      <c r="CB1482" s="363"/>
      <c r="CC1482" s="363"/>
    </row>
    <row r="1483" spans="1:82" ht="22.5" customHeight="1" thickBot="1">
      <c r="B1483" s="576"/>
      <c r="C1483" s="577"/>
      <c r="D1483" s="578"/>
      <c r="E1483" s="579"/>
      <c r="F1483" s="580"/>
      <c r="G1483" s="581"/>
      <c r="H1483" s="581"/>
      <c r="I1483" s="581"/>
      <c r="J1483" s="581"/>
      <c r="K1483" s="581"/>
      <c r="L1483" s="582"/>
      <c r="M1483" s="581"/>
      <c r="N1483" s="583"/>
      <c r="O1483" s="581"/>
      <c r="P1483" s="584"/>
      <c r="Q1483" s="585"/>
      <c r="R1483" s="586"/>
      <c r="S1483" s="587"/>
      <c r="T1483" s="587"/>
      <c r="U1483" s="587"/>
      <c r="V1483" s="587"/>
      <c r="W1483" s="588"/>
      <c r="X1483" s="587"/>
      <c r="Y1483" s="587"/>
      <c r="Z1483" s="587"/>
      <c r="AA1483" s="587"/>
      <c r="AB1483" s="589"/>
      <c r="AC1483" s="589"/>
      <c r="AD1483" s="590"/>
      <c r="AE1483" s="591"/>
      <c r="AF1483" s="592"/>
      <c r="AG1483" s="593"/>
      <c r="AH1483" s="594"/>
      <c r="AI1483" s="595"/>
      <c r="AJ1483" s="595"/>
      <c r="AK1483" s="596"/>
      <c r="AL1483" s="594"/>
      <c r="AM1483" s="595"/>
      <c r="AN1483" s="595"/>
      <c r="AO1483" s="597"/>
      <c r="AP1483" s="598"/>
      <c r="AQ1483" s="599"/>
      <c r="AR1483" s="600"/>
      <c r="AS1483" s="581"/>
      <c r="AT1483" s="595"/>
      <c r="AU1483" s="595"/>
      <c r="AV1483" s="595"/>
      <c r="AW1483" s="597"/>
      <c r="AX1483" s="594"/>
      <c r="AY1483" s="601"/>
      <c r="AZ1483" s="580"/>
      <c r="BA1483" s="581"/>
      <c r="BB1483" s="581"/>
      <c r="BC1483" s="581"/>
      <c r="BD1483" s="581"/>
      <c r="BE1483" s="581"/>
      <c r="BF1483" s="581"/>
      <c r="BG1483" s="581"/>
      <c r="BH1483" s="602"/>
      <c r="BI1483" s="594"/>
      <c r="BJ1483" s="603"/>
      <c r="BK1483" s="604"/>
      <c r="BL1483" s="601"/>
      <c r="BM1483" s="605"/>
      <c r="BN1483" s="594"/>
      <c r="BO1483" s="604"/>
      <c r="BP1483" s="596"/>
      <c r="BQ1483" s="606"/>
      <c r="BR1483" s="582"/>
      <c r="BS1483" s="582"/>
      <c r="BT1483" s="582"/>
      <c r="BU1483" s="582"/>
      <c r="BV1483" s="598"/>
      <c r="BW1483" s="595"/>
      <c r="BX1483" s="596"/>
      <c r="BY1483" s="607"/>
      <c r="BZ1483" s="363"/>
      <c r="CA1483" s="363"/>
      <c r="CB1483" s="363"/>
      <c r="CC1483" s="363"/>
    </row>
    <row r="1484" spans="1:82" ht="22.5" customHeight="1" thickTop="1">
      <c r="B1484" s="608"/>
      <c r="C1484" s="609"/>
      <c r="D1484" s="610"/>
      <c r="E1484" s="610"/>
      <c r="F1484" s="611"/>
      <c r="G1484" s="611"/>
      <c r="H1484" s="611"/>
      <c r="I1484" s="611"/>
      <c r="J1484" s="611"/>
      <c r="K1484" s="611"/>
      <c r="L1484" s="612"/>
      <c r="M1484" s="613"/>
      <c r="N1484" s="614"/>
      <c r="O1484" s="611"/>
      <c r="P1484" s="615"/>
      <c r="Q1484" s="615"/>
      <c r="R1484" s="616"/>
      <c r="S1484" s="616"/>
      <c r="T1484" s="616"/>
      <c r="U1484" s="616"/>
      <c r="V1484" s="616"/>
      <c r="W1484" s="617"/>
      <c r="X1484" s="616"/>
      <c r="Y1484" s="616"/>
      <c r="Z1484" s="616"/>
      <c r="AA1484" s="616"/>
      <c r="AB1484" s="617"/>
      <c r="AC1484" s="617"/>
      <c r="AD1484" s="618"/>
      <c r="AE1484" s="618"/>
      <c r="AF1484" s="619"/>
      <c r="AG1484" s="619"/>
      <c r="AH1484" s="620"/>
      <c r="AI1484" s="620"/>
      <c r="AJ1484" s="620"/>
      <c r="AK1484" s="621"/>
      <c r="AL1484" s="611"/>
      <c r="AM1484" s="611"/>
      <c r="AN1484" s="611"/>
      <c r="AO1484" s="611"/>
      <c r="AP1484" s="622"/>
      <c r="AQ1484" s="612"/>
      <c r="AR1484" s="615"/>
      <c r="AS1484" s="611"/>
      <c r="AT1484" s="621"/>
      <c r="AU1484" s="621"/>
      <c r="AV1484" s="621"/>
      <c r="AW1484" s="621"/>
      <c r="AX1484" s="621"/>
      <c r="AY1484" s="612"/>
      <c r="AZ1484" s="611"/>
      <c r="BA1484" s="611"/>
      <c r="BB1484" s="611"/>
      <c r="BC1484" s="611"/>
      <c r="BD1484" s="611"/>
      <c r="BE1484" s="611"/>
      <c r="BF1484" s="611"/>
      <c r="BG1484" s="611"/>
      <c r="BH1484" s="611"/>
      <c r="BI1484" s="621"/>
      <c r="BJ1484" s="623"/>
      <c r="BK1484" s="623"/>
      <c r="BL1484" s="612"/>
      <c r="BM1484" s="612"/>
      <c r="BN1484" s="611"/>
      <c r="BO1484" s="623"/>
      <c r="BP1484" s="611"/>
      <c r="BQ1484" s="612"/>
      <c r="BR1484" s="612"/>
      <c r="BS1484" s="612"/>
      <c r="BT1484" s="612"/>
      <c r="BU1484" s="612"/>
      <c r="BV1484" s="622"/>
      <c r="BW1484" s="621"/>
      <c r="BX1484" s="621"/>
      <c r="BY1484" s="617"/>
      <c r="BZ1484" s="363"/>
      <c r="CA1484" s="363"/>
      <c r="CB1484" s="363"/>
      <c r="CC1484" s="363"/>
    </row>
    <row r="1485" spans="1:82" ht="22.5" customHeight="1">
      <c r="B1485" s="624"/>
      <c r="C1485" s="625" t="s">
        <v>903</v>
      </c>
      <c r="D1485" s="626"/>
      <c r="E1485" s="626"/>
      <c r="F1485" s="627" t="s">
        <v>237</v>
      </c>
      <c r="G1485" s="627"/>
      <c r="H1485" s="627"/>
      <c r="I1485" s="627" t="s">
        <v>11</v>
      </c>
      <c r="J1485" s="627" t="s">
        <v>399</v>
      </c>
      <c r="K1485" s="627" t="s">
        <v>247</v>
      </c>
      <c r="L1485" s="628"/>
      <c r="M1485" s="627"/>
      <c r="N1485" s="629" t="s">
        <v>438</v>
      </c>
      <c r="O1485" s="627"/>
      <c r="P1485" s="630">
        <v>999.26</v>
      </c>
      <c r="Q1485" s="630">
        <v>1057.3399999999999</v>
      </c>
      <c r="R1485" s="631"/>
      <c r="S1485" s="631"/>
      <c r="T1485" s="631"/>
      <c r="U1485" s="631"/>
      <c r="V1485" s="631"/>
      <c r="W1485" s="631"/>
      <c r="X1485" s="631"/>
      <c r="Y1485" s="631"/>
      <c r="Z1485" s="631"/>
      <c r="AA1485" s="631"/>
      <c r="AB1485" s="631"/>
      <c r="AC1485" s="631"/>
      <c r="AD1485" s="632"/>
      <c r="AE1485" s="632"/>
      <c r="AF1485" s="633"/>
      <c r="AG1485" s="633"/>
      <c r="AH1485" s="634"/>
      <c r="AI1485" s="634"/>
      <c r="AJ1485" s="634"/>
      <c r="AK1485" s="634"/>
      <c r="AL1485" s="627"/>
      <c r="AM1485" s="634"/>
      <c r="AN1485" s="634"/>
      <c r="AO1485" s="634"/>
      <c r="AP1485" s="635"/>
      <c r="AQ1485" s="628"/>
      <c r="AR1485" s="630"/>
      <c r="AS1485" s="627">
        <v>80</v>
      </c>
      <c r="AT1485" s="634">
        <v>1</v>
      </c>
      <c r="AU1485" s="634"/>
      <c r="AV1485" s="634">
        <v>1.5</v>
      </c>
      <c r="AW1485" s="634"/>
      <c r="AX1485" s="634"/>
      <c r="AY1485" s="628"/>
      <c r="AZ1485" s="627"/>
      <c r="BA1485" s="627"/>
      <c r="BB1485" s="627"/>
      <c r="BC1485" s="627"/>
      <c r="BD1485" s="627"/>
      <c r="BE1485" s="627"/>
      <c r="BF1485" s="627"/>
      <c r="BG1485" s="627"/>
      <c r="BH1485" s="627"/>
      <c r="BI1485" s="634"/>
      <c r="BJ1485" s="636"/>
      <c r="BK1485" s="636"/>
      <c r="BL1485" s="628"/>
      <c r="BM1485" s="628"/>
      <c r="BN1485" s="627"/>
      <c r="BO1485" s="636"/>
      <c r="BP1485" s="627"/>
      <c r="BQ1485" s="628"/>
      <c r="BR1485" s="628"/>
      <c r="BS1485" s="628"/>
      <c r="BT1485" s="628"/>
      <c r="BU1485" s="628"/>
      <c r="BV1485" s="635"/>
      <c r="BW1485" s="634"/>
      <c r="BX1485" s="634"/>
      <c r="BY1485" s="631"/>
      <c r="BZ1485" s="363"/>
      <c r="CA1485" s="363"/>
      <c r="CB1485" s="363"/>
      <c r="CC1485" s="363"/>
    </row>
    <row r="1488" spans="1:82" ht="17.25">
      <c r="L1488" s="288"/>
      <c r="Q1488" s="637" t="s">
        <v>807</v>
      </c>
      <c r="R1488" s="638">
        <f>COUNTA(R5:R1474)-COUNTIF(R5:R1474,"-")</f>
        <v>1404</v>
      </c>
      <c r="S1488" s="638"/>
      <c r="T1488" s="638"/>
      <c r="U1488" s="638"/>
      <c r="V1488" s="638"/>
      <c r="W1488" s="639">
        <f>COUNTA(W5:W1474)-COUNTIF(W5:W1474,"-")</f>
        <v>1402</v>
      </c>
      <c r="X1488" s="638"/>
      <c r="Y1488" s="638"/>
      <c r="Z1488" s="638"/>
      <c r="AA1488" s="638"/>
      <c r="AB1488" s="2045">
        <f>COUNTA(AB5:AC1474)-COUNTIF(AB5:AB1474,"-")</f>
        <v>227</v>
      </c>
      <c r="AC1488" s="2046"/>
      <c r="AD1488" s="638">
        <f>COUNTA(AD5:AD1474)-COUNTIF(AD5:AD1474,"-")</f>
        <v>1127</v>
      </c>
      <c r="AE1488" s="638">
        <f>COUNTA(AE5:AE1474)-COUNTIF(AE5:AE1474,"-")</f>
        <v>739</v>
      </c>
      <c r="AP1488" s="288"/>
      <c r="AQ1488" s="288"/>
      <c r="AS1488" s="288"/>
      <c r="AT1488" s="288"/>
      <c r="AU1488" s="288"/>
      <c r="AV1488" s="288"/>
      <c r="AW1488" s="288"/>
      <c r="AX1488" s="288"/>
      <c r="AY1488" s="288"/>
      <c r="AZ1488" s="288"/>
      <c r="BA1488" s="288"/>
      <c r="BB1488" s="288"/>
      <c r="BC1488" s="288"/>
      <c r="BD1488" s="288"/>
      <c r="BE1488" s="288"/>
      <c r="BF1488" s="288"/>
      <c r="BG1488" s="288"/>
      <c r="BH1488" s="288"/>
      <c r="BI1488" s="288"/>
      <c r="BJ1488" s="288"/>
      <c r="BK1488" s="288"/>
      <c r="BL1488" s="640"/>
      <c r="BM1488" s="640"/>
      <c r="BN1488" s="288"/>
      <c r="BO1488" s="288"/>
      <c r="BP1488" s="288"/>
      <c r="BQ1488" s="288"/>
      <c r="BR1488" s="288"/>
      <c r="BS1488" s="288"/>
      <c r="BT1488" s="288"/>
      <c r="BU1488" s="288"/>
      <c r="BV1488" s="288"/>
      <c r="BW1488" s="288"/>
      <c r="BX1488" s="288"/>
    </row>
    <row r="1490" spans="16:17">
      <c r="P1490" s="288"/>
      <c r="Q1490" s="288"/>
    </row>
    <row r="1491" spans="16:17">
      <c r="P1491" s="288"/>
      <c r="Q1491" s="288"/>
    </row>
    <row r="1492" spans="16:17">
      <c r="P1492" s="288"/>
      <c r="Q1492" s="288"/>
    </row>
    <row r="1493" spans="16:17">
      <c r="P1493" s="288"/>
      <c r="Q1493" s="288"/>
    </row>
    <row r="1494" spans="16:17">
      <c r="P1494" s="288"/>
      <c r="Q1494" s="288"/>
    </row>
    <row r="1495" spans="16:17">
      <c r="P1495" s="288"/>
      <c r="Q1495" s="288"/>
    </row>
  </sheetData>
  <sheetProtection autoFilter="0"/>
  <autoFilter ref="B4:HL1482">
    <filterColumn colId="51" showButton="0"/>
    <filterColumn colId="53" showButton="0"/>
    <filterColumn colId="55" showButton="0"/>
    <filterColumn colId="57" showButton="0"/>
  </autoFilter>
  <mergeCells count="57">
    <mergeCell ref="B1452:B1471"/>
    <mergeCell ref="AB1488:AC1488"/>
    <mergeCell ref="D3:D4"/>
    <mergeCell ref="J3:J4"/>
    <mergeCell ref="E3:E4"/>
    <mergeCell ref="L3:L4"/>
    <mergeCell ref="AC3:AC4"/>
    <mergeCell ref="N3:N4"/>
    <mergeCell ref="AB3:AB4"/>
    <mergeCell ref="K3:K4"/>
    <mergeCell ref="Q3:Q4"/>
    <mergeCell ref="P3:P4"/>
    <mergeCell ref="R3:U3"/>
    <mergeCell ref="W3:Z3"/>
    <mergeCell ref="F3:H3"/>
    <mergeCell ref="M3:M4"/>
    <mergeCell ref="I3:I4"/>
    <mergeCell ref="AH3:AK3"/>
    <mergeCell ref="BE4:BF4"/>
    <mergeCell ref="AS3:AS4"/>
    <mergeCell ref="AX3:AX4"/>
    <mergeCell ref="BC4:BD4"/>
    <mergeCell ref="AT3:AU3"/>
    <mergeCell ref="BA3:BH3"/>
    <mergeCell ref="AZ3:AZ4"/>
    <mergeCell ref="BA4:BB4"/>
    <mergeCell ref="BU3:BU4"/>
    <mergeCell ref="BT3:BT4"/>
    <mergeCell ref="O3:O4"/>
    <mergeCell ref="BJ3:BJ4"/>
    <mergeCell ref="AR3:AR4"/>
    <mergeCell ref="AV3:AW3"/>
    <mergeCell ref="AY3:AY4"/>
    <mergeCell ref="BG4:BH4"/>
    <mergeCell ref="AE3:AE4"/>
    <mergeCell ref="AD3:AD4"/>
    <mergeCell ref="AL3:AL4"/>
    <mergeCell ref="AQ3:AQ4"/>
    <mergeCell ref="AP3:AP4"/>
    <mergeCell ref="AO3:AO4"/>
    <mergeCell ref="AF3:AF4"/>
    <mergeCell ref="B3:B4"/>
    <mergeCell ref="C3:C4"/>
    <mergeCell ref="BY3:BY4"/>
    <mergeCell ref="AN3:AN4"/>
    <mergeCell ref="AG3:AG4"/>
    <mergeCell ref="AM3:AM4"/>
    <mergeCell ref="BK3:BL3"/>
    <mergeCell ref="BQ3:BQ4"/>
    <mergeCell ref="BX3:BX4"/>
    <mergeCell ref="BW3:BW4"/>
    <mergeCell ref="BV3:BV4"/>
    <mergeCell ref="BS3:BS4"/>
    <mergeCell ref="BR3:BR4"/>
    <mergeCell ref="BI3:BI4"/>
    <mergeCell ref="BN3:BP3"/>
    <mergeCell ref="BM3:BM4"/>
  </mergeCells>
  <phoneticPr fontId="4"/>
  <conditionalFormatting sqref="AQ1025">
    <cfRule type="duplicateValues" dxfId="330" priority="526" stopIfTrue="1"/>
  </conditionalFormatting>
  <conditionalFormatting sqref="AQ1028">
    <cfRule type="duplicateValues" dxfId="329" priority="525" stopIfTrue="1"/>
  </conditionalFormatting>
  <conditionalFormatting sqref="AQ1029">
    <cfRule type="duplicateValues" dxfId="328" priority="524" stopIfTrue="1"/>
  </conditionalFormatting>
  <conditionalFormatting sqref="AQ1027">
    <cfRule type="duplicateValues" dxfId="327" priority="523" stopIfTrue="1"/>
  </conditionalFormatting>
  <conditionalFormatting sqref="AZ1259:BA1259">
    <cfRule type="duplicateValues" dxfId="326" priority="504"/>
  </conditionalFormatting>
  <conditionalFormatting sqref="AZ1266:BA1266">
    <cfRule type="duplicateValues" dxfId="325" priority="503"/>
  </conditionalFormatting>
  <conditionalFormatting sqref="BC1266">
    <cfRule type="duplicateValues" dxfId="324" priority="502"/>
  </conditionalFormatting>
  <conditionalFormatting sqref="AZ1257:BA1257">
    <cfRule type="duplicateValues" dxfId="323" priority="501"/>
  </conditionalFormatting>
  <conditionalFormatting sqref="BA1270">
    <cfRule type="duplicateValues" dxfId="322" priority="500"/>
  </conditionalFormatting>
  <conditionalFormatting sqref="BA1265">
    <cfRule type="duplicateValues" dxfId="321" priority="499"/>
  </conditionalFormatting>
  <conditionalFormatting sqref="F1289 F1465 F1440">
    <cfRule type="containsText" dxfId="320" priority="492" operator="containsText" text="北海道">
      <formula>NOT(ISERROR(SEARCH("北海道",F1289)))</formula>
    </cfRule>
  </conditionalFormatting>
  <conditionalFormatting sqref="BA1277">
    <cfRule type="duplicateValues" dxfId="319" priority="489"/>
  </conditionalFormatting>
  <conditionalFormatting sqref="F1285">
    <cfRule type="containsText" dxfId="318" priority="486" operator="containsText" text="鳥取県">
      <formula>NOT(ISERROR(SEARCH("鳥取県",F1285)))</formula>
    </cfRule>
    <cfRule type="containsText" dxfId="317" priority="487" operator="containsText" text="島根県">
      <formula>NOT(ISERROR(SEARCH("島根県",F1285)))</formula>
    </cfRule>
    <cfRule type="containsText" dxfId="316" priority="488" operator="containsText" text="北海道">
      <formula>NOT(ISERROR(SEARCH("北海道",F1285)))</formula>
    </cfRule>
  </conditionalFormatting>
  <conditionalFormatting sqref="F1287">
    <cfRule type="containsText" dxfId="315" priority="483" operator="containsText" text="鳥取県">
      <formula>NOT(ISERROR(SEARCH("鳥取県",F1287)))</formula>
    </cfRule>
    <cfRule type="containsText" dxfId="314" priority="484" operator="containsText" text="島根県">
      <formula>NOT(ISERROR(SEARCH("島根県",F1287)))</formula>
    </cfRule>
    <cfRule type="containsText" dxfId="313" priority="485" operator="containsText" text="北海道">
      <formula>NOT(ISERROR(SEARCH("北海道",F1287)))</formula>
    </cfRule>
  </conditionalFormatting>
  <conditionalFormatting sqref="F1329">
    <cfRule type="containsText" dxfId="312" priority="482" operator="containsText" text="北海道">
      <formula>NOT(ISERROR(SEARCH("北海道",F1329)))</formula>
    </cfRule>
  </conditionalFormatting>
  <conditionalFormatting sqref="F1290">
    <cfRule type="containsText" dxfId="311" priority="476" operator="containsText" text="北海道">
      <formula>NOT(ISERROR(SEARCH("北海道",F1290)))</formula>
    </cfRule>
  </conditionalFormatting>
  <conditionalFormatting sqref="F1291">
    <cfRule type="containsText" dxfId="310" priority="473" operator="containsText" text="北海道">
      <formula>NOT(ISERROR(SEARCH("北海道",F1291)))</formula>
    </cfRule>
  </conditionalFormatting>
  <conditionalFormatting sqref="F1298">
    <cfRule type="containsText" dxfId="309" priority="459" operator="containsText" text="北海道">
      <formula>NOT(ISERROR(SEARCH("北海道",F1298)))</formula>
    </cfRule>
  </conditionalFormatting>
  <conditionalFormatting sqref="F1303 F1305:F1306">
    <cfRule type="containsText" dxfId="308" priority="457" operator="containsText" text="北海道">
      <formula>NOT(ISERROR(SEARCH("北海道",F1303)))</formula>
    </cfRule>
  </conditionalFormatting>
  <conditionalFormatting sqref="F1302">
    <cfRule type="containsText" dxfId="307" priority="455" operator="containsText" text="北海道">
      <formula>NOT(ISERROR(SEARCH("北海道",F1302)))</formula>
    </cfRule>
  </conditionalFormatting>
  <conditionalFormatting sqref="F1471">
    <cfRule type="containsText" dxfId="306" priority="454" operator="containsText" text="北海道">
      <formula>NOT(ISERROR(SEARCH("北海道",F1471)))</formula>
    </cfRule>
  </conditionalFormatting>
  <conditionalFormatting sqref="F1292">
    <cfRule type="containsText" dxfId="305" priority="453" operator="containsText" text="北海道">
      <formula>NOT(ISERROR(SEARCH("北海道",F1292)))</formula>
    </cfRule>
  </conditionalFormatting>
  <conditionalFormatting sqref="F1300">
    <cfRule type="containsText" dxfId="304" priority="451" operator="containsText" text="北海道">
      <formula>NOT(ISERROR(SEARCH("北海道",F1300)))</formula>
    </cfRule>
  </conditionalFormatting>
  <conditionalFormatting sqref="F1309">
    <cfRule type="containsText" dxfId="303" priority="450" operator="containsText" text="北海道">
      <formula>NOT(ISERROR(SEARCH("北海道",F1309)))</formula>
    </cfRule>
  </conditionalFormatting>
  <conditionalFormatting sqref="F1308">
    <cfRule type="containsText" dxfId="302" priority="449" operator="containsText" text="北海道">
      <formula>NOT(ISERROR(SEARCH("北海道",F1308)))</formula>
    </cfRule>
  </conditionalFormatting>
  <conditionalFormatting sqref="F1320">
    <cfRule type="containsText" dxfId="301" priority="448" operator="containsText" text="北海道">
      <formula>NOT(ISERROR(SEARCH("北海道",F1320)))</formula>
    </cfRule>
  </conditionalFormatting>
  <conditionalFormatting sqref="F1476">
    <cfRule type="containsText" dxfId="300" priority="445" operator="containsText" text="北海道">
      <formula>NOT(ISERROR(SEARCH("北海道",F1476)))</formula>
    </cfRule>
  </conditionalFormatting>
  <conditionalFormatting sqref="F1310">
    <cfRule type="containsText" dxfId="299" priority="443" operator="containsText" text="北海道">
      <formula>NOT(ISERROR(SEARCH("北海道",F1310)))</formula>
    </cfRule>
  </conditionalFormatting>
  <conditionalFormatting sqref="F1316">
    <cfRule type="containsText" dxfId="298" priority="442" operator="containsText" text="北海道">
      <formula>NOT(ISERROR(SEARCH("北海道",F1316)))</formula>
    </cfRule>
  </conditionalFormatting>
  <conditionalFormatting sqref="F1311">
    <cfRule type="containsText" dxfId="297" priority="441" operator="containsText" text="北海道">
      <formula>NOT(ISERROR(SEARCH("北海道",F1311)))</formula>
    </cfRule>
  </conditionalFormatting>
  <conditionalFormatting sqref="F1313">
    <cfRule type="containsText" dxfId="296" priority="440" operator="containsText" text="北海道">
      <formula>NOT(ISERROR(SEARCH("北海道",F1313)))</formula>
    </cfRule>
  </conditionalFormatting>
  <conditionalFormatting sqref="F1315">
    <cfRule type="containsText" dxfId="295" priority="439" operator="containsText" text="北海道">
      <formula>NOT(ISERROR(SEARCH("北海道",F1315)))</formula>
    </cfRule>
  </conditionalFormatting>
  <conditionalFormatting sqref="F1326">
    <cfRule type="containsText" dxfId="294" priority="432" operator="containsText" text="北海道">
      <formula>NOT(ISERROR(SEARCH("北海道",F1326)))</formula>
    </cfRule>
  </conditionalFormatting>
  <conditionalFormatting sqref="F1317">
    <cfRule type="containsText" dxfId="293" priority="431" operator="containsText" text="北海道">
      <formula>NOT(ISERROR(SEARCH("北海道",F1317)))</formula>
    </cfRule>
  </conditionalFormatting>
  <conditionalFormatting sqref="F1331">
    <cfRule type="containsText" dxfId="292" priority="430" operator="containsText" text="北海道">
      <formula>NOT(ISERROR(SEARCH("北海道",F1331)))</formula>
    </cfRule>
  </conditionalFormatting>
  <conditionalFormatting sqref="F1327">
    <cfRule type="containsText" dxfId="291" priority="429" operator="containsText" text="北海道">
      <formula>NOT(ISERROR(SEARCH("北海道",F1327)))</formula>
    </cfRule>
  </conditionalFormatting>
  <conditionalFormatting sqref="F1319">
    <cfRule type="containsText" dxfId="290" priority="427" operator="containsText" text="北海道">
      <formula>NOT(ISERROR(SEARCH("北海道",F1319)))</formula>
    </cfRule>
  </conditionalFormatting>
  <conditionalFormatting sqref="F1321">
    <cfRule type="containsText" dxfId="289" priority="424" operator="containsText" text="北海道">
      <formula>NOT(ISERROR(SEARCH("北海道",F1321)))</formula>
    </cfRule>
  </conditionalFormatting>
  <conditionalFormatting sqref="F1318">
    <cfRule type="containsText" dxfId="288" priority="422" operator="containsText" text="北海道">
      <formula>NOT(ISERROR(SEARCH("北海道",F1318)))</formula>
    </cfRule>
  </conditionalFormatting>
  <conditionalFormatting sqref="F1354:F1355 F1358 F1361:F1362 F1364 F1367 F1370 F1449:F1452 F1374 F1471 F1410">
    <cfRule type="containsText" dxfId="287" priority="382" operator="containsText" text="新潟県">
      <formula>NOT(ISERROR(SEARCH("新潟県",F1354)))</formula>
    </cfRule>
    <cfRule type="containsText" dxfId="286" priority="421" operator="containsText" text="北海道">
      <formula>NOT(ISERROR(SEARCH("北海道",F1354)))</formula>
    </cfRule>
  </conditionalFormatting>
  <conditionalFormatting sqref="AX1314">
    <cfRule type="duplicateValues" dxfId="285" priority="420"/>
  </conditionalFormatting>
  <conditionalFormatting sqref="AX1319">
    <cfRule type="duplicateValues" dxfId="284" priority="419"/>
  </conditionalFormatting>
  <conditionalFormatting sqref="F1328">
    <cfRule type="containsText" dxfId="283" priority="418" operator="containsText" text="北海道">
      <formula>NOT(ISERROR(SEARCH("北海道",F1328)))</formula>
    </cfRule>
  </conditionalFormatting>
  <conditionalFormatting sqref="F1333">
    <cfRule type="containsText" dxfId="282" priority="417" operator="containsText" text="北海道">
      <formula>NOT(ISERROR(SEARCH("北海道",F1333)))</formula>
    </cfRule>
  </conditionalFormatting>
  <conditionalFormatting sqref="BR1311:BS1311">
    <cfRule type="duplicateValues" dxfId="281" priority="415"/>
  </conditionalFormatting>
  <conditionalFormatting sqref="BR1318:BS1318">
    <cfRule type="duplicateValues" dxfId="280" priority="414"/>
  </conditionalFormatting>
  <conditionalFormatting sqref="F1334">
    <cfRule type="containsText" dxfId="279" priority="412" operator="containsText" text="北海道">
      <formula>NOT(ISERROR(SEARCH("北海道",F1334)))</formula>
    </cfRule>
  </conditionalFormatting>
  <conditionalFormatting sqref="F1344">
    <cfRule type="containsText" dxfId="278" priority="409" operator="containsText" text="北海道">
      <formula>NOT(ISERROR(SEARCH("北海道",F1344)))</formula>
    </cfRule>
  </conditionalFormatting>
  <conditionalFormatting sqref="F1337">
    <cfRule type="containsText" dxfId="277" priority="407" operator="containsText" text="北海道">
      <formula>NOT(ISERROR(SEARCH("北海道",F1337)))</formula>
    </cfRule>
  </conditionalFormatting>
  <conditionalFormatting sqref="AX1324">
    <cfRule type="duplicateValues" dxfId="276" priority="406"/>
  </conditionalFormatting>
  <conditionalFormatting sqref="AY1324">
    <cfRule type="duplicateValues" dxfId="275" priority="405"/>
  </conditionalFormatting>
  <conditionalFormatting sqref="F1342">
    <cfRule type="containsText" dxfId="274" priority="404" operator="containsText" text="北海道">
      <formula>NOT(ISERROR(SEARCH("北海道",F1342)))</formula>
    </cfRule>
  </conditionalFormatting>
  <conditionalFormatting sqref="F1340">
    <cfRule type="containsText" dxfId="273" priority="403" operator="containsText" text="北海道">
      <formula>NOT(ISERROR(SEARCH("北海道",F1340)))</formula>
    </cfRule>
  </conditionalFormatting>
  <conditionalFormatting sqref="AY1319">
    <cfRule type="duplicateValues" dxfId="272" priority="402"/>
  </conditionalFormatting>
  <conditionalFormatting sqref="AY1314">
    <cfRule type="duplicateValues" dxfId="271" priority="401"/>
  </conditionalFormatting>
  <conditionalFormatting sqref="F1341">
    <cfRule type="containsText" dxfId="270" priority="400" operator="containsText" text="北海道">
      <formula>NOT(ISERROR(SEARCH("北海道",F1341)))</formula>
    </cfRule>
  </conditionalFormatting>
  <conditionalFormatting sqref="F1364">
    <cfRule type="containsText" dxfId="269" priority="399" operator="containsText" text="北海道">
      <formula>NOT(ISERROR(SEARCH("北海道",F1364)))</formula>
    </cfRule>
  </conditionalFormatting>
  <conditionalFormatting sqref="F1343">
    <cfRule type="containsText" dxfId="268" priority="397" operator="containsText" text="北海道">
      <formula>NOT(ISERROR(SEARCH("北海道",F1343)))</formula>
    </cfRule>
  </conditionalFormatting>
  <conditionalFormatting sqref="F1339">
    <cfRule type="containsText" dxfId="267" priority="396" operator="containsText" text="北海道">
      <formula>NOT(ISERROR(SEARCH("北海道",F1339)))</formula>
    </cfRule>
  </conditionalFormatting>
  <conditionalFormatting sqref="F1345">
    <cfRule type="containsText" dxfId="266" priority="395" operator="containsText" text="北海道">
      <formula>NOT(ISERROR(SEARCH("北海道",F1345)))</formula>
    </cfRule>
  </conditionalFormatting>
  <conditionalFormatting sqref="F1349">
    <cfRule type="containsText" dxfId="265" priority="393" operator="containsText" text="北海道">
      <formula>NOT(ISERROR(SEARCH("北海道",F1349)))</formula>
    </cfRule>
  </conditionalFormatting>
  <conditionalFormatting sqref="F1350">
    <cfRule type="containsText" dxfId="264" priority="391" operator="containsText" text="北海道">
      <formula>NOT(ISERROR(SEARCH("北海道",F1350)))</formula>
    </cfRule>
  </conditionalFormatting>
  <conditionalFormatting sqref="F1351">
    <cfRule type="containsText" dxfId="263" priority="390" operator="containsText" text="北海道">
      <formula>NOT(ISERROR(SEARCH("北海道",F1351)))</formula>
    </cfRule>
  </conditionalFormatting>
  <conditionalFormatting sqref="F1451">
    <cfRule type="containsText" dxfId="262" priority="389" operator="containsText" text="北海道">
      <formula>NOT(ISERROR(SEARCH("北海道",F1451)))</formula>
    </cfRule>
  </conditionalFormatting>
  <conditionalFormatting sqref="AX1329">
    <cfRule type="duplicateValues" dxfId="261" priority="388"/>
  </conditionalFormatting>
  <conditionalFormatting sqref="AY1329">
    <cfRule type="duplicateValues" dxfId="260" priority="387"/>
  </conditionalFormatting>
  <conditionalFormatting sqref="F1352">
    <cfRule type="containsText" dxfId="259" priority="386" operator="containsText" text="北海道">
      <formula>NOT(ISERROR(SEARCH("北海道",F1352)))</formula>
    </cfRule>
  </conditionalFormatting>
  <conditionalFormatting sqref="F1358">
    <cfRule type="containsText" dxfId="258" priority="385" operator="containsText" text="北海道">
      <formula>NOT(ISERROR(SEARCH("北海道",F1358)))</formula>
    </cfRule>
  </conditionalFormatting>
  <conditionalFormatting sqref="F1355">
    <cfRule type="containsText" dxfId="257" priority="383" operator="containsText" text="北海道">
      <formula>NOT(ISERROR(SEARCH("北海道",F1355)))</formula>
    </cfRule>
  </conditionalFormatting>
  <conditionalFormatting sqref="F1360">
    <cfRule type="containsText" dxfId="256" priority="377" operator="containsText" text="新潟県">
      <formula>NOT(ISERROR(SEARCH("新潟県",F1360)))</formula>
    </cfRule>
    <cfRule type="containsText" dxfId="255" priority="378" operator="containsText" text="北海道">
      <formula>NOT(ISERROR(SEARCH("北海道",F1360)))</formula>
    </cfRule>
  </conditionalFormatting>
  <conditionalFormatting sqref="F1421">
    <cfRule type="containsText" dxfId="254" priority="367" operator="containsText" text="北海道">
      <formula>NOT(ISERROR(SEARCH("北海道",F1421)))</formula>
    </cfRule>
  </conditionalFormatting>
  <conditionalFormatting sqref="F1421">
    <cfRule type="containsText" dxfId="253" priority="365" operator="containsText" text="新潟県">
      <formula>NOT(ISERROR(SEARCH("新潟県",F1421)))</formula>
    </cfRule>
    <cfRule type="containsText" dxfId="252" priority="366" operator="containsText" text="北海道">
      <formula>NOT(ISERROR(SEARCH("北海道",F1421)))</formula>
    </cfRule>
  </conditionalFormatting>
  <conditionalFormatting sqref="F1356">
    <cfRule type="containsText" dxfId="251" priority="364" operator="containsText" text="北海道">
      <formula>NOT(ISERROR(SEARCH("北海道",F1356)))</formula>
    </cfRule>
  </conditionalFormatting>
  <conditionalFormatting sqref="F1356">
    <cfRule type="containsText" dxfId="250" priority="362" operator="containsText" text="新潟県">
      <formula>NOT(ISERROR(SEARCH("新潟県",F1356)))</formula>
    </cfRule>
    <cfRule type="containsText" dxfId="249" priority="363" operator="containsText" text="北海道">
      <formula>NOT(ISERROR(SEARCH("北海道",F1356)))</formula>
    </cfRule>
  </conditionalFormatting>
  <conditionalFormatting sqref="F1353">
    <cfRule type="containsText" dxfId="248" priority="360" operator="containsText" text="新潟県">
      <formula>NOT(ISERROR(SEARCH("新潟県",F1353)))</formula>
    </cfRule>
    <cfRule type="containsText" dxfId="247" priority="361" operator="containsText" text="北海道">
      <formula>NOT(ISERROR(SEARCH("北海道",F1353)))</formula>
    </cfRule>
  </conditionalFormatting>
  <conditionalFormatting sqref="F1359">
    <cfRule type="containsText" dxfId="246" priority="356" operator="containsText" text="北海道">
      <formula>NOT(ISERROR(SEARCH("北海道",F1359)))</formula>
    </cfRule>
  </conditionalFormatting>
  <conditionalFormatting sqref="F1363">
    <cfRule type="containsText" dxfId="245" priority="341" operator="containsText" text="新潟県">
      <formula>NOT(ISERROR(SEARCH("新潟県",F1363)))</formula>
    </cfRule>
    <cfRule type="containsText" dxfId="244" priority="343" operator="containsText" text="北海道">
      <formula>NOT(ISERROR(SEARCH("北海道",F1363)))</formula>
    </cfRule>
  </conditionalFormatting>
  <conditionalFormatting sqref="F1363">
    <cfRule type="containsText" dxfId="243" priority="342" operator="containsText" text="北海道">
      <formula>NOT(ISERROR(SEARCH("北海道",F1363)))</formula>
    </cfRule>
  </conditionalFormatting>
  <conditionalFormatting sqref="F1380">
    <cfRule type="containsText" dxfId="242" priority="338" operator="containsText" text="新潟県">
      <formula>NOT(ISERROR(SEARCH("新潟県",F1380)))</formula>
    </cfRule>
    <cfRule type="containsText" dxfId="241" priority="339" operator="containsText" text="北海道">
      <formula>NOT(ISERROR(SEARCH("北海道",F1380)))</formula>
    </cfRule>
  </conditionalFormatting>
  <conditionalFormatting sqref="F1357">
    <cfRule type="containsText" dxfId="240" priority="337" operator="containsText" text="北海道">
      <formula>NOT(ISERROR(SEARCH("北海道",F1357)))</formula>
    </cfRule>
  </conditionalFormatting>
  <conditionalFormatting sqref="F1357">
    <cfRule type="containsText" dxfId="239" priority="335" operator="containsText" text="新潟県">
      <formula>NOT(ISERROR(SEARCH("新潟県",F1357)))</formula>
    </cfRule>
    <cfRule type="containsText" dxfId="238" priority="336" operator="containsText" text="北海道">
      <formula>NOT(ISERROR(SEARCH("北海道",F1357)))</formula>
    </cfRule>
  </conditionalFormatting>
  <conditionalFormatting sqref="F1372 F1384 F1389">
    <cfRule type="containsText" dxfId="237" priority="333" operator="containsText" text="新潟県">
      <formula>NOT(ISERROR(SEARCH("新潟県",F1372)))</formula>
    </cfRule>
    <cfRule type="containsText" dxfId="236" priority="334" operator="containsText" text="北海道">
      <formula>NOT(ISERROR(SEARCH("北海道",F1372)))</formula>
    </cfRule>
  </conditionalFormatting>
  <conditionalFormatting sqref="F1366">
    <cfRule type="containsText" dxfId="235" priority="332" operator="containsText" text="北海道">
      <formula>NOT(ISERROR(SEARCH("北海道",F1366)))</formula>
    </cfRule>
  </conditionalFormatting>
  <conditionalFormatting sqref="F1366">
    <cfRule type="containsText" dxfId="234" priority="330" operator="containsText" text="新潟県">
      <formula>NOT(ISERROR(SEARCH("新潟県",F1366)))</formula>
    </cfRule>
    <cfRule type="containsText" dxfId="233" priority="331" operator="containsText" text="北海道">
      <formula>NOT(ISERROR(SEARCH("北海道",F1366)))</formula>
    </cfRule>
  </conditionalFormatting>
  <conditionalFormatting sqref="F1368">
    <cfRule type="containsText" dxfId="232" priority="323" operator="containsText" text="北海道">
      <formula>NOT(ISERROR(SEARCH("北海道",F1368)))</formula>
    </cfRule>
  </conditionalFormatting>
  <conditionalFormatting sqref="F1368">
    <cfRule type="containsText" dxfId="231" priority="321" operator="containsText" text="新潟県">
      <formula>NOT(ISERROR(SEARCH("新潟県",F1368)))</formula>
    </cfRule>
    <cfRule type="containsText" dxfId="230" priority="322" operator="containsText" text="北海道">
      <formula>NOT(ISERROR(SEARCH("北海道",F1368)))</formula>
    </cfRule>
  </conditionalFormatting>
  <conditionalFormatting sqref="F1369">
    <cfRule type="containsText" dxfId="229" priority="318" operator="containsText" text="新潟県">
      <formula>NOT(ISERROR(SEARCH("新潟県",F1369)))</formula>
    </cfRule>
    <cfRule type="containsText" dxfId="228" priority="320" operator="containsText" text="北海道">
      <formula>NOT(ISERROR(SEARCH("北海道",F1369)))</formula>
    </cfRule>
  </conditionalFormatting>
  <conditionalFormatting sqref="F1369">
    <cfRule type="containsText" dxfId="227" priority="319" operator="containsText" text="北海道">
      <formula>NOT(ISERROR(SEARCH("北海道",F1369)))</formula>
    </cfRule>
  </conditionalFormatting>
  <conditionalFormatting sqref="F1365">
    <cfRule type="containsText" dxfId="226" priority="317" operator="containsText" text="北海道">
      <formula>NOT(ISERROR(SEARCH("北海道",F1365)))</formula>
    </cfRule>
  </conditionalFormatting>
  <conditionalFormatting sqref="F1411">
    <cfRule type="containsText" dxfId="225" priority="316" operator="containsText" text="北海道">
      <formula>NOT(ISERROR(SEARCH("北海道",F1411)))</formula>
    </cfRule>
  </conditionalFormatting>
  <conditionalFormatting sqref="F1411">
    <cfRule type="containsText" dxfId="224" priority="314" operator="containsText" text="新潟県">
      <formula>NOT(ISERROR(SEARCH("新潟県",F1411)))</formula>
    </cfRule>
    <cfRule type="containsText" dxfId="223" priority="315" operator="containsText" text="北海道">
      <formula>NOT(ISERROR(SEARCH("北海道",F1411)))</formula>
    </cfRule>
  </conditionalFormatting>
  <conditionalFormatting sqref="F1371">
    <cfRule type="containsText" dxfId="222" priority="313" operator="containsText" text="北海道">
      <formula>NOT(ISERROR(SEARCH("北海道",F1371)))</formula>
    </cfRule>
  </conditionalFormatting>
  <conditionalFormatting sqref="F1371">
    <cfRule type="containsText" dxfId="221" priority="311" operator="containsText" text="新潟県">
      <formula>NOT(ISERROR(SEARCH("新潟県",F1371)))</formula>
    </cfRule>
    <cfRule type="containsText" dxfId="220" priority="312" operator="containsText" text="北海道">
      <formula>NOT(ISERROR(SEARCH("北海道",F1371)))</formula>
    </cfRule>
  </conditionalFormatting>
  <conditionalFormatting sqref="F1379">
    <cfRule type="containsText" dxfId="219" priority="310" operator="containsText" text="北海道">
      <formula>NOT(ISERROR(SEARCH("北海道",F1379)))</formula>
    </cfRule>
  </conditionalFormatting>
  <conditionalFormatting sqref="F1379">
    <cfRule type="containsText" dxfId="218" priority="308" operator="containsText" text="新潟県">
      <formula>NOT(ISERROR(SEARCH("新潟県",F1379)))</formula>
    </cfRule>
    <cfRule type="containsText" dxfId="217" priority="309" operator="containsText" text="北海道">
      <formula>NOT(ISERROR(SEARCH("北海道",F1379)))</formula>
    </cfRule>
  </conditionalFormatting>
  <conditionalFormatting sqref="F1400">
    <cfRule type="containsText" dxfId="216" priority="307" operator="containsText" text="北海道">
      <formula>NOT(ISERROR(SEARCH("北海道",F1400)))</formula>
    </cfRule>
  </conditionalFormatting>
  <conditionalFormatting sqref="F1400">
    <cfRule type="containsText" dxfId="215" priority="305" operator="containsText" text="新潟県">
      <formula>NOT(ISERROR(SEARCH("新潟県",F1400)))</formula>
    </cfRule>
    <cfRule type="containsText" dxfId="214" priority="306" operator="containsText" text="北海道">
      <formula>NOT(ISERROR(SEARCH("北海道",F1400)))</formula>
    </cfRule>
  </conditionalFormatting>
  <conditionalFormatting sqref="F1373">
    <cfRule type="containsText" dxfId="213" priority="301" operator="containsText" text="北海道">
      <formula>NOT(ISERROR(SEARCH("北海道",F1373)))</formula>
    </cfRule>
  </conditionalFormatting>
  <conditionalFormatting sqref="F1373">
    <cfRule type="containsText" dxfId="212" priority="299" operator="containsText" text="新潟県">
      <formula>NOT(ISERROR(SEARCH("新潟県",F1373)))</formula>
    </cfRule>
    <cfRule type="containsText" dxfId="211" priority="300" operator="containsText" text="北海道">
      <formula>NOT(ISERROR(SEARCH("北海道",F1373)))</formula>
    </cfRule>
  </conditionalFormatting>
  <conditionalFormatting sqref="F1417">
    <cfRule type="containsText" dxfId="210" priority="294" operator="containsText" text="新潟県">
      <formula>NOT(ISERROR(SEARCH("新潟県",F1417)))</formula>
    </cfRule>
    <cfRule type="containsText" dxfId="209" priority="295" operator="containsText" text="北海道">
      <formula>NOT(ISERROR(SEARCH("北海道",F1417)))</formula>
    </cfRule>
  </conditionalFormatting>
  <conditionalFormatting sqref="F1375">
    <cfRule type="containsText" dxfId="208" priority="291" operator="containsText" text="新潟県">
      <formula>NOT(ISERROR(SEARCH("新潟県",F1375)))</formula>
    </cfRule>
    <cfRule type="containsText" dxfId="207" priority="293" operator="containsText" text="北海道">
      <formula>NOT(ISERROR(SEARCH("北海道",F1375)))</formula>
    </cfRule>
  </conditionalFormatting>
  <conditionalFormatting sqref="F1375">
    <cfRule type="containsText" dxfId="206" priority="292" operator="containsText" text="北海道">
      <formula>NOT(ISERROR(SEARCH("北海道",F1375)))</formula>
    </cfRule>
  </conditionalFormatting>
  <conditionalFormatting sqref="F1381">
    <cfRule type="containsText" dxfId="205" priority="288" operator="containsText" text="新潟県">
      <formula>NOT(ISERROR(SEARCH("新潟県",F1381)))</formula>
    </cfRule>
    <cfRule type="containsText" dxfId="204" priority="290" operator="containsText" text="北海道">
      <formula>NOT(ISERROR(SEARCH("北海道",F1381)))</formula>
    </cfRule>
  </conditionalFormatting>
  <conditionalFormatting sqref="F1381">
    <cfRule type="containsText" dxfId="203" priority="289" operator="containsText" text="北海道">
      <formula>NOT(ISERROR(SEARCH("北海道",F1381)))</formula>
    </cfRule>
  </conditionalFormatting>
  <conditionalFormatting sqref="F1418">
    <cfRule type="containsText" dxfId="202" priority="287" operator="containsText" text="北海道">
      <formula>NOT(ISERROR(SEARCH("北海道",F1418)))</formula>
    </cfRule>
  </conditionalFormatting>
  <conditionalFormatting sqref="F1418">
    <cfRule type="containsText" dxfId="201" priority="285" operator="containsText" text="新潟県">
      <formula>NOT(ISERROR(SEARCH("新潟県",F1418)))</formula>
    </cfRule>
    <cfRule type="containsText" dxfId="200" priority="286" operator="containsText" text="北海道">
      <formula>NOT(ISERROR(SEARCH("北海道",F1418)))</formula>
    </cfRule>
  </conditionalFormatting>
  <conditionalFormatting sqref="F1472">
    <cfRule type="containsText" dxfId="199" priority="283" operator="containsText" text="北海道">
      <formula>NOT(ISERROR(SEARCH("北海道",F1472)))</formula>
    </cfRule>
  </conditionalFormatting>
  <conditionalFormatting sqref="F1472">
    <cfRule type="containsText" dxfId="198" priority="281" operator="containsText" text="新潟県">
      <formula>NOT(ISERROR(SEARCH("新潟県",F1472)))</formula>
    </cfRule>
    <cfRule type="containsText" dxfId="197" priority="282" operator="containsText" text="北海道">
      <formula>NOT(ISERROR(SEARCH("北海道",F1472)))</formula>
    </cfRule>
  </conditionalFormatting>
  <conditionalFormatting sqref="F1376">
    <cfRule type="containsText" dxfId="196" priority="280" operator="containsText" text="北海道">
      <formula>NOT(ISERROR(SEARCH("北海道",F1376)))</formula>
    </cfRule>
  </conditionalFormatting>
  <conditionalFormatting sqref="F1376">
    <cfRule type="containsText" dxfId="195" priority="278" operator="containsText" text="新潟県">
      <formula>NOT(ISERROR(SEARCH("新潟県",F1376)))</formula>
    </cfRule>
    <cfRule type="containsText" dxfId="194" priority="279" operator="containsText" text="北海道">
      <formula>NOT(ISERROR(SEARCH("北海道",F1376)))</formula>
    </cfRule>
  </conditionalFormatting>
  <conditionalFormatting sqref="F1382">
    <cfRule type="containsText" dxfId="193" priority="277" operator="containsText" text="北海道">
      <formula>NOT(ISERROR(SEARCH("北海道",F1382)))</formula>
    </cfRule>
  </conditionalFormatting>
  <conditionalFormatting sqref="F1382">
    <cfRule type="containsText" dxfId="192" priority="275" operator="containsText" text="新潟県">
      <formula>NOT(ISERROR(SEARCH("新潟県",F1382)))</formula>
    </cfRule>
    <cfRule type="containsText" dxfId="191" priority="276" operator="containsText" text="北海道">
      <formula>NOT(ISERROR(SEARCH("北海道",F1382)))</formula>
    </cfRule>
  </conditionalFormatting>
  <conditionalFormatting sqref="Q1473">
    <cfRule type="cellIs" dxfId="190" priority="269" operator="greaterThanOrEqual">
      <formula>5000</formula>
    </cfRule>
  </conditionalFormatting>
  <conditionalFormatting sqref="F1394">
    <cfRule type="containsText" dxfId="189" priority="265" operator="containsText" text="新潟県">
      <formula>NOT(ISERROR(SEARCH("新潟県",F1394)))</formula>
    </cfRule>
    <cfRule type="containsText" dxfId="188" priority="266" operator="containsText" text="北海道">
      <formula>NOT(ISERROR(SEARCH("北海道",F1394)))</formula>
    </cfRule>
  </conditionalFormatting>
  <conditionalFormatting sqref="F1383">
    <cfRule type="containsText" dxfId="187" priority="262" operator="containsText" text="新潟県">
      <formula>NOT(ISERROR(SEARCH("新潟県",F1383)))</formula>
    </cfRule>
    <cfRule type="containsText" dxfId="186" priority="263" operator="containsText" text="北海道">
      <formula>NOT(ISERROR(SEARCH("北海道",F1383)))</formula>
    </cfRule>
  </conditionalFormatting>
  <conditionalFormatting sqref="Q1383">
    <cfRule type="cellIs" dxfId="185" priority="261" operator="greaterThanOrEqual">
      <formula>5000</formula>
    </cfRule>
  </conditionalFormatting>
  <conditionalFormatting sqref="F1391">
    <cfRule type="containsText" dxfId="184" priority="256" operator="containsText" text="新潟県">
      <formula>NOT(ISERROR(SEARCH("新潟県",F1391)))</formula>
    </cfRule>
    <cfRule type="containsText" dxfId="183" priority="257" operator="containsText" text="北海道">
      <formula>NOT(ISERROR(SEARCH("北海道",F1391)))</formula>
    </cfRule>
  </conditionalFormatting>
  <conditionalFormatting sqref="Q1391">
    <cfRule type="cellIs" dxfId="182" priority="255" operator="greaterThanOrEqual">
      <formula>5000</formula>
    </cfRule>
  </conditionalFormatting>
  <conditionalFormatting sqref="F1390">
    <cfRule type="containsText" dxfId="181" priority="253" operator="containsText" text="新潟県">
      <formula>NOT(ISERROR(SEARCH("新潟県",F1390)))</formula>
    </cfRule>
    <cfRule type="containsText" dxfId="180" priority="254" operator="containsText" text="北海道">
      <formula>NOT(ISERROR(SEARCH("北海道",F1390)))</formula>
    </cfRule>
  </conditionalFormatting>
  <conditionalFormatting sqref="F1388">
    <cfRule type="containsText" dxfId="179" priority="245" operator="containsText" text="新潟県">
      <formula>NOT(ISERROR(SEARCH("新潟県",F1388)))</formula>
    </cfRule>
    <cfRule type="containsText" dxfId="178" priority="247" operator="containsText" text="北海道">
      <formula>NOT(ISERROR(SEARCH("北海道",F1388)))</formula>
    </cfRule>
  </conditionalFormatting>
  <conditionalFormatting sqref="F1388">
    <cfRule type="containsText" dxfId="177" priority="246" operator="containsText" text="北海道">
      <formula>NOT(ISERROR(SEARCH("北海道",F1388)))</formula>
    </cfRule>
  </conditionalFormatting>
  <conditionalFormatting sqref="F1392">
    <cfRule type="containsText" dxfId="176" priority="243" operator="containsText" text="新潟県">
      <formula>NOT(ISERROR(SEARCH("新潟県",F1392)))</formula>
    </cfRule>
    <cfRule type="containsText" dxfId="175" priority="244" operator="containsText" text="北海道">
      <formula>NOT(ISERROR(SEARCH("北海道",F1392)))</formula>
    </cfRule>
  </conditionalFormatting>
  <conditionalFormatting sqref="R1392">
    <cfRule type="containsText" dxfId="174" priority="241" operator="containsText" text="積水ハウス">
      <formula>NOT(ISERROR(SEARCH("積水ハウス",R1392)))</formula>
    </cfRule>
  </conditionalFormatting>
  <conditionalFormatting sqref="W1392">
    <cfRule type="containsText" dxfId="173" priority="238" operator="containsText" text="積水ハウス">
      <formula>NOT(ISERROR(SEARCH("積水ハウス",W1392)))</formula>
    </cfRule>
  </conditionalFormatting>
  <conditionalFormatting sqref="F1393">
    <cfRule type="containsText" dxfId="172" priority="236" operator="containsText" text="新潟県">
      <formula>NOT(ISERROR(SEARCH("新潟県",F1393)))</formula>
    </cfRule>
    <cfRule type="containsText" dxfId="171" priority="237" operator="containsText" text="北海道">
      <formula>NOT(ISERROR(SEARCH("北海道",F1393)))</formula>
    </cfRule>
  </conditionalFormatting>
  <conditionalFormatting sqref="Q1398">
    <cfRule type="cellIs" dxfId="170" priority="229" operator="greaterThanOrEqual">
      <formula>5000</formula>
    </cfRule>
  </conditionalFormatting>
  <conditionalFormatting sqref="R1393">
    <cfRule type="containsText" dxfId="169" priority="234" operator="containsText" text="積水ハウス">
      <formula>NOT(ISERROR(SEARCH("積水ハウス",R1393)))</formula>
    </cfRule>
  </conditionalFormatting>
  <conditionalFormatting sqref="AB1398:AC1398">
    <cfRule type="containsText" dxfId="168" priority="226" operator="containsText" text="積水ハウス">
      <formula>NOT(ISERROR(SEARCH("積水ハウス",AB1398)))</formula>
    </cfRule>
  </conditionalFormatting>
  <conditionalFormatting sqref="F1398">
    <cfRule type="containsText" dxfId="167" priority="230" operator="containsText" text="新潟県">
      <formula>NOT(ISERROR(SEARCH("新潟県",F1398)))</formula>
    </cfRule>
    <cfRule type="containsText" dxfId="166" priority="231" operator="containsText" text="北海道">
      <formula>NOT(ISERROR(SEARCH("北海道",F1398)))</formula>
    </cfRule>
  </conditionalFormatting>
  <conditionalFormatting sqref="R1398">
    <cfRule type="containsText" dxfId="165" priority="228" operator="containsText" text="積水ハウス">
      <formula>NOT(ISERROR(SEARCH("積水ハウス",R1398)))</formula>
    </cfRule>
  </conditionalFormatting>
  <conditionalFormatting sqref="F1414">
    <cfRule type="containsText" dxfId="164" priority="224" operator="containsText" text="新潟県">
      <formula>NOT(ISERROR(SEARCH("新潟県",F1414)))</formula>
    </cfRule>
    <cfRule type="containsText" dxfId="163" priority="225" operator="containsText" text="北海道">
      <formula>NOT(ISERROR(SEARCH("北海道",F1414)))</formula>
    </cfRule>
  </conditionalFormatting>
  <conditionalFormatting sqref="Q1414">
    <cfRule type="cellIs" dxfId="162" priority="223" operator="greaterThanOrEqual">
      <formula>5000</formula>
    </cfRule>
  </conditionalFormatting>
  <conditionalFormatting sqref="W1414">
    <cfRule type="containsText" dxfId="161" priority="221" operator="containsText" text="積水ハウス">
      <formula>NOT(ISERROR(SEARCH("積水ハウス",W1414)))</formula>
    </cfRule>
  </conditionalFormatting>
  <conditionalFormatting sqref="F1395">
    <cfRule type="containsText" dxfId="160" priority="216" operator="containsText" text="新潟県">
      <formula>NOT(ISERROR(SEARCH("新潟県",F1395)))</formula>
    </cfRule>
    <cfRule type="containsText" dxfId="159" priority="218" operator="containsText" text="北海道">
      <formula>NOT(ISERROR(SEARCH("北海道",F1395)))</formula>
    </cfRule>
  </conditionalFormatting>
  <conditionalFormatting sqref="F1395">
    <cfRule type="containsText" dxfId="158" priority="217" operator="containsText" text="北海道">
      <formula>NOT(ISERROR(SEARCH("北海道",F1395)))</formula>
    </cfRule>
  </conditionalFormatting>
  <conditionalFormatting sqref="Q1397">
    <cfRule type="cellIs" dxfId="157" priority="210" operator="greaterThanOrEqual">
      <formula>5000</formula>
    </cfRule>
  </conditionalFormatting>
  <conditionalFormatting sqref="AC1397">
    <cfRule type="containsText" dxfId="156" priority="207" operator="containsText" text="積水ハウス">
      <formula>NOT(ISERROR(SEARCH("積水ハウス",AC1397)))</formula>
    </cfRule>
  </conditionalFormatting>
  <conditionalFormatting sqref="F1397">
    <cfRule type="containsText" dxfId="155" priority="211" operator="containsText" text="新潟県">
      <formula>NOT(ISERROR(SEARCH("新潟県",F1397)))</formula>
    </cfRule>
    <cfRule type="containsText" dxfId="154" priority="212" operator="containsText" text="北海道">
      <formula>NOT(ISERROR(SEARCH("北海道",F1397)))</formula>
    </cfRule>
  </conditionalFormatting>
  <conditionalFormatting sqref="R1397">
    <cfRule type="containsText" dxfId="153" priority="209" operator="containsText" text="積水ハウス">
      <formula>NOT(ISERROR(SEARCH("積水ハウス",R1397)))</formula>
    </cfRule>
  </conditionalFormatting>
  <conditionalFormatting sqref="F1412">
    <cfRule type="containsText" dxfId="152" priority="206" operator="containsText" text="北海道">
      <formula>NOT(ISERROR(SEARCH("北海道",F1412)))</formula>
    </cfRule>
  </conditionalFormatting>
  <conditionalFormatting sqref="F1399">
    <cfRule type="containsText" dxfId="151" priority="205" operator="containsText" text="北海道">
      <formula>NOT(ISERROR(SEARCH("北海道",F1399)))</formula>
    </cfRule>
  </conditionalFormatting>
  <conditionalFormatting sqref="AB1413:AC1413">
    <cfRule type="containsText" dxfId="150" priority="199" operator="containsText" text="積水ハウス">
      <formula>NOT(ISERROR(SEARCH("積水ハウス",AB1413)))</formula>
    </cfRule>
  </conditionalFormatting>
  <conditionalFormatting sqref="F1413">
    <cfRule type="containsText" dxfId="149" priority="203" operator="containsText" text="新潟県">
      <formula>NOT(ISERROR(SEARCH("新潟県",F1413)))</formula>
    </cfRule>
    <cfRule type="containsText" dxfId="148" priority="204" operator="containsText" text="北海道">
      <formula>NOT(ISERROR(SEARCH("北海道",F1413)))</formula>
    </cfRule>
  </conditionalFormatting>
  <conditionalFormatting sqref="W1398">
    <cfRule type="containsText" dxfId="147" priority="197" operator="containsText" text="積水ハウス">
      <formula>NOT(ISERROR(SEARCH("積水ハウス",W1398)))</formula>
    </cfRule>
  </conditionalFormatting>
  <conditionalFormatting sqref="F1407">
    <cfRule type="containsText" dxfId="146" priority="194" operator="containsText" text="新潟県">
      <formula>NOT(ISERROR(SEARCH("新潟県",F1407)))</formula>
    </cfRule>
    <cfRule type="containsText" dxfId="145" priority="196" operator="containsText" text="北海道">
      <formula>NOT(ISERROR(SEARCH("北海道",F1407)))</formula>
    </cfRule>
  </conditionalFormatting>
  <conditionalFormatting sqref="F1407">
    <cfRule type="containsText" dxfId="144" priority="195" operator="containsText" text="北海道">
      <formula>NOT(ISERROR(SEARCH("北海道",F1407)))</formula>
    </cfRule>
  </conditionalFormatting>
  <conditionalFormatting sqref="F1401">
    <cfRule type="containsText" dxfId="143" priority="190" operator="containsText" text="新潟県">
      <formula>NOT(ISERROR(SEARCH("新潟県",F1401)))</formula>
    </cfRule>
    <cfRule type="containsText" dxfId="142" priority="192" operator="containsText" text="北海道">
      <formula>NOT(ISERROR(SEARCH("北海道",F1401)))</formula>
    </cfRule>
  </conditionalFormatting>
  <conditionalFormatting sqref="F1401">
    <cfRule type="containsText" dxfId="141" priority="191" operator="containsText" text="北海道">
      <formula>NOT(ISERROR(SEARCH("北海道",F1401)))</formula>
    </cfRule>
  </conditionalFormatting>
  <conditionalFormatting sqref="AB1400:AC1400">
    <cfRule type="containsText" dxfId="140" priority="188" operator="containsText" text="積水ハウス">
      <formula>NOT(ISERROR(SEARCH("積水ハウス",AB1400)))</formula>
    </cfRule>
  </conditionalFormatting>
  <conditionalFormatting sqref="F1385:F1387">
    <cfRule type="containsText" dxfId="139" priority="186" operator="containsText" text="新潟県">
      <formula>NOT(ISERROR(SEARCH("新潟県",F1385)))</formula>
    </cfRule>
    <cfRule type="containsText" dxfId="138" priority="187" operator="containsText" text="北海道">
      <formula>NOT(ISERROR(SEARCH("北海道",F1385)))</formula>
    </cfRule>
  </conditionalFormatting>
  <conditionalFormatting sqref="F1406">
    <cfRule type="containsText" dxfId="137" priority="185" operator="containsText" text="北海道">
      <formula>NOT(ISERROR(SEARCH("北海道",F1406)))</formula>
    </cfRule>
  </conditionalFormatting>
  <conditionalFormatting sqref="F1396">
    <cfRule type="containsText" dxfId="136" priority="182" operator="containsText" text="新潟県">
      <formula>NOT(ISERROR(SEARCH("新潟県",F1396)))</formula>
    </cfRule>
    <cfRule type="containsText" dxfId="135" priority="184" operator="containsText" text="北海道">
      <formula>NOT(ISERROR(SEARCH("北海道",F1396)))</formula>
    </cfRule>
  </conditionalFormatting>
  <conditionalFormatting sqref="F1396">
    <cfRule type="containsText" dxfId="134" priority="183" operator="containsText" text="北海道">
      <formula>NOT(ISERROR(SEARCH("北海道",F1396)))</formula>
    </cfRule>
  </conditionalFormatting>
  <conditionalFormatting sqref="F1422">
    <cfRule type="containsText" dxfId="133" priority="179" operator="containsText" text="新潟県">
      <formula>NOT(ISERROR(SEARCH("新潟県",F1422)))</formula>
    </cfRule>
    <cfRule type="containsText" dxfId="132" priority="181" operator="containsText" text="北海道">
      <formula>NOT(ISERROR(SEARCH("北海道",F1422)))</formula>
    </cfRule>
  </conditionalFormatting>
  <conditionalFormatting sqref="F1422">
    <cfRule type="containsText" dxfId="131" priority="180" operator="containsText" text="北海道">
      <formula>NOT(ISERROR(SEARCH("北海道",F1422)))</formula>
    </cfRule>
  </conditionalFormatting>
  <conditionalFormatting sqref="F1402">
    <cfRule type="containsText" dxfId="130" priority="178" operator="containsText" text="北海道">
      <formula>NOT(ISERROR(SEARCH("北海道",F1402)))</formula>
    </cfRule>
  </conditionalFormatting>
  <conditionalFormatting sqref="F1403">
    <cfRule type="containsText" dxfId="129" priority="177" operator="containsText" text="北海道">
      <formula>NOT(ISERROR(SEARCH("北海道",F1403)))</formula>
    </cfRule>
  </conditionalFormatting>
  <conditionalFormatting sqref="AB1403:AC1403">
    <cfRule type="containsText" dxfId="128" priority="176" operator="containsText" text="積水ハウス">
      <formula>NOT(ISERROR(SEARCH("積水ハウス",AB1403)))</formula>
    </cfRule>
  </conditionalFormatting>
  <conditionalFormatting sqref="F1404">
    <cfRule type="containsText" dxfId="127" priority="175" operator="containsText" text="北海道">
      <formula>NOT(ISERROR(SEARCH("北海道",F1404)))</formula>
    </cfRule>
  </conditionalFormatting>
  <conditionalFormatting sqref="Q1405">
    <cfRule type="cellIs" dxfId="126" priority="171" operator="greaterThanOrEqual">
      <formula>5000</formula>
    </cfRule>
  </conditionalFormatting>
  <conditionalFormatting sqref="W1405">
    <cfRule type="containsText" dxfId="125" priority="169" operator="containsText" text="積水ハウス">
      <formula>NOT(ISERROR(SEARCH("積水ハウス",W1405)))</formula>
    </cfRule>
  </conditionalFormatting>
  <conditionalFormatting sqref="AC1405">
    <cfRule type="containsText" dxfId="124" priority="168" operator="containsText" text="積水ハウス">
      <formula>NOT(ISERROR(SEARCH("積水ハウス",AC1405)))</formula>
    </cfRule>
  </conditionalFormatting>
  <conditionalFormatting sqref="F1405">
    <cfRule type="containsText" dxfId="123" priority="172" operator="containsText" text="新潟県">
      <formula>NOT(ISERROR(SEARCH("新潟県",F1405)))</formula>
    </cfRule>
    <cfRule type="containsText" dxfId="122" priority="173" operator="containsText" text="北海道">
      <formula>NOT(ISERROR(SEARCH("北海道",F1405)))</formula>
    </cfRule>
  </conditionalFormatting>
  <conditionalFormatting sqref="R1405">
    <cfRule type="containsText" dxfId="121" priority="170" operator="containsText" text="積水ハウス">
      <formula>NOT(ISERROR(SEARCH("積水ハウス",R1405)))</formula>
    </cfRule>
  </conditionalFormatting>
  <conditionalFormatting sqref="AB1402:AC1402">
    <cfRule type="containsText" dxfId="120" priority="166" operator="containsText" text="積水ハウス">
      <formula>NOT(ISERROR(SEARCH("積水ハウス",AB1402)))</formula>
    </cfRule>
  </conditionalFormatting>
  <conditionalFormatting sqref="F1377:F1378">
    <cfRule type="containsText" dxfId="119" priority="165" operator="containsText" text="北海道">
      <formula>NOT(ISERROR(SEARCH("北海道",F1377)))</formula>
    </cfRule>
  </conditionalFormatting>
  <conditionalFormatting sqref="F1377:F1378">
    <cfRule type="containsText" dxfId="118" priority="163" operator="containsText" text="新潟県">
      <formula>NOT(ISERROR(SEARCH("新潟県",F1377)))</formula>
    </cfRule>
    <cfRule type="containsText" dxfId="117" priority="164" operator="containsText" text="北海道">
      <formula>NOT(ISERROR(SEARCH("北海道",F1377)))</formula>
    </cfRule>
  </conditionalFormatting>
  <conditionalFormatting sqref="F1408">
    <cfRule type="containsText" dxfId="116" priority="162" operator="containsText" text="北海道">
      <formula>NOT(ISERROR(SEARCH("北海道",F1408)))</formula>
    </cfRule>
  </conditionalFormatting>
  <conditionalFormatting sqref="F1420">
    <cfRule type="containsText" dxfId="115" priority="161" operator="containsText" text="北海道">
      <formula>NOT(ISERROR(SEARCH("北海道",F1420)))</formula>
    </cfRule>
  </conditionalFormatting>
  <conditionalFormatting sqref="F1425">
    <cfRule type="containsText" dxfId="114" priority="160" operator="containsText" text="北海道">
      <formula>NOT(ISERROR(SEARCH("北海道",F1425)))</formula>
    </cfRule>
  </conditionalFormatting>
  <conditionalFormatting sqref="Q1412">
    <cfRule type="cellIs" dxfId="113" priority="153" operator="greaterThanOrEqual">
      <formula>5000</formula>
    </cfRule>
  </conditionalFormatting>
  <conditionalFormatting sqref="F1415">
    <cfRule type="containsText" dxfId="112" priority="152" operator="containsText" text="北海道">
      <formula>NOT(ISERROR(SEARCH("北海道",F1415)))</formula>
    </cfRule>
  </conditionalFormatting>
  <conditionalFormatting sqref="F1416">
    <cfRule type="containsText" dxfId="111" priority="149" operator="containsText" text="新潟県">
      <formula>NOT(ISERROR(SEARCH("新潟県",F1416)))</formula>
    </cfRule>
    <cfRule type="containsText" dxfId="110" priority="151" operator="containsText" text="北海道">
      <formula>NOT(ISERROR(SEARCH("北海道",F1416)))</formula>
    </cfRule>
  </conditionalFormatting>
  <conditionalFormatting sqref="F1416">
    <cfRule type="containsText" dxfId="109" priority="150" operator="containsText" text="北海道">
      <formula>NOT(ISERROR(SEARCH("北海道",F1416)))</formula>
    </cfRule>
  </conditionalFormatting>
  <conditionalFormatting sqref="Q1416">
    <cfRule type="cellIs" dxfId="108" priority="148" operator="greaterThanOrEqual">
      <formula>5000</formula>
    </cfRule>
  </conditionalFormatting>
  <conditionalFormatting sqref="AB1414">
    <cfRule type="containsText" dxfId="107" priority="147" operator="containsText" text="積水ハウス">
      <formula>NOT(ISERROR(SEARCH("積水ハウス",AB1414)))</formula>
    </cfRule>
  </conditionalFormatting>
  <conditionalFormatting sqref="AC1414">
    <cfRule type="containsText" dxfId="106" priority="146" operator="containsText" text="積水ハウス">
      <formula>NOT(ISERROR(SEARCH("積水ハウス",AC1414)))</formula>
    </cfRule>
  </conditionalFormatting>
  <conditionalFormatting sqref="R1414">
    <cfRule type="containsText" dxfId="105" priority="145" operator="containsText" text="積水ハウス">
      <formula>NOT(ISERROR(SEARCH("積水ハウス",R1414)))</formula>
    </cfRule>
  </conditionalFormatting>
  <conditionalFormatting sqref="R1413">
    <cfRule type="containsText" dxfId="104" priority="144" operator="containsText" text="積水ハウス">
      <formula>NOT(ISERROR(SEARCH("積水ハウス",R1413)))</formula>
    </cfRule>
  </conditionalFormatting>
  <conditionalFormatting sqref="Q1417">
    <cfRule type="cellIs" dxfId="103" priority="143" operator="greaterThanOrEqual">
      <formula>5000</formula>
    </cfRule>
  </conditionalFormatting>
  <conditionalFormatting sqref="Q1418">
    <cfRule type="cellIs" dxfId="102" priority="141" operator="greaterThanOrEqual">
      <formula>5000</formula>
    </cfRule>
  </conditionalFormatting>
  <conditionalFormatting sqref="Q1419">
    <cfRule type="cellIs" dxfId="101" priority="131" operator="greaterThanOrEqual">
      <formula>5000</formula>
    </cfRule>
  </conditionalFormatting>
  <conditionalFormatting sqref="F1419">
    <cfRule type="containsText" dxfId="100" priority="132" operator="containsText" text="新潟県">
      <formula>NOT(ISERROR(SEARCH("新潟県",F1419)))</formula>
    </cfRule>
    <cfRule type="containsText" dxfId="99" priority="133" operator="containsText" text="北海道">
      <formula>NOT(ISERROR(SEARCH("北海道",F1419)))</formula>
    </cfRule>
  </conditionalFormatting>
  <conditionalFormatting sqref="F1423">
    <cfRule type="containsText" dxfId="98" priority="127" operator="containsText" text="北海道">
      <formula>NOT(ISERROR(SEARCH("北海道",F1423)))</formula>
    </cfRule>
  </conditionalFormatting>
  <conditionalFormatting sqref="F1424">
    <cfRule type="containsText" dxfId="97" priority="124" operator="containsText" text="北海道">
      <formula>NOT(ISERROR(SEARCH("北海道",F1424)))</formula>
    </cfRule>
  </conditionalFormatting>
  <conditionalFormatting sqref="Q1424">
    <cfRule type="cellIs" dxfId="96" priority="123" operator="greaterThanOrEqual">
      <formula>5000</formula>
    </cfRule>
  </conditionalFormatting>
  <conditionalFormatting sqref="F1426">
    <cfRule type="containsText" dxfId="95" priority="121" operator="containsText" text="新潟県">
      <formula>NOT(ISERROR(SEARCH("新潟県",F1426)))</formula>
    </cfRule>
    <cfRule type="containsText" dxfId="94" priority="122" operator="containsText" text="北海道">
      <formula>NOT(ISERROR(SEARCH("北海道",F1426)))</formula>
    </cfRule>
  </conditionalFormatting>
  <conditionalFormatting sqref="F1461">
    <cfRule type="containsText" dxfId="93" priority="119" operator="containsText" text="新潟県">
      <formula>NOT(ISERROR(SEARCH("新潟県",F1461)))</formula>
    </cfRule>
    <cfRule type="containsText" dxfId="92" priority="120" operator="containsText" text="北海道">
      <formula>NOT(ISERROR(SEARCH("北海道",F1461)))</formula>
    </cfRule>
  </conditionalFormatting>
  <conditionalFormatting sqref="F1460">
    <cfRule type="containsText" dxfId="91" priority="117" operator="containsText" text="新潟県">
      <formula>NOT(ISERROR(SEARCH("新潟県",F1460)))</formula>
    </cfRule>
    <cfRule type="containsText" dxfId="90" priority="118" operator="containsText" text="北海道">
      <formula>NOT(ISERROR(SEARCH("北海道",F1460)))</formula>
    </cfRule>
  </conditionalFormatting>
  <conditionalFormatting sqref="F1473">
    <cfRule type="containsText" dxfId="89" priority="115" operator="containsText" text="新潟県">
      <formula>NOT(ISERROR(SEARCH("新潟県",F1473)))</formula>
    </cfRule>
    <cfRule type="containsText" dxfId="88" priority="116" operator="containsText" text="北海道">
      <formula>NOT(ISERROR(SEARCH("北海道",F1473)))</formula>
    </cfRule>
  </conditionalFormatting>
  <conditionalFormatting sqref="F1431">
    <cfRule type="containsText" dxfId="87" priority="113" operator="containsText" text="新潟県">
      <formula>NOT(ISERROR(SEARCH("新潟県",F1431)))</formula>
    </cfRule>
    <cfRule type="containsText" dxfId="86" priority="114" operator="containsText" text="北海道">
      <formula>NOT(ISERROR(SEARCH("北海道",F1431)))</formula>
    </cfRule>
  </conditionalFormatting>
  <conditionalFormatting sqref="F1453">
    <cfRule type="containsText" dxfId="85" priority="111" operator="containsText" text="新潟県">
      <formula>NOT(ISERROR(SEARCH("新潟県",F1453)))</formula>
    </cfRule>
    <cfRule type="containsText" dxfId="84" priority="112" operator="containsText" text="北海道">
      <formula>NOT(ISERROR(SEARCH("北海道",F1453)))</formula>
    </cfRule>
  </conditionalFormatting>
  <conditionalFormatting sqref="F1435">
    <cfRule type="containsText" dxfId="83" priority="109" operator="containsText" text="新潟県">
      <formula>NOT(ISERROR(SEARCH("新潟県",F1435)))</formula>
    </cfRule>
    <cfRule type="containsText" dxfId="82" priority="110" operator="containsText" text="北海道">
      <formula>NOT(ISERROR(SEARCH("北海道",F1435)))</formula>
    </cfRule>
  </conditionalFormatting>
  <conditionalFormatting sqref="Q1461">
    <cfRule type="cellIs" dxfId="81" priority="108" operator="greaterThanOrEqual">
      <formula>5000</formula>
    </cfRule>
  </conditionalFormatting>
  <conditionalFormatting sqref="AB1428:AC1428">
    <cfRule type="containsText" dxfId="80" priority="102" operator="containsText" text="積水ハウス">
      <formula>NOT(ISERROR(SEARCH("積水ハウス",AB1428)))</formula>
    </cfRule>
  </conditionalFormatting>
  <conditionalFormatting sqref="F1428">
    <cfRule type="containsText" dxfId="79" priority="106" operator="containsText" text="新潟県">
      <formula>NOT(ISERROR(SEARCH("新潟県",F1428)))</formula>
    </cfRule>
    <cfRule type="containsText" dxfId="78" priority="107" operator="containsText" text="北海道">
      <formula>NOT(ISERROR(SEARCH("北海道",F1428)))</formula>
    </cfRule>
  </conditionalFormatting>
  <conditionalFormatting sqref="R1428">
    <cfRule type="containsText" dxfId="77" priority="104" operator="containsText" text="積水ハウス">
      <formula>NOT(ISERROR(SEARCH("積水ハウス",R1428)))</formula>
    </cfRule>
  </conditionalFormatting>
  <conditionalFormatting sqref="F1427">
    <cfRule type="containsText" dxfId="76" priority="100" operator="containsText" text="北海道">
      <formula>NOT(ISERROR(SEARCH("北海道",F1427)))</formula>
    </cfRule>
  </conditionalFormatting>
  <conditionalFormatting sqref="F1433">
    <cfRule type="containsText" dxfId="75" priority="93" operator="containsText" text="北海道">
      <formula>NOT(ISERROR(SEARCH("北海道",F1433)))</formula>
    </cfRule>
  </conditionalFormatting>
  <conditionalFormatting sqref="Q1429">
    <cfRule type="cellIs" dxfId="74" priority="90" operator="greaterThanOrEqual">
      <formula>5000</formula>
    </cfRule>
  </conditionalFormatting>
  <conditionalFormatting sqref="F1429">
    <cfRule type="containsText" dxfId="73" priority="86" operator="containsText" text="北海道">
      <formula>NOT(ISERROR(SEARCH("北海道",F1429)))</formula>
    </cfRule>
  </conditionalFormatting>
  <conditionalFormatting sqref="F1475">
    <cfRule type="containsText" dxfId="72" priority="80" operator="containsText" text="新潟県">
      <formula>NOT(ISERROR(SEARCH("新潟県",F1475)))</formula>
    </cfRule>
    <cfRule type="containsText" dxfId="71" priority="82" operator="containsText" text="北海道">
      <formula>NOT(ISERROR(SEARCH("北海道",F1475)))</formula>
    </cfRule>
  </conditionalFormatting>
  <conditionalFormatting sqref="F1475">
    <cfRule type="containsText" dxfId="70" priority="81" operator="containsText" text="北海道">
      <formula>NOT(ISERROR(SEARCH("北海道",F1475)))</formula>
    </cfRule>
  </conditionalFormatting>
  <conditionalFormatting sqref="F1466 F1468">
    <cfRule type="containsText" dxfId="69" priority="79" operator="containsText" text="北海道">
      <formula>NOT(ISERROR(SEARCH("北海道",F1466)))</formula>
    </cfRule>
  </conditionalFormatting>
  <conditionalFormatting sqref="F1436">
    <cfRule type="containsText" dxfId="68" priority="78" operator="containsText" text="北海道">
      <formula>NOT(ISERROR(SEARCH("北海道",F1436)))</formula>
    </cfRule>
  </conditionalFormatting>
  <conditionalFormatting sqref="F1430">
    <cfRule type="containsText" dxfId="67" priority="77" operator="containsText" text="北海道">
      <formula>NOT(ISERROR(SEARCH("北海道",F1430)))</formula>
    </cfRule>
  </conditionalFormatting>
  <conditionalFormatting sqref="F1438">
    <cfRule type="containsText" dxfId="66" priority="76" operator="containsText" text="北海道">
      <formula>NOT(ISERROR(SEARCH("北海道",F1438)))</formula>
    </cfRule>
  </conditionalFormatting>
  <conditionalFormatting sqref="W1438">
    <cfRule type="containsText" dxfId="65" priority="74" operator="containsText" text="積水ハウス">
      <formula>NOT(ISERROR(SEARCH("積水ハウス",W1438)))</formula>
    </cfRule>
  </conditionalFormatting>
  <conditionalFormatting sqref="AC1429">
    <cfRule type="containsText" dxfId="64" priority="72" operator="containsText" text="積水ハウス">
      <formula>NOT(ISERROR(SEARCH("積水ハウス",AC1429)))</formula>
    </cfRule>
  </conditionalFormatting>
  <conditionalFormatting sqref="AB1430:AC1430">
    <cfRule type="containsText" dxfId="63" priority="71" operator="containsText" text="積水ハウス">
      <formula>NOT(ISERROR(SEARCH("積水ハウス",AB1430)))</formula>
    </cfRule>
  </conditionalFormatting>
  <conditionalFormatting sqref="F1469">
    <cfRule type="containsText" dxfId="62" priority="70" operator="containsText" text="北海道">
      <formula>NOT(ISERROR(SEARCH("北海道",F1469)))</formula>
    </cfRule>
  </conditionalFormatting>
  <conditionalFormatting sqref="R1430">
    <cfRule type="containsText" dxfId="61" priority="69" operator="containsText" text="積水ハウス">
      <formula>NOT(ISERROR(SEARCH("積水ハウス",R1430)))</formula>
    </cfRule>
  </conditionalFormatting>
  <conditionalFormatting sqref="F1437">
    <cfRule type="containsText" dxfId="60" priority="68" operator="containsText" text="北海道">
      <formula>NOT(ISERROR(SEARCH("北海道",F1437)))</formula>
    </cfRule>
  </conditionalFormatting>
  <conditionalFormatting sqref="W1397">
    <cfRule type="containsText" dxfId="59" priority="67" operator="containsText" text="積水ハウス">
      <formula>NOT(ISERROR(SEARCH("積水ハウス",W1397)))</formula>
    </cfRule>
  </conditionalFormatting>
  <conditionalFormatting sqref="F1432">
    <cfRule type="containsText" dxfId="58" priority="66" operator="containsText" text="北海道">
      <formula>NOT(ISERROR(SEARCH("北海道",F1432)))</formula>
    </cfRule>
  </conditionalFormatting>
  <conditionalFormatting sqref="Q1431">
    <cfRule type="cellIs" dxfId="57" priority="65" operator="greaterThanOrEqual">
      <formula>5000</formula>
    </cfRule>
  </conditionalFormatting>
  <conditionalFormatting sqref="Q1448">
    <cfRule type="cellIs" dxfId="56" priority="62" operator="greaterThanOrEqual">
      <formula>5000</formula>
    </cfRule>
  </conditionalFormatting>
  <conditionalFormatting sqref="W1434 W1448">
    <cfRule type="containsText" dxfId="55" priority="60" operator="containsText" text="積水ハウス">
      <formula>NOT(ISERROR(SEARCH("積水ハウス",W1434)))</formula>
    </cfRule>
  </conditionalFormatting>
  <conditionalFormatting sqref="AB1434:AC1434 AB1448:AC1448">
    <cfRule type="containsText" dxfId="54" priority="59" operator="containsText" text="積水ハウス">
      <formula>NOT(ISERROR(SEARCH("積水ハウス",AB1434)))</formula>
    </cfRule>
  </conditionalFormatting>
  <conditionalFormatting sqref="F1448">
    <cfRule type="containsText" dxfId="53" priority="63" operator="containsText" text="新潟県">
      <formula>NOT(ISERROR(SEARCH("新潟県",F1448)))</formula>
    </cfRule>
    <cfRule type="containsText" dxfId="52" priority="64" operator="containsText" text="北海道">
      <formula>NOT(ISERROR(SEARCH("北海道",F1448)))</formula>
    </cfRule>
  </conditionalFormatting>
  <conditionalFormatting sqref="R1448">
    <cfRule type="containsText" dxfId="51" priority="61" operator="containsText" text="積水ハウス">
      <formula>NOT(ISERROR(SEARCH("積水ハウス",R1448)))</formula>
    </cfRule>
  </conditionalFormatting>
  <conditionalFormatting sqref="F1470">
    <cfRule type="containsText" dxfId="50" priority="52" operator="containsText" text="新潟県">
      <formula>NOT(ISERROR(SEARCH("新潟県",F1470)))</formula>
    </cfRule>
    <cfRule type="containsText" dxfId="49" priority="54" operator="containsText" text="北海道">
      <formula>NOT(ISERROR(SEARCH("北海道",F1470)))</formula>
    </cfRule>
  </conditionalFormatting>
  <conditionalFormatting sqref="F1470">
    <cfRule type="containsText" dxfId="48" priority="53" operator="containsText" text="北海道">
      <formula>NOT(ISERROR(SEARCH("北海道",F1470)))</formula>
    </cfRule>
  </conditionalFormatting>
  <conditionalFormatting sqref="F1439">
    <cfRule type="containsText" dxfId="47" priority="50" operator="containsText" text="北海道">
      <formula>NOT(ISERROR(SEARCH("北海道",F1439)))</formula>
    </cfRule>
  </conditionalFormatting>
  <conditionalFormatting sqref="F1459">
    <cfRule type="containsText" dxfId="46" priority="49" operator="containsText" text="北海道">
      <formula>NOT(ISERROR(SEARCH("北海道",F1459)))</formula>
    </cfRule>
  </conditionalFormatting>
  <conditionalFormatting sqref="F1457">
    <cfRule type="containsText" dxfId="45" priority="48" operator="containsText" text="北海道">
      <formula>NOT(ISERROR(SEARCH("北海道",F1457)))</formula>
    </cfRule>
  </conditionalFormatting>
  <conditionalFormatting sqref="F1442">
    <cfRule type="containsText" dxfId="44" priority="45" operator="containsText" text="新潟県">
      <formula>NOT(ISERROR(SEARCH("新潟県",F1442)))</formula>
    </cfRule>
    <cfRule type="containsText" dxfId="43" priority="47" operator="containsText" text="北海道">
      <formula>NOT(ISERROR(SEARCH("北海道",F1442)))</formula>
    </cfRule>
  </conditionalFormatting>
  <conditionalFormatting sqref="F1442">
    <cfRule type="containsText" dxfId="42" priority="46" operator="containsText" text="北海道">
      <formula>NOT(ISERROR(SEARCH("北海道",F1442)))</formula>
    </cfRule>
  </conditionalFormatting>
  <conditionalFormatting sqref="F1443">
    <cfRule type="containsText" dxfId="41" priority="44" operator="containsText" text="北海道">
      <formula>NOT(ISERROR(SEARCH("北海道",F1443)))</formula>
    </cfRule>
  </conditionalFormatting>
  <conditionalFormatting sqref="F1444">
    <cfRule type="containsText" dxfId="40" priority="43" operator="containsText" text="北海道">
      <formula>NOT(ISERROR(SEARCH("北海道",F1444)))</formula>
    </cfRule>
  </conditionalFormatting>
  <conditionalFormatting sqref="F1441">
    <cfRule type="containsText" dxfId="39" priority="35" operator="containsText" text="新潟県">
      <formula>NOT(ISERROR(SEARCH("新潟県",F1441)))</formula>
    </cfRule>
    <cfRule type="containsText" dxfId="38" priority="36" operator="containsText" text="北海道">
      <formula>NOT(ISERROR(SEARCH("北海道",F1441)))</formula>
    </cfRule>
  </conditionalFormatting>
  <conditionalFormatting sqref="F1455:F1456">
    <cfRule type="containsText" dxfId="37" priority="32" operator="containsText" text="新潟県">
      <formula>NOT(ISERROR(SEARCH("新潟県",F1455)))</formula>
    </cfRule>
    <cfRule type="containsText" dxfId="36" priority="34" operator="containsText" text="北海道">
      <formula>NOT(ISERROR(SEARCH("北海道",F1455)))</formula>
    </cfRule>
  </conditionalFormatting>
  <conditionalFormatting sqref="F1455:F1456">
    <cfRule type="containsText" dxfId="35" priority="33" operator="containsText" text="北海道">
      <formula>NOT(ISERROR(SEARCH("北海道",F1455)))</formula>
    </cfRule>
  </conditionalFormatting>
  <conditionalFormatting sqref="K1449:L1449">
    <cfRule type="duplicateValues" dxfId="34" priority="31"/>
  </conditionalFormatting>
  <conditionalFormatting sqref="K1455:L1455">
    <cfRule type="duplicateValues" dxfId="33" priority="30"/>
  </conditionalFormatting>
  <conditionalFormatting sqref="K1456:L1456">
    <cfRule type="duplicateValues" dxfId="32" priority="29"/>
  </conditionalFormatting>
  <conditionalFormatting sqref="F1445">
    <cfRule type="containsText" dxfId="31" priority="28" operator="containsText" text="北海道">
      <formula>NOT(ISERROR(SEARCH("北海道",F1445)))</formula>
    </cfRule>
  </conditionalFormatting>
  <conditionalFormatting sqref="F1462">
    <cfRule type="containsText" dxfId="30" priority="27" operator="containsText" text="北海道">
      <formula>NOT(ISERROR(SEARCH("北海道",F1462)))</formula>
    </cfRule>
  </conditionalFormatting>
  <conditionalFormatting sqref="F1463">
    <cfRule type="containsText" dxfId="29" priority="26" operator="containsText" text="北海道">
      <formula>NOT(ISERROR(SEARCH("北海道",F1463)))</formula>
    </cfRule>
  </conditionalFormatting>
  <conditionalFormatting sqref="K1463:L1463">
    <cfRule type="duplicateValues" dxfId="28" priority="25"/>
  </conditionalFormatting>
  <conditionalFormatting sqref="W1463">
    <cfRule type="containsText" dxfId="27" priority="24" operator="containsText" text="積水ハウス">
      <formula>NOT(ISERROR(SEARCH("積水ハウス",W1463)))</formula>
    </cfRule>
  </conditionalFormatting>
  <conditionalFormatting sqref="F1467">
    <cfRule type="containsText" dxfId="26" priority="21" operator="containsText" text="新潟県">
      <formula>NOT(ISERROR(SEARCH("新潟県",F1467)))</formula>
    </cfRule>
    <cfRule type="containsText" dxfId="25" priority="23" operator="containsText" text="北海道">
      <formula>NOT(ISERROR(SEARCH("北海道",F1467)))</formula>
    </cfRule>
  </conditionalFormatting>
  <conditionalFormatting sqref="F1467">
    <cfRule type="containsText" dxfId="24" priority="22" operator="containsText" text="北海道">
      <formula>NOT(ISERROR(SEARCH("北海道",F1467)))</formula>
    </cfRule>
  </conditionalFormatting>
  <conditionalFormatting sqref="F1464">
    <cfRule type="containsText" dxfId="23" priority="18" operator="containsText" text="新潟県">
      <formula>NOT(ISERROR(SEARCH("新潟県",F1464)))</formula>
    </cfRule>
    <cfRule type="containsText" dxfId="22" priority="20" operator="containsText" text="北海道">
      <formula>NOT(ISERROR(SEARCH("北海道",F1464)))</formula>
    </cfRule>
  </conditionalFormatting>
  <conditionalFormatting sqref="F1464">
    <cfRule type="containsText" dxfId="21" priority="19" operator="containsText" text="北海道">
      <formula>NOT(ISERROR(SEARCH("北海道",F1464)))</formula>
    </cfRule>
  </conditionalFormatting>
  <conditionalFormatting sqref="F1458">
    <cfRule type="containsText" dxfId="20" priority="15" operator="containsText" text="新潟県">
      <formula>NOT(ISERROR(SEARCH("新潟県",F1458)))</formula>
    </cfRule>
    <cfRule type="containsText" dxfId="19" priority="17" operator="containsText" text="北海道">
      <formula>NOT(ISERROR(SEARCH("北海道",F1458)))</formula>
    </cfRule>
  </conditionalFormatting>
  <conditionalFormatting sqref="F1458">
    <cfRule type="containsText" dxfId="18" priority="16" operator="containsText" text="北海道">
      <formula>NOT(ISERROR(SEARCH("北海道",F1458)))</formula>
    </cfRule>
  </conditionalFormatting>
  <conditionalFormatting sqref="F1454">
    <cfRule type="containsText" dxfId="17" priority="12" operator="containsText" text="新潟県">
      <formula>NOT(ISERROR(SEARCH("新潟県",F1454)))</formula>
    </cfRule>
    <cfRule type="containsText" dxfId="16" priority="14" operator="containsText" text="北海道">
      <formula>NOT(ISERROR(SEARCH("北海道",F1454)))</formula>
    </cfRule>
  </conditionalFormatting>
  <conditionalFormatting sqref="F1454">
    <cfRule type="containsText" dxfId="15" priority="13" operator="containsText" text="北海道">
      <formula>NOT(ISERROR(SEARCH("北海道",F1454)))</formula>
    </cfRule>
  </conditionalFormatting>
  <conditionalFormatting sqref="F1446">
    <cfRule type="containsText" dxfId="14" priority="9" operator="containsText" text="新潟県">
      <formula>NOT(ISERROR(SEARCH("新潟県",F1446)))</formula>
    </cfRule>
    <cfRule type="containsText" dxfId="13" priority="11" operator="containsText" text="北海道">
      <formula>NOT(ISERROR(SEARCH("北海道",F1446)))</formula>
    </cfRule>
  </conditionalFormatting>
  <conditionalFormatting sqref="F1446">
    <cfRule type="containsText" dxfId="12" priority="10" operator="containsText" text="北海道">
      <formula>NOT(ISERROR(SEARCH("北海道",F1446)))</formula>
    </cfRule>
  </conditionalFormatting>
  <conditionalFormatting sqref="AB1447">
    <cfRule type="containsText" dxfId="11" priority="3" operator="containsText" text="積水ハウス">
      <formula>NOT(ISERROR(SEARCH("積水ハウス",AB1447)))</formula>
    </cfRule>
  </conditionalFormatting>
  <conditionalFormatting sqref="F1447">
    <cfRule type="containsText" dxfId="10" priority="7" operator="containsText" text="新潟県">
      <formula>NOT(ISERROR(SEARCH("新潟県",F1447)))</formula>
    </cfRule>
    <cfRule type="containsText" dxfId="9" priority="8" operator="containsText" text="北海道">
      <formula>NOT(ISERROR(SEARCH("北海道",F1447)))</formula>
    </cfRule>
  </conditionalFormatting>
  <conditionalFormatting sqref="R1447">
    <cfRule type="containsText" dxfId="8" priority="5" operator="containsText" text="積水ハウス">
      <formula>NOT(ISERROR(SEARCH("積水ハウス",R1447)))</formula>
    </cfRule>
  </conditionalFormatting>
  <conditionalFormatting sqref="K1464">
    <cfRule type="duplicateValues" dxfId="7" priority="2"/>
  </conditionalFormatting>
  <conditionalFormatting sqref="L1464">
    <cfRule type="duplicateValues" dxfId="6" priority="1"/>
  </conditionalFormatting>
  <hyperlinks>
    <hyperlink ref="BX966" location="土間厚200超!A1" display="○"/>
    <hyperlink ref="BX1068" location="土間厚200超!A1" display="○"/>
    <hyperlink ref="BX1084" location="土間厚200超!A1" display="○"/>
    <hyperlink ref="BX1095" location="土間厚200超!A1" display="○"/>
    <hyperlink ref="BX1096" location="土間厚200超!A1" display="○"/>
    <hyperlink ref="BX1178" location="土間厚200超!A1" display="○"/>
    <hyperlink ref="BX1254" location="土間厚200超!A1" display="○"/>
    <hyperlink ref="BX1283" location="土間厚200超!A1" display="○"/>
    <hyperlink ref="BX1328" location="土間厚200超!A1" display="○"/>
    <hyperlink ref="BX1335" location="土間厚200超!A1" display="○"/>
    <hyperlink ref="BX1349" location="土間厚200超!A1" display="○"/>
  </hyperlinks>
  <pageMargins left="0.70866141732283472" right="0.70866141732283472" top="0.74803149606299213" bottom="0.74803149606299213" header="0.31496062992125984" footer="0.31496062992125984"/>
  <pageSetup paperSize="8" orientation="landscape" r:id="rId1"/>
  <rowBreaks count="2" manualBreakCount="2">
    <brk id="1257" min="1" max="68" man="1"/>
    <brk id="1473" min="1" max="68" man="1"/>
  </rowBreaks>
  <colBreaks count="2" manualBreakCount="2">
    <brk id="26" max="1448" man="1"/>
    <brk id="33" max="1448" man="1"/>
  </colBreaks>
  <legacyDrawing r:id="rId2"/>
  <extLst>
    <ext xmlns:x14="http://schemas.microsoft.com/office/spreadsheetml/2009/9/main" uri="{78C0D931-6437-407d-A8EE-F0AAD7539E65}">
      <x14:conditionalFormattings>
        <x14:conditionalFormatting xmlns:xm="http://schemas.microsoft.com/office/excel/2006/main">
          <x14:cfRule type="expression" priority="509" id="{E700E6C0-F844-459C-B05A-4685FD40E419}">
            <xm:f>$R$1488&lt;&gt;設計事務所!$B$999</xm:f>
            <x14:dxf>
              <font>
                <color theme="0"/>
              </font>
              <fill>
                <patternFill>
                  <bgColor rgb="FFFF0000"/>
                </patternFill>
              </fill>
            </x14:dxf>
          </x14:cfRule>
          <xm:sqref>R1488</xm:sqref>
        </x14:conditionalFormatting>
        <x14:conditionalFormatting xmlns:xm="http://schemas.microsoft.com/office/excel/2006/main">
          <x14:cfRule type="expression" priority="508" id="{7F6C3E74-A448-41BF-A254-21800458C283}">
            <xm:f>$W$1488&lt;&gt;設計事務所!$C$999</xm:f>
            <x14:dxf>
              <font>
                <color theme="0"/>
              </font>
              <fill>
                <patternFill>
                  <bgColor rgb="FFFF0000"/>
                </patternFill>
              </fill>
            </x14:dxf>
          </x14:cfRule>
          <xm:sqref>W1488</xm:sqref>
        </x14:conditionalFormatting>
        <x14:conditionalFormatting xmlns:xm="http://schemas.microsoft.com/office/excel/2006/main">
          <x14:cfRule type="expression" priority="507" id="{2323302A-9B52-424C-B280-8B6BE26F3E42}">
            <xm:f>$AB$1488&lt;&gt;設計事務所!$D$999</xm:f>
            <x14:dxf>
              <font>
                <color theme="0"/>
              </font>
              <fill>
                <patternFill>
                  <bgColor rgb="FFFF0000"/>
                </patternFill>
              </fill>
            </x14:dxf>
          </x14:cfRule>
          <xm:sqref>AB1488</xm:sqref>
        </x14:conditionalFormatting>
        <x14:conditionalFormatting xmlns:xm="http://schemas.microsoft.com/office/excel/2006/main">
          <x14:cfRule type="expression" priority="506" id="{1D486AAA-F576-4C8F-84FF-FE4C0225CCEE}">
            <xm:f>$AD$1488&lt;&gt;審査機関!$O$63</xm:f>
            <x14:dxf>
              <font>
                <color theme="0"/>
              </font>
              <fill>
                <patternFill>
                  <bgColor rgb="FFFF0000"/>
                </patternFill>
              </fill>
            </x14:dxf>
          </x14:cfRule>
          <xm:sqref>AD1488</xm:sqref>
        </x14:conditionalFormatting>
        <x14:conditionalFormatting xmlns:xm="http://schemas.microsoft.com/office/excel/2006/main">
          <x14:cfRule type="expression" priority="505" id="{776A11C1-137F-411E-A35F-4FBE277CE14D}">
            <xm:f>$AE$1488&lt;&gt;審査機関!$Q$63</xm:f>
            <x14:dxf>
              <font>
                <color theme="0"/>
              </font>
              <fill>
                <patternFill>
                  <bgColor rgb="FFFF0000"/>
                </patternFill>
              </fill>
            </x14:dxf>
          </x14:cfRule>
          <xm:sqref>AE1488</xm:sqref>
        </x14:conditionalFormatting>
        <x14:conditionalFormatting xmlns:xm="http://schemas.microsoft.com/office/excel/2006/main">
          <x14:cfRule type="expression" priority="411" id="{AD98D941-122E-4E02-91F5-099D9541DEDC}">
            <xm:f>$R$1488&lt;&gt;設計事務所!$B$999</xm:f>
            <x14:dxf>
              <font>
                <color theme="0"/>
              </font>
              <fill>
                <patternFill>
                  <bgColor rgb="FFFF0000"/>
                </patternFill>
              </fill>
            </x14:dxf>
          </x14:cfRule>
          <xm:sqref>R1490:T1490</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FF00"/>
  </sheetPr>
  <dimension ref="A1:EY169"/>
  <sheetViews>
    <sheetView showZeros="0" view="pageBreakPreview" zoomScale="40" zoomScaleNormal="40" zoomScaleSheetLayoutView="40" workbookViewId="0">
      <pane xSplit="20" ySplit="5" topLeftCell="U75" activePane="bottomRight" state="frozen"/>
      <selection pane="topRight" activeCell="U1" sqref="U1"/>
      <selection pane="bottomLeft" activeCell="A6" sqref="A6"/>
      <selection pane="bottomRight" activeCell="AB60" sqref="AB60:AD61"/>
    </sheetView>
  </sheetViews>
  <sheetFormatPr defaultColWidth="9" defaultRowHeight="24" outlineLevelCol="1"/>
  <cols>
    <col min="1" max="1" width="40.75" style="14" customWidth="1"/>
    <col min="2" max="3" width="6.625" style="14" customWidth="1"/>
    <col min="4" max="5" width="4.625" style="14" customWidth="1"/>
    <col min="6" max="23" width="5.625" style="14" customWidth="1"/>
    <col min="24" max="24" width="6.625" style="14" customWidth="1"/>
    <col min="25" max="35" width="5.625" style="14" customWidth="1"/>
    <col min="36" max="38" width="5.625" style="93" customWidth="1"/>
    <col min="39" max="40" width="5.625" style="14" customWidth="1"/>
    <col min="41" max="41" width="12.5" style="14" customWidth="1"/>
    <col min="42" max="55" width="5.625" style="14" customWidth="1"/>
    <col min="56" max="57" width="7.625" style="14" customWidth="1"/>
    <col min="58" max="58" width="14.625" style="14" customWidth="1"/>
    <col min="59" max="59" width="5.625" style="14" customWidth="1"/>
    <col min="60" max="60" width="14" style="14" customWidth="1"/>
    <col min="61" max="71" width="5.625" style="14" customWidth="1"/>
    <col min="72" max="75" width="14.625" style="14" hidden="1" customWidth="1" outlineLevel="1"/>
    <col min="76" max="76" width="5.625" style="14" customWidth="1" collapsed="1"/>
    <col min="77" max="77" width="48.125" style="14" customWidth="1"/>
    <col min="78" max="81" width="5.625" style="14" customWidth="1"/>
    <col min="82" max="82" width="19.125" style="14" customWidth="1"/>
    <col min="83" max="83" width="76" style="14" customWidth="1"/>
    <col min="84" max="85" width="25.125" style="95" customWidth="1"/>
    <col min="86" max="87" width="5.625" style="43" customWidth="1"/>
    <col min="88" max="114" width="5.625" style="14" customWidth="1"/>
    <col min="115" max="16384" width="9" style="14"/>
  </cols>
  <sheetData>
    <row r="1" spans="2:114" ht="161.25" customHeight="1"/>
    <row r="2" spans="2:114" ht="39.950000000000003" customHeight="1">
      <c r="B2" s="2469" t="s">
        <v>5453</v>
      </c>
      <c r="C2" s="2469"/>
      <c r="D2" s="2469"/>
      <c r="E2" s="2469"/>
      <c r="F2" s="2469"/>
      <c r="G2" s="2469"/>
      <c r="H2" s="2469"/>
      <c r="I2" s="2469"/>
      <c r="J2" s="2469"/>
      <c r="K2" s="2469"/>
      <c r="L2" s="2469"/>
      <c r="M2" s="2469"/>
      <c r="N2" s="2469"/>
      <c r="O2" s="2469"/>
      <c r="P2" s="2469"/>
      <c r="Q2" s="2469"/>
      <c r="R2" s="2469"/>
      <c r="S2" s="2469"/>
      <c r="T2" s="2469"/>
      <c r="U2" s="2469"/>
      <c r="V2" s="2469"/>
      <c r="W2" s="2469"/>
      <c r="X2" s="2469"/>
      <c r="Y2" s="2469"/>
      <c r="Z2" s="2469"/>
      <c r="AA2" s="2469"/>
      <c r="AB2" s="2469"/>
      <c r="AC2" s="2469"/>
      <c r="AD2" s="2469"/>
      <c r="AE2" s="2469"/>
      <c r="AF2" s="2469"/>
      <c r="AG2" s="2469"/>
      <c r="AH2" s="2469"/>
      <c r="AI2" s="2469"/>
      <c r="AJ2" s="2469"/>
      <c r="AK2" s="2469"/>
      <c r="AL2" s="2469"/>
      <c r="AM2" s="2469"/>
      <c r="AN2" s="2469"/>
      <c r="AO2" s="2469"/>
      <c r="AP2" s="2469"/>
      <c r="AQ2" s="2469"/>
      <c r="AR2" s="2469"/>
      <c r="AS2" s="2469"/>
      <c r="AT2" s="2469"/>
      <c r="AU2" s="2469"/>
      <c r="AV2" s="2469"/>
      <c r="AW2" s="2469"/>
      <c r="AX2" s="2469"/>
      <c r="AY2" s="2469"/>
      <c r="AZ2" s="2469"/>
      <c r="BA2" s="2469"/>
      <c r="BB2" s="2469"/>
      <c r="BC2" s="2469"/>
      <c r="BD2" s="2469"/>
      <c r="BE2" s="2469"/>
      <c r="BF2" s="2469"/>
      <c r="BG2" s="2469"/>
      <c r="BH2" s="2469"/>
      <c r="BI2" s="2469"/>
      <c r="BJ2" s="2469"/>
      <c r="BK2" s="2469"/>
      <c r="BL2" s="2469"/>
      <c r="BM2" s="2469"/>
      <c r="BN2" s="2469"/>
      <c r="BO2" s="2469"/>
      <c r="BP2" s="2469"/>
      <c r="BQ2" s="2469"/>
      <c r="BR2" s="2469"/>
      <c r="BS2" s="2469"/>
      <c r="BT2" s="2469"/>
      <c r="BU2" s="2469"/>
      <c r="BV2" s="2469"/>
      <c r="BW2" s="2469"/>
      <c r="BX2" s="2469"/>
      <c r="BY2" s="2469"/>
      <c r="BZ2" s="2469"/>
      <c r="CA2" s="2469"/>
      <c r="CB2" s="2469"/>
      <c r="CH2" s="14"/>
      <c r="CI2" s="14"/>
      <c r="CK2" s="104"/>
      <c r="CL2" s="18"/>
      <c r="CM2" s="18"/>
      <c r="CN2" s="103"/>
      <c r="CO2" s="103"/>
      <c r="CP2" s="103"/>
      <c r="CQ2" s="103"/>
      <c r="CR2" s="103"/>
      <c r="CS2" s="103"/>
      <c r="CT2" s="103"/>
      <c r="CU2" s="103"/>
      <c r="CV2" s="103"/>
      <c r="CW2" s="103"/>
      <c r="CX2" s="103"/>
      <c r="CY2" s="44"/>
      <c r="CZ2" s="44"/>
      <c r="DA2" s="44"/>
      <c r="DB2" s="103"/>
      <c r="DC2" s="103"/>
      <c r="DD2" s="103"/>
      <c r="DE2" s="103"/>
      <c r="DF2" s="103"/>
      <c r="DG2" s="103"/>
    </row>
    <row r="3" spans="2:114" ht="39.950000000000003" customHeight="1" thickBot="1">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90"/>
      <c r="AK3" s="90"/>
      <c r="AL3" s="90"/>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2481">
        <f ca="1">TODAY()</f>
        <v>44132</v>
      </c>
      <c r="BY3" s="2481"/>
      <c r="BZ3" s="2481"/>
      <c r="CA3" s="2481"/>
      <c r="CB3" s="2481"/>
      <c r="CH3" s="14"/>
      <c r="CI3" s="14"/>
      <c r="CO3" s="104"/>
      <c r="CP3" s="18"/>
      <c r="CQ3" s="18"/>
      <c r="CR3" s="103"/>
      <c r="CS3" s="103"/>
      <c r="CT3" s="103"/>
      <c r="CU3" s="103"/>
      <c r="CV3" s="103"/>
      <c r="CW3" s="103"/>
      <c r="CX3" s="103"/>
      <c r="CY3" s="103"/>
      <c r="CZ3" s="103"/>
      <c r="DA3" s="103"/>
      <c r="DB3" s="103"/>
      <c r="DC3" s="44"/>
      <c r="DD3" s="44"/>
      <c r="DE3" s="44"/>
      <c r="DF3" s="103"/>
      <c r="DG3" s="103"/>
      <c r="DH3" s="103"/>
      <c r="DI3" s="103"/>
      <c r="DJ3" s="103"/>
    </row>
    <row r="4" spans="2:114" ht="33" customHeight="1" thickTop="1">
      <c r="B4" s="2470" t="s">
        <v>4843</v>
      </c>
      <c r="C4" s="2354"/>
      <c r="D4" s="2354"/>
      <c r="E4" s="2354"/>
      <c r="F4" s="2354"/>
      <c r="G4" s="2354"/>
      <c r="H4" s="2354"/>
      <c r="I4" s="2354"/>
      <c r="J4" s="2354"/>
      <c r="K4" s="2354"/>
      <c r="L4" s="2354"/>
      <c r="M4" s="2354"/>
      <c r="N4" s="2354"/>
      <c r="O4" s="2354"/>
      <c r="P4" s="2354"/>
      <c r="Q4" s="2354"/>
      <c r="R4" s="2354"/>
      <c r="S4" s="2354"/>
      <c r="T4" s="2355"/>
      <c r="U4" s="2386" t="s">
        <v>5370</v>
      </c>
      <c r="V4" s="2435"/>
      <c r="W4" s="2338" t="s">
        <v>4845</v>
      </c>
      <c r="X4" s="2339"/>
      <c r="Y4" s="2445" t="s">
        <v>4844</v>
      </c>
      <c r="Z4" s="2354"/>
      <c r="AA4" s="2355"/>
      <c r="AB4" s="2353" t="s">
        <v>533</v>
      </c>
      <c r="AC4" s="2354"/>
      <c r="AD4" s="2355"/>
      <c r="AE4" s="2338" t="s">
        <v>5403</v>
      </c>
      <c r="AF4" s="2338"/>
      <c r="AG4" s="2339"/>
      <c r="AH4" s="2450" t="s">
        <v>5514</v>
      </c>
      <c r="AI4" s="2451"/>
      <c r="AJ4" s="2462" t="s">
        <v>8535</v>
      </c>
      <c r="AK4" s="2462"/>
      <c r="AL4" s="2463"/>
      <c r="AM4" s="2325" t="s">
        <v>8799</v>
      </c>
      <c r="AN4" s="2326"/>
      <c r="AO4" s="2326"/>
      <c r="AP4" s="2327"/>
      <c r="AQ4" s="2342" t="s">
        <v>8830</v>
      </c>
      <c r="AR4" s="2255"/>
      <c r="AS4" s="2255" t="s">
        <v>8831</v>
      </c>
      <c r="AT4" s="2255"/>
      <c r="AU4" s="2255" t="s">
        <v>8832</v>
      </c>
      <c r="AV4" s="2255"/>
      <c r="AW4" s="2255" t="s">
        <v>8677</v>
      </c>
      <c r="AX4" s="2477"/>
      <c r="AY4" s="2255" t="s">
        <v>4546</v>
      </c>
      <c r="AZ4" s="2315"/>
      <c r="BA4" s="2342" t="s">
        <v>17820</v>
      </c>
      <c r="BB4" s="2474"/>
      <c r="BC4" s="2255"/>
      <c r="BD4" s="2260" t="s">
        <v>5515</v>
      </c>
      <c r="BE4" s="2261"/>
      <c r="BF4" s="2475" t="s">
        <v>5585</v>
      </c>
      <c r="BG4" s="2386" t="s">
        <v>17818</v>
      </c>
      <c r="BH4" s="2338"/>
      <c r="BI4" s="2338"/>
      <c r="BJ4" s="2338"/>
      <c r="BK4" s="2338"/>
      <c r="BL4" s="2451" t="s">
        <v>5430</v>
      </c>
      <c r="BM4" s="2451"/>
      <c r="BN4" s="2451"/>
      <c r="BO4" s="2451"/>
      <c r="BP4" s="2451" t="s">
        <v>5431</v>
      </c>
      <c r="BQ4" s="2451"/>
      <c r="BR4" s="2451"/>
      <c r="BS4" s="2479"/>
      <c r="BT4" s="2342" t="s">
        <v>5404</v>
      </c>
      <c r="BU4" s="2255"/>
      <c r="BV4" s="2255"/>
      <c r="BW4" s="2315"/>
      <c r="BX4" s="2467" t="s">
        <v>451</v>
      </c>
      <c r="BY4" s="2326"/>
      <c r="BZ4" s="2326"/>
      <c r="CA4" s="2326"/>
      <c r="CB4" s="2327"/>
      <c r="CD4" s="2466" t="s">
        <v>287</v>
      </c>
      <c r="CE4" s="2466" t="s">
        <v>606</v>
      </c>
      <c r="CF4" s="2461" t="s">
        <v>9435</v>
      </c>
      <c r="CG4" s="2461" t="s">
        <v>9436</v>
      </c>
      <c r="CH4" s="14"/>
      <c r="CI4" s="14"/>
      <c r="CJ4" s="104"/>
      <c r="CK4" s="18"/>
      <c r="CL4" s="18"/>
      <c r="CM4" s="103"/>
      <c r="CN4" s="103"/>
      <c r="CO4" s="103"/>
      <c r="CP4" s="103"/>
      <c r="CQ4" s="103"/>
      <c r="CR4" s="103"/>
      <c r="CS4" s="103"/>
      <c r="CT4" s="103"/>
      <c r="CU4" s="103"/>
      <c r="CV4" s="103"/>
      <c r="CW4" s="103"/>
      <c r="CX4" s="44"/>
      <c r="CY4" s="44"/>
      <c r="CZ4" s="44"/>
      <c r="DA4" s="103"/>
      <c r="DB4" s="103"/>
      <c r="DC4" s="103"/>
      <c r="DD4" s="103"/>
      <c r="DE4" s="103"/>
    </row>
    <row r="5" spans="2:114" ht="53.1" customHeight="1" thickBot="1">
      <c r="B5" s="2471"/>
      <c r="C5" s="2357"/>
      <c r="D5" s="2357"/>
      <c r="E5" s="2357"/>
      <c r="F5" s="2357"/>
      <c r="G5" s="2357"/>
      <c r="H5" s="2357"/>
      <c r="I5" s="2357"/>
      <c r="J5" s="2357"/>
      <c r="K5" s="2357"/>
      <c r="L5" s="2357"/>
      <c r="M5" s="2357"/>
      <c r="N5" s="2357"/>
      <c r="O5" s="2357"/>
      <c r="P5" s="2357"/>
      <c r="Q5" s="2357"/>
      <c r="R5" s="2357"/>
      <c r="S5" s="2357"/>
      <c r="T5" s="2358"/>
      <c r="U5" s="2387"/>
      <c r="V5" s="2436"/>
      <c r="W5" s="2340"/>
      <c r="X5" s="2341"/>
      <c r="Y5" s="2446"/>
      <c r="Z5" s="2357"/>
      <c r="AA5" s="2358"/>
      <c r="AB5" s="2356"/>
      <c r="AC5" s="2357"/>
      <c r="AD5" s="2358"/>
      <c r="AE5" s="2340"/>
      <c r="AF5" s="2340"/>
      <c r="AG5" s="2341"/>
      <c r="AH5" s="2452"/>
      <c r="AI5" s="2453"/>
      <c r="AJ5" s="2464"/>
      <c r="AK5" s="2464"/>
      <c r="AL5" s="2465"/>
      <c r="AM5" s="2328"/>
      <c r="AN5" s="2329"/>
      <c r="AO5" s="2329"/>
      <c r="AP5" s="2330"/>
      <c r="AQ5" s="2343"/>
      <c r="AR5" s="2256"/>
      <c r="AS5" s="2256"/>
      <c r="AT5" s="2256"/>
      <c r="AU5" s="2256"/>
      <c r="AV5" s="2256"/>
      <c r="AW5" s="2256"/>
      <c r="AX5" s="2478"/>
      <c r="AY5" s="2256"/>
      <c r="AZ5" s="2316"/>
      <c r="BA5" s="2343" t="s">
        <v>17819</v>
      </c>
      <c r="BB5" s="2472"/>
      <c r="BC5" s="2473"/>
      <c r="BD5" s="2262"/>
      <c r="BE5" s="2263"/>
      <c r="BF5" s="2476"/>
      <c r="BG5" s="2387"/>
      <c r="BH5" s="2340"/>
      <c r="BI5" s="2340"/>
      <c r="BJ5" s="2340"/>
      <c r="BK5" s="2340"/>
      <c r="BL5" s="2453"/>
      <c r="BM5" s="2453"/>
      <c r="BN5" s="2453"/>
      <c r="BO5" s="2453"/>
      <c r="BP5" s="2453"/>
      <c r="BQ5" s="2453"/>
      <c r="BR5" s="2453"/>
      <c r="BS5" s="2480"/>
      <c r="BT5" s="1965" t="s">
        <v>5276</v>
      </c>
      <c r="BU5" s="1966" t="s">
        <v>5224</v>
      </c>
      <c r="BV5" s="1966" t="s">
        <v>8833</v>
      </c>
      <c r="BW5" s="1967" t="s">
        <v>5215</v>
      </c>
      <c r="BX5" s="2468"/>
      <c r="BY5" s="2329"/>
      <c r="BZ5" s="2329"/>
      <c r="CA5" s="2329"/>
      <c r="CB5" s="2330"/>
      <c r="CD5" s="2466"/>
      <c r="CE5" s="2466"/>
      <c r="CF5" s="2461"/>
      <c r="CG5" s="2461"/>
      <c r="CH5" s="14"/>
      <c r="CI5" s="104"/>
      <c r="CJ5" s="18"/>
      <c r="CK5" s="18"/>
      <c r="CL5" s="103"/>
      <c r="CM5" s="103"/>
      <c r="CN5" s="103"/>
      <c r="CO5" s="103"/>
      <c r="CP5" s="103"/>
      <c r="CQ5" s="103"/>
      <c r="CR5" s="103"/>
      <c r="CS5" s="103"/>
      <c r="CT5" s="103"/>
      <c r="CU5" s="103"/>
      <c r="CV5" s="103"/>
      <c r="CW5" s="44"/>
      <c r="CX5" s="44"/>
      <c r="CY5" s="44"/>
      <c r="CZ5" s="103"/>
      <c r="DA5" s="103"/>
      <c r="DB5" s="103"/>
      <c r="DC5" s="103"/>
      <c r="DD5" s="103"/>
      <c r="DE5" s="103"/>
    </row>
    <row r="6" spans="2:114" ht="30" customHeight="1" thickTop="1">
      <c r="B6" s="2070" t="s">
        <v>10487</v>
      </c>
      <c r="C6" s="2071"/>
      <c r="D6" s="2295" t="s">
        <v>4846</v>
      </c>
      <c r="E6" s="2239"/>
      <c r="F6" s="2283">
        <f>実績!B1391</f>
        <v>190134</v>
      </c>
      <c r="G6" s="2284"/>
      <c r="H6" s="2284"/>
      <c r="I6" s="2365" t="str">
        <f>VLOOKUP(F6,実績!$B$5:$CV$1474,2,0)</f>
        <v>MCCポーアイ工場</v>
      </c>
      <c r="J6" s="2365"/>
      <c r="K6" s="2365"/>
      <c r="L6" s="2365"/>
      <c r="M6" s="2365"/>
      <c r="N6" s="2365"/>
      <c r="O6" s="2365"/>
      <c r="P6" s="2365"/>
      <c r="Q6" s="2365"/>
      <c r="R6" s="2365"/>
      <c r="S6" s="2365"/>
      <c r="T6" s="2366"/>
      <c r="U6" s="2164" t="str">
        <f>VLOOKUP(I6,実績!$C$5:$CV$1474,3,0)</f>
        <v>大田</v>
      </c>
      <c r="V6" s="2165"/>
      <c r="W6" s="2167" t="str">
        <f>VLOOKUP(I6,実績!$C$5:$CV$1474,2,0)</f>
        <v>村上
タオ</v>
      </c>
      <c r="X6" s="2281"/>
      <c r="Y6" s="2164" t="str">
        <f>VLOOKUP(I6,実績!$C$5:$CV$1474,4,FALSE)</f>
        <v>兵庫県</v>
      </c>
      <c r="Z6" s="2166"/>
      <c r="AA6" s="2165"/>
      <c r="AB6" s="2167" t="str">
        <f>VLOOKUP(I6,実績!$C$5:$CV$1474,9,0)</f>
        <v>工場</v>
      </c>
      <c r="AC6" s="2166"/>
      <c r="AD6" s="2165"/>
      <c r="AE6" s="2272">
        <f>ROUND(VLOOKUP(I6,実績!$C$5:$CV$1474,42,0),-1)</f>
        <v>5880</v>
      </c>
      <c r="AF6" s="2273"/>
      <c r="AG6" s="2274"/>
      <c r="AH6" s="2164" t="str">
        <f>VLOOKUP(I6,実績!$C$5:$CV$1474,50,0)</f>
        <v>無</v>
      </c>
      <c r="AI6" s="2165"/>
      <c r="AJ6" s="2264" t="str">
        <f>VLOOKUP(I6,実績!$C$5:$CV$1474,60,0)</f>
        <v>-</v>
      </c>
      <c r="AK6" s="2265"/>
      <c r="AL6" s="2266"/>
      <c r="AM6" s="2224" t="str">
        <f>VLOOKUP(I6,実績!$C$5:$CV$1474,61,0)</f>
        <v>-</v>
      </c>
      <c r="AN6" s="2225"/>
      <c r="AO6" s="2225"/>
      <c r="AP6" s="2226"/>
      <c r="AQ6" s="2132" t="str">
        <f>VLOOKUP(I6,実績!$C$5:$CV$1474,37,0)</f>
        <v>-</v>
      </c>
      <c r="AR6" s="2133"/>
      <c r="AS6" s="2125" t="str">
        <f>VLOOKUP(I6,実績!$C$5:$CV$1474,38,0)</f>
        <v>-</v>
      </c>
      <c r="AT6" s="2133"/>
      <c r="AU6" s="2125" t="str">
        <f>VLOOKUP(I6,実績!$C$5:$CV$1474,39,0)</f>
        <v>-</v>
      </c>
      <c r="AV6" s="2133"/>
      <c r="AW6" s="2125" t="str">
        <f>VLOOKUP(I6,実績!$C$5:$CV$1474,40,0)</f>
        <v>-</v>
      </c>
      <c r="AX6" s="2133"/>
      <c r="AY6" s="2125" t="str">
        <f>VLOOKUP(I6,実績!$C$5:$CV$1474,41,0)</f>
        <v>独立</v>
      </c>
      <c r="AZ6" s="2126"/>
      <c r="BA6" s="2240">
        <f>VLOOKUP(I6,実績!$C$5:$CV$1474,44,0)</f>
        <v>1</v>
      </c>
      <c r="BB6" s="2241"/>
      <c r="BC6" s="2242"/>
      <c r="BD6" s="2129">
        <v>44028</v>
      </c>
      <c r="BE6" s="2088"/>
      <c r="BF6" s="2194" t="s">
        <v>15946</v>
      </c>
      <c r="BG6" s="2093"/>
      <c r="BH6" s="2094"/>
      <c r="BI6" s="2094"/>
      <c r="BJ6" s="2094"/>
      <c r="BK6" s="2095"/>
      <c r="BL6" s="2287">
        <v>44067</v>
      </c>
      <c r="BM6" s="2288"/>
      <c r="BN6" s="2400" t="s">
        <v>4848</v>
      </c>
      <c r="BO6" s="2401"/>
      <c r="BP6" s="2287">
        <v>44116</v>
      </c>
      <c r="BQ6" s="2288"/>
      <c r="BR6" s="2400" t="s">
        <v>4848</v>
      </c>
      <c r="BS6" s="2401"/>
      <c r="BT6" s="2384">
        <f>ROUND(VLOOKUP(I6,実績!$C$5:$CV$1474,59,0),1)</f>
        <v>1.9</v>
      </c>
      <c r="BU6" s="2414" t="str">
        <f>VLOOKUP(I6,実績!$C$5:$CV$1474,67,0)</f>
        <v>工場</v>
      </c>
      <c r="BV6" s="2396" t="str">
        <f>VLOOKUP(I6,実績!$C$5:$CV$1474,68,0)</f>
        <v>○</v>
      </c>
      <c r="BW6" s="2381" t="str">
        <f>VLOOKUP(I6,実績!$C$5:$CV$1474,69,0)</f>
        <v>-</v>
      </c>
      <c r="BX6" s="2093" t="str">
        <f>VLOOKUP(I6,実績!$C$5:$CV$1474,75,0)</f>
        <v>海に近い。</v>
      </c>
      <c r="BY6" s="2094"/>
      <c r="BZ6" s="2094"/>
      <c r="CA6" s="2094"/>
      <c r="CB6" s="2180"/>
      <c r="CD6" s="1968">
        <f>F6</f>
        <v>190134</v>
      </c>
      <c r="CE6" s="1968" t="str">
        <f>I6</f>
        <v>MCCポーアイ工場</v>
      </c>
      <c r="CF6" s="96">
        <f>BD6</f>
        <v>44028</v>
      </c>
      <c r="CG6" s="96" t="str">
        <f>BF6</f>
        <v>1月
中旬</v>
      </c>
      <c r="CH6" s="14"/>
      <c r="CI6" s="14"/>
      <c r="CJ6" s="104"/>
      <c r="CK6" s="18"/>
      <c r="CL6" s="103"/>
      <c r="CM6" s="103"/>
      <c r="CN6" s="103"/>
      <c r="CO6" s="103"/>
      <c r="CP6" s="103"/>
      <c r="CQ6" s="103"/>
      <c r="CR6" s="103"/>
      <c r="CS6" s="103"/>
      <c r="CT6" s="103"/>
      <c r="CU6" s="103"/>
      <c r="CV6" s="103"/>
      <c r="CW6" s="44"/>
      <c r="CX6" s="44"/>
      <c r="CY6" s="44"/>
      <c r="CZ6" s="103"/>
      <c r="DA6" s="103"/>
      <c r="DB6" s="103"/>
      <c r="DC6" s="103"/>
      <c r="DD6" s="103"/>
      <c r="DE6" s="103"/>
    </row>
    <row r="7" spans="2:114" ht="30" customHeight="1">
      <c r="B7" s="2072"/>
      <c r="C7" s="2073"/>
      <c r="D7" s="2313"/>
      <c r="E7" s="2133"/>
      <c r="F7" s="2221" t="str">
        <f>"("&amp;SUBSTITUTE(VLOOKUP(F6,実績!$B$5:$CV$1474,17,0)," 株式会社","")&amp;","&amp;SUBSTITUTE(VLOOKUP(F6,実績!$B$5:$CV$1474,22,0),"株式会社 ","")&amp;")"</f>
        <v>(中設エンジ,イシイアソシエイツ)</v>
      </c>
      <c r="G7" s="2222"/>
      <c r="H7" s="2222"/>
      <c r="I7" s="2222"/>
      <c r="J7" s="2222"/>
      <c r="K7" s="2222"/>
      <c r="L7" s="2222"/>
      <c r="M7" s="2222"/>
      <c r="N7" s="2222"/>
      <c r="O7" s="2222"/>
      <c r="P7" s="2222"/>
      <c r="Q7" s="2222"/>
      <c r="R7" s="2222"/>
      <c r="S7" s="2222"/>
      <c r="T7" s="2223"/>
      <c r="U7" s="2154"/>
      <c r="V7" s="2155"/>
      <c r="W7" s="2285"/>
      <c r="X7" s="2291"/>
      <c r="Y7" s="2154" t="str">
        <f>VLOOKUP(I6,実績!$C$5:$CV$1474,5,0)</f>
        <v>神戸市</v>
      </c>
      <c r="Z7" s="2286"/>
      <c r="AA7" s="2155"/>
      <c r="AB7" s="2285"/>
      <c r="AC7" s="2286"/>
      <c r="AD7" s="2155"/>
      <c r="AE7" s="2292"/>
      <c r="AF7" s="2293"/>
      <c r="AG7" s="2294"/>
      <c r="AH7" s="2154"/>
      <c r="AI7" s="2155"/>
      <c r="AJ7" s="2267"/>
      <c r="AK7" s="2268"/>
      <c r="AL7" s="2269"/>
      <c r="AM7" s="2348" t="str">
        <f>VLOOKUP(I6,実績!$C$5:$CV$1474,62,0)</f>
        <v>-</v>
      </c>
      <c r="AN7" s="2349"/>
      <c r="AO7" s="2349"/>
      <c r="AP7" s="2350"/>
      <c r="AQ7" s="2158"/>
      <c r="AR7" s="2159"/>
      <c r="AS7" s="2114"/>
      <c r="AT7" s="2159"/>
      <c r="AU7" s="2114"/>
      <c r="AV7" s="2159"/>
      <c r="AW7" s="2114"/>
      <c r="AX7" s="2159"/>
      <c r="AY7" s="2114"/>
      <c r="AZ7" s="2115"/>
      <c r="BA7" s="2240">
        <f>VLOOKUP(I6,実績!$C$5:$CV$1474,46,0)</f>
        <v>1.3</v>
      </c>
      <c r="BB7" s="2241"/>
      <c r="BC7" s="2242"/>
      <c r="BD7" s="2249"/>
      <c r="BE7" s="2250"/>
      <c r="BF7" s="2251"/>
      <c r="BG7" s="2181"/>
      <c r="BH7" s="2182"/>
      <c r="BI7" s="2182"/>
      <c r="BJ7" s="2182"/>
      <c r="BK7" s="2206"/>
      <c r="BL7" s="2287">
        <v>44073</v>
      </c>
      <c r="BM7" s="2288"/>
      <c r="BN7" s="2100" t="s">
        <v>15320</v>
      </c>
      <c r="BO7" s="2101"/>
      <c r="BP7" s="2287">
        <v>44124</v>
      </c>
      <c r="BQ7" s="2288"/>
      <c r="BR7" s="2100" t="s">
        <v>15320</v>
      </c>
      <c r="BS7" s="2101"/>
      <c r="BT7" s="2399"/>
      <c r="BU7" s="2416"/>
      <c r="BV7" s="2397"/>
      <c r="BW7" s="2382"/>
      <c r="BX7" s="2181"/>
      <c r="BY7" s="2182"/>
      <c r="BZ7" s="2182"/>
      <c r="CA7" s="2182"/>
      <c r="CB7" s="2183"/>
      <c r="CH7" s="14"/>
      <c r="CI7" s="14"/>
      <c r="CJ7" s="104"/>
      <c r="CK7" s="18"/>
      <c r="CL7" s="103"/>
      <c r="CM7" s="103"/>
      <c r="CN7" s="103"/>
      <c r="CO7" s="103"/>
      <c r="CP7" s="103"/>
      <c r="CQ7" s="103"/>
      <c r="CR7" s="103"/>
      <c r="CS7" s="103"/>
      <c r="CT7" s="103"/>
      <c r="CU7" s="103"/>
      <c r="CV7" s="103"/>
      <c r="CW7" s="44"/>
      <c r="CX7" s="44"/>
      <c r="CY7" s="44"/>
      <c r="CZ7" s="103"/>
      <c r="DA7" s="103"/>
      <c r="DB7" s="103"/>
      <c r="DC7" s="103"/>
      <c r="DD7" s="103"/>
      <c r="DE7" s="103"/>
    </row>
    <row r="8" spans="2:114" ht="30" customHeight="1">
      <c r="B8" s="2072"/>
      <c r="C8" s="2073"/>
      <c r="D8" s="2295" t="s">
        <v>4846</v>
      </c>
      <c r="E8" s="2239"/>
      <c r="F8" s="2283">
        <f>実績!B1407</f>
        <v>200010</v>
      </c>
      <c r="G8" s="2284"/>
      <c r="H8" s="2284"/>
      <c r="I8" s="2440" t="str">
        <f>VLOOKUP(F8,実績!$B$5:$CV$1474,2,0)</f>
        <v>パーク・アベニュー神戸三田 自走式駐車場</v>
      </c>
      <c r="J8" s="2440"/>
      <c r="K8" s="2440"/>
      <c r="L8" s="2440"/>
      <c r="M8" s="2440"/>
      <c r="N8" s="2440"/>
      <c r="O8" s="2440"/>
      <c r="P8" s="2440"/>
      <c r="Q8" s="2440"/>
      <c r="R8" s="2440"/>
      <c r="S8" s="2440"/>
      <c r="T8" s="2441"/>
      <c r="U8" s="2164" t="str">
        <f>VLOOKUP(I8,実績!$C$5:$CV$1474,3,0)</f>
        <v>植松</v>
      </c>
      <c r="V8" s="2165"/>
      <c r="W8" s="2167" t="str">
        <f>VLOOKUP(I8,実績!$C$5:$CV$1474,2,0)</f>
        <v>タオ
ホア</v>
      </c>
      <c r="X8" s="2281"/>
      <c r="Y8" s="2164" t="str">
        <f>VLOOKUP(I8,実績!$C$5:$CV$1474,4,FALSE)</f>
        <v>兵庫県</v>
      </c>
      <c r="Z8" s="2166"/>
      <c r="AA8" s="2165"/>
      <c r="AB8" s="2167" t="str">
        <f>VLOOKUP(I8,実績!$C$5:$CV$1474,9,0)</f>
        <v>駐車場</v>
      </c>
      <c r="AC8" s="2166"/>
      <c r="AD8" s="2165"/>
      <c r="AE8" s="2272">
        <f>ROUND(VLOOKUP(I8,実績!$C$5:$CV$1474,42,0),-1)</f>
        <v>1290</v>
      </c>
      <c r="AF8" s="2273"/>
      <c r="AG8" s="2274"/>
      <c r="AH8" s="2164" t="str">
        <f>VLOOKUP(I8,実績!$C$5:$CV$1474,50,0)</f>
        <v>無</v>
      </c>
      <c r="AI8" s="2165"/>
      <c r="AJ8" s="2264">
        <f>VLOOKUP(I8,実績!$C$5:$CV$1474,60,0)</f>
        <v>7.31</v>
      </c>
      <c r="AK8" s="2265"/>
      <c r="AL8" s="2266"/>
      <c r="AM8" s="2224" t="str">
        <f>VLOOKUP(I8,実績!$C$5:$CV$1474,61,0)</f>
        <v>-</v>
      </c>
      <c r="AN8" s="2225"/>
      <c r="AO8" s="2225"/>
      <c r="AP8" s="2226"/>
      <c r="AQ8" s="2132" t="str">
        <f>VLOOKUP(I8,実績!$C$5:$CV$1474,37,0)</f>
        <v>-</v>
      </c>
      <c r="AR8" s="2133"/>
      <c r="AS8" s="2125" t="str">
        <f>VLOOKUP(I8,実績!$C$5:$CV$1474,38,0)</f>
        <v>-</v>
      </c>
      <c r="AT8" s="2133"/>
      <c r="AU8" s="2125" t="str">
        <f>VLOOKUP(I8,実績!$C$5:$CV$1474,39,0)</f>
        <v>-</v>
      </c>
      <c r="AV8" s="2133"/>
      <c r="AW8" s="2125" t="str">
        <f>VLOOKUP(I8,実績!$C$5:$CV$1474,40,0)</f>
        <v>○</v>
      </c>
      <c r="AX8" s="2133"/>
      <c r="AY8" s="2125" t="str">
        <f>VLOOKUP(I8,実績!$C$5:$CV$1474,41,0)</f>
        <v>独立</v>
      </c>
      <c r="AZ8" s="2126"/>
      <c r="BA8" s="2240">
        <f>VLOOKUP(I8,実績!$C$5:$CV$1474,44,0)</f>
        <v>1</v>
      </c>
      <c r="BB8" s="2241"/>
      <c r="BC8" s="2242"/>
      <c r="BD8" s="2129">
        <v>44048</v>
      </c>
      <c r="BE8" s="2088"/>
      <c r="BF8" s="2091" t="s">
        <v>17846</v>
      </c>
      <c r="BG8" s="2093"/>
      <c r="BH8" s="2094"/>
      <c r="BI8" s="2094"/>
      <c r="BJ8" s="2094"/>
      <c r="BK8" s="2095"/>
      <c r="BL8" s="2287">
        <v>44078</v>
      </c>
      <c r="BM8" s="2288"/>
      <c r="BN8" s="2400" t="s">
        <v>4848</v>
      </c>
      <c r="BO8" s="2401"/>
      <c r="BP8" s="2287">
        <v>44103</v>
      </c>
      <c r="BQ8" s="2288"/>
      <c r="BR8" s="2400" t="s">
        <v>4848</v>
      </c>
      <c r="BS8" s="2401"/>
      <c r="BT8" s="2384">
        <f>ROUND(VLOOKUP(I8,実績!$C$5:$CV$1474,59,0),1)</f>
        <v>2.2000000000000002</v>
      </c>
      <c r="BU8" s="2105">
        <f>VLOOKUP(I8,実績!$C$5:$CV$1474,67,0)</f>
        <v>0</v>
      </c>
      <c r="BV8" s="2396" t="str">
        <f>VLOOKUP(I8,実績!$C$5:$CV$1474,68,0)</f>
        <v>-</v>
      </c>
      <c r="BW8" s="2381" t="str">
        <f>VLOOKUP(I8,実績!$C$5:$CV$1474,69,0)</f>
        <v>○</v>
      </c>
      <c r="BX8" s="2093">
        <f>VLOOKUP(I8,実績!$C$5:$CV$1474,75,0)</f>
        <v>0</v>
      </c>
      <c r="BY8" s="2094"/>
      <c r="BZ8" s="2094"/>
      <c r="CA8" s="2094"/>
      <c r="CB8" s="2180"/>
      <c r="CD8" s="1968">
        <f>F8</f>
        <v>200010</v>
      </c>
      <c r="CE8" s="1968" t="str">
        <f>I8</f>
        <v>パーク・アベニュー神戸三田 自走式駐車場</v>
      </c>
      <c r="CF8" s="96">
        <f>BD8</f>
        <v>44048</v>
      </c>
      <c r="CG8" s="96" t="str">
        <f>BF8</f>
        <v>2021/6</v>
      </c>
      <c r="CH8" s="14"/>
      <c r="CI8" s="14"/>
      <c r="CJ8" s="104"/>
      <c r="CK8" s="18"/>
      <c r="CL8" s="103"/>
      <c r="CM8" s="103"/>
      <c r="CN8" s="103"/>
      <c r="CO8" s="103"/>
      <c r="CP8" s="103"/>
      <c r="CQ8" s="103"/>
      <c r="CR8" s="103"/>
      <c r="CS8" s="103"/>
      <c r="CT8" s="103"/>
      <c r="CU8" s="103"/>
      <c r="CV8" s="103"/>
      <c r="CW8" s="44"/>
      <c r="CX8" s="44"/>
      <c r="CY8" s="44"/>
      <c r="CZ8" s="103"/>
      <c r="DA8" s="103"/>
      <c r="DB8" s="103"/>
      <c r="DC8" s="103"/>
      <c r="DD8" s="103"/>
      <c r="DE8" s="103"/>
    </row>
    <row r="9" spans="2:114" ht="30" customHeight="1">
      <c r="B9" s="2072"/>
      <c r="C9" s="2073"/>
      <c r="D9" s="2295"/>
      <c r="E9" s="2239"/>
      <c r="F9" s="2221" t="str">
        <f>"("&amp;SUBSTITUTE(VLOOKUP(F8,実績!$B$5:$CV$1474,17,0)," 株式会社","")&amp;","&amp;SUBSTITUTE(VLOOKUP(F8,実績!$B$5:$CV$1474,22,0),"株式会社 ","")&amp;")"</f>
        <v>(雄健工業,エストルクトゥーラ)</v>
      </c>
      <c r="G9" s="2222"/>
      <c r="H9" s="2222"/>
      <c r="I9" s="2222"/>
      <c r="J9" s="2222"/>
      <c r="K9" s="2222"/>
      <c r="L9" s="2222"/>
      <c r="M9" s="2222"/>
      <c r="N9" s="2222"/>
      <c r="O9" s="2222"/>
      <c r="P9" s="2222"/>
      <c r="Q9" s="2222"/>
      <c r="R9" s="2222"/>
      <c r="S9" s="2222"/>
      <c r="T9" s="2223"/>
      <c r="U9" s="2156"/>
      <c r="V9" s="2157"/>
      <c r="W9" s="2168"/>
      <c r="X9" s="2282"/>
      <c r="Y9" s="2156" t="str">
        <f>VLOOKUP(I8,実績!$C$5:$CV$1474,5,0)</f>
        <v>三田市</v>
      </c>
      <c r="Z9" s="2169"/>
      <c r="AA9" s="2157"/>
      <c r="AB9" s="2168"/>
      <c r="AC9" s="2169"/>
      <c r="AD9" s="2157"/>
      <c r="AE9" s="2275"/>
      <c r="AF9" s="2276"/>
      <c r="AG9" s="2277"/>
      <c r="AH9" s="2156"/>
      <c r="AI9" s="2157"/>
      <c r="AJ9" s="2278"/>
      <c r="AK9" s="2279"/>
      <c r="AL9" s="2280"/>
      <c r="AM9" s="2224" t="str">
        <f>VLOOKUP(I8,実績!$C$5:$CV$1474,62,0)</f>
        <v>-</v>
      </c>
      <c r="AN9" s="2225"/>
      <c r="AO9" s="2225"/>
      <c r="AP9" s="2226"/>
      <c r="AQ9" s="2134"/>
      <c r="AR9" s="2135"/>
      <c r="AS9" s="2127"/>
      <c r="AT9" s="2135"/>
      <c r="AU9" s="2127"/>
      <c r="AV9" s="2135"/>
      <c r="AW9" s="2127"/>
      <c r="AX9" s="2135"/>
      <c r="AY9" s="2127"/>
      <c r="AZ9" s="2128"/>
      <c r="BA9" s="2240">
        <f>VLOOKUP(I8,実績!$C$5:$CV$1474,46,0)</f>
        <v>1.5</v>
      </c>
      <c r="BB9" s="2241"/>
      <c r="BC9" s="2242"/>
      <c r="BD9" s="2089"/>
      <c r="BE9" s="2090"/>
      <c r="BF9" s="2092"/>
      <c r="BG9" s="2096"/>
      <c r="BH9" s="2097"/>
      <c r="BI9" s="2097"/>
      <c r="BJ9" s="2097"/>
      <c r="BK9" s="2098"/>
      <c r="BL9" s="2287">
        <v>44083</v>
      </c>
      <c r="BM9" s="2288"/>
      <c r="BN9" s="2100" t="s">
        <v>15320</v>
      </c>
      <c r="BO9" s="2101"/>
      <c r="BP9" s="2287">
        <v>44123</v>
      </c>
      <c r="BQ9" s="2288"/>
      <c r="BR9" s="2288" t="s">
        <v>15320</v>
      </c>
      <c r="BS9" s="2402"/>
      <c r="BT9" s="2399"/>
      <c r="BU9" s="2106"/>
      <c r="BV9" s="2397"/>
      <c r="BW9" s="2382"/>
      <c r="BX9" s="2181"/>
      <c r="BY9" s="2182"/>
      <c r="BZ9" s="2182"/>
      <c r="CA9" s="2182"/>
      <c r="CB9" s="2183"/>
      <c r="CH9" s="14"/>
      <c r="CI9" s="14"/>
      <c r="CJ9" s="104"/>
      <c r="CK9" s="18"/>
      <c r="CL9" s="103"/>
      <c r="CM9" s="103"/>
      <c r="CN9" s="103"/>
      <c r="CO9" s="103"/>
      <c r="CP9" s="103"/>
      <c r="CQ9" s="103"/>
      <c r="CR9" s="103"/>
      <c r="CS9" s="103"/>
      <c r="CT9" s="103"/>
      <c r="CU9" s="103"/>
      <c r="CV9" s="103"/>
      <c r="CW9" s="44"/>
      <c r="CX9" s="44"/>
      <c r="CY9" s="44"/>
      <c r="CZ9" s="103"/>
      <c r="DA9" s="103"/>
      <c r="DB9" s="103"/>
      <c r="DC9" s="103"/>
      <c r="DD9" s="103"/>
      <c r="DE9" s="103"/>
    </row>
    <row r="10" spans="2:114" ht="30" customHeight="1">
      <c r="B10" s="2072"/>
      <c r="C10" s="2073"/>
      <c r="D10" s="2132" t="s">
        <v>4852</v>
      </c>
      <c r="E10" s="2133"/>
      <c r="F10" s="2283">
        <f>実績!B1409</f>
        <v>200012</v>
      </c>
      <c r="G10" s="2284"/>
      <c r="H10" s="2284"/>
      <c r="I10" s="2365" t="str">
        <f>VLOOKUP(F10,実績!$B$5:$CV$1474,2,0)</f>
        <v>BMW姫路支店/MINI姫路</v>
      </c>
      <c r="J10" s="2365"/>
      <c r="K10" s="2365"/>
      <c r="L10" s="2365"/>
      <c r="M10" s="2365"/>
      <c r="N10" s="2365"/>
      <c r="O10" s="2365"/>
      <c r="P10" s="2365"/>
      <c r="Q10" s="2365"/>
      <c r="R10" s="2365"/>
      <c r="S10" s="2365"/>
      <c r="T10" s="2366"/>
      <c r="U10" s="2164" t="str">
        <f>VLOOKUP(I10,実績!$C$5:$CV$1474,3,0)</f>
        <v>沖本</v>
      </c>
      <c r="V10" s="2165"/>
      <c r="W10" s="2167" t="str">
        <f>VLOOKUP(I10,実績!$C$5:$CV$1474,2,0)</f>
        <v>村上</v>
      </c>
      <c r="X10" s="2281"/>
      <c r="Y10" s="2164" t="str">
        <f>VLOOKUP(I10,実績!$C$5:$CV$1474,4,FALSE)</f>
        <v>兵庫県</v>
      </c>
      <c r="Z10" s="2166"/>
      <c r="AA10" s="2165"/>
      <c r="AB10" s="2167" t="str">
        <f>VLOOKUP(I10,実績!$C$5:$CV$1474,9,0)</f>
        <v>店舗</v>
      </c>
      <c r="AC10" s="2166"/>
      <c r="AD10" s="2165"/>
      <c r="AE10" s="2272">
        <f>ROUND(VLOOKUP(I10,実績!$C$5:$CV$1474,42,0),-1)</f>
        <v>2700</v>
      </c>
      <c r="AF10" s="2273"/>
      <c r="AG10" s="2274"/>
      <c r="AH10" s="2164" t="str">
        <f>VLOOKUP(I10,実績!$C$5:$CV$1474,50,0)</f>
        <v>無</v>
      </c>
      <c r="AI10" s="2165"/>
      <c r="AJ10" s="2264">
        <f>VLOOKUP(I10,実績!$C$5:$CV$1474,60,0)</f>
        <v>4.5999999999999996</v>
      </c>
      <c r="AK10" s="2265"/>
      <c r="AL10" s="2266"/>
      <c r="AM10" s="2252" t="str">
        <f>VLOOKUP(I10,実績!$C$5:$CV$1474,61,0)</f>
        <v>砂質ｼﾙﾄ(府植物含む)</v>
      </c>
      <c r="AN10" s="2253"/>
      <c r="AO10" s="2253"/>
      <c r="AP10" s="2254"/>
      <c r="AQ10" s="2132" t="str">
        <f>VLOOKUP(I10,実績!$C$5:$CV$1474,37,0)</f>
        <v>-</v>
      </c>
      <c r="AR10" s="2133"/>
      <c r="AS10" s="2125" t="str">
        <f>VLOOKUP(I10,実績!$C$5:$CV$1474,38,0)</f>
        <v>-</v>
      </c>
      <c r="AT10" s="2133"/>
      <c r="AU10" s="2125" t="str">
        <f>VLOOKUP(I10,実績!$C$5:$CV$1474,39,0)</f>
        <v>-</v>
      </c>
      <c r="AV10" s="2133"/>
      <c r="AW10" s="2125" t="str">
        <f>VLOOKUP(I10,実績!$C$5:$CV$1474,40,0)</f>
        <v>○</v>
      </c>
      <c r="AX10" s="2133"/>
      <c r="AY10" s="2125" t="str">
        <f>VLOOKUP(I10,実績!$C$5:$CV$1474,41,0)</f>
        <v>独立</v>
      </c>
      <c r="AZ10" s="2126"/>
      <c r="BA10" s="2240">
        <f>VLOOKUP(I10,実績!$C$5:$CV$1474,44,0)</f>
        <v>1</v>
      </c>
      <c r="BB10" s="2241"/>
      <c r="BC10" s="2242"/>
      <c r="BD10" s="2129">
        <v>44078</v>
      </c>
      <c r="BE10" s="2088"/>
      <c r="BF10" s="2194" t="s">
        <v>15933</v>
      </c>
      <c r="BG10" s="2093"/>
      <c r="BH10" s="2094"/>
      <c r="BI10" s="2094"/>
      <c r="BJ10" s="2094"/>
      <c r="BK10" s="2095"/>
      <c r="BL10" s="2287">
        <v>44099</v>
      </c>
      <c r="BM10" s="2288"/>
      <c r="BN10" s="2400" t="s">
        <v>4848</v>
      </c>
      <c r="BO10" s="2401"/>
      <c r="BP10" s="2287">
        <v>44120</v>
      </c>
      <c r="BQ10" s="2288"/>
      <c r="BR10" s="2400" t="s">
        <v>4848</v>
      </c>
      <c r="BS10" s="2401"/>
      <c r="BT10" s="2384">
        <f>ROUND(VLOOKUP(I10,実績!$C$5:$CV$1474,59,0),1)</f>
        <v>1.3</v>
      </c>
      <c r="BU10" s="2414" t="str">
        <f>VLOOKUP(I10,実績!$C$5:$CV$1474,67,0)</f>
        <v>住宅・店舗</v>
      </c>
      <c r="BV10" s="2396" t="str">
        <f>VLOOKUP(I10,実績!$C$5:$CV$1474,68,0)</f>
        <v>-</v>
      </c>
      <c r="BW10" s="2381" t="str">
        <f>VLOOKUP(I10,実績!$C$5:$CV$1474,69,0)</f>
        <v>○</v>
      </c>
      <c r="BX10" s="2093" t="str">
        <f>VLOOKUP(I10,実績!$C$5:$CV$1474,75,0)</f>
        <v>既存擁壁近接。擁壁仕様不明。</v>
      </c>
      <c r="BY10" s="2094"/>
      <c r="BZ10" s="2094"/>
      <c r="CA10" s="2094"/>
      <c r="CB10" s="2180"/>
      <c r="CD10" s="1968">
        <f>F10</f>
        <v>200012</v>
      </c>
      <c r="CE10" s="1968" t="str">
        <f>I10</f>
        <v>BMW姫路支店/MINI姫路</v>
      </c>
      <c r="CF10" s="96">
        <f>BD10</f>
        <v>44078</v>
      </c>
      <c r="CG10" s="96" t="str">
        <f>BF10</f>
        <v>12月
中旬</v>
      </c>
      <c r="CH10" s="14"/>
      <c r="CI10" s="14"/>
      <c r="CJ10" s="104"/>
      <c r="CK10" s="18"/>
      <c r="CL10" s="103"/>
      <c r="CM10" s="103"/>
      <c r="CN10" s="103"/>
      <c r="CO10" s="103"/>
      <c r="CP10" s="103"/>
      <c r="CQ10" s="103"/>
      <c r="CR10" s="103"/>
      <c r="CS10" s="103"/>
      <c r="CT10" s="103"/>
      <c r="CU10" s="103"/>
      <c r="CV10" s="103"/>
      <c r="CW10" s="44"/>
      <c r="CX10" s="44"/>
      <c r="CY10" s="44"/>
      <c r="CZ10" s="103"/>
      <c r="DA10" s="103"/>
      <c r="DB10" s="103"/>
      <c r="DC10" s="103"/>
      <c r="DD10" s="103"/>
      <c r="DE10" s="103"/>
    </row>
    <row r="11" spans="2:114" ht="30" customHeight="1">
      <c r="B11" s="2072"/>
      <c r="C11" s="2073"/>
      <c r="D11" s="2158"/>
      <c r="E11" s="2159"/>
      <c r="F11" s="2221" t="str">
        <f>"("&amp;SUBSTITUTE(VLOOKUP(I10,実績!$C$5:$CV$1474,16,0),"株式会社 ","")&amp;","&amp;SUBSTITUTE(VLOOKUP(I10,実績!$C$5:$CV$1474,21,0),"株式会社","")&amp;")"</f>
        <v>(ビーイー設計,ﾃｨｰｱﾝﾄﾞﾋﾟｨｰ設計事務所)</v>
      </c>
      <c r="G11" s="2222"/>
      <c r="H11" s="2222"/>
      <c r="I11" s="2222"/>
      <c r="J11" s="2222"/>
      <c r="K11" s="2222"/>
      <c r="L11" s="2222"/>
      <c r="M11" s="2222"/>
      <c r="N11" s="2222"/>
      <c r="O11" s="2222"/>
      <c r="P11" s="2222"/>
      <c r="Q11" s="2222"/>
      <c r="R11" s="2222"/>
      <c r="S11" s="2222"/>
      <c r="T11" s="2223"/>
      <c r="U11" s="2154"/>
      <c r="V11" s="2155"/>
      <c r="W11" s="2285"/>
      <c r="X11" s="2291"/>
      <c r="Y11" s="2154" t="str">
        <f>VLOOKUP(I10,実績!$C$5:$CV$1474,5,0)</f>
        <v>姫路市</v>
      </c>
      <c r="Z11" s="2286"/>
      <c r="AA11" s="2155"/>
      <c r="AB11" s="2285"/>
      <c r="AC11" s="2286"/>
      <c r="AD11" s="2155"/>
      <c r="AE11" s="2292"/>
      <c r="AF11" s="2293"/>
      <c r="AG11" s="2294"/>
      <c r="AH11" s="2154"/>
      <c r="AI11" s="2155"/>
      <c r="AJ11" s="2267"/>
      <c r="AK11" s="2268"/>
      <c r="AL11" s="2269"/>
      <c r="AM11" s="2331">
        <f>VLOOKUP(I10,実績!$C$5:$CV$1474,62,0)</f>
        <v>1</v>
      </c>
      <c r="AN11" s="2332"/>
      <c r="AO11" s="2332"/>
      <c r="AP11" s="2333"/>
      <c r="AQ11" s="2158"/>
      <c r="AR11" s="2159"/>
      <c r="AS11" s="2114"/>
      <c r="AT11" s="2159"/>
      <c r="AU11" s="2114"/>
      <c r="AV11" s="2159"/>
      <c r="AW11" s="2114"/>
      <c r="AX11" s="2159"/>
      <c r="AY11" s="2114"/>
      <c r="AZ11" s="2115"/>
      <c r="BA11" s="2240">
        <f>VLOOKUP(I10,実績!$C$5:$CV$1474,46,0)</f>
        <v>1.5</v>
      </c>
      <c r="BB11" s="2241"/>
      <c r="BC11" s="2242"/>
      <c r="BD11" s="2249"/>
      <c r="BE11" s="2250"/>
      <c r="BF11" s="2251"/>
      <c r="BG11" s="2181"/>
      <c r="BH11" s="2182"/>
      <c r="BI11" s="2182"/>
      <c r="BJ11" s="2182"/>
      <c r="BK11" s="2206"/>
      <c r="BL11" s="2287">
        <v>44102</v>
      </c>
      <c r="BM11" s="2288"/>
      <c r="BN11" s="2100" t="s">
        <v>15320</v>
      </c>
      <c r="BO11" s="2101"/>
      <c r="BP11" s="2287">
        <v>44123</v>
      </c>
      <c r="BQ11" s="2288"/>
      <c r="BR11" s="2100" t="s">
        <v>15320</v>
      </c>
      <c r="BS11" s="2101"/>
      <c r="BT11" s="2405"/>
      <c r="BU11" s="2416"/>
      <c r="BV11" s="2397"/>
      <c r="BW11" s="2407"/>
      <c r="BX11" s="2181"/>
      <c r="BY11" s="2182"/>
      <c r="BZ11" s="2182"/>
      <c r="CA11" s="2182"/>
      <c r="CB11" s="2183"/>
      <c r="CH11" s="14"/>
      <c r="CI11" s="14"/>
      <c r="CJ11" s="104"/>
      <c r="CK11" s="18"/>
      <c r="CL11" s="103"/>
      <c r="CM11" s="103"/>
      <c r="CN11" s="103"/>
      <c r="CO11" s="103"/>
      <c r="CP11" s="103"/>
      <c r="CQ11" s="103"/>
      <c r="CR11" s="103"/>
      <c r="CS11" s="103"/>
      <c r="CT11" s="103"/>
      <c r="CU11" s="103"/>
      <c r="CV11" s="103"/>
      <c r="CW11" s="44"/>
      <c r="CX11" s="44"/>
      <c r="CY11" s="44"/>
      <c r="CZ11" s="103"/>
      <c r="DA11" s="103"/>
      <c r="DB11" s="103"/>
      <c r="DC11" s="103"/>
      <c r="DD11" s="103"/>
      <c r="DE11" s="103"/>
    </row>
    <row r="12" spans="2:114" ht="30" customHeight="1">
      <c r="B12" s="2072"/>
      <c r="C12" s="2073"/>
      <c r="D12" s="2295" t="s">
        <v>4846</v>
      </c>
      <c r="E12" s="2239"/>
      <c r="F12" s="2283">
        <f>実績!B1401</f>
        <v>200004</v>
      </c>
      <c r="G12" s="2284"/>
      <c r="H12" s="2284"/>
      <c r="I12" s="2365" t="str">
        <f>VLOOKUP(F12,実績!$B$5:$CV$1474,2,0)</f>
        <v>長尾製缶所 本社第二工場(有田川)</v>
      </c>
      <c r="J12" s="2365"/>
      <c r="K12" s="2365"/>
      <c r="L12" s="2365"/>
      <c r="M12" s="2365"/>
      <c r="N12" s="2365"/>
      <c r="O12" s="2365"/>
      <c r="P12" s="2365"/>
      <c r="Q12" s="2365"/>
      <c r="R12" s="2365"/>
      <c r="S12" s="2365"/>
      <c r="T12" s="2366"/>
      <c r="U12" s="2164" t="str">
        <f>VLOOKUP(I12,実績!$C$5:$CV$1474,3,0)</f>
        <v>大田</v>
      </c>
      <c r="V12" s="2165"/>
      <c r="W12" s="2167" t="str">
        <f>VLOOKUP(I12,実績!$C$5:$CV$1474,2,0)</f>
        <v>近藤
フィ</v>
      </c>
      <c r="X12" s="2281"/>
      <c r="Y12" s="2164" t="str">
        <f>VLOOKUP(I12,実績!$C$5:$CV$1474,4,FALSE)</f>
        <v>和歌山県</v>
      </c>
      <c r="Z12" s="2166"/>
      <c r="AA12" s="2165"/>
      <c r="AB12" s="2167" t="str">
        <f>VLOOKUP(I12,実績!$C$5:$CV$1474,9,0)</f>
        <v>製缶所</v>
      </c>
      <c r="AC12" s="2166"/>
      <c r="AD12" s="2165"/>
      <c r="AE12" s="2272">
        <f>ROUND(VLOOKUP(I12,実績!$C$5:$CV$1474,42,0),-1)</f>
        <v>2270</v>
      </c>
      <c r="AF12" s="2273"/>
      <c r="AG12" s="2274"/>
      <c r="AH12" s="2164" t="str">
        <f>VLOOKUP(I12,実績!$C$5:$CV$1474,50,0)</f>
        <v>無</v>
      </c>
      <c r="AI12" s="2165"/>
      <c r="AJ12" s="2264">
        <f>VLOOKUP(I12,実績!$C$5:$CV$1474,60,0)</f>
        <v>27.5</v>
      </c>
      <c r="AK12" s="2265"/>
      <c r="AL12" s="2266"/>
      <c r="AM12" s="2252" t="str">
        <f>VLOOKUP(I12,実績!$C$5:$CV$1474,61,0)</f>
        <v>粘土(府植物混入)</v>
      </c>
      <c r="AN12" s="2253"/>
      <c r="AO12" s="2253"/>
      <c r="AP12" s="2254"/>
      <c r="AQ12" s="2132" t="str">
        <f>VLOOKUP(I12,実績!$C$5:$CV$1474,37,0)</f>
        <v>-</v>
      </c>
      <c r="AR12" s="2133"/>
      <c r="AS12" s="2125" t="str">
        <f>VLOOKUP(I12,実績!$C$5:$CV$1474,38,0)</f>
        <v>-</v>
      </c>
      <c r="AT12" s="2133"/>
      <c r="AU12" s="2125" t="str">
        <f>VLOOKUP(I12,実績!$C$5:$CV$1474,39,0)</f>
        <v>-</v>
      </c>
      <c r="AV12" s="2133"/>
      <c r="AW12" s="2125" t="str">
        <f>VLOOKUP(I12,実績!$C$5:$CV$1474,40,0)</f>
        <v>○</v>
      </c>
      <c r="AX12" s="2133"/>
      <c r="AY12" s="2125" t="str">
        <f>VLOOKUP(I12,実績!$C$5:$CV$1474,41,0)</f>
        <v>独立</v>
      </c>
      <c r="AZ12" s="2126"/>
      <c r="BA12" s="2240">
        <f>VLOOKUP(I12,実績!$C$5:$CV$1474,44,0)</f>
        <v>1.2</v>
      </c>
      <c r="BB12" s="2241"/>
      <c r="BC12" s="2242"/>
      <c r="BD12" s="2249">
        <v>44067</v>
      </c>
      <c r="BE12" s="2250"/>
      <c r="BF12" s="2194">
        <v>44151</v>
      </c>
      <c r="BG12" s="2093"/>
      <c r="BH12" s="2094"/>
      <c r="BI12" s="2094"/>
      <c r="BJ12" s="2094"/>
      <c r="BK12" s="2095"/>
      <c r="BL12" s="2287">
        <v>44089</v>
      </c>
      <c r="BM12" s="2288"/>
      <c r="BN12" s="2400" t="s">
        <v>4848</v>
      </c>
      <c r="BO12" s="2401"/>
      <c r="BP12" s="2287">
        <v>44089</v>
      </c>
      <c r="BQ12" s="2288"/>
      <c r="BR12" s="2400" t="s">
        <v>4848</v>
      </c>
      <c r="BS12" s="2401"/>
      <c r="BT12" s="2384">
        <f>ROUND(VLOOKUP(I12,実績!$C$5:$CV$1474,59,0),1)</f>
        <v>2.4</v>
      </c>
      <c r="BU12" s="2414" t="str">
        <f>VLOOKUP(I12,実績!$C$5:$CV$1474,67,0)</f>
        <v>工場</v>
      </c>
      <c r="BV12" s="2396" t="str">
        <f>VLOOKUP(I12,実績!$C$5:$CV$1474,68,0)</f>
        <v>○</v>
      </c>
      <c r="BW12" s="2381" t="str">
        <f>VLOOKUP(I12,実績!$C$5:$CV$1474,69,0)</f>
        <v>○</v>
      </c>
      <c r="BX12" s="2093" t="str">
        <f>VLOOKUP(I12,実績!$C$5:$CV$1474,75,0)</f>
        <v>改良底：支持層まで</v>
      </c>
      <c r="BY12" s="2094"/>
      <c r="BZ12" s="2094"/>
      <c r="CA12" s="2094"/>
      <c r="CB12" s="2180"/>
      <c r="CD12" s="1968">
        <f>F12</f>
        <v>200004</v>
      </c>
      <c r="CE12" s="1968" t="str">
        <f>I12</f>
        <v>長尾製缶所 本社第二工場(有田川)</v>
      </c>
      <c r="CF12" s="96">
        <f>BD12</f>
        <v>44067</v>
      </c>
      <c r="CG12" s="96">
        <f>BF12</f>
        <v>44151</v>
      </c>
      <c r="CH12" s="14"/>
      <c r="CI12" s="14"/>
      <c r="CJ12" s="104"/>
      <c r="CK12" s="18"/>
      <c r="CL12" s="103"/>
      <c r="CM12" s="103"/>
      <c r="CN12" s="103"/>
      <c r="CO12" s="103"/>
      <c r="CP12" s="103"/>
      <c r="CQ12" s="103"/>
      <c r="CR12" s="103"/>
      <c r="CS12" s="103"/>
      <c r="CT12" s="103"/>
      <c r="CU12" s="103"/>
      <c r="CV12" s="103"/>
      <c r="CW12" s="44"/>
      <c r="CX12" s="44"/>
      <c r="CY12" s="44"/>
      <c r="CZ12" s="103"/>
      <c r="DA12" s="103"/>
      <c r="DB12" s="103"/>
      <c r="DC12" s="103"/>
      <c r="DD12" s="103"/>
      <c r="DE12" s="103"/>
    </row>
    <row r="13" spans="2:114" ht="30" customHeight="1">
      <c r="B13" s="2072"/>
      <c r="C13" s="2073"/>
      <c r="D13" s="2295"/>
      <c r="E13" s="2239"/>
      <c r="F13" s="2184" t="str">
        <f>"("&amp;SUBSTITUTE(VLOOKUP(F12,実績!$B$5:$CV$1474,27,0),"株式会社 ","")&amp;","&amp;SUBSTITUTE(VLOOKUP(F12,実績!$B$5:$CV$1474,22,0),"有限会社 ","")&amp;")"</f>
        <v>(横河システム建築,和 構造設計事務所)</v>
      </c>
      <c r="G13" s="2185"/>
      <c r="H13" s="2185"/>
      <c r="I13" s="2185"/>
      <c r="J13" s="2185"/>
      <c r="K13" s="2185"/>
      <c r="L13" s="2185"/>
      <c r="M13" s="2185"/>
      <c r="N13" s="2185"/>
      <c r="O13" s="2185"/>
      <c r="P13" s="2185"/>
      <c r="Q13" s="2185"/>
      <c r="R13" s="2185"/>
      <c r="S13" s="2185"/>
      <c r="T13" s="2186"/>
      <c r="U13" s="2156"/>
      <c r="V13" s="2157"/>
      <c r="W13" s="2168"/>
      <c r="X13" s="2282"/>
      <c r="Y13" s="2156" t="str">
        <f>VLOOKUP(I12,実績!$C$5:$CV$1474,5,0)</f>
        <v>有田郡</v>
      </c>
      <c r="Z13" s="2169"/>
      <c r="AA13" s="2157"/>
      <c r="AB13" s="2168"/>
      <c r="AC13" s="2169"/>
      <c r="AD13" s="2157"/>
      <c r="AE13" s="2275"/>
      <c r="AF13" s="2276"/>
      <c r="AG13" s="2277"/>
      <c r="AH13" s="2156"/>
      <c r="AI13" s="2157"/>
      <c r="AJ13" s="2278"/>
      <c r="AK13" s="2279"/>
      <c r="AL13" s="2280"/>
      <c r="AM13" s="2252">
        <f>VLOOKUP(I12,実績!$C$5:$CV$1474,62,0)</f>
        <v>1.3</v>
      </c>
      <c r="AN13" s="2253"/>
      <c r="AO13" s="2253"/>
      <c r="AP13" s="2254"/>
      <c r="AQ13" s="2134"/>
      <c r="AR13" s="2135"/>
      <c r="AS13" s="2127"/>
      <c r="AT13" s="2135"/>
      <c r="AU13" s="2127"/>
      <c r="AV13" s="2135"/>
      <c r="AW13" s="2127"/>
      <c r="AX13" s="2135"/>
      <c r="AY13" s="2127"/>
      <c r="AZ13" s="2128"/>
      <c r="BA13" s="2240">
        <f>VLOOKUP(I12,実績!$C$5:$CV$1474,46,0)</f>
        <v>1.2</v>
      </c>
      <c r="BB13" s="2241"/>
      <c r="BC13" s="2242"/>
      <c r="BD13" s="2089"/>
      <c r="BE13" s="2090"/>
      <c r="BF13" s="2092"/>
      <c r="BG13" s="2096"/>
      <c r="BH13" s="2097"/>
      <c r="BI13" s="2097"/>
      <c r="BJ13" s="2097"/>
      <c r="BK13" s="2098"/>
      <c r="BL13" s="2287">
        <v>44098</v>
      </c>
      <c r="BM13" s="2288"/>
      <c r="BN13" s="2288" t="s">
        <v>15320</v>
      </c>
      <c r="BO13" s="2402"/>
      <c r="BP13" s="2287">
        <v>44098</v>
      </c>
      <c r="BQ13" s="2288"/>
      <c r="BR13" s="2288" t="s">
        <v>15320</v>
      </c>
      <c r="BS13" s="2402"/>
      <c r="BT13" s="2399"/>
      <c r="BU13" s="2415"/>
      <c r="BV13" s="2500"/>
      <c r="BW13" s="2382"/>
      <c r="BX13" s="2096"/>
      <c r="BY13" s="2097"/>
      <c r="BZ13" s="2097"/>
      <c r="CA13" s="2097"/>
      <c r="CB13" s="2189"/>
      <c r="CH13" s="14"/>
      <c r="CI13" s="14"/>
      <c r="CJ13" s="104"/>
      <c r="CK13" s="18"/>
      <c r="CL13" s="103"/>
      <c r="CM13" s="103"/>
      <c r="CN13" s="103"/>
      <c r="CO13" s="103"/>
      <c r="CP13" s="103"/>
      <c r="CQ13" s="103"/>
      <c r="CR13" s="103"/>
      <c r="CS13" s="103"/>
      <c r="CT13" s="103"/>
      <c r="CU13" s="103"/>
      <c r="CV13" s="103"/>
      <c r="CW13" s="44"/>
      <c r="CX13" s="44"/>
      <c r="CY13" s="44"/>
      <c r="CZ13" s="103"/>
      <c r="DA13" s="103"/>
      <c r="DB13" s="103"/>
      <c r="DC13" s="103"/>
      <c r="DD13" s="103"/>
      <c r="DE13" s="103"/>
    </row>
    <row r="14" spans="2:114" ht="30" customHeight="1">
      <c r="B14" s="2072"/>
      <c r="C14" s="2073"/>
      <c r="D14" s="2295" t="s">
        <v>4846</v>
      </c>
      <c r="E14" s="2239"/>
      <c r="F14" s="2283">
        <f>実績!B1390</f>
        <v>190133</v>
      </c>
      <c r="G14" s="2284"/>
      <c r="H14" s="2284"/>
      <c r="I14" s="2365" t="str">
        <f>VLOOKUP(F14,実績!$B$5:$CV$1474,2,0)</f>
        <v>デンカ株式会社 QC保存倉庫</v>
      </c>
      <c r="J14" s="2365"/>
      <c r="K14" s="2365"/>
      <c r="L14" s="2365"/>
      <c r="M14" s="2365"/>
      <c r="N14" s="2365"/>
      <c r="O14" s="2365"/>
      <c r="P14" s="2365"/>
      <c r="Q14" s="2365"/>
      <c r="R14" s="2365"/>
      <c r="S14" s="2365"/>
      <c r="T14" s="2366"/>
      <c r="U14" s="2164" t="str">
        <f>VLOOKUP(I14,実績!$C$5:$CV$1474,3,0)</f>
        <v>植松</v>
      </c>
      <c r="V14" s="2165"/>
      <c r="W14" s="2167" t="str">
        <f>VLOOKUP(I14,実績!$C$5:$CV$1474,2,0)</f>
        <v>ユイ
ハン</v>
      </c>
      <c r="X14" s="2281"/>
      <c r="Y14" s="2164" t="str">
        <f>VLOOKUP(I14,実績!$C$5:$CV$1474,4,FALSE)</f>
        <v>福岡県</v>
      </c>
      <c r="Z14" s="2166"/>
      <c r="AA14" s="2165"/>
      <c r="AB14" s="2167" t="str">
        <f>VLOOKUP(I14,実績!$C$5:$CV$1474,9,0)</f>
        <v>倉庫</v>
      </c>
      <c r="AC14" s="2166"/>
      <c r="AD14" s="2165"/>
      <c r="AE14" s="2272">
        <f>ROUND(VLOOKUP(I14,実績!$C$5:$CV$1474,42,0),-1)</f>
        <v>260</v>
      </c>
      <c r="AF14" s="2273"/>
      <c r="AG14" s="2274"/>
      <c r="AH14" s="2164" t="str">
        <f>VLOOKUP(I14,実績!$C$5:$CV$1474,50,0)</f>
        <v>○</v>
      </c>
      <c r="AI14" s="2165"/>
      <c r="AJ14" s="2264">
        <f>VLOOKUP(I14,実績!$C$5:$CV$1474,60,0)</f>
        <v>1.63</v>
      </c>
      <c r="AK14" s="2265"/>
      <c r="AL14" s="2266"/>
      <c r="AM14" s="2252" t="str">
        <f>VLOOKUP(I14,実績!$C$5:$CV$1474,61,0)</f>
        <v>ｼﾙﾄ質砂(腐植木片含む)</v>
      </c>
      <c r="AN14" s="2253"/>
      <c r="AO14" s="2253"/>
      <c r="AP14" s="2254"/>
      <c r="AQ14" s="2132" t="str">
        <f>VLOOKUP(I14,実績!$C$5:$CV$1474,37,0)</f>
        <v>-</v>
      </c>
      <c r="AR14" s="2133"/>
      <c r="AS14" s="2125" t="str">
        <f>VLOOKUP(I14,実績!$C$5:$CV$1474,38,0)</f>
        <v>-</v>
      </c>
      <c r="AT14" s="2133"/>
      <c r="AU14" s="2125" t="str">
        <f>VLOOKUP(I14,実績!$C$5:$CV$1474,39,0)</f>
        <v>-</v>
      </c>
      <c r="AV14" s="2133"/>
      <c r="AW14" s="2125" t="str">
        <f>VLOOKUP(I14,実績!$C$5:$CV$1474,40,0)</f>
        <v>-</v>
      </c>
      <c r="AX14" s="2133"/>
      <c r="AY14" s="2125" t="str">
        <f>VLOOKUP(I14,実績!$C$5:$CV$1474,41,0)</f>
        <v>独立</v>
      </c>
      <c r="AZ14" s="2126"/>
      <c r="BA14" s="2240">
        <f>VLOOKUP(I14,実績!$C$5:$CV$1474,44,0)</f>
        <v>1</v>
      </c>
      <c r="BB14" s="2241"/>
      <c r="BC14" s="2242"/>
      <c r="BD14" s="2129">
        <v>44057</v>
      </c>
      <c r="BE14" s="2088"/>
      <c r="BF14" s="2194">
        <v>44140</v>
      </c>
      <c r="BG14" s="2093"/>
      <c r="BH14" s="2094"/>
      <c r="BI14" s="2094"/>
      <c r="BJ14" s="2094"/>
      <c r="BK14" s="2095"/>
      <c r="BL14" s="2287" t="s">
        <v>18124</v>
      </c>
      <c r="BM14" s="2288"/>
      <c r="BN14" s="2400" t="s">
        <v>4848</v>
      </c>
      <c r="BO14" s="2401"/>
      <c r="BP14" s="2512"/>
      <c r="BQ14" s="2512"/>
      <c r="BR14" s="2512"/>
      <c r="BS14" s="2513"/>
      <c r="BT14" s="2384">
        <f>ROUND(VLOOKUP(I14,実績!$C$5:$CV$1474,59,0),1)</f>
        <v>1.3</v>
      </c>
      <c r="BU14" s="2414" t="str">
        <f>VLOOKUP(I14,実績!$C$5:$CV$1474,67,0)</f>
        <v>住宅・工場</v>
      </c>
      <c r="BV14" s="2396" t="str">
        <f>VLOOKUP(I14,実績!$C$5:$CV$1474,68,0)</f>
        <v>-</v>
      </c>
      <c r="BW14" s="2381" t="str">
        <f>VLOOKUP(I14,実績!$C$5:$CV$1474,69,0)</f>
        <v>-</v>
      </c>
      <c r="BX14" s="2093">
        <f>VLOOKUP(I14,実績!$C$5:$CV$1474,75,0)</f>
        <v>0</v>
      </c>
      <c r="BY14" s="2094"/>
      <c r="BZ14" s="2094"/>
      <c r="CA14" s="2094"/>
      <c r="CB14" s="2180"/>
      <c r="CD14" s="1968">
        <f>F14</f>
        <v>190133</v>
      </c>
      <c r="CE14" s="1968" t="str">
        <f>I14</f>
        <v>デンカ株式会社 QC保存倉庫</v>
      </c>
      <c r="CF14" s="96">
        <f>BD14</f>
        <v>44057</v>
      </c>
      <c r="CG14" s="96">
        <f>BF14</f>
        <v>44140</v>
      </c>
      <c r="CH14" s="14"/>
      <c r="CI14" s="14"/>
      <c r="CJ14" s="104"/>
      <c r="CK14" s="18"/>
      <c r="CL14" s="103"/>
      <c r="CM14" s="103"/>
      <c r="CN14" s="103"/>
      <c r="CO14" s="103"/>
      <c r="CP14" s="103"/>
      <c r="CQ14" s="103"/>
      <c r="CR14" s="103"/>
      <c r="CS14" s="103"/>
      <c r="CT14" s="103"/>
      <c r="CU14" s="103"/>
      <c r="CV14" s="103"/>
      <c r="CW14" s="44"/>
      <c r="CX14" s="44"/>
      <c r="CY14" s="44"/>
      <c r="CZ14" s="103"/>
      <c r="DA14" s="103"/>
      <c r="DB14" s="103"/>
      <c r="DC14" s="103"/>
      <c r="DD14" s="103"/>
      <c r="DE14" s="103"/>
    </row>
    <row r="15" spans="2:114" ht="30" customHeight="1" thickBot="1">
      <c r="B15" s="2074"/>
      <c r="C15" s="2075"/>
      <c r="D15" s="2295"/>
      <c r="E15" s="2239"/>
      <c r="F15" s="2221" t="str">
        <f>"("&amp;SUBSTITUTE(VLOOKUP(F14,実績!$B$5:$CV$1474,27,0),"株式会社 ","")&amp;","&amp;SUBSTITUTE(VLOOKUP(F14,実績!$B$5:$CV$1474,22,0),"株式会社 ","")&amp;")"</f>
        <v>(地工建設,横河システム建築)</v>
      </c>
      <c r="G15" s="2222"/>
      <c r="H15" s="2222"/>
      <c r="I15" s="2222"/>
      <c r="J15" s="2222"/>
      <c r="K15" s="2222"/>
      <c r="L15" s="2222"/>
      <c r="M15" s="2222"/>
      <c r="N15" s="2222"/>
      <c r="O15" s="2222"/>
      <c r="P15" s="2222"/>
      <c r="Q15" s="2222"/>
      <c r="R15" s="2222"/>
      <c r="S15" s="2222"/>
      <c r="T15" s="2223"/>
      <c r="U15" s="2156"/>
      <c r="V15" s="2157"/>
      <c r="W15" s="2168"/>
      <c r="X15" s="2282"/>
      <c r="Y15" s="2156" t="str">
        <f>VLOOKUP(I14,実績!$C$5:$CV$1474,5,0)</f>
        <v>大牟田市</v>
      </c>
      <c r="Z15" s="2169"/>
      <c r="AA15" s="2157"/>
      <c r="AB15" s="2168"/>
      <c r="AC15" s="2169"/>
      <c r="AD15" s="2157"/>
      <c r="AE15" s="2275"/>
      <c r="AF15" s="2276"/>
      <c r="AG15" s="2277"/>
      <c r="AH15" s="2156"/>
      <c r="AI15" s="2157"/>
      <c r="AJ15" s="2278"/>
      <c r="AK15" s="2279"/>
      <c r="AL15" s="2280"/>
      <c r="AM15" s="2252">
        <f>VLOOKUP(I14,実績!$C$5:$CV$1474,62,0)</f>
        <v>2</v>
      </c>
      <c r="AN15" s="2253"/>
      <c r="AO15" s="2253"/>
      <c r="AP15" s="2254"/>
      <c r="AQ15" s="2134"/>
      <c r="AR15" s="2135"/>
      <c r="AS15" s="2127"/>
      <c r="AT15" s="2135"/>
      <c r="AU15" s="2127"/>
      <c r="AV15" s="2135"/>
      <c r="AW15" s="2127"/>
      <c r="AX15" s="2135"/>
      <c r="AY15" s="2127"/>
      <c r="AZ15" s="2128"/>
      <c r="BA15" s="2240">
        <f>VLOOKUP(I14,実績!$C$5:$CV$1474,46,0)</f>
        <v>1.5</v>
      </c>
      <c r="BB15" s="2241"/>
      <c r="BC15" s="2242"/>
      <c r="BD15" s="2249"/>
      <c r="BE15" s="2250"/>
      <c r="BF15" s="2092"/>
      <c r="BG15" s="2096"/>
      <c r="BH15" s="2097"/>
      <c r="BI15" s="2097"/>
      <c r="BJ15" s="2097"/>
      <c r="BK15" s="2098"/>
      <c r="BL15" s="2287" t="s">
        <v>18125</v>
      </c>
      <c r="BM15" s="2288"/>
      <c r="BN15" s="2288" t="s">
        <v>15320</v>
      </c>
      <c r="BO15" s="2402"/>
      <c r="BP15" s="2512"/>
      <c r="BQ15" s="2512"/>
      <c r="BR15" s="2512"/>
      <c r="BS15" s="2513"/>
      <c r="BT15" s="2399"/>
      <c r="BU15" s="2415"/>
      <c r="BV15" s="2397"/>
      <c r="BW15" s="2382"/>
      <c r="BX15" s="2181"/>
      <c r="BY15" s="2182"/>
      <c r="BZ15" s="2182"/>
      <c r="CA15" s="2182"/>
      <c r="CB15" s="2183"/>
      <c r="CH15" s="14"/>
      <c r="CI15" s="14"/>
      <c r="CJ15" s="104"/>
      <c r="CK15" s="18"/>
      <c r="CL15" s="103"/>
      <c r="CM15" s="103"/>
      <c r="CN15" s="103"/>
      <c r="CO15" s="103"/>
      <c r="CP15" s="103"/>
      <c r="CQ15" s="103"/>
      <c r="CR15" s="103"/>
      <c r="CS15" s="103"/>
      <c r="CT15" s="103"/>
      <c r="CU15" s="103"/>
      <c r="CV15" s="103"/>
      <c r="CW15" s="44"/>
      <c r="CX15" s="44"/>
      <c r="CY15" s="44"/>
      <c r="CZ15" s="103"/>
      <c r="DA15" s="103"/>
      <c r="DB15" s="103"/>
      <c r="DC15" s="103"/>
      <c r="DD15" s="103"/>
      <c r="DE15" s="103"/>
    </row>
    <row r="16" spans="2:114" ht="6" customHeight="1" thickTop="1" thickBot="1">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D16" s="44"/>
      <c r="CE16" s="44"/>
      <c r="CF16" s="44"/>
      <c r="CG16" s="103"/>
      <c r="CH16" s="103"/>
      <c r="CI16" s="103"/>
      <c r="CJ16" s="103"/>
      <c r="CK16" s="103"/>
      <c r="CL16" s="103"/>
      <c r="CT16" s="68"/>
      <c r="CU16" s="68"/>
      <c r="CV16" s="68"/>
      <c r="CW16" s="68"/>
    </row>
    <row r="17" spans="2:101" ht="30" customHeight="1" thickTop="1" thickBot="1">
      <c r="B17" s="2537" t="s">
        <v>4850</v>
      </c>
      <c r="C17" s="2596" t="s">
        <v>4851</v>
      </c>
      <c r="D17" s="2543" t="s">
        <v>17493</v>
      </c>
      <c r="E17" s="2544"/>
      <c r="F17" s="2547">
        <f>実績!B1433</f>
        <v>200036</v>
      </c>
      <c r="G17" s="2548"/>
      <c r="H17" s="2548"/>
      <c r="I17" s="2523" t="str">
        <f>VLOOKUP(F17,実績!$B$5:$CV$1474,2,0)</f>
        <v>三共化学工業(株)倉庫</v>
      </c>
      <c r="J17" s="2523"/>
      <c r="K17" s="2523"/>
      <c r="L17" s="2523"/>
      <c r="M17" s="2523"/>
      <c r="N17" s="2523"/>
      <c r="O17" s="2523"/>
      <c r="P17" s="2523"/>
      <c r="Q17" s="2523"/>
      <c r="R17" s="2523"/>
      <c r="S17" s="2523"/>
      <c r="T17" s="2524"/>
      <c r="U17" s="2367" t="str">
        <f>VLOOKUP(I17,実績!$C$5:$CV$1474,3,0)</f>
        <v>竹内(宗)</v>
      </c>
      <c r="V17" s="2368"/>
      <c r="W17" s="2457" t="str">
        <f>VLOOKUP(I17,実績!$C$5:$CV$1474,2,0)</f>
        <v>ユイ
ﾏｲｱｲﾝ</v>
      </c>
      <c r="X17" s="2542"/>
      <c r="Y17" s="2367" t="str">
        <f>VLOOKUP(I17,実績!$C$5:$CV$1474,4,FALSE)</f>
        <v>青森県</v>
      </c>
      <c r="Z17" s="2458"/>
      <c r="AA17" s="2368"/>
      <c r="AB17" s="2457" t="str">
        <f>VLOOKUP(I17,実績!$C$5:$CV$1474,9,0)</f>
        <v>倉庫</v>
      </c>
      <c r="AC17" s="2458"/>
      <c r="AD17" s="2368"/>
      <c r="AE17" s="2525">
        <f>ROUND(VLOOKUP(I17,実績!$C$5:$CV$1474,42,0),-1)</f>
        <v>1290</v>
      </c>
      <c r="AF17" s="2526"/>
      <c r="AG17" s="2527"/>
      <c r="AH17" s="2367" t="str">
        <f>VLOOKUP(I17,実績!$C$5:$CV$1474,50,0)</f>
        <v>無</v>
      </c>
      <c r="AI17" s="2368"/>
      <c r="AJ17" s="2559">
        <f>VLOOKUP(I17,実績!$C$5:$CV$1474,60,0)</f>
        <v>0.86</v>
      </c>
      <c r="AK17" s="2560"/>
      <c r="AL17" s="2561"/>
      <c r="AM17" s="2549" t="str">
        <f>VLOOKUP(I17,実績!$C$5:$CV$1474,61,0)</f>
        <v>砂(有機質土薄層)</v>
      </c>
      <c r="AN17" s="2550"/>
      <c r="AO17" s="2550"/>
      <c r="AP17" s="2551"/>
      <c r="AQ17" s="2511" t="str">
        <f>VLOOKUP(I17,実績!$C$5:$CV$1474,37,0)</f>
        <v>-</v>
      </c>
      <c r="AR17" s="2312"/>
      <c r="AS17" s="2311" t="str">
        <f>VLOOKUP(I17,実績!$C$5:$CV$1474,38,0)</f>
        <v>-</v>
      </c>
      <c r="AT17" s="2312"/>
      <c r="AU17" s="2311" t="str">
        <f>VLOOKUP(I17,実績!$C$5:$CV$1474,39,0)</f>
        <v>-</v>
      </c>
      <c r="AV17" s="2312"/>
      <c r="AW17" s="2311" t="str">
        <f>VLOOKUP(I17,実績!$C$5:$CV$1474,40,0)</f>
        <v>-</v>
      </c>
      <c r="AX17" s="2312"/>
      <c r="AY17" s="2311" t="str">
        <f>VLOOKUP(I17,実績!$C$5:$CV$1474,41,0)</f>
        <v>独立</v>
      </c>
      <c r="AZ17" s="2447"/>
      <c r="BA17" s="2442">
        <f>VLOOKUP(I17,実績!$C$5:$CV$1474,44,0)</f>
        <v>1</v>
      </c>
      <c r="BB17" s="2443"/>
      <c r="BC17" s="2444"/>
      <c r="BD17" s="2521">
        <v>44092</v>
      </c>
      <c r="BE17" s="2522"/>
      <c r="BF17" s="2507">
        <v>44139</v>
      </c>
      <c r="BG17" s="2408"/>
      <c r="BH17" s="2409"/>
      <c r="BI17" s="2409"/>
      <c r="BJ17" s="2409"/>
      <c r="BK17" s="2514"/>
      <c r="BL17" s="2392">
        <v>44131</v>
      </c>
      <c r="BM17" s="2393"/>
      <c r="BN17" s="2394" t="s">
        <v>4848</v>
      </c>
      <c r="BO17" s="2395"/>
      <c r="BP17" s="2515">
        <v>44113</v>
      </c>
      <c r="BQ17" s="2516"/>
      <c r="BR17" s="2517" t="s">
        <v>4848</v>
      </c>
      <c r="BS17" s="2518"/>
      <c r="BT17" s="2501">
        <f>ROUND(VLOOKUP(I17,実績!$C$5:$CV$1474,59,0),1)</f>
        <v>1.8</v>
      </c>
      <c r="BU17" s="2406" t="str">
        <f>VLOOKUP(I17,実績!$C$5:$CV$1474,67,0)</f>
        <v>住宅・工場</v>
      </c>
      <c r="BV17" s="2389" t="str">
        <f>VLOOKUP(I17,実績!$C$5:$CV$1474,68,0)</f>
        <v>-</v>
      </c>
      <c r="BW17" s="2390" t="str">
        <f>VLOOKUP(I17,実績!$C$5:$CV$1474,69,0)</f>
        <v>○</v>
      </c>
      <c r="BX17" s="2408" t="str">
        <f>VLOOKUP(I17,実績!$C$5:$CV$1474,75,0)</f>
        <v>海に近い。</v>
      </c>
      <c r="BY17" s="2409"/>
      <c r="BZ17" s="2409"/>
      <c r="CA17" s="2409"/>
      <c r="CB17" s="2410"/>
      <c r="CD17" s="1968">
        <f>F17</f>
        <v>200036</v>
      </c>
      <c r="CE17" s="1968" t="str">
        <f>I17</f>
        <v>三共化学工業(株)倉庫</v>
      </c>
      <c r="CF17" s="96">
        <f>BD17</f>
        <v>44092</v>
      </c>
      <c r="CG17" s="96">
        <f>BF17</f>
        <v>44139</v>
      </c>
      <c r="CH17" s="14"/>
      <c r="CI17" s="14"/>
      <c r="CJ17" s="104"/>
      <c r="CK17" s="18"/>
      <c r="CL17" s="18"/>
      <c r="CM17" s="103"/>
      <c r="CN17" s="103"/>
      <c r="CO17" s="103"/>
      <c r="CP17" s="103"/>
      <c r="CQ17" s="103"/>
      <c r="CT17" s="68"/>
      <c r="CU17" s="68"/>
      <c r="CV17" s="68"/>
      <c r="CW17" s="68"/>
    </row>
    <row r="18" spans="2:101" ht="30" customHeight="1" thickTop="1" thickBot="1">
      <c r="B18" s="2537"/>
      <c r="C18" s="2596"/>
      <c r="D18" s="2545"/>
      <c r="E18" s="2546"/>
      <c r="F18" s="2530" t="str">
        <f>"("&amp;SUBSTITUTE(VLOOKUP(I17,実績!$C$5:$CV$1474,16,0),"有限会社 ","")&amp;","&amp;SUBSTITUTE(VLOOKUP(I17,実績!$C$5:$CV$1474,21,0),"株式会社 ","")&amp;")"</f>
        <v>(みかさ設計,横河システム建築)</v>
      </c>
      <c r="G18" s="2531"/>
      <c r="H18" s="2531"/>
      <c r="I18" s="2531"/>
      <c r="J18" s="2531"/>
      <c r="K18" s="2531"/>
      <c r="L18" s="2531"/>
      <c r="M18" s="2531"/>
      <c r="N18" s="2531"/>
      <c r="O18" s="2531"/>
      <c r="P18" s="2531"/>
      <c r="Q18" s="2531"/>
      <c r="R18" s="2531"/>
      <c r="S18" s="2531"/>
      <c r="T18" s="2532"/>
      <c r="U18" s="2156"/>
      <c r="V18" s="2157"/>
      <c r="W18" s="2168"/>
      <c r="X18" s="2282"/>
      <c r="Y18" s="2156" t="str">
        <f>VLOOKUP(I17,実績!$C$5:$CV$1474,5,0)</f>
        <v>八戸市</v>
      </c>
      <c r="Z18" s="2169"/>
      <c r="AA18" s="2157"/>
      <c r="AB18" s="2168"/>
      <c r="AC18" s="2169"/>
      <c r="AD18" s="2157"/>
      <c r="AE18" s="2275"/>
      <c r="AF18" s="2276"/>
      <c r="AG18" s="2277"/>
      <c r="AH18" s="2156"/>
      <c r="AI18" s="2157"/>
      <c r="AJ18" s="2278"/>
      <c r="AK18" s="2279"/>
      <c r="AL18" s="2280"/>
      <c r="AM18" s="2252">
        <f>VLOOKUP(I17,実績!$C$5:$CV$1474,62,0)</f>
        <v>1</v>
      </c>
      <c r="AN18" s="2253"/>
      <c r="AO18" s="2253"/>
      <c r="AP18" s="2254"/>
      <c r="AQ18" s="2134"/>
      <c r="AR18" s="2135"/>
      <c r="AS18" s="2127"/>
      <c r="AT18" s="2135"/>
      <c r="AU18" s="2127"/>
      <c r="AV18" s="2135"/>
      <c r="AW18" s="2127"/>
      <c r="AX18" s="2135"/>
      <c r="AY18" s="2127"/>
      <c r="AZ18" s="2128"/>
      <c r="BA18" s="2240">
        <f>VLOOKUP(I17,実績!$C$5:$CV$1474,46,0)</f>
        <v>1.5</v>
      </c>
      <c r="BB18" s="2241"/>
      <c r="BC18" s="2242"/>
      <c r="BD18" s="2089"/>
      <c r="BE18" s="2090"/>
      <c r="BF18" s="2092"/>
      <c r="BG18" s="2096"/>
      <c r="BH18" s="2097"/>
      <c r="BI18" s="2097"/>
      <c r="BJ18" s="2097"/>
      <c r="BK18" s="2098"/>
      <c r="BL18" s="2392">
        <v>44131</v>
      </c>
      <c r="BM18" s="2393"/>
      <c r="BN18" s="2417" t="s">
        <v>11584</v>
      </c>
      <c r="BO18" s="2418"/>
      <c r="BP18" s="2287">
        <v>44116</v>
      </c>
      <c r="BQ18" s="2288"/>
      <c r="BR18" s="2288" t="s">
        <v>15320</v>
      </c>
      <c r="BS18" s="2402"/>
      <c r="BT18" s="2104"/>
      <c r="BU18" s="2106"/>
      <c r="BV18" s="2188"/>
      <c r="BW18" s="2139"/>
      <c r="BX18" s="2096"/>
      <c r="BY18" s="2097"/>
      <c r="BZ18" s="2097"/>
      <c r="CA18" s="2097"/>
      <c r="CB18" s="2189"/>
      <c r="CH18" s="14"/>
      <c r="CI18" s="14"/>
      <c r="CJ18" s="104"/>
      <c r="CK18" s="18"/>
      <c r="CL18" s="18"/>
      <c r="CM18" s="103"/>
      <c r="CN18" s="103"/>
      <c r="CO18" s="103"/>
      <c r="CP18" s="103"/>
      <c r="CQ18" s="103"/>
      <c r="CT18" s="68"/>
      <c r="CU18" s="68"/>
      <c r="CV18" s="68"/>
      <c r="CW18" s="68"/>
    </row>
    <row r="19" spans="2:101" ht="30" customHeight="1" thickTop="1" thickBot="1">
      <c r="B19" s="2537"/>
      <c r="C19" s="2596"/>
      <c r="D19" s="2295" t="s">
        <v>4846</v>
      </c>
      <c r="E19" s="2239"/>
      <c r="F19" s="2283">
        <f>実績!B1420</f>
        <v>200023</v>
      </c>
      <c r="G19" s="2284"/>
      <c r="H19" s="2284"/>
      <c r="I19" s="2371" t="str">
        <f>VLOOKUP(F19,実績!$B$5:$CV$1474,2,0)</f>
        <v>小西咲佃工場</v>
      </c>
      <c r="J19" s="2371"/>
      <c r="K19" s="2371"/>
      <c r="L19" s="2371"/>
      <c r="M19" s="2371"/>
      <c r="N19" s="2371"/>
      <c r="O19" s="2371"/>
      <c r="P19" s="2371"/>
      <c r="Q19" s="2371"/>
      <c r="R19" s="2371"/>
      <c r="S19" s="2371"/>
      <c r="T19" s="2372"/>
      <c r="U19" s="2164" t="str">
        <f>VLOOKUP(I19,実績!$C$5:$CV$1474,3,0)</f>
        <v>新井</v>
      </c>
      <c r="V19" s="2165"/>
      <c r="W19" s="2167" t="str">
        <f>VLOOKUP(I19,実績!$C$5:$CV$1474,2,0)</f>
        <v>村上
ﾗﾝ</v>
      </c>
      <c r="X19" s="2281"/>
      <c r="Y19" s="2164" t="str">
        <f>VLOOKUP(I19,実績!$C$5:$CV$1474,4,FALSE)</f>
        <v>大阪府</v>
      </c>
      <c r="Z19" s="2166"/>
      <c r="AA19" s="2165"/>
      <c r="AB19" s="2167" t="str">
        <f>VLOOKUP(I19,実績!$C$5:$CV$1474,9,0)</f>
        <v>工場</v>
      </c>
      <c r="AC19" s="2166"/>
      <c r="AD19" s="2165"/>
      <c r="AE19" s="2272">
        <f>ROUND(VLOOKUP(I19,実績!$C$5:$CV$1474,42,0),-1)</f>
        <v>540</v>
      </c>
      <c r="AF19" s="2273"/>
      <c r="AG19" s="2274"/>
      <c r="AH19" s="2164" t="str">
        <f>VLOOKUP(I19,実績!$C$5:$CV$1474,50,0)</f>
        <v>無</v>
      </c>
      <c r="AI19" s="2165"/>
      <c r="AJ19" s="2264">
        <f>VLOOKUP(I19,実績!$C$5:$CV$1474,60,0)</f>
        <v>1.36</v>
      </c>
      <c r="AK19" s="2265"/>
      <c r="AL19" s="2266"/>
      <c r="AM19" s="2224" t="str">
        <f>VLOOKUP(I19,実績!$C$5:$CV$1474,61,0)</f>
        <v>-</v>
      </c>
      <c r="AN19" s="2225"/>
      <c r="AO19" s="2225"/>
      <c r="AP19" s="2226"/>
      <c r="AQ19" s="2132" t="str">
        <f>VLOOKUP(I19,実績!$C$5:$CV$1474,37,0)</f>
        <v>-</v>
      </c>
      <c r="AR19" s="2133"/>
      <c r="AS19" s="2125" t="str">
        <f>VLOOKUP(I19,実績!$C$5:$CV$1474,38,0)</f>
        <v>-</v>
      </c>
      <c r="AT19" s="2133"/>
      <c r="AU19" s="2125" t="str">
        <f>VLOOKUP(I19,実績!$C$5:$CV$1474,39,0)</f>
        <v>-</v>
      </c>
      <c r="AV19" s="2133"/>
      <c r="AW19" s="2125" t="str">
        <f>VLOOKUP(I19,実績!$C$5:$CV$1474,40,0)</f>
        <v>○</v>
      </c>
      <c r="AX19" s="2133"/>
      <c r="AY19" s="2125" t="str">
        <f>VLOOKUP(I19,実績!$C$5:$CV$1474,41,0)</f>
        <v>独立</v>
      </c>
      <c r="AZ19" s="2126"/>
      <c r="BA19" s="2240">
        <f>VLOOKUP(I19,実績!$C$5:$CV$1474,44,0)</f>
        <v>1</v>
      </c>
      <c r="BB19" s="2241"/>
      <c r="BC19" s="2242"/>
      <c r="BD19" s="2129">
        <v>44089</v>
      </c>
      <c r="BE19" s="2088"/>
      <c r="BF19" s="2194">
        <v>44151</v>
      </c>
      <c r="BG19" s="2093"/>
      <c r="BH19" s="2094"/>
      <c r="BI19" s="2094"/>
      <c r="BJ19" s="2094"/>
      <c r="BK19" s="2095"/>
      <c r="BL19" s="2287">
        <v>44110</v>
      </c>
      <c r="BM19" s="2288"/>
      <c r="BN19" s="2400" t="s">
        <v>4848</v>
      </c>
      <c r="BO19" s="2401"/>
      <c r="BP19" s="2392">
        <v>44131</v>
      </c>
      <c r="BQ19" s="2393"/>
      <c r="BR19" s="2394" t="s">
        <v>4848</v>
      </c>
      <c r="BS19" s="2395"/>
      <c r="BT19" s="2384">
        <f>ROUND(VLOOKUP(I19,実績!$C$5:$CV$1474,59,0),1)</f>
        <v>1</v>
      </c>
      <c r="BU19" s="2414" t="str">
        <f>VLOOKUP(I19,実績!$C$5:$CV$1474,67,0)</f>
        <v>住宅・工場</v>
      </c>
      <c r="BV19" s="2396" t="str">
        <f>VLOOKUP(I19,実績!$C$5:$CV$1474,68,0)</f>
        <v>-</v>
      </c>
      <c r="BW19" s="2381" t="str">
        <f>VLOOKUP(I19,実績!$C$5:$CV$1474,69,0)</f>
        <v>○</v>
      </c>
      <c r="BX19" s="2093">
        <f>VLOOKUP(I19,実績!$C$5:$CV$1474,75,0)</f>
        <v>0</v>
      </c>
      <c r="BY19" s="2094"/>
      <c r="BZ19" s="2094"/>
      <c r="CA19" s="2094"/>
      <c r="CB19" s="2180"/>
      <c r="CD19" s="1968">
        <f>F19</f>
        <v>200023</v>
      </c>
      <c r="CE19" s="1968" t="str">
        <f>I19</f>
        <v>小西咲佃工場</v>
      </c>
      <c r="CF19" s="96">
        <f>BD19</f>
        <v>44089</v>
      </c>
      <c r="CG19" s="96">
        <f>BF19</f>
        <v>44151</v>
      </c>
      <c r="CH19" s="14"/>
      <c r="CI19" s="14"/>
      <c r="CJ19" s="104"/>
      <c r="CK19" s="18"/>
      <c r="CL19" s="18"/>
      <c r="CM19" s="103"/>
      <c r="CN19" s="103"/>
      <c r="CO19" s="103"/>
      <c r="CP19" s="103"/>
      <c r="CQ19" s="103"/>
      <c r="CT19" s="68"/>
      <c r="CU19" s="68"/>
      <c r="CV19" s="68"/>
      <c r="CW19" s="68"/>
    </row>
    <row r="20" spans="2:101" ht="30" customHeight="1" thickTop="1" thickBot="1">
      <c r="B20" s="2537"/>
      <c r="C20" s="2596"/>
      <c r="D20" s="2313"/>
      <c r="E20" s="2133"/>
      <c r="F20" s="2221" t="str">
        <f>"("&amp;SUBSTITUTE(VLOOKUP(I19,実績!$C$5:$CV$1474,16,0),"有限会社 ","")&amp;","&amp;SUBSTITUTE(VLOOKUP(I19,実績!$C$5:$CV$1474,21,0),"株式会社 ","")&amp;")"</f>
        <v>(金山工務店,エスパス建築事務所)</v>
      </c>
      <c r="G20" s="2222"/>
      <c r="H20" s="2222"/>
      <c r="I20" s="2222"/>
      <c r="J20" s="2222"/>
      <c r="K20" s="2222"/>
      <c r="L20" s="2222"/>
      <c r="M20" s="2222"/>
      <c r="N20" s="2222"/>
      <c r="O20" s="2222"/>
      <c r="P20" s="2222"/>
      <c r="Q20" s="2222"/>
      <c r="R20" s="2222"/>
      <c r="S20" s="2222"/>
      <c r="T20" s="2223"/>
      <c r="U20" s="2154"/>
      <c r="V20" s="2155"/>
      <c r="W20" s="2285"/>
      <c r="X20" s="2291"/>
      <c r="Y20" s="2154" t="str">
        <f>VLOOKUP(I19,実績!$C$5:$CV$1474,5,0)</f>
        <v>大阪市</v>
      </c>
      <c r="Z20" s="2286"/>
      <c r="AA20" s="2155"/>
      <c r="AB20" s="2285"/>
      <c r="AC20" s="2286"/>
      <c r="AD20" s="2155"/>
      <c r="AE20" s="2292"/>
      <c r="AF20" s="2293"/>
      <c r="AG20" s="2294"/>
      <c r="AH20" s="2154"/>
      <c r="AI20" s="2155"/>
      <c r="AJ20" s="2267"/>
      <c r="AK20" s="2268"/>
      <c r="AL20" s="2269"/>
      <c r="AM20" s="2348" t="str">
        <f>VLOOKUP(I19,実績!$C$5:$CV$1474,62,0)</f>
        <v>-</v>
      </c>
      <c r="AN20" s="2349"/>
      <c r="AO20" s="2349"/>
      <c r="AP20" s="2350"/>
      <c r="AQ20" s="2158"/>
      <c r="AR20" s="2159"/>
      <c r="AS20" s="2114"/>
      <c r="AT20" s="2159"/>
      <c r="AU20" s="2114"/>
      <c r="AV20" s="2159"/>
      <c r="AW20" s="2114"/>
      <c r="AX20" s="2159"/>
      <c r="AY20" s="2114"/>
      <c r="AZ20" s="2115"/>
      <c r="BA20" s="2240">
        <f>VLOOKUP(I19,実績!$C$5:$CV$1474,46,0)</f>
        <v>1.5</v>
      </c>
      <c r="BB20" s="2241"/>
      <c r="BC20" s="2242"/>
      <c r="BD20" s="2249"/>
      <c r="BE20" s="2250"/>
      <c r="BF20" s="2251"/>
      <c r="BG20" s="2181"/>
      <c r="BH20" s="2182"/>
      <c r="BI20" s="2182"/>
      <c r="BJ20" s="2182"/>
      <c r="BK20" s="2206"/>
      <c r="BL20" s="2287">
        <v>44171</v>
      </c>
      <c r="BM20" s="2288"/>
      <c r="BN20" s="2100" t="s">
        <v>15320</v>
      </c>
      <c r="BO20" s="2101"/>
      <c r="BP20" s="2287"/>
      <c r="BQ20" s="2288"/>
      <c r="BR20" s="2288"/>
      <c r="BS20" s="2404"/>
      <c r="BT20" s="2405"/>
      <c r="BU20" s="2416"/>
      <c r="BV20" s="2397"/>
      <c r="BW20" s="2407"/>
      <c r="BX20" s="2181"/>
      <c r="BY20" s="2182"/>
      <c r="BZ20" s="2182"/>
      <c r="CA20" s="2182"/>
      <c r="CB20" s="2183"/>
      <c r="CH20" s="14"/>
      <c r="CI20" s="14"/>
      <c r="CJ20" s="104"/>
      <c r="CK20" s="18"/>
      <c r="CL20" s="18"/>
      <c r="CM20" s="103"/>
      <c r="CN20" s="103"/>
      <c r="CO20" s="103"/>
      <c r="CP20" s="103"/>
      <c r="CQ20" s="103"/>
      <c r="CT20" s="68"/>
      <c r="CU20" s="68"/>
      <c r="CV20" s="68"/>
      <c r="CW20" s="68"/>
    </row>
    <row r="21" spans="2:101" ht="30" customHeight="1" thickTop="1" thickBot="1">
      <c r="B21" s="2537"/>
      <c r="C21" s="2596"/>
      <c r="D21" s="2313" t="s">
        <v>4846</v>
      </c>
      <c r="E21" s="2133"/>
      <c r="F21" s="2283">
        <f>実績!B1438</f>
        <v>200041</v>
      </c>
      <c r="G21" s="2284"/>
      <c r="H21" s="2284"/>
      <c r="I21" s="2365" t="str">
        <f>VLOOKUP(F21,実績!$B$5:$CV$1474,2,0)</f>
        <v>ヤマザワ高砂</v>
      </c>
      <c r="J21" s="2365"/>
      <c r="K21" s="2365"/>
      <c r="L21" s="2365"/>
      <c r="M21" s="2365"/>
      <c r="N21" s="2365"/>
      <c r="O21" s="2365"/>
      <c r="P21" s="2365"/>
      <c r="Q21" s="2365"/>
      <c r="R21" s="2365"/>
      <c r="S21" s="2365"/>
      <c r="T21" s="2366"/>
      <c r="U21" s="2164" t="str">
        <f>VLOOKUP(I21,実績!$C$5:$CV$1474,3,0)</f>
        <v>大田</v>
      </c>
      <c r="V21" s="2165"/>
      <c r="W21" s="2167" t="str">
        <f>VLOOKUP(I21,実績!$C$5:$CV$1474,2,0)</f>
        <v>ユイ
ラン</v>
      </c>
      <c r="X21" s="2281"/>
      <c r="Y21" s="2164" t="str">
        <f>VLOOKUP(I21,実績!$C$5:$CV$1474,4,FALSE)</f>
        <v>宮城県</v>
      </c>
      <c r="Z21" s="2166"/>
      <c r="AA21" s="2165"/>
      <c r="AB21" s="2167" t="str">
        <f>VLOOKUP(I21,実績!$C$5:$CV$1474,9,0)</f>
        <v>店舗</v>
      </c>
      <c r="AC21" s="2166"/>
      <c r="AD21" s="2165"/>
      <c r="AE21" s="2272">
        <f>ROUND(VLOOKUP(I21,実績!$C$5:$CV$1474,42,0),-1)</f>
        <v>2150</v>
      </c>
      <c r="AF21" s="2273"/>
      <c r="AG21" s="2274"/>
      <c r="AH21" s="2164" t="str">
        <f>VLOOKUP(I21,実績!$C$5:$CV$1474,50,0)</f>
        <v>無</v>
      </c>
      <c r="AI21" s="2165"/>
      <c r="AJ21" s="2373" t="s">
        <v>8458</v>
      </c>
      <c r="AK21" s="2374"/>
      <c r="AL21" s="2375"/>
      <c r="AM21" s="2252" t="str">
        <f>VLOOKUP(I21,実績!$C$5:$CV$1474,61,0)</f>
        <v>有機質ｼﾙﾄ</v>
      </c>
      <c r="AN21" s="2253"/>
      <c r="AO21" s="2253"/>
      <c r="AP21" s="2254"/>
      <c r="AQ21" s="2132" t="str">
        <f>VLOOKUP(I21,実績!$C$5:$CV$1474,37,0)</f>
        <v>-</v>
      </c>
      <c r="AR21" s="2133"/>
      <c r="AS21" s="2125" t="str">
        <f>VLOOKUP(I21,実績!$C$5:$CV$1474,38,0)</f>
        <v>-</v>
      </c>
      <c r="AT21" s="2133"/>
      <c r="AU21" s="2125" t="str">
        <f>VLOOKUP(I21,実績!$C$5:$CV$1474,39,0)</f>
        <v>-</v>
      </c>
      <c r="AV21" s="2133"/>
      <c r="AW21" s="2125" t="str">
        <f>VLOOKUP(I21,実績!$C$5:$CV$1474,40,0)</f>
        <v>-</v>
      </c>
      <c r="AX21" s="2133"/>
      <c r="AY21" s="2125" t="str">
        <f>VLOOKUP(I21,実績!$C$5:$CV$1474,41,0)</f>
        <v>独立</v>
      </c>
      <c r="AZ21" s="2126"/>
      <c r="BA21" s="2240">
        <f>VLOOKUP(I21,実績!$C$5:$CV$1474,44,0)</f>
        <v>0.8</v>
      </c>
      <c r="BB21" s="2241"/>
      <c r="BC21" s="2242"/>
      <c r="BD21" s="2129">
        <v>44118</v>
      </c>
      <c r="BE21" s="2088"/>
      <c r="BF21" s="2194">
        <v>44154</v>
      </c>
      <c r="BG21" s="2093"/>
      <c r="BH21" s="2094"/>
      <c r="BI21" s="2094"/>
      <c r="BJ21" s="2094"/>
      <c r="BK21" s="2095"/>
      <c r="BL21" s="2392">
        <v>44130</v>
      </c>
      <c r="BM21" s="2393"/>
      <c r="BN21" s="2394" t="s">
        <v>4848</v>
      </c>
      <c r="BO21" s="2395"/>
      <c r="BP21" s="2392">
        <v>44127</v>
      </c>
      <c r="BQ21" s="2393"/>
      <c r="BR21" s="2394" t="s">
        <v>4848</v>
      </c>
      <c r="BS21" s="2395"/>
      <c r="BT21" s="2103">
        <f>ROUND(VLOOKUP(I21,実績!$C$5:$CV$1474,59,0),1)</f>
        <v>1.8</v>
      </c>
      <c r="BU21" s="2105" t="str">
        <f>VLOOKUP(I21,実績!$C$5:$CV$1474,67,0)</f>
        <v>住宅・店舗</v>
      </c>
      <c r="BV21" s="2136">
        <f>VLOOKUP(I21,実績!$C$5:$CV$1474,68,0)</f>
        <v>0</v>
      </c>
      <c r="BW21" s="2138" t="str">
        <f>VLOOKUP(I21,実績!$C$5:$CV$1474,69,0)</f>
        <v>○</v>
      </c>
      <c r="BX21" s="2093">
        <f>VLOOKUP(I21,実績!$C$5:$CV$1474,75,0)</f>
        <v>0</v>
      </c>
      <c r="BY21" s="2094"/>
      <c r="BZ21" s="2094"/>
      <c r="CA21" s="2094"/>
      <c r="CB21" s="2180"/>
      <c r="CD21" s="1968">
        <f>F21</f>
        <v>200041</v>
      </c>
      <c r="CE21" s="1968" t="str">
        <f>I21</f>
        <v>ヤマザワ高砂</v>
      </c>
      <c r="CF21" s="96">
        <f>BD21</f>
        <v>44118</v>
      </c>
      <c r="CG21" s="96">
        <f>BF21</f>
        <v>44154</v>
      </c>
      <c r="CH21" s="14"/>
      <c r="CI21" s="14"/>
      <c r="CJ21" s="104"/>
      <c r="CK21" s="18"/>
      <c r="CL21" s="18"/>
      <c r="CM21" s="103"/>
      <c r="CN21" s="103"/>
      <c r="CO21" s="103"/>
      <c r="CP21" s="103"/>
      <c r="CQ21" s="103"/>
      <c r="CT21" s="68"/>
      <c r="CU21" s="68"/>
      <c r="CV21" s="68"/>
      <c r="CW21" s="68"/>
    </row>
    <row r="22" spans="2:101" ht="30" customHeight="1" thickTop="1" thickBot="1">
      <c r="B22" s="2537"/>
      <c r="C22" s="2596"/>
      <c r="D22" s="2314"/>
      <c r="E22" s="2135"/>
      <c r="F22" s="2184" t="str">
        <f>"("&amp;SUBSTITUTE(VLOOKUP(I21,実績!$C$5:$CV$1474,16,0),"株式会社 ","")&amp;","&amp;SUBSTITUTE(VLOOKUP(I21,実績!$C$5:$CV$1474,21,0),"株式会社 ","")&amp;")"</f>
        <v>(甲(きのえ)設計事務所,田中構造設計事務所)</v>
      </c>
      <c r="G22" s="2185"/>
      <c r="H22" s="2185"/>
      <c r="I22" s="2185"/>
      <c r="J22" s="2185"/>
      <c r="K22" s="2185"/>
      <c r="L22" s="2185"/>
      <c r="M22" s="2185"/>
      <c r="N22" s="2185"/>
      <c r="O22" s="2185"/>
      <c r="P22" s="2185"/>
      <c r="Q22" s="2185"/>
      <c r="R22" s="2185"/>
      <c r="S22" s="2185"/>
      <c r="T22" s="2186"/>
      <c r="U22" s="2156"/>
      <c r="V22" s="2157"/>
      <c r="W22" s="2168"/>
      <c r="X22" s="2282"/>
      <c r="Y22" s="2156" t="str">
        <f>VLOOKUP(I21,実績!$C$5:$CV$1474,5,0)</f>
        <v>仙台市</v>
      </c>
      <c r="Z22" s="2169"/>
      <c r="AA22" s="2157"/>
      <c r="AB22" s="2168"/>
      <c r="AC22" s="2169"/>
      <c r="AD22" s="2157"/>
      <c r="AE22" s="2275"/>
      <c r="AF22" s="2276"/>
      <c r="AG22" s="2277"/>
      <c r="AH22" s="2156"/>
      <c r="AI22" s="2157"/>
      <c r="AJ22" s="2376"/>
      <c r="AK22" s="2377"/>
      <c r="AL22" s="2378"/>
      <c r="AM22" s="2252">
        <f>VLOOKUP(I21,実績!$C$5:$CV$1474,62,0)</f>
        <v>1</v>
      </c>
      <c r="AN22" s="2253"/>
      <c r="AO22" s="2253"/>
      <c r="AP22" s="2254"/>
      <c r="AQ22" s="2134"/>
      <c r="AR22" s="2135"/>
      <c r="AS22" s="2127"/>
      <c r="AT22" s="2135"/>
      <c r="AU22" s="2127"/>
      <c r="AV22" s="2135"/>
      <c r="AW22" s="2127"/>
      <c r="AX22" s="2135"/>
      <c r="AY22" s="2127"/>
      <c r="AZ22" s="2128"/>
      <c r="BA22" s="2240">
        <f>VLOOKUP(I21,実績!$C$5:$CV$1474,46,0)</f>
        <v>1.5</v>
      </c>
      <c r="BB22" s="2241"/>
      <c r="BC22" s="2242"/>
      <c r="BD22" s="2089"/>
      <c r="BE22" s="2090"/>
      <c r="BF22" s="2092"/>
      <c r="BG22" s="2096"/>
      <c r="BH22" s="2097"/>
      <c r="BI22" s="2097"/>
      <c r="BJ22" s="2097"/>
      <c r="BK22" s="2098"/>
      <c r="BL22" s="2392">
        <v>44131</v>
      </c>
      <c r="BM22" s="2393"/>
      <c r="BN22" s="2417" t="s">
        <v>11584</v>
      </c>
      <c r="BO22" s="2418"/>
      <c r="BP22" s="2392">
        <v>44130</v>
      </c>
      <c r="BQ22" s="2393"/>
      <c r="BR22" s="2417" t="s">
        <v>11584</v>
      </c>
      <c r="BS22" s="2418"/>
      <c r="BT22" s="2104"/>
      <c r="BU22" s="2106"/>
      <c r="BV22" s="2188"/>
      <c r="BW22" s="2139"/>
      <c r="BX22" s="2096"/>
      <c r="BY22" s="2097"/>
      <c r="BZ22" s="2097"/>
      <c r="CA22" s="2097"/>
      <c r="CB22" s="2189"/>
      <c r="CH22" s="14"/>
      <c r="CI22" s="14"/>
      <c r="CJ22" s="104"/>
      <c r="CK22" s="18"/>
      <c r="CL22" s="18"/>
      <c r="CM22" s="103"/>
      <c r="CN22" s="103"/>
      <c r="CO22" s="103"/>
      <c r="CP22" s="103"/>
      <c r="CQ22" s="103"/>
      <c r="CT22" s="68"/>
      <c r="CU22" s="68"/>
      <c r="CV22" s="68"/>
      <c r="CW22" s="68"/>
    </row>
    <row r="23" spans="2:101" ht="30" customHeight="1" thickTop="1" thickBot="1">
      <c r="B23" s="2537"/>
      <c r="C23" s="2596"/>
      <c r="D23" s="2361" t="s">
        <v>10423</v>
      </c>
      <c r="E23" s="2362"/>
      <c r="F23" s="2363">
        <f>実績!B1388</f>
        <v>190131</v>
      </c>
      <c r="G23" s="2364"/>
      <c r="H23" s="2364"/>
      <c r="I23" s="2379" t="str">
        <f>VLOOKUP(F23,実績!$B$5:$CV$1474,2,0)</f>
        <v>マルイウエストランド</v>
      </c>
      <c r="J23" s="2379"/>
      <c r="K23" s="2379"/>
      <c r="L23" s="2379"/>
      <c r="M23" s="2379"/>
      <c r="N23" s="2379"/>
      <c r="O23" s="2379"/>
      <c r="P23" s="2379"/>
      <c r="Q23" s="2379"/>
      <c r="R23" s="2379"/>
      <c r="S23" s="2379"/>
      <c r="T23" s="2380"/>
      <c r="U23" s="2164" t="str">
        <f>VLOOKUP(I23,実績!$C$5:$CV$1474,3,0)</f>
        <v>沖本</v>
      </c>
      <c r="V23" s="2165"/>
      <c r="W23" s="2167" t="str">
        <f>VLOOKUP(I23,実績!$C$5:$CV$1474,2,0)</f>
        <v>宮北
村上</v>
      </c>
      <c r="X23" s="2281"/>
      <c r="Y23" s="2164" t="str">
        <f>VLOOKUP(I23,実績!$C$5:$CV$1474,4,FALSE)</f>
        <v>岡山県</v>
      </c>
      <c r="Z23" s="2166"/>
      <c r="AA23" s="2165"/>
      <c r="AB23" s="2167" t="str">
        <f>VLOOKUP(I23,実績!$C$5:$CV$1474,9,0)</f>
        <v>店舗</v>
      </c>
      <c r="AC23" s="2166"/>
      <c r="AD23" s="2165"/>
      <c r="AE23" s="2272">
        <f>ROUND(VLOOKUP(I23,実績!$C$5:$CV$1474,42,0),-1)</f>
        <v>4480</v>
      </c>
      <c r="AF23" s="2273"/>
      <c r="AG23" s="2274"/>
      <c r="AH23" s="2164" t="str">
        <f>VLOOKUP(I23,実績!$C$5:$CV$1474,50,0)</f>
        <v>無</v>
      </c>
      <c r="AI23" s="2165"/>
      <c r="AJ23" s="2264">
        <f>VLOOKUP(I23,実績!$C$5:$CV$1474,60,0)</f>
        <v>3.19</v>
      </c>
      <c r="AK23" s="2265"/>
      <c r="AL23" s="2266"/>
      <c r="AM23" s="2224" t="str">
        <f>VLOOKUP(I23,実績!$C$5:$CV$1474,61,0)</f>
        <v>-</v>
      </c>
      <c r="AN23" s="2225"/>
      <c r="AO23" s="2225"/>
      <c r="AP23" s="2226"/>
      <c r="AQ23" s="2132" t="str">
        <f>VLOOKUP(I23,実績!$C$5:$CV$1474,37,0)</f>
        <v>-</v>
      </c>
      <c r="AR23" s="2133"/>
      <c r="AS23" s="2125" t="str">
        <f>VLOOKUP(I23,実績!$C$5:$CV$1474,38,0)</f>
        <v>-</v>
      </c>
      <c r="AT23" s="2133"/>
      <c r="AU23" s="2125" t="str">
        <f>VLOOKUP(I23,実績!$C$5:$CV$1474,39,0)</f>
        <v>-</v>
      </c>
      <c r="AV23" s="2133"/>
      <c r="AW23" s="2125" t="str">
        <f>VLOOKUP(I23,実績!$C$5:$CV$1474,40,0)</f>
        <v>○</v>
      </c>
      <c r="AX23" s="2133"/>
      <c r="AY23" s="2125" t="str">
        <f>VLOOKUP(I23,実績!$C$5:$CV$1474,41,0)</f>
        <v>独立</v>
      </c>
      <c r="AZ23" s="2126"/>
      <c r="BA23" s="2240">
        <f>VLOOKUP(I23,実績!$C$5:$CV$1474,44,0)</f>
        <v>0.8</v>
      </c>
      <c r="BB23" s="2241"/>
      <c r="BC23" s="2242"/>
      <c r="BD23" s="2129">
        <v>44074</v>
      </c>
      <c r="BE23" s="2088"/>
      <c r="BF23" s="2194" t="s">
        <v>17916</v>
      </c>
      <c r="BG23" s="2093"/>
      <c r="BH23" s="2094"/>
      <c r="BI23" s="2094"/>
      <c r="BJ23" s="2094"/>
      <c r="BK23" s="2095"/>
      <c r="BL23" s="2287">
        <v>44078</v>
      </c>
      <c r="BM23" s="2288"/>
      <c r="BN23" s="2400" t="s">
        <v>4848</v>
      </c>
      <c r="BO23" s="2401"/>
      <c r="BP23" s="2287">
        <v>44077</v>
      </c>
      <c r="BQ23" s="2288"/>
      <c r="BR23" s="2400" t="s">
        <v>4848</v>
      </c>
      <c r="BS23" s="2401"/>
      <c r="BT23" s="2384">
        <f>ROUND(VLOOKUP(I23,実績!$C$5:$CV$1474,59,0),1)</f>
        <v>1.5</v>
      </c>
      <c r="BU23" s="2414" t="str">
        <f>VLOOKUP(I23,実績!$C$5:$CV$1474,67,0)</f>
        <v>住宅</v>
      </c>
      <c r="BV23" s="2396" t="str">
        <f>VLOOKUP(I23,実績!$C$5:$CV$1474,68,0)</f>
        <v>-</v>
      </c>
      <c r="BW23" s="2381" t="str">
        <f>VLOOKUP(I23,実績!$C$5:$CV$1474,69,0)</f>
        <v>-</v>
      </c>
      <c r="BX23" s="2093">
        <f>VLOOKUP(I23,実績!$C$5:$CV$1474,75,0)</f>
        <v>0</v>
      </c>
      <c r="BY23" s="2094"/>
      <c r="BZ23" s="2094"/>
      <c r="CA23" s="2094"/>
      <c r="CB23" s="2180"/>
      <c r="CD23" s="1968">
        <f>F23</f>
        <v>190131</v>
      </c>
      <c r="CE23" s="1968" t="str">
        <f>I23</f>
        <v>マルイウエストランド</v>
      </c>
      <c r="CF23" s="96">
        <f>BD23</f>
        <v>44074</v>
      </c>
      <c r="CG23" s="96" t="str">
        <f>BF23</f>
        <v>11月
初旬</v>
      </c>
      <c r="CH23" s="14"/>
      <c r="CI23" s="14"/>
      <c r="CJ23" s="104"/>
      <c r="CK23" s="18"/>
      <c r="CL23" s="18"/>
      <c r="CM23" s="103"/>
      <c r="CN23" s="103"/>
      <c r="CO23" s="103"/>
      <c r="CP23" s="103"/>
      <c r="CQ23" s="103"/>
      <c r="CT23" s="68"/>
      <c r="CU23" s="68"/>
      <c r="CV23" s="68"/>
      <c r="CW23" s="68"/>
    </row>
    <row r="24" spans="2:101" ht="30" customHeight="1" thickTop="1" thickBot="1">
      <c r="B24" s="2537"/>
      <c r="C24" s="2596"/>
      <c r="D24" s="2533"/>
      <c r="E24" s="2534"/>
      <c r="F24" s="2437" t="str">
        <f>"("&amp;SUBSTITUTE(VLOOKUP(F23,実績!$B$5:$CV$1474,27,0),"有限会社 ","")&amp;","&amp;SUBSTITUTE(VLOOKUP(F23,実績!$B$5:$CV$1474,22,0),"株式会社","")&amp;")"</f>
        <v>(ユウエスプラン,ﾃｨｰｱﾝﾄﾞﾋﾟｨｰ設計事務所)</v>
      </c>
      <c r="G24" s="2438"/>
      <c r="H24" s="2438"/>
      <c r="I24" s="2438"/>
      <c r="J24" s="2438"/>
      <c r="K24" s="2438"/>
      <c r="L24" s="2438"/>
      <c r="M24" s="2438"/>
      <c r="N24" s="2438"/>
      <c r="O24" s="2438"/>
      <c r="P24" s="2438"/>
      <c r="Q24" s="2438"/>
      <c r="R24" s="2438"/>
      <c r="S24" s="2438"/>
      <c r="T24" s="2439"/>
      <c r="U24" s="2154"/>
      <c r="V24" s="2155"/>
      <c r="W24" s="2285"/>
      <c r="X24" s="2291"/>
      <c r="Y24" s="2154" t="str">
        <f>VLOOKUP(I23,実績!$C$5:$CV$1474,5,0)</f>
        <v>津山市</v>
      </c>
      <c r="Z24" s="2286"/>
      <c r="AA24" s="2155"/>
      <c r="AB24" s="2285"/>
      <c r="AC24" s="2286"/>
      <c r="AD24" s="2155"/>
      <c r="AE24" s="2292"/>
      <c r="AF24" s="2293"/>
      <c r="AG24" s="2294"/>
      <c r="AH24" s="2154"/>
      <c r="AI24" s="2155"/>
      <c r="AJ24" s="2267"/>
      <c r="AK24" s="2268"/>
      <c r="AL24" s="2269"/>
      <c r="AM24" s="2348" t="str">
        <f>VLOOKUP(I23,実績!$C$5:$CV$1474,62,0)</f>
        <v>-</v>
      </c>
      <c r="AN24" s="2349"/>
      <c r="AO24" s="2349"/>
      <c r="AP24" s="2350"/>
      <c r="AQ24" s="2158"/>
      <c r="AR24" s="2159"/>
      <c r="AS24" s="2114"/>
      <c r="AT24" s="2159"/>
      <c r="AU24" s="2114"/>
      <c r="AV24" s="2159"/>
      <c r="AW24" s="2114"/>
      <c r="AX24" s="2159"/>
      <c r="AY24" s="2114"/>
      <c r="AZ24" s="2115"/>
      <c r="BA24" s="2240">
        <f>VLOOKUP(I23,実績!$C$5:$CV$1474,46,0)</f>
        <v>1</v>
      </c>
      <c r="BB24" s="2241"/>
      <c r="BC24" s="2242"/>
      <c r="BD24" s="2249"/>
      <c r="BE24" s="2250"/>
      <c r="BF24" s="2251"/>
      <c r="BG24" s="2181"/>
      <c r="BH24" s="2182"/>
      <c r="BI24" s="2182"/>
      <c r="BJ24" s="2182"/>
      <c r="BK24" s="2206"/>
      <c r="BL24" s="2287">
        <v>44089</v>
      </c>
      <c r="BM24" s="2288"/>
      <c r="BN24" s="2288" t="s">
        <v>15320</v>
      </c>
      <c r="BO24" s="2402"/>
      <c r="BP24" s="2287">
        <v>44089</v>
      </c>
      <c r="BQ24" s="2288"/>
      <c r="BR24" s="2288" t="s">
        <v>15320</v>
      </c>
      <c r="BS24" s="2402"/>
      <c r="BT24" s="2405"/>
      <c r="BU24" s="2416"/>
      <c r="BV24" s="2397"/>
      <c r="BW24" s="2407"/>
      <c r="BX24" s="2181"/>
      <c r="BY24" s="2182"/>
      <c r="BZ24" s="2182"/>
      <c r="CA24" s="2182"/>
      <c r="CB24" s="2183"/>
      <c r="CH24" s="14"/>
      <c r="CI24" s="14"/>
      <c r="CJ24" s="104"/>
      <c r="CK24" s="18"/>
      <c r="CL24" s="18"/>
      <c r="CM24" s="103"/>
      <c r="CN24" s="103"/>
      <c r="CO24" s="103"/>
      <c r="CP24" s="103"/>
      <c r="CQ24" s="103"/>
      <c r="CT24" s="68"/>
      <c r="CU24" s="68"/>
      <c r="CV24" s="68"/>
      <c r="CW24" s="68"/>
    </row>
    <row r="25" spans="2:101" ht="30" customHeight="1" thickTop="1" thickBot="1">
      <c r="B25" s="2537"/>
      <c r="C25" s="2596"/>
      <c r="D25" s="2313" t="s">
        <v>4846</v>
      </c>
      <c r="E25" s="2133"/>
      <c r="F25" s="2283">
        <f>実績!B1437</f>
        <v>200040</v>
      </c>
      <c r="G25" s="2284"/>
      <c r="H25" s="2284"/>
      <c r="I25" s="2365" t="str">
        <f>VLOOKUP(F25,実績!$B$5:$CV$1474,2,0)</f>
        <v>館脇倉庫</v>
      </c>
      <c r="J25" s="2365"/>
      <c r="K25" s="2365"/>
      <c r="L25" s="2365"/>
      <c r="M25" s="2365"/>
      <c r="N25" s="2365"/>
      <c r="O25" s="2365"/>
      <c r="P25" s="2365"/>
      <c r="Q25" s="2365"/>
      <c r="R25" s="2365"/>
      <c r="S25" s="2365"/>
      <c r="T25" s="2366"/>
      <c r="U25" s="2164" t="str">
        <f>VLOOKUP(I25,実績!$C$5:$CV$1474,3,0)</f>
        <v>竹内(宗)</v>
      </c>
      <c r="V25" s="2165"/>
      <c r="W25" s="2167" t="str">
        <f>VLOOKUP(I25,実績!$C$5:$CV$1474,2,0)</f>
        <v>ユイ
ラン</v>
      </c>
      <c r="X25" s="2281"/>
      <c r="Y25" s="2164" t="str">
        <f>VLOOKUP(I25,実績!$C$5:$CV$1474,4,FALSE)</f>
        <v>北海道</v>
      </c>
      <c r="Z25" s="2166"/>
      <c r="AA25" s="2165"/>
      <c r="AB25" s="2167" t="str">
        <f>VLOOKUP(I25,実績!$C$5:$CV$1474,9,0)</f>
        <v>倉庫</v>
      </c>
      <c r="AC25" s="2166"/>
      <c r="AD25" s="2165"/>
      <c r="AE25" s="2272">
        <f>ROUND(VLOOKUP(I25,実績!$C$5:$CV$1474,42,0),-1)</f>
        <v>2520</v>
      </c>
      <c r="AF25" s="2273"/>
      <c r="AG25" s="2274"/>
      <c r="AH25" s="2164" t="str">
        <f>VLOOKUP(I25,実績!$C$5:$CV$1474,50,0)</f>
        <v>無</v>
      </c>
      <c r="AI25" s="2165"/>
      <c r="AJ25" s="2264">
        <f>VLOOKUP(I25,実績!$C$5:$CV$1474,60,0)</f>
        <v>4.5199999999999996</v>
      </c>
      <c r="AK25" s="2265"/>
      <c r="AL25" s="2266"/>
      <c r="AM25" s="2252" t="str">
        <f>VLOOKUP(I25,実績!$C$5:$CV$1474,61,0)</f>
        <v>腐植土</v>
      </c>
      <c r="AN25" s="2253"/>
      <c r="AO25" s="2253"/>
      <c r="AP25" s="2254"/>
      <c r="AQ25" s="2132" t="str">
        <f>VLOOKUP(I25,実績!$C$5:$CV$1474,37,0)</f>
        <v>-</v>
      </c>
      <c r="AR25" s="2133"/>
      <c r="AS25" s="2125" t="str">
        <f>VLOOKUP(I25,実績!$C$5:$CV$1474,38,0)</f>
        <v>-</v>
      </c>
      <c r="AT25" s="2133"/>
      <c r="AU25" s="2125" t="str">
        <f>VLOOKUP(I25,実績!$C$5:$CV$1474,39,0)</f>
        <v>-</v>
      </c>
      <c r="AV25" s="2133"/>
      <c r="AW25" s="2125" t="str">
        <f>VLOOKUP(I25,実績!$C$5:$CV$1474,40,0)</f>
        <v>-</v>
      </c>
      <c r="AX25" s="2133"/>
      <c r="AY25" s="2125" t="str">
        <f>VLOOKUP(I25,実績!$C$5:$CV$1474,41,0)</f>
        <v>布</v>
      </c>
      <c r="AZ25" s="2126"/>
      <c r="BA25" s="2240">
        <f>VLOOKUP(I25,実績!$C$5:$CV$1474,44,0)</f>
        <v>1</v>
      </c>
      <c r="BB25" s="2241"/>
      <c r="BC25" s="2242"/>
      <c r="BD25" s="2129">
        <v>44104</v>
      </c>
      <c r="BE25" s="2088"/>
      <c r="BF25" s="2194" t="s">
        <v>18033</v>
      </c>
      <c r="BG25" s="2093"/>
      <c r="BH25" s="2094"/>
      <c r="BI25" s="2094"/>
      <c r="BJ25" s="2094"/>
      <c r="BK25" s="2095"/>
      <c r="BL25" s="2392">
        <v>44130</v>
      </c>
      <c r="BM25" s="2393"/>
      <c r="BN25" s="2394" t="s">
        <v>4848</v>
      </c>
      <c r="BO25" s="2395"/>
      <c r="BP25" s="2392">
        <v>44130</v>
      </c>
      <c r="BQ25" s="2393"/>
      <c r="BR25" s="2394" t="s">
        <v>4848</v>
      </c>
      <c r="BS25" s="2395"/>
      <c r="BT25" s="2103">
        <f>ROUND(VLOOKUP(I25,実績!$C$5:$CV$1474,59,0),1)</f>
        <v>2.7</v>
      </c>
      <c r="BU25" s="2105" t="str">
        <f>VLOOKUP(I25,実績!$C$5:$CV$1474,67,0)</f>
        <v>工場</v>
      </c>
      <c r="BV25" s="2136" t="str">
        <f>VLOOKUP(I25,実績!$C$5:$CV$1474,68,0)</f>
        <v>-</v>
      </c>
      <c r="BW25" s="2138" t="str">
        <f>VLOOKUP(I25,実績!$C$5:$CV$1474,69,0)</f>
        <v>○</v>
      </c>
      <c r="BX25" s="2093">
        <f>VLOOKUP(I25,実績!$C$5:$CV$1474,75,0)</f>
        <v>0</v>
      </c>
      <c r="BY25" s="2094"/>
      <c r="BZ25" s="2094"/>
      <c r="CA25" s="2094"/>
      <c r="CB25" s="2180"/>
      <c r="CD25" s="1968">
        <f>F25</f>
        <v>200040</v>
      </c>
      <c r="CE25" s="1968" t="str">
        <f>I25</f>
        <v>館脇倉庫</v>
      </c>
      <c r="CF25" s="96">
        <f>BD25</f>
        <v>44104</v>
      </c>
      <c r="CG25" s="96" t="str">
        <f>BF25</f>
        <v>11月
中旬</v>
      </c>
      <c r="CH25" s="14"/>
      <c r="CI25" s="14"/>
      <c r="CJ25" s="104"/>
      <c r="CK25" s="18"/>
      <c r="CL25" s="18"/>
      <c r="CM25" s="103"/>
      <c r="CN25" s="103"/>
      <c r="CO25" s="103"/>
      <c r="CP25" s="103"/>
      <c r="CQ25" s="103"/>
      <c r="CT25" s="68"/>
      <c r="CU25" s="68"/>
      <c r="CV25" s="68"/>
      <c r="CW25" s="68"/>
    </row>
    <row r="26" spans="2:101" ht="30" customHeight="1" thickTop="1" thickBot="1">
      <c r="B26" s="2537"/>
      <c r="C26" s="2596"/>
      <c r="D26" s="2314"/>
      <c r="E26" s="2135"/>
      <c r="F26" s="2184" t="str">
        <f>"("&amp;SUBSTITUTE(VLOOKUP(I25,実績!$C$5:$CV$1474,16,0),"株式会社 ","")&amp;","&amp;SUBSTITUTE(VLOOKUP(I25,実績!$C$5:$CV$1474,21,0),"株式会社 ","")&amp;")"</f>
        <v>(T&amp;N北海道設計事務所,新日鉄住金ｴﾝｼﾞﾆｱﾘﾝｸﾞ)</v>
      </c>
      <c r="G26" s="2185"/>
      <c r="H26" s="2185"/>
      <c r="I26" s="2185"/>
      <c r="J26" s="2185"/>
      <c r="K26" s="2185"/>
      <c r="L26" s="2185"/>
      <c r="M26" s="2185"/>
      <c r="N26" s="2185"/>
      <c r="O26" s="2185"/>
      <c r="P26" s="2185"/>
      <c r="Q26" s="2185"/>
      <c r="R26" s="2185"/>
      <c r="S26" s="2185"/>
      <c r="T26" s="2186"/>
      <c r="U26" s="2156"/>
      <c r="V26" s="2157"/>
      <c r="W26" s="2168"/>
      <c r="X26" s="2282"/>
      <c r="Y26" s="2156" t="str">
        <f>VLOOKUP(I25,実績!$C$5:$CV$1474,5,0)</f>
        <v>苫小牧市</v>
      </c>
      <c r="Z26" s="2169"/>
      <c r="AA26" s="2157"/>
      <c r="AB26" s="2168"/>
      <c r="AC26" s="2169"/>
      <c r="AD26" s="2157"/>
      <c r="AE26" s="2275"/>
      <c r="AF26" s="2276"/>
      <c r="AG26" s="2277"/>
      <c r="AH26" s="2156"/>
      <c r="AI26" s="2157"/>
      <c r="AJ26" s="2278"/>
      <c r="AK26" s="2279"/>
      <c r="AL26" s="2280"/>
      <c r="AM26" s="2252">
        <f>VLOOKUP(I25,実績!$C$5:$CV$1474,62,0)</f>
        <v>2.4500000000000002</v>
      </c>
      <c r="AN26" s="2253"/>
      <c r="AO26" s="2253"/>
      <c r="AP26" s="2254"/>
      <c r="AQ26" s="2134"/>
      <c r="AR26" s="2135"/>
      <c r="AS26" s="2127"/>
      <c r="AT26" s="2135"/>
      <c r="AU26" s="2127"/>
      <c r="AV26" s="2135"/>
      <c r="AW26" s="2127"/>
      <c r="AX26" s="2135"/>
      <c r="AY26" s="2127"/>
      <c r="AZ26" s="2128"/>
      <c r="BA26" s="2240">
        <f>VLOOKUP(I25,実績!$C$5:$CV$1474,46,0)</f>
        <v>1.5</v>
      </c>
      <c r="BB26" s="2241"/>
      <c r="BC26" s="2242"/>
      <c r="BD26" s="2089"/>
      <c r="BE26" s="2090"/>
      <c r="BF26" s="2092"/>
      <c r="BG26" s="2096"/>
      <c r="BH26" s="2097"/>
      <c r="BI26" s="2097"/>
      <c r="BJ26" s="2097"/>
      <c r="BK26" s="2098"/>
      <c r="BL26" s="2392">
        <v>44131</v>
      </c>
      <c r="BM26" s="2393"/>
      <c r="BN26" s="2417" t="s">
        <v>11584</v>
      </c>
      <c r="BO26" s="2418"/>
      <c r="BP26" s="2392">
        <v>44131</v>
      </c>
      <c r="BQ26" s="2393"/>
      <c r="BR26" s="2417" t="s">
        <v>11584</v>
      </c>
      <c r="BS26" s="2418"/>
      <c r="BT26" s="2104"/>
      <c r="BU26" s="2106"/>
      <c r="BV26" s="2188"/>
      <c r="BW26" s="2139"/>
      <c r="BX26" s="2096"/>
      <c r="BY26" s="2097"/>
      <c r="BZ26" s="2097"/>
      <c r="CA26" s="2097"/>
      <c r="CB26" s="2189"/>
      <c r="CH26" s="14"/>
      <c r="CI26" s="14"/>
      <c r="CJ26" s="104"/>
      <c r="CK26" s="18"/>
      <c r="CL26" s="18"/>
      <c r="CM26" s="103"/>
      <c r="CN26" s="103"/>
      <c r="CO26" s="103"/>
      <c r="CP26" s="103"/>
      <c r="CQ26" s="103"/>
      <c r="CT26" s="68"/>
      <c r="CU26" s="68"/>
      <c r="CV26" s="68"/>
      <c r="CW26" s="68"/>
    </row>
    <row r="27" spans="2:101" ht="30" customHeight="1" thickTop="1" thickBot="1">
      <c r="B27" s="2537"/>
      <c r="C27" s="2596"/>
      <c r="D27" s="2295" t="s">
        <v>4846</v>
      </c>
      <c r="E27" s="2239"/>
      <c r="F27" s="2283">
        <f>実績!B1373</f>
        <v>190121</v>
      </c>
      <c r="G27" s="2284"/>
      <c r="H27" s="2284"/>
      <c r="I27" s="2371" t="str">
        <f>VLOOKUP(F27,実績!$B$5:$CV$1474,2,0)</f>
        <v>ＪＡにしみの海津北支店</v>
      </c>
      <c r="J27" s="2371"/>
      <c r="K27" s="2371"/>
      <c r="L27" s="2371"/>
      <c r="M27" s="2371"/>
      <c r="N27" s="2371"/>
      <c r="O27" s="2371"/>
      <c r="P27" s="2371"/>
      <c r="Q27" s="2371"/>
      <c r="R27" s="2371"/>
      <c r="S27" s="2371"/>
      <c r="T27" s="2372"/>
      <c r="U27" s="2164" t="str">
        <f>VLOOKUP(I27,実績!$C$5:$CV$1474,3,0)</f>
        <v>大田</v>
      </c>
      <c r="V27" s="2165"/>
      <c r="W27" s="2167" t="str">
        <f>VLOOKUP(I27,実績!$C$5:$CV$1474,2,0)</f>
        <v>ユイ
フィ</v>
      </c>
      <c r="X27" s="2281"/>
      <c r="Y27" s="2164" t="str">
        <f>VLOOKUP(I27,実績!$C$5:$CV$1474,4,FALSE)</f>
        <v>岐阜県</v>
      </c>
      <c r="Z27" s="2166"/>
      <c r="AA27" s="2165"/>
      <c r="AB27" s="2167" t="str">
        <f>VLOOKUP(I27,実績!$C$5:$CV$1474,9,0)</f>
        <v>事務所・倉庫</v>
      </c>
      <c r="AC27" s="2166"/>
      <c r="AD27" s="2165"/>
      <c r="AE27" s="2272">
        <f>ROUND(VLOOKUP(I27,実績!$C$5:$CV$1474,42,0),-1)</f>
        <v>990</v>
      </c>
      <c r="AF27" s="2273"/>
      <c r="AG27" s="2274"/>
      <c r="AH27" s="2164" t="str">
        <f>VLOOKUP(I27,実績!$C$5:$CV$1474,50,0)</f>
        <v>無</v>
      </c>
      <c r="AI27" s="2165"/>
      <c r="AJ27" s="2264">
        <f>VLOOKUP(I27,実績!$C$5:$CV$1474,60,0)</f>
        <v>2.35</v>
      </c>
      <c r="AK27" s="2265"/>
      <c r="AL27" s="2266"/>
      <c r="AM27" s="2252" t="str">
        <f>VLOOKUP(I27,実績!$C$5:$CV$1474,61,0)</f>
        <v>ｼﾙﾄ(府植物混入)</v>
      </c>
      <c r="AN27" s="2253"/>
      <c r="AO27" s="2253"/>
      <c r="AP27" s="2254"/>
      <c r="AQ27" s="2132" t="str">
        <f>VLOOKUP(I27,実績!$C$5:$CV$1474,37,0)</f>
        <v>-</v>
      </c>
      <c r="AR27" s="2133"/>
      <c r="AS27" s="2125" t="str">
        <f>VLOOKUP(I27,実績!$C$5:$CV$1474,38,0)</f>
        <v>-</v>
      </c>
      <c r="AT27" s="2133"/>
      <c r="AU27" s="2125" t="str">
        <f>VLOOKUP(I27,実績!$C$5:$CV$1474,39,0)</f>
        <v>-</v>
      </c>
      <c r="AV27" s="2133"/>
      <c r="AW27" s="2125" t="str">
        <f>VLOOKUP(I27,実績!$C$5:$CV$1474,40,0)</f>
        <v>○</v>
      </c>
      <c r="AX27" s="2133"/>
      <c r="AY27" s="2125" t="str">
        <f>VLOOKUP(I27,実績!$C$5:$CV$1474,41,0)</f>
        <v>独立</v>
      </c>
      <c r="AZ27" s="2126"/>
      <c r="BA27" s="2240">
        <f>VLOOKUP(I27,実績!$C$5:$CV$1474,44,0)</f>
        <v>1</v>
      </c>
      <c r="BB27" s="2241"/>
      <c r="BC27" s="2242"/>
      <c r="BD27" s="2129">
        <v>43997</v>
      </c>
      <c r="BE27" s="2088"/>
      <c r="BF27" s="2519" t="s">
        <v>17845</v>
      </c>
      <c r="BG27" s="2093"/>
      <c r="BH27" s="2094"/>
      <c r="BI27" s="2094"/>
      <c r="BJ27" s="2094"/>
      <c r="BK27" s="2095"/>
      <c r="BL27" s="2287">
        <v>44034</v>
      </c>
      <c r="BM27" s="2288"/>
      <c r="BN27" s="2400" t="s">
        <v>4848</v>
      </c>
      <c r="BO27" s="2401"/>
      <c r="BP27" s="2099"/>
      <c r="BQ27" s="2100"/>
      <c r="BR27" s="2100"/>
      <c r="BS27" s="2102"/>
      <c r="BT27" s="2384">
        <f>ROUND(VLOOKUP(I27,実績!$C$5:$CV$1474,59,0),1)</f>
        <v>1.6</v>
      </c>
      <c r="BU27" s="2414" t="str">
        <f>VLOOKUP(I27,実績!$C$5:$CV$1474,67,0)</f>
        <v>住宅・工場</v>
      </c>
      <c r="BV27" s="2396" t="str">
        <f>VLOOKUP(I27,実績!$C$5:$CV$1474,68,0)</f>
        <v>-</v>
      </c>
      <c r="BW27" s="2381" t="str">
        <f>VLOOKUP(I27,実績!$C$5:$CV$1474,69,0)</f>
        <v>○</v>
      </c>
      <c r="BX27" s="2093" t="str">
        <f>VLOOKUP(I27,実績!$C$5:$CV$1474,75,0)</f>
        <v>事務所棟と倉庫棟の2棟。水路(GL-2.5m)・既存擁壁近接。</v>
      </c>
      <c r="BY27" s="2094"/>
      <c r="BZ27" s="2094"/>
      <c r="CA27" s="2094"/>
      <c r="CB27" s="2180"/>
      <c r="CD27" s="1968">
        <f>F27</f>
        <v>190121</v>
      </c>
      <c r="CE27" s="1968" t="str">
        <f>I27</f>
        <v>ＪＡにしみの海津北支店</v>
      </c>
      <c r="CF27" s="96">
        <f>BD27</f>
        <v>43997</v>
      </c>
      <c r="CG27" s="96" t="str">
        <f>BF27</f>
        <v>事11月
倉2021/7/1</v>
      </c>
      <c r="CH27" s="14"/>
      <c r="CI27" s="14"/>
      <c r="CJ27" s="104"/>
      <c r="CK27" s="18"/>
      <c r="CL27" s="18"/>
      <c r="CM27" s="103"/>
      <c r="CN27" s="103"/>
      <c r="CO27" s="103"/>
      <c r="CP27" s="103"/>
      <c r="CQ27" s="103"/>
      <c r="CT27" s="68"/>
      <c r="CU27" s="68"/>
      <c r="CV27" s="68"/>
      <c r="CW27" s="68"/>
    </row>
    <row r="28" spans="2:101" ht="30" customHeight="1" thickTop="1" thickBot="1">
      <c r="B28" s="2537"/>
      <c r="C28" s="2596"/>
      <c r="D28" s="2295"/>
      <c r="E28" s="2239"/>
      <c r="F28" s="2184" t="str">
        <f>"("&amp;SUBSTITUTE(VLOOKUP(I27,実績!$C$5:$CV$1474,16,0)," 一級建築士事務所","")&amp;","&amp;SUBSTITUTE(VLOOKUP(I27,実績!$C$5:$CV$1474,21,0),"株式会社","")&amp;")"</f>
        <v>(全農岐阜,S_プランズ)</v>
      </c>
      <c r="G28" s="2185"/>
      <c r="H28" s="2185"/>
      <c r="I28" s="2185"/>
      <c r="J28" s="2185"/>
      <c r="K28" s="2185"/>
      <c r="L28" s="2185"/>
      <c r="M28" s="2185"/>
      <c r="N28" s="2185"/>
      <c r="O28" s="2185"/>
      <c r="P28" s="2185"/>
      <c r="Q28" s="2185"/>
      <c r="R28" s="2185"/>
      <c r="S28" s="2185"/>
      <c r="T28" s="2186"/>
      <c r="U28" s="2156"/>
      <c r="V28" s="2157"/>
      <c r="W28" s="2168"/>
      <c r="X28" s="2282"/>
      <c r="Y28" s="2156" t="str">
        <f>VLOOKUP(I27,実績!$C$5:$CV$1474,5,0)</f>
        <v>海津市</v>
      </c>
      <c r="Z28" s="2169"/>
      <c r="AA28" s="2157"/>
      <c r="AB28" s="2168"/>
      <c r="AC28" s="2169"/>
      <c r="AD28" s="2157"/>
      <c r="AE28" s="2275"/>
      <c r="AF28" s="2276"/>
      <c r="AG28" s="2277"/>
      <c r="AH28" s="2156"/>
      <c r="AI28" s="2157"/>
      <c r="AJ28" s="2278"/>
      <c r="AK28" s="2279"/>
      <c r="AL28" s="2280"/>
      <c r="AM28" s="2252">
        <f>VLOOKUP(I27,実績!$C$5:$CV$1474,62,0)</f>
        <v>3</v>
      </c>
      <c r="AN28" s="2253"/>
      <c r="AO28" s="2253"/>
      <c r="AP28" s="2254"/>
      <c r="AQ28" s="2134"/>
      <c r="AR28" s="2135"/>
      <c r="AS28" s="2127"/>
      <c r="AT28" s="2135"/>
      <c r="AU28" s="2127"/>
      <c r="AV28" s="2135"/>
      <c r="AW28" s="2127"/>
      <c r="AX28" s="2135"/>
      <c r="AY28" s="2127"/>
      <c r="AZ28" s="2128"/>
      <c r="BA28" s="2240">
        <f>VLOOKUP(I27,実績!$C$5:$CV$1474,46,0)</f>
        <v>1.5</v>
      </c>
      <c r="BB28" s="2241"/>
      <c r="BC28" s="2242"/>
      <c r="BD28" s="2089"/>
      <c r="BE28" s="2090"/>
      <c r="BF28" s="2520"/>
      <c r="BG28" s="2096"/>
      <c r="BH28" s="2097"/>
      <c r="BI28" s="2097"/>
      <c r="BJ28" s="2097"/>
      <c r="BK28" s="2098"/>
      <c r="BL28" s="2099">
        <v>44040</v>
      </c>
      <c r="BM28" s="2100"/>
      <c r="BN28" s="2288" t="s">
        <v>15320</v>
      </c>
      <c r="BO28" s="2402"/>
      <c r="BP28" s="2099"/>
      <c r="BQ28" s="2100"/>
      <c r="BR28" s="2100"/>
      <c r="BS28" s="2102"/>
      <c r="BT28" s="2399"/>
      <c r="BU28" s="2415"/>
      <c r="BV28" s="2500"/>
      <c r="BW28" s="2382"/>
      <c r="BX28" s="2096"/>
      <c r="BY28" s="2097"/>
      <c r="BZ28" s="2097"/>
      <c r="CA28" s="2097"/>
      <c r="CB28" s="2189"/>
      <c r="CH28" s="14"/>
      <c r="CI28" s="14"/>
      <c r="CJ28" s="104"/>
      <c r="CK28" s="18"/>
      <c r="CL28" s="18"/>
      <c r="CM28" s="103"/>
      <c r="CN28" s="103"/>
      <c r="CO28" s="103"/>
      <c r="CP28" s="103"/>
      <c r="CQ28" s="103"/>
      <c r="CT28" s="68"/>
      <c r="CU28" s="68"/>
      <c r="CV28" s="68"/>
      <c r="CW28" s="68"/>
    </row>
    <row r="29" spans="2:101" ht="30" customHeight="1" thickTop="1" thickBot="1">
      <c r="B29" s="2537"/>
      <c r="C29" s="2596"/>
      <c r="D29" s="2359" t="s">
        <v>4846</v>
      </c>
      <c r="E29" s="2360"/>
      <c r="F29" s="2363">
        <f>実績!B1430</f>
        <v>200033</v>
      </c>
      <c r="G29" s="2364"/>
      <c r="H29" s="2364"/>
      <c r="I29" s="2379" t="str">
        <f>VLOOKUP(F29,実績!$B$5:$CV$1474,2,0)</f>
        <v>㈱サエキ新三郷整備工場</v>
      </c>
      <c r="J29" s="2379"/>
      <c r="K29" s="2379"/>
      <c r="L29" s="2379"/>
      <c r="M29" s="2379"/>
      <c r="N29" s="2379"/>
      <c r="O29" s="2379"/>
      <c r="P29" s="2379"/>
      <c r="Q29" s="2379"/>
      <c r="R29" s="2379"/>
      <c r="S29" s="2379"/>
      <c r="T29" s="2380"/>
      <c r="U29" s="2164" t="str">
        <f>VLOOKUP(I29,実績!$C$5:$CV$1474,3,0)</f>
        <v>大田</v>
      </c>
      <c r="V29" s="2165"/>
      <c r="W29" s="2167" t="str">
        <f>VLOOKUP(I29,実績!$C$5:$CV$1474,2,0)</f>
        <v>ユイ
フィ</v>
      </c>
      <c r="X29" s="2281"/>
      <c r="Y29" s="2164" t="str">
        <f>VLOOKUP(I29,実績!$C$5:$CV$1474,4,FALSE)</f>
        <v>埼玉県</v>
      </c>
      <c r="Z29" s="2166"/>
      <c r="AA29" s="2165"/>
      <c r="AB29" s="2167" t="str">
        <f>VLOOKUP(I29,実績!$C$5:$CV$1474,9,0)</f>
        <v>工場</v>
      </c>
      <c r="AC29" s="2166"/>
      <c r="AD29" s="2165"/>
      <c r="AE29" s="2272">
        <f>ROUND(VLOOKUP(I29,実績!$C$5:$CV$1474,42,0),-1)</f>
        <v>750</v>
      </c>
      <c r="AF29" s="2273"/>
      <c r="AG29" s="2274"/>
      <c r="AH29" s="2164" t="str">
        <f>VLOOKUP(I29,実績!$C$5:$CV$1474,50,0)</f>
        <v>○</v>
      </c>
      <c r="AI29" s="2165"/>
      <c r="AJ29" s="2264">
        <f>VLOOKUP(I29,実績!$C$5:$CV$1474,60,0)</f>
        <v>1.76</v>
      </c>
      <c r="AK29" s="2265"/>
      <c r="AL29" s="2266"/>
      <c r="AM29" s="2252" t="str">
        <f>VLOOKUP(I29,実績!$C$5:$CV$1474,61,0)</f>
        <v>有機質粘土</v>
      </c>
      <c r="AN29" s="2253"/>
      <c r="AO29" s="2253"/>
      <c r="AP29" s="2254"/>
      <c r="AQ29" s="2132" t="str">
        <f>VLOOKUP(I29,実績!$C$5:$CV$1474,37,0)</f>
        <v>-</v>
      </c>
      <c r="AR29" s="2133"/>
      <c r="AS29" s="2125" t="str">
        <f>VLOOKUP(I29,実績!$C$5:$CV$1474,38,0)</f>
        <v>-</v>
      </c>
      <c r="AT29" s="2133"/>
      <c r="AU29" s="2125" t="str">
        <f>VLOOKUP(I29,実績!$C$5:$CV$1474,39,0)</f>
        <v>-</v>
      </c>
      <c r="AV29" s="2133"/>
      <c r="AW29" s="2125" t="str">
        <f>VLOOKUP(I29,実績!$C$5:$CV$1474,40,0)</f>
        <v>○</v>
      </c>
      <c r="AX29" s="2133"/>
      <c r="AY29" s="2125" t="str">
        <f>VLOOKUP(I29,実績!$C$5:$CV$1474,41,0)</f>
        <v>独立</v>
      </c>
      <c r="AZ29" s="2126"/>
      <c r="BA29" s="2240">
        <f>VLOOKUP(I29,実績!$C$5:$CV$1474,44,0)</f>
        <v>1</v>
      </c>
      <c r="BB29" s="2241"/>
      <c r="BC29" s="2242"/>
      <c r="BD29" s="2129">
        <v>44078</v>
      </c>
      <c r="BE29" s="2088"/>
      <c r="BF29" s="2194">
        <v>44175</v>
      </c>
      <c r="BG29" s="2093"/>
      <c r="BH29" s="2094"/>
      <c r="BI29" s="2094"/>
      <c r="BJ29" s="2094"/>
      <c r="BK29" s="2095"/>
      <c r="BL29" s="2287">
        <v>44110</v>
      </c>
      <c r="BM29" s="2288"/>
      <c r="BN29" s="2400" t="s">
        <v>4848</v>
      </c>
      <c r="BO29" s="2401"/>
      <c r="BP29" s="2287">
        <v>44119</v>
      </c>
      <c r="BQ29" s="2288"/>
      <c r="BR29" s="2400" t="s">
        <v>4848</v>
      </c>
      <c r="BS29" s="2401"/>
      <c r="BT29" s="2103">
        <f>ROUND(VLOOKUP(I29,実績!$C$5:$CV$1474,59,0),1)</f>
        <v>0.9</v>
      </c>
      <c r="BU29" s="2105" t="str">
        <f>VLOOKUP(I29,実績!$C$5:$CV$1474,67,0)</f>
        <v>住宅・店舗</v>
      </c>
      <c r="BV29" s="2136" t="str">
        <f>VLOOKUP(I29,実績!$C$5:$CV$1474,68,0)</f>
        <v>-</v>
      </c>
      <c r="BW29" s="2138" t="str">
        <f>VLOOKUP(I29,実績!$C$5:$CV$1474,69,0)</f>
        <v>○</v>
      </c>
      <c r="BX29" s="2093">
        <f>VLOOKUP(I29,実績!$C$5:$CV$1474,75,0)</f>
        <v>0</v>
      </c>
      <c r="BY29" s="2094"/>
      <c r="BZ29" s="2094"/>
      <c r="CA29" s="2094"/>
      <c r="CB29" s="2180"/>
      <c r="CD29" s="1968">
        <f>F29</f>
        <v>200033</v>
      </c>
      <c r="CE29" s="1968" t="str">
        <f>I29</f>
        <v>㈱サエキ新三郷整備工場</v>
      </c>
      <c r="CF29" s="96">
        <f>BD29</f>
        <v>44078</v>
      </c>
      <c r="CG29" s="96">
        <f>BF29</f>
        <v>44175</v>
      </c>
      <c r="CH29" s="14"/>
      <c r="CI29" s="14"/>
      <c r="CJ29" s="104"/>
      <c r="CK29" s="18"/>
      <c r="CL29" s="18"/>
      <c r="CM29" s="103"/>
      <c r="CN29" s="103"/>
      <c r="CO29" s="103"/>
      <c r="CP29" s="103"/>
      <c r="CQ29" s="103"/>
      <c r="CT29" s="68"/>
      <c r="CU29" s="68"/>
      <c r="CV29" s="68"/>
      <c r="CW29" s="68"/>
    </row>
    <row r="30" spans="2:101" ht="30" customHeight="1" thickTop="1" thickBot="1">
      <c r="B30" s="2537"/>
      <c r="C30" s="2596"/>
      <c r="D30" s="2361"/>
      <c r="E30" s="2362"/>
      <c r="F30" s="2437" t="str">
        <f>"("&amp;SUBSTITUTE(VLOOKUP(F29,実績!$B$5:$CV$1474,17,0)," 株式会社","")&amp;","&amp;SUBSTITUTE(VLOOKUP(F29,実績!$B$5:$CV$1474,22,0)," 株式会社","")&amp;")"</f>
        <v>(オネストアーク,さくら構造)</v>
      </c>
      <c r="G30" s="2438"/>
      <c r="H30" s="2438"/>
      <c r="I30" s="2438"/>
      <c r="J30" s="2438"/>
      <c r="K30" s="2438"/>
      <c r="L30" s="2438"/>
      <c r="M30" s="2438"/>
      <c r="N30" s="2438"/>
      <c r="O30" s="2438"/>
      <c r="P30" s="2438"/>
      <c r="Q30" s="2438"/>
      <c r="R30" s="2438"/>
      <c r="S30" s="2438"/>
      <c r="T30" s="2439"/>
      <c r="U30" s="2154"/>
      <c r="V30" s="2155"/>
      <c r="W30" s="2285"/>
      <c r="X30" s="2291"/>
      <c r="Y30" s="2154" t="str">
        <f>VLOOKUP(I29,実績!$C$5:$CV$1474,5,0)</f>
        <v>三郷市</v>
      </c>
      <c r="Z30" s="2286"/>
      <c r="AA30" s="2155"/>
      <c r="AB30" s="2285"/>
      <c r="AC30" s="2286"/>
      <c r="AD30" s="2155"/>
      <c r="AE30" s="2292"/>
      <c r="AF30" s="2293"/>
      <c r="AG30" s="2294"/>
      <c r="AH30" s="2154"/>
      <c r="AI30" s="2155"/>
      <c r="AJ30" s="2278"/>
      <c r="AK30" s="2279"/>
      <c r="AL30" s="2280"/>
      <c r="AM30" s="2252">
        <f>VLOOKUP(I29,実績!$C$5:$CV$1474,62,0)</f>
        <v>0.55000000000000004</v>
      </c>
      <c r="AN30" s="2253"/>
      <c r="AO30" s="2253"/>
      <c r="AP30" s="2254"/>
      <c r="AQ30" s="2134"/>
      <c r="AR30" s="2135"/>
      <c r="AS30" s="2127"/>
      <c r="AT30" s="2135"/>
      <c r="AU30" s="2127"/>
      <c r="AV30" s="2135"/>
      <c r="AW30" s="2127"/>
      <c r="AX30" s="2135"/>
      <c r="AY30" s="2127"/>
      <c r="AZ30" s="2128"/>
      <c r="BA30" s="2240">
        <f>VLOOKUP(I29,実績!$C$5:$CV$1474,46,0)</f>
        <v>1.5</v>
      </c>
      <c r="BB30" s="2241"/>
      <c r="BC30" s="2242"/>
      <c r="BD30" s="2089"/>
      <c r="BE30" s="2090"/>
      <c r="BF30" s="2092"/>
      <c r="BG30" s="2096"/>
      <c r="BH30" s="2097"/>
      <c r="BI30" s="2097"/>
      <c r="BJ30" s="2097"/>
      <c r="BK30" s="2098"/>
      <c r="BL30" s="2287">
        <v>44112</v>
      </c>
      <c r="BM30" s="2288"/>
      <c r="BN30" s="2288" t="s">
        <v>15320</v>
      </c>
      <c r="BO30" s="2402"/>
      <c r="BP30" s="2287">
        <v>44124</v>
      </c>
      <c r="BQ30" s="2288"/>
      <c r="BR30" s="2100" t="s">
        <v>11584</v>
      </c>
      <c r="BS30" s="2101"/>
      <c r="BT30" s="2104"/>
      <c r="BU30" s="2106"/>
      <c r="BV30" s="2188"/>
      <c r="BW30" s="2139"/>
      <c r="BX30" s="2096"/>
      <c r="BY30" s="2097"/>
      <c r="BZ30" s="2097"/>
      <c r="CA30" s="2097"/>
      <c r="CB30" s="2189"/>
      <c r="CH30" s="14"/>
      <c r="CI30" s="14"/>
      <c r="CJ30" s="104"/>
      <c r="CK30" s="18"/>
      <c r="CL30" s="18"/>
      <c r="CM30" s="103"/>
      <c r="CN30" s="103"/>
      <c r="CO30" s="103"/>
      <c r="CP30" s="103"/>
      <c r="CQ30" s="103"/>
      <c r="CT30" s="68"/>
      <c r="CU30" s="68"/>
      <c r="CV30" s="68"/>
      <c r="CW30" s="68"/>
    </row>
    <row r="31" spans="2:101" ht="30" customHeight="1" thickTop="1" thickBot="1">
      <c r="B31" s="2537"/>
      <c r="C31" s="2596"/>
      <c r="D31" s="2295" t="s">
        <v>4846</v>
      </c>
      <c r="E31" s="2239"/>
      <c r="F31" s="2283">
        <f>実績!B1426</f>
        <v>200029</v>
      </c>
      <c r="G31" s="2284"/>
      <c r="H31" s="2284"/>
      <c r="I31" s="2485" t="str">
        <f>VLOOKUP(F31,実績!$B$5:$CV$1474,2,0)</f>
        <v>ニシカタヤ低温倉庫</v>
      </c>
      <c r="J31" s="2485"/>
      <c r="K31" s="2485"/>
      <c r="L31" s="2485"/>
      <c r="M31" s="2485"/>
      <c r="N31" s="2485"/>
      <c r="O31" s="2485"/>
      <c r="P31" s="2485"/>
      <c r="Q31" s="2485"/>
      <c r="R31" s="2485"/>
      <c r="S31" s="2485"/>
      <c r="T31" s="2486"/>
      <c r="U31" s="2164" t="str">
        <f>VLOOKUP(I31,実績!$C$5:$CV$1474,3,0)</f>
        <v>ｱｽﾗﾝ</v>
      </c>
      <c r="V31" s="2165"/>
      <c r="W31" s="2167" t="str">
        <f>VLOOKUP(I31,実績!$C$5:$CV$1474,2,0)</f>
        <v>タオ
ウット</v>
      </c>
      <c r="X31" s="2281"/>
      <c r="Y31" s="2164" t="str">
        <f>VLOOKUP(I31,実績!$C$5:$CV$1474,4,FALSE)</f>
        <v>新潟県</v>
      </c>
      <c r="Z31" s="2166"/>
      <c r="AA31" s="2165"/>
      <c r="AB31" s="2167" t="str">
        <f>VLOOKUP(I31,実績!$C$5:$CV$1474,9,0)</f>
        <v>低温倉庫</v>
      </c>
      <c r="AC31" s="2166"/>
      <c r="AD31" s="2165"/>
      <c r="AE31" s="2272">
        <f>ROUND(VLOOKUP(I31,実績!$C$5:$CV$1474,42,0),-1)</f>
        <v>4250</v>
      </c>
      <c r="AF31" s="2273"/>
      <c r="AG31" s="2274"/>
      <c r="AH31" s="2164" t="str">
        <f>VLOOKUP(I31,実績!$C$5:$CV$1474,50,0)</f>
        <v>○</v>
      </c>
      <c r="AI31" s="2165"/>
      <c r="AJ31" s="2264">
        <f>VLOOKUP(I31,実績!$C$5:$CV$1474,60,0)</f>
        <v>1.35</v>
      </c>
      <c r="AK31" s="2265"/>
      <c r="AL31" s="2266"/>
      <c r="AM31" s="2252" t="str">
        <f>VLOOKUP(I31,実績!$C$5:$CV$1474,61,0)</f>
        <v>粘土(府植物混入)</v>
      </c>
      <c r="AN31" s="2253"/>
      <c r="AO31" s="2253"/>
      <c r="AP31" s="2254"/>
      <c r="AQ31" s="2132" t="str">
        <f>VLOOKUP(I31,実績!$C$5:$CV$1474,37,0)</f>
        <v>-</v>
      </c>
      <c r="AR31" s="2133"/>
      <c r="AS31" s="2125" t="str">
        <f>VLOOKUP(I31,実績!$C$5:$CV$1474,38,0)</f>
        <v>○
8,10m</v>
      </c>
      <c r="AT31" s="2133"/>
      <c r="AU31" s="2125" t="str">
        <f>VLOOKUP(I31,実績!$C$5:$CV$1474,39,0)</f>
        <v>-</v>
      </c>
      <c r="AV31" s="2133"/>
      <c r="AW31" s="2125" t="str">
        <f>VLOOKUP(I31,実績!$C$5:$CV$1474,40,0)</f>
        <v>○</v>
      </c>
      <c r="AX31" s="2133"/>
      <c r="AY31" s="2125" t="str">
        <f>VLOOKUP(I31,実績!$C$5:$CV$1474,41,0)</f>
        <v>独立</v>
      </c>
      <c r="AZ31" s="2126"/>
      <c r="BA31" s="2240">
        <f>VLOOKUP(I31,実績!$C$5:$CV$1474,44,0)</f>
        <v>1</v>
      </c>
      <c r="BB31" s="2241"/>
      <c r="BC31" s="2242"/>
      <c r="BD31" s="2129">
        <v>44092</v>
      </c>
      <c r="BE31" s="2088"/>
      <c r="BF31" s="2194" t="s">
        <v>15227</v>
      </c>
      <c r="BG31" s="2093" t="s">
        <v>17404</v>
      </c>
      <c r="BH31" s="2094"/>
      <c r="BI31" s="2094"/>
      <c r="BJ31" s="2094"/>
      <c r="BK31" s="2095"/>
      <c r="BL31" s="2287" t="s">
        <v>18068</v>
      </c>
      <c r="BM31" s="2288"/>
      <c r="BN31" s="2400" t="s">
        <v>4848</v>
      </c>
      <c r="BO31" s="2401"/>
      <c r="BP31" s="2287">
        <v>44105</v>
      </c>
      <c r="BQ31" s="2288"/>
      <c r="BR31" s="2400" t="s">
        <v>4848</v>
      </c>
      <c r="BS31" s="2401"/>
      <c r="BT31" s="2103">
        <f>ROUND(VLOOKUP(I31,実績!$C$5:$CV$1474,59,0),1)</f>
        <v>0.5</v>
      </c>
      <c r="BU31" s="2105" t="str">
        <f>VLOOKUP(I31,実績!$C$5:$CV$1474,67,0)</f>
        <v>住宅・工場</v>
      </c>
      <c r="BV31" s="2136" t="str">
        <f>VLOOKUP(I31,実績!$C$5:$CV$1474,68,0)</f>
        <v>○
0.4m</v>
      </c>
      <c r="BW31" s="2138" t="str">
        <f>VLOOKUP(I31,実績!$C$5:$CV$1474,69,0)</f>
        <v>○</v>
      </c>
      <c r="BX31" s="2093" t="str">
        <f>VLOOKUP(I31,実績!$C$5:$CV$1474,75,0)</f>
        <v>既存擁壁近接</v>
      </c>
      <c r="BY31" s="2094"/>
      <c r="BZ31" s="2094"/>
      <c r="CA31" s="2094"/>
      <c r="CB31" s="2180"/>
      <c r="CD31" s="1968">
        <f>F31</f>
        <v>200029</v>
      </c>
      <c r="CE31" s="1968" t="str">
        <f>I31</f>
        <v>ニシカタヤ低温倉庫</v>
      </c>
      <c r="CF31" s="96">
        <f>BD31</f>
        <v>44092</v>
      </c>
      <c r="CG31" s="96" t="str">
        <f>BF31</f>
        <v>12月</v>
      </c>
      <c r="CH31" s="14"/>
      <c r="CI31" s="14"/>
      <c r="CJ31" s="104"/>
      <c r="CK31" s="18"/>
      <c r="CL31" s="18"/>
      <c r="CM31" s="103"/>
      <c r="CN31" s="103"/>
      <c r="CO31" s="103"/>
      <c r="CP31" s="103"/>
      <c r="CQ31" s="103"/>
      <c r="CT31" s="68"/>
      <c r="CU31" s="68"/>
      <c r="CV31" s="68"/>
      <c r="CW31" s="68"/>
    </row>
    <row r="32" spans="2:101" ht="30" customHeight="1" thickTop="1" thickBot="1">
      <c r="B32" s="2537"/>
      <c r="C32" s="2596"/>
      <c r="D32" s="2313"/>
      <c r="E32" s="2133"/>
      <c r="F32" s="2221" t="str">
        <f>"("&amp;SUBSTITUTE(VLOOKUP(F31,実績!$B$5:$CV$1474,17,0)," 一級建築士事務所","")&amp;","&amp;SUBSTITUTE(VLOOKUP(F31,実績!$B$5:$CV$1474,22,0),"株式会社 ","")&amp;")"</f>
        <v>(全農新潟,伊藤設計)</v>
      </c>
      <c r="G32" s="2222"/>
      <c r="H32" s="2222"/>
      <c r="I32" s="2222"/>
      <c r="J32" s="2222"/>
      <c r="K32" s="2222"/>
      <c r="L32" s="2222"/>
      <c r="M32" s="2222"/>
      <c r="N32" s="2222"/>
      <c r="O32" s="2222"/>
      <c r="P32" s="2222"/>
      <c r="Q32" s="2222"/>
      <c r="R32" s="2222"/>
      <c r="S32" s="2222"/>
      <c r="T32" s="2223"/>
      <c r="U32" s="2154"/>
      <c r="V32" s="2155"/>
      <c r="W32" s="2285"/>
      <c r="X32" s="2291"/>
      <c r="Y32" s="2154" t="str">
        <f>VLOOKUP(I31,実績!$C$5:$CV$1474,5,0)</f>
        <v>三条市</v>
      </c>
      <c r="Z32" s="2286"/>
      <c r="AA32" s="2155"/>
      <c r="AB32" s="2285"/>
      <c r="AC32" s="2286"/>
      <c r="AD32" s="2155"/>
      <c r="AE32" s="2292"/>
      <c r="AF32" s="2293"/>
      <c r="AG32" s="2294"/>
      <c r="AH32" s="2154"/>
      <c r="AI32" s="2155"/>
      <c r="AJ32" s="2267"/>
      <c r="AK32" s="2268"/>
      <c r="AL32" s="2269"/>
      <c r="AM32" s="2331">
        <f>VLOOKUP(I31,実績!$C$5:$CV$1474,62,0)</f>
        <v>4.5</v>
      </c>
      <c r="AN32" s="2332"/>
      <c r="AO32" s="2332"/>
      <c r="AP32" s="2333"/>
      <c r="AQ32" s="2158"/>
      <c r="AR32" s="2159"/>
      <c r="AS32" s="2114"/>
      <c r="AT32" s="2159"/>
      <c r="AU32" s="2114"/>
      <c r="AV32" s="2159"/>
      <c r="AW32" s="2114"/>
      <c r="AX32" s="2159"/>
      <c r="AY32" s="2114"/>
      <c r="AZ32" s="2115"/>
      <c r="BA32" s="2240">
        <f>VLOOKUP(I31,実績!$C$5:$CV$1474,46,0)</f>
        <v>1.5</v>
      </c>
      <c r="BB32" s="2241"/>
      <c r="BC32" s="2242"/>
      <c r="BD32" s="2249"/>
      <c r="BE32" s="2250"/>
      <c r="BF32" s="2251"/>
      <c r="BG32" s="2181"/>
      <c r="BH32" s="2182"/>
      <c r="BI32" s="2182"/>
      <c r="BJ32" s="2182"/>
      <c r="BK32" s="2206"/>
      <c r="BL32" s="2287" t="s">
        <v>18069</v>
      </c>
      <c r="BM32" s="2288"/>
      <c r="BN32" s="2100" t="s">
        <v>15320</v>
      </c>
      <c r="BO32" s="2101"/>
      <c r="BP32" s="2287">
        <v>44113</v>
      </c>
      <c r="BQ32" s="2288"/>
      <c r="BR32" s="2100" t="s">
        <v>11584</v>
      </c>
      <c r="BS32" s="2101"/>
      <c r="BT32" s="2210"/>
      <c r="BU32" s="2403"/>
      <c r="BV32" s="2137"/>
      <c r="BW32" s="2383"/>
      <c r="BX32" s="2181"/>
      <c r="BY32" s="2182"/>
      <c r="BZ32" s="2182"/>
      <c r="CA32" s="2182"/>
      <c r="CB32" s="2183"/>
      <c r="CH32" s="14"/>
      <c r="CI32" s="14"/>
      <c r="CJ32" s="104"/>
      <c r="CK32" s="18"/>
      <c r="CL32" s="18"/>
      <c r="CM32" s="103"/>
      <c r="CN32" s="103"/>
      <c r="CO32" s="103"/>
      <c r="CP32" s="103"/>
      <c r="CQ32" s="103"/>
      <c r="CT32" s="68"/>
      <c r="CU32" s="68"/>
      <c r="CV32" s="68"/>
      <c r="CW32" s="68"/>
    </row>
    <row r="33" spans="2:110" ht="30" customHeight="1" thickTop="1" thickBot="1">
      <c r="B33" s="2537"/>
      <c r="C33" s="2596"/>
      <c r="D33" s="2295" t="s">
        <v>4846</v>
      </c>
      <c r="E33" s="2239"/>
      <c r="F33" s="2283">
        <f>実績!B1389</f>
        <v>190132</v>
      </c>
      <c r="G33" s="2284"/>
      <c r="H33" s="2284"/>
      <c r="I33" s="2365" t="str">
        <f>VLOOKUP(F33,実績!$B$5:$CV$1474,2,0)</f>
        <v>広島西ＳＣ</v>
      </c>
      <c r="J33" s="2365"/>
      <c r="K33" s="2365"/>
      <c r="L33" s="2365"/>
      <c r="M33" s="2365"/>
      <c r="N33" s="2365"/>
      <c r="O33" s="2365"/>
      <c r="P33" s="2365"/>
      <c r="Q33" s="2365"/>
      <c r="R33" s="2365"/>
      <c r="S33" s="2365"/>
      <c r="T33" s="2366"/>
      <c r="U33" s="2164" t="str">
        <f>VLOOKUP(I33,実績!$C$5:$CV$1474,3,0)</f>
        <v>新井</v>
      </c>
      <c r="V33" s="2165"/>
      <c r="W33" s="2167" t="str">
        <f>VLOOKUP(I33,実績!$C$5:$CV$1474,2,0)</f>
        <v>近藤
ホア</v>
      </c>
      <c r="X33" s="2281"/>
      <c r="Y33" s="2164" t="str">
        <f>VLOOKUP(I33,実績!$C$5:$CV$1474,4,FALSE)</f>
        <v>広島県</v>
      </c>
      <c r="Z33" s="2166"/>
      <c r="AA33" s="2165"/>
      <c r="AB33" s="2167" t="str">
        <f>VLOOKUP(I33,実績!$C$5:$CV$1474,9,0)</f>
        <v>倉庫</v>
      </c>
      <c r="AC33" s="2166"/>
      <c r="AD33" s="2165"/>
      <c r="AE33" s="2272">
        <f>ROUND(VLOOKUP(I33,実績!$C$5:$CV$1474,42,0),-1)</f>
        <v>730</v>
      </c>
      <c r="AF33" s="2273"/>
      <c r="AG33" s="2274"/>
      <c r="AH33" s="2164" t="str">
        <f>VLOOKUP(I33,実績!$C$5:$CV$1474,50,0)</f>
        <v>無</v>
      </c>
      <c r="AI33" s="2165"/>
      <c r="AJ33" s="2373" t="s">
        <v>16624</v>
      </c>
      <c r="AK33" s="2374"/>
      <c r="AL33" s="2375"/>
      <c r="AM33" s="2224" t="str">
        <f>VLOOKUP(I33,実績!$C$5:$CV$1474,61,0)</f>
        <v>-</v>
      </c>
      <c r="AN33" s="2225"/>
      <c r="AO33" s="2225"/>
      <c r="AP33" s="2226"/>
      <c r="AQ33" s="2132" t="str">
        <f>VLOOKUP(I33,実績!$C$5:$CV$1474,37,0)</f>
        <v>-</v>
      </c>
      <c r="AR33" s="2133"/>
      <c r="AS33" s="2125" t="str">
        <f>VLOOKUP(I33,実績!$C$5:$CV$1474,38,0)</f>
        <v>-</v>
      </c>
      <c r="AT33" s="2133"/>
      <c r="AU33" s="2125" t="str">
        <f>VLOOKUP(I33,実績!$C$5:$CV$1474,39,0)</f>
        <v>-</v>
      </c>
      <c r="AV33" s="2133"/>
      <c r="AW33" s="2125" t="str">
        <f>VLOOKUP(I33,実績!$C$5:$CV$1474,40,0)</f>
        <v>-</v>
      </c>
      <c r="AX33" s="2133"/>
      <c r="AY33" s="2125" t="str">
        <f>VLOOKUP(I33,実績!$C$5:$CV$1474,41,0)</f>
        <v>独立</v>
      </c>
      <c r="AZ33" s="2126"/>
      <c r="BA33" s="2240">
        <f>VLOOKUP(I33,実績!$C$5:$CV$1474,44,0)</f>
        <v>1</v>
      </c>
      <c r="BB33" s="2241"/>
      <c r="BC33" s="2242"/>
      <c r="BD33" s="2129">
        <v>44071</v>
      </c>
      <c r="BE33" s="2088"/>
      <c r="BF33" s="2194" t="s">
        <v>15946</v>
      </c>
      <c r="BG33" s="2093"/>
      <c r="BH33" s="2094"/>
      <c r="BI33" s="2094"/>
      <c r="BJ33" s="2094"/>
      <c r="BK33" s="2095"/>
      <c r="BL33" s="2287">
        <v>44124</v>
      </c>
      <c r="BM33" s="2288"/>
      <c r="BN33" s="2400" t="s">
        <v>4848</v>
      </c>
      <c r="BO33" s="2401"/>
      <c r="BP33" s="2099"/>
      <c r="BQ33" s="2100"/>
      <c r="BR33" s="2100"/>
      <c r="BS33" s="2102"/>
      <c r="BT33" s="2384">
        <f>ROUND(VLOOKUP(I33,実績!$C$5:$CV$1474,59,0),1)</f>
        <v>2.4</v>
      </c>
      <c r="BU33" s="2414" t="str">
        <f>VLOOKUP(I33,実績!$C$5:$CV$1474,67,0)</f>
        <v>工場</v>
      </c>
      <c r="BV33" s="2396" t="str">
        <f>VLOOKUP(I33,実績!$C$5:$CV$1474,68,0)</f>
        <v>-</v>
      </c>
      <c r="BW33" s="2381" t="str">
        <f>VLOOKUP(I33,実績!$C$5:$CV$1474,69,0)</f>
        <v>○</v>
      </c>
      <c r="BX33" s="2093">
        <f>VLOOKUP(I33,実績!$C$5:$CV$1474,75,0)</f>
        <v>0</v>
      </c>
      <c r="BY33" s="2094"/>
      <c r="BZ33" s="2094"/>
      <c r="CA33" s="2094"/>
      <c r="CB33" s="2180"/>
      <c r="CD33" s="1968">
        <f>F33</f>
        <v>190132</v>
      </c>
      <c r="CE33" s="1968" t="str">
        <f>I33</f>
        <v>広島西ＳＣ</v>
      </c>
      <c r="CF33" s="96">
        <f>BD33</f>
        <v>44071</v>
      </c>
      <c r="CG33" s="96" t="str">
        <f>BF33</f>
        <v>1月
中旬</v>
      </c>
      <c r="CH33" s="14"/>
      <c r="CI33" s="14"/>
      <c r="CJ33" s="104"/>
      <c r="CK33" s="18"/>
      <c r="CL33" s="18"/>
      <c r="CM33" s="103"/>
      <c r="CN33" s="103"/>
      <c r="CO33" s="103"/>
      <c r="CP33" s="103"/>
      <c r="CQ33" s="103"/>
      <c r="CT33" s="68"/>
      <c r="CU33" s="68"/>
      <c r="CV33" s="68"/>
      <c r="CW33" s="68"/>
    </row>
    <row r="34" spans="2:110" ht="30" customHeight="1" thickTop="1" thickBot="1">
      <c r="B34" s="2537"/>
      <c r="C34" s="2596"/>
      <c r="D34" s="2295"/>
      <c r="E34" s="2239"/>
      <c r="F34" s="2184" t="str">
        <f>"("&amp;SUBSTITUTE(VLOOKUP(F33,実績!$B$5:$CV$1474,27,0),"株式会社 ","")&amp;","&amp;SUBSTITUTE(VLOOKUP(F33,実績!$B$5:$CV$1474,22,0),"株式会社 ","")&amp;")"</f>
        <v>(増岡組,アステック)</v>
      </c>
      <c r="G34" s="2185"/>
      <c r="H34" s="2185"/>
      <c r="I34" s="2185"/>
      <c r="J34" s="2185"/>
      <c r="K34" s="2185"/>
      <c r="L34" s="2185"/>
      <c r="M34" s="2185"/>
      <c r="N34" s="2185"/>
      <c r="O34" s="2185"/>
      <c r="P34" s="2185"/>
      <c r="Q34" s="2185"/>
      <c r="R34" s="2185"/>
      <c r="S34" s="2185"/>
      <c r="T34" s="2186"/>
      <c r="U34" s="2156"/>
      <c r="V34" s="2157"/>
      <c r="W34" s="2168"/>
      <c r="X34" s="2282"/>
      <c r="Y34" s="2156" t="str">
        <f>VLOOKUP(I33,実績!$C$5:$CV$1474,5,0)</f>
        <v>広島市</v>
      </c>
      <c r="Z34" s="2169"/>
      <c r="AA34" s="2157"/>
      <c r="AB34" s="2168"/>
      <c r="AC34" s="2169"/>
      <c r="AD34" s="2157"/>
      <c r="AE34" s="2275"/>
      <c r="AF34" s="2276"/>
      <c r="AG34" s="2277"/>
      <c r="AH34" s="2156"/>
      <c r="AI34" s="2157"/>
      <c r="AJ34" s="2376"/>
      <c r="AK34" s="2377"/>
      <c r="AL34" s="2378"/>
      <c r="AM34" s="2224" t="str">
        <f>VLOOKUP(I33,実績!$C$5:$CV$1474,62,0)</f>
        <v>-</v>
      </c>
      <c r="AN34" s="2225"/>
      <c r="AO34" s="2225"/>
      <c r="AP34" s="2226"/>
      <c r="AQ34" s="2134"/>
      <c r="AR34" s="2135"/>
      <c r="AS34" s="2127"/>
      <c r="AT34" s="2135"/>
      <c r="AU34" s="2127"/>
      <c r="AV34" s="2135"/>
      <c r="AW34" s="2127"/>
      <c r="AX34" s="2135"/>
      <c r="AY34" s="2127"/>
      <c r="AZ34" s="2128"/>
      <c r="BA34" s="2240">
        <f>VLOOKUP(I33,実績!$C$5:$CV$1474,46,0)</f>
        <v>1.2</v>
      </c>
      <c r="BB34" s="2241"/>
      <c r="BC34" s="2242"/>
      <c r="BD34" s="2089"/>
      <c r="BE34" s="2090"/>
      <c r="BF34" s="2092"/>
      <c r="BG34" s="2096"/>
      <c r="BH34" s="2097"/>
      <c r="BI34" s="2097"/>
      <c r="BJ34" s="2097"/>
      <c r="BK34" s="2098"/>
      <c r="BL34" s="2392">
        <v>44130</v>
      </c>
      <c r="BM34" s="2393"/>
      <c r="BN34" s="2417" t="s">
        <v>11584</v>
      </c>
      <c r="BO34" s="2418"/>
      <c r="BP34" s="2099"/>
      <c r="BQ34" s="2100"/>
      <c r="BR34" s="2100"/>
      <c r="BS34" s="2102"/>
      <c r="BT34" s="2399"/>
      <c r="BU34" s="2415"/>
      <c r="BV34" s="2500"/>
      <c r="BW34" s="2382"/>
      <c r="BX34" s="2096"/>
      <c r="BY34" s="2097"/>
      <c r="BZ34" s="2097"/>
      <c r="CA34" s="2097"/>
      <c r="CB34" s="2189"/>
      <c r="CH34" s="14"/>
      <c r="CI34" s="14"/>
      <c r="CJ34" s="104"/>
      <c r="CK34" s="18"/>
      <c r="CL34" s="18"/>
      <c r="CM34" s="103"/>
      <c r="CN34" s="103"/>
      <c r="CO34" s="103"/>
      <c r="CP34" s="103"/>
      <c r="CQ34" s="103"/>
      <c r="CT34" s="68"/>
      <c r="CU34" s="68"/>
      <c r="CV34" s="68"/>
      <c r="CW34" s="68"/>
    </row>
    <row r="35" spans="2:110" ht="30" customHeight="1" thickTop="1" thickBot="1">
      <c r="B35" s="2537"/>
      <c r="C35" s="2596"/>
      <c r="D35" s="2295" t="s">
        <v>4846</v>
      </c>
      <c r="E35" s="2239"/>
      <c r="F35" s="2283">
        <f>実績!B1411</f>
        <v>200014</v>
      </c>
      <c r="G35" s="2284"/>
      <c r="H35" s="2284"/>
      <c r="I35" s="2320" t="str">
        <f>VLOOKUP(F35,実績!$B$5:$CV$1474,2,0)</f>
        <v>伊勢原新工場</v>
      </c>
      <c r="J35" s="2320"/>
      <c r="K35" s="2320"/>
      <c r="L35" s="2320"/>
      <c r="M35" s="2320"/>
      <c r="N35" s="2320"/>
      <c r="O35" s="2320"/>
      <c r="P35" s="2320"/>
      <c r="Q35" s="2320"/>
      <c r="R35" s="2320"/>
      <c r="S35" s="2320"/>
      <c r="T35" s="2321"/>
      <c r="U35" s="2164" t="str">
        <f>VLOOKUP(I35,実績!$C$5:$CV$1474,3,0)</f>
        <v>大田</v>
      </c>
      <c r="V35" s="2165"/>
      <c r="W35" s="2167" t="str">
        <f>VLOOKUP(I35,実績!$C$5:$CV$1474,2,0)</f>
        <v>ユイ
ホア</v>
      </c>
      <c r="X35" s="2281"/>
      <c r="Y35" s="2164" t="str">
        <f>VLOOKUP(I35,実績!$C$5:$CV$1474,4,FALSE)</f>
        <v>神奈川県</v>
      </c>
      <c r="Z35" s="2166"/>
      <c r="AA35" s="2165"/>
      <c r="AB35" s="2167" t="str">
        <f>VLOOKUP(I35,実績!$C$5:$CV$1474,9,0)</f>
        <v>工場</v>
      </c>
      <c r="AC35" s="2166"/>
      <c r="AD35" s="2165"/>
      <c r="AE35" s="2272">
        <f>ROUND(VLOOKUP(I35,実績!$C$5:$CV$1474,42,0),-1)</f>
        <v>3500</v>
      </c>
      <c r="AF35" s="2273"/>
      <c r="AG35" s="2274"/>
      <c r="AH35" s="2164" t="str">
        <f>VLOOKUP(I35,実績!$C$5:$CV$1474,50,0)</f>
        <v>無</v>
      </c>
      <c r="AI35" s="2165"/>
      <c r="AJ35" s="2267">
        <f>VLOOKUP(I35,実績!$C$5:$CV$1474,60,0)</f>
        <v>8.82</v>
      </c>
      <c r="AK35" s="2268"/>
      <c r="AL35" s="2269"/>
      <c r="AM35" s="2224" t="str">
        <f>VLOOKUP(I35,実績!$C$5:$CV$1474,61,0)</f>
        <v>-</v>
      </c>
      <c r="AN35" s="2225"/>
      <c r="AO35" s="2225"/>
      <c r="AP35" s="2226"/>
      <c r="AQ35" s="2132" t="str">
        <f>VLOOKUP(I35,実績!$C$5:$CV$1474,37,0)</f>
        <v>-</v>
      </c>
      <c r="AR35" s="2133"/>
      <c r="AS35" s="2125" t="str">
        <f>VLOOKUP(I35,実績!$C$5:$CV$1474,38,0)</f>
        <v>-</v>
      </c>
      <c r="AT35" s="2133"/>
      <c r="AU35" s="2125" t="str">
        <f>VLOOKUP(I35,実績!$C$5:$CV$1474,39,0)</f>
        <v>-</v>
      </c>
      <c r="AV35" s="2133"/>
      <c r="AW35" s="2125" t="str">
        <f>VLOOKUP(I35,実績!$C$5:$CV$1474,40,0)</f>
        <v>-</v>
      </c>
      <c r="AX35" s="2133"/>
      <c r="AY35" s="2125" t="str">
        <f>VLOOKUP(I35,実績!$C$5:$CV$1474,41,0)</f>
        <v>独立</v>
      </c>
      <c r="AZ35" s="2126"/>
      <c r="BA35" s="2240">
        <f>VLOOKUP(I35,実績!$C$5:$CV$1474,44,0)</f>
        <v>1</v>
      </c>
      <c r="BB35" s="2241"/>
      <c r="BC35" s="2242"/>
      <c r="BD35" s="2129">
        <v>44116</v>
      </c>
      <c r="BE35" s="2088"/>
      <c r="BF35" s="2194" t="s">
        <v>15946</v>
      </c>
      <c r="BG35" s="2093" t="s">
        <v>16548</v>
      </c>
      <c r="BH35" s="2094"/>
      <c r="BI35" s="2094"/>
      <c r="BJ35" s="2094"/>
      <c r="BK35" s="2095"/>
      <c r="BL35" s="2392">
        <v>44130</v>
      </c>
      <c r="BM35" s="2393"/>
      <c r="BN35" s="2394" t="s">
        <v>4848</v>
      </c>
      <c r="BO35" s="2395"/>
      <c r="BP35" s="2287">
        <v>44125</v>
      </c>
      <c r="BQ35" s="2288"/>
      <c r="BR35" s="2400" t="s">
        <v>4848</v>
      </c>
      <c r="BS35" s="2401"/>
      <c r="BT35" s="2103">
        <f>ROUND(VLOOKUP(I35,実績!$C$5:$CV$1474,59,0),1)</f>
        <v>1.7</v>
      </c>
      <c r="BU35" s="2105" t="str">
        <f>VLOOKUP(I35,実績!$C$5:$CV$1474,67,0)</f>
        <v>住宅・工場</v>
      </c>
      <c r="BV35" s="2136" t="str">
        <f>VLOOKUP(I35,実績!$C$5:$CV$1474,68,0)</f>
        <v>○
0.4m</v>
      </c>
      <c r="BW35" s="2138" t="str">
        <f>VLOOKUP(I35,実績!$C$5:$CV$1474,69,0)</f>
        <v>○</v>
      </c>
      <c r="BX35" s="2093">
        <f>VLOOKUP(I35,実績!$C$5:$CV$1474,75,0)</f>
        <v>0</v>
      </c>
      <c r="BY35" s="2094"/>
      <c r="BZ35" s="2094"/>
      <c r="CA35" s="2094"/>
      <c r="CB35" s="2180"/>
      <c r="CD35" s="1968">
        <f>F35</f>
        <v>200014</v>
      </c>
      <c r="CE35" s="1968" t="str">
        <f>I35</f>
        <v>伊勢原新工場</v>
      </c>
      <c r="CF35" s="96">
        <f>BD35</f>
        <v>44116</v>
      </c>
      <c r="CG35" s="96" t="str">
        <f>BF35</f>
        <v>1月
中旬</v>
      </c>
      <c r="CH35" s="14"/>
      <c r="CI35" s="14"/>
      <c r="CJ35" s="104"/>
      <c r="CK35" s="18"/>
      <c r="CL35" s="18"/>
      <c r="CM35" s="103"/>
      <c r="CN35" s="103"/>
      <c r="CO35" s="103"/>
      <c r="CP35" s="103"/>
      <c r="CQ35" s="103"/>
      <c r="CT35" s="68"/>
      <c r="CU35" s="68"/>
      <c r="CV35" s="68"/>
      <c r="CW35" s="68"/>
    </row>
    <row r="36" spans="2:110" ht="30" customHeight="1" thickTop="1" thickBot="1">
      <c r="B36" s="2537"/>
      <c r="C36" s="2596"/>
      <c r="D36" s="2295"/>
      <c r="E36" s="2239"/>
      <c r="F36" s="2221" t="str">
        <f>"("&amp;SUBSTITUTE(VLOOKUP(I35,実績!$C$5:$CV$1474,16,0),"株式会社 ","")&amp;")"</f>
        <v>(淺沼組)</v>
      </c>
      <c r="G36" s="2222"/>
      <c r="H36" s="2222"/>
      <c r="I36" s="2222"/>
      <c r="J36" s="2222"/>
      <c r="K36" s="2222"/>
      <c r="L36" s="2222"/>
      <c r="M36" s="2222"/>
      <c r="N36" s="2222"/>
      <c r="O36" s="2222"/>
      <c r="P36" s="2222"/>
      <c r="Q36" s="2222"/>
      <c r="R36" s="2222"/>
      <c r="S36" s="2222"/>
      <c r="T36" s="2223"/>
      <c r="U36" s="2156"/>
      <c r="V36" s="2157"/>
      <c r="W36" s="2168"/>
      <c r="X36" s="2282"/>
      <c r="Y36" s="2156" t="str">
        <f>VLOOKUP(I35,実績!$C$5:$CV$1474,5,0)</f>
        <v>伊勢原市</v>
      </c>
      <c r="Z36" s="2169"/>
      <c r="AA36" s="2157"/>
      <c r="AB36" s="2168"/>
      <c r="AC36" s="2169"/>
      <c r="AD36" s="2157"/>
      <c r="AE36" s="2275"/>
      <c r="AF36" s="2276"/>
      <c r="AG36" s="2277"/>
      <c r="AH36" s="2156"/>
      <c r="AI36" s="2157"/>
      <c r="AJ36" s="2278"/>
      <c r="AK36" s="2279"/>
      <c r="AL36" s="2280"/>
      <c r="AM36" s="2224" t="str">
        <f>VLOOKUP(I35,実績!$C$5:$CV$1474,62,0)</f>
        <v>-</v>
      </c>
      <c r="AN36" s="2225"/>
      <c r="AO36" s="2225"/>
      <c r="AP36" s="2226"/>
      <c r="AQ36" s="2134"/>
      <c r="AR36" s="2135"/>
      <c r="AS36" s="2127"/>
      <c r="AT36" s="2135"/>
      <c r="AU36" s="2127"/>
      <c r="AV36" s="2135"/>
      <c r="AW36" s="2127"/>
      <c r="AX36" s="2135"/>
      <c r="AY36" s="2127"/>
      <c r="AZ36" s="2128"/>
      <c r="BA36" s="2240">
        <f>VLOOKUP(I35,実績!$C$5:$CV$1474,46,0)</f>
        <v>1.5</v>
      </c>
      <c r="BB36" s="2241"/>
      <c r="BC36" s="2242"/>
      <c r="BD36" s="2089"/>
      <c r="BE36" s="2090"/>
      <c r="BF36" s="2092"/>
      <c r="BG36" s="2096"/>
      <c r="BH36" s="2097"/>
      <c r="BI36" s="2097"/>
      <c r="BJ36" s="2097"/>
      <c r="BK36" s="2098"/>
      <c r="BL36" s="2099"/>
      <c r="BM36" s="2100"/>
      <c r="BN36" s="2100"/>
      <c r="BO36" s="2101"/>
      <c r="BP36" s="2099"/>
      <c r="BQ36" s="2100"/>
      <c r="BR36" s="2100"/>
      <c r="BS36" s="2102"/>
      <c r="BT36" s="2104"/>
      <c r="BU36" s="2106"/>
      <c r="BV36" s="2137"/>
      <c r="BW36" s="2139"/>
      <c r="BX36" s="2181"/>
      <c r="BY36" s="2182"/>
      <c r="BZ36" s="2182"/>
      <c r="CA36" s="2182"/>
      <c r="CB36" s="2183"/>
      <c r="CH36" s="14"/>
      <c r="CI36" s="14"/>
      <c r="CJ36" s="104"/>
      <c r="CK36" s="18"/>
      <c r="CL36" s="18"/>
      <c r="CM36" s="103"/>
      <c r="CN36" s="103"/>
      <c r="CO36" s="103"/>
      <c r="CP36" s="103"/>
      <c r="CQ36" s="103"/>
      <c r="CT36" s="68"/>
      <c r="CU36" s="68"/>
      <c r="CV36" s="68"/>
      <c r="CW36" s="68"/>
    </row>
    <row r="37" spans="2:110" ht="30" customHeight="1" thickTop="1" thickBot="1">
      <c r="B37" s="2537"/>
      <c r="C37" s="2596"/>
      <c r="D37" s="2361" t="s">
        <v>4852</v>
      </c>
      <c r="E37" s="2362"/>
      <c r="F37" s="2363">
        <f>実績!B1376</f>
        <v>190124</v>
      </c>
      <c r="G37" s="2364"/>
      <c r="H37" s="2364"/>
      <c r="I37" s="2535" t="str">
        <f>VLOOKUP(F37,実績!$B$5:$CV$1474,2,0)</f>
        <v>東北マツダ泉 工場棟</v>
      </c>
      <c r="J37" s="2535"/>
      <c r="K37" s="2535"/>
      <c r="L37" s="2535"/>
      <c r="M37" s="2535"/>
      <c r="N37" s="2535"/>
      <c r="O37" s="2535"/>
      <c r="P37" s="2535"/>
      <c r="Q37" s="2535"/>
      <c r="R37" s="2535"/>
      <c r="S37" s="2535"/>
      <c r="T37" s="2536"/>
      <c r="U37" s="2164" t="str">
        <f>VLOOKUP(I37,実績!$C$5:$CV$1474,3,0)</f>
        <v>沖本</v>
      </c>
      <c r="V37" s="2165"/>
      <c r="W37" s="2167" t="str">
        <f>VLOOKUP(I37,実績!$C$5:$CV$1474,2,0)</f>
        <v>タオ</v>
      </c>
      <c r="X37" s="2281"/>
      <c r="Y37" s="2164" t="str">
        <f>VLOOKUP(I37,実績!$C$5:$CV$1474,4,FALSE)</f>
        <v>宮城県</v>
      </c>
      <c r="Z37" s="2166"/>
      <c r="AA37" s="2165"/>
      <c r="AB37" s="2167" t="str">
        <f>VLOOKUP(I37,実績!$C$5:$CV$1474,9,0)</f>
        <v>工場</v>
      </c>
      <c r="AC37" s="2166"/>
      <c r="AD37" s="2165"/>
      <c r="AE37" s="2272">
        <f>SUM(実績!AR1376:AR1378)</f>
        <v>1198</v>
      </c>
      <c r="AF37" s="2273"/>
      <c r="AG37" s="2274"/>
      <c r="AH37" s="2164" t="str">
        <f>VLOOKUP(I37,実績!$C$5:$CV$1474,50,0)</f>
        <v>無</v>
      </c>
      <c r="AI37" s="2165"/>
      <c r="AJ37" s="2264">
        <f>VLOOKUP(I37,実績!$C$5:$CV$1474,60,0)</f>
        <v>1.83</v>
      </c>
      <c r="AK37" s="2265"/>
      <c r="AL37" s="2266"/>
      <c r="AM37" s="2252" t="str">
        <f>VLOOKUP(I37,実績!$C$5:$CV$1474,61,0)</f>
        <v>砂混じりｼﾙﾄ(府植物混入)</v>
      </c>
      <c r="AN37" s="2253"/>
      <c r="AO37" s="2253"/>
      <c r="AP37" s="2254"/>
      <c r="AQ37" s="2132" t="str">
        <f>VLOOKUP(I37,実績!$C$5:$CV$1474,37,0)</f>
        <v>-</v>
      </c>
      <c r="AR37" s="2133"/>
      <c r="AS37" s="2125" t="str">
        <f>VLOOKUP(I37,実績!$C$5:$CV$1474,38,0)</f>
        <v>-</v>
      </c>
      <c r="AT37" s="2133"/>
      <c r="AU37" s="2125" t="str">
        <f>VLOOKUP(I37,実績!$C$5:$CV$1474,39,0)</f>
        <v>-</v>
      </c>
      <c r="AV37" s="2133"/>
      <c r="AW37" s="2125" t="str">
        <f>VLOOKUP(I37,実績!$C$5:$CV$1474,40,0)</f>
        <v>-</v>
      </c>
      <c r="AX37" s="2133"/>
      <c r="AY37" s="2125" t="str">
        <f>VLOOKUP(I37,実績!$C$5:$CV$1474,41,0)</f>
        <v>独立</v>
      </c>
      <c r="AZ37" s="2126"/>
      <c r="BA37" s="2240">
        <f>VLOOKUP(I37,実績!$C$5:$CV$1474,44,0)</f>
        <v>1</v>
      </c>
      <c r="BB37" s="2241"/>
      <c r="BC37" s="2242"/>
      <c r="BD37" s="2129">
        <v>44085</v>
      </c>
      <c r="BE37" s="2088"/>
      <c r="BF37" s="2194" t="s">
        <v>17851</v>
      </c>
      <c r="BG37" s="2093"/>
      <c r="BH37" s="2094"/>
      <c r="BI37" s="2094"/>
      <c r="BJ37" s="2094"/>
      <c r="BK37" s="2095"/>
      <c r="BL37" s="2287">
        <v>44091</v>
      </c>
      <c r="BM37" s="2288"/>
      <c r="BN37" s="2400" t="s">
        <v>4848</v>
      </c>
      <c r="BO37" s="2401"/>
      <c r="BP37" s="2287">
        <v>44103</v>
      </c>
      <c r="BQ37" s="2288"/>
      <c r="BR37" s="2400" t="s">
        <v>4848</v>
      </c>
      <c r="BS37" s="2401"/>
      <c r="BT37" s="2384">
        <f>ROUND(VLOOKUP(I37,実績!$C$5:$CV$1474,59,0),1)</f>
        <v>2.2000000000000002</v>
      </c>
      <c r="BU37" s="2414" t="str">
        <f>VLOOKUP(I37,実績!$C$5:$CV$1474,67,0)</f>
        <v>店舗</v>
      </c>
      <c r="BV37" s="2396" t="str">
        <f>VLOOKUP(I37,実績!$C$5:$CV$1474,68,0)</f>
        <v>-</v>
      </c>
      <c r="BW37" s="2381" t="str">
        <f>VLOOKUP(I37,実績!$C$5:$CV$1474,69,0)</f>
        <v>○</v>
      </c>
      <c r="BX37" s="2093" t="str">
        <f>VLOOKUP(I37,実績!$C$5:$CV$1474,75,0)</f>
        <v>3棟。既存擁壁近接。</v>
      </c>
      <c r="BY37" s="2094"/>
      <c r="BZ37" s="2094"/>
      <c r="CA37" s="2094"/>
      <c r="CB37" s="2180"/>
      <c r="CD37" s="1968">
        <f>F37</f>
        <v>190124</v>
      </c>
      <c r="CE37" s="1968" t="str">
        <f>I37</f>
        <v>東北マツダ泉 工場棟</v>
      </c>
      <c r="CF37" s="96">
        <f>BD37</f>
        <v>44085</v>
      </c>
      <c r="CG37" s="96" t="str">
        <f>BF37</f>
        <v>2021.6～7頃</v>
      </c>
      <c r="CH37" s="14"/>
      <c r="CI37" s="14"/>
      <c r="CJ37" s="104"/>
      <c r="CK37" s="18"/>
      <c r="CL37" s="18"/>
      <c r="CM37" s="103"/>
      <c r="CN37" s="103"/>
      <c r="CO37" s="103"/>
      <c r="CP37" s="103"/>
      <c r="CQ37" s="103"/>
      <c r="CT37" s="68"/>
      <c r="CU37" s="68"/>
      <c r="CV37" s="68"/>
      <c r="CW37" s="68"/>
    </row>
    <row r="38" spans="2:110" ht="30" customHeight="1" thickTop="1" thickBot="1">
      <c r="B38" s="2537"/>
      <c r="C38" s="2596"/>
      <c r="D38" s="2533"/>
      <c r="E38" s="2534"/>
      <c r="F38" s="2437" t="str">
        <f>"("&amp;SUBSTITUTE(VLOOKUP(I37,実績!$C$5:$CV$1474,16,0)," 株式会社","")&amp;","&amp;SUBSTITUTE(VLOOKUP(I37,実績!$C$5:$CV$1474,21,0),"株式会社","")&amp;")"</f>
        <v>(マツダエース,ﾃｨｰｱﾝﾄﾞﾋﾟｨｰ設計事務所)</v>
      </c>
      <c r="G38" s="2438"/>
      <c r="H38" s="2438"/>
      <c r="I38" s="2438"/>
      <c r="J38" s="2438"/>
      <c r="K38" s="2438"/>
      <c r="L38" s="2438"/>
      <c r="M38" s="2438"/>
      <c r="N38" s="2438"/>
      <c r="O38" s="2438"/>
      <c r="P38" s="2438"/>
      <c r="Q38" s="2438"/>
      <c r="R38" s="2438"/>
      <c r="S38" s="2438"/>
      <c r="T38" s="2439"/>
      <c r="U38" s="2156"/>
      <c r="V38" s="2157"/>
      <c r="W38" s="2168"/>
      <c r="X38" s="2282"/>
      <c r="Y38" s="2156" t="str">
        <f>VLOOKUP(I37,実績!$C$5:$CV$1474,5,0)</f>
        <v>仙台市</v>
      </c>
      <c r="Z38" s="2169"/>
      <c r="AA38" s="2157"/>
      <c r="AB38" s="2168"/>
      <c r="AC38" s="2169"/>
      <c r="AD38" s="2157"/>
      <c r="AE38" s="2275"/>
      <c r="AF38" s="2276"/>
      <c r="AG38" s="2277"/>
      <c r="AH38" s="2156"/>
      <c r="AI38" s="2157"/>
      <c r="AJ38" s="2278"/>
      <c r="AK38" s="2279"/>
      <c r="AL38" s="2280"/>
      <c r="AM38" s="2252">
        <f>VLOOKUP(I37,実績!$C$5:$CV$1474,62,0)</f>
        <v>2</v>
      </c>
      <c r="AN38" s="2253"/>
      <c r="AO38" s="2253"/>
      <c r="AP38" s="2254"/>
      <c r="AQ38" s="2134"/>
      <c r="AR38" s="2135"/>
      <c r="AS38" s="2127"/>
      <c r="AT38" s="2135"/>
      <c r="AU38" s="2127"/>
      <c r="AV38" s="2135"/>
      <c r="AW38" s="2127"/>
      <c r="AX38" s="2135"/>
      <c r="AY38" s="2127"/>
      <c r="AZ38" s="2128"/>
      <c r="BA38" s="2240">
        <f>VLOOKUP(I37,実績!$C$5:$CV$1474,46,0)</f>
        <v>1.5</v>
      </c>
      <c r="BB38" s="2241"/>
      <c r="BC38" s="2242"/>
      <c r="BD38" s="2249"/>
      <c r="BE38" s="2250"/>
      <c r="BF38" s="2092"/>
      <c r="BG38" s="2096"/>
      <c r="BH38" s="2097"/>
      <c r="BI38" s="2097"/>
      <c r="BJ38" s="2097"/>
      <c r="BK38" s="2098"/>
      <c r="BL38" s="2287">
        <v>44113</v>
      </c>
      <c r="BM38" s="2288"/>
      <c r="BN38" s="2100" t="s">
        <v>15320</v>
      </c>
      <c r="BO38" s="2101"/>
      <c r="BP38" s="2287">
        <v>44113</v>
      </c>
      <c r="BQ38" s="2288"/>
      <c r="BR38" s="2100" t="s">
        <v>15320</v>
      </c>
      <c r="BS38" s="2101"/>
      <c r="BT38" s="2399"/>
      <c r="BU38" s="2415"/>
      <c r="BV38" s="2397"/>
      <c r="BW38" s="2382"/>
      <c r="BX38" s="2181"/>
      <c r="BY38" s="2182"/>
      <c r="BZ38" s="2182"/>
      <c r="CA38" s="2182"/>
      <c r="CB38" s="2183"/>
      <c r="CH38" s="14"/>
      <c r="CI38" s="14"/>
      <c r="CJ38" s="104"/>
      <c r="CK38" s="18"/>
      <c r="CL38" s="18"/>
      <c r="CM38" s="103"/>
      <c r="CN38" s="103"/>
      <c r="CO38" s="103"/>
      <c r="CP38" s="103"/>
      <c r="CQ38" s="103"/>
      <c r="CT38" s="68"/>
      <c r="CU38" s="68"/>
      <c r="CV38" s="68"/>
      <c r="CW38" s="68"/>
    </row>
    <row r="39" spans="2:110" ht="30" customHeight="1" thickTop="1" thickBot="1">
      <c r="B39" s="2537"/>
      <c r="C39" s="2596"/>
      <c r="D39" s="2295" t="s">
        <v>4846</v>
      </c>
      <c r="E39" s="2239"/>
      <c r="F39" s="2283">
        <f>実績!B1421</f>
        <v>200024</v>
      </c>
      <c r="G39" s="2284"/>
      <c r="H39" s="2284"/>
      <c r="I39" s="2371" t="str">
        <f>VLOOKUP(F39,実績!$B$5:$CV$1474,2,0)</f>
        <v>東習志野テナントビル</v>
      </c>
      <c r="J39" s="2371"/>
      <c r="K39" s="2371"/>
      <c r="L39" s="2371"/>
      <c r="M39" s="2371"/>
      <c r="N39" s="2371"/>
      <c r="O39" s="2371"/>
      <c r="P39" s="2371"/>
      <c r="Q39" s="2371"/>
      <c r="R39" s="2371"/>
      <c r="S39" s="2371"/>
      <c r="T39" s="2372"/>
      <c r="U39" s="2164" t="str">
        <f>VLOOKUP(I39,実績!$C$5:$CV$1474,3,0)</f>
        <v>沖本</v>
      </c>
      <c r="V39" s="2165"/>
      <c r="W39" s="2167" t="str">
        <f>VLOOKUP(I39,実績!$C$5:$CV$1474,2,0)</f>
        <v>村上
ﾏｲｱｲﾝ</v>
      </c>
      <c r="X39" s="2281"/>
      <c r="Y39" s="2164" t="str">
        <f>VLOOKUP(I39,実績!$C$5:$CV$1474,4,FALSE)</f>
        <v>千葉県</v>
      </c>
      <c r="Z39" s="2166"/>
      <c r="AA39" s="2165"/>
      <c r="AB39" s="2167" t="str">
        <f>VLOOKUP(I39,実績!$C$5:$CV$1474,9,0)</f>
        <v>店舗(ﾊﾟﾁﾝｺ)</v>
      </c>
      <c r="AC39" s="2166"/>
      <c r="AD39" s="2165"/>
      <c r="AE39" s="2272">
        <f>ROUND(VLOOKUP(I39,実績!$C$5:$CV$1474,42,0),-1)</f>
        <v>4860</v>
      </c>
      <c r="AF39" s="2273"/>
      <c r="AG39" s="2274"/>
      <c r="AH39" s="2164" t="str">
        <f>VLOOKUP(I39,実績!$C$5:$CV$1474,50,0)</f>
        <v>無</v>
      </c>
      <c r="AI39" s="2165"/>
      <c r="AJ39" s="2264">
        <f>VLOOKUP(I39,実績!$C$5:$CV$1474,60,0)</f>
        <v>1.3</v>
      </c>
      <c r="AK39" s="2265"/>
      <c r="AL39" s="2266"/>
      <c r="AM39" s="2252" t="str">
        <f>VLOOKUP(I39,実績!$C$5:$CV$1474,61,0)</f>
        <v>有機質ｼﾙﾄ</v>
      </c>
      <c r="AN39" s="2253"/>
      <c r="AO39" s="2253"/>
      <c r="AP39" s="2254"/>
      <c r="AQ39" s="2132" t="str">
        <f>VLOOKUP(I39,実績!$C$5:$CV$1474,37,0)</f>
        <v>-</v>
      </c>
      <c r="AR39" s="2133"/>
      <c r="AS39" s="2125" t="str">
        <f>VLOOKUP(I39,実績!$C$5:$CV$1474,38,0)</f>
        <v>-</v>
      </c>
      <c r="AT39" s="2133"/>
      <c r="AU39" s="2125" t="str">
        <f>VLOOKUP(I39,実績!$C$5:$CV$1474,39,0)</f>
        <v>-</v>
      </c>
      <c r="AV39" s="2133"/>
      <c r="AW39" s="2125" t="str">
        <f>VLOOKUP(I39,実績!$C$5:$CV$1474,40,0)</f>
        <v>○</v>
      </c>
      <c r="AX39" s="2133"/>
      <c r="AY39" s="2125" t="str">
        <f>VLOOKUP(I39,実績!$C$5:$CV$1474,41,0)</f>
        <v>独立</v>
      </c>
      <c r="AZ39" s="2126"/>
      <c r="BA39" s="2240">
        <f>VLOOKUP(I39,実績!$C$5:$CV$1474,44,0)</f>
        <v>1</v>
      </c>
      <c r="BB39" s="2241"/>
      <c r="BC39" s="2242"/>
      <c r="BD39" s="2129">
        <v>44099</v>
      </c>
      <c r="BE39" s="2088"/>
      <c r="BF39" s="2130"/>
      <c r="BG39" s="2093"/>
      <c r="BH39" s="2094"/>
      <c r="BI39" s="2094"/>
      <c r="BJ39" s="2094"/>
      <c r="BK39" s="2095"/>
      <c r="BL39" s="2099"/>
      <c r="BM39" s="2100"/>
      <c r="BN39" s="2100"/>
      <c r="BO39" s="2101"/>
      <c r="BP39" s="2287">
        <v>44113</v>
      </c>
      <c r="BQ39" s="2288"/>
      <c r="BR39" s="2400" t="s">
        <v>4848</v>
      </c>
      <c r="BS39" s="2401"/>
      <c r="BT39" s="2384">
        <f>ROUND(VLOOKUP(I39,実績!$C$5:$CV$1474,59,0),1)</f>
        <v>4</v>
      </c>
      <c r="BU39" s="2105">
        <f>VLOOKUP(I39,実績!$C$5:$CV$1474,67,0)</f>
        <v>0</v>
      </c>
      <c r="BV39" s="2396" t="str">
        <f>VLOOKUP(I39,実績!$C$5:$CV$1474,68,0)</f>
        <v>-</v>
      </c>
      <c r="BW39" s="2381" t="str">
        <f>VLOOKUP(I39,実績!$C$5:$CV$1474,69,0)</f>
        <v>○</v>
      </c>
      <c r="BX39" s="2093">
        <f>VLOOKUP(I39,実績!$C$5:$CV$1474,75,0)</f>
        <v>0</v>
      </c>
      <c r="BY39" s="2094"/>
      <c r="BZ39" s="2094"/>
      <c r="CA39" s="2094"/>
      <c r="CB39" s="2180"/>
      <c r="CD39" s="1968">
        <f>F39</f>
        <v>200024</v>
      </c>
      <c r="CE39" s="1968" t="str">
        <f>I39</f>
        <v>東習志野テナントビル</v>
      </c>
      <c r="CF39" s="96">
        <f>BD39</f>
        <v>44099</v>
      </c>
      <c r="CG39" s="96">
        <f>BF39</f>
        <v>0</v>
      </c>
      <c r="CH39" s="14"/>
      <c r="CI39" s="14"/>
      <c r="CJ39" s="104"/>
      <c r="CK39" s="18"/>
      <c r="CL39" s="18"/>
      <c r="CM39" s="103"/>
      <c r="CN39" s="103"/>
      <c r="CO39" s="103"/>
      <c r="CP39" s="103"/>
      <c r="CQ39" s="103"/>
      <c r="CT39" s="68"/>
      <c r="CU39" s="68"/>
      <c r="CV39" s="68"/>
      <c r="CW39" s="68"/>
    </row>
    <row r="40" spans="2:110" ht="30" customHeight="1" thickTop="1" thickBot="1">
      <c r="B40" s="2537"/>
      <c r="C40" s="2596"/>
      <c r="D40" s="2313"/>
      <c r="E40" s="2133"/>
      <c r="F40" s="2221" t="str">
        <f>"("&amp;SUBSTITUTE(VLOOKUP(I39,実績!$C$5:$CV$1474,16,0),"株式会社 ","")&amp;","&amp;SUBSTITUTE(VLOOKUP(I39,実績!$C$5:$CV$1474,21,0),"株式会社 ","")&amp;")"</f>
        <v>(河野設計福岡,KAZ設計室)</v>
      </c>
      <c r="G40" s="2222"/>
      <c r="H40" s="2222"/>
      <c r="I40" s="2222"/>
      <c r="J40" s="2222"/>
      <c r="K40" s="2222"/>
      <c r="L40" s="2222"/>
      <c r="M40" s="2222"/>
      <c r="N40" s="2222"/>
      <c r="O40" s="2222"/>
      <c r="P40" s="2222"/>
      <c r="Q40" s="2222"/>
      <c r="R40" s="2222"/>
      <c r="S40" s="2222"/>
      <c r="T40" s="2223"/>
      <c r="U40" s="2154"/>
      <c r="V40" s="2155"/>
      <c r="W40" s="2285"/>
      <c r="X40" s="2291"/>
      <c r="Y40" s="2154" t="str">
        <f>VLOOKUP(I39,実績!$C$5:$CV$1474,5,0)</f>
        <v>習志野市</v>
      </c>
      <c r="Z40" s="2286"/>
      <c r="AA40" s="2155"/>
      <c r="AB40" s="2285"/>
      <c r="AC40" s="2286"/>
      <c r="AD40" s="2155"/>
      <c r="AE40" s="2292"/>
      <c r="AF40" s="2293"/>
      <c r="AG40" s="2294"/>
      <c r="AH40" s="2154"/>
      <c r="AI40" s="2155"/>
      <c r="AJ40" s="2267"/>
      <c r="AK40" s="2268"/>
      <c r="AL40" s="2269"/>
      <c r="AM40" s="2331">
        <f>VLOOKUP(I39,実績!$C$5:$CV$1474,62,0)</f>
        <v>1.1499999999999999</v>
      </c>
      <c r="AN40" s="2332"/>
      <c r="AO40" s="2332"/>
      <c r="AP40" s="2333"/>
      <c r="AQ40" s="2158"/>
      <c r="AR40" s="2159"/>
      <c r="AS40" s="2114"/>
      <c r="AT40" s="2159"/>
      <c r="AU40" s="2114"/>
      <c r="AV40" s="2159"/>
      <c r="AW40" s="2114"/>
      <c r="AX40" s="2159"/>
      <c r="AY40" s="2114"/>
      <c r="AZ40" s="2115"/>
      <c r="BA40" s="2257">
        <f>VLOOKUP(I39,実績!$C$5:$CV$1474,46,0)</f>
        <v>1.5</v>
      </c>
      <c r="BB40" s="2258"/>
      <c r="BC40" s="2259"/>
      <c r="BD40" s="2249"/>
      <c r="BE40" s="2250"/>
      <c r="BF40" s="2245"/>
      <c r="BG40" s="2181"/>
      <c r="BH40" s="2182"/>
      <c r="BI40" s="2182"/>
      <c r="BJ40" s="2182"/>
      <c r="BK40" s="2206"/>
      <c r="BL40" s="2287"/>
      <c r="BM40" s="2288"/>
      <c r="BN40" s="2288"/>
      <c r="BO40" s="2402"/>
      <c r="BP40" s="2287">
        <v>44116</v>
      </c>
      <c r="BQ40" s="2288"/>
      <c r="BR40" s="2100" t="s">
        <v>11584</v>
      </c>
      <c r="BS40" s="2101"/>
      <c r="BT40" s="2405"/>
      <c r="BU40" s="2403"/>
      <c r="BV40" s="2397"/>
      <c r="BW40" s="2407"/>
      <c r="BX40" s="2181"/>
      <c r="BY40" s="2182"/>
      <c r="BZ40" s="2182"/>
      <c r="CA40" s="2182"/>
      <c r="CB40" s="2183"/>
      <c r="CH40" s="14"/>
      <c r="CI40" s="14"/>
      <c r="CJ40" s="104"/>
      <c r="CK40" s="18"/>
      <c r="CL40" s="18"/>
      <c r="CM40" s="103"/>
      <c r="CN40" s="103"/>
      <c r="CO40" s="103"/>
      <c r="CP40" s="103"/>
      <c r="CQ40" s="103"/>
      <c r="CT40" s="68"/>
      <c r="CU40" s="68"/>
      <c r="CV40" s="68"/>
      <c r="CW40" s="68"/>
    </row>
    <row r="41" spans="2:110" ht="6" customHeight="1" thickTop="1" thickBot="1">
      <c r="B41" s="2537"/>
      <c r="C41" s="33"/>
      <c r="D41" s="32"/>
      <c r="E41" s="28"/>
      <c r="F41" s="29"/>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1"/>
      <c r="CD41" s="44"/>
      <c r="CE41" s="44"/>
      <c r="CF41" s="44"/>
      <c r="CG41" s="103"/>
      <c r="CH41" s="103"/>
      <c r="CI41" s="103"/>
      <c r="CJ41" s="103"/>
      <c r="CK41" s="103"/>
      <c r="CL41" s="103"/>
    </row>
    <row r="42" spans="2:110" ht="30" customHeight="1" thickTop="1" thickBot="1">
      <c r="B42" s="2537"/>
      <c r="C42" s="2537" t="s">
        <v>10921</v>
      </c>
      <c r="D42" s="2295" t="s">
        <v>4846</v>
      </c>
      <c r="E42" s="2239"/>
      <c r="F42" s="2283">
        <f>実績!B1434</f>
        <v>200037</v>
      </c>
      <c r="G42" s="2284"/>
      <c r="H42" s="2284"/>
      <c r="I42" s="2365" t="str">
        <f>VLOOKUP(F42,実績!$B$5:$CV$1474,2,0)</f>
        <v>ハローズ西条大町(サービス2)</v>
      </c>
      <c r="J42" s="2365"/>
      <c r="K42" s="2365"/>
      <c r="L42" s="2365"/>
      <c r="M42" s="2365"/>
      <c r="N42" s="2365"/>
      <c r="O42" s="2365"/>
      <c r="P42" s="2365"/>
      <c r="Q42" s="2365"/>
      <c r="R42" s="2365"/>
      <c r="S42" s="2365"/>
      <c r="T42" s="2366"/>
      <c r="U42" s="2164" t="str">
        <f>VLOOKUP(I42,実績!$C$5:$CV$1474,3,0)</f>
        <v>沖本</v>
      </c>
      <c r="V42" s="2165"/>
      <c r="W42" s="2167" t="str">
        <f>VLOOKUP(I42,実績!$C$5:$CV$1474,2,0)</f>
        <v>村上
フィ</v>
      </c>
      <c r="X42" s="2281"/>
      <c r="Y42" s="2164" t="str">
        <f>VLOOKUP(I42,実績!$C$5:$CV$1474,4,FALSE)</f>
        <v>愛媛県</v>
      </c>
      <c r="Z42" s="2166"/>
      <c r="AA42" s="2165"/>
      <c r="AB42" s="2167" t="str">
        <f>VLOOKUP(I42,実績!$C$5:$CV$1474,9,0)</f>
        <v>店舗</v>
      </c>
      <c r="AC42" s="2166"/>
      <c r="AD42" s="2165"/>
      <c r="AE42" s="2272">
        <f>ROUND(VLOOKUP(I42,実績!$C$5:$CV$1474,42,0),-1)</f>
        <v>240</v>
      </c>
      <c r="AF42" s="2273"/>
      <c r="AG42" s="2274"/>
      <c r="AH42" s="2164" t="str">
        <f>VLOOKUP(I42,実績!$C$5:$CV$1474,50,0)</f>
        <v>無</v>
      </c>
      <c r="AI42" s="2165"/>
      <c r="AJ42" s="2264" t="str">
        <f>VLOOKUP(I42,実績!$C$5:$CV$1474,60,0)</f>
        <v>-</v>
      </c>
      <c r="AK42" s="2265"/>
      <c r="AL42" s="2266"/>
      <c r="AM42" s="2224" t="str">
        <f>VLOOKUP(I42,実績!$C$5:$CV$1474,61,0)</f>
        <v>-</v>
      </c>
      <c r="AN42" s="2225"/>
      <c r="AO42" s="2225"/>
      <c r="AP42" s="2226"/>
      <c r="AQ42" s="2132" t="str">
        <f>VLOOKUP(I42,実績!$C$5:$CV$1474,37,0)</f>
        <v>-</v>
      </c>
      <c r="AR42" s="2133"/>
      <c r="AS42" s="2125" t="str">
        <f>VLOOKUP(I42,実績!$C$5:$CV$1474,38,0)</f>
        <v>-</v>
      </c>
      <c r="AT42" s="2133"/>
      <c r="AU42" s="2125" t="str">
        <f>VLOOKUP(I42,実績!$C$5:$CV$1474,39,0)</f>
        <v>-</v>
      </c>
      <c r="AV42" s="2133"/>
      <c r="AW42" s="2125" t="str">
        <f>VLOOKUP(I42,実績!$C$5:$CV$1474,40,0)</f>
        <v>○</v>
      </c>
      <c r="AX42" s="2133"/>
      <c r="AY42" s="2125" t="str">
        <f>VLOOKUP(I42,実績!$C$5:$CV$1474,41,0)</f>
        <v>独立</v>
      </c>
      <c r="AZ42" s="2126"/>
      <c r="BA42" s="2240">
        <f>VLOOKUP(I42,実績!$C$5:$CV$1474,44,0)</f>
        <v>0.8</v>
      </c>
      <c r="BB42" s="2241"/>
      <c r="BC42" s="2242"/>
      <c r="BD42" s="2129">
        <v>44090</v>
      </c>
      <c r="BE42" s="2088"/>
      <c r="BF42" s="2194">
        <v>44145</v>
      </c>
      <c r="BG42" s="2093"/>
      <c r="BH42" s="2094"/>
      <c r="BI42" s="2094"/>
      <c r="BJ42" s="2094"/>
      <c r="BK42" s="2095"/>
      <c r="BL42" s="2419"/>
      <c r="BM42" s="2076"/>
      <c r="BN42" s="2076"/>
      <c r="BO42" s="2420"/>
      <c r="BP42" s="2076"/>
      <c r="BQ42" s="2076"/>
      <c r="BR42" s="2076"/>
      <c r="BS42" s="2077"/>
      <c r="BT42" s="2103">
        <f>ROUND(VLOOKUP(I42,実績!$C$5:$CV$1474,59,0),1)</f>
        <v>0.9</v>
      </c>
      <c r="BU42" s="2105" t="str">
        <f>VLOOKUP(I42,実績!$C$5:$CV$1474,67,0)</f>
        <v>住宅</v>
      </c>
      <c r="BV42" s="2136" t="str">
        <f>VLOOKUP(I42,実績!$C$5:$CV$1474,68,0)</f>
        <v>-</v>
      </c>
      <c r="BW42" s="2138" t="str">
        <f>VLOOKUP(I42,実績!$C$5:$CV$1474,69,0)</f>
        <v>○</v>
      </c>
      <c r="BX42" s="2093" t="str">
        <f>VLOOKUP(I42,実績!$C$5:$CV$1474,75,0)</f>
        <v>4号建築物</v>
      </c>
      <c r="BY42" s="2094"/>
      <c r="BZ42" s="2094"/>
      <c r="CA42" s="2094"/>
      <c r="CB42" s="2180"/>
      <c r="CD42" s="1968">
        <f>F42</f>
        <v>200037</v>
      </c>
      <c r="CE42" s="1968" t="str">
        <f>I42</f>
        <v>ハローズ西条大町(サービス2)</v>
      </c>
      <c r="CF42" s="96">
        <f>BD42</f>
        <v>44090</v>
      </c>
      <c r="CG42" s="96">
        <f>BF42</f>
        <v>44145</v>
      </c>
      <c r="CH42" s="44"/>
      <c r="CI42" s="103"/>
      <c r="CJ42" s="103"/>
      <c r="CK42" s="103"/>
      <c r="CL42" s="103"/>
      <c r="CM42" s="103"/>
      <c r="CZ42" s="44"/>
      <c r="DA42" s="103"/>
      <c r="DB42" s="103"/>
      <c r="DC42" s="103"/>
      <c r="DD42" s="103"/>
      <c r="DE42" s="103"/>
      <c r="DF42" s="103"/>
    </row>
    <row r="43" spans="2:110" ht="30" customHeight="1" thickTop="1" thickBot="1">
      <c r="B43" s="2537"/>
      <c r="C43" s="2537"/>
      <c r="D43" s="2295"/>
      <c r="E43" s="2239"/>
      <c r="F43" s="2184" t="str">
        <f>"("&amp;SUBSTITUTE(VLOOKUP(F42,実績!$B$5:$CV$1474,17,0),"株式会社 ","")&amp;","&amp;SUBSTITUTE(VLOOKUP(F42,実績!$B$5:$CV$1474,22,0),"株式会社 ","")&amp;")"</f>
        <v>(山陽設計,NSE)</v>
      </c>
      <c r="G43" s="2185"/>
      <c r="H43" s="2185"/>
      <c r="I43" s="2185"/>
      <c r="J43" s="2185"/>
      <c r="K43" s="2185"/>
      <c r="L43" s="2185"/>
      <c r="M43" s="2185"/>
      <c r="N43" s="2185"/>
      <c r="O43" s="2185"/>
      <c r="P43" s="2185"/>
      <c r="Q43" s="2185"/>
      <c r="R43" s="2185"/>
      <c r="S43" s="2185"/>
      <c r="T43" s="2186"/>
      <c r="U43" s="2156"/>
      <c r="V43" s="2157"/>
      <c r="W43" s="2168"/>
      <c r="X43" s="2282"/>
      <c r="Y43" s="2156" t="str">
        <f>VLOOKUP(I42,実績!$C$5:$CV$1474,5,0)</f>
        <v>西条市</v>
      </c>
      <c r="Z43" s="2169"/>
      <c r="AA43" s="2157"/>
      <c r="AB43" s="2168"/>
      <c r="AC43" s="2169"/>
      <c r="AD43" s="2157"/>
      <c r="AE43" s="2275"/>
      <c r="AF43" s="2276"/>
      <c r="AG43" s="2277"/>
      <c r="AH43" s="2156"/>
      <c r="AI43" s="2157"/>
      <c r="AJ43" s="2278"/>
      <c r="AK43" s="2279"/>
      <c r="AL43" s="2280"/>
      <c r="AM43" s="2224" t="str">
        <f>VLOOKUP(I42,実績!$C$5:$CV$1474,62,0)</f>
        <v>-</v>
      </c>
      <c r="AN43" s="2225"/>
      <c r="AO43" s="2225"/>
      <c r="AP43" s="2226"/>
      <c r="AQ43" s="2134"/>
      <c r="AR43" s="2135"/>
      <c r="AS43" s="2127"/>
      <c r="AT43" s="2135"/>
      <c r="AU43" s="2127"/>
      <c r="AV43" s="2135"/>
      <c r="AW43" s="2127"/>
      <c r="AX43" s="2135"/>
      <c r="AY43" s="2127"/>
      <c r="AZ43" s="2128"/>
      <c r="BA43" s="2240">
        <f>VLOOKUP(I42,実績!$C$5:$CV$1474,46,0)</f>
        <v>1.2</v>
      </c>
      <c r="BB43" s="2241"/>
      <c r="BC43" s="2242"/>
      <c r="BD43" s="2089"/>
      <c r="BE43" s="2090"/>
      <c r="BF43" s="2092"/>
      <c r="BG43" s="2096"/>
      <c r="BH43" s="2097"/>
      <c r="BI43" s="2097"/>
      <c r="BJ43" s="2097"/>
      <c r="BK43" s="2098"/>
      <c r="BL43" s="2419"/>
      <c r="BM43" s="2076"/>
      <c r="BN43" s="2076"/>
      <c r="BO43" s="2420"/>
      <c r="BP43" s="2076"/>
      <c r="BQ43" s="2076"/>
      <c r="BR43" s="2076"/>
      <c r="BS43" s="2077"/>
      <c r="BT43" s="2104"/>
      <c r="BU43" s="2106"/>
      <c r="BV43" s="2188"/>
      <c r="BW43" s="2139"/>
      <c r="BX43" s="2096"/>
      <c r="BY43" s="2097"/>
      <c r="BZ43" s="2097"/>
      <c r="CA43" s="2097"/>
      <c r="CB43" s="2189"/>
      <c r="CH43" s="44"/>
      <c r="CI43" s="103"/>
      <c r="CJ43" s="103"/>
      <c r="CK43" s="103"/>
      <c r="CL43" s="103"/>
      <c r="CM43" s="103"/>
      <c r="CZ43" s="44"/>
      <c r="DA43" s="103"/>
      <c r="DB43" s="103"/>
      <c r="DC43" s="103"/>
      <c r="DD43" s="103"/>
      <c r="DE43" s="103"/>
      <c r="DF43" s="103"/>
    </row>
    <row r="44" spans="2:110" ht="30" customHeight="1" thickTop="1" thickBot="1">
      <c r="B44" s="2537"/>
      <c r="C44" s="2537"/>
      <c r="D44" s="2314" t="s">
        <v>4846</v>
      </c>
      <c r="E44" s="2135"/>
      <c r="F44" s="2289">
        <f>実績!B1423</f>
        <v>200026</v>
      </c>
      <c r="G44" s="2290"/>
      <c r="H44" s="2290"/>
      <c r="I44" s="2528" t="str">
        <f>VLOOKUP(F44,実績!$B$5:$CV$1474,2,0)</f>
        <v>雪印メグミルク㈱阿見工場第Ⅱ倉庫</v>
      </c>
      <c r="J44" s="2528"/>
      <c r="K44" s="2528"/>
      <c r="L44" s="2528"/>
      <c r="M44" s="2528"/>
      <c r="N44" s="2528"/>
      <c r="O44" s="2528"/>
      <c r="P44" s="2528"/>
      <c r="Q44" s="2528"/>
      <c r="R44" s="2528"/>
      <c r="S44" s="2528"/>
      <c r="T44" s="2529"/>
      <c r="U44" s="2154" t="str">
        <f>VLOOKUP(I44,実績!$C$5:$CV$1474,3,0)</f>
        <v>大田</v>
      </c>
      <c r="V44" s="2155"/>
      <c r="W44" s="2285" t="str">
        <f>VLOOKUP(I44,実績!$C$5:$CV$1474,2,0)</f>
        <v>ユイ
ﾏｲｱｲﾝ</v>
      </c>
      <c r="X44" s="2291"/>
      <c r="Y44" s="2154" t="str">
        <f>VLOOKUP(I44,実績!$C$5:$CV$1474,4,FALSE)</f>
        <v>茨城県</v>
      </c>
      <c r="Z44" s="2286"/>
      <c r="AA44" s="2155"/>
      <c r="AB44" s="2285" t="str">
        <f>VLOOKUP(I44,実績!$C$5:$CV$1474,9,0)</f>
        <v>倉庫</v>
      </c>
      <c r="AC44" s="2286"/>
      <c r="AD44" s="2155"/>
      <c r="AE44" s="2292">
        <f>ROUND(VLOOKUP(I44,実績!$C$5:$CV$1474,42,0),-1)</f>
        <v>460</v>
      </c>
      <c r="AF44" s="2293"/>
      <c r="AG44" s="2294"/>
      <c r="AH44" s="2154" t="str">
        <f>VLOOKUP(I44,実績!$C$5:$CV$1474,50,0)</f>
        <v>無</v>
      </c>
      <c r="AI44" s="2155"/>
      <c r="AJ44" s="2454" t="s">
        <v>8458</v>
      </c>
      <c r="AK44" s="2455"/>
      <c r="AL44" s="2456"/>
      <c r="AM44" s="2317" t="str">
        <f>VLOOKUP(I44,実績!$C$5:$CV$1474,61,0)</f>
        <v>-</v>
      </c>
      <c r="AN44" s="2318"/>
      <c r="AO44" s="2318"/>
      <c r="AP44" s="2319"/>
      <c r="AQ44" s="2158" t="str">
        <f>VLOOKUP(I44,実績!$C$5:$CV$1474,37,0)</f>
        <v>-</v>
      </c>
      <c r="AR44" s="2159"/>
      <c r="AS44" s="2114" t="str">
        <f>VLOOKUP(I44,実績!$C$5:$CV$1474,38,0)</f>
        <v>-</v>
      </c>
      <c r="AT44" s="2159"/>
      <c r="AU44" s="2114" t="str">
        <f>VLOOKUP(I44,実績!$C$5:$CV$1474,39,0)</f>
        <v>-</v>
      </c>
      <c r="AV44" s="2159"/>
      <c r="AW44" s="2114" t="str">
        <f>VLOOKUP(I44,実績!$C$5:$CV$1474,40,0)</f>
        <v>○</v>
      </c>
      <c r="AX44" s="2159"/>
      <c r="AY44" s="2114" t="str">
        <f>VLOOKUP(I44,実績!$C$5:$CV$1474,41,0)</f>
        <v>独立</v>
      </c>
      <c r="AZ44" s="2115"/>
      <c r="BA44" s="2322">
        <f>VLOOKUP(I44,実績!$C$5:$CV$1474,44,0)</f>
        <v>1</v>
      </c>
      <c r="BB44" s="2323"/>
      <c r="BC44" s="2324"/>
      <c r="BD44" s="2249">
        <v>44067</v>
      </c>
      <c r="BE44" s="2250"/>
      <c r="BF44" s="2251" t="s">
        <v>17487</v>
      </c>
      <c r="BG44" s="2181"/>
      <c r="BH44" s="2182"/>
      <c r="BI44" s="2182"/>
      <c r="BJ44" s="2182"/>
      <c r="BK44" s="2206"/>
      <c r="BL44" s="2111"/>
      <c r="BM44" s="2112"/>
      <c r="BN44" s="2112"/>
      <c r="BO44" s="2195"/>
      <c r="BP44" s="2111"/>
      <c r="BQ44" s="2112"/>
      <c r="BR44" s="2112"/>
      <c r="BS44" s="2113"/>
      <c r="BT44" s="2405">
        <f>ROUND(VLOOKUP(I44,実績!$C$5:$CV$1474,59,0),1)</f>
        <v>0.7</v>
      </c>
      <c r="BU44" s="2416" t="str">
        <f>VLOOKUP(I44,実績!$C$5:$CV$1474,67,0)</f>
        <v>工場</v>
      </c>
      <c r="BV44" s="2397" t="str">
        <f>VLOOKUP(I44,実績!$C$5:$CV$1474,68,0)</f>
        <v>-</v>
      </c>
      <c r="BW44" s="2407" t="str">
        <f>VLOOKUP(I44,実績!$C$5:$CV$1474,69,0)</f>
        <v>-</v>
      </c>
      <c r="BX44" s="2181">
        <f>VLOOKUP(I44,実績!$C$5:$CV$1474,75,0)</f>
        <v>0</v>
      </c>
      <c r="BY44" s="2182"/>
      <c r="BZ44" s="2182"/>
      <c r="CA44" s="2182"/>
      <c r="CB44" s="2183"/>
      <c r="CD44" s="1968">
        <f>F44</f>
        <v>200026</v>
      </c>
      <c r="CE44" s="1968" t="str">
        <f>I44</f>
        <v>雪印メグミルク㈱阿見工場第Ⅱ倉庫</v>
      </c>
      <c r="CF44" s="96">
        <f>BD44</f>
        <v>44067</v>
      </c>
      <c r="CG44" s="96" t="str">
        <f>BF44</f>
        <v>11月末</v>
      </c>
      <c r="CH44" s="44"/>
      <c r="CI44" s="103"/>
      <c r="CJ44" s="103"/>
      <c r="CK44" s="103"/>
      <c r="CL44" s="103"/>
      <c r="CM44" s="103"/>
      <c r="CZ44" s="44"/>
      <c r="DA44" s="103"/>
      <c r="DB44" s="103"/>
      <c r="DC44" s="103"/>
      <c r="DD44" s="103"/>
      <c r="DE44" s="103"/>
      <c r="DF44" s="103"/>
    </row>
    <row r="45" spans="2:110" ht="30" customHeight="1" thickTop="1" thickBot="1">
      <c r="B45" s="2537"/>
      <c r="C45" s="2537"/>
      <c r="D45" s="2295"/>
      <c r="E45" s="2239"/>
      <c r="F45" s="2184" t="str">
        <f>"("&amp;SUBSTITUTE(VLOOKUP(F44,実績!$B$5:$CV$1474,17,0),"株式会社 ","")&amp;")"</f>
        <v>(オー・エヌ・オー大野設計)</v>
      </c>
      <c r="G45" s="2185"/>
      <c r="H45" s="2185"/>
      <c r="I45" s="2185"/>
      <c r="J45" s="2185"/>
      <c r="K45" s="2185"/>
      <c r="L45" s="2185"/>
      <c r="M45" s="2185"/>
      <c r="N45" s="2185"/>
      <c r="O45" s="2185"/>
      <c r="P45" s="2185"/>
      <c r="Q45" s="2185"/>
      <c r="R45" s="2185"/>
      <c r="S45" s="2185"/>
      <c r="T45" s="2186"/>
      <c r="U45" s="2156"/>
      <c r="V45" s="2157"/>
      <c r="W45" s="2168"/>
      <c r="X45" s="2282"/>
      <c r="Y45" s="2156" t="str">
        <f>VLOOKUP(I44,実績!$C$5:$CV$1474,5,0)</f>
        <v>稲敷郡</v>
      </c>
      <c r="Z45" s="2169"/>
      <c r="AA45" s="2157"/>
      <c r="AB45" s="2168"/>
      <c r="AC45" s="2169"/>
      <c r="AD45" s="2157"/>
      <c r="AE45" s="2275"/>
      <c r="AF45" s="2276"/>
      <c r="AG45" s="2277"/>
      <c r="AH45" s="2156"/>
      <c r="AI45" s="2157"/>
      <c r="AJ45" s="2376"/>
      <c r="AK45" s="2377"/>
      <c r="AL45" s="2378"/>
      <c r="AM45" s="2224" t="str">
        <f>VLOOKUP(I44,実績!$C$5:$CV$1474,62,0)</f>
        <v>-</v>
      </c>
      <c r="AN45" s="2225"/>
      <c r="AO45" s="2225"/>
      <c r="AP45" s="2226"/>
      <c r="AQ45" s="2134"/>
      <c r="AR45" s="2135"/>
      <c r="AS45" s="2127"/>
      <c r="AT45" s="2135"/>
      <c r="AU45" s="2127"/>
      <c r="AV45" s="2135"/>
      <c r="AW45" s="2127"/>
      <c r="AX45" s="2135"/>
      <c r="AY45" s="2127"/>
      <c r="AZ45" s="2128"/>
      <c r="BA45" s="2240">
        <f>VLOOKUP(I44,実績!$C$5:$CV$1474,46,0)</f>
        <v>1.5</v>
      </c>
      <c r="BB45" s="2241"/>
      <c r="BC45" s="2242"/>
      <c r="BD45" s="2089"/>
      <c r="BE45" s="2090"/>
      <c r="BF45" s="2092"/>
      <c r="BG45" s="2096"/>
      <c r="BH45" s="2097"/>
      <c r="BI45" s="2097"/>
      <c r="BJ45" s="2097"/>
      <c r="BK45" s="2098"/>
      <c r="BL45" s="2099"/>
      <c r="BM45" s="2100"/>
      <c r="BN45" s="2100"/>
      <c r="BO45" s="2101"/>
      <c r="BP45" s="2099"/>
      <c r="BQ45" s="2100"/>
      <c r="BR45" s="2100"/>
      <c r="BS45" s="2102"/>
      <c r="BT45" s="2399"/>
      <c r="BU45" s="2415"/>
      <c r="BV45" s="2397"/>
      <c r="BW45" s="2382"/>
      <c r="BX45" s="2181"/>
      <c r="BY45" s="2182"/>
      <c r="BZ45" s="2182"/>
      <c r="CA45" s="2182"/>
      <c r="CB45" s="2183"/>
      <c r="CH45" s="44"/>
      <c r="CI45" s="103"/>
      <c r="CJ45" s="103"/>
      <c r="CK45" s="103"/>
      <c r="CL45" s="103"/>
      <c r="CM45" s="103"/>
      <c r="CZ45" s="44"/>
      <c r="DA45" s="103"/>
      <c r="DB45" s="103"/>
      <c r="DC45" s="103"/>
      <c r="DD45" s="103"/>
      <c r="DE45" s="103"/>
      <c r="DF45" s="103"/>
    </row>
    <row r="46" spans="2:110" ht="30" customHeight="1" thickTop="1" thickBot="1">
      <c r="B46" s="2537"/>
      <c r="C46" s="2537"/>
      <c r="D46" s="2313" t="s">
        <v>4846</v>
      </c>
      <c r="E46" s="2133"/>
      <c r="F46" s="2283">
        <f>実績!B1443</f>
        <v>200046</v>
      </c>
      <c r="G46" s="2284"/>
      <c r="H46" s="2284"/>
      <c r="I46" s="2320" t="str">
        <f>VLOOKUP(F46,実績!$B$5:$CV$1474,2,0)</f>
        <v>医療法人美之会人工透析診療所</v>
      </c>
      <c r="J46" s="2320"/>
      <c r="K46" s="2320"/>
      <c r="L46" s="2320"/>
      <c r="M46" s="2320"/>
      <c r="N46" s="2320"/>
      <c r="O46" s="2320"/>
      <c r="P46" s="2320"/>
      <c r="Q46" s="2320"/>
      <c r="R46" s="2320"/>
      <c r="S46" s="2320"/>
      <c r="T46" s="2321"/>
      <c r="U46" s="2164" t="str">
        <f>VLOOKUP(I46,実績!$C$5:$CV$1474,3,0)</f>
        <v>竹内(宗)</v>
      </c>
      <c r="V46" s="2165"/>
      <c r="W46" s="2167" t="str">
        <f>VLOOKUP(I46,実績!$C$5:$CV$1474,2,0)</f>
        <v>ユイ
ラン</v>
      </c>
      <c r="X46" s="2281"/>
      <c r="Y46" s="2164" t="str">
        <f>VLOOKUP(I46,実績!$C$5:$CV$1474,4,FALSE)</f>
        <v>宮城県</v>
      </c>
      <c r="Z46" s="2166"/>
      <c r="AA46" s="2165"/>
      <c r="AB46" s="2167" t="str">
        <f>VLOOKUP(I46,実績!$C$5:$CV$1474,9,0)</f>
        <v>医療施設</v>
      </c>
      <c r="AC46" s="2166"/>
      <c r="AD46" s="2165"/>
      <c r="AE46" s="2272">
        <f>ROUND(VLOOKUP(I46,実績!$C$5:$CV$1474,42,0),-1)</f>
        <v>1460</v>
      </c>
      <c r="AF46" s="2273"/>
      <c r="AG46" s="2274"/>
      <c r="AH46" s="2164" t="str">
        <f>VLOOKUP(I46,実績!$C$5:$CV$1474,50,0)</f>
        <v>無</v>
      </c>
      <c r="AI46" s="2165"/>
      <c r="AJ46" s="2373" t="s">
        <v>8458</v>
      </c>
      <c r="AK46" s="2374"/>
      <c r="AL46" s="2375"/>
      <c r="AM46" s="2252" t="str">
        <f>VLOOKUP(I46,実績!$C$5:$CV$1474,61,0)</f>
        <v>有機質ｼﾙﾄ</v>
      </c>
      <c r="AN46" s="2253"/>
      <c r="AO46" s="2253"/>
      <c r="AP46" s="2254"/>
      <c r="AQ46" s="2132" t="str">
        <f>VLOOKUP(I46,実績!$C$5:$CV$1474,37,0)</f>
        <v>-</v>
      </c>
      <c r="AR46" s="2133"/>
      <c r="AS46" s="2125" t="str">
        <f>VLOOKUP(I46,実績!$C$5:$CV$1474,38,0)</f>
        <v>-</v>
      </c>
      <c r="AT46" s="2133"/>
      <c r="AU46" s="2125" t="str">
        <f>VLOOKUP(I46,実績!$C$5:$CV$1474,39,0)</f>
        <v>-</v>
      </c>
      <c r="AV46" s="2133"/>
      <c r="AW46" s="2125" t="str">
        <f>VLOOKUP(I46,実績!$C$5:$CV$1474,40,0)</f>
        <v>-</v>
      </c>
      <c r="AX46" s="2133"/>
      <c r="AY46" s="2125" t="str">
        <f>VLOOKUP(I46,実績!$C$5:$CV$1474,41,0)</f>
        <v>布,独立</v>
      </c>
      <c r="AZ46" s="2126"/>
      <c r="BA46" s="2240">
        <f>VLOOKUP(I46,実績!$C$5:$CV$1474,44,0)</f>
        <v>1</v>
      </c>
      <c r="BB46" s="2241"/>
      <c r="BC46" s="2242"/>
      <c r="BD46" s="2129">
        <v>44116</v>
      </c>
      <c r="BE46" s="2088"/>
      <c r="BF46" s="2194">
        <v>44172</v>
      </c>
      <c r="BG46" s="2093"/>
      <c r="BH46" s="2094"/>
      <c r="BI46" s="2094"/>
      <c r="BJ46" s="2094"/>
      <c r="BK46" s="2095"/>
      <c r="BL46" s="2099"/>
      <c r="BM46" s="2100"/>
      <c r="BN46" s="2100"/>
      <c r="BO46" s="2101"/>
      <c r="BP46" s="2099"/>
      <c r="BQ46" s="2100"/>
      <c r="BR46" s="2100"/>
      <c r="BS46" s="2102"/>
      <c r="BT46" s="2103">
        <f>ROUND(VLOOKUP(I46,実績!$C$5:$CV$1474,59,0),1)</f>
        <v>2.2000000000000002</v>
      </c>
      <c r="BU46" s="2105">
        <f>VLOOKUP(I46,実績!$C$5:$CV$1474,67,0)</f>
        <v>0</v>
      </c>
      <c r="BV46" s="2136" t="str">
        <f>VLOOKUP(I46,実績!$C$5:$CV$1474,68,0)</f>
        <v>〇0.3m</v>
      </c>
      <c r="BW46" s="2138">
        <f>VLOOKUP(I46,実績!$C$5:$CV$1474,69,0)</f>
        <v>0</v>
      </c>
      <c r="BX46" s="2093">
        <f>VLOOKUP(I46,実績!$C$5:$CV$1474,75,0)</f>
        <v>0</v>
      </c>
      <c r="BY46" s="2094"/>
      <c r="BZ46" s="2094"/>
      <c r="CA46" s="2094"/>
      <c r="CB46" s="2180"/>
      <c r="CD46" s="1968">
        <f>F46</f>
        <v>200046</v>
      </c>
      <c r="CE46" s="1968" t="str">
        <f>I46</f>
        <v>医療法人美之会人工透析診療所</v>
      </c>
      <c r="CF46" s="96">
        <f>BD46</f>
        <v>44116</v>
      </c>
      <c r="CG46" s="96">
        <f>BF46</f>
        <v>44172</v>
      </c>
      <c r="CH46" s="44"/>
      <c r="CI46" s="103"/>
      <c r="CJ46" s="103"/>
      <c r="CK46" s="103"/>
      <c r="CL46" s="103"/>
      <c r="CM46" s="103"/>
      <c r="CZ46" s="44"/>
      <c r="DA46" s="103"/>
      <c r="DB46" s="103"/>
      <c r="DC46" s="103"/>
      <c r="DD46" s="103"/>
      <c r="DE46" s="103"/>
      <c r="DF46" s="103"/>
    </row>
    <row r="47" spans="2:110" ht="30" customHeight="1" thickTop="1" thickBot="1">
      <c r="B47" s="2537"/>
      <c r="C47" s="2537"/>
      <c r="D47" s="2314"/>
      <c r="E47" s="2135"/>
      <c r="F47" s="2184" t="str">
        <f>"("&amp;SUBSTITUTE(VLOOKUP(I46,実績!$C$5:$CV$1474,16,0)," 株式会社","")&amp;","&amp;SUBSTITUTE(VLOOKUP(I46,実績!$C$5:$CV$1474,21,0)," 株式会社","")&amp;")"</f>
        <v>(積水ハウス,さくら構造)</v>
      </c>
      <c r="G47" s="2185"/>
      <c r="H47" s="2185"/>
      <c r="I47" s="2185"/>
      <c r="J47" s="2185"/>
      <c r="K47" s="2185"/>
      <c r="L47" s="2185"/>
      <c r="M47" s="2185"/>
      <c r="N47" s="2185"/>
      <c r="O47" s="2185"/>
      <c r="P47" s="2185"/>
      <c r="Q47" s="2185"/>
      <c r="R47" s="2185"/>
      <c r="S47" s="2185"/>
      <c r="T47" s="2186"/>
      <c r="U47" s="2156"/>
      <c r="V47" s="2157"/>
      <c r="W47" s="2168"/>
      <c r="X47" s="2282"/>
      <c r="Y47" s="2156" t="str">
        <f>VLOOKUP(I46,実績!$C$5:$CV$1474,5,0)</f>
        <v>仙台市</v>
      </c>
      <c r="Z47" s="2169"/>
      <c r="AA47" s="2157"/>
      <c r="AB47" s="2168"/>
      <c r="AC47" s="2169"/>
      <c r="AD47" s="2157"/>
      <c r="AE47" s="2275"/>
      <c r="AF47" s="2276"/>
      <c r="AG47" s="2277"/>
      <c r="AH47" s="2156"/>
      <c r="AI47" s="2157"/>
      <c r="AJ47" s="2376"/>
      <c r="AK47" s="2377"/>
      <c r="AL47" s="2378"/>
      <c r="AM47" s="2252">
        <f>VLOOKUP(I46,実績!$C$5:$CV$1474,62,0)</f>
        <v>3.9</v>
      </c>
      <c r="AN47" s="2253"/>
      <c r="AO47" s="2253"/>
      <c r="AP47" s="2254"/>
      <c r="AQ47" s="2134"/>
      <c r="AR47" s="2135"/>
      <c r="AS47" s="2127"/>
      <c r="AT47" s="2135"/>
      <c r="AU47" s="2127"/>
      <c r="AV47" s="2135"/>
      <c r="AW47" s="2127"/>
      <c r="AX47" s="2135"/>
      <c r="AY47" s="2127"/>
      <c r="AZ47" s="2128"/>
      <c r="BA47" s="2240">
        <f>VLOOKUP(I46,実績!$C$5:$CV$1474,46,0)</f>
        <v>1.4</v>
      </c>
      <c r="BB47" s="2241"/>
      <c r="BC47" s="2242"/>
      <c r="BD47" s="2089"/>
      <c r="BE47" s="2090"/>
      <c r="BF47" s="2092"/>
      <c r="BG47" s="2096"/>
      <c r="BH47" s="2097"/>
      <c r="BI47" s="2097"/>
      <c r="BJ47" s="2097"/>
      <c r="BK47" s="2098"/>
      <c r="BL47" s="2099"/>
      <c r="BM47" s="2100"/>
      <c r="BN47" s="2100"/>
      <c r="BO47" s="2101"/>
      <c r="BP47" s="2099"/>
      <c r="BQ47" s="2100"/>
      <c r="BR47" s="2100"/>
      <c r="BS47" s="2102"/>
      <c r="BT47" s="2104"/>
      <c r="BU47" s="2106"/>
      <c r="BV47" s="2188"/>
      <c r="BW47" s="2139"/>
      <c r="BX47" s="2096"/>
      <c r="BY47" s="2097"/>
      <c r="BZ47" s="2097"/>
      <c r="CA47" s="2097"/>
      <c r="CB47" s="2189"/>
      <c r="CH47" s="44"/>
      <c r="CI47" s="103"/>
      <c r="CJ47" s="103"/>
      <c r="CK47" s="103"/>
      <c r="CL47" s="103"/>
      <c r="CM47" s="103"/>
      <c r="CZ47" s="44"/>
      <c r="DA47" s="103"/>
      <c r="DB47" s="103"/>
      <c r="DC47" s="103"/>
      <c r="DD47" s="103"/>
      <c r="DE47" s="103"/>
      <c r="DF47" s="103"/>
    </row>
    <row r="48" spans="2:110" ht="30" customHeight="1" thickTop="1" thickBot="1">
      <c r="B48" s="2537"/>
      <c r="C48" s="2537"/>
      <c r="D48" s="2295" t="s">
        <v>4846</v>
      </c>
      <c r="E48" s="2239"/>
      <c r="F48" s="2283">
        <f>実績!B1317</f>
        <v>190064</v>
      </c>
      <c r="G48" s="2284"/>
      <c r="H48" s="2284"/>
      <c r="I48" s="2365" t="str">
        <f>VLOOKUP(F48,実績!$B$5:$CV$1474,2,0)</f>
        <v>若柳地区こども園</v>
      </c>
      <c r="J48" s="2365"/>
      <c r="K48" s="2365"/>
      <c r="L48" s="2365"/>
      <c r="M48" s="2365"/>
      <c r="N48" s="2365"/>
      <c r="O48" s="2365"/>
      <c r="P48" s="2365"/>
      <c r="Q48" s="2365"/>
      <c r="R48" s="2365"/>
      <c r="S48" s="2365"/>
      <c r="T48" s="2366"/>
      <c r="U48" s="2164" t="str">
        <f>VLOOKUP(I48,実績!$C$5:$CV$1474,3,0)</f>
        <v>大田</v>
      </c>
      <c r="V48" s="2165"/>
      <c r="W48" s="2167" t="str">
        <f>VLOOKUP(I48,実績!$C$5:$CV$1474,2,0)</f>
        <v>ユイ</v>
      </c>
      <c r="X48" s="2281"/>
      <c r="Y48" s="2164" t="str">
        <f>VLOOKUP(I48,実績!$C$5:$CV$1474,4,FALSE)</f>
        <v>宮城県</v>
      </c>
      <c r="Z48" s="2166"/>
      <c r="AA48" s="2165"/>
      <c r="AB48" s="2167" t="str">
        <f>VLOOKUP(I48,実績!$C$5:$CV$1474,9,0)</f>
        <v>こども園</v>
      </c>
      <c r="AC48" s="2166"/>
      <c r="AD48" s="2165"/>
      <c r="AE48" s="2272">
        <f>ROUND(VLOOKUP(I48,実績!$C$5:$CV$1474,42,0),-1)</f>
        <v>5440</v>
      </c>
      <c r="AF48" s="2273"/>
      <c r="AG48" s="2274"/>
      <c r="AH48" s="2164" t="str">
        <f>VLOOKUP(I48,実績!$C$5:$CV$1474,50,0)</f>
        <v>○</v>
      </c>
      <c r="AI48" s="2165"/>
      <c r="AJ48" s="2264">
        <f>VLOOKUP(I48,実績!$C$5:$CV$1474,60,0)</f>
        <v>1.17</v>
      </c>
      <c r="AK48" s="2265"/>
      <c r="AL48" s="2266"/>
      <c r="AM48" s="2252" t="str">
        <f>VLOOKUP(I48,実績!$C$5:$CV$1474,61,0)</f>
        <v>粘土(有機物混入)</v>
      </c>
      <c r="AN48" s="2253"/>
      <c r="AO48" s="2253"/>
      <c r="AP48" s="2254"/>
      <c r="AQ48" s="2132" t="str">
        <f>VLOOKUP(I48,実績!$C$5:$CV$1474,37,0)</f>
        <v>-</v>
      </c>
      <c r="AR48" s="2133"/>
      <c r="AS48" s="2125" t="str">
        <f>VLOOKUP(I48,実績!$C$5:$CV$1474,38,0)</f>
        <v>-</v>
      </c>
      <c r="AT48" s="2133"/>
      <c r="AU48" s="2125" t="str">
        <f>VLOOKUP(I48,実績!$C$5:$CV$1474,39,0)</f>
        <v>-</v>
      </c>
      <c r="AV48" s="2133"/>
      <c r="AW48" s="2125" t="str">
        <f>VLOOKUP(I48,実績!$C$5:$CV$1474,40,0)</f>
        <v>-</v>
      </c>
      <c r="AX48" s="2133"/>
      <c r="AY48" s="2125" t="str">
        <f>VLOOKUP(I48,実績!$C$5:$CV$1474,41,0)</f>
        <v>べた</v>
      </c>
      <c r="AZ48" s="2126"/>
      <c r="BA48" s="2240">
        <f>VLOOKUP(I48,実績!$C$5:$CV$1474,44,0)</f>
        <v>1.2</v>
      </c>
      <c r="BB48" s="2241"/>
      <c r="BC48" s="2242"/>
      <c r="BD48" s="2129">
        <v>43881</v>
      </c>
      <c r="BE48" s="2088"/>
      <c r="BF48" s="2194" t="s">
        <v>15227</v>
      </c>
      <c r="BG48" s="2093"/>
      <c r="BH48" s="2094"/>
      <c r="BI48" s="2094"/>
      <c r="BJ48" s="2094"/>
      <c r="BK48" s="2095"/>
      <c r="BL48" s="2099"/>
      <c r="BM48" s="2100"/>
      <c r="BN48" s="2100"/>
      <c r="BO48" s="2101"/>
      <c r="BP48" s="2076"/>
      <c r="BQ48" s="2076"/>
      <c r="BR48" s="2076"/>
      <c r="BS48" s="2077"/>
      <c r="BT48" s="2384">
        <f>ROUND(VLOOKUP(I48,実績!$C$5:$CV$1474,59,0),1)</f>
        <v>1</v>
      </c>
      <c r="BU48" s="2414" t="str">
        <f>VLOOKUP(I48,実績!$C$5:$CV$1474,67,0)</f>
        <v>住宅</v>
      </c>
      <c r="BV48" s="2396" t="str">
        <f>VLOOKUP(I48,実績!$C$5:$CV$1474,68,0)</f>
        <v>○</v>
      </c>
      <c r="BW48" s="2381" t="str">
        <f>VLOOKUP(I48,実績!$C$5:$CV$1474,69,0)</f>
        <v>○</v>
      </c>
      <c r="BX48" s="2093" t="str">
        <f>VLOOKUP(I48,実績!$C$5:$CV$1474,75,0)</f>
        <v>造成工事あり</v>
      </c>
      <c r="BY48" s="2094"/>
      <c r="BZ48" s="2094"/>
      <c r="CA48" s="2094"/>
      <c r="CB48" s="2180"/>
      <c r="CD48" s="1968">
        <f>F48</f>
        <v>190064</v>
      </c>
      <c r="CE48" s="1968" t="str">
        <f>I48</f>
        <v>若柳地区こども園</v>
      </c>
      <c r="CF48" s="96">
        <f>BD48</f>
        <v>43881</v>
      </c>
      <c r="CG48" s="96" t="str">
        <f>BF48</f>
        <v>12月</v>
      </c>
      <c r="CH48" s="44"/>
      <c r="CI48" s="103"/>
      <c r="CJ48" s="103"/>
      <c r="CK48" s="103"/>
      <c r="CL48" s="103"/>
      <c r="CM48" s="103"/>
      <c r="CZ48" s="44"/>
      <c r="DA48" s="103"/>
      <c r="DB48" s="103"/>
      <c r="DC48" s="103"/>
      <c r="DD48" s="103"/>
      <c r="DE48" s="103"/>
      <c r="DF48" s="103"/>
    </row>
    <row r="49" spans="2:110" ht="30" customHeight="1" thickTop="1" thickBot="1">
      <c r="B49" s="2537"/>
      <c r="C49" s="2537"/>
      <c r="D49" s="2313"/>
      <c r="E49" s="2133"/>
      <c r="F49" s="2221" t="str">
        <f>"("&amp;SUBSTITUTE(VLOOKUP(F48,実績!$B$5:$CV$1474,17,0),"株式会社 ","")&amp;","&amp;SUBSTITUTE(VLOOKUP(F48,実績!$B$5:$CV$1474,22,0),"株式会社 ","")&amp;")"</f>
        <v>(創建設計,弾構造設計)</v>
      </c>
      <c r="G49" s="2222"/>
      <c r="H49" s="2222"/>
      <c r="I49" s="2222"/>
      <c r="J49" s="2222"/>
      <c r="K49" s="2222"/>
      <c r="L49" s="2222"/>
      <c r="M49" s="2222"/>
      <c r="N49" s="2222"/>
      <c r="O49" s="2222"/>
      <c r="P49" s="2222"/>
      <c r="Q49" s="2222"/>
      <c r="R49" s="2222"/>
      <c r="S49" s="2222"/>
      <c r="T49" s="2223"/>
      <c r="U49" s="2156"/>
      <c r="V49" s="2157"/>
      <c r="W49" s="2168"/>
      <c r="X49" s="2282"/>
      <c r="Y49" s="2156" t="str">
        <f>VLOOKUP(I48,実績!$C$5:$CV$1474,5,0)</f>
        <v>栗原市</v>
      </c>
      <c r="Z49" s="2169"/>
      <c r="AA49" s="2157"/>
      <c r="AB49" s="2168"/>
      <c r="AC49" s="2169"/>
      <c r="AD49" s="2157"/>
      <c r="AE49" s="2275"/>
      <c r="AF49" s="2276"/>
      <c r="AG49" s="2277"/>
      <c r="AH49" s="2156"/>
      <c r="AI49" s="2157"/>
      <c r="AJ49" s="2278"/>
      <c r="AK49" s="2279"/>
      <c r="AL49" s="2280"/>
      <c r="AM49" s="2252">
        <f>VLOOKUP(I48,実績!$C$5:$CV$1474,62,0)</f>
        <v>17.25</v>
      </c>
      <c r="AN49" s="2253"/>
      <c r="AO49" s="2253"/>
      <c r="AP49" s="2254"/>
      <c r="AQ49" s="2134"/>
      <c r="AR49" s="2135"/>
      <c r="AS49" s="2127"/>
      <c r="AT49" s="2135"/>
      <c r="AU49" s="2127"/>
      <c r="AV49" s="2135"/>
      <c r="AW49" s="2127"/>
      <c r="AX49" s="2135"/>
      <c r="AY49" s="2127"/>
      <c r="AZ49" s="2128"/>
      <c r="BA49" s="2240">
        <f>VLOOKUP(I48,実績!$C$5:$CV$1474,46,0)</f>
        <v>1.2</v>
      </c>
      <c r="BB49" s="2241"/>
      <c r="BC49" s="2242"/>
      <c r="BD49" s="2089"/>
      <c r="BE49" s="2090"/>
      <c r="BF49" s="2092"/>
      <c r="BG49" s="2096"/>
      <c r="BH49" s="2097"/>
      <c r="BI49" s="2097"/>
      <c r="BJ49" s="2097"/>
      <c r="BK49" s="2098"/>
      <c r="BL49" s="2099"/>
      <c r="BM49" s="2100"/>
      <c r="BN49" s="2100"/>
      <c r="BO49" s="2101"/>
      <c r="BP49" s="2078"/>
      <c r="BQ49" s="2078"/>
      <c r="BR49" s="2078"/>
      <c r="BS49" s="2079"/>
      <c r="BT49" s="2399"/>
      <c r="BU49" s="2415"/>
      <c r="BV49" s="2397"/>
      <c r="BW49" s="2382"/>
      <c r="BX49" s="2181"/>
      <c r="BY49" s="2182"/>
      <c r="BZ49" s="2182"/>
      <c r="CA49" s="2182"/>
      <c r="CB49" s="2183"/>
      <c r="CH49" s="44"/>
      <c r="CI49" s="103"/>
      <c r="CJ49" s="103"/>
      <c r="CK49" s="103"/>
      <c r="CL49" s="103"/>
      <c r="CM49" s="103"/>
      <c r="CZ49" s="44"/>
      <c r="DA49" s="103"/>
      <c r="DB49" s="103"/>
      <c r="DC49" s="103"/>
      <c r="DD49" s="103"/>
      <c r="DE49" s="103"/>
      <c r="DF49" s="103"/>
    </row>
    <row r="50" spans="2:110" ht="30" customHeight="1" thickTop="1" thickBot="1">
      <c r="B50" s="2537"/>
      <c r="C50" s="2537"/>
      <c r="D50" s="2295" t="s">
        <v>4846</v>
      </c>
      <c r="E50" s="2239"/>
      <c r="F50" s="2283">
        <f>実績!B1375</f>
        <v>190123</v>
      </c>
      <c r="G50" s="2284"/>
      <c r="H50" s="2284"/>
      <c r="I50" s="2371" t="str">
        <f>VLOOKUP(F50,実績!$B$5:$CV$1474,2,0)</f>
        <v>池澤加工六地蔵JV倉庫</v>
      </c>
      <c r="J50" s="2371"/>
      <c r="K50" s="2371"/>
      <c r="L50" s="2371"/>
      <c r="M50" s="2371"/>
      <c r="N50" s="2371"/>
      <c r="O50" s="2371"/>
      <c r="P50" s="2371"/>
      <c r="Q50" s="2371"/>
      <c r="R50" s="2371"/>
      <c r="S50" s="2371"/>
      <c r="T50" s="2372"/>
      <c r="U50" s="2164" t="str">
        <f>VLOOKUP(I50,実績!$C$5:$CV$1474,3,0)</f>
        <v>大田</v>
      </c>
      <c r="V50" s="2165"/>
      <c r="W50" s="2167" t="str">
        <f>VLOOKUP(I50,実績!$C$5:$CV$1474,2,0)</f>
        <v>タオ
フィ</v>
      </c>
      <c r="X50" s="2281"/>
      <c r="Y50" s="2164" t="str">
        <f>VLOOKUP(I50,実績!$C$5:$CV$1474,4,FALSE)</f>
        <v>千葉県</v>
      </c>
      <c r="Z50" s="2166"/>
      <c r="AA50" s="2165"/>
      <c r="AB50" s="2167" t="str">
        <f>VLOOKUP(I50,実績!$C$5:$CV$1474,9,0)</f>
        <v>倉庫</v>
      </c>
      <c r="AC50" s="2166"/>
      <c r="AD50" s="2165"/>
      <c r="AE50" s="2272">
        <f>ROUND(VLOOKUP(I50,実績!$C$5:$CV$1474,42,0),-1)</f>
        <v>2120</v>
      </c>
      <c r="AF50" s="2273"/>
      <c r="AG50" s="2274"/>
      <c r="AH50" s="2164" t="str">
        <f>VLOOKUP(I50,実績!$C$5:$CV$1474,50,0)</f>
        <v>無</v>
      </c>
      <c r="AI50" s="2165"/>
      <c r="AJ50" s="2264">
        <f>VLOOKUP(I50,実績!$C$5:$CV$1474,60,0)</f>
        <v>1.2</v>
      </c>
      <c r="AK50" s="2265"/>
      <c r="AL50" s="2266"/>
      <c r="AM50" s="2252" t="str">
        <f>VLOOKUP(I50,実績!$C$5:$CV$1474,61,0)</f>
        <v>有機質ｼﾙﾄ</v>
      </c>
      <c r="AN50" s="2253"/>
      <c r="AO50" s="2253"/>
      <c r="AP50" s="2254"/>
      <c r="AQ50" s="2132" t="str">
        <f>VLOOKUP(I50,実績!$C$5:$CV$1474,37,0)</f>
        <v>-</v>
      </c>
      <c r="AR50" s="2133"/>
      <c r="AS50" s="2125" t="str">
        <f>VLOOKUP(I50,実績!$C$5:$CV$1474,38,0)</f>
        <v>-</v>
      </c>
      <c r="AT50" s="2133"/>
      <c r="AU50" s="2125" t="str">
        <f>VLOOKUP(I50,実績!$C$5:$CV$1474,39,0)</f>
        <v>-</v>
      </c>
      <c r="AV50" s="2133"/>
      <c r="AW50" s="2125" t="str">
        <f>VLOOKUP(I50,実績!$C$5:$CV$1474,40,0)</f>
        <v>-</v>
      </c>
      <c r="AX50" s="2133"/>
      <c r="AY50" s="2125" t="str">
        <f>VLOOKUP(I50,実績!$C$5:$CV$1474,41,0)</f>
        <v>布(Tio)</v>
      </c>
      <c r="AZ50" s="2126"/>
      <c r="BA50" s="2240">
        <f>VLOOKUP(I50,実績!$C$5:$CV$1474,44,0)</f>
        <v>1</v>
      </c>
      <c r="BB50" s="2241"/>
      <c r="BC50" s="2242"/>
      <c r="BD50" s="2129">
        <v>44091</v>
      </c>
      <c r="BE50" s="2088"/>
      <c r="BF50" s="2194" t="s">
        <v>17843</v>
      </c>
      <c r="BG50" s="2093"/>
      <c r="BH50" s="2094"/>
      <c r="BI50" s="2094"/>
      <c r="BJ50" s="2094"/>
      <c r="BK50" s="2095"/>
      <c r="BL50" s="2099"/>
      <c r="BM50" s="2100"/>
      <c r="BN50" s="2100"/>
      <c r="BO50" s="2101"/>
      <c r="BP50" s="2099"/>
      <c r="BQ50" s="2100"/>
      <c r="BR50" s="2100"/>
      <c r="BS50" s="2102"/>
      <c r="BT50" s="2103">
        <f>ROUND(VLOOKUP(I50,実績!$C$5:$CV$1474,59,0),1)</f>
        <v>7.5</v>
      </c>
      <c r="BU50" s="2105" t="str">
        <f>VLOOKUP(I50,実績!$C$5:$CV$1474,67,0)</f>
        <v>工場</v>
      </c>
      <c r="BV50" s="2136" t="str">
        <f>VLOOKUP(I50,実績!$C$5:$CV$1474,68,0)</f>
        <v>-</v>
      </c>
      <c r="BW50" s="2138" t="str">
        <f>VLOOKUP(I50,実績!$C$5:$CV$1474,69,0)</f>
        <v>○</v>
      </c>
      <c r="BX50" s="2093" t="str">
        <f>VLOOKUP(I50,実績!$C$5:$CV$1474,75,0)</f>
        <v>2棟</v>
      </c>
      <c r="BY50" s="2094"/>
      <c r="BZ50" s="2094"/>
      <c r="CA50" s="2094"/>
      <c r="CB50" s="2180"/>
      <c r="CD50" s="1968">
        <f>F50</f>
        <v>190123</v>
      </c>
      <c r="CE50" s="1968" t="str">
        <f>I50</f>
        <v>池澤加工六地蔵JV倉庫</v>
      </c>
      <c r="CF50" s="96">
        <f>BD50</f>
        <v>44091</v>
      </c>
      <c r="CG50" s="96" t="str">
        <f>BF50</f>
        <v>年明け</v>
      </c>
      <c r="CH50" s="44"/>
      <c r="CI50" s="103"/>
      <c r="CJ50" s="103"/>
      <c r="CK50" s="103"/>
      <c r="CL50" s="103"/>
      <c r="CM50" s="103"/>
      <c r="CZ50" s="44"/>
      <c r="DA50" s="103"/>
      <c r="DB50" s="103"/>
      <c r="DC50" s="103"/>
      <c r="DD50" s="103"/>
      <c r="DE50" s="103"/>
      <c r="DF50" s="103"/>
    </row>
    <row r="51" spans="2:110" ht="30" customHeight="1" thickTop="1" thickBot="1">
      <c r="B51" s="2537"/>
      <c r="C51" s="2537"/>
      <c r="D51" s="2313"/>
      <c r="E51" s="2133"/>
      <c r="F51" s="2221" t="str">
        <f>"("&amp;SUBSTITUTE(VLOOKUP(I50,実績!$C$5:$CV$1474,16,0),"株式会社 ","")&amp;","&amp;SUBSTITUTE(VLOOKUP(I50,実績!$C$5:$CV$1474,21,0)," 株式会社","")&amp;")"</f>
        <v>(鳳設計,日鉄物産システム建築)</v>
      </c>
      <c r="G51" s="2222"/>
      <c r="H51" s="2222"/>
      <c r="I51" s="2222"/>
      <c r="J51" s="2222"/>
      <c r="K51" s="2222"/>
      <c r="L51" s="2222"/>
      <c r="M51" s="2222"/>
      <c r="N51" s="2222"/>
      <c r="O51" s="2222"/>
      <c r="P51" s="2222"/>
      <c r="Q51" s="2222"/>
      <c r="R51" s="2222"/>
      <c r="S51" s="2222"/>
      <c r="T51" s="2223"/>
      <c r="U51" s="2154"/>
      <c r="V51" s="2155"/>
      <c r="W51" s="2285"/>
      <c r="X51" s="2291"/>
      <c r="Y51" s="2154" t="str">
        <f>VLOOKUP(I50,実績!$C$5:$CV$1474,5,0)</f>
        <v>長生郡</v>
      </c>
      <c r="Z51" s="2286"/>
      <c r="AA51" s="2155"/>
      <c r="AB51" s="2285"/>
      <c r="AC51" s="2286"/>
      <c r="AD51" s="2155"/>
      <c r="AE51" s="2292"/>
      <c r="AF51" s="2293"/>
      <c r="AG51" s="2294"/>
      <c r="AH51" s="2154"/>
      <c r="AI51" s="2155"/>
      <c r="AJ51" s="2267"/>
      <c r="AK51" s="2268"/>
      <c r="AL51" s="2269"/>
      <c r="AM51" s="2331">
        <f>VLOOKUP(I50,実績!$C$5:$CV$1474,62,0)</f>
        <v>0.9</v>
      </c>
      <c r="AN51" s="2332"/>
      <c r="AO51" s="2332"/>
      <c r="AP51" s="2333"/>
      <c r="AQ51" s="2158"/>
      <c r="AR51" s="2159"/>
      <c r="AS51" s="2114"/>
      <c r="AT51" s="2159"/>
      <c r="AU51" s="2114"/>
      <c r="AV51" s="2159"/>
      <c r="AW51" s="2114"/>
      <c r="AX51" s="2159"/>
      <c r="AY51" s="2114"/>
      <c r="AZ51" s="2115"/>
      <c r="BA51" s="2240">
        <f>VLOOKUP(I50,実績!$C$5:$CV$1474,46,0)</f>
        <v>1.5</v>
      </c>
      <c r="BB51" s="2241"/>
      <c r="BC51" s="2242"/>
      <c r="BD51" s="2249"/>
      <c r="BE51" s="2250"/>
      <c r="BF51" s="2251"/>
      <c r="BG51" s="2181"/>
      <c r="BH51" s="2182"/>
      <c r="BI51" s="2182"/>
      <c r="BJ51" s="2182"/>
      <c r="BK51" s="2206"/>
      <c r="BL51" s="2287"/>
      <c r="BM51" s="2288"/>
      <c r="BN51" s="2288"/>
      <c r="BO51" s="2402"/>
      <c r="BP51" s="2287"/>
      <c r="BQ51" s="2288"/>
      <c r="BR51" s="2288"/>
      <c r="BS51" s="2404"/>
      <c r="BT51" s="2210"/>
      <c r="BU51" s="2403"/>
      <c r="BV51" s="2137"/>
      <c r="BW51" s="2383"/>
      <c r="BX51" s="2181"/>
      <c r="BY51" s="2182"/>
      <c r="BZ51" s="2182"/>
      <c r="CA51" s="2182"/>
      <c r="CB51" s="2183"/>
      <c r="CH51" s="44"/>
      <c r="CI51" s="103"/>
      <c r="CJ51" s="103"/>
      <c r="CK51" s="103"/>
      <c r="CL51" s="103"/>
      <c r="CM51" s="103"/>
      <c r="CZ51" s="44"/>
      <c r="DA51" s="103"/>
      <c r="DB51" s="103"/>
      <c r="DC51" s="103"/>
      <c r="DD51" s="103"/>
      <c r="DE51" s="103"/>
      <c r="DF51" s="103"/>
    </row>
    <row r="52" spans="2:110" ht="30" customHeight="1" thickTop="1" thickBot="1">
      <c r="B52" s="2537"/>
      <c r="C52" s="2537"/>
      <c r="D52" s="2295" t="s">
        <v>4846</v>
      </c>
      <c r="E52" s="2239"/>
      <c r="F52" s="2283">
        <f>実績!B1432</f>
        <v>200035</v>
      </c>
      <c r="G52" s="2284"/>
      <c r="H52" s="2284"/>
      <c r="I52" s="2365" t="str">
        <f>VLOOKUP(F52,実績!$B$5:$CV$1474,2,0)</f>
        <v>アレーズ秋桜計画</v>
      </c>
      <c r="J52" s="2365"/>
      <c r="K52" s="2365"/>
      <c r="L52" s="2365"/>
      <c r="M52" s="2365"/>
      <c r="N52" s="2365"/>
      <c r="O52" s="2365"/>
      <c r="P52" s="2365"/>
      <c r="Q52" s="2365"/>
      <c r="R52" s="2365"/>
      <c r="S52" s="2365"/>
      <c r="T52" s="2366"/>
      <c r="U52" s="2164" t="str">
        <f>VLOOKUP(I52,実績!$C$5:$CV$1474,3,0)</f>
        <v>大田</v>
      </c>
      <c r="V52" s="2165"/>
      <c r="W52" s="2167" t="str">
        <f>VLOOKUP(I52,実績!$C$5:$CV$1474,2,0)</f>
        <v>ユイ
フィ</v>
      </c>
      <c r="X52" s="2281"/>
      <c r="Y52" s="2164" t="str">
        <f>VLOOKUP(I52,実績!$C$5:$CV$1474,4,FALSE)</f>
        <v>東京都</v>
      </c>
      <c r="Z52" s="2166"/>
      <c r="AA52" s="2165"/>
      <c r="AB52" s="2167" t="str">
        <f>VLOOKUP(I52,実績!$C$5:$CV$1474,9,0)</f>
        <v>障害入所施設</v>
      </c>
      <c r="AC52" s="2166"/>
      <c r="AD52" s="2165"/>
      <c r="AE52" s="2272">
        <f>ROUND(VLOOKUP(I52,実績!$C$5:$CV$1474,42,0),-1)</f>
        <v>800</v>
      </c>
      <c r="AF52" s="2273"/>
      <c r="AG52" s="2274"/>
      <c r="AH52" s="2164" t="str">
        <f>VLOOKUP(I52,実績!$C$5:$CV$1474,50,0)</f>
        <v>○</v>
      </c>
      <c r="AI52" s="2165"/>
      <c r="AJ52" s="2264">
        <f>VLOOKUP(I52,実績!$C$5:$CV$1474,60,0)</f>
        <v>2.08</v>
      </c>
      <c r="AK52" s="2265"/>
      <c r="AL52" s="2266"/>
      <c r="AM52" s="2252" t="str">
        <f>VLOOKUP(I52,実績!$C$5:$CV$1474,61,0)</f>
        <v>細砂(府植物混入)</v>
      </c>
      <c r="AN52" s="2253"/>
      <c r="AO52" s="2253"/>
      <c r="AP52" s="2254"/>
      <c r="AQ52" s="2132" t="str">
        <f>VLOOKUP(I52,実績!$C$5:$CV$1474,37,0)</f>
        <v>-</v>
      </c>
      <c r="AR52" s="2133"/>
      <c r="AS52" s="2125" t="str">
        <f>VLOOKUP(I52,実績!$C$5:$CV$1474,38,0)</f>
        <v>-</v>
      </c>
      <c r="AT52" s="2133"/>
      <c r="AU52" s="2125" t="str">
        <f>VLOOKUP(I52,実績!$C$5:$CV$1474,39,0)</f>
        <v>-</v>
      </c>
      <c r="AV52" s="2133"/>
      <c r="AW52" s="2125" t="str">
        <f>VLOOKUP(I52,実績!$C$5:$CV$1474,40,0)</f>
        <v>-</v>
      </c>
      <c r="AX52" s="2133"/>
      <c r="AY52" s="2125" t="str">
        <f>VLOOKUP(I52,実績!$C$5:$CV$1474,41,0)</f>
        <v>べた</v>
      </c>
      <c r="AZ52" s="2126"/>
      <c r="BA52" s="2240">
        <f>VLOOKUP(I52,実績!$C$5:$CV$1474,44,0)</f>
        <v>1</v>
      </c>
      <c r="BB52" s="2241"/>
      <c r="BC52" s="2242"/>
      <c r="BD52" s="2129">
        <v>44082</v>
      </c>
      <c r="BE52" s="2088"/>
      <c r="BF52" s="2194" t="s">
        <v>17757</v>
      </c>
      <c r="BG52" s="2093" t="s">
        <v>17679</v>
      </c>
      <c r="BH52" s="2094"/>
      <c r="BI52" s="2094"/>
      <c r="BJ52" s="2094"/>
      <c r="BK52" s="2095"/>
      <c r="BL52" s="2099"/>
      <c r="BM52" s="2100"/>
      <c r="BN52" s="2100"/>
      <c r="BO52" s="2101"/>
      <c r="BP52" s="2099"/>
      <c r="BQ52" s="2100"/>
      <c r="BR52" s="2100"/>
      <c r="BS52" s="2102"/>
      <c r="BT52" s="2103">
        <f>ROUND(VLOOKUP(I52,実績!$C$5:$CV$1474,59,0),1)</f>
        <v>0.7</v>
      </c>
      <c r="BU52" s="2105" t="str">
        <f>VLOOKUP(I52,実績!$C$5:$CV$1474,67,0)</f>
        <v>住宅</v>
      </c>
      <c r="BV52" s="2136" t="str">
        <f>VLOOKUP(I52,実績!$C$5:$CV$1474,68,0)</f>
        <v>-</v>
      </c>
      <c r="BW52" s="2138" t="str">
        <f>VLOOKUP(I52,実績!$C$5:$CV$1474,69,0)</f>
        <v>○</v>
      </c>
      <c r="BX52" s="2093">
        <f>VLOOKUP(I52,実績!$C$5:$CV$1474,75,0)</f>
        <v>0</v>
      </c>
      <c r="BY52" s="2094"/>
      <c r="BZ52" s="2094"/>
      <c r="CA52" s="2094"/>
      <c r="CB52" s="2180"/>
      <c r="CD52" s="1968">
        <f>F52</f>
        <v>200035</v>
      </c>
      <c r="CE52" s="1968" t="str">
        <f>I52</f>
        <v>アレーズ秋桜計画</v>
      </c>
      <c r="CF52" s="96">
        <f>BD52</f>
        <v>44082</v>
      </c>
      <c r="CG52" s="96" t="str">
        <f>BF52</f>
        <v>1月</v>
      </c>
      <c r="CH52" s="44"/>
      <c r="CI52" s="103"/>
      <c r="CJ52" s="103"/>
      <c r="CK52" s="103"/>
      <c r="CL52" s="103"/>
      <c r="CM52" s="103"/>
      <c r="CZ52" s="44"/>
      <c r="DA52" s="103"/>
      <c r="DB52" s="103"/>
      <c r="DC52" s="103"/>
      <c r="DD52" s="103"/>
      <c r="DE52" s="103"/>
      <c r="DF52" s="103"/>
    </row>
    <row r="53" spans="2:110" ht="30" customHeight="1" thickTop="1" thickBot="1">
      <c r="B53" s="2537"/>
      <c r="C53" s="2537"/>
      <c r="D53" s="2313"/>
      <c r="E53" s="2133"/>
      <c r="F53" s="2221" t="str">
        <f>"("&amp;SUBSTITUTE(VLOOKUP(F52,実績!$B$5:$CV$1474,17,0),"株式会社 ","")&amp;")"</f>
        <v>(奥野設計)</v>
      </c>
      <c r="G53" s="2222"/>
      <c r="H53" s="2222"/>
      <c r="I53" s="2222"/>
      <c r="J53" s="2222"/>
      <c r="K53" s="2222"/>
      <c r="L53" s="2222"/>
      <c r="M53" s="2222"/>
      <c r="N53" s="2222"/>
      <c r="O53" s="2222"/>
      <c r="P53" s="2222"/>
      <c r="Q53" s="2222"/>
      <c r="R53" s="2222"/>
      <c r="S53" s="2222"/>
      <c r="T53" s="2223"/>
      <c r="U53" s="2154"/>
      <c r="V53" s="2155"/>
      <c r="W53" s="2285"/>
      <c r="X53" s="2291"/>
      <c r="Y53" s="2154" t="str">
        <f>VLOOKUP(I52,実績!$C$5:$CV$1474,5,0)</f>
        <v>葛飾区</v>
      </c>
      <c r="Z53" s="2286"/>
      <c r="AA53" s="2155"/>
      <c r="AB53" s="2285"/>
      <c r="AC53" s="2286"/>
      <c r="AD53" s="2155"/>
      <c r="AE53" s="2292"/>
      <c r="AF53" s="2293"/>
      <c r="AG53" s="2294"/>
      <c r="AH53" s="2154"/>
      <c r="AI53" s="2155"/>
      <c r="AJ53" s="2267"/>
      <c r="AK53" s="2268"/>
      <c r="AL53" s="2269"/>
      <c r="AM53" s="2331">
        <f>VLOOKUP(I52,実績!$C$5:$CV$1474,62,0)</f>
        <v>10</v>
      </c>
      <c r="AN53" s="2332"/>
      <c r="AO53" s="2332"/>
      <c r="AP53" s="2333"/>
      <c r="AQ53" s="2158"/>
      <c r="AR53" s="2159"/>
      <c r="AS53" s="2114"/>
      <c r="AT53" s="2159"/>
      <c r="AU53" s="2114"/>
      <c r="AV53" s="2159"/>
      <c r="AW53" s="2114"/>
      <c r="AX53" s="2159"/>
      <c r="AY53" s="2114"/>
      <c r="AZ53" s="2115"/>
      <c r="BA53" s="2257">
        <f>VLOOKUP(I52,実績!$C$5:$CV$1474,46,0)</f>
        <v>1.5</v>
      </c>
      <c r="BB53" s="2258"/>
      <c r="BC53" s="2259"/>
      <c r="BD53" s="2249"/>
      <c r="BE53" s="2250"/>
      <c r="BF53" s="2251"/>
      <c r="BG53" s="2181"/>
      <c r="BH53" s="2182"/>
      <c r="BI53" s="2182"/>
      <c r="BJ53" s="2182"/>
      <c r="BK53" s="2206"/>
      <c r="BL53" s="2287"/>
      <c r="BM53" s="2288"/>
      <c r="BN53" s="2288"/>
      <c r="BO53" s="2402"/>
      <c r="BP53" s="2287"/>
      <c r="BQ53" s="2288"/>
      <c r="BR53" s="2288"/>
      <c r="BS53" s="2404"/>
      <c r="BT53" s="2210"/>
      <c r="BU53" s="2403"/>
      <c r="BV53" s="2137"/>
      <c r="BW53" s="2383"/>
      <c r="BX53" s="2181"/>
      <c r="BY53" s="2182"/>
      <c r="BZ53" s="2182"/>
      <c r="CA53" s="2182"/>
      <c r="CB53" s="2183"/>
      <c r="CH53" s="44"/>
      <c r="CI53" s="103"/>
      <c r="CJ53" s="103"/>
      <c r="CK53" s="103"/>
      <c r="CL53" s="103"/>
      <c r="CM53" s="103"/>
      <c r="CZ53" s="44"/>
      <c r="DA53" s="103"/>
      <c r="DB53" s="103"/>
      <c r="DC53" s="103"/>
      <c r="DD53" s="103"/>
      <c r="DE53" s="103"/>
      <c r="DF53" s="103"/>
    </row>
    <row r="54" spans="2:110" ht="30" customHeight="1" thickTop="1" thickBot="1">
      <c r="B54" s="2537"/>
      <c r="C54" s="2537"/>
      <c r="D54" s="2295" t="s">
        <v>4846</v>
      </c>
      <c r="E54" s="2239"/>
      <c r="F54" s="2283">
        <f>実績!B1435</f>
        <v>200038</v>
      </c>
      <c r="G54" s="2284"/>
      <c r="H54" s="2284"/>
      <c r="I54" s="2365" t="str">
        <f>VLOOKUP(F54,実績!$B$5:$CV$1474,2,0)</f>
        <v>ダイレックス商工センター</v>
      </c>
      <c r="J54" s="2365"/>
      <c r="K54" s="2365"/>
      <c r="L54" s="2365"/>
      <c r="M54" s="2365"/>
      <c r="N54" s="2365"/>
      <c r="O54" s="2365"/>
      <c r="P54" s="2365"/>
      <c r="Q54" s="2365"/>
      <c r="R54" s="2365"/>
      <c r="S54" s="2365"/>
      <c r="T54" s="2366"/>
      <c r="U54" s="2164" t="str">
        <f>VLOOKUP(I54,実績!$C$5:$CV$1474,3,0)</f>
        <v>植松</v>
      </c>
      <c r="V54" s="2165"/>
      <c r="W54" s="2167" t="str">
        <f>VLOOKUP(I54,実績!$C$5:$CV$1474,2,0)</f>
        <v>村上
フィ</v>
      </c>
      <c r="X54" s="2281"/>
      <c r="Y54" s="2164" t="str">
        <f>VLOOKUP(I54,実績!$C$5:$CV$1474,4,FALSE)</f>
        <v>広島県</v>
      </c>
      <c r="Z54" s="2166"/>
      <c r="AA54" s="2165"/>
      <c r="AB54" s="2167" t="str">
        <f>VLOOKUP(I54,実績!$C$5:$CV$1474,9,0)</f>
        <v>店舗</v>
      </c>
      <c r="AC54" s="2166"/>
      <c r="AD54" s="2165"/>
      <c r="AE54" s="2272">
        <f>ROUND(VLOOKUP(I54,実績!$C$5:$CV$1474,42,0),-1)</f>
        <v>3080</v>
      </c>
      <c r="AF54" s="2273"/>
      <c r="AG54" s="2274"/>
      <c r="AH54" s="2164" t="str">
        <f>VLOOKUP(I54,実績!$C$5:$CV$1474,50,0)</f>
        <v>無</v>
      </c>
      <c r="AI54" s="2165"/>
      <c r="AJ54" s="2264">
        <f>VLOOKUP(I54,実績!$C$5:$CV$1474,60,0)</f>
        <v>1.02</v>
      </c>
      <c r="AK54" s="2265"/>
      <c r="AL54" s="2266"/>
      <c r="AM54" s="2224" t="str">
        <f>VLOOKUP(I54,実績!$C$5:$CV$1474,61,0)</f>
        <v>-</v>
      </c>
      <c r="AN54" s="2225"/>
      <c r="AO54" s="2225"/>
      <c r="AP54" s="2226"/>
      <c r="AQ54" s="2132" t="str">
        <f>VLOOKUP(I54,実績!$C$5:$CV$1474,37,0)</f>
        <v>-</v>
      </c>
      <c r="AR54" s="2133"/>
      <c r="AS54" s="2125" t="str">
        <f>VLOOKUP(I54,実績!$C$5:$CV$1474,38,0)</f>
        <v>-</v>
      </c>
      <c r="AT54" s="2133"/>
      <c r="AU54" s="2125" t="str">
        <f>VLOOKUP(I54,実績!$C$5:$CV$1474,39,0)</f>
        <v>-</v>
      </c>
      <c r="AV54" s="2133"/>
      <c r="AW54" s="2125" t="str">
        <f>VLOOKUP(I54,実績!$C$5:$CV$1474,40,0)</f>
        <v>○</v>
      </c>
      <c r="AX54" s="2133"/>
      <c r="AY54" s="2125" t="str">
        <f>VLOOKUP(I54,実績!$C$5:$CV$1474,41,0)</f>
        <v>独立</v>
      </c>
      <c r="AZ54" s="2126"/>
      <c r="BA54" s="2240">
        <f>VLOOKUP(I54,実績!$C$5:$CV$1474,44,0)</f>
        <v>0.8</v>
      </c>
      <c r="BB54" s="2241"/>
      <c r="BC54" s="2242"/>
      <c r="BD54" s="2129">
        <v>44110</v>
      </c>
      <c r="BE54" s="2088"/>
      <c r="BF54" s="2194" t="s">
        <v>17728</v>
      </c>
      <c r="BG54" s="2093"/>
      <c r="BH54" s="2094"/>
      <c r="BI54" s="2094"/>
      <c r="BJ54" s="2094"/>
      <c r="BK54" s="2095"/>
      <c r="BL54" s="2099"/>
      <c r="BM54" s="2100"/>
      <c r="BN54" s="2100"/>
      <c r="BO54" s="2101"/>
      <c r="BP54" s="2099"/>
      <c r="BQ54" s="2100"/>
      <c r="BR54" s="2100"/>
      <c r="BS54" s="2102"/>
      <c r="BT54" s="2103">
        <f>ROUND(VLOOKUP(I54,実績!$C$5:$CV$1474,59,0),1)</f>
        <v>2.7</v>
      </c>
      <c r="BU54" s="2105" t="str">
        <f>VLOOKUP(I54,実績!$C$5:$CV$1474,67,0)</f>
        <v>工場・店舗</v>
      </c>
      <c r="BV54" s="2136" t="str">
        <f>VLOOKUP(I54,実績!$C$5:$CV$1474,68,0)</f>
        <v>-</v>
      </c>
      <c r="BW54" s="2138" t="str">
        <f>VLOOKUP(I54,実績!$C$5:$CV$1474,69,0)</f>
        <v>○</v>
      </c>
      <c r="BX54" s="2093" t="str">
        <f>VLOOKUP(I54,実績!$C$5:$CV$1474,75,0)</f>
        <v>店舗棟とスロープ棟(4号)の2棟。海に近い。埋立地。既存建物(杭)</v>
      </c>
      <c r="BY54" s="2094"/>
      <c r="BZ54" s="2094"/>
      <c r="CA54" s="2094"/>
      <c r="CB54" s="2180"/>
      <c r="CD54" s="1968">
        <f>F54</f>
        <v>200038</v>
      </c>
      <c r="CE54" s="1968" t="str">
        <f>I54</f>
        <v>ダイレックス商工センター</v>
      </c>
      <c r="CF54" s="96">
        <f>BD54</f>
        <v>44110</v>
      </c>
      <c r="CG54" s="96" t="str">
        <f>BF54</f>
        <v>4月</v>
      </c>
      <c r="CH54" s="44"/>
      <c r="CI54" s="103"/>
      <c r="CJ54" s="103"/>
      <c r="CK54" s="103"/>
      <c r="CL54" s="103"/>
      <c r="CM54" s="103"/>
      <c r="CZ54" s="44"/>
      <c r="DA54" s="103"/>
      <c r="DB54" s="103"/>
      <c r="DC54" s="103"/>
      <c r="DD54" s="103"/>
      <c r="DE54" s="103"/>
      <c r="DF54" s="103"/>
    </row>
    <row r="55" spans="2:110" ht="30" customHeight="1" thickTop="1" thickBot="1">
      <c r="B55" s="2537"/>
      <c r="C55" s="2537"/>
      <c r="D55" s="2313"/>
      <c r="E55" s="2133"/>
      <c r="F55" s="2221" t="str">
        <f>"("&amp;SUBSTITUTE(VLOOKUP(I54,実績!$C$5:$CV$1474,16,0),"株式会社 ","")&amp;","&amp;SUBSTITUTE(VLOOKUP(I54,実績!$C$5:$CV$1474,21,0),"株式会社 ","")&amp;")"</f>
        <v>(ユーアイ設計,祥構造建築事務所)</v>
      </c>
      <c r="G55" s="2222"/>
      <c r="H55" s="2222"/>
      <c r="I55" s="2222"/>
      <c r="J55" s="2222"/>
      <c r="K55" s="2222"/>
      <c r="L55" s="2222"/>
      <c r="M55" s="2222"/>
      <c r="N55" s="2222"/>
      <c r="O55" s="2222"/>
      <c r="P55" s="2222"/>
      <c r="Q55" s="2222"/>
      <c r="R55" s="2222"/>
      <c r="S55" s="2222"/>
      <c r="T55" s="2223"/>
      <c r="U55" s="2154"/>
      <c r="V55" s="2155"/>
      <c r="W55" s="2285"/>
      <c r="X55" s="2291"/>
      <c r="Y55" s="2154" t="str">
        <f>VLOOKUP(I54,実績!$C$5:$CV$1474,5,0)</f>
        <v>広島市</v>
      </c>
      <c r="Z55" s="2286"/>
      <c r="AA55" s="2155"/>
      <c r="AB55" s="2285"/>
      <c r="AC55" s="2286"/>
      <c r="AD55" s="2155"/>
      <c r="AE55" s="2292"/>
      <c r="AF55" s="2293"/>
      <c r="AG55" s="2294"/>
      <c r="AH55" s="2154"/>
      <c r="AI55" s="2155"/>
      <c r="AJ55" s="2267"/>
      <c r="AK55" s="2268"/>
      <c r="AL55" s="2269"/>
      <c r="AM55" s="2348" t="str">
        <f>VLOOKUP(I54,実績!$C$5:$CV$1474,62,0)</f>
        <v>-</v>
      </c>
      <c r="AN55" s="2349"/>
      <c r="AO55" s="2349"/>
      <c r="AP55" s="2350"/>
      <c r="AQ55" s="2158"/>
      <c r="AR55" s="2159"/>
      <c r="AS55" s="2114"/>
      <c r="AT55" s="2159"/>
      <c r="AU55" s="2114"/>
      <c r="AV55" s="2159"/>
      <c r="AW55" s="2114"/>
      <c r="AX55" s="2159"/>
      <c r="AY55" s="2114"/>
      <c r="AZ55" s="2115"/>
      <c r="BA55" s="2257">
        <f>VLOOKUP(I54,実績!$C$5:$CV$1474,46,0)</f>
        <v>1.5</v>
      </c>
      <c r="BB55" s="2258"/>
      <c r="BC55" s="2259"/>
      <c r="BD55" s="2249"/>
      <c r="BE55" s="2250"/>
      <c r="BF55" s="2251"/>
      <c r="BG55" s="2181"/>
      <c r="BH55" s="2182"/>
      <c r="BI55" s="2182"/>
      <c r="BJ55" s="2182"/>
      <c r="BK55" s="2206"/>
      <c r="BL55" s="2287"/>
      <c r="BM55" s="2288"/>
      <c r="BN55" s="2288"/>
      <c r="BO55" s="2402"/>
      <c r="BP55" s="2287"/>
      <c r="BQ55" s="2288"/>
      <c r="BR55" s="2288"/>
      <c r="BS55" s="2404"/>
      <c r="BT55" s="2210"/>
      <c r="BU55" s="2403"/>
      <c r="BV55" s="2137"/>
      <c r="BW55" s="2383"/>
      <c r="BX55" s="2181"/>
      <c r="BY55" s="2182"/>
      <c r="BZ55" s="2182"/>
      <c r="CA55" s="2182"/>
      <c r="CB55" s="2183"/>
      <c r="CH55" s="44"/>
      <c r="CI55" s="103"/>
      <c r="CJ55" s="103"/>
      <c r="CK55" s="103"/>
      <c r="CL55" s="103"/>
      <c r="CM55" s="103"/>
      <c r="CZ55" s="44"/>
      <c r="DA55" s="103"/>
      <c r="DB55" s="103"/>
      <c r="DC55" s="103"/>
      <c r="DD55" s="103"/>
      <c r="DE55" s="103"/>
      <c r="DF55" s="103"/>
    </row>
    <row r="56" spans="2:110" ht="30" customHeight="1" thickTop="1" thickBot="1">
      <c r="B56" s="2537"/>
      <c r="C56" s="2537"/>
      <c r="D56" s="2295" t="s">
        <v>4846</v>
      </c>
      <c r="E56" s="2239"/>
      <c r="F56" s="2283">
        <f>実績!B1299</f>
        <v>190047</v>
      </c>
      <c r="G56" s="2284"/>
      <c r="H56" s="2284"/>
      <c r="I56" s="2365" t="str">
        <f>VLOOKUP(F56,実績!$B$5:$CV$1474,2,0)</f>
        <v>カジレーネ新工場</v>
      </c>
      <c r="J56" s="2365"/>
      <c r="K56" s="2365"/>
      <c r="L56" s="2365"/>
      <c r="M56" s="2365"/>
      <c r="N56" s="2365"/>
      <c r="O56" s="2365"/>
      <c r="P56" s="2365"/>
      <c r="Q56" s="2365"/>
      <c r="R56" s="2365"/>
      <c r="S56" s="2365"/>
      <c r="T56" s="2366"/>
      <c r="U56" s="2164" t="str">
        <f>VLOOKUP(I56,実績!$C$5:$CV$1474,3,0)</f>
        <v>大田</v>
      </c>
      <c r="V56" s="2165"/>
      <c r="W56" s="2167" t="str">
        <f>VLOOKUP(I56,実績!$C$5:$CV$1474,2,0)</f>
        <v>近藤
ウット</v>
      </c>
      <c r="X56" s="2281"/>
      <c r="Y56" s="2164" t="str">
        <f>VLOOKUP(I56,実績!$C$5:$CV$1474,4,FALSE)</f>
        <v>石川県</v>
      </c>
      <c r="Z56" s="2166"/>
      <c r="AA56" s="2165"/>
      <c r="AB56" s="2167" t="str">
        <f>VLOOKUP(I56,実績!$C$5:$CV$1474,9,0)</f>
        <v>工場</v>
      </c>
      <c r="AC56" s="2166"/>
      <c r="AD56" s="2165"/>
      <c r="AE56" s="2272">
        <f>ROUND(VLOOKUP(I56,実績!$C$5:$CV$1474,42,0),-1)</f>
        <v>14610</v>
      </c>
      <c r="AF56" s="2273"/>
      <c r="AG56" s="2274"/>
      <c r="AH56" s="2164" t="str">
        <f>VLOOKUP(I56,実績!$C$5:$CV$1474,50,0)</f>
        <v>無</v>
      </c>
      <c r="AI56" s="2165"/>
      <c r="AJ56" s="2264" t="str">
        <f>VLOOKUP(I56,実績!$C$5:$CV$1474,60,0)</f>
        <v>圧密層無し</v>
      </c>
      <c r="AK56" s="2265"/>
      <c r="AL56" s="2266"/>
      <c r="AM56" s="2224" t="str">
        <f>VLOOKUP(I56,実績!$C$5:$CV$1474,61,0)</f>
        <v>-</v>
      </c>
      <c r="AN56" s="2225"/>
      <c r="AO56" s="2225"/>
      <c r="AP56" s="2226"/>
      <c r="AQ56" s="2132" t="str">
        <f>VLOOKUP(I56,実績!$C$5:$CV$1474,37,0)</f>
        <v>-</v>
      </c>
      <c r="AR56" s="2133"/>
      <c r="AS56" s="2125" t="str">
        <f>VLOOKUP(I56,実績!$C$5:$CV$1474,38,0)</f>
        <v>-</v>
      </c>
      <c r="AT56" s="2133"/>
      <c r="AU56" s="2125" t="str">
        <f>VLOOKUP(I56,実績!$C$5:$CV$1474,39,0)</f>
        <v>-</v>
      </c>
      <c r="AV56" s="2133"/>
      <c r="AW56" s="2125" t="str">
        <f>VLOOKUP(I56,実績!$C$5:$CV$1474,40,0)</f>
        <v>-</v>
      </c>
      <c r="AX56" s="2133"/>
      <c r="AY56" s="2125" t="str">
        <f>VLOOKUP(I56,実績!$C$5:$CV$1474,41,0)</f>
        <v>独立(TREO)</v>
      </c>
      <c r="AZ56" s="2126"/>
      <c r="BA56" s="2240">
        <f>VLOOKUP(I56,実績!$C$5:$CV$1474,44,0)</f>
        <v>1</v>
      </c>
      <c r="BB56" s="2241"/>
      <c r="BC56" s="2242"/>
      <c r="BD56" s="2129">
        <v>43812</v>
      </c>
      <c r="BE56" s="2088"/>
      <c r="BF56" s="2130"/>
      <c r="BG56" s="2093"/>
      <c r="BH56" s="2094"/>
      <c r="BI56" s="2094"/>
      <c r="BJ56" s="2094"/>
      <c r="BK56" s="2095"/>
      <c r="BL56" s="2099"/>
      <c r="BM56" s="2100"/>
      <c r="BN56" s="2100"/>
      <c r="BO56" s="2101"/>
      <c r="BP56" s="2099"/>
      <c r="BQ56" s="2100"/>
      <c r="BR56" s="2100"/>
      <c r="BS56" s="2102"/>
      <c r="BT56" s="2384" t="s">
        <v>11156</v>
      </c>
      <c r="BU56" s="2414" t="str">
        <f>VLOOKUP(I56,実績!$C$5:$CV$1474,67,0)</f>
        <v>住宅・工場</v>
      </c>
      <c r="BV56" s="2396" t="str">
        <f>VLOOKUP(I56,実績!$C$5:$CV$1474,68,0)</f>
        <v>○</v>
      </c>
      <c r="BW56" s="2381" t="str">
        <f>VLOOKUP(I56,実績!$C$5:$CV$1474,69,0)</f>
        <v>○</v>
      </c>
      <c r="BX56" s="2093" t="str">
        <f>VLOOKUP(I56,実績!$C$5:$CV$1474,75,0)</f>
        <v>工場棟と事務所棟の2棟。造成工事あり。平板載荷試験で盛土の支持力確認。</v>
      </c>
      <c r="BY56" s="2094"/>
      <c r="BZ56" s="2094"/>
      <c r="CA56" s="2094"/>
      <c r="CB56" s="2180"/>
      <c r="CD56" s="1968">
        <f>F56</f>
        <v>190047</v>
      </c>
      <c r="CE56" s="1968" t="str">
        <f>I56</f>
        <v>カジレーネ新工場</v>
      </c>
      <c r="CF56" s="96">
        <f>BD56</f>
        <v>43812</v>
      </c>
      <c r="CG56" s="96">
        <f>BF56</f>
        <v>0</v>
      </c>
      <c r="CH56" s="44"/>
      <c r="CI56" s="103"/>
      <c r="CJ56" s="103"/>
      <c r="CK56" s="103"/>
      <c r="CL56" s="103"/>
      <c r="CM56" s="103"/>
      <c r="CZ56" s="44"/>
      <c r="DA56" s="103"/>
      <c r="DB56" s="103"/>
      <c r="DC56" s="103"/>
      <c r="DD56" s="103"/>
      <c r="DE56" s="103"/>
      <c r="DF56" s="103"/>
    </row>
    <row r="57" spans="2:110" ht="30" customHeight="1" thickTop="1" thickBot="1">
      <c r="B57" s="2537"/>
      <c r="C57" s="2537"/>
      <c r="D57" s="2295"/>
      <c r="E57" s="2239"/>
      <c r="F57" s="2184" t="str">
        <f>"("&amp;SUBSTITUTE(VLOOKUP(F56,実績!$B$5:$CV$1474,17,0),"株式会社 ","")&amp;","&amp;SUBSTITUTE(VLOOKUP(F56,実績!$B$5:$CV$1474,22,0),"有限会社 ","")&amp;")"</f>
        <v>(マップス建築事務所,山中設計事務所)</v>
      </c>
      <c r="G57" s="2185"/>
      <c r="H57" s="2185"/>
      <c r="I57" s="2185"/>
      <c r="J57" s="2185"/>
      <c r="K57" s="2185"/>
      <c r="L57" s="2185"/>
      <c r="M57" s="2185"/>
      <c r="N57" s="2185"/>
      <c r="O57" s="2185"/>
      <c r="P57" s="2185"/>
      <c r="Q57" s="2185"/>
      <c r="R57" s="2185"/>
      <c r="S57" s="2185"/>
      <c r="T57" s="2186"/>
      <c r="U57" s="2156"/>
      <c r="V57" s="2157"/>
      <c r="W57" s="2168"/>
      <c r="X57" s="2282"/>
      <c r="Y57" s="2156" t="str">
        <f>VLOOKUP(I56,実績!$C$5:$CV$1474,5,0)</f>
        <v>かほく市</v>
      </c>
      <c r="Z57" s="2169"/>
      <c r="AA57" s="2157"/>
      <c r="AB57" s="2168"/>
      <c r="AC57" s="2169"/>
      <c r="AD57" s="2157"/>
      <c r="AE57" s="2275"/>
      <c r="AF57" s="2276"/>
      <c r="AG57" s="2277"/>
      <c r="AH57" s="2156"/>
      <c r="AI57" s="2157"/>
      <c r="AJ57" s="2278"/>
      <c r="AK57" s="2279"/>
      <c r="AL57" s="2280"/>
      <c r="AM57" s="2224" t="str">
        <f>VLOOKUP(I56,実績!$C$5:$CV$1474,62,0)</f>
        <v>-</v>
      </c>
      <c r="AN57" s="2225"/>
      <c r="AO57" s="2225"/>
      <c r="AP57" s="2226"/>
      <c r="AQ57" s="2134"/>
      <c r="AR57" s="2135"/>
      <c r="AS57" s="2127"/>
      <c r="AT57" s="2135"/>
      <c r="AU57" s="2127"/>
      <c r="AV57" s="2135"/>
      <c r="AW57" s="2127"/>
      <c r="AX57" s="2135"/>
      <c r="AY57" s="2127"/>
      <c r="AZ57" s="2128"/>
      <c r="BA57" s="2240">
        <f>VLOOKUP(I56,実績!$C$5:$CV$1474,46,0)</f>
        <v>1</v>
      </c>
      <c r="BB57" s="2241"/>
      <c r="BC57" s="2242"/>
      <c r="BD57" s="2089"/>
      <c r="BE57" s="2090"/>
      <c r="BF57" s="2131"/>
      <c r="BG57" s="2096"/>
      <c r="BH57" s="2097"/>
      <c r="BI57" s="2097"/>
      <c r="BJ57" s="2097"/>
      <c r="BK57" s="2098"/>
      <c r="BL57" s="2099"/>
      <c r="BM57" s="2100"/>
      <c r="BN57" s="2100"/>
      <c r="BO57" s="2101"/>
      <c r="BP57" s="2099"/>
      <c r="BQ57" s="2100"/>
      <c r="BR57" s="2100"/>
      <c r="BS57" s="2102"/>
      <c r="BT57" s="2399"/>
      <c r="BU57" s="2415"/>
      <c r="BV57" s="2500"/>
      <c r="BW57" s="2382"/>
      <c r="BX57" s="2096"/>
      <c r="BY57" s="2097"/>
      <c r="BZ57" s="2097"/>
      <c r="CA57" s="2097"/>
      <c r="CB57" s="2189"/>
      <c r="CH57" s="44"/>
      <c r="CI57" s="103"/>
      <c r="CJ57" s="103"/>
      <c r="CK57" s="103"/>
      <c r="CL57" s="103"/>
      <c r="CM57" s="103"/>
      <c r="CZ57" s="44"/>
      <c r="DA57" s="103"/>
      <c r="DB57" s="103"/>
      <c r="DC57" s="103"/>
      <c r="DD57" s="103"/>
      <c r="DE57" s="103"/>
      <c r="DF57" s="103"/>
    </row>
    <row r="58" spans="2:110" ht="30" customHeight="1" thickTop="1" thickBot="1">
      <c r="B58" s="2537"/>
      <c r="C58" s="2537"/>
      <c r="D58" s="2295" t="s">
        <v>4846</v>
      </c>
      <c r="E58" s="2239"/>
      <c r="F58" s="2283">
        <f>実績!B1362</f>
        <v>190109</v>
      </c>
      <c r="G58" s="2284"/>
      <c r="H58" s="2284"/>
      <c r="I58" s="2365" t="str">
        <f>VLOOKUP(F58,実績!$B$5:$CV$1474,2,0)</f>
        <v>ネクステージ春日部</v>
      </c>
      <c r="J58" s="2365"/>
      <c r="K58" s="2365"/>
      <c r="L58" s="2365"/>
      <c r="M58" s="2365"/>
      <c r="N58" s="2365"/>
      <c r="O58" s="2365"/>
      <c r="P58" s="2365"/>
      <c r="Q58" s="2365"/>
      <c r="R58" s="2365"/>
      <c r="S58" s="2365"/>
      <c r="T58" s="2366"/>
      <c r="U58" s="2164" t="str">
        <f>VLOOKUP(I58,実績!$C$5:$CV$1474,3,0)</f>
        <v>大田</v>
      </c>
      <c r="V58" s="2165"/>
      <c r="W58" s="2167" t="str">
        <f>VLOOKUP(I58,実績!$C$5:$CV$1474,2,0)</f>
        <v>タオ</v>
      </c>
      <c r="X58" s="2281"/>
      <c r="Y58" s="2164" t="str">
        <f>VLOOKUP(I58,実績!$C$5:$CV$1474,4,FALSE)</f>
        <v>埼玉県</v>
      </c>
      <c r="Z58" s="2166"/>
      <c r="AA58" s="2165"/>
      <c r="AB58" s="2167" t="str">
        <f>VLOOKUP(I58,実績!$C$5:$CV$1474,9,0)</f>
        <v>工場</v>
      </c>
      <c r="AC58" s="2166"/>
      <c r="AD58" s="2165"/>
      <c r="AE58" s="2272">
        <f>ROUND(VLOOKUP(I58,実績!$C$5:$CV$1474,42,0),-1)</f>
        <v>490</v>
      </c>
      <c r="AF58" s="2273"/>
      <c r="AG58" s="2274"/>
      <c r="AH58" s="2164" t="str">
        <f>VLOOKUP(I58,実績!$C$5:$CV$1474,50,0)</f>
        <v>○</v>
      </c>
      <c r="AI58" s="2165"/>
      <c r="AJ58" s="2373" t="s">
        <v>8458</v>
      </c>
      <c r="AK58" s="2374"/>
      <c r="AL58" s="2375"/>
      <c r="AM58" s="2252" t="str">
        <f>VLOOKUP(I58,実績!$C$5:$CV$1474,61,0)</f>
        <v>ｼﾙﾄ(府植物混入)</v>
      </c>
      <c r="AN58" s="2253"/>
      <c r="AO58" s="2253"/>
      <c r="AP58" s="2254"/>
      <c r="AQ58" s="2132" t="str">
        <f>VLOOKUP(I58,実績!$C$5:$CV$1474,37,0)</f>
        <v>-</v>
      </c>
      <c r="AR58" s="2133"/>
      <c r="AS58" s="2125" t="str">
        <f>VLOOKUP(I58,実績!$C$5:$CV$1474,38,0)</f>
        <v>○
4m</v>
      </c>
      <c r="AT58" s="2133"/>
      <c r="AU58" s="2125" t="str">
        <f>VLOOKUP(I58,実績!$C$5:$CV$1474,39,0)</f>
        <v>-</v>
      </c>
      <c r="AV58" s="2133"/>
      <c r="AW58" s="2125" t="str">
        <f>VLOOKUP(I58,実績!$C$5:$CV$1474,40,0)</f>
        <v>○</v>
      </c>
      <c r="AX58" s="2133"/>
      <c r="AY58" s="2125" t="str">
        <f>VLOOKUP(I58,実績!$C$5:$CV$1474,41,0)</f>
        <v>独立</v>
      </c>
      <c r="AZ58" s="2126"/>
      <c r="BA58" s="2240">
        <f>VLOOKUP(I58,実績!$C$5:$CV$1474,44,0)</f>
        <v>1</v>
      </c>
      <c r="BB58" s="2241"/>
      <c r="BC58" s="2242"/>
      <c r="BD58" s="2129">
        <v>43959</v>
      </c>
      <c r="BE58" s="2088"/>
      <c r="BF58" s="2130"/>
      <c r="BG58" s="2093"/>
      <c r="BH58" s="2094"/>
      <c r="BI58" s="2094"/>
      <c r="BJ58" s="2094"/>
      <c r="BK58" s="2095"/>
      <c r="BL58" s="2099"/>
      <c r="BM58" s="2100"/>
      <c r="BN58" s="2100"/>
      <c r="BO58" s="2101"/>
      <c r="BP58" s="2076"/>
      <c r="BQ58" s="2076"/>
      <c r="BR58" s="2076"/>
      <c r="BS58" s="2077"/>
      <c r="BT58" s="2384">
        <f>ROUND(VLOOKUP(I58,実績!$C$5:$CV$1474,59,0),1)</f>
        <v>0.9</v>
      </c>
      <c r="BU58" s="2414" t="str">
        <f>VLOOKUP(I58,実績!$C$5:$CV$1474,67,0)</f>
        <v>住宅</v>
      </c>
      <c r="BV58" s="2396" t="str">
        <f>VLOOKUP(I58,実績!$C$5:$CV$1474,68,0)</f>
        <v>○</v>
      </c>
      <c r="BW58" s="2381" t="str">
        <f>VLOOKUP(I58,実績!$C$5:$CV$1474,69,0)</f>
        <v>○</v>
      </c>
      <c r="BX58" s="2093">
        <f>VLOOKUP(I58,実績!$C$5:$CV$1474,75,0)</f>
        <v>0</v>
      </c>
      <c r="BY58" s="2094"/>
      <c r="BZ58" s="2094"/>
      <c r="CA58" s="2094"/>
      <c r="CB58" s="2180"/>
      <c r="CD58" s="1968">
        <f>F58</f>
        <v>190109</v>
      </c>
      <c r="CE58" s="1968" t="str">
        <f>I58</f>
        <v>ネクステージ春日部</v>
      </c>
      <c r="CF58" s="96">
        <f>BD58</f>
        <v>43959</v>
      </c>
      <c r="CG58" s="96">
        <f>BF58</f>
        <v>0</v>
      </c>
      <c r="CH58" s="44"/>
      <c r="CI58" s="103"/>
      <c r="CJ58" s="103"/>
      <c r="CK58" s="103"/>
      <c r="CL58" s="103"/>
      <c r="CM58" s="103"/>
      <c r="CZ58" s="44"/>
      <c r="DA58" s="103"/>
      <c r="DB58" s="103"/>
      <c r="DC58" s="103"/>
      <c r="DD58" s="103"/>
      <c r="DE58" s="103"/>
      <c r="DF58" s="103"/>
    </row>
    <row r="59" spans="2:110" ht="30" customHeight="1" thickTop="1" thickBot="1">
      <c r="B59" s="2537"/>
      <c r="C59" s="2537"/>
      <c r="D59" s="2295"/>
      <c r="E59" s="2239"/>
      <c r="F59" s="2184" t="str">
        <f>"("&amp;SUBSTITUTE(VLOOKUP(F58,実績!$B$5:$CV$1474,17,0),"株式会社 ","")&amp;","&amp;SUBSTITUTE(VLOOKUP(F58,実績!$B$5:$CV$1474,22,0),"株式会社 ","")&amp;")"</f>
        <v>(NAG設計同人,盛本構造設計事務所)</v>
      </c>
      <c r="G59" s="2185"/>
      <c r="H59" s="2185"/>
      <c r="I59" s="2185"/>
      <c r="J59" s="2185"/>
      <c r="K59" s="2185"/>
      <c r="L59" s="2185"/>
      <c r="M59" s="2185"/>
      <c r="N59" s="2185"/>
      <c r="O59" s="2185"/>
      <c r="P59" s="2185"/>
      <c r="Q59" s="2185"/>
      <c r="R59" s="2185"/>
      <c r="S59" s="2185"/>
      <c r="T59" s="2186"/>
      <c r="U59" s="2156"/>
      <c r="V59" s="2157"/>
      <c r="W59" s="2168"/>
      <c r="X59" s="2282"/>
      <c r="Y59" s="2156" t="str">
        <f>VLOOKUP(I58,実績!$C$5:$CV$1474,5,0)</f>
        <v>春日部市</v>
      </c>
      <c r="Z59" s="2169"/>
      <c r="AA59" s="2157"/>
      <c r="AB59" s="2168"/>
      <c r="AC59" s="2169"/>
      <c r="AD59" s="2157"/>
      <c r="AE59" s="2275"/>
      <c r="AF59" s="2276"/>
      <c r="AG59" s="2277"/>
      <c r="AH59" s="2156"/>
      <c r="AI59" s="2157"/>
      <c r="AJ59" s="2376"/>
      <c r="AK59" s="2377"/>
      <c r="AL59" s="2378"/>
      <c r="AM59" s="2252">
        <f>VLOOKUP(I58,実績!$C$5:$CV$1474,62,0)</f>
        <v>6.3</v>
      </c>
      <c r="AN59" s="2253"/>
      <c r="AO59" s="2253"/>
      <c r="AP59" s="2254"/>
      <c r="AQ59" s="2134"/>
      <c r="AR59" s="2135"/>
      <c r="AS59" s="2127"/>
      <c r="AT59" s="2135"/>
      <c r="AU59" s="2127"/>
      <c r="AV59" s="2135"/>
      <c r="AW59" s="2127"/>
      <c r="AX59" s="2135"/>
      <c r="AY59" s="2127"/>
      <c r="AZ59" s="2128"/>
      <c r="BA59" s="2240">
        <f>VLOOKUP(I58,実績!$C$5:$CV$1474,46,0)</f>
        <v>1.5</v>
      </c>
      <c r="BB59" s="2241"/>
      <c r="BC59" s="2242"/>
      <c r="BD59" s="2089"/>
      <c r="BE59" s="2090"/>
      <c r="BF59" s="2131"/>
      <c r="BG59" s="2096"/>
      <c r="BH59" s="2097"/>
      <c r="BI59" s="2097"/>
      <c r="BJ59" s="2097"/>
      <c r="BK59" s="2098"/>
      <c r="BL59" s="2099"/>
      <c r="BM59" s="2100"/>
      <c r="BN59" s="2100"/>
      <c r="BO59" s="2101"/>
      <c r="BP59" s="2076"/>
      <c r="BQ59" s="2076"/>
      <c r="BR59" s="2076"/>
      <c r="BS59" s="2077"/>
      <c r="BT59" s="2399"/>
      <c r="BU59" s="2415"/>
      <c r="BV59" s="2500"/>
      <c r="BW59" s="2382"/>
      <c r="BX59" s="2096"/>
      <c r="BY59" s="2097"/>
      <c r="BZ59" s="2097"/>
      <c r="CA59" s="2097"/>
      <c r="CB59" s="2189"/>
      <c r="CH59" s="44"/>
      <c r="CI59" s="103"/>
      <c r="CJ59" s="103"/>
      <c r="CK59" s="103"/>
      <c r="CL59" s="103"/>
      <c r="CM59" s="103"/>
      <c r="CZ59" s="44"/>
      <c r="DA59" s="103"/>
      <c r="DB59" s="103"/>
      <c r="DC59" s="103"/>
      <c r="DD59" s="103"/>
      <c r="DE59" s="103"/>
      <c r="DF59" s="103"/>
    </row>
    <row r="60" spans="2:110" ht="30" customHeight="1" thickTop="1" thickBot="1">
      <c r="B60" s="2537"/>
      <c r="C60" s="2537"/>
      <c r="D60" s="2295" t="s">
        <v>4846</v>
      </c>
      <c r="E60" s="2239"/>
      <c r="F60" s="2283">
        <f>実績!B1356</f>
        <v>190103</v>
      </c>
      <c r="G60" s="2284"/>
      <c r="H60" s="2284"/>
      <c r="I60" s="2365" t="str">
        <f>VLOOKUP(F60,実績!$B$5:$CV$1474,2,0)</f>
        <v>JA全農岐阜青果物貯蔵施設</v>
      </c>
      <c r="J60" s="2365"/>
      <c r="K60" s="2365"/>
      <c r="L60" s="2365"/>
      <c r="M60" s="2365"/>
      <c r="N60" s="2365"/>
      <c r="O60" s="2365"/>
      <c r="P60" s="2365"/>
      <c r="Q60" s="2365"/>
      <c r="R60" s="2365"/>
      <c r="S60" s="2365"/>
      <c r="T60" s="2366"/>
      <c r="U60" s="2164" t="str">
        <f>VLOOKUP(I60,実績!$C$5:$CV$1474,3,0)</f>
        <v>大田</v>
      </c>
      <c r="V60" s="2165"/>
      <c r="W60" s="2167" t="str">
        <f>VLOOKUP(I60,実績!$C$5:$CV$1474,2,0)</f>
        <v>近藤
フィ</v>
      </c>
      <c r="X60" s="2281"/>
      <c r="Y60" s="2164" t="str">
        <f>VLOOKUP(I60,実績!$C$5:$CV$1474,4,FALSE)</f>
        <v>岐阜県</v>
      </c>
      <c r="Z60" s="2166"/>
      <c r="AA60" s="2165"/>
      <c r="AB60" s="2167" t="str">
        <f>VLOOKUP(I60,実績!$C$5:$CV$1474,9,0)</f>
        <v>冷蔵倉庫</v>
      </c>
      <c r="AC60" s="2166"/>
      <c r="AD60" s="2165"/>
      <c r="AE60" s="2272">
        <f>ROUND(VLOOKUP(I60,実績!$C$5:$CV$1474,42,0),-1)</f>
        <v>2530</v>
      </c>
      <c r="AF60" s="2273"/>
      <c r="AG60" s="2274"/>
      <c r="AH60" s="2164" t="str">
        <f>VLOOKUP(I60,実績!$C$5:$CV$1474,50,0)</f>
        <v>無</v>
      </c>
      <c r="AI60" s="2165"/>
      <c r="AJ60" s="2264">
        <f>VLOOKUP(I60,実績!$C$5:$CV$1474,60,0)</f>
        <v>1.45</v>
      </c>
      <c r="AK60" s="2265"/>
      <c r="AL60" s="2266"/>
      <c r="AM60" s="2252" t="str">
        <f>VLOOKUP(I60,実績!$C$5:$CV$1474,61,0)</f>
        <v>ｼﾙﾄ(府植物混入)</v>
      </c>
      <c r="AN60" s="2253"/>
      <c r="AO60" s="2253"/>
      <c r="AP60" s="2254"/>
      <c r="AQ60" s="2132" t="str">
        <f>VLOOKUP(I60,実績!$C$5:$CV$1474,37,0)</f>
        <v>-</v>
      </c>
      <c r="AR60" s="2133"/>
      <c r="AS60" s="2125" t="str">
        <f>VLOOKUP(I60,実績!$C$5:$CV$1474,38,0)</f>
        <v>-</v>
      </c>
      <c r="AT60" s="2133"/>
      <c r="AU60" s="2125" t="str">
        <f>VLOOKUP(I60,実績!$C$5:$CV$1474,39,0)</f>
        <v>-</v>
      </c>
      <c r="AV60" s="2133"/>
      <c r="AW60" s="2125" t="str">
        <f>VLOOKUP(I60,実績!$C$5:$CV$1474,40,0)</f>
        <v>○</v>
      </c>
      <c r="AX60" s="2133"/>
      <c r="AY60" s="2125" t="str">
        <f>VLOOKUP(I60,実績!$C$5:$CV$1474,41,0)</f>
        <v>独立</v>
      </c>
      <c r="AZ60" s="2126"/>
      <c r="BA60" s="2240">
        <f>VLOOKUP(I60,実績!$C$5:$CV$1474,44,0)</f>
        <v>1</v>
      </c>
      <c r="BB60" s="2241"/>
      <c r="BC60" s="2242"/>
      <c r="BD60" s="2129">
        <v>43959</v>
      </c>
      <c r="BE60" s="2088"/>
      <c r="BF60" s="2130"/>
      <c r="BG60" s="2093"/>
      <c r="BH60" s="2094"/>
      <c r="BI60" s="2094"/>
      <c r="BJ60" s="2094"/>
      <c r="BK60" s="2095"/>
      <c r="BL60" s="2099"/>
      <c r="BM60" s="2100"/>
      <c r="BN60" s="2100"/>
      <c r="BO60" s="2101"/>
      <c r="BP60" s="2099"/>
      <c r="BQ60" s="2100"/>
      <c r="BR60" s="2100"/>
      <c r="BS60" s="2102"/>
      <c r="BT60" s="2384">
        <f>ROUND(VLOOKUP(I60,実績!$C$5:$CV$1474,59,0),1)</f>
        <v>1.5</v>
      </c>
      <c r="BU60" s="2414" t="str">
        <f>VLOOKUP(I60,実績!$C$5:$CV$1474,67,0)</f>
        <v>倉庫・畑</v>
      </c>
      <c r="BV60" s="2396" t="str">
        <f>VLOOKUP(I60,実績!$C$5:$CV$1474,68,0)</f>
        <v>-</v>
      </c>
      <c r="BW60" s="2381" t="str">
        <f>VLOOKUP(I60,実績!$C$5:$CV$1474,69,0)</f>
        <v>○</v>
      </c>
      <c r="BX60" s="2093" t="str">
        <f>VLOOKUP(I60,実績!$C$5:$CV$1474,75,0)</f>
        <v>敷地内への増築工事。敷地内全面改良。</v>
      </c>
      <c r="BY60" s="2094"/>
      <c r="BZ60" s="2094"/>
      <c r="CA60" s="2094"/>
      <c r="CB60" s="2180"/>
      <c r="CD60" s="1968">
        <f>F60</f>
        <v>190103</v>
      </c>
      <c r="CE60" s="1968" t="str">
        <f>I60</f>
        <v>JA全農岐阜青果物貯蔵施設</v>
      </c>
      <c r="CF60" s="96">
        <f>BD60</f>
        <v>43959</v>
      </c>
      <c r="CG60" s="96">
        <f>BF60</f>
        <v>0</v>
      </c>
      <c r="CH60" s="44"/>
      <c r="CI60" s="103"/>
      <c r="CJ60" s="103"/>
      <c r="CK60" s="103"/>
      <c r="CL60" s="103"/>
      <c r="CM60" s="103"/>
      <c r="CZ60" s="44"/>
      <c r="DA60" s="103"/>
      <c r="DB60" s="103"/>
      <c r="DC60" s="103"/>
      <c r="DD60" s="103"/>
      <c r="DE60" s="103"/>
      <c r="DF60" s="103"/>
    </row>
    <row r="61" spans="2:110" ht="30" customHeight="1" thickTop="1" thickBot="1">
      <c r="B61" s="2537"/>
      <c r="C61" s="2537"/>
      <c r="D61" s="2313"/>
      <c r="E61" s="2133"/>
      <c r="F61" s="2221" t="str">
        <f>"("&amp;SUBSTITUTE(VLOOKUP(F60,実績!$B$5:$CV$1474,17,0)," 一級建築士事務所","")&amp;","&amp;SUBSTITUTE(VLOOKUP(F60,実績!$B$5:$CV$1474,22,0),"株式会社","")&amp;")"</f>
        <v>(全農岐阜,S_プランズ)</v>
      </c>
      <c r="G61" s="2222"/>
      <c r="H61" s="2222"/>
      <c r="I61" s="2222"/>
      <c r="J61" s="2222"/>
      <c r="K61" s="2222"/>
      <c r="L61" s="2222"/>
      <c r="M61" s="2222"/>
      <c r="N61" s="2222"/>
      <c r="O61" s="2222"/>
      <c r="P61" s="2222"/>
      <c r="Q61" s="2222"/>
      <c r="R61" s="2222"/>
      <c r="S61" s="2222"/>
      <c r="T61" s="2223"/>
      <c r="U61" s="2154"/>
      <c r="V61" s="2155"/>
      <c r="W61" s="2285"/>
      <c r="X61" s="2291"/>
      <c r="Y61" s="2154" t="str">
        <f>VLOOKUP(I60,実績!$C$5:$CV$1474,5,0)</f>
        <v>海津市</v>
      </c>
      <c r="Z61" s="2286"/>
      <c r="AA61" s="2155"/>
      <c r="AB61" s="2285"/>
      <c r="AC61" s="2286"/>
      <c r="AD61" s="2155"/>
      <c r="AE61" s="2292"/>
      <c r="AF61" s="2293"/>
      <c r="AG61" s="2294"/>
      <c r="AH61" s="2154"/>
      <c r="AI61" s="2155"/>
      <c r="AJ61" s="2267"/>
      <c r="AK61" s="2268"/>
      <c r="AL61" s="2269"/>
      <c r="AM61" s="2331">
        <f>VLOOKUP(I60,実績!$C$5:$CV$1474,62,0)</f>
        <v>9.1</v>
      </c>
      <c r="AN61" s="2332"/>
      <c r="AO61" s="2332"/>
      <c r="AP61" s="2333"/>
      <c r="AQ61" s="2158"/>
      <c r="AR61" s="2159"/>
      <c r="AS61" s="2114"/>
      <c r="AT61" s="2159"/>
      <c r="AU61" s="2114"/>
      <c r="AV61" s="2159"/>
      <c r="AW61" s="2114"/>
      <c r="AX61" s="2159"/>
      <c r="AY61" s="2114"/>
      <c r="AZ61" s="2115"/>
      <c r="BA61" s="2240">
        <f>VLOOKUP(I60,実績!$C$5:$CV$1474,46,0)</f>
        <v>1.5</v>
      </c>
      <c r="BB61" s="2241"/>
      <c r="BC61" s="2242"/>
      <c r="BD61" s="2249"/>
      <c r="BE61" s="2250"/>
      <c r="BF61" s="2245"/>
      <c r="BG61" s="2181"/>
      <c r="BH61" s="2182"/>
      <c r="BI61" s="2182"/>
      <c r="BJ61" s="2182"/>
      <c r="BK61" s="2206"/>
      <c r="BL61" s="2287"/>
      <c r="BM61" s="2288"/>
      <c r="BN61" s="2288"/>
      <c r="BO61" s="2402"/>
      <c r="BP61" s="2287"/>
      <c r="BQ61" s="2288"/>
      <c r="BR61" s="2288"/>
      <c r="BS61" s="2404"/>
      <c r="BT61" s="2405"/>
      <c r="BU61" s="2416"/>
      <c r="BV61" s="2397"/>
      <c r="BW61" s="2407"/>
      <c r="BX61" s="2181"/>
      <c r="BY61" s="2182"/>
      <c r="BZ61" s="2182"/>
      <c r="CA61" s="2182"/>
      <c r="CB61" s="2183"/>
      <c r="CH61" s="44"/>
      <c r="CI61" s="103"/>
      <c r="CJ61" s="103"/>
      <c r="CK61" s="103"/>
      <c r="CL61" s="103"/>
      <c r="CM61" s="103"/>
      <c r="CZ61" s="44"/>
      <c r="DA61" s="103"/>
      <c r="DB61" s="103"/>
      <c r="DC61" s="103"/>
      <c r="DD61" s="103"/>
      <c r="DE61" s="103"/>
      <c r="DF61" s="103"/>
    </row>
    <row r="62" spans="2:110" ht="30" customHeight="1" thickTop="1" thickBot="1">
      <c r="B62" s="2537"/>
      <c r="C62" s="2537"/>
      <c r="D62" s="2295" t="s">
        <v>4846</v>
      </c>
      <c r="E62" s="2239"/>
      <c r="F62" s="2283">
        <f>実績!B1380</f>
        <v>190126</v>
      </c>
      <c r="G62" s="2284"/>
      <c r="H62" s="2284"/>
      <c r="I62" s="2371" t="str">
        <f>VLOOKUP(F62,実績!$B$5:$CV$1474,2,0)</f>
        <v>医療法人 光愛会 渡辺眼科クリニック</v>
      </c>
      <c r="J62" s="2371"/>
      <c r="K62" s="2371"/>
      <c r="L62" s="2371"/>
      <c r="M62" s="2371"/>
      <c r="N62" s="2371"/>
      <c r="O62" s="2371"/>
      <c r="P62" s="2371"/>
      <c r="Q62" s="2371"/>
      <c r="R62" s="2371"/>
      <c r="S62" s="2371"/>
      <c r="T62" s="2372"/>
      <c r="U62" s="2164" t="str">
        <f>VLOOKUP(I62,実績!$C$5:$CV$1474,3,0)</f>
        <v>植松</v>
      </c>
      <c r="V62" s="2165"/>
      <c r="W62" s="2167" t="str">
        <f>VLOOKUP(I62,実績!$C$5:$CV$1474,2,0)</f>
        <v>村上
ﾏｲｱｲﾝ</v>
      </c>
      <c r="X62" s="2281"/>
      <c r="Y62" s="2164" t="str">
        <f>VLOOKUP(I62,実績!$C$5:$CV$1474,4,FALSE)</f>
        <v>鹿児島県</v>
      </c>
      <c r="Z62" s="2166"/>
      <c r="AA62" s="2165"/>
      <c r="AB62" s="2167" t="str">
        <f>VLOOKUP(I62,実績!$C$5:$CV$1474,9,0)</f>
        <v>眼科</v>
      </c>
      <c r="AC62" s="2166"/>
      <c r="AD62" s="2165"/>
      <c r="AE62" s="2272">
        <f>ROUND(VLOOKUP(I62,実績!$C$5:$CV$1474,42,0),-1)</f>
        <v>450</v>
      </c>
      <c r="AF62" s="2273"/>
      <c r="AG62" s="2274"/>
      <c r="AH62" s="2164" t="str">
        <f>VLOOKUP(I62,実績!$C$5:$CV$1474,50,0)</f>
        <v>無</v>
      </c>
      <c r="AI62" s="2165"/>
      <c r="AJ62" s="2264" t="str">
        <f>VLOOKUP(I62,実績!$C$5:$CV$1474,60,0)</f>
        <v>-</v>
      </c>
      <c r="AK62" s="2265"/>
      <c r="AL62" s="2266"/>
      <c r="AM62" s="2224" t="str">
        <f>VLOOKUP(I62,実績!$C$5:$CV$1474,61,0)</f>
        <v>-</v>
      </c>
      <c r="AN62" s="2225"/>
      <c r="AO62" s="2225"/>
      <c r="AP62" s="2226"/>
      <c r="AQ62" s="2132" t="str">
        <f>VLOOKUP(I62,実績!$C$5:$CV$1474,37,0)</f>
        <v>-</v>
      </c>
      <c r="AR62" s="2133"/>
      <c r="AS62" s="2125" t="str">
        <f>VLOOKUP(I62,実績!$C$5:$CV$1474,38,0)</f>
        <v>-</v>
      </c>
      <c r="AT62" s="2133"/>
      <c r="AU62" s="2125" t="str">
        <f>VLOOKUP(I62,実績!$C$5:$CV$1474,39,0)</f>
        <v>-</v>
      </c>
      <c r="AV62" s="2133"/>
      <c r="AW62" s="2125" t="str">
        <f>VLOOKUP(I62,実績!$C$5:$CV$1474,40,0)</f>
        <v>○</v>
      </c>
      <c r="AX62" s="2133"/>
      <c r="AY62" s="2125" t="str">
        <f>VLOOKUP(I62,実績!$C$5:$CV$1474,41,0)</f>
        <v>独立</v>
      </c>
      <c r="AZ62" s="2126"/>
      <c r="BA62" s="2240">
        <f>VLOOKUP(I62,実績!$C$5:$CV$1474,44,0)</f>
        <v>0.8</v>
      </c>
      <c r="BB62" s="2241"/>
      <c r="BC62" s="2242"/>
      <c r="BD62" s="2129">
        <v>44014</v>
      </c>
      <c r="BE62" s="2088"/>
      <c r="BF62" s="2130"/>
      <c r="BG62" s="2093"/>
      <c r="BH62" s="2094"/>
      <c r="BI62" s="2094"/>
      <c r="BJ62" s="2094"/>
      <c r="BK62" s="2095"/>
      <c r="BL62" s="2099"/>
      <c r="BM62" s="2100"/>
      <c r="BN62" s="2100"/>
      <c r="BO62" s="2101"/>
      <c r="BP62" s="2099"/>
      <c r="BQ62" s="2100"/>
      <c r="BR62" s="2100"/>
      <c r="BS62" s="2102"/>
      <c r="BT62" s="2384">
        <f>ROUND(VLOOKUP(I62,実績!$C$5:$CV$1474,59,0),1)</f>
        <v>2.4</v>
      </c>
      <c r="BU62" s="2414" t="str">
        <f>VLOOKUP(I62,実績!$C$5:$CV$1474,67,0)</f>
        <v>住宅</v>
      </c>
      <c r="BV62" s="2396" t="str">
        <f>VLOOKUP(I62,実績!$C$5:$CV$1474,68,0)</f>
        <v>-</v>
      </c>
      <c r="BW62" s="2381" t="str">
        <f>VLOOKUP(I62,実績!$C$5:$CV$1474,69,0)</f>
        <v>○</v>
      </c>
      <c r="BX62" s="2093" t="str">
        <f>VLOOKUP(I62,実績!$C$5:$CV$1474,75,0)</f>
        <v>狭小地。</v>
      </c>
      <c r="BY62" s="2094"/>
      <c r="BZ62" s="2094"/>
      <c r="CA62" s="2094"/>
      <c r="CB62" s="2180"/>
      <c r="CD62" s="1968">
        <f>F62</f>
        <v>190126</v>
      </c>
      <c r="CE62" s="1968" t="str">
        <f>I62</f>
        <v>医療法人 光愛会 渡辺眼科クリニック</v>
      </c>
      <c r="CF62" s="96">
        <f>BD62</f>
        <v>44014</v>
      </c>
      <c r="CG62" s="96">
        <f>BF62</f>
        <v>0</v>
      </c>
      <c r="CH62" s="14"/>
      <c r="CI62" s="14"/>
      <c r="CJ62" s="104"/>
      <c r="CK62" s="18"/>
      <c r="CL62" s="18"/>
      <c r="CM62" s="103"/>
      <c r="CN62" s="103"/>
      <c r="CO62" s="103"/>
      <c r="CP62" s="103"/>
      <c r="CZ62" s="44"/>
      <c r="DA62" s="103"/>
      <c r="DB62" s="103"/>
      <c r="DC62" s="103"/>
      <c r="DD62" s="103"/>
      <c r="DE62" s="103"/>
      <c r="DF62" s="103"/>
    </row>
    <row r="63" spans="2:110" ht="30" customHeight="1" thickTop="1" thickBot="1">
      <c r="B63" s="2537"/>
      <c r="C63" s="2537"/>
      <c r="D63" s="2313"/>
      <c r="E63" s="2133"/>
      <c r="F63" s="2221" t="str">
        <f>"("&amp;SUBSTITUTE(VLOOKUP(I62,実績!$C$5:$CV$1474,16,0),"株式会社 ","")&amp;","&amp;SUBSTITUTE(VLOOKUP(I62,実績!$C$5:$CV$1474,21,0),"株式会社 ","")&amp;")"</f>
        <v>(松山建築設計室,慧建築事務所)</v>
      </c>
      <c r="G63" s="2222"/>
      <c r="H63" s="2222"/>
      <c r="I63" s="2222"/>
      <c r="J63" s="2222"/>
      <c r="K63" s="2222"/>
      <c r="L63" s="2222"/>
      <c r="M63" s="2222"/>
      <c r="N63" s="2222"/>
      <c r="O63" s="2222"/>
      <c r="P63" s="2222"/>
      <c r="Q63" s="2222"/>
      <c r="R63" s="2222"/>
      <c r="S63" s="2222"/>
      <c r="T63" s="2223"/>
      <c r="U63" s="2154"/>
      <c r="V63" s="2155"/>
      <c r="W63" s="2285"/>
      <c r="X63" s="2291"/>
      <c r="Y63" s="2154" t="str">
        <f>VLOOKUP(I62,実績!$C$5:$CV$1474,5,0)</f>
        <v>霧島市</v>
      </c>
      <c r="Z63" s="2286"/>
      <c r="AA63" s="2155"/>
      <c r="AB63" s="2285"/>
      <c r="AC63" s="2286"/>
      <c r="AD63" s="2155"/>
      <c r="AE63" s="2292"/>
      <c r="AF63" s="2293"/>
      <c r="AG63" s="2294"/>
      <c r="AH63" s="2154"/>
      <c r="AI63" s="2155"/>
      <c r="AJ63" s="2267"/>
      <c r="AK63" s="2268"/>
      <c r="AL63" s="2269"/>
      <c r="AM63" s="2348" t="str">
        <f>VLOOKUP(I62,実績!$C$5:$CV$1474,62,0)</f>
        <v>-</v>
      </c>
      <c r="AN63" s="2349"/>
      <c r="AO63" s="2349"/>
      <c r="AP63" s="2350"/>
      <c r="AQ63" s="2158"/>
      <c r="AR63" s="2159"/>
      <c r="AS63" s="2114"/>
      <c r="AT63" s="2159"/>
      <c r="AU63" s="2114"/>
      <c r="AV63" s="2159"/>
      <c r="AW63" s="2114"/>
      <c r="AX63" s="2159"/>
      <c r="AY63" s="2114"/>
      <c r="AZ63" s="2115"/>
      <c r="BA63" s="2240">
        <f>VLOOKUP(I62,実績!$C$5:$CV$1474,46,0)</f>
        <v>1.5</v>
      </c>
      <c r="BB63" s="2241"/>
      <c r="BC63" s="2242"/>
      <c r="BD63" s="2249"/>
      <c r="BE63" s="2250"/>
      <c r="BF63" s="2245"/>
      <c r="BG63" s="2096"/>
      <c r="BH63" s="2097"/>
      <c r="BI63" s="2097"/>
      <c r="BJ63" s="2097"/>
      <c r="BK63" s="2098"/>
      <c r="BL63" s="2099"/>
      <c r="BM63" s="2100"/>
      <c r="BN63" s="2100"/>
      <c r="BO63" s="2101"/>
      <c r="BP63" s="2099"/>
      <c r="BQ63" s="2100"/>
      <c r="BR63" s="2100"/>
      <c r="BS63" s="2102"/>
      <c r="BT63" s="2399"/>
      <c r="BU63" s="2415"/>
      <c r="BV63" s="2500"/>
      <c r="BW63" s="2382"/>
      <c r="BX63" s="2096"/>
      <c r="BY63" s="2097"/>
      <c r="BZ63" s="2097"/>
      <c r="CA63" s="2097"/>
      <c r="CB63" s="2189"/>
      <c r="CH63" s="14"/>
      <c r="CI63" s="14"/>
      <c r="CJ63" s="104"/>
      <c r="CK63" s="18"/>
      <c r="CL63" s="18"/>
      <c r="CM63" s="103"/>
      <c r="CN63" s="103"/>
      <c r="CO63" s="103"/>
      <c r="CP63" s="103"/>
      <c r="CZ63" s="44"/>
      <c r="DA63" s="103"/>
      <c r="DB63" s="103"/>
      <c r="DC63" s="103"/>
      <c r="DD63" s="103"/>
      <c r="DE63" s="103"/>
      <c r="DF63" s="103"/>
    </row>
    <row r="64" spans="2:110" ht="30" customHeight="1" thickTop="1" thickBot="1">
      <c r="B64" s="2537"/>
      <c r="C64" s="2537"/>
      <c r="D64" s="2295" t="s">
        <v>4846</v>
      </c>
      <c r="E64" s="2239"/>
      <c r="F64" s="2283">
        <f>実績!B1428</f>
        <v>200031</v>
      </c>
      <c r="G64" s="2284"/>
      <c r="H64" s="2284"/>
      <c r="I64" s="2365" t="str">
        <f>VLOOKUP(F64,実績!$B$5:$CV$1474,2,0)</f>
        <v>杉松産業株式会社様工場</v>
      </c>
      <c r="J64" s="2365"/>
      <c r="K64" s="2365"/>
      <c r="L64" s="2365"/>
      <c r="M64" s="2365"/>
      <c r="N64" s="2365"/>
      <c r="O64" s="2365"/>
      <c r="P64" s="2365"/>
      <c r="Q64" s="2365"/>
      <c r="R64" s="2365"/>
      <c r="S64" s="2365"/>
      <c r="T64" s="2366"/>
      <c r="U64" s="2164" t="str">
        <f>VLOOKUP(I64,実績!$C$5:$CV$1474,3,0)</f>
        <v>大田</v>
      </c>
      <c r="V64" s="2165"/>
      <c r="W64" s="2167" t="str">
        <f>VLOOKUP(I64,実績!$C$5:$CV$1474,2,0)</f>
        <v>ユイ
ラン</v>
      </c>
      <c r="X64" s="2281"/>
      <c r="Y64" s="2164" t="str">
        <f>VLOOKUP(I64,実績!$C$5:$CV$1474,4,FALSE)</f>
        <v>愛知県</v>
      </c>
      <c r="Z64" s="2166"/>
      <c r="AA64" s="2165"/>
      <c r="AB64" s="2167" t="str">
        <f>VLOOKUP(I64,実績!$C$5:$CV$1474,9,0)</f>
        <v>工場</v>
      </c>
      <c r="AC64" s="2166"/>
      <c r="AD64" s="2165"/>
      <c r="AE64" s="2272">
        <f>ROUND(VLOOKUP(I64,実績!$C$5:$CV$1474,42,0),-1)</f>
        <v>620</v>
      </c>
      <c r="AF64" s="2273"/>
      <c r="AG64" s="2274"/>
      <c r="AH64" s="2164" t="str">
        <f>VLOOKUP(I64,実績!$C$5:$CV$1474,50,0)</f>
        <v>無</v>
      </c>
      <c r="AI64" s="2165"/>
      <c r="AJ64" s="2264" t="str">
        <f>VLOOKUP(I64,実績!$C$5:$CV$1474,60,0)</f>
        <v>-</v>
      </c>
      <c r="AK64" s="2265"/>
      <c r="AL64" s="2266"/>
      <c r="AM64" s="2224" t="str">
        <f>VLOOKUP(I64,実績!$C$5:$CV$1474,61,0)</f>
        <v>-</v>
      </c>
      <c r="AN64" s="2225"/>
      <c r="AO64" s="2225"/>
      <c r="AP64" s="2226"/>
      <c r="AQ64" s="2132" t="str">
        <f>VLOOKUP(I64,実績!$C$5:$CV$1474,37,0)</f>
        <v>-</v>
      </c>
      <c r="AR64" s="2133"/>
      <c r="AS64" s="2125" t="str">
        <f>VLOOKUP(I64,実績!$C$5:$CV$1474,38,0)</f>
        <v>-</v>
      </c>
      <c r="AT64" s="2133"/>
      <c r="AU64" s="2125" t="str">
        <f>VLOOKUP(I64,実績!$C$5:$CV$1474,39,0)</f>
        <v>-</v>
      </c>
      <c r="AV64" s="2133"/>
      <c r="AW64" s="2125" t="str">
        <f>VLOOKUP(I64,実績!$C$5:$CV$1474,40,0)</f>
        <v>-</v>
      </c>
      <c r="AX64" s="2133"/>
      <c r="AY64" s="2125" t="str">
        <f>VLOOKUP(I64,実績!$C$5:$CV$1474,41,0)</f>
        <v>独立</v>
      </c>
      <c r="AZ64" s="2126"/>
      <c r="BA64" s="2240">
        <f>VLOOKUP(I64,実績!$C$5:$CV$1474,44,0)</f>
        <v>1</v>
      </c>
      <c r="BB64" s="2241"/>
      <c r="BC64" s="2242"/>
      <c r="BD64" s="2129">
        <v>44084</v>
      </c>
      <c r="BE64" s="2088"/>
      <c r="BF64" s="2130"/>
      <c r="BG64" s="2093"/>
      <c r="BH64" s="2094"/>
      <c r="BI64" s="2094"/>
      <c r="BJ64" s="2094"/>
      <c r="BK64" s="2095"/>
      <c r="BL64" s="2099"/>
      <c r="BM64" s="2100"/>
      <c r="BN64" s="2100"/>
      <c r="BO64" s="2101"/>
      <c r="BP64" s="2099"/>
      <c r="BQ64" s="2100"/>
      <c r="BR64" s="2100"/>
      <c r="BS64" s="2102"/>
      <c r="BT64" s="2103">
        <f>ROUND(VLOOKUP(I64,実績!$C$5:$CV$1474,59,0),1)</f>
        <v>3.1</v>
      </c>
      <c r="BU64" s="2105" t="str">
        <f>VLOOKUP(I64,実績!$C$5:$CV$1474,67,0)</f>
        <v>住宅</v>
      </c>
      <c r="BV64" s="2136" t="str">
        <f>VLOOKUP(I64,実績!$C$5:$CV$1474,68,0)</f>
        <v>○
0.5m</v>
      </c>
      <c r="BW64" s="2138" t="str">
        <f>VLOOKUP(I64,実績!$C$5:$CV$1474,69,0)</f>
        <v>-</v>
      </c>
      <c r="BX64" s="2093">
        <f>VLOOKUP(I64,実績!$C$5:$CV$1474,75,0)</f>
        <v>0</v>
      </c>
      <c r="BY64" s="2094"/>
      <c r="BZ64" s="2094"/>
      <c r="CA64" s="2094"/>
      <c r="CB64" s="2180"/>
      <c r="CD64" s="1968">
        <f>F64</f>
        <v>200031</v>
      </c>
      <c r="CE64" s="1968" t="str">
        <f>I64</f>
        <v>杉松産業株式会社様工場</v>
      </c>
      <c r="CF64" s="96">
        <f>BD64</f>
        <v>44084</v>
      </c>
      <c r="CG64" s="96">
        <f>BF64</f>
        <v>0</v>
      </c>
      <c r="CH64" s="14"/>
      <c r="CI64" s="14"/>
      <c r="CJ64" s="104"/>
      <c r="CK64" s="18"/>
      <c r="CL64" s="18"/>
      <c r="CM64" s="103"/>
      <c r="CN64" s="103"/>
      <c r="CO64" s="103"/>
      <c r="CP64" s="103"/>
      <c r="CZ64" s="44"/>
      <c r="DA64" s="103"/>
      <c r="DB64" s="103"/>
      <c r="DC64" s="103"/>
      <c r="DD64" s="103"/>
      <c r="DE64" s="103"/>
      <c r="DF64" s="103"/>
    </row>
    <row r="65" spans="1:111" ht="30" customHeight="1" thickTop="1" thickBot="1">
      <c r="B65" s="2537"/>
      <c r="C65" s="2537"/>
      <c r="D65" s="2313"/>
      <c r="E65" s="2133"/>
      <c r="F65" s="2221" t="str">
        <f>"("&amp;SUBSTITUTE(VLOOKUP(F64,実績!$B$5:$CV$1474,17,0)," 株式会社","")&amp;","&amp;SUBSTITUTE(VLOOKUP(F64,実績!$B$5:$CV$1474,22,0),"株式会社 ","")&amp;")"</f>
        <v>(東海インプル建設,横河システム建築)</v>
      </c>
      <c r="G65" s="2222"/>
      <c r="H65" s="2222"/>
      <c r="I65" s="2222"/>
      <c r="J65" s="2222"/>
      <c r="K65" s="2222"/>
      <c r="L65" s="2222"/>
      <c r="M65" s="2222"/>
      <c r="N65" s="2222"/>
      <c r="O65" s="2222"/>
      <c r="P65" s="2222"/>
      <c r="Q65" s="2222"/>
      <c r="R65" s="2222"/>
      <c r="S65" s="2222"/>
      <c r="T65" s="2223"/>
      <c r="U65" s="2154"/>
      <c r="V65" s="2155"/>
      <c r="W65" s="2285"/>
      <c r="X65" s="2291"/>
      <c r="Y65" s="2154" t="str">
        <f>VLOOKUP(I64,実績!$C$5:$CV$1474,5,0)</f>
        <v>安城市</v>
      </c>
      <c r="Z65" s="2286"/>
      <c r="AA65" s="2155"/>
      <c r="AB65" s="2285"/>
      <c r="AC65" s="2286"/>
      <c r="AD65" s="2155"/>
      <c r="AE65" s="2292"/>
      <c r="AF65" s="2293"/>
      <c r="AG65" s="2294"/>
      <c r="AH65" s="2154"/>
      <c r="AI65" s="2155"/>
      <c r="AJ65" s="2267"/>
      <c r="AK65" s="2268"/>
      <c r="AL65" s="2269"/>
      <c r="AM65" s="2348" t="str">
        <f>VLOOKUP(I64,実績!$C$5:$CV$1474,62,0)</f>
        <v>-</v>
      </c>
      <c r="AN65" s="2349"/>
      <c r="AO65" s="2349"/>
      <c r="AP65" s="2350"/>
      <c r="AQ65" s="2158"/>
      <c r="AR65" s="2159"/>
      <c r="AS65" s="2114"/>
      <c r="AT65" s="2159"/>
      <c r="AU65" s="2114"/>
      <c r="AV65" s="2159"/>
      <c r="AW65" s="2114"/>
      <c r="AX65" s="2159"/>
      <c r="AY65" s="2114"/>
      <c r="AZ65" s="2115"/>
      <c r="BA65" s="2257">
        <f>VLOOKUP(I64,実績!$C$5:$CV$1474,46,0)</f>
        <v>1.5</v>
      </c>
      <c r="BB65" s="2258"/>
      <c r="BC65" s="2259"/>
      <c r="BD65" s="2249"/>
      <c r="BE65" s="2250"/>
      <c r="BF65" s="2245"/>
      <c r="BG65" s="2181"/>
      <c r="BH65" s="2182"/>
      <c r="BI65" s="2182"/>
      <c r="BJ65" s="2182"/>
      <c r="BK65" s="2206"/>
      <c r="BL65" s="2287"/>
      <c r="BM65" s="2288"/>
      <c r="BN65" s="2288"/>
      <c r="BO65" s="2402"/>
      <c r="BP65" s="2287"/>
      <c r="BQ65" s="2288"/>
      <c r="BR65" s="2288"/>
      <c r="BS65" s="2404"/>
      <c r="BT65" s="2210"/>
      <c r="BU65" s="2403"/>
      <c r="BV65" s="2137"/>
      <c r="BW65" s="2383"/>
      <c r="BX65" s="2181"/>
      <c r="BY65" s="2182"/>
      <c r="BZ65" s="2182"/>
      <c r="CA65" s="2182"/>
      <c r="CB65" s="2183"/>
      <c r="CH65" s="14"/>
      <c r="CI65" s="14"/>
      <c r="CJ65" s="104"/>
      <c r="CK65" s="18"/>
      <c r="CL65" s="18"/>
      <c r="CM65" s="103"/>
      <c r="CN65" s="103"/>
      <c r="CO65" s="103"/>
      <c r="CP65" s="103"/>
      <c r="CZ65" s="44"/>
      <c r="DA65" s="103"/>
      <c r="DB65" s="103"/>
      <c r="DC65" s="103"/>
      <c r="DD65" s="103"/>
      <c r="DE65" s="103"/>
      <c r="DF65" s="103"/>
    </row>
    <row r="66" spans="1:111" ht="30" customHeight="1" thickTop="1" thickBot="1">
      <c r="B66" s="2537"/>
      <c r="C66" s="2537"/>
      <c r="D66" s="2132" t="s">
        <v>4852</v>
      </c>
      <c r="E66" s="2133"/>
      <c r="F66" s="2283">
        <f>実績!B1439</f>
        <v>200042</v>
      </c>
      <c r="G66" s="2284"/>
      <c r="H66" s="2284"/>
      <c r="I66" s="2365" t="str">
        <f>VLOOKUP(F66,実績!$B$5:$CV$1474,2,0)</f>
        <v>Ｖdrug清水岡</v>
      </c>
      <c r="J66" s="2365"/>
      <c r="K66" s="2365"/>
      <c r="L66" s="2365"/>
      <c r="M66" s="2365"/>
      <c r="N66" s="2365"/>
      <c r="O66" s="2365"/>
      <c r="P66" s="2365"/>
      <c r="Q66" s="2365"/>
      <c r="R66" s="2365"/>
      <c r="S66" s="2365"/>
      <c r="T66" s="2366"/>
      <c r="U66" s="2164" t="str">
        <f>VLOOKUP(I66,実績!$C$5:$CV$1474,3,0)</f>
        <v>沖本</v>
      </c>
      <c r="V66" s="2165"/>
      <c r="W66" s="2167" t="str">
        <f>VLOOKUP(I66,実績!$C$5:$CV$1474,2,0)</f>
        <v>村上
(外注)</v>
      </c>
      <c r="X66" s="2281"/>
      <c r="Y66" s="2164" t="str">
        <f>VLOOKUP(I66,実績!$C$5:$CV$1474,4,FALSE)</f>
        <v>静岡県</v>
      </c>
      <c r="Z66" s="2166"/>
      <c r="AA66" s="2165"/>
      <c r="AB66" s="2167" t="str">
        <f>VLOOKUP(I66,実績!$C$5:$CV$1474,9,0)</f>
        <v>店舗</v>
      </c>
      <c r="AC66" s="2166"/>
      <c r="AD66" s="2165"/>
      <c r="AE66" s="2272">
        <f>ROUND(VLOOKUP(I66,実績!$C$5:$CV$1474,42,0),-1)</f>
        <v>1240</v>
      </c>
      <c r="AF66" s="2273"/>
      <c r="AG66" s="2274"/>
      <c r="AH66" s="2164" t="str">
        <f>VLOOKUP(I66,実績!$C$5:$CV$1474,50,0)</f>
        <v>無</v>
      </c>
      <c r="AI66" s="2165"/>
      <c r="AJ66" s="2264" t="str">
        <f>VLOOKUP(I66,実績!$C$5:$CV$1474,60,0)</f>
        <v>圧密層N＞10</v>
      </c>
      <c r="AK66" s="2265"/>
      <c r="AL66" s="2266"/>
      <c r="AM66" s="2224" t="str">
        <f>VLOOKUP(I66,実績!$C$5:$CV$1474,61,0)</f>
        <v>-</v>
      </c>
      <c r="AN66" s="2225"/>
      <c r="AO66" s="2225"/>
      <c r="AP66" s="2226"/>
      <c r="AQ66" s="2132" t="str">
        <f>VLOOKUP(I66,実績!$C$5:$CV$1474,37,0)</f>
        <v>-</v>
      </c>
      <c r="AR66" s="2133"/>
      <c r="AS66" s="2125" t="str">
        <f>VLOOKUP(I66,実績!$C$5:$CV$1474,38,0)</f>
        <v>-</v>
      </c>
      <c r="AT66" s="2133"/>
      <c r="AU66" s="2125" t="str">
        <f>VLOOKUP(I66,実績!$C$5:$CV$1474,39,0)</f>
        <v>-</v>
      </c>
      <c r="AV66" s="2133"/>
      <c r="AW66" s="2125" t="str">
        <f>VLOOKUP(I66,実績!$C$5:$CV$1474,40,0)</f>
        <v>○</v>
      </c>
      <c r="AX66" s="2133"/>
      <c r="AY66" s="2125" t="str">
        <f>VLOOKUP(I66,実績!$C$5:$CV$1474,41,0)</f>
        <v>独立</v>
      </c>
      <c r="AZ66" s="2126"/>
      <c r="BA66" s="2240">
        <f>VLOOKUP(I66,実績!$C$5:$CV$1474,44,0)</f>
        <v>0.8</v>
      </c>
      <c r="BB66" s="2241"/>
      <c r="BC66" s="2242"/>
      <c r="BD66" s="2421">
        <v>44132</v>
      </c>
      <c r="BE66" s="2422"/>
      <c r="BF66" s="2194" t="s">
        <v>17950</v>
      </c>
      <c r="BG66" s="2093" t="s">
        <v>17951</v>
      </c>
      <c r="BH66" s="2094"/>
      <c r="BI66" s="2094"/>
      <c r="BJ66" s="2094"/>
      <c r="BK66" s="2095"/>
      <c r="BL66" s="2099"/>
      <c r="BM66" s="2100"/>
      <c r="BN66" s="2100"/>
      <c r="BO66" s="2101"/>
      <c r="BP66" s="2099"/>
      <c r="BQ66" s="2100"/>
      <c r="BR66" s="2100"/>
      <c r="BS66" s="2102"/>
      <c r="BT66" s="2103">
        <f>ROUND(VLOOKUP(I66,実績!$C$5:$CV$1474,59,0),1)</f>
        <v>0.9</v>
      </c>
      <c r="BU66" s="2105" t="str">
        <f>VLOOKUP(I66,実績!$C$5:$CV$1474,67,0)</f>
        <v>住宅</v>
      </c>
      <c r="BV66" s="2136" t="str">
        <f>VLOOKUP(I66,実績!$C$5:$CV$1474,68,0)</f>
        <v>-</v>
      </c>
      <c r="BW66" s="2138">
        <f>VLOOKUP(I66,実績!$C$5:$CV$1474,69,0)</f>
        <v>0</v>
      </c>
      <c r="BX66" s="2093" t="str">
        <f>VLOOKUP(I66,実績!$C$5:$CV$1474,75,0)</f>
        <v>敷地内高低差あり。腰壁に土圧作用。</v>
      </c>
      <c r="BY66" s="2094"/>
      <c r="BZ66" s="2094"/>
      <c r="CA66" s="2094"/>
      <c r="CB66" s="2180"/>
      <c r="CD66" s="1968">
        <f>F66</f>
        <v>200042</v>
      </c>
      <c r="CE66" s="1968" t="str">
        <f>I66</f>
        <v>Ｖdrug清水岡</v>
      </c>
      <c r="CF66" s="96">
        <f>BD66</f>
        <v>44132</v>
      </c>
      <c r="CG66" s="96" t="str">
        <f>BF66</f>
        <v>12月上旬～中旬</v>
      </c>
      <c r="CH66" s="14"/>
      <c r="CI66" s="14"/>
      <c r="CJ66" s="104"/>
      <c r="CK66" s="18"/>
      <c r="CL66" s="18"/>
      <c r="CM66" s="103"/>
      <c r="CN66" s="103"/>
      <c r="CO66" s="103"/>
      <c r="CP66" s="103"/>
      <c r="CZ66" s="44"/>
      <c r="DA66" s="103"/>
      <c r="DB66" s="103"/>
      <c r="DC66" s="103"/>
      <c r="DD66" s="103"/>
      <c r="DE66" s="103"/>
      <c r="DF66" s="103"/>
    </row>
    <row r="67" spans="1:111" ht="30" customHeight="1" thickTop="1" thickBot="1">
      <c r="B67" s="2537"/>
      <c r="C67" s="2537"/>
      <c r="D67" s="2296"/>
      <c r="E67" s="2297"/>
      <c r="F67" s="2191" t="str">
        <f>"("&amp;SUBSTITUTE(VLOOKUP(F66,実績!$B$5:$CV$1474,17,0)," 一級建築士事務所","")&amp;","&amp;SUBSTITUTE(VLOOKUP(F66,実績!$B$5:$CV$1474,22,0),"株式会社 ","")&amp;")"</f>
        <v>(バローマックス,ﾃｨｰｱﾝﾄﾞﾋﾟｨｰ設計事務所)</v>
      </c>
      <c r="G67" s="2192"/>
      <c r="H67" s="2192"/>
      <c r="I67" s="2192"/>
      <c r="J67" s="2192"/>
      <c r="K67" s="2192"/>
      <c r="L67" s="2192"/>
      <c r="M67" s="2192"/>
      <c r="N67" s="2192"/>
      <c r="O67" s="2192"/>
      <c r="P67" s="2192"/>
      <c r="Q67" s="2192"/>
      <c r="R67" s="2192"/>
      <c r="S67" s="2192"/>
      <c r="T67" s="2193"/>
      <c r="U67" s="2270"/>
      <c r="V67" s="2271"/>
      <c r="W67" s="2369"/>
      <c r="X67" s="2370"/>
      <c r="Y67" s="2270" t="str">
        <f>VLOOKUP(I66,実績!$C$5:$CV$1474,5,0)</f>
        <v>清水市</v>
      </c>
      <c r="Z67" s="2334"/>
      <c r="AA67" s="2271"/>
      <c r="AB67" s="2369"/>
      <c r="AC67" s="2334"/>
      <c r="AD67" s="2271"/>
      <c r="AE67" s="2487"/>
      <c r="AF67" s="2488"/>
      <c r="AG67" s="2489"/>
      <c r="AH67" s="2270"/>
      <c r="AI67" s="2271"/>
      <c r="AJ67" s="2298"/>
      <c r="AK67" s="2299"/>
      <c r="AL67" s="2300"/>
      <c r="AM67" s="2335" t="str">
        <f>VLOOKUP(I66,実績!$C$5:$CV$1474,62,0)</f>
        <v>-</v>
      </c>
      <c r="AN67" s="2336"/>
      <c r="AO67" s="2336"/>
      <c r="AP67" s="2337"/>
      <c r="AQ67" s="2296"/>
      <c r="AR67" s="2297"/>
      <c r="AS67" s="2116"/>
      <c r="AT67" s="2297"/>
      <c r="AU67" s="2116"/>
      <c r="AV67" s="2297"/>
      <c r="AW67" s="2116"/>
      <c r="AX67" s="2297"/>
      <c r="AY67" s="2116"/>
      <c r="AZ67" s="2117"/>
      <c r="BA67" s="2508">
        <f>VLOOKUP(I66,実績!$C$5:$CV$1474,46,0)</f>
        <v>1.2</v>
      </c>
      <c r="BB67" s="2509"/>
      <c r="BC67" s="2510"/>
      <c r="BD67" s="2427"/>
      <c r="BE67" s="2428"/>
      <c r="BF67" s="2388"/>
      <c r="BG67" s="2207"/>
      <c r="BH67" s="2208"/>
      <c r="BI67" s="2208"/>
      <c r="BJ67" s="2208"/>
      <c r="BK67" s="2209"/>
      <c r="BL67" s="2218"/>
      <c r="BM67" s="2204"/>
      <c r="BN67" s="2204"/>
      <c r="BO67" s="2412"/>
      <c r="BP67" s="2218"/>
      <c r="BQ67" s="2204"/>
      <c r="BR67" s="2204"/>
      <c r="BS67" s="2205"/>
      <c r="BT67" s="2398"/>
      <c r="BU67" s="2413"/>
      <c r="BV67" s="2217"/>
      <c r="BW67" s="2391"/>
      <c r="BX67" s="2207"/>
      <c r="BY67" s="2208"/>
      <c r="BZ67" s="2208"/>
      <c r="CA67" s="2208"/>
      <c r="CB67" s="2213"/>
      <c r="CH67" s="14"/>
      <c r="CI67" s="14"/>
      <c r="CJ67" s="104"/>
      <c r="CK67" s="18"/>
      <c r="CL67" s="18"/>
      <c r="CM67" s="103"/>
      <c r="CN67" s="103"/>
      <c r="CO67" s="103"/>
      <c r="CP67" s="103"/>
      <c r="CZ67" s="44"/>
      <c r="DA67" s="103"/>
      <c r="DB67" s="103"/>
      <c r="DC67" s="103"/>
      <c r="DD67" s="103"/>
      <c r="DE67" s="103"/>
      <c r="DF67" s="103"/>
    </row>
    <row r="68" spans="1:111" ht="39.950000000000003" customHeight="1" thickTop="1">
      <c r="A68" s="87"/>
      <c r="B68" s="2469" t="s">
        <v>5454</v>
      </c>
      <c r="C68" s="2469"/>
      <c r="D68" s="2469"/>
      <c r="E68" s="2469"/>
      <c r="F68" s="2469"/>
      <c r="G68" s="2469"/>
      <c r="H68" s="2469"/>
      <c r="I68" s="2469"/>
      <c r="J68" s="2469"/>
      <c r="K68" s="2469"/>
      <c r="L68" s="2469"/>
      <c r="M68" s="2469"/>
      <c r="N68" s="2469"/>
      <c r="O68" s="2469"/>
      <c r="P68" s="2469"/>
      <c r="Q68" s="2469"/>
      <c r="R68" s="2469"/>
      <c r="S68" s="2469"/>
      <c r="T68" s="2469"/>
      <c r="U68" s="2469"/>
      <c r="V68" s="2469"/>
      <c r="W68" s="2469"/>
      <c r="X68" s="2469"/>
      <c r="Y68" s="2469"/>
      <c r="Z68" s="2469"/>
      <c r="AA68" s="2469"/>
      <c r="AB68" s="2469"/>
      <c r="AC68" s="2469"/>
      <c r="AD68" s="2469"/>
      <c r="AE68" s="2469"/>
      <c r="AF68" s="2469"/>
      <c r="AG68" s="2469"/>
      <c r="AH68" s="2469"/>
      <c r="AI68" s="2469"/>
      <c r="AJ68" s="2469"/>
      <c r="AK68" s="2469"/>
      <c r="AL68" s="2469"/>
      <c r="AM68" s="2469"/>
      <c r="AN68" s="2469"/>
      <c r="AO68" s="2469"/>
      <c r="AP68" s="2469"/>
      <c r="AQ68" s="2469"/>
      <c r="AR68" s="2469"/>
      <c r="AS68" s="2469"/>
      <c r="AT68" s="2469"/>
      <c r="AU68" s="2469"/>
      <c r="AV68" s="2469"/>
      <c r="AW68" s="2469"/>
      <c r="AX68" s="2469"/>
      <c r="AY68" s="2469"/>
      <c r="AZ68" s="2469"/>
      <c r="BA68" s="2469"/>
      <c r="BB68" s="2469"/>
      <c r="BC68" s="2469"/>
      <c r="BD68" s="2469"/>
      <c r="BE68" s="2469"/>
      <c r="BF68" s="2469"/>
      <c r="BG68" s="2469"/>
      <c r="BH68" s="2469"/>
      <c r="BI68" s="2469"/>
      <c r="BJ68" s="2469"/>
      <c r="BK68" s="2469"/>
      <c r="BL68" s="2469"/>
      <c r="BM68" s="2469"/>
      <c r="BN68" s="2469"/>
      <c r="BO68" s="2469"/>
      <c r="BP68" s="2469"/>
      <c r="BQ68" s="2469"/>
      <c r="BR68" s="2469"/>
      <c r="BS68" s="2469"/>
      <c r="BT68" s="2469"/>
      <c r="BU68" s="2469"/>
      <c r="BV68" s="2469"/>
      <c r="BW68" s="2469"/>
      <c r="BX68" s="2469"/>
      <c r="BY68" s="2469"/>
      <c r="BZ68" s="2469"/>
      <c r="CA68" s="2469"/>
      <c r="CB68" s="2469"/>
      <c r="CC68" s="78"/>
      <c r="CD68" s="44"/>
      <c r="CE68" s="103"/>
      <c r="CF68" s="103"/>
      <c r="CG68" s="103"/>
      <c r="CH68" s="103"/>
      <c r="CI68" s="103"/>
      <c r="CJ68" s="103"/>
      <c r="CW68" s="103"/>
      <c r="CX68" s="103"/>
      <c r="CY68" s="103"/>
      <c r="CZ68" s="44"/>
      <c r="DA68" s="44"/>
      <c r="DB68" s="44"/>
      <c r="DC68" s="103"/>
      <c r="DD68" s="103"/>
      <c r="DE68" s="103"/>
      <c r="DF68" s="103"/>
      <c r="DG68" s="103"/>
    </row>
    <row r="69" spans="1:111" ht="39.950000000000003" customHeight="1" thickBot="1">
      <c r="A69" s="87"/>
      <c r="B69" s="87"/>
      <c r="C69" s="87"/>
      <c r="D69" s="136"/>
      <c r="E69" s="136"/>
      <c r="F69" s="136"/>
      <c r="G69" s="136"/>
      <c r="H69" s="136"/>
      <c r="I69" s="136"/>
      <c r="J69" s="136"/>
      <c r="K69" s="136"/>
      <c r="L69" s="136"/>
      <c r="M69" s="136"/>
      <c r="N69" s="136"/>
      <c r="O69" s="136"/>
      <c r="P69" s="136"/>
      <c r="Q69" s="136"/>
      <c r="R69" s="136"/>
      <c r="S69" s="136"/>
      <c r="T69" s="136"/>
      <c r="U69" s="136"/>
      <c r="V69" s="136"/>
      <c r="W69" s="136"/>
      <c r="X69" s="136"/>
      <c r="Y69" s="136"/>
      <c r="Z69" s="136"/>
      <c r="AA69" s="136"/>
      <c r="AB69" s="136"/>
      <c r="AC69" s="136"/>
      <c r="AD69" s="136"/>
      <c r="AE69" s="136"/>
      <c r="AF69" s="136"/>
      <c r="AG69" s="136"/>
      <c r="AH69" s="136"/>
      <c r="AI69" s="136"/>
      <c r="AJ69" s="91"/>
      <c r="AK69" s="91"/>
      <c r="AL69" s="91"/>
      <c r="AM69" s="136"/>
      <c r="AN69" s="136"/>
      <c r="AO69" s="136"/>
      <c r="AP69" s="136"/>
      <c r="AQ69" s="136"/>
      <c r="AR69" s="136"/>
      <c r="AS69" s="136"/>
      <c r="AT69" s="136"/>
      <c r="AU69" s="136"/>
      <c r="AV69" s="136"/>
      <c r="AW69" s="136"/>
      <c r="AX69" s="136"/>
      <c r="AY69" s="136"/>
      <c r="AZ69" s="136"/>
      <c r="BA69" s="136"/>
      <c r="BB69" s="136"/>
      <c r="BC69" s="136"/>
      <c r="BD69" s="136"/>
      <c r="BE69" s="136"/>
      <c r="BF69" s="136"/>
      <c r="BG69" s="136"/>
      <c r="BH69" s="136"/>
      <c r="BI69" s="136"/>
      <c r="BJ69" s="136"/>
      <c r="BK69" s="87"/>
      <c r="BL69" s="87"/>
      <c r="BM69" s="87"/>
      <c r="BN69" s="87"/>
      <c r="BO69" s="87"/>
      <c r="BP69" s="136"/>
      <c r="BQ69" s="136"/>
      <c r="BR69" s="136"/>
      <c r="BS69" s="136"/>
      <c r="BT69" s="136"/>
      <c r="BU69" s="87"/>
      <c r="BV69" s="136"/>
      <c r="BW69" s="136"/>
      <c r="BX69" s="2499">
        <f ca="1">BX3</f>
        <v>44132</v>
      </c>
      <c r="BY69" s="2499"/>
      <c r="BZ69" s="2499"/>
      <c r="CA69" s="2499"/>
      <c r="CB69" s="2499"/>
      <c r="CC69" s="87"/>
      <c r="CH69" s="14"/>
      <c r="CI69" s="14"/>
      <c r="CK69" s="104"/>
      <c r="CL69" s="18"/>
      <c r="CM69" s="18"/>
      <c r="CN69" s="103"/>
      <c r="CO69" s="103"/>
      <c r="CP69" s="103"/>
      <c r="CQ69" s="103"/>
      <c r="CR69" s="103"/>
      <c r="CS69" s="103"/>
      <c r="CT69" s="103"/>
      <c r="CU69" s="103"/>
      <c r="CV69" s="103"/>
      <c r="CW69" s="103"/>
      <c r="CX69" s="103"/>
      <c r="CY69" s="44"/>
      <c r="CZ69" s="44"/>
      <c r="DA69" s="44"/>
      <c r="DB69" s="103"/>
      <c r="DC69" s="103"/>
      <c r="DD69" s="103"/>
      <c r="DE69" s="103"/>
      <c r="DF69" s="103"/>
      <c r="DG69" s="103"/>
    </row>
    <row r="70" spans="1:111" ht="33" customHeight="1" thickTop="1">
      <c r="B70" s="2470" t="str">
        <f>B4</f>
        <v>物件名</v>
      </c>
      <c r="C70" s="2354"/>
      <c r="D70" s="2354"/>
      <c r="E70" s="2354"/>
      <c r="F70" s="2354"/>
      <c r="G70" s="2354"/>
      <c r="H70" s="2354"/>
      <c r="I70" s="2354"/>
      <c r="J70" s="2354"/>
      <c r="K70" s="2354"/>
      <c r="L70" s="2354"/>
      <c r="M70" s="2354"/>
      <c r="N70" s="2354"/>
      <c r="O70" s="2354"/>
      <c r="P70" s="2354"/>
      <c r="Q70" s="2354"/>
      <c r="R70" s="2354"/>
      <c r="S70" s="2354"/>
      <c r="T70" s="2355"/>
      <c r="U70" s="2386" t="str">
        <f>U4</f>
        <v>営業
担当者</v>
      </c>
      <c r="V70" s="2435"/>
      <c r="W70" s="2338" t="str">
        <f>W4</f>
        <v>設計
担当者</v>
      </c>
      <c r="X70" s="2339"/>
      <c r="Y70" s="2445" t="str">
        <f>Y4</f>
        <v>建設地</v>
      </c>
      <c r="Z70" s="2354"/>
      <c r="AA70" s="2355"/>
      <c r="AB70" s="2353" t="str">
        <f>AB4</f>
        <v>用途</v>
      </c>
      <c r="AC70" s="2354"/>
      <c r="AD70" s="2355"/>
      <c r="AE70" s="2338" t="str">
        <f>AE4</f>
        <v>地盤改良
面積
[㎡]</v>
      </c>
      <c r="AF70" s="2338"/>
      <c r="AG70" s="2339"/>
      <c r="AH70" s="2450" t="str">
        <f>AH4</f>
        <v>N=0
層</v>
      </c>
      <c r="AI70" s="2451"/>
      <c r="AJ70" s="2462" t="str">
        <f>AJ4</f>
        <v>OCRmin</v>
      </c>
      <c r="AK70" s="2462"/>
      <c r="AL70" s="2463"/>
      <c r="AM70" s="2325" t="str">
        <f>AM4</f>
        <v>腐植土
(有機質土)の
有無と厚さ</v>
      </c>
      <c r="AN70" s="2326"/>
      <c r="AO70" s="2326"/>
      <c r="AP70" s="2327"/>
      <c r="AQ70" s="2342" t="str">
        <f>AQ4</f>
        <v>T-BAGS</v>
      </c>
      <c r="AR70" s="2255"/>
      <c r="AS70" s="2255" t="str">
        <f>AS4</f>
        <v>ハイブリット</v>
      </c>
      <c r="AT70" s="2255"/>
      <c r="AU70" s="2255" t="str">
        <f>AU4</f>
        <v>WT</v>
      </c>
      <c r="AV70" s="2255"/>
      <c r="AW70" s="2255" t="str">
        <f>AW4</f>
        <v>TNF-D
(台形)</v>
      </c>
      <c r="AX70" s="2255"/>
      <c r="AY70" s="2255" t="str">
        <f>AY4</f>
        <v>基礎
仕様</v>
      </c>
      <c r="AZ70" s="2315"/>
      <c r="BA70" s="2342" t="str">
        <f>BA4</f>
        <v>改良厚[m]</v>
      </c>
      <c r="BB70" s="2474"/>
      <c r="BC70" s="2255"/>
      <c r="BD70" s="2260" t="str">
        <f>BD4</f>
        <v>確認
申請
提出日</v>
      </c>
      <c r="BE70" s="2261"/>
      <c r="BF70" s="2475" t="str">
        <f>BF4</f>
        <v>着工
時期
(予定)</v>
      </c>
      <c r="BG70" s="2386" t="str">
        <f>BG4</f>
        <v>その他スケジュール</v>
      </c>
      <c r="BH70" s="2338"/>
      <c r="BI70" s="2338"/>
      <c r="BJ70" s="2338"/>
      <c r="BK70" s="2338"/>
      <c r="BL70" s="2451" t="str">
        <f>BL4</f>
        <v>確認機関</v>
      </c>
      <c r="BM70" s="2451"/>
      <c r="BN70" s="2451"/>
      <c r="BO70" s="2451"/>
      <c r="BP70" s="2451" t="str">
        <f>BP4</f>
        <v>適判機関</v>
      </c>
      <c r="BQ70" s="2451"/>
      <c r="BR70" s="2451"/>
      <c r="BS70" s="2479"/>
      <c r="BT70" s="2342" t="str">
        <f>BT4</f>
        <v>その他 敷地状況等</v>
      </c>
      <c r="BU70" s="2255"/>
      <c r="BV70" s="2255"/>
      <c r="BW70" s="2477"/>
      <c r="BX70" s="2467" t="str">
        <f>BX4</f>
        <v>備考</v>
      </c>
      <c r="BY70" s="2326"/>
      <c r="BZ70" s="2326"/>
      <c r="CA70" s="2326"/>
      <c r="CB70" s="2327"/>
      <c r="CD70" s="2466" t="s">
        <v>287</v>
      </c>
      <c r="CE70" s="2466" t="s">
        <v>9437</v>
      </c>
      <c r="CF70" s="2461" t="s">
        <v>9438</v>
      </c>
      <c r="CG70" s="2461" t="s">
        <v>9439</v>
      </c>
      <c r="CH70" s="14"/>
      <c r="CI70" s="14"/>
      <c r="CJ70" s="104"/>
      <c r="CK70" s="18"/>
      <c r="CL70" s="18"/>
      <c r="CM70" s="103"/>
      <c r="CN70" s="103"/>
      <c r="CO70" s="103"/>
      <c r="CP70" s="103"/>
      <c r="CQ70" s="103"/>
      <c r="CR70" s="103"/>
      <c r="CS70" s="103"/>
      <c r="CT70" s="103"/>
      <c r="CU70" s="103"/>
      <c r="CV70" s="103"/>
      <c r="CW70" s="103"/>
      <c r="CX70" s="44"/>
      <c r="CY70" s="44"/>
      <c r="CZ70" s="44"/>
      <c r="DA70" s="103"/>
      <c r="DB70" s="103"/>
      <c r="DC70" s="103"/>
      <c r="DD70" s="103"/>
      <c r="DE70" s="103"/>
    </row>
    <row r="71" spans="1:111" ht="53.1" customHeight="1" thickBot="1">
      <c r="B71" s="2538"/>
      <c r="C71" s="2539"/>
      <c r="D71" s="2357"/>
      <c r="E71" s="2357"/>
      <c r="F71" s="2357"/>
      <c r="G71" s="2357"/>
      <c r="H71" s="2357"/>
      <c r="I71" s="2357"/>
      <c r="J71" s="2357"/>
      <c r="K71" s="2357"/>
      <c r="L71" s="2357"/>
      <c r="M71" s="2357"/>
      <c r="N71" s="2357"/>
      <c r="O71" s="2357"/>
      <c r="P71" s="2357"/>
      <c r="Q71" s="2357"/>
      <c r="R71" s="2357"/>
      <c r="S71" s="2357"/>
      <c r="T71" s="2358"/>
      <c r="U71" s="2387"/>
      <c r="V71" s="2436"/>
      <c r="W71" s="2340"/>
      <c r="X71" s="2341"/>
      <c r="Y71" s="2446"/>
      <c r="Z71" s="2357"/>
      <c r="AA71" s="2358"/>
      <c r="AB71" s="2356"/>
      <c r="AC71" s="2357"/>
      <c r="AD71" s="2358"/>
      <c r="AE71" s="2340"/>
      <c r="AF71" s="2340"/>
      <c r="AG71" s="2341"/>
      <c r="AH71" s="2452"/>
      <c r="AI71" s="2453"/>
      <c r="AJ71" s="2464"/>
      <c r="AK71" s="2464"/>
      <c r="AL71" s="2465"/>
      <c r="AM71" s="2328"/>
      <c r="AN71" s="2329"/>
      <c r="AO71" s="2329"/>
      <c r="AP71" s="2330"/>
      <c r="AQ71" s="2343"/>
      <c r="AR71" s="2256"/>
      <c r="AS71" s="2256"/>
      <c r="AT71" s="2256"/>
      <c r="AU71" s="2256"/>
      <c r="AV71" s="2256"/>
      <c r="AW71" s="2256"/>
      <c r="AX71" s="2256"/>
      <c r="AY71" s="2256"/>
      <c r="AZ71" s="2316"/>
      <c r="BA71" s="2343" t="str">
        <f>BA5</f>
        <v>二次
一次</v>
      </c>
      <c r="BB71" s="2472"/>
      <c r="BC71" s="2256"/>
      <c r="BD71" s="2262"/>
      <c r="BE71" s="2263"/>
      <c r="BF71" s="2476"/>
      <c r="BG71" s="2387"/>
      <c r="BH71" s="2340"/>
      <c r="BI71" s="2340"/>
      <c r="BJ71" s="2340"/>
      <c r="BK71" s="2340"/>
      <c r="BL71" s="2453"/>
      <c r="BM71" s="2453"/>
      <c r="BN71" s="2453"/>
      <c r="BO71" s="2453"/>
      <c r="BP71" s="2453"/>
      <c r="BQ71" s="2453"/>
      <c r="BR71" s="2453"/>
      <c r="BS71" s="2480"/>
      <c r="BT71" s="1965" t="str">
        <f>BT5</f>
        <v>地下水位</v>
      </c>
      <c r="BU71" s="1966" t="str">
        <f>BU5</f>
        <v>近隣状況</v>
      </c>
      <c r="BV71" s="1966" t="str">
        <f>BV5</f>
        <v>盛土
計画有</v>
      </c>
      <c r="BW71" s="1967" t="str">
        <f>BW5</f>
        <v>狭小地
境界近い</v>
      </c>
      <c r="BX71" s="2468"/>
      <c r="BY71" s="2329"/>
      <c r="BZ71" s="2329"/>
      <c r="CA71" s="2329"/>
      <c r="CB71" s="2330"/>
      <c r="CD71" s="2466"/>
      <c r="CE71" s="2466"/>
      <c r="CF71" s="2461"/>
      <c r="CG71" s="2461"/>
      <c r="CH71" s="14"/>
      <c r="CI71" s="14"/>
      <c r="CJ71" s="104"/>
      <c r="CK71" s="18"/>
      <c r="CL71" s="18"/>
      <c r="CM71" s="103"/>
      <c r="CN71" s="103"/>
      <c r="CO71" s="103"/>
      <c r="CP71" s="103"/>
      <c r="CQ71" s="103"/>
      <c r="CR71" s="103"/>
      <c r="CS71" s="103"/>
      <c r="CT71" s="103"/>
      <c r="CU71" s="103"/>
      <c r="CV71" s="103"/>
      <c r="CW71" s="103"/>
      <c r="CX71" s="44"/>
      <c r="CY71" s="44"/>
      <c r="CZ71" s="44"/>
      <c r="DA71" s="103"/>
      <c r="DB71" s="103"/>
      <c r="DC71" s="103"/>
      <c r="DD71" s="103"/>
      <c r="DE71" s="103"/>
    </row>
    <row r="72" spans="1:111" ht="30" customHeight="1" thickTop="1" thickBot="1">
      <c r="B72" s="2537" t="s">
        <v>4855</v>
      </c>
      <c r="C72" s="2596" t="s">
        <v>10728</v>
      </c>
      <c r="D72" s="2313" t="s">
        <v>4852</v>
      </c>
      <c r="E72" s="2133"/>
      <c r="F72" s="2283">
        <f>実績!B1431</f>
        <v>200034</v>
      </c>
      <c r="G72" s="2284"/>
      <c r="H72" s="2284"/>
      <c r="I72" s="2162" t="str">
        <f>VLOOKUP(F72,実績!$B$5:$CV$1474,2,0)</f>
        <v>協和輸送本社社屋</v>
      </c>
      <c r="J72" s="2162"/>
      <c r="K72" s="2162"/>
      <c r="L72" s="2162"/>
      <c r="M72" s="2162"/>
      <c r="N72" s="2162"/>
      <c r="O72" s="2162"/>
      <c r="P72" s="2162"/>
      <c r="Q72" s="2162"/>
      <c r="R72" s="2162"/>
      <c r="S72" s="2162"/>
      <c r="T72" s="2163"/>
      <c r="U72" s="2164" t="str">
        <f>VLOOKUP(I72,実績!$C$5:$CV$1474,3,0)</f>
        <v>大田</v>
      </c>
      <c r="V72" s="2165"/>
      <c r="W72" s="2167" t="str">
        <f>VLOOKUP(I72,実績!$C$5:$CV$1474,2,0)</f>
        <v>村上</v>
      </c>
      <c r="X72" s="2281"/>
      <c r="Y72" s="2164" t="str">
        <f>VLOOKUP(I72,実績!$C$5:$CV$1474,4,FALSE)</f>
        <v>青森県</v>
      </c>
      <c r="Z72" s="2166"/>
      <c r="AA72" s="2165"/>
      <c r="AB72" s="2167" t="str">
        <f>VLOOKUP(I72,実績!$C$5:$CV$1474,9,0)</f>
        <v>倉庫</v>
      </c>
      <c r="AC72" s="2166"/>
      <c r="AD72" s="2165"/>
      <c r="AE72" s="2170">
        <f>ROUND(VLOOKUP(I72,実績!$C$5:$CV$1474,42,0),-1)</f>
        <v>0</v>
      </c>
      <c r="AF72" s="2171"/>
      <c r="AG72" s="2172"/>
      <c r="AH72" s="2164" t="str">
        <f>VLOOKUP(I72,実績!$C$5:$CV$1474,50,0)</f>
        <v>○</v>
      </c>
      <c r="AI72" s="2165"/>
      <c r="AJ72" s="2264" t="str">
        <f>VLOOKUP(I72,実績!$C$5:$CV$1474,60,0)</f>
        <v>-</v>
      </c>
      <c r="AK72" s="2265"/>
      <c r="AL72" s="2266"/>
      <c r="AM72" s="2224" t="str">
        <f>VLOOKUP(I72,実績!$C$5:$CV$1474,61,0)</f>
        <v>-</v>
      </c>
      <c r="AN72" s="2225"/>
      <c r="AO72" s="2225"/>
      <c r="AP72" s="2226"/>
      <c r="AQ72" s="2132" t="str">
        <f>VLOOKUP(I72,実績!$C$5:$CV$1474,37,0)</f>
        <v>-</v>
      </c>
      <c r="AR72" s="2133"/>
      <c r="AS72" s="2125" t="str">
        <f>VLOOKUP(I72,実績!$C$5:$CV$1474,38,0)</f>
        <v>-</v>
      </c>
      <c r="AT72" s="2133"/>
      <c r="AU72" s="2125" t="str">
        <f>VLOOKUP(I72,実績!$C$5:$CV$1474,39,0)</f>
        <v>-</v>
      </c>
      <c r="AV72" s="2133"/>
      <c r="AW72" s="2125" t="str">
        <f>VLOOKUP(I72,実績!$C$5:$CV$1474,40,0)</f>
        <v>-</v>
      </c>
      <c r="AX72" s="2133"/>
      <c r="AY72" s="2125" t="str">
        <f>VLOOKUP(I72,実績!$C$5:$CV$1474,41,0)</f>
        <v>独立</v>
      </c>
      <c r="AZ72" s="2126"/>
      <c r="BA72" s="2084">
        <f>VLOOKUP(I72,実績!$C$5:$CV$1474,44,0)</f>
        <v>0</v>
      </c>
      <c r="BB72" s="2085"/>
      <c r="BC72" s="2086"/>
      <c r="BD72" s="2129" t="s">
        <v>16553</v>
      </c>
      <c r="BE72" s="2088"/>
      <c r="BF72" s="2194" t="s">
        <v>17307</v>
      </c>
      <c r="BG72" s="2093"/>
      <c r="BH72" s="2094"/>
      <c r="BI72" s="2094"/>
      <c r="BJ72" s="2094"/>
      <c r="BK72" s="2095"/>
      <c r="BL72" s="2099"/>
      <c r="BM72" s="2100"/>
      <c r="BN72" s="2100"/>
      <c r="BO72" s="2101"/>
      <c r="BP72" s="2099"/>
      <c r="BQ72" s="2100"/>
      <c r="BR72" s="2100"/>
      <c r="BS72" s="2102"/>
      <c r="BT72" s="2103">
        <f>ROUND(VLOOKUP(I72,実績!$C$5:$CV$1474,59,0),1)</f>
        <v>2.2000000000000002</v>
      </c>
      <c r="BU72" s="2105">
        <f>VLOOKUP(I72,実績!$C$5:$CV$1474,67,0)</f>
        <v>0</v>
      </c>
      <c r="BV72" s="2136" t="str">
        <f>VLOOKUP(I72,実績!$C$5:$CV$1474,68,0)</f>
        <v>-</v>
      </c>
      <c r="BW72" s="2138">
        <f>VLOOKUP(I72,実績!$C$5:$CV$1474,69,0)</f>
        <v>0</v>
      </c>
      <c r="BX72" s="2093" t="str">
        <f>VLOOKUP(I72,実績!$C$5:$CV$1474,75,0)</f>
        <v>1棟→2棟に変更</v>
      </c>
      <c r="BY72" s="2094"/>
      <c r="BZ72" s="2094"/>
      <c r="CA72" s="2094"/>
      <c r="CB72" s="2180"/>
      <c r="CD72" s="1968">
        <f>F72</f>
        <v>200034</v>
      </c>
      <c r="CE72" s="1968" t="str">
        <f>I72</f>
        <v>協和輸送本社社屋</v>
      </c>
      <c r="CF72" s="96" t="str">
        <f>BD72</f>
        <v>11月
初旬</v>
      </c>
      <c r="CG72" s="96" t="str">
        <f>BF72</f>
        <v>2月</v>
      </c>
      <c r="CH72" s="14"/>
      <c r="CI72" s="14"/>
      <c r="CJ72" s="104"/>
      <c r="CK72" s="18"/>
      <c r="CL72" s="18"/>
      <c r="CM72" s="103"/>
      <c r="CN72" s="103"/>
      <c r="CO72" s="103"/>
      <c r="CP72" s="103"/>
      <c r="CQ72" s="103"/>
      <c r="CR72" s="103"/>
      <c r="CS72" s="103"/>
      <c r="CT72" s="103"/>
      <c r="CU72" s="103"/>
      <c r="CV72" s="103"/>
      <c r="CW72" s="103"/>
      <c r="CX72" s="44"/>
      <c r="CY72" s="44"/>
      <c r="CZ72" s="44"/>
      <c r="DA72" s="103"/>
      <c r="DB72" s="103"/>
      <c r="DC72" s="103"/>
      <c r="DD72" s="103"/>
      <c r="DE72" s="103"/>
    </row>
    <row r="73" spans="1:111" ht="30" customHeight="1" thickTop="1" thickBot="1">
      <c r="B73" s="2537"/>
      <c r="C73" s="2596"/>
      <c r="D73" s="2459"/>
      <c r="E73" s="2159"/>
      <c r="F73" s="2221" t="str">
        <f>"("&amp;SUBSTITUTE(VLOOKUP(F72,実績!$B$5:$CV$1474,17,0),"株式会社 ","")&amp;","&amp;SUBSTITUTE(VLOOKUP(F72,実績!$B$5:$CV$1474,22,0),"株式会社 ","")&amp;")"</f>
        <v>(創設計,ﾃｨｰｱﾝﾄﾞﾋﾟｨｰ設計事務所)</v>
      </c>
      <c r="G73" s="2222"/>
      <c r="H73" s="2222"/>
      <c r="I73" s="2222"/>
      <c r="J73" s="2222"/>
      <c r="K73" s="2222"/>
      <c r="L73" s="2222"/>
      <c r="M73" s="2222"/>
      <c r="N73" s="2222"/>
      <c r="O73" s="2222"/>
      <c r="P73" s="2222"/>
      <c r="Q73" s="2222"/>
      <c r="R73" s="2222"/>
      <c r="S73" s="2222"/>
      <c r="T73" s="2223"/>
      <c r="U73" s="2156"/>
      <c r="V73" s="2157"/>
      <c r="W73" s="2168"/>
      <c r="X73" s="2282"/>
      <c r="Y73" s="2156" t="str">
        <f>VLOOKUP(I72,実績!$C$5:$CV$1474,5,0)</f>
        <v>青森市</v>
      </c>
      <c r="Z73" s="2169"/>
      <c r="AA73" s="2157"/>
      <c r="AB73" s="2168"/>
      <c r="AC73" s="2169"/>
      <c r="AD73" s="2157"/>
      <c r="AE73" s="2173"/>
      <c r="AF73" s="2174"/>
      <c r="AG73" s="2175"/>
      <c r="AH73" s="2156"/>
      <c r="AI73" s="2157"/>
      <c r="AJ73" s="2278"/>
      <c r="AK73" s="2279"/>
      <c r="AL73" s="2280"/>
      <c r="AM73" s="2224" t="str">
        <f>VLOOKUP(I72,実績!$C$5:$CV$1474,62,0)</f>
        <v>-</v>
      </c>
      <c r="AN73" s="2225"/>
      <c r="AO73" s="2225"/>
      <c r="AP73" s="2226"/>
      <c r="AQ73" s="2134"/>
      <c r="AR73" s="2135"/>
      <c r="AS73" s="2127"/>
      <c r="AT73" s="2135"/>
      <c r="AU73" s="2127"/>
      <c r="AV73" s="2135"/>
      <c r="AW73" s="2127"/>
      <c r="AX73" s="2135"/>
      <c r="AY73" s="2127"/>
      <c r="AZ73" s="2128"/>
      <c r="BA73" s="2084">
        <f>VLOOKUP(I72,実績!$C$5:$CV$1474,46,0)</f>
        <v>0</v>
      </c>
      <c r="BB73" s="2085"/>
      <c r="BC73" s="2086"/>
      <c r="BD73" s="2089"/>
      <c r="BE73" s="2090"/>
      <c r="BF73" s="2092"/>
      <c r="BG73" s="2096"/>
      <c r="BH73" s="2097"/>
      <c r="BI73" s="2097"/>
      <c r="BJ73" s="2097"/>
      <c r="BK73" s="2098"/>
      <c r="BL73" s="2099"/>
      <c r="BM73" s="2100"/>
      <c r="BN73" s="2100"/>
      <c r="BO73" s="2101"/>
      <c r="BP73" s="2099"/>
      <c r="BQ73" s="2100"/>
      <c r="BR73" s="2100"/>
      <c r="BS73" s="2102"/>
      <c r="BT73" s="2104"/>
      <c r="BU73" s="2106"/>
      <c r="BV73" s="2137"/>
      <c r="BW73" s="2139"/>
      <c r="BX73" s="2181"/>
      <c r="BY73" s="2182"/>
      <c r="BZ73" s="2182"/>
      <c r="CA73" s="2182"/>
      <c r="CB73" s="2183"/>
      <c r="CH73" s="14"/>
      <c r="CI73" s="14"/>
      <c r="CJ73" s="104"/>
      <c r="CK73" s="18"/>
      <c r="CL73" s="18"/>
      <c r="CM73" s="103"/>
      <c r="CN73" s="103"/>
      <c r="CO73" s="103"/>
      <c r="CP73" s="103"/>
      <c r="CQ73" s="103"/>
      <c r="CR73" s="103"/>
      <c r="CS73" s="103"/>
      <c r="CT73" s="103"/>
      <c r="CU73" s="103"/>
      <c r="CV73" s="103"/>
      <c r="CW73" s="103"/>
      <c r="CX73" s="44"/>
      <c r="CY73" s="44"/>
      <c r="CZ73" s="44"/>
      <c r="DA73" s="103"/>
      <c r="DB73" s="103"/>
      <c r="DC73" s="103"/>
      <c r="DD73" s="103"/>
      <c r="DE73" s="103"/>
    </row>
    <row r="74" spans="1:111" ht="30" customHeight="1" thickTop="1" thickBot="1">
      <c r="B74" s="2537"/>
      <c r="C74" s="2596"/>
      <c r="D74" s="2313" t="s">
        <v>10423</v>
      </c>
      <c r="E74" s="2133"/>
      <c r="F74" s="2283">
        <f>実績!B1374</f>
        <v>190122</v>
      </c>
      <c r="G74" s="2284"/>
      <c r="H74" s="2284"/>
      <c r="I74" s="2162" t="str">
        <f>VLOOKUP(F74,実績!$B$5:$CV$1474,2,0)</f>
        <v>ポルシェ鹿児島</v>
      </c>
      <c r="J74" s="2162"/>
      <c r="K74" s="2162"/>
      <c r="L74" s="2162"/>
      <c r="M74" s="2162"/>
      <c r="N74" s="2162"/>
      <c r="O74" s="2162"/>
      <c r="P74" s="2162"/>
      <c r="Q74" s="2162"/>
      <c r="R74" s="2162"/>
      <c r="S74" s="2162"/>
      <c r="T74" s="2163"/>
      <c r="U74" s="2164" t="str">
        <f>VLOOKUP(I74,実績!$C$5:$CV$1474,3,0)</f>
        <v>沖本</v>
      </c>
      <c r="V74" s="2165"/>
      <c r="W74" s="2167" t="str">
        <f>VLOOKUP(I74,実績!$C$5:$CV$1474,2,0)</f>
        <v xml:space="preserve">宮北
</v>
      </c>
      <c r="X74" s="2281"/>
      <c r="Y74" s="2164" t="str">
        <f>VLOOKUP(I74,実績!$C$5:$CV$1474,4,FALSE)</f>
        <v>鹿児島県</v>
      </c>
      <c r="Z74" s="2166"/>
      <c r="AA74" s="2165"/>
      <c r="AB74" s="2167" t="str">
        <f>VLOOKUP(I74,実績!$C$5:$CV$1474,9,0)</f>
        <v>店舗</v>
      </c>
      <c r="AC74" s="2166"/>
      <c r="AD74" s="2165"/>
      <c r="AE74" s="2170">
        <f>ROUND(VLOOKUP(I74,実績!$C$5:$CV$1474,42,0),-1)</f>
        <v>0</v>
      </c>
      <c r="AF74" s="2171"/>
      <c r="AG74" s="2172"/>
      <c r="AH74" s="2176">
        <f>VLOOKUP(I74,実績!$C$5:$CV$1474,50,0)</f>
        <v>0</v>
      </c>
      <c r="AI74" s="2177"/>
      <c r="AJ74" s="2140">
        <f>VLOOKUP(I74,実績!$C$5:$CV$1474,60,0)</f>
        <v>0</v>
      </c>
      <c r="AK74" s="2141"/>
      <c r="AL74" s="2142"/>
      <c r="AM74" s="2146">
        <f>VLOOKUP(I74,実績!$C$5:$CV$1474,61,0)</f>
        <v>0</v>
      </c>
      <c r="AN74" s="2147"/>
      <c r="AO74" s="2147"/>
      <c r="AP74" s="2148"/>
      <c r="AQ74" s="2132" t="str">
        <f>VLOOKUP(I74,実績!$C$5:$CV$1474,37,0)</f>
        <v>-</v>
      </c>
      <c r="AR74" s="2133"/>
      <c r="AS74" s="2118">
        <f>VLOOKUP(I74,実績!$C$5:$CV$1474,38,0)</f>
        <v>0</v>
      </c>
      <c r="AT74" s="2122"/>
      <c r="AU74" s="2125" t="str">
        <f>VLOOKUP(I74,実績!$C$5:$CV$1474,39,0)</f>
        <v>-</v>
      </c>
      <c r="AV74" s="2133"/>
      <c r="AW74" s="2125" t="str">
        <f>VLOOKUP(I74,実績!$C$5:$CV$1474,40,0)</f>
        <v>○</v>
      </c>
      <c r="AX74" s="2133"/>
      <c r="AY74" s="2125" t="str">
        <f>VLOOKUP(I74,実績!$C$5:$CV$1474,41,0)</f>
        <v>独立</v>
      </c>
      <c r="AZ74" s="2126"/>
      <c r="BA74" s="2084">
        <f>VLOOKUP(I74,実績!$C$5:$CV$1474,44,0)</f>
        <v>0</v>
      </c>
      <c r="BB74" s="2085"/>
      <c r="BC74" s="2086"/>
      <c r="BD74" s="2129" t="s">
        <v>16553</v>
      </c>
      <c r="BE74" s="2088"/>
      <c r="BF74" s="2194" t="s">
        <v>17782</v>
      </c>
      <c r="BG74" s="2093" t="s">
        <v>18102</v>
      </c>
      <c r="BH74" s="2094"/>
      <c r="BI74" s="2094"/>
      <c r="BJ74" s="2094"/>
      <c r="BK74" s="2095"/>
      <c r="BL74" s="2099"/>
      <c r="BM74" s="2100"/>
      <c r="BN74" s="2100"/>
      <c r="BO74" s="2101"/>
      <c r="BP74" s="2099"/>
      <c r="BQ74" s="2100"/>
      <c r="BR74" s="2100"/>
      <c r="BS74" s="2102"/>
      <c r="BT74" s="2103">
        <f>ROUND(VLOOKUP(I74,実績!$C$5:$CV$1474,59,0),1)</f>
        <v>0</v>
      </c>
      <c r="BU74" s="2414" t="str">
        <f>VLOOKUP(I74,実績!$C$5:$CV$1474,67,0)</f>
        <v>店舗</v>
      </c>
      <c r="BV74" s="2396" t="str">
        <f>VLOOKUP(I74,実績!$C$5:$CV$1474,68,0)</f>
        <v>-</v>
      </c>
      <c r="BW74" s="2138">
        <f>VLOOKUP(I74,実績!$C$5:$CV$1474,69,0)</f>
        <v>0</v>
      </c>
      <c r="BX74" s="2093" t="str">
        <f>VLOOKUP(I74,実績!$C$5:$CV$1474,75,0)</f>
        <v>イチケンが受注</v>
      </c>
      <c r="BY74" s="2094"/>
      <c r="BZ74" s="2094"/>
      <c r="CA74" s="2094"/>
      <c r="CB74" s="2180"/>
      <c r="CD74" s="1968">
        <f>F74</f>
        <v>190122</v>
      </c>
      <c r="CE74" s="1968" t="str">
        <f>I74</f>
        <v>ポルシェ鹿児島</v>
      </c>
      <c r="CF74" s="96" t="str">
        <f>BD74</f>
        <v>11月
初旬</v>
      </c>
      <c r="CG74" s="96" t="str">
        <f>BF74</f>
        <v>2月頭</v>
      </c>
      <c r="CH74" s="14"/>
      <c r="CI74" s="14"/>
      <c r="CJ74" s="104"/>
      <c r="CK74" s="18"/>
      <c r="CL74" s="18"/>
      <c r="CM74" s="103"/>
      <c r="CN74" s="103"/>
      <c r="CO74" s="103"/>
      <c r="CP74" s="103"/>
      <c r="CQ74" s="103"/>
      <c r="CR74" s="103"/>
      <c r="CS74" s="103"/>
      <c r="CT74" s="103"/>
      <c r="CU74" s="103"/>
      <c r="CV74" s="103"/>
      <c r="CW74" s="103"/>
      <c r="CX74" s="44"/>
      <c r="CY74" s="44"/>
      <c r="CZ74" s="44"/>
      <c r="DA74" s="103"/>
      <c r="DB74" s="103"/>
      <c r="DC74" s="103"/>
      <c r="DD74" s="103"/>
      <c r="DE74" s="103"/>
    </row>
    <row r="75" spans="1:111" ht="30" customHeight="1" thickTop="1" thickBot="1">
      <c r="B75" s="2537"/>
      <c r="C75" s="2596"/>
      <c r="D75" s="2459"/>
      <c r="E75" s="2159"/>
      <c r="F75" s="2221" t="str">
        <f>"("&amp;SUBSTITUTE(VLOOKUP(I74,実績!$C$5:$CV$1474,26,0),"株式会社 ","")&amp;","&amp;SUBSTITUTE(VLOOKUP(I74,実績!$C$5:$CV$1474,21,0),"株式会社","")&amp;")"</f>
        <v>(カーダクレッセ,ﾃｨｰｱﾝﾄﾞﾋﾟｨｰ設計事務所)</v>
      </c>
      <c r="G75" s="2222"/>
      <c r="H75" s="2222"/>
      <c r="I75" s="2222"/>
      <c r="J75" s="2222"/>
      <c r="K75" s="2222"/>
      <c r="L75" s="2222"/>
      <c r="M75" s="2222"/>
      <c r="N75" s="2222"/>
      <c r="O75" s="2222"/>
      <c r="P75" s="2222"/>
      <c r="Q75" s="2222"/>
      <c r="R75" s="2222"/>
      <c r="S75" s="2222"/>
      <c r="T75" s="2223"/>
      <c r="U75" s="2156"/>
      <c r="V75" s="2157"/>
      <c r="W75" s="2168"/>
      <c r="X75" s="2282"/>
      <c r="Y75" s="2156" t="str">
        <f>VLOOKUP(I74,実績!$C$5:$CV$1474,5,0)</f>
        <v>鹿児島市</v>
      </c>
      <c r="Z75" s="2169"/>
      <c r="AA75" s="2157"/>
      <c r="AB75" s="2168"/>
      <c r="AC75" s="2169"/>
      <c r="AD75" s="2157"/>
      <c r="AE75" s="2173"/>
      <c r="AF75" s="2174"/>
      <c r="AG75" s="2175"/>
      <c r="AH75" s="2178"/>
      <c r="AI75" s="2179"/>
      <c r="AJ75" s="2143"/>
      <c r="AK75" s="2144"/>
      <c r="AL75" s="2145"/>
      <c r="AM75" s="2146">
        <f>VLOOKUP(I74,実績!$C$5:$CV$1474,62,0)</f>
        <v>0</v>
      </c>
      <c r="AN75" s="2147"/>
      <c r="AO75" s="2147"/>
      <c r="AP75" s="2148"/>
      <c r="AQ75" s="2134"/>
      <c r="AR75" s="2135"/>
      <c r="AS75" s="2123"/>
      <c r="AT75" s="2124"/>
      <c r="AU75" s="2127"/>
      <c r="AV75" s="2135"/>
      <c r="AW75" s="2127"/>
      <c r="AX75" s="2135"/>
      <c r="AY75" s="2127"/>
      <c r="AZ75" s="2128"/>
      <c r="BA75" s="2084">
        <f>VLOOKUP(I74,実績!$C$5:$CV$1474,46,0)</f>
        <v>0</v>
      </c>
      <c r="BB75" s="2085"/>
      <c r="BC75" s="2086"/>
      <c r="BD75" s="2089"/>
      <c r="BE75" s="2090"/>
      <c r="BF75" s="2092"/>
      <c r="BG75" s="2096"/>
      <c r="BH75" s="2097"/>
      <c r="BI75" s="2097"/>
      <c r="BJ75" s="2097"/>
      <c r="BK75" s="2098"/>
      <c r="BL75" s="2099"/>
      <c r="BM75" s="2100"/>
      <c r="BN75" s="2100"/>
      <c r="BO75" s="2101"/>
      <c r="BP75" s="2099"/>
      <c r="BQ75" s="2100"/>
      <c r="BR75" s="2100"/>
      <c r="BS75" s="2102"/>
      <c r="BT75" s="2104"/>
      <c r="BU75" s="2415"/>
      <c r="BV75" s="2397"/>
      <c r="BW75" s="2139"/>
      <c r="BX75" s="2181"/>
      <c r="BY75" s="2182"/>
      <c r="BZ75" s="2182"/>
      <c r="CA75" s="2182"/>
      <c r="CB75" s="2183"/>
      <c r="CH75" s="14"/>
      <c r="CI75" s="14"/>
      <c r="CJ75" s="104"/>
      <c r="CK75" s="18"/>
      <c r="CL75" s="18"/>
      <c r="CM75" s="103"/>
      <c r="CN75" s="103"/>
      <c r="CO75" s="103"/>
      <c r="CP75" s="103"/>
      <c r="CQ75" s="103"/>
      <c r="CR75" s="103"/>
      <c r="CS75" s="103"/>
      <c r="CT75" s="103"/>
      <c r="CU75" s="103"/>
      <c r="CV75" s="103"/>
      <c r="CW75" s="103"/>
      <c r="CX75" s="44"/>
      <c r="CY75" s="44"/>
      <c r="CZ75" s="44"/>
      <c r="DA75" s="103"/>
      <c r="DB75" s="103"/>
      <c r="DC75" s="103"/>
      <c r="DD75" s="103"/>
      <c r="DE75" s="103"/>
    </row>
    <row r="76" spans="1:111" ht="30" customHeight="1" thickTop="1" thickBot="1">
      <c r="B76" s="2537"/>
      <c r="C76" s="2596"/>
      <c r="D76" s="2313" t="s">
        <v>4852</v>
      </c>
      <c r="E76" s="2133"/>
      <c r="F76" s="2283">
        <f>実績!B1441</f>
        <v>200044</v>
      </c>
      <c r="G76" s="2284"/>
      <c r="H76" s="2284"/>
      <c r="I76" s="2162" t="str">
        <f>VLOOKUP(F76,実績!$B$5:$CV$1474,2,0)</f>
        <v>アルビス中村</v>
      </c>
      <c r="J76" s="2162"/>
      <c r="K76" s="2162"/>
      <c r="L76" s="2162"/>
      <c r="M76" s="2162"/>
      <c r="N76" s="2162"/>
      <c r="O76" s="2162"/>
      <c r="P76" s="2162"/>
      <c r="Q76" s="2162"/>
      <c r="R76" s="2162"/>
      <c r="S76" s="2162"/>
      <c r="T76" s="2163"/>
      <c r="U76" s="2164" t="str">
        <f>VLOOKUP(I76,実績!$C$5:$CV$1474,3,0)</f>
        <v>沖本</v>
      </c>
      <c r="V76" s="2165"/>
      <c r="W76" s="2167" t="str">
        <f>VLOOKUP(I76,実績!$C$5:$CV$1474,2,0)</f>
        <v>村上
(外注)</v>
      </c>
      <c r="X76" s="2281"/>
      <c r="Y76" s="2164" t="str">
        <f>VLOOKUP(I76,実績!$C$5:$CV$1474,4,FALSE)</f>
        <v>愛知県</v>
      </c>
      <c r="Z76" s="2166"/>
      <c r="AA76" s="2165"/>
      <c r="AB76" s="2167" t="str">
        <f>VLOOKUP(I76,実績!$C$5:$CV$1474,9,0)</f>
        <v>店舗</v>
      </c>
      <c r="AC76" s="2166"/>
      <c r="AD76" s="2165"/>
      <c r="AE76" s="2272">
        <f>ROUND(VLOOKUP(I76,実績!$C$5:$CV$1474,42,0),-1)</f>
        <v>3350</v>
      </c>
      <c r="AF76" s="2273"/>
      <c r="AG76" s="2274"/>
      <c r="AH76" s="2164" t="str">
        <f>VLOOKUP(I76,実績!$C$5:$CV$1474,50,0)</f>
        <v>無</v>
      </c>
      <c r="AI76" s="2165"/>
      <c r="AJ76" s="2264">
        <f>VLOOKUP(I76,実績!$C$5:$CV$1474,60,0)</f>
        <v>3.44</v>
      </c>
      <c r="AK76" s="2265"/>
      <c r="AL76" s="2266"/>
      <c r="AM76" s="2224" t="str">
        <f>VLOOKUP(I76,実績!$C$5:$CV$1474,61,0)</f>
        <v>-</v>
      </c>
      <c r="AN76" s="2225"/>
      <c r="AO76" s="2225"/>
      <c r="AP76" s="2226"/>
      <c r="AQ76" s="2132" t="str">
        <f>VLOOKUP(I76,実績!$C$5:$CV$1474,37,0)</f>
        <v>-</v>
      </c>
      <c r="AR76" s="2133"/>
      <c r="AS76" s="2125" t="str">
        <f>VLOOKUP(I76,実績!$C$5:$CV$1474,38,0)</f>
        <v>-</v>
      </c>
      <c r="AT76" s="2133"/>
      <c r="AU76" s="2125" t="str">
        <f>VLOOKUP(I76,実績!$C$5:$CV$1474,39,0)</f>
        <v>-</v>
      </c>
      <c r="AV76" s="2133"/>
      <c r="AW76" s="2125" t="str">
        <f>VLOOKUP(I76,実績!$C$5:$CV$1474,40,0)</f>
        <v>○</v>
      </c>
      <c r="AX76" s="2133"/>
      <c r="AY76" s="2125" t="str">
        <f>VLOOKUP(I76,実績!$C$5:$CV$1474,41,0)</f>
        <v>独立</v>
      </c>
      <c r="AZ76" s="2126"/>
      <c r="BA76" s="2240">
        <f>VLOOKUP(I76,実績!$C$5:$CV$1474,44,0)</f>
        <v>0.8</v>
      </c>
      <c r="BB76" s="2241"/>
      <c r="BC76" s="2242"/>
      <c r="BD76" s="2129" t="s">
        <v>17781</v>
      </c>
      <c r="BE76" s="2088"/>
      <c r="BF76" s="2194" t="s">
        <v>17843</v>
      </c>
      <c r="BG76" s="2093"/>
      <c r="BH76" s="2094"/>
      <c r="BI76" s="2094"/>
      <c r="BJ76" s="2094"/>
      <c r="BK76" s="2095"/>
      <c r="BL76" s="2099"/>
      <c r="BM76" s="2100"/>
      <c r="BN76" s="2100"/>
      <c r="BO76" s="2101"/>
      <c r="BP76" s="2099"/>
      <c r="BQ76" s="2100"/>
      <c r="BR76" s="2100"/>
      <c r="BS76" s="2102"/>
      <c r="BT76" s="2103">
        <f>ROUND(VLOOKUP(I76,実績!$C$5:$CV$1474,59,0),1)</f>
        <v>2.2000000000000002</v>
      </c>
      <c r="BU76" s="2105" t="str">
        <f>VLOOKUP(I76,実績!$C$5:$CV$1474,67,0)</f>
        <v>住宅・店舗</v>
      </c>
      <c r="BV76" s="2136" t="str">
        <f>VLOOKUP(I76,実績!$C$5:$CV$1474,68,0)</f>
        <v>-</v>
      </c>
      <c r="BW76" s="2138">
        <f>VLOOKUP(I76,実績!$C$5:$CV$1474,69,0)</f>
        <v>0</v>
      </c>
      <c r="BX76" s="2093" t="str">
        <f>VLOOKUP(I76,実績!$C$5:$CV$1474,75,0)</f>
        <v>以前設計した中部薬品二瀬の隣</v>
      </c>
      <c r="BY76" s="2094"/>
      <c r="BZ76" s="2094"/>
      <c r="CA76" s="2094"/>
      <c r="CB76" s="2180"/>
      <c r="CD76" s="1968">
        <f>F76</f>
        <v>200044</v>
      </c>
      <c r="CE76" s="1968" t="str">
        <f>I76</f>
        <v>アルビス中村</v>
      </c>
      <c r="CF76" s="96" t="str">
        <f>BD76</f>
        <v>11月
中旬</v>
      </c>
      <c r="CG76" s="96" t="str">
        <f>BF76</f>
        <v>年明け</v>
      </c>
      <c r="CH76" s="14"/>
      <c r="CI76" s="14"/>
      <c r="CJ76" s="104"/>
      <c r="CK76" s="18"/>
      <c r="CL76" s="18"/>
      <c r="CM76" s="103"/>
      <c r="CN76" s="103"/>
      <c r="CO76" s="103"/>
      <c r="CP76" s="103"/>
      <c r="CQ76" s="103"/>
      <c r="CR76" s="103"/>
      <c r="CS76" s="103"/>
      <c r="CT76" s="103"/>
      <c r="CU76" s="103"/>
      <c r="CV76" s="103"/>
      <c r="CW76" s="103"/>
      <c r="CX76" s="44"/>
      <c r="CY76" s="44"/>
      <c r="CZ76" s="44"/>
      <c r="DA76" s="103"/>
      <c r="DB76" s="103"/>
      <c r="DC76" s="103"/>
      <c r="DD76" s="103"/>
      <c r="DE76" s="103"/>
    </row>
    <row r="77" spans="1:111" ht="30" customHeight="1" thickTop="1" thickBot="1">
      <c r="B77" s="2537"/>
      <c r="C77" s="2596"/>
      <c r="D77" s="2459"/>
      <c r="E77" s="2159"/>
      <c r="F77" s="2184" t="str">
        <f>"("&amp;SUBSTITUTE(VLOOKUP(F76,実績!$B$5:$CV$1474,17,0),"有限会社 ","")&amp;","&amp;SUBSTITUTE(VLOOKUP(F76,実績!$B$5:$CV$1474,22,0),"株式会社","")&amp;")"</f>
        <v>(中部設計,ﾃｨｰｱﾝﾄﾞﾋﾟｨｰ設計事務所)</v>
      </c>
      <c r="G77" s="2185"/>
      <c r="H77" s="2185"/>
      <c r="I77" s="2185"/>
      <c r="J77" s="2185"/>
      <c r="K77" s="2185"/>
      <c r="L77" s="2185"/>
      <c r="M77" s="2185"/>
      <c r="N77" s="2185"/>
      <c r="O77" s="2185"/>
      <c r="P77" s="2185"/>
      <c r="Q77" s="2185"/>
      <c r="R77" s="2185"/>
      <c r="S77" s="2185"/>
      <c r="T77" s="2186"/>
      <c r="U77" s="2156"/>
      <c r="V77" s="2157"/>
      <c r="W77" s="2168"/>
      <c r="X77" s="2282"/>
      <c r="Y77" s="2156" t="str">
        <f>VLOOKUP(I76,実績!$C$5:$CV$1474,5,0)</f>
        <v>名古屋市</v>
      </c>
      <c r="Z77" s="2169"/>
      <c r="AA77" s="2157"/>
      <c r="AB77" s="2168"/>
      <c r="AC77" s="2169"/>
      <c r="AD77" s="2157"/>
      <c r="AE77" s="2275"/>
      <c r="AF77" s="2276"/>
      <c r="AG77" s="2277"/>
      <c r="AH77" s="2156"/>
      <c r="AI77" s="2157"/>
      <c r="AJ77" s="2278"/>
      <c r="AK77" s="2279"/>
      <c r="AL77" s="2280"/>
      <c r="AM77" s="2224" t="str">
        <f>VLOOKUP(I76,実績!$C$5:$CV$1474,62,0)</f>
        <v>-</v>
      </c>
      <c r="AN77" s="2225"/>
      <c r="AO77" s="2225"/>
      <c r="AP77" s="2226"/>
      <c r="AQ77" s="2134"/>
      <c r="AR77" s="2135"/>
      <c r="AS77" s="2127"/>
      <c r="AT77" s="2135"/>
      <c r="AU77" s="2127"/>
      <c r="AV77" s="2135"/>
      <c r="AW77" s="2127"/>
      <c r="AX77" s="2135"/>
      <c r="AY77" s="2127"/>
      <c r="AZ77" s="2128"/>
      <c r="BA77" s="2240">
        <f>VLOOKUP(I76,実績!$C$5:$CV$1474,46,0)</f>
        <v>1</v>
      </c>
      <c r="BB77" s="2241"/>
      <c r="BC77" s="2242"/>
      <c r="BD77" s="2089"/>
      <c r="BE77" s="2090"/>
      <c r="BF77" s="2092"/>
      <c r="BG77" s="2096"/>
      <c r="BH77" s="2097"/>
      <c r="BI77" s="2097"/>
      <c r="BJ77" s="2097"/>
      <c r="BK77" s="2098"/>
      <c r="BL77" s="2099"/>
      <c r="BM77" s="2100"/>
      <c r="BN77" s="2100"/>
      <c r="BO77" s="2101"/>
      <c r="BP77" s="2099"/>
      <c r="BQ77" s="2100"/>
      <c r="BR77" s="2100"/>
      <c r="BS77" s="2102"/>
      <c r="BT77" s="2104"/>
      <c r="BU77" s="2106"/>
      <c r="BV77" s="2188"/>
      <c r="BW77" s="2139"/>
      <c r="BX77" s="2096"/>
      <c r="BY77" s="2097"/>
      <c r="BZ77" s="2097"/>
      <c r="CA77" s="2097"/>
      <c r="CB77" s="2189"/>
      <c r="CH77" s="14"/>
      <c r="CI77" s="14"/>
      <c r="CJ77" s="104"/>
      <c r="CK77" s="18"/>
      <c r="CL77" s="18"/>
      <c r="CM77" s="103"/>
      <c r="CN77" s="103"/>
      <c r="CO77" s="103"/>
      <c r="CP77" s="103"/>
      <c r="CQ77" s="103"/>
      <c r="CR77" s="103"/>
      <c r="CS77" s="103"/>
      <c r="CT77" s="103"/>
      <c r="CU77" s="103"/>
      <c r="CV77" s="103"/>
      <c r="CW77" s="103"/>
      <c r="CX77" s="44"/>
      <c r="CY77" s="44"/>
      <c r="CZ77" s="44"/>
      <c r="DA77" s="103"/>
      <c r="DB77" s="103"/>
      <c r="DC77" s="103"/>
      <c r="DD77" s="103"/>
      <c r="DE77" s="103"/>
    </row>
    <row r="78" spans="1:111" ht="30" customHeight="1" thickTop="1" thickBot="1">
      <c r="B78" s="2537"/>
      <c r="C78" s="2596"/>
      <c r="D78" s="2313" t="s">
        <v>4852</v>
      </c>
      <c r="E78" s="2133"/>
      <c r="F78" s="2283">
        <f>実績!B1393</f>
        <v>190136</v>
      </c>
      <c r="G78" s="2284"/>
      <c r="H78" s="2284"/>
      <c r="I78" s="2162" t="str">
        <f>VLOOKUP(F78,実績!$B$5:$CV$1474,2,0)</f>
        <v>スーパーマーケット 袋井駅南</v>
      </c>
      <c r="J78" s="2162"/>
      <c r="K78" s="2162"/>
      <c r="L78" s="2162"/>
      <c r="M78" s="2162"/>
      <c r="N78" s="2162"/>
      <c r="O78" s="2162"/>
      <c r="P78" s="2162"/>
      <c r="Q78" s="2162"/>
      <c r="R78" s="2162"/>
      <c r="S78" s="2162"/>
      <c r="T78" s="2163"/>
      <c r="U78" s="2164" t="str">
        <f>VLOOKUP(I78,実績!$C$5:$CV$1474,3,0)</f>
        <v>沖本</v>
      </c>
      <c r="V78" s="2165"/>
      <c r="W78" s="2167" t="str">
        <f>VLOOKUP(I78,実績!$C$5:$CV$1474,2,0)</f>
        <v>近藤
(外注)</v>
      </c>
      <c r="X78" s="2281"/>
      <c r="Y78" s="2164" t="str">
        <f>VLOOKUP(I78,実績!$C$5:$CV$1474,4,FALSE)</f>
        <v>静岡県</v>
      </c>
      <c r="Z78" s="2166"/>
      <c r="AA78" s="2165"/>
      <c r="AB78" s="2167" t="str">
        <f>VLOOKUP(I78,実績!$C$5:$CV$1474,9,0)</f>
        <v>店舗</v>
      </c>
      <c r="AC78" s="2166"/>
      <c r="AD78" s="2165"/>
      <c r="AE78" s="2272">
        <f>ROUND(VLOOKUP(I78,実績!$C$5:$CV$1474,42,0),-1)</f>
        <v>4300</v>
      </c>
      <c r="AF78" s="2273"/>
      <c r="AG78" s="2274"/>
      <c r="AH78" s="2164" t="str">
        <f>VLOOKUP(I78,実績!$C$5:$CV$1474,50,0)</f>
        <v>○</v>
      </c>
      <c r="AI78" s="2165"/>
      <c r="AJ78" s="2373" t="s">
        <v>8458</v>
      </c>
      <c r="AK78" s="2374"/>
      <c r="AL78" s="2375"/>
      <c r="AM78" s="2146">
        <f>VLOOKUP(I78,実績!$C$5:$CV$1474,61,0)</f>
        <v>0</v>
      </c>
      <c r="AN78" s="2147"/>
      <c r="AO78" s="2147"/>
      <c r="AP78" s="2148"/>
      <c r="AQ78" s="2132" t="str">
        <f>VLOOKUP(I78,実績!$C$5:$CV$1474,37,0)</f>
        <v>-</v>
      </c>
      <c r="AR78" s="2133"/>
      <c r="AS78" s="2125" t="str">
        <f>VLOOKUP(I78,実績!$C$5:$CV$1474,38,0)</f>
        <v>○
6m</v>
      </c>
      <c r="AT78" s="2133"/>
      <c r="AU78" s="2125" t="str">
        <f>VLOOKUP(I78,実績!$C$5:$CV$1474,39,0)</f>
        <v>-</v>
      </c>
      <c r="AV78" s="2133"/>
      <c r="AW78" s="2125" t="str">
        <f>VLOOKUP(I78,実績!$C$5:$CV$1474,40,0)</f>
        <v>○</v>
      </c>
      <c r="AX78" s="2133"/>
      <c r="AY78" s="2125" t="str">
        <f>VLOOKUP(I78,実績!$C$5:$CV$1474,41,0)</f>
        <v>独立</v>
      </c>
      <c r="AZ78" s="2126"/>
      <c r="BA78" s="2084">
        <f>VLOOKUP(I78,実績!$C$5:$CV$1474,44,0)</f>
        <v>0</v>
      </c>
      <c r="BB78" s="2085"/>
      <c r="BC78" s="2086"/>
      <c r="BD78" s="2196"/>
      <c r="BE78" s="2197"/>
      <c r="BF78" s="2130"/>
      <c r="BG78" s="2093"/>
      <c r="BH78" s="2094"/>
      <c r="BI78" s="2094"/>
      <c r="BJ78" s="2094"/>
      <c r="BK78" s="2095"/>
      <c r="BL78" s="2099"/>
      <c r="BM78" s="2100"/>
      <c r="BN78" s="2100"/>
      <c r="BO78" s="2101"/>
      <c r="BP78" s="2099"/>
      <c r="BQ78" s="2100"/>
      <c r="BR78" s="2100"/>
      <c r="BS78" s="2102"/>
      <c r="BT78" s="2384">
        <f>ROUND(VLOOKUP(I78,実績!$C$5:$CV$1474,59,0),1)</f>
        <v>0.4</v>
      </c>
      <c r="BU78" s="2414" t="str">
        <f>VLOOKUP(I78,実績!$C$5:$CV$1474,67,0)</f>
        <v>空地</v>
      </c>
      <c r="BV78" s="2396" t="str">
        <f>VLOOKUP(I78,実績!$C$5:$CV$1474,68,0)</f>
        <v>○</v>
      </c>
      <c r="BW78" s="2381" t="str">
        <f>VLOOKUP(I78,実績!$C$5:$CV$1474,69,0)</f>
        <v>○</v>
      </c>
      <c r="BX78" s="2093" t="str">
        <f>VLOOKUP(I78,実績!$C$5:$CV$1474,75,0)</f>
        <v>造成(盛土)工事あり。造成後、ボーリング。</v>
      </c>
      <c r="BY78" s="2094"/>
      <c r="BZ78" s="2094"/>
      <c r="CA78" s="2094"/>
      <c r="CB78" s="2180"/>
      <c r="CD78" s="1968">
        <f>F78</f>
        <v>190136</v>
      </c>
      <c r="CE78" s="1968" t="str">
        <f>I78</f>
        <v>スーパーマーケット 袋井駅南</v>
      </c>
      <c r="CF78" s="96">
        <f>BD78</f>
        <v>0</v>
      </c>
      <c r="CG78" s="96">
        <f>BF78</f>
        <v>0</v>
      </c>
      <c r="CH78" s="14"/>
      <c r="CI78" s="14"/>
      <c r="CJ78" s="104"/>
      <c r="CK78" s="18"/>
      <c r="CL78" s="18"/>
      <c r="CM78" s="103"/>
      <c r="CN78" s="103"/>
      <c r="CO78" s="103"/>
      <c r="CP78" s="103"/>
      <c r="CQ78" s="103"/>
      <c r="CR78" s="103"/>
      <c r="CS78" s="103"/>
      <c r="CT78" s="103"/>
      <c r="CU78" s="103"/>
      <c r="CV78" s="103"/>
      <c r="CW78" s="103"/>
      <c r="CX78" s="44"/>
      <c r="CY78" s="44"/>
      <c r="CZ78" s="44"/>
      <c r="DA78" s="103"/>
      <c r="DB78" s="103"/>
      <c r="DC78" s="103"/>
      <c r="DD78" s="103"/>
      <c r="DE78" s="103"/>
    </row>
    <row r="79" spans="1:111" ht="30" customHeight="1" thickTop="1" thickBot="1">
      <c r="B79" s="2537"/>
      <c r="C79" s="2596"/>
      <c r="D79" s="2459"/>
      <c r="E79" s="2159"/>
      <c r="F79" s="2221" t="str">
        <f>"("&amp;SUBSTITUTE(VLOOKUP(F78,実績!$B$5:$CV$1474,17,0),"株式会社 ","")&amp;","&amp;SUBSTITUTE(VLOOKUP(F78,実績!$B$5:$CV$1474,22,0),"株式会社","")&amp;")"</f>
        <v>(上野山都市設計,ﾃｨｰｱﾝﾄﾞﾋﾟｨｰ設計事務所)</v>
      </c>
      <c r="G79" s="2222"/>
      <c r="H79" s="2222"/>
      <c r="I79" s="2222"/>
      <c r="J79" s="2222"/>
      <c r="K79" s="2222"/>
      <c r="L79" s="2222"/>
      <c r="M79" s="2222"/>
      <c r="N79" s="2222"/>
      <c r="O79" s="2222"/>
      <c r="P79" s="2222"/>
      <c r="Q79" s="2222"/>
      <c r="R79" s="2222"/>
      <c r="S79" s="2222"/>
      <c r="T79" s="2223"/>
      <c r="U79" s="2156"/>
      <c r="V79" s="2157"/>
      <c r="W79" s="2168"/>
      <c r="X79" s="2282"/>
      <c r="Y79" s="2156" t="str">
        <f>VLOOKUP(I78,実績!$C$5:$CV$1474,5,0)</f>
        <v>袋井市</v>
      </c>
      <c r="Z79" s="2169"/>
      <c r="AA79" s="2157"/>
      <c r="AB79" s="2168"/>
      <c r="AC79" s="2169"/>
      <c r="AD79" s="2157"/>
      <c r="AE79" s="2275"/>
      <c r="AF79" s="2276"/>
      <c r="AG79" s="2277"/>
      <c r="AH79" s="2156"/>
      <c r="AI79" s="2157"/>
      <c r="AJ79" s="2376"/>
      <c r="AK79" s="2377"/>
      <c r="AL79" s="2378"/>
      <c r="AM79" s="2146">
        <f>VLOOKUP(I78,実績!$C$5:$CV$1474,62,0)</f>
        <v>0</v>
      </c>
      <c r="AN79" s="2147"/>
      <c r="AO79" s="2147"/>
      <c r="AP79" s="2148"/>
      <c r="AQ79" s="2134"/>
      <c r="AR79" s="2135"/>
      <c r="AS79" s="2127"/>
      <c r="AT79" s="2135"/>
      <c r="AU79" s="2127"/>
      <c r="AV79" s="2135"/>
      <c r="AW79" s="2127"/>
      <c r="AX79" s="2135"/>
      <c r="AY79" s="2127"/>
      <c r="AZ79" s="2128"/>
      <c r="BA79" s="2084">
        <f>VLOOKUP(I78,実績!$C$5:$CV$1474,46,0)</f>
        <v>0</v>
      </c>
      <c r="BB79" s="2085"/>
      <c r="BC79" s="2086"/>
      <c r="BD79" s="2198"/>
      <c r="BE79" s="2199"/>
      <c r="BF79" s="2131"/>
      <c r="BG79" s="2096"/>
      <c r="BH79" s="2097"/>
      <c r="BI79" s="2097"/>
      <c r="BJ79" s="2097"/>
      <c r="BK79" s="2098"/>
      <c r="BL79" s="2099"/>
      <c r="BM79" s="2100"/>
      <c r="BN79" s="2100"/>
      <c r="BO79" s="2101"/>
      <c r="BP79" s="2099"/>
      <c r="BQ79" s="2100"/>
      <c r="BR79" s="2100"/>
      <c r="BS79" s="2102"/>
      <c r="BT79" s="2385"/>
      <c r="BU79" s="2415"/>
      <c r="BV79" s="2397"/>
      <c r="BW79" s="2503"/>
      <c r="BX79" s="2181"/>
      <c r="BY79" s="2182"/>
      <c r="BZ79" s="2182"/>
      <c r="CA79" s="2182"/>
      <c r="CB79" s="2183"/>
      <c r="CH79" s="14"/>
      <c r="CI79" s="14"/>
      <c r="CJ79" s="104"/>
      <c r="CK79" s="18"/>
      <c r="CL79" s="18"/>
      <c r="CM79" s="103"/>
      <c r="CN79" s="103"/>
      <c r="CO79" s="103"/>
      <c r="CP79" s="103"/>
      <c r="CQ79" s="103"/>
      <c r="CR79" s="103"/>
      <c r="CS79" s="103"/>
      <c r="CT79" s="103"/>
      <c r="CU79" s="103"/>
      <c r="CV79" s="103"/>
      <c r="CW79" s="103"/>
      <c r="CX79" s="44"/>
      <c r="CY79" s="44"/>
      <c r="CZ79" s="44"/>
      <c r="DA79" s="103"/>
      <c r="DB79" s="103"/>
      <c r="DC79" s="103"/>
      <c r="DD79" s="103"/>
      <c r="DE79" s="103"/>
    </row>
    <row r="80" spans="1:111" ht="6" customHeight="1" thickTop="1" thickBot="1">
      <c r="B80" s="2537"/>
      <c r="C80" s="33"/>
      <c r="D80" s="32"/>
      <c r="E80" s="28"/>
      <c r="F80" s="29"/>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1"/>
      <c r="CD80" s="103"/>
      <c r="CE80" s="103"/>
      <c r="CF80" s="44"/>
      <c r="CG80" s="44"/>
      <c r="CH80" s="44"/>
      <c r="CI80" s="103"/>
      <c r="CJ80" s="103"/>
      <c r="CK80" s="103"/>
      <c r="CL80" s="103"/>
      <c r="CM80" s="103"/>
    </row>
    <row r="81" spans="2:109" ht="30" customHeight="1" thickTop="1" thickBot="1">
      <c r="B81" s="2537"/>
      <c r="C81" s="2537" t="s">
        <v>15924</v>
      </c>
      <c r="D81" s="2158" t="s">
        <v>4846</v>
      </c>
      <c r="E81" s="2159"/>
      <c r="F81" s="2283">
        <f>実績!B1442</f>
        <v>200045</v>
      </c>
      <c r="G81" s="2284"/>
      <c r="H81" s="2284"/>
      <c r="I81" s="2351" t="str">
        <f>VLOOKUP(F81,実績!$B$5:$CV$1474,2,0)</f>
        <v>ﾎｸｴﾂ自動車販売㈱修理工</v>
      </c>
      <c r="J81" s="2351"/>
      <c r="K81" s="2351"/>
      <c r="L81" s="2351"/>
      <c r="M81" s="2351"/>
      <c r="N81" s="2351"/>
      <c r="O81" s="2351"/>
      <c r="P81" s="2351"/>
      <c r="Q81" s="2351"/>
      <c r="R81" s="2351"/>
      <c r="S81" s="2351"/>
      <c r="T81" s="2352"/>
      <c r="U81" s="2164" t="str">
        <f>VLOOKUP(I81,実績!$C$5:$CV$1474,3,0)</f>
        <v>大田</v>
      </c>
      <c r="V81" s="2165"/>
      <c r="W81" s="2167" t="str">
        <f>VLOOKUP(I81,実績!$C$5:$CV$1474,2,0)</f>
        <v>ユイ
ダット</v>
      </c>
      <c r="X81" s="2281"/>
      <c r="Y81" s="2164" t="str">
        <f>VLOOKUP(I81,実績!$C$5:$CV$1474,4,FALSE)</f>
        <v>埼玉県</v>
      </c>
      <c r="Z81" s="2166"/>
      <c r="AA81" s="2165"/>
      <c r="AB81" s="2167" t="str">
        <f>VLOOKUP(I81,実績!$C$5:$CV$1474,9,0)</f>
        <v>工場</v>
      </c>
      <c r="AC81" s="2166"/>
      <c r="AD81" s="2165"/>
      <c r="AE81" s="2272">
        <f>ROUND(VLOOKUP(I81,実績!$C$5:$CV$1474,42,0),-1)</f>
        <v>530</v>
      </c>
      <c r="AF81" s="2273"/>
      <c r="AG81" s="2274"/>
      <c r="AH81" s="2164" t="str">
        <f>VLOOKUP(I81,実績!$C$5:$CV$1474,50,0)</f>
        <v>○</v>
      </c>
      <c r="AI81" s="2165"/>
      <c r="AJ81" s="2264">
        <f>VLOOKUP(I81,実績!$C$5:$CV$1474,60,0)</f>
        <v>1.28</v>
      </c>
      <c r="AK81" s="2265"/>
      <c r="AL81" s="2266"/>
      <c r="AM81" s="2252" t="str">
        <f>VLOOKUP(I81,実績!$C$5:$CV$1474,61,0)</f>
        <v>有機質ｼﾙﾄ</v>
      </c>
      <c r="AN81" s="2253"/>
      <c r="AO81" s="2253"/>
      <c r="AP81" s="2254"/>
      <c r="AQ81" s="2132" t="str">
        <f>VLOOKUP(I81,実績!$C$5:$CV$1474,37,0)</f>
        <v>-</v>
      </c>
      <c r="AR81" s="2133"/>
      <c r="AS81" s="2125" t="str">
        <f>VLOOKUP(I81,実績!$C$5:$CV$1474,38,0)</f>
        <v>-</v>
      </c>
      <c r="AT81" s="2133"/>
      <c r="AU81" s="2125" t="str">
        <f>VLOOKUP(I81,実績!$C$5:$CV$1474,39,0)</f>
        <v>-</v>
      </c>
      <c r="AV81" s="2133"/>
      <c r="AW81" s="2125" t="str">
        <f>VLOOKUP(I81,実績!$C$5:$CV$1474,40,0)</f>
        <v>-</v>
      </c>
      <c r="AX81" s="2133"/>
      <c r="AY81" s="2125" t="str">
        <f>VLOOKUP(I81,実績!$C$5:$CV$1474,41,0)</f>
        <v>独立</v>
      </c>
      <c r="AZ81" s="2126"/>
      <c r="BA81" s="2240">
        <f>VLOOKUP(I81,実績!$C$5:$CV$1474,44,0)</f>
        <v>1.5</v>
      </c>
      <c r="BB81" s="2241"/>
      <c r="BC81" s="2242"/>
      <c r="BD81" s="2129" t="s">
        <v>17306</v>
      </c>
      <c r="BE81" s="2088"/>
      <c r="BF81" s="2194" t="s">
        <v>17959</v>
      </c>
      <c r="BG81" s="2093"/>
      <c r="BH81" s="2094"/>
      <c r="BI81" s="2094"/>
      <c r="BJ81" s="2094"/>
      <c r="BK81" s="2095"/>
      <c r="BL81" s="2099"/>
      <c r="BM81" s="2100"/>
      <c r="BN81" s="2100"/>
      <c r="BO81" s="2101"/>
      <c r="BP81" s="2512"/>
      <c r="BQ81" s="2512"/>
      <c r="BR81" s="2512"/>
      <c r="BS81" s="2513"/>
      <c r="BT81" s="2103">
        <f>ROUND(VLOOKUP(I81,実績!$C$5:$CV$1474,59,0),1)</f>
        <v>0.9</v>
      </c>
      <c r="BU81" s="2105" t="str">
        <f>VLOOKUP(I81,実績!$C$5:$CV$1474,67,0)</f>
        <v>住宅・店舗</v>
      </c>
      <c r="BV81" s="2136" t="str">
        <f>VLOOKUP(I81,実績!$C$5:$CV$1474,68,0)</f>
        <v>-</v>
      </c>
      <c r="BW81" s="2138" t="str">
        <f>VLOOKUP(I81,実績!$C$5:$CV$1474,69,0)</f>
        <v>○</v>
      </c>
      <c r="BX81" s="2093">
        <f>VLOOKUP(I81,実績!$C$5:$CV$1474,75,0)</f>
        <v>0</v>
      </c>
      <c r="BY81" s="2094"/>
      <c r="BZ81" s="2094"/>
      <c r="CA81" s="2094"/>
      <c r="CB81" s="2180"/>
      <c r="CD81" s="1968">
        <f>F81</f>
        <v>200045</v>
      </c>
      <c r="CE81" s="1968" t="str">
        <f>I81</f>
        <v>ﾎｸｴﾂ自動車販売㈱修理工</v>
      </c>
      <c r="CF81" s="96" t="str">
        <f>BD81</f>
        <v>10月末</v>
      </c>
      <c r="CG81" s="96" t="str">
        <f>BF81</f>
        <v>11月末</v>
      </c>
      <c r="CH81" s="14"/>
      <c r="CI81" s="14"/>
      <c r="CJ81" s="104"/>
      <c r="CK81" s="18"/>
      <c r="CL81" s="18"/>
      <c r="CM81" s="103"/>
      <c r="CN81" s="103"/>
      <c r="CO81" s="103"/>
      <c r="CP81" s="103"/>
      <c r="CQ81" s="103"/>
      <c r="CR81" s="103"/>
      <c r="CS81" s="103"/>
      <c r="CT81" s="103"/>
      <c r="CU81" s="103"/>
      <c r="CV81" s="103"/>
      <c r="CW81" s="103"/>
      <c r="CX81" s="44"/>
      <c r="CY81" s="44"/>
      <c r="CZ81" s="44"/>
      <c r="DA81" s="103"/>
      <c r="DB81" s="103"/>
      <c r="DC81" s="103"/>
      <c r="DD81" s="103"/>
      <c r="DE81" s="103"/>
    </row>
    <row r="82" spans="2:109" ht="30" customHeight="1" thickTop="1" thickBot="1">
      <c r="B82" s="2537"/>
      <c r="C82" s="2537"/>
      <c r="D82" s="2134"/>
      <c r="E82" s="2135"/>
      <c r="F82" s="2184" t="str">
        <f>"("&amp;SUBSTITUTE(VLOOKUP(I81,実績!$C$5:$CV$1474,16,0),"株式会社 ","")&amp;","&amp;SUBSTITUTE(VLOOKUP(I81,実績!$C$5:$CV$1474,21,0),"株式会社 ","")&amp;")"</f>
        <v>(a.s.t atelier,a.s.t atelier)</v>
      </c>
      <c r="G82" s="2185"/>
      <c r="H82" s="2185"/>
      <c r="I82" s="2185"/>
      <c r="J82" s="2185"/>
      <c r="K82" s="2185"/>
      <c r="L82" s="2185"/>
      <c r="M82" s="2185"/>
      <c r="N82" s="2185"/>
      <c r="O82" s="2185"/>
      <c r="P82" s="2185"/>
      <c r="Q82" s="2185"/>
      <c r="R82" s="2185"/>
      <c r="S82" s="2185"/>
      <c r="T82" s="2186"/>
      <c r="U82" s="2156"/>
      <c r="V82" s="2157"/>
      <c r="W82" s="2168"/>
      <c r="X82" s="2282"/>
      <c r="Y82" s="2156" t="str">
        <f>VLOOKUP(I81,実績!$C$5:$CV$1474,5,0)</f>
        <v>川口市</v>
      </c>
      <c r="Z82" s="2169"/>
      <c r="AA82" s="2157"/>
      <c r="AB82" s="2168"/>
      <c r="AC82" s="2169"/>
      <c r="AD82" s="2157"/>
      <c r="AE82" s="2275"/>
      <c r="AF82" s="2276"/>
      <c r="AG82" s="2277"/>
      <c r="AH82" s="2156"/>
      <c r="AI82" s="2157"/>
      <c r="AJ82" s="2278"/>
      <c r="AK82" s="2279"/>
      <c r="AL82" s="2280"/>
      <c r="AM82" s="2252">
        <f>VLOOKUP(I81,実績!$C$5:$CV$1474,62,0)</f>
        <v>1.9</v>
      </c>
      <c r="AN82" s="2253"/>
      <c r="AO82" s="2253"/>
      <c r="AP82" s="2254"/>
      <c r="AQ82" s="2134"/>
      <c r="AR82" s="2135"/>
      <c r="AS82" s="2127"/>
      <c r="AT82" s="2135"/>
      <c r="AU82" s="2127"/>
      <c r="AV82" s="2135"/>
      <c r="AW82" s="2127"/>
      <c r="AX82" s="2135"/>
      <c r="AY82" s="2127"/>
      <c r="AZ82" s="2128"/>
      <c r="BA82" s="2240">
        <f>VLOOKUP(I81,実績!$C$5:$CV$1474,46,0)</f>
        <v>1</v>
      </c>
      <c r="BB82" s="2241"/>
      <c r="BC82" s="2242"/>
      <c r="BD82" s="2249"/>
      <c r="BE82" s="2250"/>
      <c r="BF82" s="2092"/>
      <c r="BG82" s="2096"/>
      <c r="BH82" s="2097"/>
      <c r="BI82" s="2097"/>
      <c r="BJ82" s="2097"/>
      <c r="BK82" s="2098"/>
      <c r="BL82" s="2099"/>
      <c r="BM82" s="2100"/>
      <c r="BN82" s="2100"/>
      <c r="BO82" s="2101"/>
      <c r="BP82" s="2512"/>
      <c r="BQ82" s="2512"/>
      <c r="BR82" s="2512"/>
      <c r="BS82" s="2513"/>
      <c r="BT82" s="2104"/>
      <c r="BU82" s="2106"/>
      <c r="BV82" s="2188"/>
      <c r="BW82" s="2139"/>
      <c r="BX82" s="2096"/>
      <c r="BY82" s="2097"/>
      <c r="BZ82" s="2097"/>
      <c r="CA82" s="2097"/>
      <c r="CB82" s="2189"/>
      <c r="CH82" s="14"/>
      <c r="CI82" s="14"/>
      <c r="CJ82" s="104"/>
      <c r="CK82" s="18"/>
      <c r="CL82" s="18"/>
      <c r="CM82" s="103"/>
      <c r="CN82" s="103"/>
      <c r="CO82" s="103"/>
      <c r="CP82" s="103"/>
      <c r="CQ82" s="103"/>
      <c r="CR82" s="103"/>
      <c r="CS82" s="103"/>
      <c r="CT82" s="103"/>
      <c r="CU82" s="103"/>
      <c r="CV82" s="103"/>
      <c r="CW82" s="103"/>
      <c r="CX82" s="44"/>
      <c r="CY82" s="44"/>
      <c r="CZ82" s="44"/>
      <c r="DA82" s="103"/>
      <c r="DB82" s="103"/>
      <c r="DC82" s="103"/>
      <c r="DD82" s="103"/>
      <c r="DE82" s="103"/>
    </row>
    <row r="83" spans="2:109" ht="30" customHeight="1" thickTop="1" thickBot="1">
      <c r="B83" s="2537"/>
      <c r="C83" s="2537"/>
      <c r="D83" s="2158" t="s">
        <v>4846</v>
      </c>
      <c r="E83" s="2159"/>
      <c r="F83" s="2604">
        <f>実績!B1447</f>
        <v>200050</v>
      </c>
      <c r="G83" s="2605"/>
      <c r="H83" s="2605"/>
      <c r="I83" s="2606" t="str">
        <f>VLOOKUP(F83,実績!$B$5:$CV$1474,2,0)</f>
        <v>日本酪農協同(株)徳島工場</v>
      </c>
      <c r="J83" s="2606"/>
      <c r="K83" s="2606"/>
      <c r="L83" s="2606"/>
      <c r="M83" s="2606"/>
      <c r="N83" s="2606"/>
      <c r="O83" s="2606"/>
      <c r="P83" s="2606"/>
      <c r="Q83" s="2606"/>
      <c r="R83" s="2606"/>
      <c r="S83" s="2606"/>
      <c r="T83" s="2607"/>
      <c r="U83" s="2164" t="str">
        <f>VLOOKUP(I83,実績!$C$5:$CV$1474,3,0)</f>
        <v>大田</v>
      </c>
      <c r="V83" s="2165"/>
      <c r="W83" s="2167" t="str">
        <f>VLOOKUP(I83,実績!$C$5:$CV$1474,2,0)</f>
        <v>ユイ
フィ</v>
      </c>
      <c r="X83" s="2281"/>
      <c r="Y83" s="2164" t="str">
        <f>VLOOKUP(I83,実績!$C$5:$CV$1474,4,FALSE)</f>
        <v>徳島県</v>
      </c>
      <c r="Z83" s="2166"/>
      <c r="AA83" s="2165"/>
      <c r="AB83" s="2167" t="str">
        <f>VLOOKUP(I83,実績!$C$5:$CV$1474,9,0)</f>
        <v>工場</v>
      </c>
      <c r="AC83" s="2166"/>
      <c r="AD83" s="2165"/>
      <c r="AE83" s="2170">
        <f>ROUND(VLOOKUP(I83,実績!$C$5:$CV$1474,42,0),-1)</f>
        <v>0</v>
      </c>
      <c r="AF83" s="2171"/>
      <c r="AG83" s="2172"/>
      <c r="AH83" s="2176">
        <f>VLOOKUP(I83,実績!$C$5:$CV$1474,50,0)</f>
        <v>0</v>
      </c>
      <c r="AI83" s="2177"/>
      <c r="AJ83" s="2140">
        <f>VLOOKUP(I83,実績!$C$5:$CV$1474,60,0)</f>
        <v>0</v>
      </c>
      <c r="AK83" s="2141"/>
      <c r="AL83" s="2142"/>
      <c r="AM83" s="2146">
        <f>VLOOKUP(I83,実績!$C$5:$CV$1474,61,0)</f>
        <v>0</v>
      </c>
      <c r="AN83" s="2147"/>
      <c r="AO83" s="2147"/>
      <c r="AP83" s="2148"/>
      <c r="AQ83" s="2132" t="str">
        <f>VLOOKUP(I83,実績!$C$5:$CV$1474,37,0)</f>
        <v>-</v>
      </c>
      <c r="AR83" s="2133"/>
      <c r="AS83" s="2125" t="str">
        <f>VLOOKUP(I83,実績!$C$5:$CV$1474,38,0)</f>
        <v>-</v>
      </c>
      <c r="AT83" s="2133"/>
      <c r="AU83" s="2125" t="str">
        <f>VLOOKUP(I83,実績!$C$5:$CV$1474,39,0)</f>
        <v>-</v>
      </c>
      <c r="AV83" s="2133"/>
      <c r="AW83" s="2125" t="str">
        <f>VLOOKUP(I83,実績!$C$5:$CV$1474,40,0)</f>
        <v>○</v>
      </c>
      <c r="AX83" s="2133"/>
      <c r="AY83" s="2125" t="str">
        <f>VLOOKUP(I83,実績!$C$5:$CV$1474,41,0)</f>
        <v>独立</v>
      </c>
      <c r="AZ83" s="2126"/>
      <c r="BA83" s="2084">
        <f>VLOOKUP(I83,実績!$C$5:$CV$1474,44,0)</f>
        <v>0</v>
      </c>
      <c r="BB83" s="2085"/>
      <c r="BC83" s="2086"/>
      <c r="BD83" s="2421" t="s">
        <v>18113</v>
      </c>
      <c r="BE83" s="2422"/>
      <c r="BF83" s="2194">
        <v>43842</v>
      </c>
      <c r="BG83" s="2093"/>
      <c r="BH83" s="2094"/>
      <c r="BI83" s="2094"/>
      <c r="BJ83" s="2094"/>
      <c r="BK83" s="2095"/>
      <c r="BL83" s="2099"/>
      <c r="BM83" s="2100"/>
      <c r="BN83" s="2100"/>
      <c r="BO83" s="2101"/>
      <c r="BP83" s="2099"/>
      <c r="BQ83" s="2100"/>
      <c r="BR83" s="2100"/>
      <c r="BS83" s="2102"/>
      <c r="BT83" s="2103">
        <f>ROUND(VLOOKUP(I83,実績!$C$5:$CV$1474,59,0),1)</f>
        <v>0</v>
      </c>
      <c r="BU83" s="2105">
        <f>VLOOKUP(I83,実績!$C$5:$CV$1474,67,0)</f>
        <v>0</v>
      </c>
      <c r="BV83" s="2136">
        <f>VLOOKUP(I83,実績!$C$5:$CV$1474,68,0)</f>
        <v>0</v>
      </c>
      <c r="BW83" s="2138">
        <f>VLOOKUP(I83,実績!$C$5:$CV$1474,69,0)</f>
        <v>0</v>
      </c>
      <c r="BX83" s="2093" t="str">
        <f>VLOOKUP(I83,実績!$C$5:$CV$1474,75,0)</f>
        <v>2棟</v>
      </c>
      <c r="BY83" s="2094"/>
      <c r="BZ83" s="2094"/>
      <c r="CA83" s="2094"/>
      <c r="CB83" s="2180"/>
      <c r="CD83" s="1968">
        <f>F83</f>
        <v>200050</v>
      </c>
      <c r="CE83" s="1968" t="str">
        <f>I83</f>
        <v>日本酪農協同(株)徳島工場</v>
      </c>
      <c r="CF83" s="96" t="str">
        <f>BD83</f>
        <v>10月末</v>
      </c>
      <c r="CG83" s="96">
        <f>BF83</f>
        <v>43842</v>
      </c>
      <c r="CH83" s="14"/>
      <c r="CI83" s="14"/>
      <c r="CJ83" s="104"/>
      <c r="CK83" s="18"/>
      <c r="CL83" s="18"/>
      <c r="CM83" s="103"/>
      <c r="CN83" s="103"/>
      <c r="CO83" s="103"/>
      <c r="CP83" s="103"/>
      <c r="CQ83" s="103"/>
      <c r="CR83" s="103"/>
      <c r="CS83" s="103"/>
      <c r="CT83" s="103"/>
      <c r="CU83" s="103"/>
      <c r="CV83" s="103"/>
      <c r="CW83" s="103"/>
      <c r="CX83" s="44"/>
      <c r="CY83" s="44"/>
      <c r="CZ83" s="44"/>
      <c r="DA83" s="103"/>
      <c r="DB83" s="103"/>
      <c r="DC83" s="103"/>
      <c r="DD83" s="103"/>
      <c r="DE83" s="103"/>
    </row>
    <row r="84" spans="2:109" ht="30" customHeight="1" thickTop="1" thickBot="1">
      <c r="B84" s="2537"/>
      <c r="C84" s="2537"/>
      <c r="D84" s="2134"/>
      <c r="E84" s="2135"/>
      <c r="F84" s="2221" t="str">
        <f>"("&amp;SUBSTITUTE(VLOOKUP(F83,実績!$B$5:$CV$1474,17,0),"株式会社 ","")&amp;","&amp;SUBSTITUTE(VLOOKUP(F83,実績!$B$5:$CV$1474,22,0)," 株式会社","")&amp;")"</f>
        <v>(JA設計,日成ビルド工業)</v>
      </c>
      <c r="G84" s="2222"/>
      <c r="H84" s="2222"/>
      <c r="I84" s="2222"/>
      <c r="J84" s="2222"/>
      <c r="K84" s="2222"/>
      <c r="L84" s="2222"/>
      <c r="M84" s="2222"/>
      <c r="N84" s="2222"/>
      <c r="O84" s="2222"/>
      <c r="P84" s="2222"/>
      <c r="Q84" s="2222"/>
      <c r="R84" s="2222"/>
      <c r="S84" s="2222"/>
      <c r="T84" s="2223"/>
      <c r="U84" s="2156"/>
      <c r="V84" s="2157"/>
      <c r="W84" s="2168"/>
      <c r="X84" s="2282"/>
      <c r="Y84" s="2156" t="str">
        <f>VLOOKUP(I83,実績!$C$5:$CV$1474,5,0)</f>
        <v>板野郡</v>
      </c>
      <c r="Z84" s="2169"/>
      <c r="AA84" s="2157"/>
      <c r="AB84" s="2168"/>
      <c r="AC84" s="2169"/>
      <c r="AD84" s="2157"/>
      <c r="AE84" s="2173"/>
      <c r="AF84" s="2174"/>
      <c r="AG84" s="2175"/>
      <c r="AH84" s="2178"/>
      <c r="AI84" s="2179"/>
      <c r="AJ84" s="2143"/>
      <c r="AK84" s="2144"/>
      <c r="AL84" s="2145"/>
      <c r="AM84" s="2146">
        <f>VLOOKUP(I83,実績!$C$5:$CV$1474,62,0)</f>
        <v>0</v>
      </c>
      <c r="AN84" s="2147"/>
      <c r="AO84" s="2147"/>
      <c r="AP84" s="2148"/>
      <c r="AQ84" s="2134"/>
      <c r="AR84" s="2135"/>
      <c r="AS84" s="2127"/>
      <c r="AT84" s="2135"/>
      <c r="AU84" s="2127"/>
      <c r="AV84" s="2135"/>
      <c r="AW84" s="2127"/>
      <c r="AX84" s="2135"/>
      <c r="AY84" s="2127"/>
      <c r="AZ84" s="2128"/>
      <c r="BA84" s="2084">
        <f>VLOOKUP(I83,実績!$C$5:$CV$1474,46,0)</f>
        <v>0</v>
      </c>
      <c r="BB84" s="2085"/>
      <c r="BC84" s="2086"/>
      <c r="BD84" s="2567"/>
      <c r="BE84" s="2568"/>
      <c r="BF84" s="2092"/>
      <c r="BG84" s="2096"/>
      <c r="BH84" s="2097"/>
      <c r="BI84" s="2097"/>
      <c r="BJ84" s="2097"/>
      <c r="BK84" s="2098"/>
      <c r="BL84" s="2099"/>
      <c r="BM84" s="2100"/>
      <c r="BN84" s="2100"/>
      <c r="BO84" s="2101"/>
      <c r="BP84" s="2099"/>
      <c r="BQ84" s="2100"/>
      <c r="BR84" s="2100"/>
      <c r="BS84" s="2102"/>
      <c r="BT84" s="2104"/>
      <c r="BU84" s="2106"/>
      <c r="BV84" s="2188"/>
      <c r="BW84" s="2139"/>
      <c r="BX84" s="2096"/>
      <c r="BY84" s="2097"/>
      <c r="BZ84" s="2097"/>
      <c r="CA84" s="2097"/>
      <c r="CB84" s="2189"/>
      <c r="CH84" s="14"/>
      <c r="CI84" s="14"/>
      <c r="CJ84" s="104"/>
      <c r="CK84" s="18"/>
      <c r="CL84" s="18"/>
      <c r="CM84" s="103"/>
      <c r="CN84" s="103"/>
      <c r="CO84" s="103"/>
      <c r="CP84" s="103"/>
      <c r="CQ84" s="103"/>
      <c r="CR84" s="103"/>
      <c r="CS84" s="103"/>
      <c r="CT84" s="103"/>
      <c r="CU84" s="103"/>
      <c r="CV84" s="103"/>
      <c r="CW84" s="103"/>
      <c r="CX84" s="44"/>
      <c r="CY84" s="44"/>
      <c r="CZ84" s="44"/>
      <c r="DA84" s="103"/>
      <c r="DB84" s="103"/>
      <c r="DC84" s="103"/>
      <c r="DD84" s="103"/>
      <c r="DE84" s="103"/>
    </row>
    <row r="85" spans="2:109" ht="30" customHeight="1" thickTop="1" thickBot="1">
      <c r="B85" s="2537"/>
      <c r="C85" s="2537"/>
      <c r="D85" s="2158" t="s">
        <v>4846</v>
      </c>
      <c r="E85" s="2159"/>
      <c r="F85" s="2160">
        <f>実績!B1446</f>
        <v>200049</v>
      </c>
      <c r="G85" s="2161"/>
      <c r="H85" s="2161"/>
      <c r="I85" s="2162" t="str">
        <f>VLOOKUP(F85,実績!$B$5:$CV$1474,2,0)</f>
        <v>伊勢化学工業</v>
      </c>
      <c r="J85" s="2162"/>
      <c r="K85" s="2162"/>
      <c r="L85" s="2162"/>
      <c r="M85" s="2162"/>
      <c r="N85" s="2162"/>
      <c r="O85" s="2162"/>
      <c r="P85" s="2162"/>
      <c r="Q85" s="2162"/>
      <c r="R85" s="2162"/>
      <c r="S85" s="2162"/>
      <c r="T85" s="2163"/>
      <c r="U85" s="2164" t="str">
        <f>VLOOKUP(I85,実績!$C$5:$CV$1474,3,0)</f>
        <v>大田</v>
      </c>
      <c r="V85" s="2165"/>
      <c r="W85" s="2167" t="str">
        <f>VLOOKUP(I85,実績!$C$5:$CV$1474,2,0)</f>
        <v>ユイ
ダット</v>
      </c>
      <c r="X85" s="2281"/>
      <c r="Y85" s="2164" t="str">
        <f>VLOOKUP(I85,実績!$C$5:$CV$1474,4,FALSE)</f>
        <v>千葉県</v>
      </c>
      <c r="Z85" s="2166"/>
      <c r="AA85" s="2165"/>
      <c r="AB85" s="2167" t="str">
        <f>VLOOKUP(I85,実績!$C$5:$CV$1474,9,0)</f>
        <v>倉庫</v>
      </c>
      <c r="AC85" s="2166"/>
      <c r="AD85" s="2165"/>
      <c r="AE85" s="2170">
        <f>ROUND(VLOOKUP(I85,実績!$C$5:$CV$1474,42,0),-1)</f>
        <v>0</v>
      </c>
      <c r="AF85" s="2171"/>
      <c r="AG85" s="2172"/>
      <c r="AH85" s="2176">
        <f>VLOOKUP(I85,実績!$C$5:$CV$1474,50,0)</f>
        <v>0</v>
      </c>
      <c r="AI85" s="2177"/>
      <c r="AJ85" s="2140">
        <f>VLOOKUP(I85,実績!$C$5:$CV$1474,60,0)</f>
        <v>0</v>
      </c>
      <c r="AK85" s="2141"/>
      <c r="AL85" s="2142"/>
      <c r="AM85" s="2146">
        <f>VLOOKUP(I85,実績!$C$5:$CV$1474,61,0)</f>
        <v>0</v>
      </c>
      <c r="AN85" s="2147"/>
      <c r="AO85" s="2147"/>
      <c r="AP85" s="2148"/>
      <c r="AQ85" s="2132" t="str">
        <f>VLOOKUP(I85,実績!$C$5:$CV$1474,37,0)</f>
        <v>-</v>
      </c>
      <c r="AR85" s="2133"/>
      <c r="AS85" s="2118">
        <f>VLOOKUP(I85,実績!$C$5:$CV$1474,38,0)</f>
        <v>0</v>
      </c>
      <c r="AT85" s="2122"/>
      <c r="AU85" s="2125" t="str">
        <f>VLOOKUP(I85,実績!$C$5:$CV$1474,39,0)</f>
        <v>-</v>
      </c>
      <c r="AV85" s="2133"/>
      <c r="AW85" s="2555" t="str">
        <f>VLOOKUP(I85,実績!$C$5:$CV$1474,40,0)</f>
        <v>○</v>
      </c>
      <c r="AX85" s="2556"/>
      <c r="AY85" s="2125" t="str">
        <f>VLOOKUP(I85,実績!$C$5:$CV$1474,41,0)</f>
        <v>独立</v>
      </c>
      <c r="AZ85" s="2126"/>
      <c r="BA85" s="2084">
        <f>VLOOKUP(I85,実績!$C$5:$CV$1474,44,0)</f>
        <v>0</v>
      </c>
      <c r="BB85" s="2085"/>
      <c r="BC85" s="2086"/>
      <c r="BD85" s="2421" t="s">
        <v>18141</v>
      </c>
      <c r="BE85" s="2422"/>
      <c r="BF85" s="2194" t="s">
        <v>18079</v>
      </c>
      <c r="BG85" s="2093"/>
      <c r="BH85" s="2094"/>
      <c r="BI85" s="2094"/>
      <c r="BJ85" s="2094"/>
      <c r="BK85" s="2095"/>
      <c r="BL85" s="2099"/>
      <c r="BM85" s="2100"/>
      <c r="BN85" s="2100"/>
      <c r="BO85" s="2101"/>
      <c r="BP85" s="2099"/>
      <c r="BQ85" s="2100"/>
      <c r="BR85" s="2100"/>
      <c r="BS85" s="2102"/>
      <c r="BT85" s="2103">
        <f>ROUND(VLOOKUP(I85,実績!$C$5:$CV$1474,59,0),1)</f>
        <v>0</v>
      </c>
      <c r="BU85" s="2105">
        <f>VLOOKUP(I85,実績!$C$5:$CV$1474,67,0)</f>
        <v>0</v>
      </c>
      <c r="BV85" s="2136">
        <f>VLOOKUP(I85,実績!$C$5:$CV$1474,68,0)</f>
        <v>0</v>
      </c>
      <c r="BW85" s="2138">
        <f>VLOOKUP(I85,実績!$C$5:$CV$1474,69,0)</f>
        <v>0</v>
      </c>
      <c r="BX85" s="2093">
        <f>VLOOKUP(I85,実績!$C$5:$CV$1474,75,0)</f>
        <v>0</v>
      </c>
      <c r="BY85" s="2094"/>
      <c r="BZ85" s="2094"/>
      <c r="CA85" s="2094"/>
      <c r="CB85" s="2180"/>
      <c r="CD85" s="1968">
        <f>F85</f>
        <v>200049</v>
      </c>
      <c r="CE85" s="1968" t="str">
        <f>I85</f>
        <v>伊勢化学工業</v>
      </c>
      <c r="CF85" s="96" t="str">
        <f>BD85</f>
        <v>11月
初旬</v>
      </c>
      <c r="CG85" s="96" t="str">
        <f>BF85</f>
        <v>1月</v>
      </c>
      <c r="CH85" s="14"/>
      <c r="CI85" s="14"/>
      <c r="CJ85" s="104"/>
      <c r="CK85" s="18"/>
      <c r="CL85" s="18"/>
      <c r="CM85" s="103"/>
      <c r="CN85" s="103"/>
      <c r="CO85" s="103"/>
      <c r="CP85" s="103"/>
      <c r="CQ85" s="103"/>
      <c r="CR85" s="103"/>
      <c r="CS85" s="103"/>
      <c r="CT85" s="103"/>
      <c r="CU85" s="103"/>
      <c r="CV85" s="103"/>
      <c r="CW85" s="103"/>
      <c r="CX85" s="44"/>
      <c r="CY85" s="44"/>
      <c r="CZ85" s="44"/>
      <c r="DA85" s="103"/>
      <c r="DB85" s="103"/>
      <c r="DC85" s="103"/>
      <c r="DD85" s="103"/>
      <c r="DE85" s="103"/>
    </row>
    <row r="86" spans="2:109" ht="30" customHeight="1" thickTop="1" thickBot="1">
      <c r="B86" s="2537"/>
      <c r="C86" s="2537"/>
      <c r="D86" s="2134"/>
      <c r="E86" s="2135"/>
      <c r="F86" s="2184" t="str">
        <f>"("&amp;SUBSTITUTE(VLOOKUP(I85,実績!$C$5:$CV$1474,16,0),"株式会社 ","")&amp;","&amp;SUBSTITUTE(VLOOKUP(I85,実績!$C$5:$CV$1474,21,0),"株式会社 ","")&amp;")"</f>
        <v>(沖田建築設計事務所,吉野設計)</v>
      </c>
      <c r="G86" s="2185"/>
      <c r="H86" s="2185"/>
      <c r="I86" s="2185"/>
      <c r="J86" s="2185"/>
      <c r="K86" s="2185"/>
      <c r="L86" s="2185"/>
      <c r="M86" s="2185"/>
      <c r="N86" s="2185"/>
      <c r="O86" s="2185"/>
      <c r="P86" s="2185"/>
      <c r="Q86" s="2185"/>
      <c r="R86" s="2185"/>
      <c r="S86" s="2185"/>
      <c r="T86" s="2186"/>
      <c r="U86" s="2156"/>
      <c r="V86" s="2157"/>
      <c r="W86" s="2168"/>
      <c r="X86" s="2282"/>
      <c r="Y86" s="2156" t="str">
        <f>VLOOKUP(I85,実績!$C$5:$CV$1474,5,0)</f>
        <v>長生郡</v>
      </c>
      <c r="Z86" s="2169"/>
      <c r="AA86" s="2157"/>
      <c r="AB86" s="2168"/>
      <c r="AC86" s="2169"/>
      <c r="AD86" s="2157"/>
      <c r="AE86" s="2173"/>
      <c r="AF86" s="2174"/>
      <c r="AG86" s="2175"/>
      <c r="AH86" s="2178"/>
      <c r="AI86" s="2179"/>
      <c r="AJ86" s="2143"/>
      <c r="AK86" s="2144"/>
      <c r="AL86" s="2145"/>
      <c r="AM86" s="2146">
        <f>VLOOKUP(I85,実績!$C$5:$CV$1474,62,0)</f>
        <v>0</v>
      </c>
      <c r="AN86" s="2147"/>
      <c r="AO86" s="2147"/>
      <c r="AP86" s="2148"/>
      <c r="AQ86" s="2134"/>
      <c r="AR86" s="2135"/>
      <c r="AS86" s="2123"/>
      <c r="AT86" s="2124"/>
      <c r="AU86" s="2127"/>
      <c r="AV86" s="2135"/>
      <c r="AW86" s="2565"/>
      <c r="AX86" s="2566"/>
      <c r="AY86" s="2127"/>
      <c r="AZ86" s="2128"/>
      <c r="BA86" s="2084">
        <f>VLOOKUP(I85,実績!$C$5:$CV$1474,46,0)</f>
        <v>0</v>
      </c>
      <c r="BB86" s="2085"/>
      <c r="BC86" s="2086"/>
      <c r="BD86" s="2567"/>
      <c r="BE86" s="2568"/>
      <c r="BF86" s="2092"/>
      <c r="BG86" s="2096"/>
      <c r="BH86" s="2097"/>
      <c r="BI86" s="2097"/>
      <c r="BJ86" s="2097"/>
      <c r="BK86" s="2098"/>
      <c r="BL86" s="2099"/>
      <c r="BM86" s="2100"/>
      <c r="BN86" s="2100"/>
      <c r="BO86" s="2101"/>
      <c r="BP86" s="2099"/>
      <c r="BQ86" s="2100"/>
      <c r="BR86" s="2100"/>
      <c r="BS86" s="2102"/>
      <c r="BT86" s="2104"/>
      <c r="BU86" s="2106"/>
      <c r="BV86" s="2188"/>
      <c r="BW86" s="2139"/>
      <c r="BX86" s="2096"/>
      <c r="BY86" s="2097"/>
      <c r="BZ86" s="2097"/>
      <c r="CA86" s="2097"/>
      <c r="CB86" s="2189"/>
      <c r="CH86" s="14"/>
      <c r="CI86" s="14"/>
      <c r="CJ86" s="104"/>
      <c r="CK86" s="18"/>
      <c r="CL86" s="18"/>
      <c r="CM86" s="103"/>
      <c r="CN86" s="103"/>
      <c r="CO86" s="103"/>
      <c r="CP86" s="103"/>
      <c r="CQ86" s="103"/>
      <c r="CR86" s="103"/>
      <c r="CS86" s="103"/>
      <c r="CT86" s="103"/>
      <c r="CU86" s="103"/>
      <c r="CV86" s="103"/>
      <c r="CW86" s="103"/>
      <c r="CX86" s="44"/>
      <c r="CY86" s="44"/>
      <c r="CZ86" s="44"/>
      <c r="DA86" s="103"/>
      <c r="DB86" s="103"/>
      <c r="DC86" s="103"/>
      <c r="DD86" s="103"/>
      <c r="DE86" s="103"/>
    </row>
    <row r="87" spans="2:109" ht="30" customHeight="1" thickTop="1" thickBot="1">
      <c r="B87" s="2537"/>
      <c r="C87" s="2537"/>
      <c r="D87" s="2158" t="s">
        <v>4846</v>
      </c>
      <c r="E87" s="2159"/>
      <c r="F87" s="2289">
        <f>実績!B1445</f>
        <v>200048</v>
      </c>
      <c r="G87" s="2290"/>
      <c r="H87" s="2290"/>
      <c r="I87" s="2152" t="str">
        <f>VLOOKUP(F87,実績!$B$5:$CV$1474,2,0)</f>
        <v>キャニオンスパイス</v>
      </c>
      <c r="J87" s="2152"/>
      <c r="K87" s="2152"/>
      <c r="L87" s="2152"/>
      <c r="M87" s="2152"/>
      <c r="N87" s="2152"/>
      <c r="O87" s="2152"/>
      <c r="P87" s="2152"/>
      <c r="Q87" s="2152"/>
      <c r="R87" s="2152"/>
      <c r="S87" s="2152"/>
      <c r="T87" s="2153"/>
      <c r="U87" s="2154" t="str">
        <f>VLOOKUP(I87,実績!$C$5:$CV$1474,3,0)</f>
        <v>石渡</v>
      </c>
      <c r="V87" s="2155"/>
      <c r="W87" s="2285" t="str">
        <f>VLOOKUP(I87,実績!$C$5:$CV$1474,2,0)</f>
        <v>ユイ
ﾏｲｱｲﾝ</v>
      </c>
      <c r="X87" s="2291"/>
      <c r="Y87" s="2154" t="str">
        <f>VLOOKUP(I87,実績!$C$5:$CV$1474,4,FALSE)</f>
        <v>大阪府</v>
      </c>
      <c r="Z87" s="2286"/>
      <c r="AA87" s="2155"/>
      <c r="AB87" s="2285" t="str">
        <f>VLOOKUP(I87,実績!$C$5:$CV$1474,9,0)</f>
        <v>工場</v>
      </c>
      <c r="AC87" s="2286"/>
      <c r="AD87" s="2155"/>
      <c r="AE87" s="2292">
        <f>ROUND(VLOOKUP(I87,実績!$C$5:$CV$1474,42,0),-1)</f>
        <v>1380</v>
      </c>
      <c r="AF87" s="2293"/>
      <c r="AG87" s="2294"/>
      <c r="AH87" s="2164" t="str">
        <f>VLOOKUP(I87,実績!$C$5:$CV$1474,50,0)</f>
        <v>無</v>
      </c>
      <c r="AI87" s="2165"/>
      <c r="AJ87" s="2264" t="str">
        <f>VLOOKUP(I87,実績!$C$5:$CV$1474,60,0)</f>
        <v>-</v>
      </c>
      <c r="AK87" s="2265"/>
      <c r="AL87" s="2266"/>
      <c r="AM87" s="2224" t="str">
        <f>VLOOKUP(I87,実績!$C$5:$CV$1474,61,0)</f>
        <v>-</v>
      </c>
      <c r="AN87" s="2225"/>
      <c r="AO87" s="2225"/>
      <c r="AP87" s="2226"/>
      <c r="AQ87" s="2132" t="str">
        <f>VLOOKUP(I87,実績!$C$5:$CV$1474,37,0)</f>
        <v>-</v>
      </c>
      <c r="AR87" s="2133"/>
      <c r="AS87" s="2125" t="str">
        <f>VLOOKUP(I87,実績!$C$5:$CV$1474,38,0)</f>
        <v>-</v>
      </c>
      <c r="AT87" s="2133"/>
      <c r="AU87" s="2125" t="str">
        <f>VLOOKUP(I87,実績!$C$5:$CV$1474,39,0)</f>
        <v>-</v>
      </c>
      <c r="AV87" s="2133"/>
      <c r="AW87" s="2125" t="str">
        <f>VLOOKUP(I87,実績!$C$5:$CV$1474,40,0)</f>
        <v>○</v>
      </c>
      <c r="AX87" s="2133"/>
      <c r="AY87" s="2125" t="str">
        <f>VLOOKUP(I87,実績!$C$5:$CV$1474,41,0)</f>
        <v>独立</v>
      </c>
      <c r="AZ87" s="2126"/>
      <c r="BA87" s="2240">
        <f>VLOOKUP(I87,実績!$C$5:$CV$1474,44,0)</f>
        <v>1</v>
      </c>
      <c r="BB87" s="2241"/>
      <c r="BC87" s="2242"/>
      <c r="BD87" s="2421">
        <v>44141</v>
      </c>
      <c r="BE87" s="2422"/>
      <c r="BF87" s="2194" t="s">
        <v>17956</v>
      </c>
      <c r="BG87" s="2093"/>
      <c r="BH87" s="2094"/>
      <c r="BI87" s="2094"/>
      <c r="BJ87" s="2094"/>
      <c r="BK87" s="2095"/>
      <c r="BL87" s="2099"/>
      <c r="BM87" s="2100"/>
      <c r="BN87" s="2100"/>
      <c r="BO87" s="2101"/>
      <c r="BP87" s="2099"/>
      <c r="BQ87" s="2100"/>
      <c r="BR87" s="2100"/>
      <c r="BS87" s="2102"/>
      <c r="BT87" s="2103">
        <f>ROUND(VLOOKUP(I87,実績!$C$5:$CV$1474,59,0),1)</f>
        <v>4</v>
      </c>
      <c r="BU87" s="2105" t="str">
        <f>VLOOKUP(I87,実績!$C$5:$CV$1474,67,0)</f>
        <v>工場</v>
      </c>
      <c r="BV87" s="2136" t="str">
        <f>VLOOKUP(I87,実績!$C$5:$CV$1474,68,0)</f>
        <v>-</v>
      </c>
      <c r="BW87" s="2138">
        <f>VLOOKUP(I87,実績!$C$5:$CV$1474,69,0)</f>
        <v>0</v>
      </c>
      <c r="BX87" s="2093" t="str">
        <f>VLOOKUP(I87,実績!$C$5:$CV$1474,75,0)</f>
        <v>海に近い</v>
      </c>
      <c r="BY87" s="2094"/>
      <c r="BZ87" s="2094"/>
      <c r="CA87" s="2094"/>
      <c r="CB87" s="2180"/>
      <c r="CD87" s="1968">
        <f>F87</f>
        <v>200048</v>
      </c>
      <c r="CE87" s="1968" t="str">
        <f>I87</f>
        <v>キャニオンスパイス</v>
      </c>
      <c r="CF87" s="96">
        <f>BD87</f>
        <v>44141</v>
      </c>
      <c r="CG87" s="96" t="str">
        <f>BF87</f>
        <v>申請下り次第</v>
      </c>
      <c r="CH87" s="14"/>
      <c r="CI87" s="14"/>
      <c r="CJ87" s="104"/>
      <c r="CK87" s="18"/>
      <c r="CL87" s="18"/>
      <c r="CM87" s="103"/>
      <c r="CN87" s="103"/>
      <c r="CO87" s="103"/>
      <c r="CP87" s="103"/>
      <c r="CQ87" s="103"/>
      <c r="CR87" s="103"/>
      <c r="CS87" s="103"/>
      <c r="CT87" s="103"/>
      <c r="CU87" s="103"/>
      <c r="CV87" s="103"/>
      <c r="CW87" s="103"/>
      <c r="CX87" s="44"/>
      <c r="CY87" s="44"/>
      <c r="CZ87" s="44"/>
      <c r="DA87" s="103"/>
      <c r="DB87" s="103"/>
      <c r="DC87" s="103"/>
      <c r="DD87" s="103"/>
      <c r="DE87" s="103"/>
    </row>
    <row r="88" spans="2:109" ht="30" customHeight="1" thickTop="1" thickBot="1">
      <c r="B88" s="2537"/>
      <c r="C88" s="2537"/>
      <c r="D88" s="2134"/>
      <c r="E88" s="2135"/>
      <c r="F88" s="2221" t="str">
        <f>"("&amp;SUBSTITUTE(VLOOKUP(I87,実績!$C$5:$CV$1474,16,0),"有限会社 ","")&amp;","&amp;SUBSTITUTE(VLOOKUP(I87,実績!$C$5:$CV$1474,21,0),"株式会社 ","")&amp;")"</f>
        <v>(CAS建築事務所,)</v>
      </c>
      <c r="G88" s="2222"/>
      <c r="H88" s="2222"/>
      <c r="I88" s="2222"/>
      <c r="J88" s="2222"/>
      <c r="K88" s="2222"/>
      <c r="L88" s="2222"/>
      <c r="M88" s="2222"/>
      <c r="N88" s="2222"/>
      <c r="O88" s="2222"/>
      <c r="P88" s="2222"/>
      <c r="Q88" s="2222"/>
      <c r="R88" s="2222"/>
      <c r="S88" s="2222"/>
      <c r="T88" s="2223"/>
      <c r="U88" s="2156"/>
      <c r="V88" s="2157"/>
      <c r="W88" s="2168"/>
      <c r="X88" s="2282"/>
      <c r="Y88" s="2156" t="str">
        <f>VLOOKUP(I87,実績!$C$5:$CV$1474,5,0)</f>
        <v>泉南市</v>
      </c>
      <c r="Z88" s="2169"/>
      <c r="AA88" s="2157"/>
      <c r="AB88" s="2168"/>
      <c r="AC88" s="2169"/>
      <c r="AD88" s="2157"/>
      <c r="AE88" s="2275"/>
      <c r="AF88" s="2276"/>
      <c r="AG88" s="2277"/>
      <c r="AH88" s="2156"/>
      <c r="AI88" s="2157"/>
      <c r="AJ88" s="2278"/>
      <c r="AK88" s="2279"/>
      <c r="AL88" s="2280"/>
      <c r="AM88" s="2224" t="str">
        <f>VLOOKUP(I87,実績!$C$5:$CV$1474,62,0)</f>
        <v>-</v>
      </c>
      <c r="AN88" s="2225"/>
      <c r="AO88" s="2225"/>
      <c r="AP88" s="2226"/>
      <c r="AQ88" s="2134"/>
      <c r="AR88" s="2135"/>
      <c r="AS88" s="2127"/>
      <c r="AT88" s="2135"/>
      <c r="AU88" s="2127"/>
      <c r="AV88" s="2135"/>
      <c r="AW88" s="2127"/>
      <c r="AX88" s="2135"/>
      <c r="AY88" s="2127"/>
      <c r="AZ88" s="2128"/>
      <c r="BA88" s="2240">
        <f>VLOOKUP(I87,実績!$C$5:$CV$1474,46,0)</f>
        <v>1.2</v>
      </c>
      <c r="BB88" s="2241"/>
      <c r="BC88" s="2242"/>
      <c r="BD88" s="2567"/>
      <c r="BE88" s="2568"/>
      <c r="BF88" s="2092"/>
      <c r="BG88" s="2096"/>
      <c r="BH88" s="2097"/>
      <c r="BI88" s="2097"/>
      <c r="BJ88" s="2097"/>
      <c r="BK88" s="2098"/>
      <c r="BL88" s="2099"/>
      <c r="BM88" s="2100"/>
      <c r="BN88" s="2100"/>
      <c r="BO88" s="2101"/>
      <c r="BP88" s="2099"/>
      <c r="BQ88" s="2100"/>
      <c r="BR88" s="2100"/>
      <c r="BS88" s="2102"/>
      <c r="BT88" s="2104"/>
      <c r="BU88" s="2106"/>
      <c r="BV88" s="2188"/>
      <c r="BW88" s="2139"/>
      <c r="BX88" s="2096"/>
      <c r="BY88" s="2097"/>
      <c r="BZ88" s="2097"/>
      <c r="CA88" s="2097"/>
      <c r="CB88" s="2189"/>
      <c r="CH88" s="14"/>
      <c r="CI88" s="14"/>
      <c r="CJ88" s="104"/>
      <c r="CK88" s="18"/>
      <c r="CL88" s="18"/>
      <c r="CM88" s="103"/>
      <c r="CN88" s="103"/>
      <c r="CO88" s="103"/>
      <c r="CP88" s="103"/>
      <c r="CQ88" s="103"/>
      <c r="CR88" s="103"/>
      <c r="CS88" s="103"/>
      <c r="CT88" s="103"/>
      <c r="CU88" s="103"/>
      <c r="CV88" s="103"/>
      <c r="CW88" s="103"/>
      <c r="CX88" s="44"/>
      <c r="CY88" s="44"/>
      <c r="CZ88" s="44"/>
      <c r="DA88" s="103"/>
      <c r="DB88" s="103"/>
      <c r="DC88" s="103"/>
      <c r="DD88" s="103"/>
      <c r="DE88" s="103"/>
    </row>
    <row r="89" spans="2:109" ht="30" customHeight="1" thickTop="1" thickBot="1">
      <c r="B89" s="2537"/>
      <c r="C89" s="2537"/>
      <c r="D89" s="2132" t="s">
        <v>4846</v>
      </c>
      <c r="E89" s="2133"/>
      <c r="F89" s="2283">
        <f>実績!B1440</f>
        <v>200043</v>
      </c>
      <c r="G89" s="2284"/>
      <c r="H89" s="2284"/>
      <c r="I89" s="2162" t="str">
        <f>VLOOKUP(F89,実績!$B$5:$CV$1474,2,0)</f>
        <v>オートバックス秋田</v>
      </c>
      <c r="J89" s="2162"/>
      <c r="K89" s="2162"/>
      <c r="L89" s="2162"/>
      <c r="M89" s="2162"/>
      <c r="N89" s="2162"/>
      <c r="O89" s="2162"/>
      <c r="P89" s="2162"/>
      <c r="Q89" s="2162"/>
      <c r="R89" s="2162"/>
      <c r="S89" s="2162"/>
      <c r="T89" s="2163"/>
      <c r="U89" s="2164" t="str">
        <f>VLOOKUP(I89,実績!$C$5:$CV$1474,3,0)</f>
        <v>竹内(宗)</v>
      </c>
      <c r="V89" s="2165"/>
      <c r="W89" s="2167" t="str">
        <f>VLOOKUP(I89,実績!$C$5:$CV$1474,2,0)</f>
        <v>村上
ﾏｲｱｲﾝ</v>
      </c>
      <c r="X89" s="2281"/>
      <c r="Y89" s="2164" t="str">
        <f>VLOOKUP(I89,実績!$C$5:$CV$1474,4,FALSE)</f>
        <v>秋田県</v>
      </c>
      <c r="Z89" s="2166"/>
      <c r="AA89" s="2165"/>
      <c r="AB89" s="2167" t="str">
        <f>VLOOKUP(I89,実績!$C$5:$CV$1474,9,0)</f>
        <v>工場・店舗</v>
      </c>
      <c r="AC89" s="2166"/>
      <c r="AD89" s="2165"/>
      <c r="AE89" s="2272">
        <f>ROUND(VLOOKUP(I89,実績!$C$5:$CV$1474,42,0),-1)</f>
        <v>1500</v>
      </c>
      <c r="AF89" s="2273"/>
      <c r="AG89" s="2274"/>
      <c r="AH89" s="2164" t="str">
        <f>VLOOKUP(I89,実績!$C$5:$CV$1474,50,0)</f>
        <v>無</v>
      </c>
      <c r="AI89" s="2165"/>
      <c r="AJ89" s="2264">
        <f>VLOOKUP(I89,実績!$C$5:$CV$1474,60,0)</f>
        <v>2.2999999999999998</v>
      </c>
      <c r="AK89" s="2265"/>
      <c r="AL89" s="2266"/>
      <c r="AM89" s="2252" t="str">
        <f>VLOOKUP(I89,実績!$C$5:$CV$1474,61,0)</f>
        <v>有機質ｼﾙﾄ</v>
      </c>
      <c r="AN89" s="2253"/>
      <c r="AO89" s="2253"/>
      <c r="AP89" s="2254"/>
      <c r="AQ89" s="2132" t="str">
        <f>VLOOKUP(I89,実績!$C$5:$CV$1474,37,0)</f>
        <v>-</v>
      </c>
      <c r="AR89" s="2133"/>
      <c r="AS89" s="2555" t="str">
        <f>VLOOKUP(I89,実績!$C$5:$CV$1474,38,0)</f>
        <v>○
4m</v>
      </c>
      <c r="AT89" s="2556"/>
      <c r="AU89" s="2125" t="str">
        <f>VLOOKUP(I89,実績!$C$5:$CV$1474,39,0)</f>
        <v>-</v>
      </c>
      <c r="AV89" s="2133"/>
      <c r="AW89" s="2125" t="str">
        <f>VLOOKUP(I89,実績!$C$5:$CV$1474,40,0)</f>
        <v>-</v>
      </c>
      <c r="AX89" s="2133"/>
      <c r="AY89" s="2125" t="str">
        <f>VLOOKUP(I89,実績!$C$5:$CV$1474,41,0)</f>
        <v>独立</v>
      </c>
      <c r="AZ89" s="2126"/>
      <c r="BA89" s="2240">
        <f>VLOOKUP(I89,実績!$C$5:$CV$1474,44,0)</f>
        <v>1</v>
      </c>
      <c r="BB89" s="2241"/>
      <c r="BC89" s="2242"/>
      <c r="BD89" s="2421">
        <v>44154</v>
      </c>
      <c r="BE89" s="2422"/>
      <c r="BF89" s="2194" t="s">
        <v>17782</v>
      </c>
      <c r="BG89" s="2093"/>
      <c r="BH89" s="2094"/>
      <c r="BI89" s="2094"/>
      <c r="BJ89" s="2094"/>
      <c r="BK89" s="2095"/>
      <c r="BL89" s="2099"/>
      <c r="BM89" s="2100"/>
      <c r="BN89" s="2100"/>
      <c r="BO89" s="2101"/>
      <c r="BP89" s="2076"/>
      <c r="BQ89" s="2076"/>
      <c r="BR89" s="2076"/>
      <c r="BS89" s="2077"/>
      <c r="BT89" s="2103">
        <f>ROUND(VLOOKUP(I89,実績!$C$5:$CV$1474,59,0),1)</f>
        <v>0.5</v>
      </c>
      <c r="BU89" s="2105" t="str">
        <f>VLOOKUP(I89,実績!$C$5:$CV$1474,67,0)</f>
        <v>住宅・店舗</v>
      </c>
      <c r="BV89" s="2136" t="str">
        <f>VLOOKUP(I89,実績!$C$5:$CV$1474,68,0)</f>
        <v>-</v>
      </c>
      <c r="BW89" s="2138">
        <f>VLOOKUP(I89,実績!$C$5:$CV$1474,69,0)</f>
        <v>0</v>
      </c>
      <c r="BX89" s="2093">
        <f>VLOOKUP(I89,実績!$C$5:$CV$1474,75,0)</f>
        <v>0</v>
      </c>
      <c r="BY89" s="2094"/>
      <c r="BZ89" s="2094"/>
      <c r="CA89" s="2094"/>
      <c r="CB89" s="2180"/>
      <c r="CD89" s="1968">
        <f>F89</f>
        <v>200043</v>
      </c>
      <c r="CE89" s="1968" t="str">
        <f>I89</f>
        <v>オートバックス秋田</v>
      </c>
      <c r="CF89" s="96">
        <f>BD89</f>
        <v>44154</v>
      </c>
      <c r="CG89" s="96" t="str">
        <f>BF89</f>
        <v>2月頭</v>
      </c>
      <c r="CH89" s="14"/>
      <c r="CI89" s="14"/>
      <c r="CJ89" s="104"/>
      <c r="CK89" s="18"/>
      <c r="CL89" s="18"/>
      <c r="CM89" s="103"/>
      <c r="CN89" s="103"/>
      <c r="CO89" s="103"/>
      <c r="CP89" s="103"/>
      <c r="CQ89" s="103"/>
      <c r="CR89" s="103"/>
      <c r="CS89" s="103"/>
      <c r="CT89" s="103"/>
      <c r="CU89" s="103"/>
      <c r="CV89" s="103"/>
      <c r="CW89" s="103"/>
      <c r="CX89" s="44"/>
      <c r="CY89" s="44"/>
      <c r="CZ89" s="44"/>
      <c r="DA89" s="103"/>
      <c r="DB89" s="103"/>
      <c r="DC89" s="103"/>
      <c r="DD89" s="103"/>
      <c r="DE89" s="103"/>
    </row>
    <row r="90" spans="2:109" ht="30" customHeight="1" thickTop="1" thickBot="1">
      <c r="B90" s="2537"/>
      <c r="C90" s="2537"/>
      <c r="D90" s="2134"/>
      <c r="E90" s="2135"/>
      <c r="F90" s="2184" t="str">
        <f>"("&amp;SUBSTITUTE(VLOOKUP(I89,実績!$C$5:$CV$1474,16,0),"株式会社 ","")&amp;","&amp;SUBSTITUTE(VLOOKUP(I89,実績!$C$5:$CV$1474,21,0),"株式会社 ","")&amp;")"</f>
        <v>(建築企画,三浦建築設計事務所)</v>
      </c>
      <c r="G90" s="2185"/>
      <c r="H90" s="2185"/>
      <c r="I90" s="2185"/>
      <c r="J90" s="2185"/>
      <c r="K90" s="2185"/>
      <c r="L90" s="2185"/>
      <c r="M90" s="2185"/>
      <c r="N90" s="2185"/>
      <c r="O90" s="2185"/>
      <c r="P90" s="2185"/>
      <c r="Q90" s="2185"/>
      <c r="R90" s="2185"/>
      <c r="S90" s="2185"/>
      <c r="T90" s="2186"/>
      <c r="U90" s="2156"/>
      <c r="V90" s="2157"/>
      <c r="W90" s="2168"/>
      <c r="X90" s="2282"/>
      <c r="Y90" s="2156" t="str">
        <f>VLOOKUP(I89,実績!$C$5:$CV$1474,5,0)</f>
        <v>秋田市</v>
      </c>
      <c r="Z90" s="2169"/>
      <c r="AA90" s="2157"/>
      <c r="AB90" s="2168"/>
      <c r="AC90" s="2169"/>
      <c r="AD90" s="2157"/>
      <c r="AE90" s="2275"/>
      <c r="AF90" s="2276"/>
      <c r="AG90" s="2277"/>
      <c r="AH90" s="2154"/>
      <c r="AI90" s="2155"/>
      <c r="AJ90" s="2267"/>
      <c r="AK90" s="2268"/>
      <c r="AL90" s="2269"/>
      <c r="AM90" s="2331">
        <f>VLOOKUP(I89,実績!$C$5:$CV$1474,62,0)</f>
        <v>2.4500000000000002</v>
      </c>
      <c r="AN90" s="2332"/>
      <c r="AO90" s="2332"/>
      <c r="AP90" s="2333"/>
      <c r="AQ90" s="2158"/>
      <c r="AR90" s="2159"/>
      <c r="AS90" s="2557"/>
      <c r="AT90" s="2558"/>
      <c r="AU90" s="2114"/>
      <c r="AV90" s="2159"/>
      <c r="AW90" s="2114"/>
      <c r="AX90" s="2159"/>
      <c r="AY90" s="2114"/>
      <c r="AZ90" s="2115"/>
      <c r="BA90" s="2240">
        <f>VLOOKUP(I89,実績!$C$5:$CV$1474,46,0)</f>
        <v>1.5</v>
      </c>
      <c r="BB90" s="2241"/>
      <c r="BC90" s="2242"/>
      <c r="BD90" s="2423"/>
      <c r="BE90" s="2424"/>
      <c r="BF90" s="2251"/>
      <c r="BG90" s="2181"/>
      <c r="BH90" s="2182"/>
      <c r="BI90" s="2182"/>
      <c r="BJ90" s="2182"/>
      <c r="BK90" s="2206"/>
      <c r="BL90" s="2287"/>
      <c r="BM90" s="2288"/>
      <c r="BN90" s="2288"/>
      <c r="BO90" s="2402"/>
      <c r="BP90" s="2078"/>
      <c r="BQ90" s="2078"/>
      <c r="BR90" s="2078"/>
      <c r="BS90" s="2079"/>
      <c r="BT90" s="2210"/>
      <c r="BU90" s="2403"/>
      <c r="BV90" s="2137"/>
      <c r="BW90" s="2383"/>
      <c r="BX90" s="2181"/>
      <c r="BY90" s="2182"/>
      <c r="BZ90" s="2182"/>
      <c r="CA90" s="2182"/>
      <c r="CB90" s="2183"/>
      <c r="CH90" s="14"/>
      <c r="CI90" s="14"/>
      <c r="CJ90" s="104"/>
      <c r="CK90" s="18"/>
      <c r="CL90" s="18"/>
      <c r="CM90" s="103"/>
      <c r="CN90" s="103"/>
      <c r="CO90" s="103"/>
      <c r="CP90" s="103"/>
      <c r="CQ90" s="103"/>
      <c r="CR90" s="103"/>
      <c r="CS90" s="103"/>
      <c r="CT90" s="103"/>
      <c r="CU90" s="103"/>
      <c r="CV90" s="103"/>
      <c r="CW90" s="103"/>
      <c r="CX90" s="44"/>
      <c r="CY90" s="44"/>
      <c r="CZ90" s="44"/>
      <c r="DA90" s="103"/>
      <c r="DB90" s="103"/>
      <c r="DC90" s="103"/>
      <c r="DD90" s="103"/>
      <c r="DE90" s="103"/>
    </row>
    <row r="91" spans="2:109" ht="30" customHeight="1" thickTop="1" thickBot="1">
      <c r="B91" s="2537"/>
      <c r="C91" s="2537"/>
      <c r="D91" s="2158" t="s">
        <v>4846</v>
      </c>
      <c r="E91" s="2159"/>
      <c r="F91" s="2283">
        <f>実績!B1444</f>
        <v>200047</v>
      </c>
      <c r="G91" s="2284"/>
      <c r="H91" s="2284"/>
      <c r="I91" s="2162" t="str">
        <f>VLOOKUP(F91,実績!$B$5:$CV$1474,2,0)</f>
        <v>宇治田原町 倉庫</v>
      </c>
      <c r="J91" s="2162"/>
      <c r="K91" s="2162"/>
      <c r="L91" s="2162"/>
      <c r="M91" s="2162"/>
      <c r="N91" s="2162"/>
      <c r="O91" s="2162"/>
      <c r="P91" s="2162"/>
      <c r="Q91" s="2162"/>
      <c r="R91" s="2162"/>
      <c r="S91" s="2162"/>
      <c r="T91" s="2163"/>
      <c r="U91" s="2164" t="str">
        <f>VLOOKUP(I91,実績!$C$5:$CV$1474,3,0)</f>
        <v>新井</v>
      </c>
      <c r="V91" s="2165"/>
      <c r="W91" s="2344" t="str">
        <f>VLOOKUP(I91,実績!$C$5:$CV$1474,2,0)</f>
        <v>ユイ
フィ</v>
      </c>
      <c r="X91" s="2345"/>
      <c r="Y91" s="2164" t="str">
        <f>VLOOKUP(I91,実績!$C$5:$CV$1474,4,FALSE)</f>
        <v>京都府</v>
      </c>
      <c r="Z91" s="2166"/>
      <c r="AA91" s="2165"/>
      <c r="AB91" s="2167" t="str">
        <f>VLOOKUP(I91,実績!$C$5:$CV$1474,9,0)</f>
        <v>倉庫</v>
      </c>
      <c r="AC91" s="2166"/>
      <c r="AD91" s="2165"/>
      <c r="AE91" s="2272">
        <f>ROUND(VLOOKUP(I91,実績!$C$5:$CV$1474,42,0),-1)</f>
        <v>3050</v>
      </c>
      <c r="AF91" s="2273"/>
      <c r="AG91" s="2274"/>
      <c r="AH91" s="2164" t="str">
        <f>VLOOKUP(I91,実績!$C$5:$CV$1474,50,0)</f>
        <v>無</v>
      </c>
      <c r="AI91" s="2165"/>
      <c r="AJ91" s="2264">
        <f>VLOOKUP(I91,実績!$C$5:$CV$1474,60,0)</f>
        <v>2.34</v>
      </c>
      <c r="AK91" s="2265"/>
      <c r="AL91" s="2266"/>
      <c r="AM91" s="2224" t="str">
        <f>VLOOKUP(I91,実績!$C$5:$CV$1474,61,0)</f>
        <v>-</v>
      </c>
      <c r="AN91" s="2225"/>
      <c r="AO91" s="2225"/>
      <c r="AP91" s="2226"/>
      <c r="AQ91" s="2132" t="str">
        <f>VLOOKUP(I91,実績!$C$5:$CV$1474,37,0)</f>
        <v>-</v>
      </c>
      <c r="AR91" s="2133"/>
      <c r="AS91" s="2125" t="str">
        <f>VLOOKUP(I91,実績!$C$5:$CV$1474,38,0)</f>
        <v>-</v>
      </c>
      <c r="AT91" s="2133"/>
      <c r="AU91" s="2125" t="str">
        <f>VLOOKUP(I91,実績!$C$5:$CV$1474,39,0)</f>
        <v>-</v>
      </c>
      <c r="AV91" s="2133"/>
      <c r="AW91" s="2125" t="str">
        <f>VLOOKUP(I91,実績!$C$5:$CV$1474,40,0)</f>
        <v>-</v>
      </c>
      <c r="AX91" s="2133"/>
      <c r="AY91" s="2125" t="str">
        <f>VLOOKUP(I91,実績!$C$5:$CV$1474,41,0)</f>
        <v>独立</v>
      </c>
      <c r="AZ91" s="2126"/>
      <c r="BA91" s="2240">
        <f>VLOOKUP(I91,実績!$C$5:$CV$1474,44,0)</f>
        <v>1</v>
      </c>
      <c r="BB91" s="2241"/>
      <c r="BC91" s="2242"/>
      <c r="BD91" s="2421" t="s">
        <v>18133</v>
      </c>
      <c r="BE91" s="2422"/>
      <c r="BF91" s="2194">
        <v>43840</v>
      </c>
      <c r="BG91" s="2093"/>
      <c r="BH91" s="2094"/>
      <c r="BI91" s="2094"/>
      <c r="BJ91" s="2094"/>
      <c r="BK91" s="2095"/>
      <c r="BL91" s="2099"/>
      <c r="BM91" s="2100"/>
      <c r="BN91" s="2100"/>
      <c r="BO91" s="2101"/>
      <c r="BP91" s="2099"/>
      <c r="BQ91" s="2100"/>
      <c r="BR91" s="2100"/>
      <c r="BS91" s="2102"/>
      <c r="BT91" s="2103">
        <f>ROUND(VLOOKUP(I91,実績!$C$5:$CV$1474,59,0),1)</f>
        <v>3.5</v>
      </c>
      <c r="BU91" s="2105" t="str">
        <f>VLOOKUP(I91,実績!$C$5:$CV$1474,67,0)</f>
        <v>住宅</v>
      </c>
      <c r="BV91" s="2136" t="str">
        <f>VLOOKUP(I91,実績!$C$5:$CV$1474,68,0)</f>
        <v>-</v>
      </c>
      <c r="BW91" s="2138">
        <f>VLOOKUP(I91,実績!$C$5:$CV$1474,69,0)</f>
        <v>0</v>
      </c>
      <c r="BX91" s="2093" t="str">
        <f>VLOOKUP(I91,実績!$C$5:$CV$1474,75,0)</f>
        <v>ラックあり。既存擁壁近接。</v>
      </c>
      <c r="BY91" s="2094"/>
      <c r="BZ91" s="2094"/>
      <c r="CA91" s="2094"/>
      <c r="CB91" s="2180"/>
      <c r="CD91" s="1968">
        <f>F91</f>
        <v>200047</v>
      </c>
      <c r="CE91" s="1968" t="str">
        <f>I91</f>
        <v>宇治田原町 倉庫</v>
      </c>
      <c r="CF91" s="96" t="str">
        <f>BD91</f>
        <v>11月
下旬</v>
      </c>
      <c r="CG91" s="96">
        <f>BF91</f>
        <v>43840</v>
      </c>
      <c r="CH91" s="14"/>
      <c r="CI91" s="14"/>
      <c r="CJ91" s="104"/>
      <c r="CK91" s="18"/>
      <c r="CL91" s="18"/>
      <c r="CM91" s="103"/>
      <c r="CN91" s="103"/>
      <c r="CO91" s="103"/>
      <c r="CP91" s="103"/>
      <c r="CQ91" s="103"/>
      <c r="CR91" s="103"/>
      <c r="CS91" s="103"/>
      <c r="CT91" s="103"/>
      <c r="CU91" s="103"/>
      <c r="CV91" s="103"/>
      <c r="CW91" s="103"/>
      <c r="CX91" s="44"/>
      <c r="CY91" s="44"/>
      <c r="CZ91" s="44"/>
      <c r="DA91" s="103"/>
      <c r="DB91" s="103"/>
      <c r="DC91" s="103"/>
      <c r="DD91" s="103"/>
      <c r="DE91" s="103"/>
    </row>
    <row r="92" spans="2:109" ht="30" customHeight="1" thickTop="1" thickBot="1">
      <c r="B92" s="2537"/>
      <c r="C92" s="2537"/>
      <c r="D92" s="2134"/>
      <c r="E92" s="2135"/>
      <c r="F92" s="2221" t="str">
        <f>"("&amp;SUBSTITUTE(VLOOKUP(I91,実績!$C$5:$CV$1474,16,0),"株式会社 ","")&amp;","&amp;SUBSTITUTE(VLOOKUP(I91,実績!$C$5:$CV$1474,21,0)," 株式会社","")&amp;")"</f>
        <v>(SIN建築設計,ケースリーコンサルティング)</v>
      </c>
      <c r="G92" s="2222"/>
      <c r="H92" s="2222"/>
      <c r="I92" s="2222"/>
      <c r="J92" s="2222"/>
      <c r="K92" s="2222"/>
      <c r="L92" s="2222"/>
      <c r="M92" s="2222"/>
      <c r="N92" s="2222"/>
      <c r="O92" s="2222"/>
      <c r="P92" s="2222"/>
      <c r="Q92" s="2222"/>
      <c r="R92" s="2222"/>
      <c r="S92" s="2222"/>
      <c r="T92" s="2223"/>
      <c r="U92" s="2156"/>
      <c r="V92" s="2157"/>
      <c r="W92" s="2346"/>
      <c r="X92" s="2347"/>
      <c r="Y92" s="2156" t="str">
        <f>VLOOKUP(I91,実績!$C$5:$CV$1474,5,0)</f>
        <v>綴喜郡</v>
      </c>
      <c r="Z92" s="2169"/>
      <c r="AA92" s="2157"/>
      <c r="AB92" s="2168"/>
      <c r="AC92" s="2169"/>
      <c r="AD92" s="2157"/>
      <c r="AE92" s="2275"/>
      <c r="AF92" s="2276"/>
      <c r="AG92" s="2277"/>
      <c r="AH92" s="2156"/>
      <c r="AI92" s="2157"/>
      <c r="AJ92" s="2278"/>
      <c r="AK92" s="2279"/>
      <c r="AL92" s="2280"/>
      <c r="AM92" s="2224" t="str">
        <f>VLOOKUP(I91,実績!$C$5:$CV$1474,62,0)</f>
        <v>-</v>
      </c>
      <c r="AN92" s="2225"/>
      <c r="AO92" s="2225"/>
      <c r="AP92" s="2226"/>
      <c r="AQ92" s="2134"/>
      <c r="AR92" s="2135"/>
      <c r="AS92" s="2127"/>
      <c r="AT92" s="2135"/>
      <c r="AU92" s="2127"/>
      <c r="AV92" s="2135"/>
      <c r="AW92" s="2127"/>
      <c r="AX92" s="2135"/>
      <c r="AY92" s="2127"/>
      <c r="AZ92" s="2128"/>
      <c r="BA92" s="2240">
        <f>VLOOKUP(I91,実績!$C$5:$CV$1474,46,0)</f>
        <v>1.5</v>
      </c>
      <c r="BB92" s="2241"/>
      <c r="BC92" s="2242"/>
      <c r="BD92" s="2567"/>
      <c r="BE92" s="2568"/>
      <c r="BF92" s="2092"/>
      <c r="BG92" s="2096"/>
      <c r="BH92" s="2097"/>
      <c r="BI92" s="2097"/>
      <c r="BJ92" s="2097"/>
      <c r="BK92" s="2098"/>
      <c r="BL92" s="2099"/>
      <c r="BM92" s="2100"/>
      <c r="BN92" s="2100"/>
      <c r="BO92" s="2101"/>
      <c r="BP92" s="2099"/>
      <c r="BQ92" s="2100"/>
      <c r="BR92" s="2100"/>
      <c r="BS92" s="2102"/>
      <c r="BT92" s="2104"/>
      <c r="BU92" s="2106"/>
      <c r="BV92" s="2188"/>
      <c r="BW92" s="2139"/>
      <c r="BX92" s="2096"/>
      <c r="BY92" s="2097"/>
      <c r="BZ92" s="2097"/>
      <c r="CA92" s="2097"/>
      <c r="CB92" s="2189"/>
      <c r="CH92" s="14"/>
      <c r="CI92" s="14"/>
      <c r="CJ92" s="104"/>
      <c r="CK92" s="18"/>
      <c r="CL92" s="18"/>
      <c r="CM92" s="103"/>
      <c r="CN92" s="103"/>
      <c r="CO92" s="103"/>
      <c r="CP92" s="103"/>
      <c r="CQ92" s="103"/>
      <c r="CR92" s="103"/>
      <c r="CS92" s="103"/>
      <c r="CT92" s="103"/>
      <c r="CU92" s="103"/>
      <c r="CV92" s="103"/>
      <c r="CW92" s="103"/>
      <c r="CX92" s="44"/>
      <c r="CY92" s="44"/>
      <c r="CZ92" s="44"/>
      <c r="DA92" s="103"/>
      <c r="DB92" s="103"/>
      <c r="DC92" s="103"/>
      <c r="DD92" s="103"/>
      <c r="DE92" s="103"/>
    </row>
    <row r="93" spans="2:109" ht="30" customHeight="1" thickTop="1" thickBot="1">
      <c r="B93" s="2537"/>
      <c r="C93" s="2537"/>
      <c r="D93" s="2238" t="s">
        <v>4846</v>
      </c>
      <c r="E93" s="2239"/>
      <c r="F93" s="2283">
        <f>実績!B1427</f>
        <v>200030</v>
      </c>
      <c r="G93" s="2284"/>
      <c r="H93" s="2284"/>
      <c r="I93" s="2162" t="str">
        <f>VLOOKUP(F93,実績!$B$5:$CV$1474,2,0)</f>
        <v>北海道クボタ岩見沢営業所</v>
      </c>
      <c r="J93" s="2162"/>
      <c r="K93" s="2162"/>
      <c r="L93" s="2162"/>
      <c r="M93" s="2162"/>
      <c r="N93" s="2162"/>
      <c r="O93" s="2162"/>
      <c r="P93" s="2162"/>
      <c r="Q93" s="2162"/>
      <c r="R93" s="2162"/>
      <c r="S93" s="2162"/>
      <c r="T93" s="2163"/>
      <c r="U93" s="2164" t="str">
        <f>VLOOKUP(I93,実績!$C$5:$CV$1474,3,0)</f>
        <v>竹内(宗)</v>
      </c>
      <c r="V93" s="2165"/>
      <c r="W93" s="2167" t="str">
        <f>VLOOKUP(I93,実績!$C$5:$CV$1474,2,0)</f>
        <v>村上
ユイ</v>
      </c>
      <c r="X93" s="2281"/>
      <c r="Y93" s="2164" t="str">
        <f>VLOOKUP(I93,実績!$C$5:$CV$1474,4,FALSE)</f>
        <v>北海道</v>
      </c>
      <c r="Z93" s="2166"/>
      <c r="AA93" s="2165"/>
      <c r="AB93" s="2167" t="str">
        <f>VLOOKUP(I93,実績!$C$5:$CV$1474,9,0)</f>
        <v>農機具修理工場</v>
      </c>
      <c r="AC93" s="2166"/>
      <c r="AD93" s="2165"/>
      <c r="AE93" s="2272">
        <f>ROUND(VLOOKUP(I93,実績!$C$5:$CV$1474,42,0),-1)</f>
        <v>1160</v>
      </c>
      <c r="AF93" s="2273"/>
      <c r="AG93" s="2274"/>
      <c r="AH93" s="2164" t="str">
        <f>VLOOKUP(I93,実績!$C$5:$CV$1474,50,0)</f>
        <v>○</v>
      </c>
      <c r="AI93" s="2165"/>
      <c r="AJ93" s="2373">
        <f>VLOOKUP(I93,実績!$C$5:$CV$1474,60,0)</f>
        <v>0.97</v>
      </c>
      <c r="AK93" s="2374"/>
      <c r="AL93" s="2375"/>
      <c r="AM93" s="2252" t="str">
        <f>VLOOKUP(I93,実績!$C$5:$CV$1474,61,0)</f>
        <v>腐植物混じりｼﾙﾄ</v>
      </c>
      <c r="AN93" s="2253"/>
      <c r="AO93" s="2253"/>
      <c r="AP93" s="2254"/>
      <c r="AQ93" s="2132" t="str">
        <f>VLOOKUP(I93,実績!$C$5:$CV$1474,37,0)</f>
        <v>-</v>
      </c>
      <c r="AR93" s="2133"/>
      <c r="AS93" s="2125" t="str">
        <f>VLOOKUP(I93,実績!$C$5:$CV$1474,38,0)</f>
        <v>○
6m</v>
      </c>
      <c r="AT93" s="2133"/>
      <c r="AU93" s="2125" t="str">
        <f>VLOOKUP(I93,実績!$C$5:$CV$1474,39,0)</f>
        <v>-</v>
      </c>
      <c r="AV93" s="2133"/>
      <c r="AW93" s="2125" t="str">
        <f>VLOOKUP(I93,実績!$C$5:$CV$1474,40,0)</f>
        <v>○</v>
      </c>
      <c r="AX93" s="2133"/>
      <c r="AY93" s="2125" t="str">
        <f>VLOOKUP(I93,実績!$C$5:$CV$1474,41,0)</f>
        <v>独立</v>
      </c>
      <c r="AZ93" s="2126"/>
      <c r="BA93" s="2240">
        <f>VLOOKUP(I93,実績!$C$5:$CV$1474,44,0)</f>
        <v>1</v>
      </c>
      <c r="BB93" s="2241"/>
      <c r="BC93" s="2242"/>
      <c r="BD93" s="2129" t="s">
        <v>17787</v>
      </c>
      <c r="BE93" s="2088"/>
      <c r="BF93" s="2194" t="s">
        <v>17500</v>
      </c>
      <c r="BG93" s="2093"/>
      <c r="BH93" s="2094"/>
      <c r="BI93" s="2094"/>
      <c r="BJ93" s="2094"/>
      <c r="BK93" s="2095"/>
      <c r="BL93" s="2099"/>
      <c r="BM93" s="2100"/>
      <c r="BN93" s="2100"/>
      <c r="BO93" s="2101"/>
      <c r="BP93" s="2099"/>
      <c r="BQ93" s="2100"/>
      <c r="BR93" s="2100"/>
      <c r="BS93" s="2102"/>
      <c r="BT93" s="2103">
        <f>ROUND(VLOOKUP(I93,実績!$C$5:$CV$1474,59,0),1)</f>
        <v>1.1000000000000001</v>
      </c>
      <c r="BU93" s="2105">
        <f>VLOOKUP(I93,実績!$C$5:$CV$1474,67,0)</f>
        <v>0</v>
      </c>
      <c r="BV93" s="2136" t="str">
        <f>VLOOKUP(I93,実績!$C$5:$CV$1474,68,0)</f>
        <v>-</v>
      </c>
      <c r="BW93" s="2138" t="str">
        <f>VLOOKUP(I93,実績!$C$5:$CV$1474,69,0)</f>
        <v>○</v>
      </c>
      <c r="BX93" s="2093">
        <f>VLOOKUP(I93,実績!$C$5:$CV$1474,75,0)</f>
        <v>0</v>
      </c>
      <c r="BY93" s="2094"/>
      <c r="BZ93" s="2094"/>
      <c r="CA93" s="2094"/>
      <c r="CB93" s="2180"/>
      <c r="CD93" s="1968">
        <f>F93</f>
        <v>200030</v>
      </c>
      <c r="CE93" s="1968" t="str">
        <f>I93</f>
        <v>北海道クボタ岩見沢営業所</v>
      </c>
      <c r="CF93" s="96" t="str">
        <f>BD93</f>
        <v>12月末</v>
      </c>
      <c r="CG93" s="96" t="str">
        <f>BF93</f>
        <v>来春</v>
      </c>
      <c r="CH93" s="14"/>
      <c r="CI93" s="14"/>
      <c r="CJ93" s="104"/>
      <c r="CK93" s="18"/>
      <c r="CL93" s="18"/>
      <c r="CM93" s="103"/>
      <c r="CN93" s="103"/>
      <c r="CO93" s="103"/>
      <c r="CP93" s="103"/>
      <c r="CQ93" s="103"/>
      <c r="CR93" s="103"/>
      <c r="CS93" s="103"/>
      <c r="CT93" s="103"/>
      <c r="CU93" s="103"/>
      <c r="CV93" s="103"/>
      <c r="CW93" s="103"/>
      <c r="CX93" s="44"/>
      <c r="CY93" s="44"/>
      <c r="CZ93" s="44"/>
      <c r="DA93" s="103"/>
      <c r="DB93" s="103"/>
      <c r="DC93" s="103"/>
      <c r="DD93" s="103"/>
      <c r="DE93" s="103"/>
    </row>
    <row r="94" spans="2:109" ht="30" customHeight="1" thickTop="1" thickBot="1">
      <c r="B94" s="2537"/>
      <c r="C94" s="2537"/>
      <c r="D94" s="2238"/>
      <c r="E94" s="2239"/>
      <c r="F94" s="2221" t="str">
        <f>"("&amp;SUBSTITUTE(VLOOKUP(F93,実績!$B$5:$CV$1474,17,0),"株式会社 ","")&amp;")"</f>
        <v>(中田建築設計)</v>
      </c>
      <c r="G94" s="2222"/>
      <c r="H94" s="2222"/>
      <c r="I94" s="2222"/>
      <c r="J94" s="2222"/>
      <c r="K94" s="2222"/>
      <c r="L94" s="2222"/>
      <c r="M94" s="2222"/>
      <c r="N94" s="2222"/>
      <c r="O94" s="2222"/>
      <c r="P94" s="2222"/>
      <c r="Q94" s="2222"/>
      <c r="R94" s="2222"/>
      <c r="S94" s="2222"/>
      <c r="T94" s="2223"/>
      <c r="U94" s="2156"/>
      <c r="V94" s="2157"/>
      <c r="W94" s="2168"/>
      <c r="X94" s="2282"/>
      <c r="Y94" s="2156" t="str">
        <f>VLOOKUP(I93,実績!$C$5:$CV$1474,5,0)</f>
        <v>岩見沢市</v>
      </c>
      <c r="Z94" s="2169"/>
      <c r="AA94" s="2157"/>
      <c r="AB94" s="2168"/>
      <c r="AC94" s="2169"/>
      <c r="AD94" s="2157"/>
      <c r="AE94" s="2275"/>
      <c r="AF94" s="2276"/>
      <c r="AG94" s="2277"/>
      <c r="AH94" s="2156"/>
      <c r="AI94" s="2157"/>
      <c r="AJ94" s="2376"/>
      <c r="AK94" s="2377"/>
      <c r="AL94" s="2378"/>
      <c r="AM94" s="2252">
        <f>VLOOKUP(I93,実績!$C$5:$CV$1474,62,0)</f>
        <v>7.75</v>
      </c>
      <c r="AN94" s="2253"/>
      <c r="AO94" s="2253"/>
      <c r="AP94" s="2254"/>
      <c r="AQ94" s="2134"/>
      <c r="AR94" s="2135"/>
      <c r="AS94" s="2127"/>
      <c r="AT94" s="2135"/>
      <c r="AU94" s="2127"/>
      <c r="AV94" s="2135"/>
      <c r="AW94" s="2127"/>
      <c r="AX94" s="2135"/>
      <c r="AY94" s="2127"/>
      <c r="AZ94" s="2128"/>
      <c r="BA94" s="2429">
        <f>VLOOKUP(I93,実績!$C$5:$CV$1474,46,0)</f>
        <v>1.75</v>
      </c>
      <c r="BB94" s="2430"/>
      <c r="BC94" s="2431"/>
      <c r="BD94" s="2089"/>
      <c r="BE94" s="2090"/>
      <c r="BF94" s="2092"/>
      <c r="BG94" s="2096"/>
      <c r="BH94" s="2097"/>
      <c r="BI94" s="2097"/>
      <c r="BJ94" s="2097"/>
      <c r="BK94" s="2098"/>
      <c r="BL94" s="2099"/>
      <c r="BM94" s="2100"/>
      <c r="BN94" s="2100"/>
      <c r="BO94" s="2101"/>
      <c r="BP94" s="2099"/>
      <c r="BQ94" s="2100"/>
      <c r="BR94" s="2100"/>
      <c r="BS94" s="2102"/>
      <c r="BT94" s="2104"/>
      <c r="BU94" s="2106"/>
      <c r="BV94" s="2137"/>
      <c r="BW94" s="2139"/>
      <c r="BX94" s="2181"/>
      <c r="BY94" s="2182"/>
      <c r="BZ94" s="2182"/>
      <c r="CA94" s="2182"/>
      <c r="CB94" s="2183"/>
      <c r="CH94" s="14"/>
      <c r="CI94" s="14"/>
      <c r="CJ94" s="104"/>
      <c r="CK94" s="18"/>
      <c r="CL94" s="18"/>
      <c r="CM94" s="103"/>
      <c r="CN94" s="103"/>
      <c r="CO94" s="103"/>
      <c r="CP94" s="103"/>
      <c r="CQ94" s="103"/>
      <c r="CR94" s="103"/>
      <c r="CS94" s="103"/>
      <c r="CT94" s="103"/>
      <c r="CU94" s="103"/>
      <c r="CV94" s="103"/>
      <c r="CW94" s="103"/>
      <c r="CX94" s="44"/>
      <c r="CY94" s="44"/>
      <c r="CZ94" s="44"/>
      <c r="DA94" s="103"/>
      <c r="DB94" s="103"/>
      <c r="DC94" s="103"/>
      <c r="DD94" s="103"/>
      <c r="DE94" s="103"/>
    </row>
    <row r="95" spans="2:109" ht="30" customHeight="1" thickTop="1" thickBot="1">
      <c r="B95" s="2537"/>
      <c r="C95" s="2537"/>
      <c r="D95" s="2238" t="s">
        <v>4846</v>
      </c>
      <c r="E95" s="2239"/>
      <c r="F95" s="2283">
        <f>実績!B1417</f>
        <v>200020</v>
      </c>
      <c r="G95" s="2284"/>
      <c r="H95" s="2284"/>
      <c r="I95" s="2351" t="str">
        <f>VLOOKUP(F95,実績!$B$5:$CV$1474,2,0)</f>
        <v>バロー近江八幡</v>
      </c>
      <c r="J95" s="2351"/>
      <c r="K95" s="2351"/>
      <c r="L95" s="2351"/>
      <c r="M95" s="2351"/>
      <c r="N95" s="2351"/>
      <c r="O95" s="2351"/>
      <c r="P95" s="2351"/>
      <c r="Q95" s="2351"/>
      <c r="R95" s="2351"/>
      <c r="S95" s="2351"/>
      <c r="T95" s="2352"/>
      <c r="U95" s="2164" t="str">
        <f>VLOOKUP(I95,実績!$C$5:$CV$1474,3,0)</f>
        <v>沖本</v>
      </c>
      <c r="V95" s="2165"/>
      <c r="W95" s="2167" t="str">
        <f>VLOOKUP(I95,実績!$C$5:$CV$1474,2,0)</f>
        <v>村上</v>
      </c>
      <c r="X95" s="2281"/>
      <c r="Y95" s="2164" t="str">
        <f>VLOOKUP(I95,実績!$C$5:$CV$1474,4,FALSE)</f>
        <v>滋賀県</v>
      </c>
      <c r="Z95" s="2166"/>
      <c r="AA95" s="2165"/>
      <c r="AB95" s="2167" t="str">
        <f>VLOOKUP(I95,実績!$C$5:$CV$1474,9,0)</f>
        <v>店舗</v>
      </c>
      <c r="AC95" s="2166"/>
      <c r="AD95" s="2165"/>
      <c r="AE95" s="2272">
        <f>ROUND(VLOOKUP(I95,実績!$C$5:$CV$1474,42,0),-1)</f>
        <v>4020</v>
      </c>
      <c r="AF95" s="2273"/>
      <c r="AG95" s="2274"/>
      <c r="AH95" s="2164" t="str">
        <f>VLOOKUP(I95,実績!$C$5:$CV$1474,50,0)</f>
        <v>無</v>
      </c>
      <c r="AI95" s="2165"/>
      <c r="AJ95" s="2140">
        <f>VLOOKUP(I95,実績!$C$5:$CV$1474,60,0)</f>
        <v>0</v>
      </c>
      <c r="AK95" s="2141"/>
      <c r="AL95" s="2142"/>
      <c r="AM95" s="2252" t="str">
        <f>VLOOKUP(I95,実績!$C$5:$CV$1474,61,0)</f>
        <v>砂質ｼﾙﾄ(府植物混入)</v>
      </c>
      <c r="AN95" s="2253"/>
      <c r="AO95" s="2253"/>
      <c r="AP95" s="2254"/>
      <c r="AQ95" s="2132" t="str">
        <f>VLOOKUP(I95,実績!$C$5:$CV$1474,37,0)</f>
        <v>-</v>
      </c>
      <c r="AR95" s="2133"/>
      <c r="AS95" s="2125" t="str">
        <f>VLOOKUP(I95,実績!$C$5:$CV$1474,38,0)</f>
        <v>-</v>
      </c>
      <c r="AT95" s="2133"/>
      <c r="AU95" s="2125" t="str">
        <f>VLOOKUP(I95,実績!$C$5:$CV$1474,39,0)</f>
        <v>-</v>
      </c>
      <c r="AV95" s="2133"/>
      <c r="AW95" s="2125" t="str">
        <f>VLOOKUP(I95,実績!$C$5:$CV$1474,40,0)</f>
        <v>-</v>
      </c>
      <c r="AX95" s="2133"/>
      <c r="AY95" s="2125" t="str">
        <f>VLOOKUP(I95,実績!$C$5:$CV$1474,41,0)</f>
        <v>独立</v>
      </c>
      <c r="AZ95" s="2126"/>
      <c r="BA95" s="2240">
        <f>VLOOKUP(I95,実績!$C$5:$CV$1474,44,0)</f>
        <v>0.8</v>
      </c>
      <c r="BB95" s="2241"/>
      <c r="BC95" s="2242"/>
      <c r="BD95" s="2129" t="s">
        <v>17787</v>
      </c>
      <c r="BE95" s="2088"/>
      <c r="BF95" s="2194" t="s">
        <v>17266</v>
      </c>
      <c r="BG95" s="2093" t="s">
        <v>17344</v>
      </c>
      <c r="BH95" s="2094"/>
      <c r="BI95" s="2094"/>
      <c r="BJ95" s="2094"/>
      <c r="BK95" s="2095"/>
      <c r="BL95" s="2099"/>
      <c r="BM95" s="2100"/>
      <c r="BN95" s="2100"/>
      <c r="BO95" s="2101"/>
      <c r="BP95" s="2099"/>
      <c r="BQ95" s="2100"/>
      <c r="BR95" s="2100"/>
      <c r="BS95" s="2102"/>
      <c r="BT95" s="2384">
        <f>ROUND(VLOOKUP(I95,実績!$C$5:$CV$1474,59,0),1)</f>
        <v>0.7</v>
      </c>
      <c r="BU95" s="2414" t="str">
        <f>VLOOKUP(I95,実績!$C$5:$CV$1474,67,0)</f>
        <v>住宅・畑</v>
      </c>
      <c r="BV95" s="2396" t="str">
        <f>VLOOKUP(I95,実績!$C$5:$CV$1474,68,0)</f>
        <v>○
1.0m</v>
      </c>
      <c r="BW95" s="2381" t="str">
        <f>VLOOKUP(I95,実績!$C$5:$CV$1474,69,0)</f>
        <v>○</v>
      </c>
      <c r="BX95" s="2093">
        <f>VLOOKUP(I95,実績!$C$5:$CV$1474,75,0)</f>
        <v>0</v>
      </c>
      <c r="BY95" s="2094"/>
      <c r="BZ95" s="2094"/>
      <c r="CA95" s="2094"/>
      <c r="CB95" s="2180"/>
      <c r="CD95" s="1968">
        <f>F95</f>
        <v>200020</v>
      </c>
      <c r="CE95" s="1968" t="str">
        <f>I95</f>
        <v>バロー近江八幡</v>
      </c>
      <c r="CF95" s="96" t="str">
        <f>BD95</f>
        <v>12月末</v>
      </c>
      <c r="CG95" s="96" t="str">
        <f>BF95</f>
        <v>3月</v>
      </c>
      <c r="CH95" s="14"/>
      <c r="CI95" s="14"/>
      <c r="CJ95" s="104"/>
      <c r="CK95" s="18"/>
      <c r="CL95" s="18"/>
      <c r="CM95" s="103"/>
      <c r="CN95" s="103"/>
      <c r="CO95" s="103"/>
      <c r="CP95" s="103"/>
      <c r="CQ95" s="103"/>
      <c r="CR95" s="103"/>
      <c r="CS95" s="103"/>
      <c r="CT95" s="103"/>
      <c r="CU95" s="103"/>
      <c r="CV95" s="103"/>
      <c r="CW95" s="103"/>
      <c r="CX95" s="44"/>
      <c r="CY95" s="44"/>
      <c r="CZ95" s="44"/>
      <c r="DA95" s="103"/>
      <c r="DB95" s="103"/>
      <c r="DC95" s="103"/>
      <c r="DD95" s="103"/>
      <c r="DE95" s="103"/>
    </row>
    <row r="96" spans="2:109" ht="30" customHeight="1" thickTop="1" thickBot="1">
      <c r="B96" s="2537"/>
      <c r="C96" s="2537"/>
      <c r="D96" s="2238"/>
      <c r="E96" s="2239"/>
      <c r="F96" s="2221" t="str">
        <f>"("&amp;SUBSTITUTE(VLOOKUP(F95,実績!$B$5:$CV$1474,17,0),"株式会社 ","")&amp;","&amp;SUBSTITUTE(VLOOKUP(F95,実績!$B$5:$CV$1474,22,0)," 株式会社","")&amp;")"</f>
        <v>(上野山都市設計,日成ビルド工業)</v>
      </c>
      <c r="G96" s="2222"/>
      <c r="H96" s="2222"/>
      <c r="I96" s="2222"/>
      <c r="J96" s="2222"/>
      <c r="K96" s="2222"/>
      <c r="L96" s="2222"/>
      <c r="M96" s="2222"/>
      <c r="N96" s="2222"/>
      <c r="O96" s="2222"/>
      <c r="P96" s="2222"/>
      <c r="Q96" s="2222"/>
      <c r="R96" s="2222"/>
      <c r="S96" s="2222"/>
      <c r="T96" s="2223"/>
      <c r="U96" s="2156"/>
      <c r="V96" s="2157"/>
      <c r="W96" s="2168"/>
      <c r="X96" s="2282"/>
      <c r="Y96" s="2552" t="str">
        <f>VLOOKUP(I95,実績!$C$5:$CV$1474,5,0)</f>
        <v>近江八幡市</v>
      </c>
      <c r="Z96" s="2553"/>
      <c r="AA96" s="2554"/>
      <c r="AB96" s="2168"/>
      <c r="AC96" s="2169"/>
      <c r="AD96" s="2157"/>
      <c r="AE96" s="2275"/>
      <c r="AF96" s="2276"/>
      <c r="AG96" s="2277"/>
      <c r="AH96" s="2156"/>
      <c r="AI96" s="2157"/>
      <c r="AJ96" s="2143"/>
      <c r="AK96" s="2144"/>
      <c r="AL96" s="2145"/>
      <c r="AM96" s="2252">
        <f>VLOOKUP(I95,実績!$C$5:$CV$1474,62,0)</f>
        <v>1.7</v>
      </c>
      <c r="AN96" s="2253"/>
      <c r="AO96" s="2253"/>
      <c r="AP96" s="2254"/>
      <c r="AQ96" s="2134"/>
      <c r="AR96" s="2135"/>
      <c r="AS96" s="2127"/>
      <c r="AT96" s="2135"/>
      <c r="AU96" s="2127"/>
      <c r="AV96" s="2135"/>
      <c r="AW96" s="2127"/>
      <c r="AX96" s="2135"/>
      <c r="AY96" s="2127"/>
      <c r="AZ96" s="2128"/>
      <c r="BA96" s="2240">
        <f>VLOOKUP(I95,実績!$C$5:$CV$1474,46,0)</f>
        <v>1.2</v>
      </c>
      <c r="BB96" s="2241"/>
      <c r="BC96" s="2242"/>
      <c r="BD96" s="2089"/>
      <c r="BE96" s="2090"/>
      <c r="BF96" s="2092"/>
      <c r="BG96" s="2096"/>
      <c r="BH96" s="2097"/>
      <c r="BI96" s="2097"/>
      <c r="BJ96" s="2097"/>
      <c r="BK96" s="2098"/>
      <c r="BL96" s="2099"/>
      <c r="BM96" s="2100"/>
      <c r="BN96" s="2100"/>
      <c r="BO96" s="2101"/>
      <c r="BP96" s="2099"/>
      <c r="BQ96" s="2100"/>
      <c r="BR96" s="2100"/>
      <c r="BS96" s="2102"/>
      <c r="BT96" s="2399"/>
      <c r="BU96" s="2415"/>
      <c r="BV96" s="2397"/>
      <c r="BW96" s="2382"/>
      <c r="BX96" s="2181"/>
      <c r="BY96" s="2182"/>
      <c r="BZ96" s="2182"/>
      <c r="CA96" s="2182"/>
      <c r="CB96" s="2183"/>
      <c r="CH96" s="14"/>
      <c r="CI96" s="14"/>
      <c r="CJ96" s="104"/>
      <c r="CK96" s="18"/>
      <c r="CL96" s="18"/>
      <c r="CM96" s="103"/>
      <c r="CN96" s="103"/>
      <c r="CO96" s="103"/>
      <c r="CP96" s="103"/>
      <c r="CQ96" s="103"/>
      <c r="CR96" s="103"/>
      <c r="CS96" s="103"/>
      <c r="CT96" s="103"/>
      <c r="CU96" s="103"/>
      <c r="CV96" s="103"/>
      <c r="CW96" s="103"/>
      <c r="CX96" s="44"/>
      <c r="CY96" s="44"/>
      <c r="CZ96" s="44"/>
      <c r="DA96" s="103"/>
      <c r="DB96" s="103"/>
      <c r="DC96" s="103"/>
      <c r="DD96" s="103"/>
      <c r="DE96" s="103"/>
    </row>
    <row r="97" spans="2:109" ht="30" customHeight="1" thickTop="1" thickBot="1">
      <c r="B97" s="2537"/>
      <c r="C97" s="2537"/>
      <c r="D97" s="2238" t="s">
        <v>4846</v>
      </c>
      <c r="E97" s="2239"/>
      <c r="F97" s="2283">
        <f>実績!B1419</f>
        <v>200022</v>
      </c>
      <c r="G97" s="2284"/>
      <c r="H97" s="2284"/>
      <c r="I97" s="2162" t="str">
        <f>VLOOKUP(F97,実績!$B$5:$CV$1474,2,0)</f>
        <v>仙台発酵の里</v>
      </c>
      <c r="J97" s="2162"/>
      <c r="K97" s="2162"/>
      <c r="L97" s="2162"/>
      <c r="M97" s="2162"/>
      <c r="N97" s="2162"/>
      <c r="O97" s="2162"/>
      <c r="P97" s="2162"/>
      <c r="Q97" s="2162"/>
      <c r="R97" s="2162"/>
      <c r="S97" s="2162"/>
      <c r="T97" s="2163"/>
      <c r="U97" s="2164" t="str">
        <f>VLOOKUP(I97,実績!$C$5:$CV$1474,3,0)</f>
        <v>大田</v>
      </c>
      <c r="V97" s="2165"/>
      <c r="W97" s="2167" t="str">
        <f>VLOOKUP(I97,実績!$C$5:$CV$1474,2,0)</f>
        <v>村上
ウット</v>
      </c>
      <c r="X97" s="2281"/>
      <c r="Y97" s="2164" t="str">
        <f>VLOOKUP(I97,実績!$C$5:$CV$1474,4,FALSE)</f>
        <v>宮城県</v>
      </c>
      <c r="Z97" s="2166"/>
      <c r="AA97" s="2165"/>
      <c r="AB97" s="2167" t="str">
        <f>VLOOKUP(I97,実績!$C$5:$CV$1474,9,0)</f>
        <v>店舗</v>
      </c>
      <c r="AC97" s="2166"/>
      <c r="AD97" s="2165"/>
      <c r="AE97" s="2272">
        <f>ROUND(VLOOKUP(I97,実績!$C$5:$CV$1474,42,0),-1)</f>
        <v>7690</v>
      </c>
      <c r="AF97" s="2273"/>
      <c r="AG97" s="2274"/>
      <c r="AH97" s="2164" t="str">
        <f>VLOOKUP(I97,実績!$C$5:$CV$1474,50,0)</f>
        <v>○</v>
      </c>
      <c r="AI97" s="2165"/>
      <c r="AJ97" s="2264">
        <f>VLOOKUP(I97,実績!$C$5:$CV$1474,60,0)</f>
        <v>1.6</v>
      </c>
      <c r="AK97" s="2265"/>
      <c r="AL97" s="2266"/>
      <c r="AM97" s="2252" t="str">
        <f>VLOOKUP(I97,実績!$C$5:$CV$1474,61,0)</f>
        <v>有機物混じり粘土</v>
      </c>
      <c r="AN97" s="2253"/>
      <c r="AO97" s="2253"/>
      <c r="AP97" s="2254"/>
      <c r="AQ97" s="2132" t="str">
        <f>VLOOKUP(I97,実績!$C$5:$CV$1474,37,0)</f>
        <v>-</v>
      </c>
      <c r="AR97" s="2133"/>
      <c r="AS97" s="2125" t="str">
        <f>VLOOKUP(I97,実績!$C$5:$CV$1474,38,0)</f>
        <v>-</v>
      </c>
      <c r="AT97" s="2133"/>
      <c r="AU97" s="2125" t="str">
        <f>VLOOKUP(I97,実績!$C$5:$CV$1474,39,0)</f>
        <v>-</v>
      </c>
      <c r="AV97" s="2133"/>
      <c r="AW97" s="2125" t="str">
        <f>VLOOKUP(I97,実績!$C$5:$CV$1474,40,0)</f>
        <v>-</v>
      </c>
      <c r="AX97" s="2133"/>
      <c r="AY97" s="2125" t="str">
        <f>VLOOKUP(I97,実績!$C$5:$CV$1474,41,0)</f>
        <v>独立</v>
      </c>
      <c r="AZ97" s="2126"/>
      <c r="BA97" s="2240">
        <f>VLOOKUP(I97,実績!$C$5:$CV$1474,44,0)</f>
        <v>1</v>
      </c>
      <c r="BB97" s="2241"/>
      <c r="BC97" s="2242"/>
      <c r="BD97" s="2129" t="s">
        <v>17607</v>
      </c>
      <c r="BE97" s="2088"/>
      <c r="BF97" s="2194" t="s">
        <v>17266</v>
      </c>
      <c r="BG97" s="2093"/>
      <c r="BH97" s="2094"/>
      <c r="BI97" s="2094"/>
      <c r="BJ97" s="2094"/>
      <c r="BK97" s="2095"/>
      <c r="BL97" s="2099"/>
      <c r="BM97" s="2100"/>
      <c r="BN97" s="2100"/>
      <c r="BO97" s="2101"/>
      <c r="BP97" s="2099"/>
      <c r="BQ97" s="2100"/>
      <c r="BR97" s="2100"/>
      <c r="BS97" s="2102"/>
      <c r="BT97" s="2103">
        <f>ROUND(VLOOKUP(I97,実績!$C$5:$CV$1474,59,0),1)</f>
        <v>0.6</v>
      </c>
      <c r="BU97" s="2105" t="str">
        <f>VLOOKUP(I97,実績!$C$5:$CV$1474,67,0)</f>
        <v>畑・住宅</v>
      </c>
      <c r="BV97" s="2136" t="str">
        <f>VLOOKUP(I97,実績!$C$5:$CV$1474,68,0)</f>
        <v>○
1.2m</v>
      </c>
      <c r="BW97" s="2138" t="str">
        <f>VLOOKUP(I97,実績!$C$5:$CV$1474,69,0)</f>
        <v>-</v>
      </c>
      <c r="BX97" s="2093">
        <f>VLOOKUP(I97,実績!$C$5:$CV$1474,75,0)</f>
        <v>0</v>
      </c>
      <c r="BY97" s="2094"/>
      <c r="BZ97" s="2094"/>
      <c r="CA97" s="2094"/>
      <c r="CB97" s="2180"/>
      <c r="CD97" s="1968">
        <f>F97</f>
        <v>200022</v>
      </c>
      <c r="CE97" s="1968" t="str">
        <f>I97</f>
        <v>仙台発酵の里</v>
      </c>
      <c r="CF97" s="96" t="str">
        <f>BD97</f>
        <v>1月？</v>
      </c>
      <c r="CG97" s="96" t="str">
        <f>BF97</f>
        <v>3月</v>
      </c>
      <c r="CH97" s="14"/>
      <c r="CI97" s="14"/>
      <c r="CJ97" s="104"/>
      <c r="CK97" s="18"/>
      <c r="CL97" s="18"/>
      <c r="CM97" s="103"/>
      <c r="CN97" s="103"/>
      <c r="CO97" s="103"/>
      <c r="CP97" s="103"/>
      <c r="CQ97" s="103"/>
      <c r="CR97" s="103"/>
      <c r="CS97" s="103"/>
      <c r="CT97" s="103"/>
      <c r="CU97" s="103"/>
      <c r="CV97" s="103"/>
      <c r="CW97" s="103"/>
      <c r="CX97" s="44"/>
      <c r="CY97" s="44"/>
      <c r="CZ97" s="44"/>
      <c r="DA97" s="103"/>
      <c r="DB97" s="103"/>
      <c r="DC97" s="103"/>
      <c r="DD97" s="103"/>
      <c r="DE97" s="103"/>
    </row>
    <row r="98" spans="2:109" ht="30" customHeight="1" thickTop="1" thickBot="1">
      <c r="B98" s="2537"/>
      <c r="C98" s="2537"/>
      <c r="D98" s="2238"/>
      <c r="E98" s="2239"/>
      <c r="F98" s="2221" t="str">
        <f>"("&amp;SUBSTITUTE(VLOOKUP(F97,実績!$B$5:$CV$1474,17,0),"株式会社 ","")&amp;","&amp;SUBSTITUTE(VLOOKUP(F97,実績!$B$5:$CV$1474,22,0),"株式会社 ","")&amp;")"</f>
        <v>(山本建築設計事務所,丹羽設計事務所)</v>
      </c>
      <c r="G98" s="2222"/>
      <c r="H98" s="2222"/>
      <c r="I98" s="2222"/>
      <c r="J98" s="2222"/>
      <c r="K98" s="2222"/>
      <c r="L98" s="2222"/>
      <c r="M98" s="2222"/>
      <c r="N98" s="2222"/>
      <c r="O98" s="2222"/>
      <c r="P98" s="2222"/>
      <c r="Q98" s="2222"/>
      <c r="R98" s="2222"/>
      <c r="S98" s="2222"/>
      <c r="T98" s="2223"/>
      <c r="U98" s="2156"/>
      <c r="V98" s="2157"/>
      <c r="W98" s="2168"/>
      <c r="X98" s="2282"/>
      <c r="Y98" s="2156" t="str">
        <f>VLOOKUP(I97,実績!$C$5:$CV$1474,5,0)</f>
        <v>仙台市</v>
      </c>
      <c r="Z98" s="2169"/>
      <c r="AA98" s="2157"/>
      <c r="AB98" s="2168"/>
      <c r="AC98" s="2169"/>
      <c r="AD98" s="2157"/>
      <c r="AE98" s="2275"/>
      <c r="AF98" s="2276"/>
      <c r="AG98" s="2277"/>
      <c r="AH98" s="2156"/>
      <c r="AI98" s="2157"/>
      <c r="AJ98" s="2278"/>
      <c r="AK98" s="2279"/>
      <c r="AL98" s="2280"/>
      <c r="AM98" s="2252">
        <f>VLOOKUP(I97,実績!$C$5:$CV$1474,62,0)</f>
        <v>4.2</v>
      </c>
      <c r="AN98" s="2253"/>
      <c r="AO98" s="2253"/>
      <c r="AP98" s="2254"/>
      <c r="AQ98" s="2134"/>
      <c r="AR98" s="2135"/>
      <c r="AS98" s="2127"/>
      <c r="AT98" s="2135"/>
      <c r="AU98" s="2127"/>
      <c r="AV98" s="2135"/>
      <c r="AW98" s="2127"/>
      <c r="AX98" s="2135"/>
      <c r="AY98" s="2127"/>
      <c r="AZ98" s="2128"/>
      <c r="BA98" s="2240">
        <f>VLOOKUP(I97,実績!$C$5:$CV$1474,46,0)</f>
        <v>1.5</v>
      </c>
      <c r="BB98" s="2241"/>
      <c r="BC98" s="2242"/>
      <c r="BD98" s="2089"/>
      <c r="BE98" s="2090"/>
      <c r="BF98" s="2092"/>
      <c r="BG98" s="2096"/>
      <c r="BH98" s="2097"/>
      <c r="BI98" s="2097"/>
      <c r="BJ98" s="2097"/>
      <c r="BK98" s="2098"/>
      <c r="BL98" s="2099"/>
      <c r="BM98" s="2100"/>
      <c r="BN98" s="2100"/>
      <c r="BO98" s="2101"/>
      <c r="BP98" s="2099"/>
      <c r="BQ98" s="2100"/>
      <c r="BR98" s="2100"/>
      <c r="BS98" s="2102"/>
      <c r="BT98" s="2104"/>
      <c r="BU98" s="2106"/>
      <c r="BV98" s="2137"/>
      <c r="BW98" s="2139"/>
      <c r="BX98" s="2181"/>
      <c r="BY98" s="2182"/>
      <c r="BZ98" s="2182"/>
      <c r="CA98" s="2182"/>
      <c r="CB98" s="2183"/>
      <c r="CH98" s="14"/>
      <c r="CI98" s="14"/>
      <c r="CJ98" s="104"/>
      <c r="CK98" s="18"/>
      <c r="CL98" s="18"/>
      <c r="CM98" s="103"/>
      <c r="CN98" s="103"/>
      <c r="CO98" s="103"/>
      <c r="CP98" s="103"/>
      <c r="CQ98" s="103"/>
      <c r="CR98" s="103"/>
      <c r="CS98" s="103"/>
      <c r="CT98" s="103"/>
      <c r="CU98" s="103"/>
      <c r="CV98" s="103"/>
      <c r="CW98" s="103"/>
      <c r="CX98" s="44"/>
      <c r="CY98" s="44"/>
      <c r="CZ98" s="44"/>
      <c r="DA98" s="103"/>
      <c r="DB98" s="103"/>
      <c r="DC98" s="103"/>
      <c r="DD98" s="103"/>
      <c r="DE98" s="103"/>
    </row>
    <row r="99" spans="2:109" ht="30" customHeight="1" thickTop="1" thickBot="1">
      <c r="B99" s="2537"/>
      <c r="C99" s="2537"/>
      <c r="D99" s="2238" t="s">
        <v>4846</v>
      </c>
      <c r="E99" s="2239"/>
      <c r="F99" s="2283">
        <f>実績!B1412</f>
        <v>200015</v>
      </c>
      <c r="G99" s="2284"/>
      <c r="H99" s="2284"/>
      <c r="I99" s="2162" t="str">
        <f>VLOOKUP(F99,実績!$B$5:$CV$1474,2,0)</f>
        <v>カネダ様城南島工場</v>
      </c>
      <c r="J99" s="2162"/>
      <c r="K99" s="2162"/>
      <c r="L99" s="2162"/>
      <c r="M99" s="2162"/>
      <c r="N99" s="2162"/>
      <c r="O99" s="2162"/>
      <c r="P99" s="2162"/>
      <c r="Q99" s="2162"/>
      <c r="R99" s="2162"/>
      <c r="S99" s="2162"/>
      <c r="T99" s="2163"/>
      <c r="U99" s="2164" t="str">
        <f>VLOOKUP(I99,実績!$C$5:$CV$1474,3,0)</f>
        <v>大田</v>
      </c>
      <c r="V99" s="2165"/>
      <c r="W99" s="2167" t="str">
        <f>VLOOKUP(I99,実績!$C$5:$CV$1474,2,0)</f>
        <v>村上
フィ</v>
      </c>
      <c r="X99" s="2281"/>
      <c r="Y99" s="2164" t="str">
        <f>VLOOKUP(I99,実績!$C$5:$CV$1474,4,FALSE)</f>
        <v>東京都</v>
      </c>
      <c r="Z99" s="2166"/>
      <c r="AA99" s="2165"/>
      <c r="AB99" s="2167" t="str">
        <f>VLOOKUP(I99,実績!$C$5:$CV$1474,9,0)</f>
        <v>工場,事務所</v>
      </c>
      <c r="AC99" s="2166"/>
      <c r="AD99" s="2165"/>
      <c r="AE99" s="2170">
        <f>ROUND(VLOOKUP(I99,実績!$C$5:$CV$1474,42,0),-1)</f>
        <v>0</v>
      </c>
      <c r="AF99" s="2171"/>
      <c r="AG99" s="2172"/>
      <c r="AH99" s="2164" t="str">
        <f>VLOOKUP(I99,実績!$C$5:$CV$1474,50,0)</f>
        <v>無</v>
      </c>
      <c r="AI99" s="2165"/>
      <c r="AJ99" s="2140">
        <f>VLOOKUP(I99,実績!$C$5:$CV$1474,60,0)</f>
        <v>0</v>
      </c>
      <c r="AK99" s="2141"/>
      <c r="AL99" s="2142"/>
      <c r="AM99" s="2224" t="str">
        <f>VLOOKUP(I99,実績!$C$5:$CV$1474,61,0)</f>
        <v>-</v>
      </c>
      <c r="AN99" s="2225"/>
      <c r="AO99" s="2225"/>
      <c r="AP99" s="2226"/>
      <c r="AQ99" s="2132" t="str">
        <f>VLOOKUP(I99,実績!$C$5:$CV$1474,37,0)</f>
        <v>-</v>
      </c>
      <c r="AR99" s="2133"/>
      <c r="AS99" s="2125" t="str">
        <f>VLOOKUP(I99,実績!$C$5:$CV$1474,38,0)</f>
        <v>-</v>
      </c>
      <c r="AT99" s="2133"/>
      <c r="AU99" s="2125" t="str">
        <f>VLOOKUP(I99,実績!$C$5:$CV$1474,39,0)</f>
        <v>-</v>
      </c>
      <c r="AV99" s="2133"/>
      <c r="AW99" s="2125" t="str">
        <f>VLOOKUP(I99,実績!$C$5:$CV$1474,40,0)</f>
        <v>○</v>
      </c>
      <c r="AX99" s="2133"/>
      <c r="AY99" s="2125" t="str">
        <f>VLOOKUP(I99,実績!$C$5:$CV$1474,41,0)</f>
        <v>独立</v>
      </c>
      <c r="AZ99" s="2126"/>
      <c r="BA99" s="2240">
        <f>VLOOKUP(I99,実績!$C$5:$CV$1474,44,0)</f>
        <v>1</v>
      </c>
      <c r="BB99" s="2241"/>
      <c r="BC99" s="2242"/>
      <c r="BD99" s="2196"/>
      <c r="BE99" s="2197"/>
      <c r="BF99" s="2194" t="s">
        <v>16723</v>
      </c>
      <c r="BG99" s="2093"/>
      <c r="BH99" s="2094"/>
      <c r="BI99" s="2094"/>
      <c r="BJ99" s="2094"/>
      <c r="BK99" s="2095"/>
      <c r="BL99" s="2099"/>
      <c r="BM99" s="2100"/>
      <c r="BN99" s="2100"/>
      <c r="BO99" s="2101"/>
      <c r="BP99" s="2099"/>
      <c r="BQ99" s="2100"/>
      <c r="BR99" s="2100"/>
      <c r="BS99" s="2102"/>
      <c r="BT99" s="2103">
        <f>ROUND(VLOOKUP(I99,実績!$C$5:$CV$1474,59,0),1)</f>
        <v>0</v>
      </c>
      <c r="BU99" s="2105">
        <f>VLOOKUP(I99,実績!$C$5:$CV$1474,67,0)</f>
        <v>0</v>
      </c>
      <c r="BV99" s="2396" t="str">
        <f>VLOOKUP(I99,実績!$C$5:$CV$1474,68,0)</f>
        <v>-</v>
      </c>
      <c r="BW99" s="2381" t="str">
        <f>VLOOKUP(I99,実績!$C$5:$CV$1474,69,0)</f>
        <v>○</v>
      </c>
      <c r="BX99" s="2093" t="str">
        <f>VLOOKUP(I99,実績!$C$5:$CV$1474,75,0)</f>
        <v>工場棟と事務所棟の2棟</v>
      </c>
      <c r="BY99" s="2094"/>
      <c r="BZ99" s="2094"/>
      <c r="CA99" s="2094"/>
      <c r="CB99" s="2180"/>
      <c r="CD99" s="1968">
        <f>F99</f>
        <v>200015</v>
      </c>
      <c r="CE99" s="1968" t="str">
        <f>I99</f>
        <v>カネダ様城南島工場</v>
      </c>
      <c r="CF99" s="96">
        <f>BD99</f>
        <v>0</v>
      </c>
      <c r="CG99" s="96" t="str">
        <f>BF99</f>
        <v>未確定(ｵﾘﾝﾋﾟｯｸによる)</v>
      </c>
      <c r="CH99" s="14"/>
      <c r="CI99" s="14"/>
      <c r="CJ99" s="104"/>
      <c r="CK99" s="18"/>
      <c r="CL99" s="18"/>
      <c r="CM99" s="103"/>
      <c r="CN99" s="103"/>
      <c r="CO99" s="103"/>
      <c r="CP99" s="103"/>
      <c r="CQ99" s="103"/>
      <c r="CR99" s="103"/>
      <c r="CS99" s="103"/>
      <c r="CT99" s="103"/>
      <c r="CU99" s="103"/>
      <c r="CV99" s="103"/>
      <c r="CW99" s="103"/>
      <c r="CX99" s="44"/>
      <c r="CY99" s="44"/>
      <c r="CZ99" s="44"/>
      <c r="DA99" s="103"/>
      <c r="DB99" s="103"/>
      <c r="DC99" s="103"/>
      <c r="DD99" s="103"/>
      <c r="DE99" s="103"/>
    </row>
    <row r="100" spans="2:109" ht="30" customHeight="1" thickTop="1" thickBot="1">
      <c r="B100" s="2537"/>
      <c r="C100" s="2537"/>
      <c r="D100" s="2238"/>
      <c r="E100" s="2239"/>
      <c r="F100" s="2221" t="str">
        <f>"("&amp;SUBSTITUTE(VLOOKUP(F99,実績!$B$5:$CV$1474,17,0),"株式会社 ","")&amp;","&amp;SUBSTITUTE(VLOOKUP(F99,実績!$B$5:$CV$1474,22,0),"有限会社 ","")&amp;")"</f>
        <v>(フケタ設計,スパン設計)</v>
      </c>
      <c r="G100" s="2222"/>
      <c r="H100" s="2222"/>
      <c r="I100" s="2222"/>
      <c r="J100" s="2222"/>
      <c r="K100" s="2222"/>
      <c r="L100" s="2222"/>
      <c r="M100" s="2222"/>
      <c r="N100" s="2222"/>
      <c r="O100" s="2222"/>
      <c r="P100" s="2222"/>
      <c r="Q100" s="2222"/>
      <c r="R100" s="2222"/>
      <c r="S100" s="2222"/>
      <c r="T100" s="2223"/>
      <c r="U100" s="2156"/>
      <c r="V100" s="2157"/>
      <c r="W100" s="2168"/>
      <c r="X100" s="2282"/>
      <c r="Y100" s="2156" t="str">
        <f>VLOOKUP(I99,実績!$C$5:$CV$1474,5,0)</f>
        <v>大田区</v>
      </c>
      <c r="Z100" s="2169"/>
      <c r="AA100" s="2157"/>
      <c r="AB100" s="2168"/>
      <c r="AC100" s="2169"/>
      <c r="AD100" s="2157"/>
      <c r="AE100" s="2173"/>
      <c r="AF100" s="2174"/>
      <c r="AG100" s="2175"/>
      <c r="AH100" s="2156"/>
      <c r="AI100" s="2157"/>
      <c r="AJ100" s="2143"/>
      <c r="AK100" s="2144"/>
      <c r="AL100" s="2145"/>
      <c r="AM100" s="2224" t="str">
        <f>VLOOKUP(I99,実績!$C$5:$CV$1474,62,0)</f>
        <v>-</v>
      </c>
      <c r="AN100" s="2225"/>
      <c r="AO100" s="2225"/>
      <c r="AP100" s="2226"/>
      <c r="AQ100" s="2134"/>
      <c r="AR100" s="2135"/>
      <c r="AS100" s="2127"/>
      <c r="AT100" s="2135"/>
      <c r="AU100" s="2127"/>
      <c r="AV100" s="2135"/>
      <c r="AW100" s="2127"/>
      <c r="AX100" s="2135"/>
      <c r="AY100" s="2127"/>
      <c r="AZ100" s="2128"/>
      <c r="BA100" s="2240">
        <f>VLOOKUP(I99,実績!$C$5:$CV$1474,46,0)</f>
        <v>1.5</v>
      </c>
      <c r="BB100" s="2241"/>
      <c r="BC100" s="2242"/>
      <c r="BD100" s="2198"/>
      <c r="BE100" s="2199"/>
      <c r="BF100" s="2092"/>
      <c r="BG100" s="2096"/>
      <c r="BH100" s="2097"/>
      <c r="BI100" s="2097"/>
      <c r="BJ100" s="2097"/>
      <c r="BK100" s="2098"/>
      <c r="BL100" s="2099"/>
      <c r="BM100" s="2100"/>
      <c r="BN100" s="2100"/>
      <c r="BO100" s="2101"/>
      <c r="BP100" s="2099"/>
      <c r="BQ100" s="2100"/>
      <c r="BR100" s="2100"/>
      <c r="BS100" s="2102"/>
      <c r="BT100" s="2104"/>
      <c r="BU100" s="2106"/>
      <c r="BV100" s="2397"/>
      <c r="BW100" s="2382"/>
      <c r="BX100" s="2181"/>
      <c r="BY100" s="2182"/>
      <c r="BZ100" s="2182"/>
      <c r="CA100" s="2182"/>
      <c r="CB100" s="2183"/>
      <c r="CH100" s="14"/>
      <c r="CI100" s="14"/>
      <c r="CJ100" s="104"/>
      <c r="CK100" s="18"/>
      <c r="CL100" s="18"/>
      <c r="CM100" s="103"/>
      <c r="CN100" s="103"/>
      <c r="CO100" s="103"/>
      <c r="CP100" s="103"/>
      <c r="CQ100" s="103"/>
      <c r="CR100" s="103"/>
      <c r="CS100" s="103"/>
      <c r="CT100" s="103"/>
      <c r="CU100" s="103"/>
      <c r="CV100" s="103"/>
      <c r="CW100" s="103"/>
      <c r="CX100" s="44"/>
      <c r="CY100" s="44"/>
      <c r="CZ100" s="44"/>
      <c r="DA100" s="103"/>
      <c r="DB100" s="103"/>
      <c r="DC100" s="103"/>
      <c r="DD100" s="103"/>
      <c r="DE100" s="103"/>
    </row>
    <row r="101" spans="2:109" ht="6" customHeight="1" thickTop="1" thickBot="1">
      <c r="B101" s="28"/>
      <c r="C101" s="28"/>
      <c r="D101" s="28"/>
      <c r="E101" s="28"/>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c r="BW101" s="29"/>
      <c r="BX101" s="29"/>
      <c r="BY101" s="29"/>
      <c r="BZ101" s="29"/>
      <c r="CA101" s="29"/>
      <c r="CB101" s="29"/>
      <c r="CD101" s="103"/>
      <c r="CE101" s="103"/>
      <c r="CF101" s="44"/>
      <c r="CG101" s="44"/>
      <c r="CH101" s="44"/>
      <c r="CI101" s="103"/>
      <c r="CJ101" s="103"/>
      <c r="CK101" s="103"/>
      <c r="CL101" s="103"/>
      <c r="CM101" s="103"/>
    </row>
    <row r="102" spans="2:109" ht="30" customHeight="1" thickTop="1" thickBot="1">
      <c r="B102" s="2537" t="s">
        <v>15923</v>
      </c>
      <c r="C102" s="2537" t="s">
        <v>15926</v>
      </c>
      <c r="D102" s="2540" t="s">
        <v>10423</v>
      </c>
      <c r="E102" s="2312"/>
      <c r="F102" s="2448"/>
      <c r="G102" s="2449"/>
      <c r="H102" s="2449"/>
      <c r="I102" s="2497" t="str">
        <f>実績!C1453</f>
        <v>BMW米子</v>
      </c>
      <c r="J102" s="2497"/>
      <c r="K102" s="2497"/>
      <c r="L102" s="2497"/>
      <c r="M102" s="2497"/>
      <c r="N102" s="2497"/>
      <c r="O102" s="2497"/>
      <c r="P102" s="2497"/>
      <c r="Q102" s="2497"/>
      <c r="R102" s="2497"/>
      <c r="S102" s="2497"/>
      <c r="T102" s="2498"/>
      <c r="U102" s="2367" t="str">
        <f>VLOOKUP(I102,実績!$C$5:$CV$1474,3,0)</f>
        <v>沖本</v>
      </c>
      <c r="V102" s="2368"/>
      <c r="W102" s="2305">
        <f>VLOOKUP(I102,実績!$C$5:$CV$1474,2,0)</f>
        <v>0</v>
      </c>
      <c r="X102" s="2306"/>
      <c r="Y102" s="2367" t="str">
        <f>VLOOKUP(I102,実績!$C$5:$CV$1474,4,FALSE)</f>
        <v>鳥取県</v>
      </c>
      <c r="Z102" s="2458"/>
      <c r="AA102" s="2368"/>
      <c r="AB102" s="2305">
        <f>VLOOKUP(I102,実績!$C$5:$CV$1474,9,0)</f>
        <v>0</v>
      </c>
      <c r="AC102" s="2541"/>
      <c r="AD102" s="2496"/>
      <c r="AE102" s="2482">
        <f>ROUND(VLOOKUP(I102,実績!$C$5:$CV$1474,42,0),-1)</f>
        <v>0</v>
      </c>
      <c r="AF102" s="2483"/>
      <c r="AG102" s="2484"/>
      <c r="AH102" s="2495">
        <f>VLOOKUP(I102,実績!$C$5:$CV$1474,50,0)</f>
        <v>0</v>
      </c>
      <c r="AI102" s="2496"/>
      <c r="AJ102" s="2562">
        <f>VLOOKUP(I102,実績!$C$5:$CV$1474,60,0)</f>
        <v>0</v>
      </c>
      <c r="AK102" s="2563"/>
      <c r="AL102" s="2564"/>
      <c r="AM102" s="2601">
        <f>VLOOKUP(I102,実績!$C$5:$CV$1474,61,0)</f>
        <v>0</v>
      </c>
      <c r="AN102" s="2602"/>
      <c r="AO102" s="2602"/>
      <c r="AP102" s="2603"/>
      <c r="AQ102" s="2511" t="str">
        <f>VLOOKUP(I102,実績!$C$5:$CV$1474,37,0)</f>
        <v>-</v>
      </c>
      <c r="AR102" s="2312"/>
      <c r="AS102" s="2572">
        <f>VLOOKUP(I102,実績!$C$5:$CV$1474,38,0)</f>
        <v>0</v>
      </c>
      <c r="AT102" s="2573"/>
      <c r="AU102" s="2311" t="str">
        <f>VLOOKUP(I102,実績!$C$5:$CV$1474,39,0)</f>
        <v>-</v>
      </c>
      <c r="AV102" s="2312"/>
      <c r="AW102" s="2572">
        <f>VLOOKUP(I102,実績!$C$5:$CV$1474,40,0)</f>
        <v>0</v>
      </c>
      <c r="AX102" s="2573"/>
      <c r="AY102" s="2311" t="str">
        <f>VLOOKUP(I102,実績!$C$5:$CV$1474,41,0)</f>
        <v>独立</v>
      </c>
      <c r="AZ102" s="2447"/>
      <c r="BA102" s="2084">
        <f>VLOOKUP(I102,実績!$C$5:$CV$1474,44,0)</f>
        <v>0</v>
      </c>
      <c r="BB102" s="2085"/>
      <c r="BC102" s="2086"/>
      <c r="BD102" s="2575"/>
      <c r="BE102" s="2576"/>
      <c r="BF102" s="2574"/>
      <c r="BG102" s="2408"/>
      <c r="BH102" s="2409"/>
      <c r="BI102" s="2409"/>
      <c r="BJ102" s="2409"/>
      <c r="BK102" s="2514"/>
      <c r="BL102" s="2411"/>
      <c r="BM102" s="2247"/>
      <c r="BN102" s="2247"/>
      <c r="BO102" s="2578"/>
      <c r="BP102" s="2411"/>
      <c r="BQ102" s="2247"/>
      <c r="BR102" s="2247"/>
      <c r="BS102" s="2248"/>
      <c r="BT102" s="2501">
        <f>ROUND(VLOOKUP(I102,実績!$C$5:$CV$1474,59,0),1)</f>
        <v>0</v>
      </c>
      <c r="BU102" s="2406">
        <f>VLOOKUP(I102,実績!$C$5:$CV$1474,67,0)</f>
        <v>0</v>
      </c>
      <c r="BV102" s="2389">
        <f>VLOOKUP(I102,実績!$C$5:$CV$1474,68,0)</f>
        <v>0</v>
      </c>
      <c r="BW102" s="2390">
        <f>VLOOKUP(I102,実績!$C$5:$CV$1474,69,0)</f>
        <v>0</v>
      </c>
      <c r="BX102" s="2408">
        <f>VLOOKUP(I102,実績!$C$5:$CV$1474,75,0)</f>
        <v>0</v>
      </c>
      <c r="BY102" s="2409"/>
      <c r="BZ102" s="2409"/>
      <c r="CA102" s="2409"/>
      <c r="CB102" s="2410"/>
      <c r="CD102" s="1968">
        <f>F102</f>
        <v>0</v>
      </c>
      <c r="CE102" s="1968" t="str">
        <f>I102</f>
        <v>BMW米子</v>
      </c>
      <c r="CF102" s="96">
        <f>BD102</f>
        <v>0</v>
      </c>
      <c r="CG102" s="96">
        <f>BF102</f>
        <v>0</v>
      </c>
      <c r="CH102" s="14"/>
      <c r="CI102" s="14"/>
      <c r="CJ102" s="104"/>
      <c r="CK102" s="18"/>
      <c r="CL102" s="18"/>
      <c r="CM102" s="103"/>
      <c r="CN102" s="103"/>
      <c r="CO102" s="103"/>
      <c r="CP102" s="103"/>
      <c r="CQ102" s="103"/>
      <c r="CR102" s="103"/>
      <c r="CS102" s="103"/>
      <c r="CT102" s="103"/>
      <c r="CU102" s="103"/>
      <c r="CV102" s="103"/>
      <c r="CW102" s="103"/>
      <c r="CX102" s="44"/>
      <c r="CY102" s="44"/>
      <c r="CZ102" s="44"/>
      <c r="DA102" s="103"/>
      <c r="DB102" s="103"/>
      <c r="DC102" s="103"/>
      <c r="DD102" s="103"/>
      <c r="DE102" s="103"/>
    </row>
    <row r="103" spans="2:109" ht="30" customHeight="1" thickTop="1" thickBot="1">
      <c r="B103" s="2537"/>
      <c r="C103" s="2537"/>
      <c r="D103" s="2459"/>
      <c r="E103" s="2159"/>
      <c r="F103" s="2221" t="str">
        <f>"("&amp;SUBSTITUTE(VLOOKUP(I102,実績!$C$5:$CV$1474,26,0),"株式会社 ","")&amp;","&amp;SUBSTITUTE(VLOOKUP(I102,実績!$C$5:$CV$1474,21,0),"株式会社","")&amp;")"</f>
        <v>(カーダクレッセ,ﾃｨｰｱﾝﾄﾞﾋﾟｨｰ設計事務所)</v>
      </c>
      <c r="G103" s="2222"/>
      <c r="H103" s="2222"/>
      <c r="I103" s="2222"/>
      <c r="J103" s="2222"/>
      <c r="K103" s="2222"/>
      <c r="L103" s="2222"/>
      <c r="M103" s="2222"/>
      <c r="N103" s="2222"/>
      <c r="O103" s="2222"/>
      <c r="P103" s="2222"/>
      <c r="Q103" s="2222"/>
      <c r="R103" s="2222"/>
      <c r="S103" s="2222"/>
      <c r="T103" s="2223"/>
      <c r="U103" s="2156"/>
      <c r="V103" s="2157"/>
      <c r="W103" s="2109"/>
      <c r="X103" s="2110"/>
      <c r="Y103" s="2156" t="str">
        <f>VLOOKUP(I102,実績!$C$5:$CV$1474,5,0)</f>
        <v>米子市</v>
      </c>
      <c r="Z103" s="2169"/>
      <c r="AA103" s="2157"/>
      <c r="AB103" s="2109"/>
      <c r="AC103" s="2187"/>
      <c r="AD103" s="2179"/>
      <c r="AE103" s="2173"/>
      <c r="AF103" s="2174"/>
      <c r="AG103" s="2175"/>
      <c r="AH103" s="2178"/>
      <c r="AI103" s="2179"/>
      <c r="AJ103" s="2143"/>
      <c r="AK103" s="2144"/>
      <c r="AL103" s="2145"/>
      <c r="AM103" s="2146">
        <f>VLOOKUP(I102,実績!$C$5:$CV$1474,62,0)</f>
        <v>0</v>
      </c>
      <c r="AN103" s="2147"/>
      <c r="AO103" s="2147"/>
      <c r="AP103" s="2148"/>
      <c r="AQ103" s="2134"/>
      <c r="AR103" s="2135"/>
      <c r="AS103" s="2123"/>
      <c r="AT103" s="2124"/>
      <c r="AU103" s="2127"/>
      <c r="AV103" s="2135"/>
      <c r="AW103" s="2123"/>
      <c r="AX103" s="2124"/>
      <c r="AY103" s="2127"/>
      <c r="AZ103" s="2128"/>
      <c r="BA103" s="2084">
        <f>VLOOKUP(I102,実績!$C$5:$CV$1474,46,0)</f>
        <v>0</v>
      </c>
      <c r="BB103" s="2085"/>
      <c r="BC103" s="2086"/>
      <c r="BD103" s="2198"/>
      <c r="BE103" s="2199"/>
      <c r="BF103" s="2131"/>
      <c r="BG103" s="2096"/>
      <c r="BH103" s="2097"/>
      <c r="BI103" s="2097"/>
      <c r="BJ103" s="2097"/>
      <c r="BK103" s="2098"/>
      <c r="BL103" s="2099"/>
      <c r="BM103" s="2100"/>
      <c r="BN103" s="2100"/>
      <c r="BO103" s="2101"/>
      <c r="BP103" s="2099"/>
      <c r="BQ103" s="2100"/>
      <c r="BR103" s="2100"/>
      <c r="BS103" s="2102"/>
      <c r="BT103" s="2398"/>
      <c r="BU103" s="2106"/>
      <c r="BV103" s="2137"/>
      <c r="BW103" s="2391"/>
      <c r="BX103" s="2181"/>
      <c r="BY103" s="2182"/>
      <c r="BZ103" s="2182"/>
      <c r="CA103" s="2182"/>
      <c r="CB103" s="2183"/>
      <c r="CH103" s="14"/>
      <c r="CI103" s="14"/>
      <c r="CJ103" s="104"/>
      <c r="CK103" s="18"/>
      <c r="CL103" s="18"/>
      <c r="CM103" s="103"/>
      <c r="CN103" s="103"/>
      <c r="CO103" s="103"/>
      <c r="CP103" s="103"/>
      <c r="CQ103" s="103"/>
      <c r="CR103" s="103"/>
      <c r="CS103" s="103"/>
      <c r="CT103" s="103"/>
      <c r="CU103" s="103"/>
      <c r="CV103" s="103"/>
      <c r="CW103" s="103"/>
      <c r="CX103" s="44"/>
      <c r="CY103" s="44"/>
      <c r="CZ103" s="44"/>
      <c r="DA103" s="103"/>
      <c r="DB103" s="103"/>
      <c r="DC103" s="103"/>
      <c r="DD103" s="103"/>
      <c r="DE103" s="103"/>
    </row>
    <row r="104" spans="2:109" ht="6" customHeight="1" thickTop="1" thickBot="1">
      <c r="B104" s="2537"/>
      <c r="C104" s="2537"/>
      <c r="D104" s="32"/>
      <c r="E104" s="28"/>
      <c r="F104" s="29"/>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D104" s="103"/>
      <c r="CE104" s="103"/>
      <c r="CF104" s="44"/>
      <c r="CG104" s="44"/>
      <c r="CH104" s="44"/>
      <c r="CI104" s="103"/>
      <c r="CJ104" s="103"/>
      <c r="CK104" s="103"/>
      <c r="CL104" s="103"/>
      <c r="CM104" s="103"/>
    </row>
    <row r="105" spans="2:109" ht="30" customHeight="1" thickTop="1" thickBot="1">
      <c r="B105" s="2537"/>
      <c r="C105" s="2537"/>
      <c r="D105" s="2511" t="s">
        <v>4852</v>
      </c>
      <c r="E105" s="2312"/>
      <c r="F105" s="2448"/>
      <c r="G105" s="2449"/>
      <c r="H105" s="2449"/>
      <c r="I105" s="2497" t="str">
        <f>実績!C1454</f>
        <v>タウンプラザかねひで名護</v>
      </c>
      <c r="J105" s="2497"/>
      <c r="K105" s="2497"/>
      <c r="L105" s="2497"/>
      <c r="M105" s="2497"/>
      <c r="N105" s="2497"/>
      <c r="O105" s="2497"/>
      <c r="P105" s="2497"/>
      <c r="Q105" s="2497"/>
      <c r="R105" s="2497"/>
      <c r="S105" s="2497"/>
      <c r="T105" s="2498"/>
      <c r="U105" s="2367" t="str">
        <f>VLOOKUP(I105,実績!$C$5:$CV$1474,3,0)</f>
        <v>大田</v>
      </c>
      <c r="V105" s="2368"/>
      <c r="W105" s="2305">
        <f>VLOOKUP(I105,実績!$C$5:$CV$1474,2,0)</f>
        <v>0</v>
      </c>
      <c r="X105" s="2306"/>
      <c r="Y105" s="2367" t="str">
        <f>VLOOKUP(I105,実績!$C$5:$CV$1474,4,FALSE)</f>
        <v>沖縄県</v>
      </c>
      <c r="Z105" s="2458"/>
      <c r="AA105" s="2368"/>
      <c r="AB105" s="2305">
        <f>VLOOKUP(I105,実績!$C$5:$CV$1474,9,0)</f>
        <v>0</v>
      </c>
      <c r="AC105" s="2541"/>
      <c r="AD105" s="2496"/>
      <c r="AE105" s="2482">
        <f>ROUND(VLOOKUP(I105,実績!$C$5:$CV$1474,42,0),-1)</f>
        <v>0</v>
      </c>
      <c r="AF105" s="2483"/>
      <c r="AG105" s="2484"/>
      <c r="AH105" s="2176">
        <f>VLOOKUP(I105,実績!$C$5:$CV$1474,50,0)</f>
        <v>0</v>
      </c>
      <c r="AI105" s="2177"/>
      <c r="AJ105" s="2140">
        <f>VLOOKUP(I105,実績!$C$5:$CV$1474,60,0)</f>
        <v>0</v>
      </c>
      <c r="AK105" s="2141"/>
      <c r="AL105" s="2142"/>
      <c r="AM105" s="2146">
        <f>VLOOKUP(I105,実績!$C$5:$CV$1474,61,0)</f>
        <v>0</v>
      </c>
      <c r="AN105" s="2147"/>
      <c r="AO105" s="2147"/>
      <c r="AP105" s="2148"/>
      <c r="AQ105" s="2149">
        <f>VLOOKUP(I105,実績!$C$5:$CV$1474,37,0)</f>
        <v>0</v>
      </c>
      <c r="AR105" s="2122"/>
      <c r="AS105" s="2118">
        <f>VLOOKUP(I105,実績!$C$5:$CV$1474,38,0)</f>
        <v>0</v>
      </c>
      <c r="AT105" s="2122"/>
      <c r="AU105" s="2118">
        <f>VLOOKUP(I105,実績!$C$5:$CV$1474,39,0)</f>
        <v>0</v>
      </c>
      <c r="AV105" s="2122"/>
      <c r="AW105" s="2118">
        <f>VLOOKUP(I105,実績!$C$5:$CV$1474,40,0)</f>
        <v>0</v>
      </c>
      <c r="AX105" s="2122"/>
      <c r="AY105" s="2125" t="str">
        <f>VLOOKUP(I105,実績!$C$5:$CV$1474,41,0)</f>
        <v>独立</v>
      </c>
      <c r="AZ105" s="2126"/>
      <c r="BA105" s="2084">
        <f>VLOOKUP(I105,実績!$C$5:$CV$1474,44,0)</f>
        <v>0</v>
      </c>
      <c r="BB105" s="2085"/>
      <c r="BC105" s="2086"/>
      <c r="BD105" s="2087" t="s">
        <v>18064</v>
      </c>
      <c r="BE105" s="2088"/>
      <c r="BF105" s="2091" t="s">
        <v>18065</v>
      </c>
      <c r="BG105" s="2093" t="s">
        <v>18063</v>
      </c>
      <c r="BH105" s="2094"/>
      <c r="BI105" s="2094"/>
      <c r="BJ105" s="2094"/>
      <c r="BK105" s="2095"/>
      <c r="BL105" s="2099"/>
      <c r="BM105" s="2100"/>
      <c r="BN105" s="2100"/>
      <c r="BO105" s="2101"/>
      <c r="BP105" s="2099"/>
      <c r="BQ105" s="2100"/>
      <c r="BR105" s="2100"/>
      <c r="BS105" s="2102"/>
      <c r="BT105" s="2103">
        <f>ROUND(VLOOKUP(I105,実績!$C$5:$CV$1474,59,0),1)</f>
        <v>0</v>
      </c>
      <c r="BU105" s="2105">
        <f>VLOOKUP(I105,実績!$C$5:$CV$1474,67,0)</f>
        <v>0</v>
      </c>
      <c r="BV105" s="2136">
        <f>VLOOKUP(I105,実績!$C$5:$CV$1474,68,0)</f>
        <v>0</v>
      </c>
      <c r="BW105" s="2138">
        <f>VLOOKUP(I105,実績!$C$5:$CV$1474,69,0)</f>
        <v>0</v>
      </c>
      <c r="BX105" s="2093">
        <f>VLOOKUP(I105,実績!$C$5:$CV$1474,75,0)</f>
        <v>0</v>
      </c>
      <c r="BY105" s="2094"/>
      <c r="BZ105" s="2094"/>
      <c r="CA105" s="2094"/>
      <c r="CB105" s="2180"/>
      <c r="CD105" s="1968">
        <f>F105</f>
        <v>0</v>
      </c>
      <c r="CE105" s="1968" t="str">
        <f>I105</f>
        <v>タウンプラザかねひで名護</v>
      </c>
      <c r="CF105" s="96" t="str">
        <f>BD105</f>
        <v>1月初旬</v>
      </c>
      <c r="CG105" s="96" t="str">
        <f>BF105</f>
        <v>8月</v>
      </c>
      <c r="CH105" s="14"/>
      <c r="CI105" s="14"/>
      <c r="CJ105" s="104"/>
      <c r="CK105" s="18"/>
      <c r="CL105" s="18"/>
      <c r="CM105" s="103"/>
      <c r="CN105" s="103"/>
      <c r="CO105" s="103"/>
      <c r="CP105" s="103"/>
      <c r="CQ105" s="103"/>
      <c r="CR105" s="103"/>
      <c r="CS105" s="103"/>
      <c r="CT105" s="103"/>
      <c r="CU105" s="103"/>
      <c r="CV105" s="103"/>
      <c r="CW105" s="103"/>
      <c r="CX105" s="44"/>
      <c r="CY105" s="44"/>
      <c r="CZ105" s="44"/>
      <c r="DA105" s="103"/>
      <c r="DB105" s="103"/>
      <c r="DC105" s="103"/>
      <c r="DD105" s="103"/>
      <c r="DE105" s="103"/>
    </row>
    <row r="106" spans="2:109" ht="30" customHeight="1" thickTop="1" thickBot="1">
      <c r="B106" s="2537"/>
      <c r="C106" s="2537"/>
      <c r="D106" s="2134"/>
      <c r="E106" s="2135"/>
      <c r="F106" s="2184" t="str">
        <f>"("&amp;SUBSTITUTE(VLOOKUP(I105,実績!$C$5:$CV$1474,16,0),"有限会社 ","")&amp;","&amp;SUBSTITUTE(VLOOKUP(I105,実績!$C$5:$CV$1474,21,0),"株式会社","")&amp;")"</f>
        <v>(,ﾃｨｰｱﾝﾄﾞﾋﾟｨｰ設計事務所)</v>
      </c>
      <c r="G106" s="2185"/>
      <c r="H106" s="2185"/>
      <c r="I106" s="2185"/>
      <c r="J106" s="2185"/>
      <c r="K106" s="2185"/>
      <c r="L106" s="2185"/>
      <c r="M106" s="2185"/>
      <c r="N106" s="2185"/>
      <c r="O106" s="2185"/>
      <c r="P106" s="2185"/>
      <c r="Q106" s="2185"/>
      <c r="R106" s="2185"/>
      <c r="S106" s="2185"/>
      <c r="T106" s="2186"/>
      <c r="U106" s="2156"/>
      <c r="V106" s="2157"/>
      <c r="W106" s="2109"/>
      <c r="X106" s="2110"/>
      <c r="Y106" s="2178">
        <f>VLOOKUP(I105,実績!$C$5:$CV$1474,5,0)</f>
        <v>0</v>
      </c>
      <c r="Z106" s="2187"/>
      <c r="AA106" s="2179"/>
      <c r="AB106" s="2109"/>
      <c r="AC106" s="2187"/>
      <c r="AD106" s="2179"/>
      <c r="AE106" s="2173"/>
      <c r="AF106" s="2174"/>
      <c r="AG106" s="2175"/>
      <c r="AH106" s="2301"/>
      <c r="AI106" s="2215"/>
      <c r="AJ106" s="2302"/>
      <c r="AK106" s="2303"/>
      <c r="AL106" s="2304"/>
      <c r="AM106" s="2308">
        <f>VLOOKUP(I105,実績!$C$5:$CV$1474,62,0)</f>
        <v>0</v>
      </c>
      <c r="AN106" s="2309"/>
      <c r="AO106" s="2309"/>
      <c r="AP106" s="2310"/>
      <c r="AQ106" s="2307"/>
      <c r="AR106" s="2200"/>
      <c r="AS106" s="2120"/>
      <c r="AT106" s="2200"/>
      <c r="AU106" s="2120"/>
      <c r="AV106" s="2200"/>
      <c r="AW106" s="2120"/>
      <c r="AX106" s="2200"/>
      <c r="AY106" s="2114"/>
      <c r="AZ106" s="2115"/>
      <c r="BA106" s="2230">
        <f>VLOOKUP(I105,実績!$C$5:$CV$1474,46,0)</f>
        <v>0</v>
      </c>
      <c r="BB106" s="2231"/>
      <c r="BC106" s="2232"/>
      <c r="BD106" s="2249"/>
      <c r="BE106" s="2250"/>
      <c r="BF106" s="2251"/>
      <c r="BG106" s="2181"/>
      <c r="BH106" s="2182"/>
      <c r="BI106" s="2182"/>
      <c r="BJ106" s="2182"/>
      <c r="BK106" s="2206"/>
      <c r="BL106" s="2099"/>
      <c r="BM106" s="2100"/>
      <c r="BN106" s="2100"/>
      <c r="BO106" s="2101"/>
      <c r="BP106" s="2099"/>
      <c r="BQ106" s="2100"/>
      <c r="BR106" s="2100"/>
      <c r="BS106" s="2102"/>
      <c r="BT106" s="2104"/>
      <c r="BU106" s="2106"/>
      <c r="BV106" s="2137"/>
      <c r="BW106" s="2139"/>
      <c r="BX106" s="2181"/>
      <c r="BY106" s="2182"/>
      <c r="BZ106" s="2182"/>
      <c r="CA106" s="2182"/>
      <c r="CB106" s="2183"/>
      <c r="CH106" s="14"/>
      <c r="CI106" s="14"/>
      <c r="CJ106" s="104"/>
      <c r="CK106" s="18"/>
      <c r="CL106" s="18"/>
      <c r="CM106" s="103"/>
      <c r="CN106" s="103"/>
      <c r="CO106" s="103"/>
      <c r="CP106" s="103"/>
      <c r="CQ106" s="103"/>
      <c r="CR106" s="103"/>
      <c r="CS106" s="103"/>
      <c r="CT106" s="103"/>
      <c r="CU106" s="103"/>
      <c r="CV106" s="103"/>
      <c r="CW106" s="103"/>
      <c r="CX106" s="44"/>
      <c r="CY106" s="44"/>
      <c r="CZ106" s="44"/>
      <c r="DA106" s="103"/>
      <c r="DB106" s="103"/>
      <c r="DC106" s="103"/>
      <c r="DD106" s="103"/>
      <c r="DE106" s="103"/>
    </row>
    <row r="107" spans="2:109" ht="30" customHeight="1" thickTop="1" thickBot="1">
      <c r="B107" s="2537"/>
      <c r="C107" s="2537"/>
      <c r="D107" s="2158" t="s">
        <v>4852</v>
      </c>
      <c r="E107" s="2159"/>
      <c r="F107" s="2219"/>
      <c r="G107" s="2220"/>
      <c r="H107" s="2220"/>
      <c r="I107" s="2152" t="str">
        <f>実績!C1455</f>
        <v>Vdrug豊田寿</v>
      </c>
      <c r="J107" s="2152"/>
      <c r="K107" s="2152"/>
      <c r="L107" s="2152"/>
      <c r="M107" s="2152"/>
      <c r="N107" s="2152"/>
      <c r="O107" s="2152"/>
      <c r="P107" s="2152"/>
      <c r="Q107" s="2152"/>
      <c r="R107" s="2152"/>
      <c r="S107" s="2152"/>
      <c r="T107" s="2153"/>
      <c r="U107" s="2154" t="str">
        <f>VLOOKUP(I107,実績!$C$5:$CV$1474,3,0)</f>
        <v>沖本</v>
      </c>
      <c r="V107" s="2155"/>
      <c r="W107" s="2211">
        <f>VLOOKUP(I107,実績!$C$5:$CV$1474,2,0)</f>
        <v>0</v>
      </c>
      <c r="X107" s="2212"/>
      <c r="Y107" s="2154" t="str">
        <f>VLOOKUP(I107,実績!$C$5:$CV$1474,4,FALSE)</f>
        <v>愛知県</v>
      </c>
      <c r="Z107" s="2286"/>
      <c r="AA107" s="2155"/>
      <c r="AB107" s="2285" t="str">
        <f>VLOOKUP(I107,実績!$C$5:$CV$1474,9,0)</f>
        <v>店舗</v>
      </c>
      <c r="AC107" s="2286"/>
      <c r="AD107" s="2155"/>
      <c r="AE107" s="2227">
        <f>ROUND(VLOOKUP(I107,実績!$C$5:$CV$1474,42,0),-1)</f>
        <v>0</v>
      </c>
      <c r="AF107" s="2228"/>
      <c r="AG107" s="2229"/>
      <c r="AH107" s="2176">
        <f>VLOOKUP(I107,実績!$C$5:$CV$1474,50,0)</f>
        <v>0</v>
      </c>
      <c r="AI107" s="2177"/>
      <c r="AJ107" s="2140">
        <f>VLOOKUP(I107,実績!$C$5:$CV$1474,60,0)</f>
        <v>0</v>
      </c>
      <c r="AK107" s="2141"/>
      <c r="AL107" s="2142"/>
      <c r="AM107" s="2146">
        <f>VLOOKUP(I107,実績!$C$5:$CV$1474,61,0)</f>
        <v>0</v>
      </c>
      <c r="AN107" s="2147"/>
      <c r="AO107" s="2147"/>
      <c r="AP107" s="2148"/>
      <c r="AQ107" s="2149">
        <f>VLOOKUP(I107,実績!$C$5:$CV$1474,37,0)</f>
        <v>0</v>
      </c>
      <c r="AR107" s="2122"/>
      <c r="AS107" s="2118">
        <f>VLOOKUP(I107,実績!$C$5:$CV$1474,38,0)</f>
        <v>0</v>
      </c>
      <c r="AT107" s="2122"/>
      <c r="AU107" s="2118">
        <f>VLOOKUP(I107,実績!$C$5:$CV$1474,39,0)</f>
        <v>0</v>
      </c>
      <c r="AV107" s="2122"/>
      <c r="AW107" s="2118">
        <f>VLOOKUP(I107,実績!$C$5:$CV$1474,40,0)</f>
        <v>0</v>
      </c>
      <c r="AX107" s="2122"/>
      <c r="AY107" s="2118">
        <f>VLOOKUP(I107,実績!$C$5:$CV$1474,41,0)</f>
        <v>0</v>
      </c>
      <c r="AZ107" s="2119"/>
      <c r="BA107" s="2084">
        <f>VLOOKUP(I107,実績!$C$5:$CV$1474,44,0)</f>
        <v>0</v>
      </c>
      <c r="BB107" s="2085"/>
      <c r="BC107" s="2086"/>
      <c r="BD107" s="2087" t="s">
        <v>17898</v>
      </c>
      <c r="BE107" s="2088"/>
      <c r="BF107" s="2091" t="s">
        <v>17899</v>
      </c>
      <c r="BG107" s="2093"/>
      <c r="BH107" s="2094"/>
      <c r="BI107" s="2094"/>
      <c r="BJ107" s="2094"/>
      <c r="BK107" s="2095"/>
      <c r="BL107" s="2099"/>
      <c r="BM107" s="2100"/>
      <c r="BN107" s="2100"/>
      <c r="BO107" s="2101"/>
      <c r="BP107" s="2099"/>
      <c r="BQ107" s="2100"/>
      <c r="BR107" s="2100"/>
      <c r="BS107" s="2102"/>
      <c r="BT107" s="2103">
        <f>ROUND(VLOOKUP(I107,実績!$C$5:$CV$1474,59,0),1)</f>
        <v>0</v>
      </c>
      <c r="BU107" s="2105">
        <f>VLOOKUP(I107,実績!$C$5:$CV$1474,67,0)</f>
        <v>0</v>
      </c>
      <c r="BV107" s="2136">
        <f>VLOOKUP(I107,実績!$C$5:$CV$1474,68,0)</f>
        <v>0</v>
      </c>
      <c r="BW107" s="2138">
        <f>VLOOKUP(I107,実績!$C$5:$CV$1474,69,0)</f>
        <v>0</v>
      </c>
      <c r="BX107" s="2093">
        <f>VLOOKUP(I107,実績!$C$5:$CV$1474,75,0)</f>
        <v>0</v>
      </c>
      <c r="BY107" s="2094"/>
      <c r="BZ107" s="2094"/>
      <c r="CA107" s="2094"/>
      <c r="CB107" s="2180"/>
      <c r="CD107" s="1968">
        <f>F107</f>
        <v>0</v>
      </c>
      <c r="CE107" s="1968" t="str">
        <f>I107</f>
        <v>Vdrug豊田寿</v>
      </c>
      <c r="CF107" s="96" t="str">
        <f>BD107</f>
        <v>2021.4</v>
      </c>
      <c r="CG107" s="96" t="str">
        <f>BF107</f>
        <v>2021.6</v>
      </c>
      <c r="CH107" s="14"/>
      <c r="CI107" s="14"/>
      <c r="CJ107" s="104"/>
      <c r="CK107" s="18"/>
      <c r="CL107" s="18"/>
      <c r="CM107" s="103"/>
      <c r="CN107" s="103"/>
      <c r="CO107" s="103"/>
      <c r="CP107" s="103"/>
      <c r="CQ107" s="103"/>
      <c r="CR107" s="103"/>
      <c r="CS107" s="103"/>
      <c r="CT107" s="103"/>
      <c r="CU107" s="103"/>
      <c r="CV107" s="103"/>
      <c r="CW107" s="103"/>
      <c r="CX107" s="44"/>
      <c r="CY107" s="44"/>
      <c r="CZ107" s="44"/>
      <c r="DA107" s="103"/>
      <c r="DB107" s="103"/>
      <c r="DC107" s="103"/>
      <c r="DD107" s="103"/>
      <c r="DE107" s="103"/>
    </row>
    <row r="108" spans="2:109" ht="30" customHeight="1" thickTop="1" thickBot="1">
      <c r="B108" s="2537"/>
      <c r="C108" s="2537"/>
      <c r="D108" s="2158"/>
      <c r="E108" s="2159"/>
      <c r="F108" s="2221" t="str">
        <f>"("&amp;SUBSTITUTE(VLOOKUP(I107,実績!$C$5:$CV$1474,16,0),"有限会社 ","")&amp;","&amp;SUBSTITUTE(VLOOKUP(I107,実績!$C$5:$CV$1474,21,0),"株式会社","")&amp;")"</f>
        <v>(中部設計,ﾃｨｰｱﾝﾄﾞﾋﾟｨｰ設計事務所)</v>
      </c>
      <c r="G108" s="2222"/>
      <c r="H108" s="2222"/>
      <c r="I108" s="2222"/>
      <c r="J108" s="2222"/>
      <c r="K108" s="2222"/>
      <c r="L108" s="2222"/>
      <c r="M108" s="2222"/>
      <c r="N108" s="2222"/>
      <c r="O108" s="2222"/>
      <c r="P108" s="2222"/>
      <c r="Q108" s="2222"/>
      <c r="R108" s="2222"/>
      <c r="S108" s="2222"/>
      <c r="T108" s="2223"/>
      <c r="U108" s="2154"/>
      <c r="V108" s="2155"/>
      <c r="W108" s="2211"/>
      <c r="X108" s="2212"/>
      <c r="Y108" s="2154" t="str">
        <f>VLOOKUP(I107,実績!$C$5:$CV$1474,5,0)</f>
        <v>豊田市</v>
      </c>
      <c r="Z108" s="2286"/>
      <c r="AA108" s="2155"/>
      <c r="AB108" s="2285"/>
      <c r="AC108" s="2286"/>
      <c r="AD108" s="2155"/>
      <c r="AE108" s="2227"/>
      <c r="AF108" s="2228"/>
      <c r="AG108" s="2229"/>
      <c r="AH108" s="2301"/>
      <c r="AI108" s="2215"/>
      <c r="AJ108" s="2302"/>
      <c r="AK108" s="2303"/>
      <c r="AL108" s="2304"/>
      <c r="AM108" s="2308">
        <f>VLOOKUP(I107,実績!$C$5:$CV$1474,62,0)</f>
        <v>0</v>
      </c>
      <c r="AN108" s="2309"/>
      <c r="AO108" s="2309"/>
      <c r="AP108" s="2310"/>
      <c r="AQ108" s="2307"/>
      <c r="AR108" s="2200"/>
      <c r="AS108" s="2120"/>
      <c r="AT108" s="2200"/>
      <c r="AU108" s="2120"/>
      <c r="AV108" s="2200"/>
      <c r="AW108" s="2120"/>
      <c r="AX108" s="2200"/>
      <c r="AY108" s="2120"/>
      <c r="AZ108" s="2121"/>
      <c r="BA108" s="2230">
        <f>VLOOKUP(I107,実績!$C$5:$CV$1474,46,0)</f>
        <v>0</v>
      </c>
      <c r="BB108" s="2231"/>
      <c r="BC108" s="2232"/>
      <c r="BD108" s="2249"/>
      <c r="BE108" s="2250"/>
      <c r="BF108" s="2251"/>
      <c r="BG108" s="2181"/>
      <c r="BH108" s="2182"/>
      <c r="BI108" s="2182"/>
      <c r="BJ108" s="2182"/>
      <c r="BK108" s="2206"/>
      <c r="BL108" s="2099"/>
      <c r="BM108" s="2100"/>
      <c r="BN108" s="2100"/>
      <c r="BO108" s="2101"/>
      <c r="BP108" s="2099"/>
      <c r="BQ108" s="2100"/>
      <c r="BR108" s="2100"/>
      <c r="BS108" s="2102"/>
      <c r="BT108" s="2104"/>
      <c r="BU108" s="2106"/>
      <c r="BV108" s="2137"/>
      <c r="BW108" s="2139"/>
      <c r="BX108" s="2181"/>
      <c r="BY108" s="2182"/>
      <c r="BZ108" s="2182"/>
      <c r="CA108" s="2182"/>
      <c r="CB108" s="2183"/>
      <c r="CH108" s="14"/>
      <c r="CI108" s="14"/>
      <c r="CJ108" s="104"/>
      <c r="CK108" s="18"/>
      <c r="CL108" s="18"/>
      <c r="CM108" s="103"/>
      <c r="CN108" s="103"/>
      <c r="CO108" s="103"/>
      <c r="CP108" s="103"/>
      <c r="CQ108" s="103"/>
      <c r="CR108" s="103"/>
      <c r="CS108" s="103"/>
      <c r="CT108" s="103"/>
      <c r="CU108" s="103"/>
      <c r="CV108" s="103"/>
      <c r="CW108" s="103"/>
      <c r="CX108" s="44"/>
      <c r="CY108" s="44"/>
      <c r="CZ108" s="44"/>
      <c r="DA108" s="103"/>
      <c r="DB108" s="103"/>
      <c r="DC108" s="103"/>
      <c r="DD108" s="103"/>
      <c r="DE108" s="103"/>
    </row>
    <row r="109" spans="2:109" ht="30" customHeight="1" thickTop="1" thickBot="1">
      <c r="B109" s="2537"/>
      <c r="C109" s="2537"/>
      <c r="D109" s="2132" t="s">
        <v>4852</v>
      </c>
      <c r="E109" s="2133"/>
      <c r="F109" s="2160"/>
      <c r="G109" s="2161"/>
      <c r="H109" s="2161"/>
      <c r="I109" s="2162" t="str">
        <f>実績!C1456</f>
        <v>Vdrug中川下之一色</v>
      </c>
      <c r="J109" s="2162"/>
      <c r="K109" s="2162"/>
      <c r="L109" s="2162"/>
      <c r="M109" s="2162"/>
      <c r="N109" s="2162"/>
      <c r="O109" s="2162"/>
      <c r="P109" s="2162"/>
      <c r="Q109" s="2162"/>
      <c r="R109" s="2162"/>
      <c r="S109" s="2162"/>
      <c r="T109" s="2163"/>
      <c r="U109" s="2164" t="str">
        <f>VLOOKUP(I109,実績!$C$5:$CV$1474,3,0)</f>
        <v>沖本</v>
      </c>
      <c r="V109" s="2165"/>
      <c r="W109" s="2107">
        <f>VLOOKUP(I109,実績!$C$5:$CV$1474,2,0)</f>
        <v>0</v>
      </c>
      <c r="X109" s="2108"/>
      <c r="Y109" s="2164" t="str">
        <f>VLOOKUP(I109,実績!$C$5:$CV$1474,4,FALSE)</f>
        <v>愛知県</v>
      </c>
      <c r="Z109" s="2166"/>
      <c r="AA109" s="2165"/>
      <c r="AB109" s="2167" t="str">
        <f>VLOOKUP(I109,実績!$C$5:$CV$1474,9,0)</f>
        <v>店舗</v>
      </c>
      <c r="AC109" s="2166"/>
      <c r="AD109" s="2165"/>
      <c r="AE109" s="2171">
        <f>ROUND(VLOOKUP(I109,実績!$C$5:$CV$1474,42,0),-1)</f>
        <v>0</v>
      </c>
      <c r="AF109" s="2171"/>
      <c r="AG109" s="2172"/>
      <c r="AH109" s="2176">
        <f>VLOOKUP(I109,実績!$C$5:$CV$1474,50,0)</f>
        <v>0</v>
      </c>
      <c r="AI109" s="2177"/>
      <c r="AJ109" s="2140">
        <f>VLOOKUP(I109,実績!$C$5:$CV$1474,60,0)</f>
        <v>0</v>
      </c>
      <c r="AK109" s="2141"/>
      <c r="AL109" s="2142"/>
      <c r="AM109" s="2146">
        <f>VLOOKUP(I109,実績!$C$5:$CV$1474,61,0)</f>
        <v>0</v>
      </c>
      <c r="AN109" s="2147"/>
      <c r="AO109" s="2147"/>
      <c r="AP109" s="2148"/>
      <c r="AQ109" s="2149">
        <f>VLOOKUP(I109,実績!$C$5:$CV$1474,37,0)</f>
        <v>0</v>
      </c>
      <c r="AR109" s="2122"/>
      <c r="AS109" s="2118">
        <f>VLOOKUP(I109,実績!$C$5:$CV$1474,38,0)</f>
        <v>0</v>
      </c>
      <c r="AT109" s="2122"/>
      <c r="AU109" s="2118">
        <f>VLOOKUP(I109,実績!$C$5:$CV$1474,39,0)</f>
        <v>0</v>
      </c>
      <c r="AV109" s="2122"/>
      <c r="AW109" s="2118">
        <f>VLOOKUP(I109,実績!$C$5:$CV$1474,40,0)</f>
        <v>0</v>
      </c>
      <c r="AX109" s="2122"/>
      <c r="AY109" s="2118">
        <f>VLOOKUP(I109,実績!$C$5:$CV$1474,41,0)</f>
        <v>0</v>
      </c>
      <c r="AZ109" s="2119"/>
      <c r="BA109" s="2084">
        <f>VLOOKUP(I109,実績!$C$5:$CV$1474,44,0)</f>
        <v>0</v>
      </c>
      <c r="BB109" s="2085"/>
      <c r="BC109" s="2086"/>
      <c r="BD109" s="2087" t="s">
        <v>17898</v>
      </c>
      <c r="BE109" s="2088"/>
      <c r="BF109" s="2091" t="s">
        <v>17899</v>
      </c>
      <c r="BG109" s="2093"/>
      <c r="BH109" s="2094"/>
      <c r="BI109" s="2094"/>
      <c r="BJ109" s="2094"/>
      <c r="BK109" s="2095"/>
      <c r="BL109" s="2099"/>
      <c r="BM109" s="2100"/>
      <c r="BN109" s="2100"/>
      <c r="BO109" s="2101"/>
      <c r="BP109" s="2099"/>
      <c r="BQ109" s="2100"/>
      <c r="BR109" s="2100"/>
      <c r="BS109" s="2102"/>
      <c r="BT109" s="2103">
        <f>ROUND(VLOOKUP(I109,実績!$C$5:$CV$1474,59,0),1)</f>
        <v>0</v>
      </c>
      <c r="BU109" s="2105">
        <f>VLOOKUP(I109,実績!$C$5:$CV$1474,67,0)</f>
        <v>0</v>
      </c>
      <c r="BV109" s="2136">
        <f>VLOOKUP(I109,実績!$C$5:$CV$1474,68,0)</f>
        <v>0</v>
      </c>
      <c r="BW109" s="2138">
        <f>VLOOKUP(I109,実績!$C$5:$CV$1474,69,0)</f>
        <v>0</v>
      </c>
      <c r="BX109" s="2093">
        <f>VLOOKUP(I109,実績!$C$5:$CV$1474,75,0)</f>
        <v>0</v>
      </c>
      <c r="BY109" s="2094"/>
      <c r="BZ109" s="2094"/>
      <c r="CA109" s="2094"/>
      <c r="CB109" s="2180"/>
      <c r="CD109" s="1968">
        <f>F109</f>
        <v>0</v>
      </c>
      <c r="CE109" s="1968" t="str">
        <f>I109</f>
        <v>Vdrug中川下之一色</v>
      </c>
      <c r="CF109" s="96" t="str">
        <f>BD109</f>
        <v>2021.4</v>
      </c>
      <c r="CG109" s="96" t="str">
        <f>BF109</f>
        <v>2021.6</v>
      </c>
      <c r="CH109" s="14"/>
      <c r="CI109" s="14"/>
      <c r="CJ109" s="104"/>
      <c r="CK109" s="18"/>
      <c r="CL109" s="18"/>
      <c r="CM109" s="103"/>
      <c r="CN109" s="103"/>
      <c r="CO109" s="103"/>
      <c r="CP109" s="103"/>
      <c r="CQ109" s="103"/>
      <c r="CR109" s="103"/>
      <c r="CS109" s="103"/>
      <c r="CT109" s="103"/>
      <c r="CU109" s="103"/>
      <c r="CV109" s="103"/>
      <c r="CW109" s="103"/>
      <c r="CX109" s="44"/>
      <c r="CY109" s="44"/>
      <c r="CZ109" s="44"/>
      <c r="DA109" s="103"/>
      <c r="DB109" s="103"/>
      <c r="DC109" s="103"/>
      <c r="DD109" s="103"/>
      <c r="DE109" s="103"/>
    </row>
    <row r="110" spans="2:109" ht="30" customHeight="1" thickTop="1" thickBot="1">
      <c r="B110" s="2537"/>
      <c r="C110" s="2537"/>
      <c r="D110" s="2134"/>
      <c r="E110" s="2135"/>
      <c r="F110" s="2184" t="str">
        <f>"("&amp;SUBSTITUTE(VLOOKUP(I109,実績!$C$5:$CV$1474,16,0),"有限会社 ","")&amp;","&amp;SUBSTITUTE(VLOOKUP(I109,実績!$C$5:$CV$1474,21,0),"株式会社","")&amp;")"</f>
        <v>(中部設計,ﾃｨｰｱﾝﾄﾞﾋﾟｨｰ設計事務所)</v>
      </c>
      <c r="G110" s="2185"/>
      <c r="H110" s="2185"/>
      <c r="I110" s="2185"/>
      <c r="J110" s="2185"/>
      <c r="K110" s="2185"/>
      <c r="L110" s="2185"/>
      <c r="M110" s="2185"/>
      <c r="N110" s="2185"/>
      <c r="O110" s="2185"/>
      <c r="P110" s="2185"/>
      <c r="Q110" s="2185"/>
      <c r="R110" s="2185"/>
      <c r="S110" s="2185"/>
      <c r="T110" s="2186"/>
      <c r="U110" s="2156"/>
      <c r="V110" s="2157"/>
      <c r="W110" s="2109"/>
      <c r="X110" s="2110"/>
      <c r="Y110" s="2156" t="str">
        <f>VLOOKUP(I109,実績!$C$5:$CV$1474,5,0)</f>
        <v>名古屋市</v>
      </c>
      <c r="Z110" s="2169"/>
      <c r="AA110" s="2157"/>
      <c r="AB110" s="2168"/>
      <c r="AC110" s="2169"/>
      <c r="AD110" s="2157"/>
      <c r="AE110" s="2174"/>
      <c r="AF110" s="2174"/>
      <c r="AG110" s="2175"/>
      <c r="AH110" s="2178"/>
      <c r="AI110" s="2179"/>
      <c r="AJ110" s="2143"/>
      <c r="AK110" s="2144"/>
      <c r="AL110" s="2145"/>
      <c r="AM110" s="2146">
        <f>VLOOKUP(I109,実績!$C$5:$CV$1474,62,0)</f>
        <v>0</v>
      </c>
      <c r="AN110" s="2147"/>
      <c r="AO110" s="2147"/>
      <c r="AP110" s="2148"/>
      <c r="AQ110" s="2150"/>
      <c r="AR110" s="2124"/>
      <c r="AS110" s="2123"/>
      <c r="AT110" s="2124"/>
      <c r="AU110" s="2123"/>
      <c r="AV110" s="2124"/>
      <c r="AW110" s="2123"/>
      <c r="AX110" s="2124"/>
      <c r="AY110" s="2123"/>
      <c r="AZ110" s="2151"/>
      <c r="BA110" s="2084">
        <f>VLOOKUP(I109,実績!$C$5:$CV$1474,46,0)</f>
        <v>0</v>
      </c>
      <c r="BB110" s="2085"/>
      <c r="BC110" s="2086"/>
      <c r="BD110" s="2089"/>
      <c r="BE110" s="2090"/>
      <c r="BF110" s="2092"/>
      <c r="BG110" s="2096"/>
      <c r="BH110" s="2097"/>
      <c r="BI110" s="2097"/>
      <c r="BJ110" s="2097"/>
      <c r="BK110" s="2098"/>
      <c r="BL110" s="2099"/>
      <c r="BM110" s="2100"/>
      <c r="BN110" s="2100"/>
      <c r="BO110" s="2101"/>
      <c r="BP110" s="2099"/>
      <c r="BQ110" s="2100"/>
      <c r="BR110" s="2100"/>
      <c r="BS110" s="2102"/>
      <c r="BT110" s="2104"/>
      <c r="BU110" s="2106"/>
      <c r="BV110" s="2137"/>
      <c r="BW110" s="2139"/>
      <c r="BX110" s="2181"/>
      <c r="BY110" s="2182"/>
      <c r="BZ110" s="2182"/>
      <c r="CA110" s="2182"/>
      <c r="CB110" s="2183"/>
      <c r="CH110" s="14"/>
      <c r="CI110" s="14"/>
      <c r="CJ110" s="104"/>
      <c r="CK110" s="18"/>
      <c r="CL110" s="18"/>
      <c r="CM110" s="103"/>
      <c r="CN110" s="103"/>
      <c r="CO110" s="103"/>
      <c r="CP110" s="103"/>
      <c r="CQ110" s="103"/>
      <c r="CR110" s="103"/>
      <c r="CS110" s="103"/>
      <c r="CT110" s="103"/>
      <c r="CU110" s="103"/>
      <c r="CV110" s="103"/>
      <c r="CW110" s="103"/>
      <c r="CX110" s="44"/>
      <c r="CY110" s="44"/>
      <c r="CZ110" s="44"/>
      <c r="DA110" s="103"/>
      <c r="DB110" s="103"/>
      <c r="DC110" s="103"/>
      <c r="DD110" s="103"/>
      <c r="DE110" s="103"/>
    </row>
    <row r="111" spans="2:109" ht="30" customHeight="1" thickTop="1" thickBot="1">
      <c r="B111" s="2537"/>
      <c r="C111" s="2537"/>
      <c r="D111" s="2158" t="s">
        <v>4852</v>
      </c>
      <c r="E111" s="2159"/>
      <c r="F111" s="2219"/>
      <c r="G111" s="2220"/>
      <c r="H111" s="2220"/>
      <c r="I111" s="2152" t="str">
        <f>実績!C1457</f>
        <v>DAIGOリサイクルセンター</v>
      </c>
      <c r="J111" s="2152"/>
      <c r="K111" s="2152"/>
      <c r="L111" s="2152"/>
      <c r="M111" s="2152"/>
      <c r="N111" s="2152"/>
      <c r="O111" s="2152"/>
      <c r="P111" s="2152"/>
      <c r="Q111" s="2152"/>
      <c r="R111" s="2152"/>
      <c r="S111" s="2152"/>
      <c r="T111" s="2153"/>
      <c r="U111" s="2154" t="str">
        <f>VLOOKUP(I111,実績!$C$5:$CV$1474,3,0)</f>
        <v>新井</v>
      </c>
      <c r="V111" s="2155"/>
      <c r="W111" s="2211">
        <f>VLOOKUP(I111,実績!$C$5:$CV$1474,2,0)</f>
        <v>0</v>
      </c>
      <c r="X111" s="2212"/>
      <c r="Y111" s="2301">
        <f>VLOOKUP(I111,実績!$C$5:$CV$1474,4,FALSE)</f>
        <v>0</v>
      </c>
      <c r="Z111" s="2214"/>
      <c r="AA111" s="2215"/>
      <c r="AB111" s="2211">
        <f>VLOOKUP(I111,実績!$C$5:$CV$1474,9,0)</f>
        <v>0</v>
      </c>
      <c r="AC111" s="2214"/>
      <c r="AD111" s="2215"/>
      <c r="AE111" s="2227">
        <f>ROUND(VLOOKUP(I111,実績!$C$5:$CV$1474,42,0),-1)</f>
        <v>0</v>
      </c>
      <c r="AF111" s="2228"/>
      <c r="AG111" s="2229"/>
      <c r="AH111" s="2301">
        <f>VLOOKUP(I111,実績!$C$5:$CV$1474,50,0)</f>
        <v>0</v>
      </c>
      <c r="AI111" s="2215"/>
      <c r="AJ111" s="2302">
        <f>VLOOKUP(I111,実績!$C$5:$CV$1474,60,0)</f>
        <v>0</v>
      </c>
      <c r="AK111" s="2303"/>
      <c r="AL111" s="2304"/>
      <c r="AM111" s="2081">
        <f>VLOOKUP(I111,実績!$C$5:$CV$1474,61,0)</f>
        <v>0</v>
      </c>
      <c r="AN111" s="2082"/>
      <c r="AO111" s="2082"/>
      <c r="AP111" s="2083"/>
      <c r="AQ111" s="2158" t="str">
        <f>VLOOKUP(I111,実績!$C$5:$CV$1474,37,0)</f>
        <v>-</v>
      </c>
      <c r="AR111" s="2159"/>
      <c r="AS111" s="2120">
        <f>VLOOKUP(I111,実績!$C$5:$CV$1474,38,0)</f>
        <v>0</v>
      </c>
      <c r="AT111" s="2200"/>
      <c r="AU111" s="2114" t="str">
        <f>VLOOKUP(I111,実績!$C$5:$CV$1474,39,0)</f>
        <v>-</v>
      </c>
      <c r="AV111" s="2159"/>
      <c r="AW111" s="2120">
        <f>VLOOKUP(I111,実績!$C$5:$CV$1474,40,0)</f>
        <v>0</v>
      </c>
      <c r="AX111" s="2200"/>
      <c r="AY111" s="2120">
        <f>VLOOKUP(I111,実績!$C$5:$CV$1474,41,0)</f>
        <v>0</v>
      </c>
      <c r="AZ111" s="2121"/>
      <c r="BA111" s="2569">
        <f>VLOOKUP(I111,実績!$C$5:$CV$1474,44,0)</f>
        <v>0</v>
      </c>
      <c r="BB111" s="2570"/>
      <c r="BC111" s="2571"/>
      <c r="BD111" s="2236"/>
      <c r="BE111" s="2237"/>
      <c r="BF111" s="2577" t="s">
        <v>17871</v>
      </c>
      <c r="BG111" s="2181"/>
      <c r="BH111" s="2182"/>
      <c r="BI111" s="2182"/>
      <c r="BJ111" s="2182"/>
      <c r="BK111" s="2206"/>
      <c r="BL111" s="2099"/>
      <c r="BM111" s="2100"/>
      <c r="BN111" s="2100"/>
      <c r="BO111" s="2101"/>
      <c r="BP111" s="2099"/>
      <c r="BQ111" s="2100"/>
      <c r="BR111" s="2100"/>
      <c r="BS111" s="2102"/>
      <c r="BT111" s="2103">
        <f>ROUND(VLOOKUP(I111,実績!$C$5:$CV$1474,59,0),1)</f>
        <v>0</v>
      </c>
      <c r="BU111" s="2105">
        <f>VLOOKUP(I111,実績!$C$5:$CV$1474,67,0)</f>
        <v>0</v>
      </c>
      <c r="BV111" s="2136">
        <f>VLOOKUP(I111,実績!$C$5:$CV$1474,68,0)</f>
        <v>0</v>
      </c>
      <c r="BW111" s="2138">
        <f>VLOOKUP(I111,実績!$C$5:$CV$1474,69,0)</f>
        <v>0</v>
      </c>
      <c r="BX111" s="2093">
        <f>VLOOKUP(I111,実績!$C$5:$CV$1474,75,0)</f>
        <v>0</v>
      </c>
      <c r="BY111" s="2094"/>
      <c r="BZ111" s="2094"/>
      <c r="CA111" s="2094"/>
      <c r="CB111" s="2180"/>
      <c r="CD111" s="1968">
        <f>F111</f>
        <v>0</v>
      </c>
      <c r="CE111" s="1968" t="str">
        <f>I111</f>
        <v>DAIGOリサイクルセンター</v>
      </c>
      <c r="CF111" s="96">
        <f>BD111</f>
        <v>0</v>
      </c>
      <c r="CG111" s="96" t="str">
        <f>BF111</f>
        <v>2022</v>
      </c>
      <c r="CH111" s="14"/>
      <c r="CI111" s="14"/>
      <c r="CJ111" s="104"/>
      <c r="CK111" s="18"/>
      <c r="CL111" s="18"/>
      <c r="CM111" s="103"/>
      <c r="CN111" s="103"/>
      <c r="CO111" s="103"/>
      <c r="CP111" s="103"/>
      <c r="CQ111" s="103"/>
      <c r="CR111" s="103"/>
      <c r="CS111" s="103"/>
      <c r="CT111" s="103"/>
      <c r="CU111" s="103"/>
      <c r="CV111" s="103"/>
      <c r="CW111" s="103"/>
      <c r="CX111" s="44"/>
      <c r="CY111" s="44"/>
      <c r="CZ111" s="44"/>
      <c r="DA111" s="103"/>
      <c r="DB111" s="103"/>
      <c r="DC111" s="103"/>
      <c r="DD111" s="103"/>
      <c r="DE111" s="103"/>
    </row>
    <row r="112" spans="2:109" ht="30" customHeight="1" thickTop="1" thickBot="1">
      <c r="B112" s="2537"/>
      <c r="C112" s="2537"/>
      <c r="D112" s="2134"/>
      <c r="E112" s="2135"/>
      <c r="F112" s="2184" t="str">
        <f>"("&amp;SUBSTITUTE(VLOOKUP(I111,実績!$C$5:$CV$1474,26,0)," 株式会社","")&amp;","&amp;SUBSTITUTE(VLOOKUP(I111,実績!$C$5:$CV$1474,21,0),"株式会社","")&amp;")"</f>
        <v>(大宝柊木,ﾃｨｰｱﾝﾄﾞﾋﾟｨｰ設計事務所)</v>
      </c>
      <c r="G112" s="2185"/>
      <c r="H112" s="2185"/>
      <c r="I112" s="2185"/>
      <c r="J112" s="2185"/>
      <c r="K112" s="2185"/>
      <c r="L112" s="2185"/>
      <c r="M112" s="2185"/>
      <c r="N112" s="2185"/>
      <c r="O112" s="2185"/>
      <c r="P112" s="2185"/>
      <c r="Q112" s="2185"/>
      <c r="R112" s="2185"/>
      <c r="S112" s="2185"/>
      <c r="T112" s="2186"/>
      <c r="U112" s="2156"/>
      <c r="V112" s="2157"/>
      <c r="W112" s="2109"/>
      <c r="X112" s="2110"/>
      <c r="Y112" s="2178">
        <f>VLOOKUP(I111,実績!$C$5:$CV$1474,5,0)</f>
        <v>0</v>
      </c>
      <c r="Z112" s="2187"/>
      <c r="AA112" s="2179"/>
      <c r="AB112" s="2109"/>
      <c r="AC112" s="2187"/>
      <c r="AD112" s="2179"/>
      <c r="AE112" s="2173"/>
      <c r="AF112" s="2174"/>
      <c r="AG112" s="2175"/>
      <c r="AH112" s="2178"/>
      <c r="AI112" s="2179"/>
      <c r="AJ112" s="2143"/>
      <c r="AK112" s="2144"/>
      <c r="AL112" s="2145"/>
      <c r="AM112" s="2146">
        <f>VLOOKUP(I111,実績!$C$5:$CV$1474,62,0)</f>
        <v>0</v>
      </c>
      <c r="AN112" s="2147"/>
      <c r="AO112" s="2147"/>
      <c r="AP112" s="2148"/>
      <c r="AQ112" s="2134"/>
      <c r="AR112" s="2135"/>
      <c r="AS112" s="2123"/>
      <c r="AT112" s="2124"/>
      <c r="AU112" s="2127"/>
      <c r="AV112" s="2135"/>
      <c r="AW112" s="2123"/>
      <c r="AX112" s="2124"/>
      <c r="AY112" s="2123"/>
      <c r="AZ112" s="2151"/>
      <c r="BA112" s="2084">
        <f>VLOOKUP(I111,実績!$C$5:$CV$1474,46,0)</f>
        <v>0</v>
      </c>
      <c r="BB112" s="2085"/>
      <c r="BC112" s="2086"/>
      <c r="BD112" s="2198"/>
      <c r="BE112" s="2199"/>
      <c r="BF112" s="2092"/>
      <c r="BG112" s="2096"/>
      <c r="BH112" s="2097"/>
      <c r="BI112" s="2097"/>
      <c r="BJ112" s="2097"/>
      <c r="BK112" s="2098"/>
      <c r="BL112" s="2099"/>
      <c r="BM112" s="2100"/>
      <c r="BN112" s="2100"/>
      <c r="BO112" s="2101"/>
      <c r="BP112" s="2099"/>
      <c r="BQ112" s="2100"/>
      <c r="BR112" s="2100"/>
      <c r="BS112" s="2102"/>
      <c r="BT112" s="2104"/>
      <c r="BU112" s="2106"/>
      <c r="BV112" s="2137"/>
      <c r="BW112" s="2139"/>
      <c r="BX112" s="2181"/>
      <c r="BY112" s="2182"/>
      <c r="BZ112" s="2182"/>
      <c r="CA112" s="2182"/>
      <c r="CB112" s="2183"/>
      <c r="CH112" s="14"/>
      <c r="CI112" s="14"/>
      <c r="CJ112" s="104"/>
      <c r="CK112" s="18"/>
      <c r="CL112" s="18"/>
      <c r="CM112" s="103"/>
      <c r="CN112" s="103"/>
      <c r="CO112" s="103"/>
      <c r="CP112" s="103"/>
      <c r="CQ112" s="103"/>
      <c r="CR112" s="103"/>
      <c r="CS112" s="103"/>
      <c r="CT112" s="103"/>
      <c r="CU112" s="103"/>
      <c r="CV112" s="103"/>
      <c r="CW112" s="103"/>
      <c r="CX112" s="44"/>
      <c r="CY112" s="44"/>
      <c r="CZ112" s="44"/>
      <c r="DA112" s="103"/>
      <c r="DB112" s="103"/>
      <c r="DC112" s="103"/>
      <c r="DD112" s="103"/>
      <c r="DE112" s="103"/>
    </row>
    <row r="113" spans="2:109" ht="30" customHeight="1" thickTop="1" thickBot="1">
      <c r="B113" s="2537"/>
      <c r="C113" s="2537"/>
      <c r="D113" s="2313" t="s">
        <v>4852</v>
      </c>
      <c r="E113" s="2133"/>
      <c r="F113" s="2160"/>
      <c r="G113" s="2161"/>
      <c r="H113" s="2161"/>
      <c r="I113" s="2162" t="str">
        <f>実績!C1460</f>
        <v>東北マツダ南吉成</v>
      </c>
      <c r="J113" s="2162"/>
      <c r="K113" s="2162"/>
      <c r="L113" s="2162"/>
      <c r="M113" s="2162"/>
      <c r="N113" s="2162"/>
      <c r="O113" s="2162"/>
      <c r="P113" s="2162"/>
      <c r="Q113" s="2162"/>
      <c r="R113" s="2162"/>
      <c r="S113" s="2162"/>
      <c r="T113" s="2163"/>
      <c r="U113" s="2164" t="str">
        <f>VLOOKUP(I113,実績!$C$5:$CV$1474,3,0)</f>
        <v>沖本</v>
      </c>
      <c r="V113" s="2165"/>
      <c r="W113" s="2107">
        <f>VLOOKUP(I113,実績!$C$5:$CV$1474,2,0)</f>
        <v>0</v>
      </c>
      <c r="X113" s="2108"/>
      <c r="Y113" s="2164" t="str">
        <f>VLOOKUP(I113,実績!$C$5:$CV$1474,4,FALSE)</f>
        <v>宮城県</v>
      </c>
      <c r="Z113" s="2166"/>
      <c r="AA113" s="2165"/>
      <c r="AB113" s="2107">
        <f>VLOOKUP(I113,実績!$C$5:$CV$1474,9,0)</f>
        <v>0</v>
      </c>
      <c r="AC113" s="2190"/>
      <c r="AD113" s="2177"/>
      <c r="AE113" s="2170">
        <f>ROUND(VLOOKUP(I113,実績!$C$5:$CV$1474,42,0),-1)</f>
        <v>0</v>
      </c>
      <c r="AF113" s="2171"/>
      <c r="AG113" s="2172"/>
      <c r="AH113" s="2176">
        <f>VLOOKUP(I113,実績!$C$5:$CV$1474,50,0)</f>
        <v>0</v>
      </c>
      <c r="AI113" s="2177"/>
      <c r="AJ113" s="2140">
        <f>VLOOKUP(I113,実績!$C$5:$CV$1474,60,0)</f>
        <v>0</v>
      </c>
      <c r="AK113" s="2141"/>
      <c r="AL113" s="2142"/>
      <c r="AM113" s="2146">
        <f>VLOOKUP(I113,実績!$C$5:$CV$1474,61,0)</f>
        <v>0</v>
      </c>
      <c r="AN113" s="2147"/>
      <c r="AO113" s="2147"/>
      <c r="AP113" s="2148"/>
      <c r="AQ113" s="2132" t="str">
        <f>VLOOKUP(I113,実績!$C$5:$CV$1474,37,0)</f>
        <v>-</v>
      </c>
      <c r="AR113" s="2133"/>
      <c r="AS113" s="2118">
        <f>VLOOKUP(I113,実績!$C$5:$CV$1474,38,0)</f>
        <v>0</v>
      </c>
      <c r="AT113" s="2122"/>
      <c r="AU113" s="2125" t="str">
        <f>VLOOKUP(I113,実績!$C$5:$CV$1474,39,0)</f>
        <v>-</v>
      </c>
      <c r="AV113" s="2133"/>
      <c r="AW113" s="2118">
        <f>VLOOKUP(I113,実績!$C$5:$CV$1474,40,0)</f>
        <v>0</v>
      </c>
      <c r="AX113" s="2122"/>
      <c r="AY113" s="2125" t="str">
        <f>VLOOKUP(I113,実績!$C$5:$CV$1474,41,0)</f>
        <v>独立</v>
      </c>
      <c r="AZ113" s="2126"/>
      <c r="BA113" s="2084">
        <f>VLOOKUP(I113,実績!$C$5:$CV$1474,44,0)</f>
        <v>0</v>
      </c>
      <c r="BB113" s="2085"/>
      <c r="BC113" s="2086"/>
      <c r="BD113" s="2196"/>
      <c r="BE113" s="2197"/>
      <c r="BF113" s="2130"/>
      <c r="BG113" s="2093" t="s">
        <v>16819</v>
      </c>
      <c r="BH113" s="2094"/>
      <c r="BI113" s="2094"/>
      <c r="BJ113" s="2094"/>
      <c r="BK113" s="2095"/>
      <c r="BL113" s="2099"/>
      <c r="BM113" s="2100"/>
      <c r="BN113" s="2100"/>
      <c r="BO113" s="2101"/>
      <c r="BP113" s="2099"/>
      <c r="BQ113" s="2100"/>
      <c r="BR113" s="2100"/>
      <c r="BS113" s="2102"/>
      <c r="BT113" s="2103">
        <f>ROUND(VLOOKUP(I113,実績!$C$5:$CV$1474,59,0),1)</f>
        <v>0</v>
      </c>
      <c r="BU113" s="2105">
        <f>VLOOKUP(I113,実績!$C$5:$CV$1474,67,0)</f>
        <v>0</v>
      </c>
      <c r="BV113" s="2136">
        <f>VLOOKUP(I113,実績!$C$5:$CV$1474,68,0)</f>
        <v>0</v>
      </c>
      <c r="BW113" s="2138">
        <f>VLOOKUP(I113,実績!$C$5:$CV$1474,69,0)</f>
        <v>0</v>
      </c>
      <c r="BX113" s="2093" t="str">
        <f>VLOOKUP(I113,実績!$C$5:$CV$1474,75,0)</f>
        <v>2棟</v>
      </c>
      <c r="BY113" s="2094"/>
      <c r="BZ113" s="2094"/>
      <c r="CA113" s="2094"/>
      <c r="CB113" s="2180"/>
      <c r="CD113" s="1968">
        <f>F113</f>
        <v>0</v>
      </c>
      <c r="CE113" s="1968" t="str">
        <f>I113</f>
        <v>東北マツダ南吉成</v>
      </c>
      <c r="CF113" s="96">
        <f>BD113</f>
        <v>0</v>
      </c>
      <c r="CG113" s="96">
        <f>BF113</f>
        <v>0</v>
      </c>
      <c r="CH113" s="14"/>
      <c r="CI113" s="14"/>
      <c r="CJ113" s="104"/>
      <c r="CK113" s="18"/>
      <c r="CL113" s="18"/>
      <c r="CM113" s="103"/>
      <c r="CN113" s="103"/>
      <c r="CO113" s="103"/>
      <c r="CP113" s="103"/>
      <c r="CQ113" s="103"/>
      <c r="CR113" s="103"/>
      <c r="CS113" s="103"/>
      <c r="CT113" s="103"/>
      <c r="CU113" s="103"/>
      <c r="CV113" s="103"/>
      <c r="CW113" s="103"/>
      <c r="CX113" s="44"/>
      <c r="CY113" s="44"/>
      <c r="CZ113" s="44"/>
      <c r="DA113" s="103"/>
      <c r="DB113" s="103"/>
      <c r="DC113" s="103"/>
      <c r="DD113" s="103"/>
      <c r="DE113" s="103"/>
    </row>
    <row r="114" spans="2:109" ht="30" customHeight="1" thickTop="1" thickBot="1">
      <c r="B114" s="2537"/>
      <c r="C114" s="2537"/>
      <c r="D114" s="2459"/>
      <c r="E114" s="2159"/>
      <c r="F114" s="2221" t="str">
        <f>"("&amp;SUBSTITUTE(VLOOKUP(I113,実績!$C$5:$CV$1474,16,0)," 株式会社","")&amp;","&amp;SUBSTITUTE(VLOOKUP(I113,実績!$C$5:$CV$1474,21,0),"株式会社","")&amp;")"</f>
        <v>(マツダエース,ﾃｨｰｱﾝﾄﾞﾋﾟｨｰ設計事務所)</v>
      </c>
      <c r="G114" s="2222"/>
      <c r="H114" s="2222"/>
      <c r="I114" s="2222"/>
      <c r="J114" s="2222"/>
      <c r="K114" s="2222"/>
      <c r="L114" s="2222"/>
      <c r="M114" s="2222"/>
      <c r="N114" s="2222"/>
      <c r="O114" s="2222"/>
      <c r="P114" s="2222"/>
      <c r="Q114" s="2222"/>
      <c r="R114" s="2222"/>
      <c r="S114" s="2222"/>
      <c r="T114" s="2223"/>
      <c r="U114" s="2154"/>
      <c r="V114" s="2155"/>
      <c r="W114" s="2211"/>
      <c r="X114" s="2212"/>
      <c r="Y114" s="2154" t="str">
        <f>VLOOKUP(I113,実績!$C$5:$CV$1474,5,0)</f>
        <v>仙台市</v>
      </c>
      <c r="Z114" s="2286"/>
      <c r="AA114" s="2155"/>
      <c r="AB114" s="2211"/>
      <c r="AC114" s="2214"/>
      <c r="AD114" s="2215"/>
      <c r="AE114" s="2227"/>
      <c r="AF114" s="2228"/>
      <c r="AG114" s="2229"/>
      <c r="AH114" s="2301"/>
      <c r="AI114" s="2215"/>
      <c r="AJ114" s="2302"/>
      <c r="AK114" s="2303"/>
      <c r="AL114" s="2304"/>
      <c r="AM114" s="2308">
        <f>VLOOKUP(I113,実績!$C$5:$CV$1474,62,0)</f>
        <v>0</v>
      </c>
      <c r="AN114" s="2309"/>
      <c r="AO114" s="2309"/>
      <c r="AP114" s="2310"/>
      <c r="AQ114" s="2158"/>
      <c r="AR114" s="2159"/>
      <c r="AS114" s="2120"/>
      <c r="AT114" s="2200"/>
      <c r="AU114" s="2114"/>
      <c r="AV114" s="2159"/>
      <c r="AW114" s="2123"/>
      <c r="AX114" s="2124"/>
      <c r="AY114" s="2127"/>
      <c r="AZ114" s="2128"/>
      <c r="BA114" s="2084">
        <f>VLOOKUP(I113,実績!$C$5:$CV$1474,46,0)</f>
        <v>0</v>
      </c>
      <c r="BB114" s="2085"/>
      <c r="BC114" s="2086"/>
      <c r="BD114" s="2198"/>
      <c r="BE114" s="2199"/>
      <c r="BF114" s="2131"/>
      <c r="BG114" s="2096"/>
      <c r="BH114" s="2097"/>
      <c r="BI114" s="2097"/>
      <c r="BJ114" s="2097"/>
      <c r="BK114" s="2098"/>
      <c r="BL114" s="2099"/>
      <c r="BM114" s="2100"/>
      <c r="BN114" s="2100"/>
      <c r="BO114" s="2101"/>
      <c r="BP114" s="2099"/>
      <c r="BQ114" s="2100"/>
      <c r="BR114" s="2100"/>
      <c r="BS114" s="2102"/>
      <c r="BT114" s="2104"/>
      <c r="BU114" s="2106"/>
      <c r="BV114" s="2137"/>
      <c r="BW114" s="2139"/>
      <c r="BX114" s="2181"/>
      <c r="BY114" s="2182"/>
      <c r="BZ114" s="2182"/>
      <c r="CA114" s="2182"/>
      <c r="CB114" s="2183"/>
      <c r="CH114" s="14"/>
      <c r="CI114" s="14"/>
      <c r="CJ114" s="104"/>
      <c r="CK114" s="18"/>
      <c r="CL114" s="18"/>
      <c r="CM114" s="103"/>
      <c r="CN114" s="103"/>
      <c r="CO114" s="103"/>
      <c r="CP114" s="103"/>
      <c r="CQ114" s="103"/>
      <c r="CR114" s="103"/>
      <c r="CS114" s="103"/>
      <c r="CT114" s="103"/>
      <c r="CU114" s="103"/>
      <c r="CV114" s="103"/>
      <c r="CW114" s="103"/>
      <c r="CX114" s="44"/>
      <c r="CY114" s="44"/>
      <c r="CZ114" s="44"/>
      <c r="DA114" s="103"/>
      <c r="DB114" s="103"/>
      <c r="DC114" s="103"/>
      <c r="DD114" s="103"/>
      <c r="DE114" s="103"/>
    </row>
    <row r="115" spans="2:109" ht="30" customHeight="1" thickTop="1" thickBot="1">
      <c r="B115" s="2537"/>
      <c r="C115" s="2537"/>
      <c r="D115" s="2132" t="s">
        <v>4852</v>
      </c>
      <c r="E115" s="2133"/>
      <c r="F115" s="2160"/>
      <c r="G115" s="2161"/>
      <c r="H115" s="2161"/>
      <c r="I115" s="2162" t="str">
        <f>実績!C1458</f>
        <v>九州マツダ</v>
      </c>
      <c r="J115" s="2162"/>
      <c r="K115" s="2162"/>
      <c r="L115" s="2162"/>
      <c r="M115" s="2162"/>
      <c r="N115" s="2162"/>
      <c r="O115" s="2162"/>
      <c r="P115" s="2162"/>
      <c r="Q115" s="2162"/>
      <c r="R115" s="2162"/>
      <c r="S115" s="2162"/>
      <c r="T115" s="2163"/>
      <c r="U115" s="2164" t="str">
        <f>VLOOKUP(I115,実績!$C$5:$CV$1474,3,0)</f>
        <v>植松</v>
      </c>
      <c r="V115" s="2165"/>
      <c r="W115" s="2107">
        <f>VLOOKUP(I115,実績!$C$5:$CV$1474,2,0)</f>
        <v>0</v>
      </c>
      <c r="X115" s="2108"/>
      <c r="Y115" s="2176">
        <f>VLOOKUP(I115,実績!$C$5:$CV$1474,4,FALSE)</f>
        <v>0</v>
      </c>
      <c r="Z115" s="2190"/>
      <c r="AA115" s="2177"/>
      <c r="AB115" s="2107">
        <f>VLOOKUP(I115,実績!$C$5:$CV$1474,9,0)</f>
        <v>0</v>
      </c>
      <c r="AC115" s="2190"/>
      <c r="AD115" s="2177"/>
      <c r="AE115" s="2170">
        <f>ROUND(VLOOKUP(I115,実績!$C$5:$CV$1474,42,0),-1)</f>
        <v>0</v>
      </c>
      <c r="AF115" s="2171"/>
      <c r="AG115" s="2172"/>
      <c r="AH115" s="2176">
        <f>VLOOKUP(I115,実績!$C$5:$CV$1474,50,0)</f>
        <v>0</v>
      </c>
      <c r="AI115" s="2177"/>
      <c r="AJ115" s="2140">
        <f>VLOOKUP(I115,実績!$C$5:$CV$1474,60,0)</f>
        <v>0</v>
      </c>
      <c r="AK115" s="2141"/>
      <c r="AL115" s="2142"/>
      <c r="AM115" s="2146">
        <f>VLOOKUP(I115,実績!$C$5:$CV$1474,61,0)</f>
        <v>0</v>
      </c>
      <c r="AN115" s="2147"/>
      <c r="AO115" s="2147"/>
      <c r="AP115" s="2148"/>
      <c r="AQ115" s="2149">
        <f>VLOOKUP(I115,実績!$C$5:$CV$1474,37,0)</f>
        <v>0</v>
      </c>
      <c r="AR115" s="2122"/>
      <c r="AS115" s="2118">
        <f>VLOOKUP(I115,実績!$C$5:$CV$1474,38,0)</f>
        <v>0</v>
      </c>
      <c r="AT115" s="2122"/>
      <c r="AU115" s="2118">
        <f>VLOOKUP(I115,実績!$C$5:$CV$1474,39,0)</f>
        <v>0</v>
      </c>
      <c r="AV115" s="2122"/>
      <c r="AW115" s="2118">
        <f>VLOOKUP(I115,実績!$C$5:$CV$1474,40,0)</f>
        <v>0</v>
      </c>
      <c r="AX115" s="2122"/>
      <c r="AY115" s="2118">
        <f>VLOOKUP(I115,実績!$C$5:$CV$1474,41,0)</f>
        <v>0</v>
      </c>
      <c r="AZ115" s="2119"/>
      <c r="BA115" s="2084">
        <f>VLOOKUP(I115,実績!$C$5:$CV$1474,44,0)</f>
        <v>0</v>
      </c>
      <c r="BB115" s="2085"/>
      <c r="BC115" s="2086"/>
      <c r="BD115" s="2087" t="s">
        <v>18020</v>
      </c>
      <c r="BE115" s="2088"/>
      <c r="BF115" s="2091" t="s">
        <v>18021</v>
      </c>
      <c r="BG115" s="2093" t="s">
        <v>18022</v>
      </c>
      <c r="BH115" s="2094"/>
      <c r="BI115" s="2094"/>
      <c r="BJ115" s="2094"/>
      <c r="BK115" s="2095"/>
      <c r="BL115" s="2099"/>
      <c r="BM115" s="2100"/>
      <c r="BN115" s="2100"/>
      <c r="BO115" s="2101"/>
      <c r="BP115" s="2099"/>
      <c r="BQ115" s="2100"/>
      <c r="BR115" s="2100"/>
      <c r="BS115" s="2102"/>
      <c r="BT115" s="2103">
        <f>ROUND(VLOOKUP(I115,実績!$C$5:$CV$1474,59,0),1)</f>
        <v>0</v>
      </c>
      <c r="BU115" s="2105">
        <f>VLOOKUP(I115,実績!$C$5:$CV$1474,67,0)</f>
        <v>0</v>
      </c>
      <c r="BV115" s="2136">
        <f>VLOOKUP(I115,実績!$C$5:$CV$1474,68,0)</f>
        <v>0</v>
      </c>
      <c r="BW115" s="2138">
        <f>VLOOKUP(I115,実績!$C$5:$CV$1474,69,0)</f>
        <v>0</v>
      </c>
      <c r="BX115" s="2093" t="str">
        <f>VLOOKUP(I115,実績!$C$5:$CV$1474,75,0)</f>
        <v>ショールーム・整備棟の2棟</v>
      </c>
      <c r="BY115" s="2094"/>
      <c r="BZ115" s="2094"/>
      <c r="CA115" s="2094"/>
      <c r="CB115" s="2180"/>
      <c r="CD115" s="1968">
        <f>F115</f>
        <v>0</v>
      </c>
      <c r="CE115" s="1968" t="str">
        <f>I115</f>
        <v>九州マツダ</v>
      </c>
      <c r="CF115" s="96" t="str">
        <f>BD115</f>
        <v>2021.9</v>
      </c>
      <c r="CG115" s="96" t="str">
        <f>BF115</f>
        <v>2022.5</v>
      </c>
      <c r="CH115" s="14"/>
      <c r="CI115" s="14"/>
      <c r="CJ115" s="104"/>
      <c r="CK115" s="18"/>
      <c r="CL115" s="18"/>
      <c r="CM115" s="103"/>
      <c r="CN115" s="103"/>
      <c r="CO115" s="103"/>
      <c r="CP115" s="103"/>
      <c r="CQ115" s="103"/>
      <c r="CR115" s="103"/>
      <c r="CS115" s="103"/>
      <c r="CT115" s="103"/>
      <c r="CU115" s="103"/>
      <c r="CV115" s="103"/>
      <c r="CW115" s="103"/>
      <c r="CX115" s="44"/>
      <c r="CY115" s="44"/>
      <c r="CZ115" s="44"/>
      <c r="DA115" s="103"/>
      <c r="DB115" s="103"/>
      <c r="DC115" s="103"/>
      <c r="DD115" s="103"/>
      <c r="DE115" s="103"/>
    </row>
    <row r="116" spans="2:109" ht="30" customHeight="1" thickTop="1" thickBot="1">
      <c r="B116" s="2537"/>
      <c r="C116" s="2537"/>
      <c r="D116" s="2134"/>
      <c r="E116" s="2135"/>
      <c r="F116" s="2184" t="str">
        <f>"("&amp;SUBSTITUTE(VLOOKUP(I115,実績!$C$5:$CV$1474,16,0),"株式会社 ","")&amp;","&amp;SUBSTITUTE(VLOOKUP(I115,実績!$C$5:$CV$1474,21,0),"株式会社","")&amp;")"</f>
        <v>(福永設計事務所,ﾃｨｰｱﾝﾄﾞﾋﾟｨｰ設計事務所)</v>
      </c>
      <c r="G116" s="2185"/>
      <c r="H116" s="2185"/>
      <c r="I116" s="2185"/>
      <c r="J116" s="2185"/>
      <c r="K116" s="2185"/>
      <c r="L116" s="2185"/>
      <c r="M116" s="2185"/>
      <c r="N116" s="2185"/>
      <c r="O116" s="2185"/>
      <c r="P116" s="2185"/>
      <c r="Q116" s="2185"/>
      <c r="R116" s="2185"/>
      <c r="S116" s="2185"/>
      <c r="T116" s="2186"/>
      <c r="U116" s="2156"/>
      <c r="V116" s="2157"/>
      <c r="W116" s="2109"/>
      <c r="X116" s="2110"/>
      <c r="Y116" s="2178">
        <f>VLOOKUP(I115,実績!$C$5:$CV$1474,5,0)</f>
        <v>0</v>
      </c>
      <c r="Z116" s="2187"/>
      <c r="AA116" s="2179"/>
      <c r="AB116" s="2109"/>
      <c r="AC116" s="2187"/>
      <c r="AD116" s="2179"/>
      <c r="AE116" s="2173"/>
      <c r="AF116" s="2174"/>
      <c r="AG116" s="2175"/>
      <c r="AH116" s="2178"/>
      <c r="AI116" s="2179"/>
      <c r="AJ116" s="2143"/>
      <c r="AK116" s="2144"/>
      <c r="AL116" s="2145"/>
      <c r="AM116" s="2146">
        <f>VLOOKUP(I115,実績!$C$5:$CV$1474,62,0)</f>
        <v>0</v>
      </c>
      <c r="AN116" s="2147"/>
      <c r="AO116" s="2147"/>
      <c r="AP116" s="2148"/>
      <c r="AQ116" s="2150"/>
      <c r="AR116" s="2124"/>
      <c r="AS116" s="2123"/>
      <c r="AT116" s="2124"/>
      <c r="AU116" s="2123"/>
      <c r="AV116" s="2124"/>
      <c r="AW116" s="2123"/>
      <c r="AX116" s="2124"/>
      <c r="AY116" s="2123"/>
      <c r="AZ116" s="2151"/>
      <c r="BA116" s="2084">
        <f>VLOOKUP(I115,実績!$C$5:$CV$1474,46,0)</f>
        <v>0</v>
      </c>
      <c r="BB116" s="2085"/>
      <c r="BC116" s="2086"/>
      <c r="BD116" s="2089"/>
      <c r="BE116" s="2090"/>
      <c r="BF116" s="2092"/>
      <c r="BG116" s="2096"/>
      <c r="BH116" s="2097"/>
      <c r="BI116" s="2097"/>
      <c r="BJ116" s="2097"/>
      <c r="BK116" s="2098"/>
      <c r="BL116" s="2099"/>
      <c r="BM116" s="2100"/>
      <c r="BN116" s="2100"/>
      <c r="BO116" s="2101"/>
      <c r="BP116" s="2099"/>
      <c r="BQ116" s="2100"/>
      <c r="BR116" s="2100"/>
      <c r="BS116" s="2102"/>
      <c r="BT116" s="2104"/>
      <c r="BU116" s="2106"/>
      <c r="BV116" s="2137"/>
      <c r="BW116" s="2139"/>
      <c r="BX116" s="2181"/>
      <c r="BY116" s="2182"/>
      <c r="BZ116" s="2182"/>
      <c r="CA116" s="2182"/>
      <c r="CB116" s="2183"/>
      <c r="CH116" s="14"/>
      <c r="CI116" s="14"/>
      <c r="CJ116" s="104"/>
      <c r="CK116" s="18"/>
      <c r="CL116" s="18"/>
      <c r="CM116" s="103"/>
      <c r="CN116" s="103"/>
      <c r="CO116" s="103"/>
      <c r="CP116" s="103"/>
      <c r="CQ116" s="103"/>
      <c r="CR116" s="103"/>
      <c r="CS116" s="103"/>
      <c r="CT116" s="103"/>
      <c r="CU116" s="103"/>
      <c r="CV116" s="103"/>
      <c r="CW116" s="103"/>
      <c r="CX116" s="44"/>
      <c r="CY116" s="44"/>
      <c r="CZ116" s="44"/>
      <c r="DA116" s="103"/>
      <c r="DB116" s="103"/>
      <c r="DC116" s="103"/>
      <c r="DD116" s="103"/>
      <c r="DE116" s="103"/>
    </row>
    <row r="117" spans="2:109" ht="30" customHeight="1" thickTop="1" thickBot="1">
      <c r="B117" s="2537"/>
      <c r="C117" s="2537"/>
      <c r="D117" s="2459" t="s">
        <v>4852</v>
      </c>
      <c r="E117" s="2159"/>
      <c r="F117" s="2219"/>
      <c r="G117" s="2220"/>
      <c r="H117" s="2220"/>
      <c r="I117" s="2152" t="str">
        <f>実績!C1459</f>
        <v>上越市ストックヤード</v>
      </c>
      <c r="J117" s="2152"/>
      <c r="K117" s="2152"/>
      <c r="L117" s="2152"/>
      <c r="M117" s="2152"/>
      <c r="N117" s="2152"/>
      <c r="O117" s="2152"/>
      <c r="P117" s="2152"/>
      <c r="Q117" s="2152"/>
      <c r="R117" s="2152"/>
      <c r="S117" s="2152"/>
      <c r="T117" s="2153"/>
      <c r="U117" s="2154" t="str">
        <f>VLOOKUP(I117,実績!$C$5:$CV$1474,3,0)</f>
        <v>大田</v>
      </c>
      <c r="V117" s="2155"/>
      <c r="W117" s="2211">
        <f>VLOOKUP(I117,実績!$C$5:$CV$1474,2,0)</f>
        <v>0</v>
      </c>
      <c r="X117" s="2212"/>
      <c r="Y117" s="2154" t="str">
        <f>VLOOKUP(I117,実績!$C$5:$CV$1474,4,FALSE)</f>
        <v>新潟県</v>
      </c>
      <c r="Z117" s="2286"/>
      <c r="AA117" s="2155"/>
      <c r="AB117" s="2211">
        <f>VLOOKUP(I117,実績!$C$5:$CV$1474,9,0)</f>
        <v>0</v>
      </c>
      <c r="AC117" s="2214"/>
      <c r="AD117" s="2215"/>
      <c r="AE117" s="2227">
        <f>ROUND(VLOOKUP(I117,実績!$C$5:$CV$1474,42,0),-1)</f>
        <v>0</v>
      </c>
      <c r="AF117" s="2228"/>
      <c r="AG117" s="2229"/>
      <c r="AH117" s="2301">
        <f>VLOOKUP(I117,実績!$C$5:$CV$1474,50,0)</f>
        <v>0</v>
      </c>
      <c r="AI117" s="2215"/>
      <c r="AJ117" s="2302">
        <f>VLOOKUP(I117,実績!$C$5:$CV$1474,60,0)</f>
        <v>0</v>
      </c>
      <c r="AK117" s="2303"/>
      <c r="AL117" s="2304"/>
      <c r="AM117" s="2081">
        <f>VLOOKUP(I117,実績!$C$5:$CV$1474,61,0)</f>
        <v>0</v>
      </c>
      <c r="AN117" s="2082"/>
      <c r="AO117" s="2082"/>
      <c r="AP117" s="2083"/>
      <c r="AQ117" s="2158" t="str">
        <f>VLOOKUP(I117,実績!$C$5:$CV$1474,37,0)</f>
        <v>-</v>
      </c>
      <c r="AR117" s="2159"/>
      <c r="AS117" s="2120">
        <f>VLOOKUP(I117,実績!$C$5:$CV$1474,38,0)</f>
        <v>0</v>
      </c>
      <c r="AT117" s="2200"/>
      <c r="AU117" s="2114" t="str">
        <f>VLOOKUP(I117,実績!$C$5:$CV$1474,39,0)</f>
        <v>-</v>
      </c>
      <c r="AV117" s="2159"/>
      <c r="AW117" s="2118">
        <f>VLOOKUP(I117,実績!$C$5:$CV$1474,40,0)</f>
        <v>0</v>
      </c>
      <c r="AX117" s="2122"/>
      <c r="AY117" s="2118">
        <f>VLOOKUP(I117,実績!$C$5:$CV$1474,41,0)</f>
        <v>0</v>
      </c>
      <c r="AZ117" s="2119"/>
      <c r="BA117" s="2084">
        <f>VLOOKUP(I117,実績!$C$5:$CV$1474,44,0)</f>
        <v>0</v>
      </c>
      <c r="BB117" s="2085"/>
      <c r="BC117" s="2086"/>
      <c r="BD117" s="2087" t="s">
        <v>17817</v>
      </c>
      <c r="BE117" s="2088"/>
      <c r="BF117" s="2091" t="s">
        <v>17816</v>
      </c>
      <c r="BG117" s="2093"/>
      <c r="BH117" s="2094"/>
      <c r="BI117" s="2094"/>
      <c r="BJ117" s="2094"/>
      <c r="BK117" s="2095"/>
      <c r="BL117" s="2099"/>
      <c r="BM117" s="2100"/>
      <c r="BN117" s="2100"/>
      <c r="BO117" s="2101"/>
      <c r="BP117" s="2099"/>
      <c r="BQ117" s="2100"/>
      <c r="BR117" s="2100"/>
      <c r="BS117" s="2102"/>
      <c r="BT117" s="2103">
        <f>ROUND(VLOOKUP(I117,実績!$C$5:$CV$1474,59,0),1)</f>
        <v>0</v>
      </c>
      <c r="BU117" s="2105">
        <f>VLOOKUP(I117,実績!$C$5:$CV$1474,67,0)</f>
        <v>0</v>
      </c>
      <c r="BV117" s="2136">
        <f>VLOOKUP(I117,実績!$C$5:$CV$1474,68,0)</f>
        <v>0</v>
      </c>
      <c r="BW117" s="2138">
        <f>VLOOKUP(I117,実績!$C$5:$CV$1474,69,0)</f>
        <v>0</v>
      </c>
      <c r="BX117" s="2093">
        <f>VLOOKUP(I117,実績!$C$5:$CV$1474,75,0)</f>
        <v>0</v>
      </c>
      <c r="BY117" s="2094"/>
      <c r="BZ117" s="2094"/>
      <c r="CA117" s="2094"/>
      <c r="CB117" s="2180"/>
      <c r="CD117" s="1968">
        <f>F117</f>
        <v>0</v>
      </c>
      <c r="CE117" s="1968" t="str">
        <f>I117</f>
        <v>上越市ストックヤード</v>
      </c>
      <c r="CF117" s="96" t="str">
        <f>BD117</f>
        <v>2021.12</v>
      </c>
      <c r="CG117" s="96" t="str">
        <f>BF117</f>
        <v>2022.9</v>
      </c>
      <c r="CH117" s="14"/>
      <c r="CI117" s="14"/>
      <c r="CJ117" s="104"/>
      <c r="CK117" s="18"/>
      <c r="CL117" s="18"/>
      <c r="CM117" s="103"/>
      <c r="CN117" s="103"/>
      <c r="CO117" s="103"/>
      <c r="CP117" s="103"/>
      <c r="CQ117" s="103"/>
      <c r="CR117" s="103"/>
      <c r="CS117" s="103"/>
      <c r="CT117" s="103"/>
      <c r="CU117" s="103"/>
      <c r="CV117" s="103"/>
      <c r="CW117" s="103"/>
      <c r="CX117" s="44"/>
      <c r="CY117" s="44"/>
      <c r="CZ117" s="44"/>
      <c r="DA117" s="103"/>
      <c r="DB117" s="103"/>
      <c r="DC117" s="103"/>
      <c r="DD117" s="103"/>
      <c r="DE117" s="103"/>
    </row>
    <row r="118" spans="2:109" ht="30" customHeight="1" thickTop="1" thickBot="1">
      <c r="B118" s="2537"/>
      <c r="C118" s="2537"/>
      <c r="D118" s="2459"/>
      <c r="E118" s="2159"/>
      <c r="F118" s="2221" t="str">
        <f>"("&amp;SUBSTITUTE(VLOOKUP(I117,実績!$C$5:$CV$1474,16,0),"株式会社 ","")&amp;","&amp;SUBSTITUTE(VLOOKUP(I117,実績!$C$5:$CV$1474,21,0),"株式会社","")&amp;")"</f>
        <v>(中部設計(富山),ﾃｨｰｱﾝﾄﾞﾋﾟｨｰ設計事務所)</v>
      </c>
      <c r="G118" s="2222"/>
      <c r="H118" s="2222"/>
      <c r="I118" s="2222"/>
      <c r="J118" s="2222"/>
      <c r="K118" s="2222"/>
      <c r="L118" s="2222"/>
      <c r="M118" s="2222"/>
      <c r="N118" s="2222"/>
      <c r="O118" s="2222"/>
      <c r="P118" s="2222"/>
      <c r="Q118" s="2222"/>
      <c r="R118" s="2222"/>
      <c r="S118" s="2222"/>
      <c r="T118" s="2223"/>
      <c r="U118" s="2156"/>
      <c r="V118" s="2157"/>
      <c r="W118" s="2109"/>
      <c r="X118" s="2110"/>
      <c r="Y118" s="2156" t="str">
        <f>VLOOKUP(I117,実績!$C$5:$CV$1474,5,0)</f>
        <v>上越市</v>
      </c>
      <c r="Z118" s="2169"/>
      <c r="AA118" s="2157"/>
      <c r="AB118" s="2109"/>
      <c r="AC118" s="2187"/>
      <c r="AD118" s="2179"/>
      <c r="AE118" s="2173"/>
      <c r="AF118" s="2174"/>
      <c r="AG118" s="2175"/>
      <c r="AH118" s="2178"/>
      <c r="AI118" s="2179"/>
      <c r="AJ118" s="2143"/>
      <c r="AK118" s="2144"/>
      <c r="AL118" s="2145"/>
      <c r="AM118" s="2146">
        <f>VLOOKUP(I117,実績!$C$5:$CV$1474,62,0)</f>
        <v>0</v>
      </c>
      <c r="AN118" s="2147"/>
      <c r="AO118" s="2147"/>
      <c r="AP118" s="2148"/>
      <c r="AQ118" s="2134"/>
      <c r="AR118" s="2135"/>
      <c r="AS118" s="2123"/>
      <c r="AT118" s="2124"/>
      <c r="AU118" s="2127"/>
      <c r="AV118" s="2135"/>
      <c r="AW118" s="2123"/>
      <c r="AX118" s="2124"/>
      <c r="AY118" s="2123"/>
      <c r="AZ118" s="2151"/>
      <c r="BA118" s="2084">
        <f>VLOOKUP(I117,実績!$C$5:$CV$1474,46,0)</f>
        <v>0</v>
      </c>
      <c r="BB118" s="2085"/>
      <c r="BC118" s="2086"/>
      <c r="BD118" s="2089"/>
      <c r="BE118" s="2090"/>
      <c r="BF118" s="2092"/>
      <c r="BG118" s="2096"/>
      <c r="BH118" s="2097"/>
      <c r="BI118" s="2097"/>
      <c r="BJ118" s="2097"/>
      <c r="BK118" s="2098"/>
      <c r="BL118" s="2099"/>
      <c r="BM118" s="2100"/>
      <c r="BN118" s="2100"/>
      <c r="BO118" s="2101"/>
      <c r="BP118" s="2099"/>
      <c r="BQ118" s="2100"/>
      <c r="BR118" s="2100"/>
      <c r="BS118" s="2102"/>
      <c r="BT118" s="2104"/>
      <c r="BU118" s="2106"/>
      <c r="BV118" s="2137"/>
      <c r="BW118" s="2139"/>
      <c r="BX118" s="2181"/>
      <c r="BY118" s="2182"/>
      <c r="BZ118" s="2182"/>
      <c r="CA118" s="2182"/>
      <c r="CB118" s="2183"/>
      <c r="CH118" s="14"/>
      <c r="CI118" s="14"/>
      <c r="CJ118" s="104"/>
      <c r="CK118" s="18"/>
      <c r="CL118" s="18"/>
      <c r="CM118" s="103"/>
      <c r="CN118" s="103"/>
      <c r="CO118" s="103"/>
      <c r="CP118" s="103"/>
      <c r="CQ118" s="103"/>
      <c r="CR118" s="103"/>
      <c r="CS118" s="103"/>
      <c r="CT118" s="103"/>
      <c r="CU118" s="103"/>
      <c r="CV118" s="103"/>
      <c r="CW118" s="103"/>
      <c r="CX118" s="44"/>
      <c r="CY118" s="44"/>
      <c r="CZ118" s="44"/>
      <c r="DA118" s="103"/>
      <c r="DB118" s="103"/>
      <c r="DC118" s="103"/>
      <c r="DD118" s="103"/>
      <c r="DE118" s="103"/>
    </row>
    <row r="119" spans="2:109" ht="30" customHeight="1" thickTop="1" thickBot="1">
      <c r="B119" s="2537"/>
      <c r="C119" s="2537"/>
      <c r="D119" s="2313" t="s">
        <v>4852</v>
      </c>
      <c r="E119" s="2133"/>
      <c r="F119" s="2160"/>
      <c r="G119" s="2161"/>
      <c r="H119" s="2161"/>
      <c r="I119" s="2162" t="str">
        <f>実績!C1461</f>
        <v>関西マツダ寝屋川</v>
      </c>
      <c r="J119" s="2162"/>
      <c r="K119" s="2162"/>
      <c r="L119" s="2162"/>
      <c r="M119" s="2162"/>
      <c r="N119" s="2162"/>
      <c r="O119" s="2162"/>
      <c r="P119" s="2162"/>
      <c r="Q119" s="2162"/>
      <c r="R119" s="2162"/>
      <c r="S119" s="2162"/>
      <c r="T119" s="2163"/>
      <c r="U119" s="2164" t="str">
        <f>VLOOKUP(I119,実績!$C$5:$CV$1474,3,0)</f>
        <v>沖本</v>
      </c>
      <c r="V119" s="2165"/>
      <c r="W119" s="2107">
        <f>VLOOKUP(I119,実績!$C$5:$CV$1474,2,0)</f>
        <v>0</v>
      </c>
      <c r="X119" s="2108"/>
      <c r="Y119" s="2164" t="str">
        <f>VLOOKUP(I119,実績!$C$5:$CV$1474,4,FALSE)</f>
        <v>大阪府</v>
      </c>
      <c r="Z119" s="2166"/>
      <c r="AA119" s="2165"/>
      <c r="AB119" s="2107">
        <f>VLOOKUP(I119,実績!$C$5:$CV$1474,9,0)</f>
        <v>0</v>
      </c>
      <c r="AC119" s="2190"/>
      <c r="AD119" s="2177"/>
      <c r="AE119" s="2170">
        <f>ROUND(VLOOKUP(I119,実績!$C$5:$CV$1474,42,0),-1)</f>
        <v>0</v>
      </c>
      <c r="AF119" s="2171"/>
      <c r="AG119" s="2172"/>
      <c r="AH119" s="2176">
        <f>VLOOKUP(I119,実績!$C$5:$CV$1474,50,0)</f>
        <v>0</v>
      </c>
      <c r="AI119" s="2177"/>
      <c r="AJ119" s="2140">
        <f>VLOOKUP(I119,実績!$C$5:$CV$1474,60,0)</f>
        <v>0</v>
      </c>
      <c r="AK119" s="2141"/>
      <c r="AL119" s="2142"/>
      <c r="AM119" s="2146">
        <f>VLOOKUP(I119,実績!$C$5:$CV$1474,61,0)</f>
        <v>0</v>
      </c>
      <c r="AN119" s="2147"/>
      <c r="AO119" s="2147"/>
      <c r="AP119" s="2148"/>
      <c r="AQ119" s="2132" t="str">
        <f>VLOOKUP(I119,実績!$C$5:$CV$1474,37,0)</f>
        <v>-</v>
      </c>
      <c r="AR119" s="2133"/>
      <c r="AS119" s="2118">
        <f>VLOOKUP(I119,実績!$C$5:$CV$1474,38,0)</f>
        <v>0</v>
      </c>
      <c r="AT119" s="2122"/>
      <c r="AU119" s="2125" t="str">
        <f>VLOOKUP(I119,実績!$C$5:$CV$1474,39,0)</f>
        <v>-</v>
      </c>
      <c r="AV119" s="2133"/>
      <c r="AW119" s="2118">
        <f>VLOOKUP(I119,実績!$C$5:$CV$1474,40,0)</f>
        <v>0</v>
      </c>
      <c r="AX119" s="2122"/>
      <c r="AY119" s="2125" t="str">
        <f>VLOOKUP(I119,実績!$C$5:$CV$1474,41,0)</f>
        <v>独立</v>
      </c>
      <c r="AZ119" s="2126"/>
      <c r="BA119" s="2084">
        <f>VLOOKUP(I119,実績!$C$5:$CV$1474,44,0)</f>
        <v>0</v>
      </c>
      <c r="BB119" s="2085"/>
      <c r="BC119" s="2086"/>
      <c r="BD119" s="2196"/>
      <c r="BE119" s="2197"/>
      <c r="BF119" s="2130"/>
      <c r="BG119" s="2093"/>
      <c r="BH119" s="2094"/>
      <c r="BI119" s="2094"/>
      <c r="BJ119" s="2094"/>
      <c r="BK119" s="2095"/>
      <c r="BL119" s="2099"/>
      <c r="BM119" s="2100"/>
      <c r="BN119" s="2100"/>
      <c r="BO119" s="2101"/>
      <c r="BP119" s="2099"/>
      <c r="BQ119" s="2100"/>
      <c r="BR119" s="2100"/>
      <c r="BS119" s="2102"/>
      <c r="BT119" s="2103">
        <f>ROUND(VLOOKUP(I119,実績!$C$5:$CV$1474,59,0),1)</f>
        <v>0</v>
      </c>
      <c r="BU119" s="2105">
        <f>VLOOKUP(I119,実績!$C$5:$CV$1474,67,0)</f>
        <v>0</v>
      </c>
      <c r="BV119" s="2136">
        <f>VLOOKUP(I119,実績!$C$5:$CV$1474,68,0)</f>
        <v>0</v>
      </c>
      <c r="BW119" s="2138">
        <f>VLOOKUP(I119,実績!$C$5:$CV$1474,69,0)</f>
        <v>0</v>
      </c>
      <c r="BX119" s="2093">
        <f>VLOOKUP(I119,実績!$C$5:$CV$1474,75,0)</f>
        <v>0</v>
      </c>
      <c r="BY119" s="2094"/>
      <c r="BZ119" s="2094"/>
      <c r="CA119" s="2094"/>
      <c r="CB119" s="2180"/>
      <c r="CD119" s="1968">
        <f>F119</f>
        <v>0</v>
      </c>
      <c r="CE119" s="1968" t="str">
        <f>I119</f>
        <v>関西マツダ寝屋川</v>
      </c>
      <c r="CF119" s="96">
        <f>BD119</f>
        <v>0</v>
      </c>
      <c r="CG119" s="96">
        <f>BF119</f>
        <v>0</v>
      </c>
      <c r="CH119" s="14"/>
      <c r="CI119" s="14"/>
      <c r="CJ119" s="104"/>
      <c r="CK119" s="18"/>
      <c r="CL119" s="18"/>
      <c r="CM119" s="103"/>
      <c r="CN119" s="103"/>
      <c r="CO119" s="103"/>
      <c r="CP119" s="103"/>
      <c r="CQ119" s="103"/>
      <c r="CR119" s="103"/>
      <c r="CS119" s="103"/>
      <c r="CT119" s="103"/>
      <c r="CU119" s="103"/>
      <c r="CV119" s="103"/>
      <c r="CW119" s="103"/>
      <c r="CX119" s="44"/>
      <c r="CY119" s="44"/>
      <c r="CZ119" s="44"/>
      <c r="DA119" s="103"/>
      <c r="DB119" s="103"/>
      <c r="DC119" s="103"/>
      <c r="DD119" s="103"/>
      <c r="DE119" s="103"/>
    </row>
    <row r="120" spans="2:109" ht="30" customHeight="1" thickTop="1" thickBot="1">
      <c r="B120" s="2537"/>
      <c r="C120" s="2537"/>
      <c r="D120" s="2459"/>
      <c r="E120" s="2159"/>
      <c r="F120" s="2221" t="str">
        <f>"("&amp;SUBSTITUTE(VLOOKUP(I119,実績!$C$5:$CV$1474,16,0),"株式会社 ","")&amp;","&amp;SUBSTITUTE(VLOOKUP(I119,実績!$C$5:$CV$1474,21,0),"株式会社","")&amp;")"</f>
        <v>(コホーネス,ﾃｨｰｱﾝﾄﾞﾋﾟｨｰ設計事務所)</v>
      </c>
      <c r="G120" s="2222"/>
      <c r="H120" s="2222"/>
      <c r="I120" s="2222"/>
      <c r="J120" s="2222"/>
      <c r="K120" s="2222"/>
      <c r="L120" s="2222"/>
      <c r="M120" s="2222"/>
      <c r="N120" s="2222"/>
      <c r="O120" s="2222"/>
      <c r="P120" s="2222"/>
      <c r="Q120" s="2222"/>
      <c r="R120" s="2222"/>
      <c r="S120" s="2222"/>
      <c r="T120" s="2223"/>
      <c r="U120" s="2156"/>
      <c r="V120" s="2157"/>
      <c r="W120" s="2109"/>
      <c r="X120" s="2110"/>
      <c r="Y120" s="2156" t="str">
        <f>VLOOKUP(I119,実績!$C$5:$CV$1474,5,0)</f>
        <v>寝屋川市</v>
      </c>
      <c r="Z120" s="2169"/>
      <c r="AA120" s="2157"/>
      <c r="AB120" s="2109"/>
      <c r="AC120" s="2187"/>
      <c r="AD120" s="2179"/>
      <c r="AE120" s="2173"/>
      <c r="AF120" s="2174"/>
      <c r="AG120" s="2175"/>
      <c r="AH120" s="2178"/>
      <c r="AI120" s="2179"/>
      <c r="AJ120" s="2143"/>
      <c r="AK120" s="2144"/>
      <c r="AL120" s="2145"/>
      <c r="AM120" s="2146">
        <f>VLOOKUP(I119,実績!$C$5:$CV$1474,62,0)</f>
        <v>0</v>
      </c>
      <c r="AN120" s="2147"/>
      <c r="AO120" s="2147"/>
      <c r="AP120" s="2148"/>
      <c r="AQ120" s="2134"/>
      <c r="AR120" s="2135"/>
      <c r="AS120" s="2123"/>
      <c r="AT120" s="2124"/>
      <c r="AU120" s="2127"/>
      <c r="AV120" s="2135"/>
      <c r="AW120" s="2123"/>
      <c r="AX120" s="2124"/>
      <c r="AY120" s="2127"/>
      <c r="AZ120" s="2128"/>
      <c r="BA120" s="2084">
        <f>VLOOKUP(I119,実績!$C$5:$CV$1474,46,0)</f>
        <v>0</v>
      </c>
      <c r="BB120" s="2085"/>
      <c r="BC120" s="2086"/>
      <c r="BD120" s="2198"/>
      <c r="BE120" s="2199"/>
      <c r="BF120" s="2131"/>
      <c r="BG120" s="2096"/>
      <c r="BH120" s="2097"/>
      <c r="BI120" s="2097"/>
      <c r="BJ120" s="2097"/>
      <c r="BK120" s="2098"/>
      <c r="BL120" s="2099"/>
      <c r="BM120" s="2100"/>
      <c r="BN120" s="2100"/>
      <c r="BO120" s="2101"/>
      <c r="BP120" s="2099"/>
      <c r="BQ120" s="2100"/>
      <c r="BR120" s="2100"/>
      <c r="BS120" s="2102"/>
      <c r="BT120" s="2398"/>
      <c r="BU120" s="2106"/>
      <c r="BV120" s="2137"/>
      <c r="BW120" s="2391"/>
      <c r="BX120" s="2181"/>
      <c r="BY120" s="2182"/>
      <c r="BZ120" s="2182"/>
      <c r="CA120" s="2182"/>
      <c r="CB120" s="2183"/>
      <c r="CH120" s="14"/>
      <c r="CI120" s="14"/>
      <c r="CJ120" s="104"/>
      <c r="CK120" s="18"/>
      <c r="CL120" s="18"/>
      <c r="CM120" s="103"/>
      <c r="CN120" s="103"/>
      <c r="CO120" s="103"/>
      <c r="CP120" s="103"/>
      <c r="CQ120" s="103"/>
      <c r="CR120" s="103"/>
      <c r="CS120" s="103"/>
      <c r="CT120" s="103"/>
      <c r="CU120" s="103"/>
      <c r="CV120" s="103"/>
      <c r="CW120" s="103"/>
      <c r="CX120" s="44"/>
      <c r="CY120" s="44"/>
      <c r="CZ120" s="44"/>
      <c r="DA120" s="103"/>
      <c r="DB120" s="103"/>
      <c r="DC120" s="103"/>
      <c r="DD120" s="103"/>
      <c r="DE120" s="103"/>
    </row>
    <row r="121" spans="2:109" ht="6" customHeight="1" thickTop="1" thickBot="1">
      <c r="B121" s="2537"/>
      <c r="C121" s="33"/>
      <c r="D121" s="32"/>
      <c r="E121" s="28"/>
      <c r="F121" s="29"/>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1"/>
      <c r="CD121" s="103"/>
      <c r="CE121" s="103"/>
      <c r="CF121" s="44"/>
      <c r="CG121" s="44"/>
      <c r="CH121" s="44"/>
      <c r="CI121" s="103"/>
      <c r="CJ121" s="103"/>
      <c r="CK121" s="103"/>
      <c r="CL121" s="103"/>
      <c r="CM121" s="103"/>
    </row>
    <row r="122" spans="2:109" ht="30" customHeight="1" thickTop="1" thickBot="1">
      <c r="B122" s="2537"/>
      <c r="C122" s="2593" t="s">
        <v>15925</v>
      </c>
      <c r="D122" s="2158" t="s">
        <v>4846</v>
      </c>
      <c r="E122" s="2159"/>
      <c r="F122" s="2160"/>
      <c r="G122" s="2161"/>
      <c r="H122" s="2161"/>
      <c r="I122" s="2162" t="str">
        <f>実績!C1463</f>
        <v>イオンスタイル南栗橋</v>
      </c>
      <c r="J122" s="2162"/>
      <c r="K122" s="2162"/>
      <c r="L122" s="2162"/>
      <c r="M122" s="2162"/>
      <c r="N122" s="2162"/>
      <c r="O122" s="2162"/>
      <c r="P122" s="2162"/>
      <c r="Q122" s="2162"/>
      <c r="R122" s="2162"/>
      <c r="S122" s="2162"/>
      <c r="T122" s="2163"/>
      <c r="U122" s="2164" t="str">
        <f>VLOOKUP(I122,実績!$C$5:$CV$1474,3,0)</f>
        <v>大田</v>
      </c>
      <c r="V122" s="2165"/>
      <c r="W122" s="2107">
        <f>VLOOKUP(I122,実績!$C$5:$CV$1474,2,0)</f>
        <v>0</v>
      </c>
      <c r="X122" s="2108"/>
      <c r="Y122" s="2176">
        <f>VLOOKUP(I122,実績!$C$5:$CV$1474,4,FALSE)</f>
        <v>0</v>
      </c>
      <c r="Z122" s="2190"/>
      <c r="AA122" s="2177"/>
      <c r="AB122" s="2167" t="str">
        <f>VLOOKUP(I122,実績!$C$5:$CV$1474,9,0)</f>
        <v>店舗</v>
      </c>
      <c r="AC122" s="2166"/>
      <c r="AD122" s="2165"/>
      <c r="AE122" s="2170">
        <f>ROUND(VLOOKUP(I122,実績!$C$5:$CV$1474,42,0),-1)</f>
        <v>0</v>
      </c>
      <c r="AF122" s="2171"/>
      <c r="AG122" s="2172"/>
      <c r="AH122" s="2176">
        <f>VLOOKUP(I122,実績!$C$5:$CV$1474,50,0)</f>
        <v>0</v>
      </c>
      <c r="AI122" s="2177"/>
      <c r="AJ122" s="2140">
        <f>VLOOKUP(I122,実績!$C$5:$CV$1474,60,0)</f>
        <v>0</v>
      </c>
      <c r="AK122" s="2141"/>
      <c r="AL122" s="2142"/>
      <c r="AM122" s="2146">
        <f>VLOOKUP(I122,実績!$C$5:$CV$1474,61,0)</f>
        <v>0</v>
      </c>
      <c r="AN122" s="2147"/>
      <c r="AO122" s="2147"/>
      <c r="AP122" s="2148"/>
      <c r="AQ122" s="2149">
        <f>VLOOKUP(I122,実績!$C$5:$CV$1474,37,0)</f>
        <v>0</v>
      </c>
      <c r="AR122" s="2122"/>
      <c r="AS122" s="2118">
        <f>VLOOKUP(I122,実績!$C$5:$CV$1474,38,0)</f>
        <v>0</v>
      </c>
      <c r="AT122" s="2122"/>
      <c r="AU122" s="2118">
        <f>VLOOKUP(I122,実績!$C$5:$CV$1474,39,0)</f>
        <v>0</v>
      </c>
      <c r="AV122" s="2122"/>
      <c r="AW122" s="2118">
        <f>VLOOKUP(I122,実績!$C$5:$CV$1474,40,0)</f>
        <v>0</v>
      </c>
      <c r="AX122" s="2122"/>
      <c r="AY122" s="2118">
        <f>VLOOKUP(I122,実績!$C$5:$CV$1474,41,0)</f>
        <v>0</v>
      </c>
      <c r="AZ122" s="2119"/>
      <c r="BA122" s="2084">
        <f>VLOOKUP(I122,実績!$C$5:$CV$1474,44,0)</f>
        <v>0</v>
      </c>
      <c r="BB122" s="2085"/>
      <c r="BC122" s="2086"/>
      <c r="BD122" s="2129" t="s">
        <v>18117</v>
      </c>
      <c r="BE122" s="2088"/>
      <c r="BF122" s="2130"/>
      <c r="BG122" s="2093"/>
      <c r="BH122" s="2094"/>
      <c r="BI122" s="2094"/>
      <c r="BJ122" s="2094"/>
      <c r="BK122" s="2095"/>
      <c r="BL122" s="2099"/>
      <c r="BM122" s="2100"/>
      <c r="BN122" s="2100"/>
      <c r="BO122" s="2101"/>
      <c r="BP122" s="2099"/>
      <c r="BQ122" s="2100"/>
      <c r="BR122" s="2100"/>
      <c r="BS122" s="2102"/>
      <c r="BT122" s="2103">
        <f>ROUND(VLOOKUP(I122,実績!$C$5:$CV$1474,59,0),1)</f>
        <v>0</v>
      </c>
      <c r="BU122" s="2105">
        <f>VLOOKUP(I122,実績!$C$5:$CV$1474,67,0)</f>
        <v>0</v>
      </c>
      <c r="BV122" s="2136">
        <f>VLOOKUP(I122,実績!$C$5:$CV$1474,68,0)</f>
        <v>0</v>
      </c>
      <c r="BW122" s="2138">
        <f>VLOOKUP(I122,実績!$C$5:$CV$1474,69,0)</f>
        <v>0</v>
      </c>
      <c r="BX122" s="2093">
        <f>VLOOKUP(I122,実績!$C$5:$CV$1474,75,0)</f>
        <v>0</v>
      </c>
      <c r="BY122" s="2094"/>
      <c r="BZ122" s="2094"/>
      <c r="CA122" s="2094"/>
      <c r="CB122" s="2180"/>
      <c r="CD122" s="1968">
        <f>F122</f>
        <v>0</v>
      </c>
      <c r="CE122" s="1968" t="str">
        <f>I122</f>
        <v>イオンスタイル南栗橋</v>
      </c>
      <c r="CF122" s="96" t="str">
        <f>BD122</f>
        <v>11/13
現説</v>
      </c>
      <c r="CG122" s="96">
        <f>BF122</f>
        <v>0</v>
      </c>
      <c r="CH122" s="14"/>
      <c r="CI122" s="14"/>
      <c r="CJ122" s="104"/>
      <c r="CK122" s="18"/>
      <c r="CL122" s="18"/>
      <c r="CM122" s="103"/>
      <c r="CN122" s="103"/>
      <c r="CO122" s="103"/>
      <c r="CP122" s="103"/>
      <c r="CQ122" s="103"/>
      <c r="CR122" s="103"/>
      <c r="CS122" s="103"/>
      <c r="CT122" s="103"/>
      <c r="CU122" s="103"/>
      <c r="CV122" s="103"/>
      <c r="CW122" s="103"/>
      <c r="CX122" s="44"/>
      <c r="CY122" s="44"/>
      <c r="CZ122" s="44"/>
      <c r="DA122" s="103"/>
      <c r="DB122" s="103"/>
      <c r="DC122" s="103"/>
      <c r="DD122" s="103"/>
      <c r="DE122" s="103"/>
    </row>
    <row r="123" spans="2:109" ht="30" customHeight="1" thickTop="1" thickBot="1">
      <c r="B123" s="2537"/>
      <c r="C123" s="2594"/>
      <c r="D123" s="2134"/>
      <c r="E123" s="2135"/>
      <c r="F123" s="2184" t="str">
        <f>"("&amp;SUBSTITUTE(VLOOKUP(I122,実績!$C$5:$CV$1474,16,0),"株式会社 ","")&amp;","&amp;SUBSTITUTE(VLOOKUP(I122,実績!$C$5:$CV$1474,21,0),"株式会社 ","")&amp;")"</f>
        <v>(シーク設計,田中構造設計事務所)</v>
      </c>
      <c r="G123" s="2185"/>
      <c r="H123" s="2185"/>
      <c r="I123" s="2185"/>
      <c r="J123" s="2185"/>
      <c r="K123" s="2185"/>
      <c r="L123" s="2185"/>
      <c r="M123" s="2185"/>
      <c r="N123" s="2185"/>
      <c r="O123" s="2185"/>
      <c r="P123" s="2185"/>
      <c r="Q123" s="2185"/>
      <c r="R123" s="2185"/>
      <c r="S123" s="2185"/>
      <c r="T123" s="2186"/>
      <c r="U123" s="2156"/>
      <c r="V123" s="2157"/>
      <c r="W123" s="2109"/>
      <c r="X123" s="2110"/>
      <c r="Y123" s="2178">
        <f>VLOOKUP(I122,実績!$C$5:$CV$1474,5,0)</f>
        <v>0</v>
      </c>
      <c r="Z123" s="2187"/>
      <c r="AA123" s="2179"/>
      <c r="AB123" s="2168"/>
      <c r="AC123" s="2169"/>
      <c r="AD123" s="2157"/>
      <c r="AE123" s="2173"/>
      <c r="AF123" s="2174"/>
      <c r="AG123" s="2175"/>
      <c r="AH123" s="2178"/>
      <c r="AI123" s="2179"/>
      <c r="AJ123" s="2143"/>
      <c r="AK123" s="2144"/>
      <c r="AL123" s="2145"/>
      <c r="AM123" s="2146">
        <f>VLOOKUP(I122,実績!$C$5:$CV$1474,62,0)</f>
        <v>0</v>
      </c>
      <c r="AN123" s="2147"/>
      <c r="AO123" s="2147"/>
      <c r="AP123" s="2148"/>
      <c r="AQ123" s="2150"/>
      <c r="AR123" s="2124"/>
      <c r="AS123" s="2123"/>
      <c r="AT123" s="2124"/>
      <c r="AU123" s="2123"/>
      <c r="AV123" s="2124"/>
      <c r="AW123" s="2123"/>
      <c r="AX123" s="2124"/>
      <c r="AY123" s="2123"/>
      <c r="AZ123" s="2151"/>
      <c r="BA123" s="2084">
        <f>VLOOKUP(I122,実績!$C$5:$CV$1474,46,0)</f>
        <v>0</v>
      </c>
      <c r="BB123" s="2085"/>
      <c r="BC123" s="2086"/>
      <c r="BD123" s="2089"/>
      <c r="BE123" s="2090"/>
      <c r="BF123" s="2131"/>
      <c r="BG123" s="2096"/>
      <c r="BH123" s="2097"/>
      <c r="BI123" s="2097"/>
      <c r="BJ123" s="2097"/>
      <c r="BK123" s="2098"/>
      <c r="BL123" s="2099"/>
      <c r="BM123" s="2100"/>
      <c r="BN123" s="2100"/>
      <c r="BO123" s="2101"/>
      <c r="BP123" s="2099"/>
      <c r="BQ123" s="2100"/>
      <c r="BR123" s="2100"/>
      <c r="BS123" s="2102"/>
      <c r="BT123" s="2104"/>
      <c r="BU123" s="2106"/>
      <c r="BV123" s="2188"/>
      <c r="BW123" s="2139"/>
      <c r="BX123" s="2096"/>
      <c r="BY123" s="2097"/>
      <c r="BZ123" s="2097"/>
      <c r="CA123" s="2097"/>
      <c r="CB123" s="2189"/>
      <c r="CH123" s="14"/>
      <c r="CI123" s="14"/>
      <c r="CJ123" s="104"/>
      <c r="CK123" s="18"/>
      <c r="CL123" s="18"/>
      <c r="CM123" s="103"/>
      <c r="CN123" s="103"/>
      <c r="CO123" s="103"/>
      <c r="CP123" s="103"/>
      <c r="CQ123" s="103"/>
      <c r="CR123" s="103"/>
      <c r="CS123" s="103"/>
      <c r="CT123" s="103"/>
      <c r="CU123" s="103"/>
      <c r="CV123" s="103"/>
      <c r="CW123" s="103"/>
      <c r="CX123" s="44"/>
      <c r="CY123" s="44"/>
      <c r="CZ123" s="44"/>
      <c r="DA123" s="103"/>
      <c r="DB123" s="103"/>
      <c r="DC123" s="103"/>
      <c r="DD123" s="103"/>
      <c r="DE123" s="103"/>
    </row>
    <row r="124" spans="2:109" ht="30" customHeight="1" thickTop="1" thickBot="1">
      <c r="B124" s="2537"/>
      <c r="C124" s="2594"/>
      <c r="D124" s="2158" t="s">
        <v>4846</v>
      </c>
      <c r="E124" s="2159"/>
      <c r="F124" s="2160"/>
      <c r="G124" s="2161"/>
      <c r="H124" s="2161"/>
      <c r="I124" s="2162" t="str">
        <f>実績!C1464</f>
        <v>コメリPW函館西桔梗</v>
      </c>
      <c r="J124" s="2162"/>
      <c r="K124" s="2162"/>
      <c r="L124" s="2162"/>
      <c r="M124" s="2162"/>
      <c r="N124" s="2162"/>
      <c r="O124" s="2162"/>
      <c r="P124" s="2162"/>
      <c r="Q124" s="2162"/>
      <c r="R124" s="2162"/>
      <c r="S124" s="2162"/>
      <c r="T124" s="2163"/>
      <c r="U124" s="2164" t="str">
        <f>VLOOKUP(I124,実績!$C$5:$CV$1474,3,0)</f>
        <v>大田</v>
      </c>
      <c r="V124" s="2165"/>
      <c r="W124" s="2107">
        <f>VLOOKUP(I124,実績!$C$5:$CV$1474,2,0)</f>
        <v>0</v>
      </c>
      <c r="X124" s="2108"/>
      <c r="Y124" s="2164" t="str">
        <f>VLOOKUP(I124,実績!$C$5:$CV$1474,4,FALSE)</f>
        <v>北海道</v>
      </c>
      <c r="Z124" s="2166"/>
      <c r="AA124" s="2165"/>
      <c r="AB124" s="2167" t="str">
        <f>VLOOKUP(I124,実績!$C$5:$CV$1474,9,0)</f>
        <v>店舗</v>
      </c>
      <c r="AC124" s="2166"/>
      <c r="AD124" s="2165"/>
      <c r="AE124" s="2170">
        <f>ROUND(VLOOKUP(I124,実績!$C$5:$CV$1474,42,0),-1)</f>
        <v>0</v>
      </c>
      <c r="AF124" s="2171"/>
      <c r="AG124" s="2172"/>
      <c r="AH124" s="2176">
        <f>VLOOKUP(I124,実績!$C$5:$CV$1474,50,0)</f>
        <v>0</v>
      </c>
      <c r="AI124" s="2177"/>
      <c r="AJ124" s="2140">
        <f>VLOOKUP(I124,実績!$C$5:$CV$1474,60,0)</f>
        <v>0</v>
      </c>
      <c r="AK124" s="2141"/>
      <c r="AL124" s="2142"/>
      <c r="AM124" s="2146">
        <f>VLOOKUP(I124,実績!$C$5:$CV$1474,61,0)</f>
        <v>0</v>
      </c>
      <c r="AN124" s="2147"/>
      <c r="AO124" s="2147"/>
      <c r="AP124" s="2148"/>
      <c r="AQ124" s="2149">
        <f>VLOOKUP(I124,実績!$C$5:$CV$1474,37,0)</f>
        <v>0</v>
      </c>
      <c r="AR124" s="2122"/>
      <c r="AS124" s="2118">
        <f>VLOOKUP(I124,実績!$C$5:$CV$1474,38,0)</f>
        <v>0</v>
      </c>
      <c r="AT124" s="2122"/>
      <c r="AU124" s="2118">
        <f>VLOOKUP(I124,実績!$C$5:$CV$1474,39,0)</f>
        <v>0</v>
      </c>
      <c r="AV124" s="2122"/>
      <c r="AW124" s="2118">
        <f>VLOOKUP(I124,実績!$C$5:$CV$1474,40,0)</f>
        <v>0</v>
      </c>
      <c r="AX124" s="2122"/>
      <c r="AY124" s="2125" t="str">
        <f>VLOOKUP(I124,実績!$C$5:$CV$1474,41,0)</f>
        <v>独立</v>
      </c>
      <c r="AZ124" s="2126"/>
      <c r="BA124" s="2084">
        <f>VLOOKUP(I124,実績!$C$5:$CV$1474,44,0)</f>
        <v>0</v>
      </c>
      <c r="BB124" s="2085"/>
      <c r="BC124" s="2086"/>
      <c r="BD124" s="2129">
        <v>44149</v>
      </c>
      <c r="BE124" s="2088"/>
      <c r="BF124" s="2130"/>
      <c r="BG124" s="2093"/>
      <c r="BH124" s="2094"/>
      <c r="BI124" s="2094"/>
      <c r="BJ124" s="2094"/>
      <c r="BK124" s="2095"/>
      <c r="BL124" s="2099"/>
      <c r="BM124" s="2100"/>
      <c r="BN124" s="2100"/>
      <c r="BO124" s="2101"/>
      <c r="BP124" s="2099"/>
      <c r="BQ124" s="2100"/>
      <c r="BR124" s="2100"/>
      <c r="BS124" s="2102"/>
      <c r="BT124" s="2103">
        <f>ROUND(VLOOKUP(I124,実績!$C$5:$CV$1474,59,0),1)</f>
        <v>0</v>
      </c>
      <c r="BU124" s="2105">
        <f>VLOOKUP(I124,実績!$C$5:$CV$1474,67,0)</f>
        <v>0</v>
      </c>
      <c r="BV124" s="2136">
        <f>VLOOKUP(I124,実績!$C$5:$CV$1474,68,0)</f>
        <v>0</v>
      </c>
      <c r="BW124" s="2138">
        <f>VLOOKUP(I124,実績!$C$5:$CV$1474,69,0)</f>
        <v>0</v>
      </c>
      <c r="BX124" s="2093">
        <f>VLOOKUP(I124,実績!$C$5:$CV$1474,75,0)</f>
        <v>0</v>
      </c>
      <c r="BY124" s="2094"/>
      <c r="BZ124" s="2094"/>
      <c r="CA124" s="2094"/>
      <c r="CB124" s="2180"/>
      <c r="CD124" s="1968">
        <f>F124</f>
        <v>0</v>
      </c>
      <c r="CE124" s="1968" t="str">
        <f>I124</f>
        <v>コメリPW函館西桔梗</v>
      </c>
      <c r="CF124" s="96">
        <f>BD124</f>
        <v>44149</v>
      </c>
      <c r="CG124" s="96">
        <f>BF124</f>
        <v>0</v>
      </c>
      <c r="CH124" s="14"/>
      <c r="CI124" s="14"/>
      <c r="CJ124" s="104"/>
      <c r="CK124" s="18"/>
      <c r="CL124" s="18"/>
      <c r="CM124" s="103"/>
      <c r="CN124" s="103"/>
      <c r="CO124" s="103"/>
      <c r="CP124" s="103"/>
      <c r="CQ124" s="103"/>
      <c r="CR124" s="103"/>
      <c r="CS124" s="103"/>
      <c r="CT124" s="103"/>
      <c r="CU124" s="103"/>
      <c r="CV124" s="103"/>
      <c r="CW124" s="103"/>
      <c r="CX124" s="44"/>
      <c r="CY124" s="44"/>
      <c r="CZ124" s="44"/>
      <c r="DA124" s="103"/>
      <c r="DB124" s="103"/>
      <c r="DC124" s="103"/>
      <c r="DD124" s="103"/>
      <c r="DE124" s="103"/>
    </row>
    <row r="125" spans="2:109" ht="30" customHeight="1" thickTop="1" thickBot="1">
      <c r="B125" s="2537"/>
      <c r="C125" s="2594"/>
      <c r="D125" s="2134"/>
      <c r="E125" s="2135"/>
      <c r="F125" s="2184" t="str">
        <f>"("&amp;SUBSTITUTE(VLOOKUP(I124,実績!$C$5:$CV$1474,16,0),"株式会社 ","")&amp;","&amp;SUBSTITUTE(VLOOKUP(I124,実績!$C$5:$CV$1474,21,0),"株式会社 ","")&amp;")"</f>
        <v>(T&amp;N北海道設計事務所,)</v>
      </c>
      <c r="G125" s="2185"/>
      <c r="H125" s="2185"/>
      <c r="I125" s="2185"/>
      <c r="J125" s="2185"/>
      <c r="K125" s="2185"/>
      <c r="L125" s="2185"/>
      <c r="M125" s="2185"/>
      <c r="N125" s="2185"/>
      <c r="O125" s="2185"/>
      <c r="P125" s="2185"/>
      <c r="Q125" s="2185"/>
      <c r="R125" s="2185"/>
      <c r="S125" s="2185"/>
      <c r="T125" s="2186"/>
      <c r="U125" s="2156"/>
      <c r="V125" s="2157"/>
      <c r="W125" s="2109"/>
      <c r="X125" s="2110"/>
      <c r="Y125" s="2156" t="str">
        <f>VLOOKUP(I124,実績!$C$5:$CV$1474,5,0)</f>
        <v>函館市</v>
      </c>
      <c r="Z125" s="2169"/>
      <c r="AA125" s="2157"/>
      <c r="AB125" s="2168"/>
      <c r="AC125" s="2169"/>
      <c r="AD125" s="2157"/>
      <c r="AE125" s="2173"/>
      <c r="AF125" s="2174"/>
      <c r="AG125" s="2175"/>
      <c r="AH125" s="2178"/>
      <c r="AI125" s="2179"/>
      <c r="AJ125" s="2143"/>
      <c r="AK125" s="2144"/>
      <c r="AL125" s="2145"/>
      <c r="AM125" s="2146">
        <f>VLOOKUP(I124,実績!$C$5:$CV$1474,62,0)</f>
        <v>0</v>
      </c>
      <c r="AN125" s="2147"/>
      <c r="AO125" s="2147"/>
      <c r="AP125" s="2148"/>
      <c r="AQ125" s="2150"/>
      <c r="AR125" s="2124"/>
      <c r="AS125" s="2123"/>
      <c r="AT125" s="2124"/>
      <c r="AU125" s="2123"/>
      <c r="AV125" s="2124"/>
      <c r="AW125" s="2123"/>
      <c r="AX125" s="2124"/>
      <c r="AY125" s="2127"/>
      <c r="AZ125" s="2128"/>
      <c r="BA125" s="2084">
        <f>VLOOKUP(I124,実績!$C$5:$CV$1474,46,0)</f>
        <v>0</v>
      </c>
      <c r="BB125" s="2085"/>
      <c r="BC125" s="2086"/>
      <c r="BD125" s="2089"/>
      <c r="BE125" s="2090"/>
      <c r="BF125" s="2131"/>
      <c r="BG125" s="2096"/>
      <c r="BH125" s="2097"/>
      <c r="BI125" s="2097"/>
      <c r="BJ125" s="2097"/>
      <c r="BK125" s="2098"/>
      <c r="BL125" s="2099"/>
      <c r="BM125" s="2100"/>
      <c r="BN125" s="2100"/>
      <c r="BO125" s="2101"/>
      <c r="BP125" s="2099"/>
      <c r="BQ125" s="2100"/>
      <c r="BR125" s="2100"/>
      <c r="BS125" s="2102"/>
      <c r="BT125" s="2104"/>
      <c r="BU125" s="2106"/>
      <c r="BV125" s="2188"/>
      <c r="BW125" s="2139"/>
      <c r="BX125" s="2096"/>
      <c r="BY125" s="2097"/>
      <c r="BZ125" s="2097"/>
      <c r="CA125" s="2097"/>
      <c r="CB125" s="2189"/>
      <c r="CH125" s="14"/>
      <c r="CI125" s="14"/>
      <c r="CJ125" s="104"/>
      <c r="CK125" s="18"/>
      <c r="CL125" s="18"/>
      <c r="CM125" s="103"/>
      <c r="CN125" s="103"/>
      <c r="CO125" s="103"/>
      <c r="CP125" s="103"/>
      <c r="CQ125" s="103"/>
      <c r="CR125" s="103"/>
      <c r="CS125" s="103"/>
      <c r="CT125" s="103"/>
      <c r="CU125" s="103"/>
      <c r="CV125" s="103"/>
      <c r="CW125" s="103"/>
      <c r="CX125" s="44"/>
      <c r="CY125" s="44"/>
      <c r="CZ125" s="44"/>
      <c r="DA125" s="103"/>
      <c r="DB125" s="103"/>
      <c r="DC125" s="103"/>
      <c r="DD125" s="103"/>
      <c r="DE125" s="103"/>
    </row>
    <row r="126" spans="2:109" ht="30" customHeight="1" thickTop="1" thickBot="1">
      <c r="B126" s="2537"/>
      <c r="C126" s="2594"/>
      <c r="D126" s="2132" t="s">
        <v>4846</v>
      </c>
      <c r="E126" s="2133"/>
      <c r="F126" s="2160"/>
      <c r="G126" s="2161"/>
      <c r="H126" s="2161"/>
      <c r="I126" s="2162" t="str">
        <f>実績!C1465</f>
        <v>タルイシ機工株式会社様社屋</v>
      </c>
      <c r="J126" s="2162"/>
      <c r="K126" s="2162"/>
      <c r="L126" s="2162"/>
      <c r="M126" s="2162"/>
      <c r="N126" s="2162"/>
      <c r="O126" s="2162"/>
      <c r="P126" s="2162"/>
      <c r="Q126" s="2162"/>
      <c r="R126" s="2162"/>
      <c r="S126" s="2162"/>
      <c r="T126" s="2163"/>
      <c r="U126" s="2164" t="str">
        <f>VLOOKUP(I126,実績!$C$5:$CV$1474,3,0)</f>
        <v>竹内(宗)</v>
      </c>
      <c r="V126" s="2165"/>
      <c r="W126" s="2107">
        <f>VLOOKUP(I126,実績!$C$5:$CV$1474,2,0)</f>
        <v>0</v>
      </c>
      <c r="X126" s="2108"/>
      <c r="Y126" s="2164" t="str">
        <f>VLOOKUP(I126,実績!$C$5:$CV$1474,4,FALSE)</f>
        <v>秋田県</v>
      </c>
      <c r="Z126" s="2166"/>
      <c r="AA126" s="2165"/>
      <c r="AB126" s="2107">
        <f>VLOOKUP(I126,実績!$C$5:$CV$1474,9,0)</f>
        <v>0</v>
      </c>
      <c r="AC126" s="2190"/>
      <c r="AD126" s="2177"/>
      <c r="AE126" s="2170">
        <f>ROUND(VLOOKUP(I126,実績!$C$5:$CV$1474,42,0),-1)</f>
        <v>0</v>
      </c>
      <c r="AF126" s="2171"/>
      <c r="AG126" s="2172"/>
      <c r="AH126" s="2176">
        <f>VLOOKUP(I126,実績!$C$5:$CV$1474,50,0)</f>
        <v>0</v>
      </c>
      <c r="AI126" s="2177"/>
      <c r="AJ126" s="2140">
        <f>VLOOKUP(I126,実績!$C$5:$CV$1474,60,0)</f>
        <v>0</v>
      </c>
      <c r="AK126" s="2141"/>
      <c r="AL126" s="2142"/>
      <c r="AM126" s="2146">
        <f>VLOOKUP(I126,実績!$C$5:$CV$1474,61,0)</f>
        <v>0</v>
      </c>
      <c r="AN126" s="2147"/>
      <c r="AO126" s="2147"/>
      <c r="AP126" s="2148"/>
      <c r="AQ126" s="2132" t="str">
        <f>VLOOKUP(I126,実績!$C$5:$CV$1474,37,0)</f>
        <v>-</v>
      </c>
      <c r="AR126" s="2133"/>
      <c r="AS126" s="2118">
        <f>VLOOKUP(I126,実績!$C$5:$CV$1474,38,0)</f>
        <v>0</v>
      </c>
      <c r="AT126" s="2122"/>
      <c r="AU126" s="2125" t="str">
        <f>VLOOKUP(I126,実績!$C$5:$CV$1474,39,0)</f>
        <v>-</v>
      </c>
      <c r="AV126" s="2133"/>
      <c r="AW126" s="2125" t="str">
        <f>VLOOKUP(I126,実績!$C$5:$CV$1474,40,0)</f>
        <v>-</v>
      </c>
      <c r="AX126" s="2133"/>
      <c r="AY126" s="2125" t="str">
        <f>VLOOKUP(I126,実績!$C$5:$CV$1474,41,0)</f>
        <v>独立</v>
      </c>
      <c r="AZ126" s="2126"/>
      <c r="BA126" s="2084">
        <f>VLOOKUP(I126,実績!$C$5:$CV$1474,44,0)</f>
        <v>0</v>
      </c>
      <c r="BB126" s="2085"/>
      <c r="BC126" s="2086"/>
      <c r="BD126" s="2129" t="s">
        <v>17781</v>
      </c>
      <c r="BE126" s="2088"/>
      <c r="BF126" s="2194" t="s">
        <v>17782</v>
      </c>
      <c r="BG126" s="2093" t="s">
        <v>17979</v>
      </c>
      <c r="BH126" s="2094"/>
      <c r="BI126" s="2094"/>
      <c r="BJ126" s="2094"/>
      <c r="BK126" s="2095"/>
      <c r="BL126" s="2099"/>
      <c r="BM126" s="2100"/>
      <c r="BN126" s="2100"/>
      <c r="BO126" s="2101"/>
      <c r="BP126" s="2099"/>
      <c r="BQ126" s="2100"/>
      <c r="BR126" s="2100"/>
      <c r="BS126" s="2102"/>
      <c r="BT126" s="2103">
        <f>ROUND(VLOOKUP(I126,実績!$C$5:$CV$1474,59,0),1)</f>
        <v>0</v>
      </c>
      <c r="BU126" s="2105">
        <f>VLOOKUP(I126,実績!$C$5:$CV$1474,67,0)</f>
        <v>0</v>
      </c>
      <c r="BV126" s="2136">
        <f>VLOOKUP(I126,実績!$C$5:$CV$1474,68,0)</f>
        <v>0</v>
      </c>
      <c r="BW126" s="2138">
        <f>VLOOKUP(I126,実績!$C$5:$CV$1474,69,0)</f>
        <v>0</v>
      </c>
      <c r="BX126" s="2093" t="str">
        <f>VLOOKUP(I126,実績!$C$5:$CV$1474,75,0)</f>
        <v>2棟</v>
      </c>
      <c r="BY126" s="2094"/>
      <c r="BZ126" s="2094"/>
      <c r="CA126" s="2094"/>
      <c r="CB126" s="2180"/>
      <c r="CD126" s="1968">
        <f>F126</f>
        <v>0</v>
      </c>
      <c r="CE126" s="1968" t="str">
        <f>I126</f>
        <v>タルイシ機工株式会社様社屋</v>
      </c>
      <c r="CF126" s="96" t="str">
        <f>BD126</f>
        <v>11月
中旬</v>
      </c>
      <c r="CG126" s="96" t="str">
        <f>BF126</f>
        <v>2月頭</v>
      </c>
      <c r="CH126" s="14"/>
      <c r="CI126" s="14"/>
      <c r="CJ126" s="104"/>
      <c r="CK126" s="18"/>
      <c r="CL126" s="18"/>
      <c r="CM126" s="103"/>
      <c r="CN126" s="103"/>
      <c r="CO126" s="103"/>
      <c r="CP126" s="103"/>
      <c r="CQ126" s="103"/>
      <c r="CR126" s="103"/>
      <c r="CS126" s="103"/>
      <c r="CT126" s="103"/>
      <c r="CU126" s="103"/>
      <c r="CV126" s="103"/>
      <c r="CW126" s="103"/>
      <c r="CX126" s="44"/>
      <c r="CY126" s="44"/>
      <c r="CZ126" s="44"/>
      <c r="DA126" s="103"/>
      <c r="DB126" s="103"/>
      <c r="DC126" s="103"/>
      <c r="DD126" s="103"/>
      <c r="DE126" s="103"/>
    </row>
    <row r="127" spans="2:109" ht="30" customHeight="1" thickTop="1" thickBot="1">
      <c r="B127" s="2537"/>
      <c r="C127" s="2594"/>
      <c r="D127" s="2134"/>
      <c r="E127" s="2135"/>
      <c r="F127" s="2184" t="str">
        <f>"("&amp;SUBSTITUTE(VLOOKUP(I126,実績!$C$5:$CV$1474,16,0),"株式会社 ","")&amp;","&amp;SUBSTITUTE(VLOOKUP(I126,実績!$C$5:$CV$1474,21,0),"有限会社 ","")&amp;")"</f>
        <v>(建築企画,原田構造設計室)</v>
      </c>
      <c r="G127" s="2185"/>
      <c r="H127" s="2185"/>
      <c r="I127" s="2185"/>
      <c r="J127" s="2185"/>
      <c r="K127" s="2185"/>
      <c r="L127" s="2185"/>
      <c r="M127" s="2185"/>
      <c r="N127" s="2185"/>
      <c r="O127" s="2185"/>
      <c r="P127" s="2185"/>
      <c r="Q127" s="2185"/>
      <c r="R127" s="2185"/>
      <c r="S127" s="2185"/>
      <c r="T127" s="2186"/>
      <c r="U127" s="2156"/>
      <c r="V127" s="2157"/>
      <c r="W127" s="2109"/>
      <c r="X127" s="2110"/>
      <c r="Y127" s="2156" t="str">
        <f>VLOOKUP(I126,実績!$C$5:$CV$1474,5,0)</f>
        <v>秋田市</v>
      </c>
      <c r="Z127" s="2169"/>
      <c r="AA127" s="2157"/>
      <c r="AB127" s="2109"/>
      <c r="AC127" s="2187"/>
      <c r="AD127" s="2179"/>
      <c r="AE127" s="2173"/>
      <c r="AF127" s="2174"/>
      <c r="AG127" s="2175"/>
      <c r="AH127" s="2178"/>
      <c r="AI127" s="2179"/>
      <c r="AJ127" s="2143"/>
      <c r="AK127" s="2144"/>
      <c r="AL127" s="2145"/>
      <c r="AM127" s="2146">
        <f>VLOOKUP(I126,実績!$C$5:$CV$1474,62,0)</f>
        <v>0</v>
      </c>
      <c r="AN127" s="2147"/>
      <c r="AO127" s="2147"/>
      <c r="AP127" s="2148"/>
      <c r="AQ127" s="2134"/>
      <c r="AR127" s="2135"/>
      <c r="AS127" s="2123"/>
      <c r="AT127" s="2124"/>
      <c r="AU127" s="2127"/>
      <c r="AV127" s="2135"/>
      <c r="AW127" s="2127"/>
      <c r="AX127" s="2135"/>
      <c r="AY127" s="2127"/>
      <c r="AZ127" s="2128"/>
      <c r="BA127" s="2084">
        <f>VLOOKUP(I126,実績!$C$5:$CV$1474,46,0)</f>
        <v>0</v>
      </c>
      <c r="BB127" s="2085"/>
      <c r="BC127" s="2086"/>
      <c r="BD127" s="2089"/>
      <c r="BE127" s="2090"/>
      <c r="BF127" s="2092"/>
      <c r="BG127" s="2096"/>
      <c r="BH127" s="2097"/>
      <c r="BI127" s="2097"/>
      <c r="BJ127" s="2097"/>
      <c r="BK127" s="2098"/>
      <c r="BL127" s="2099"/>
      <c r="BM127" s="2100"/>
      <c r="BN127" s="2100"/>
      <c r="BO127" s="2101"/>
      <c r="BP127" s="2099"/>
      <c r="BQ127" s="2100"/>
      <c r="BR127" s="2100"/>
      <c r="BS127" s="2102"/>
      <c r="BT127" s="2104"/>
      <c r="BU127" s="2106"/>
      <c r="BV127" s="2188"/>
      <c r="BW127" s="2139"/>
      <c r="BX127" s="2096"/>
      <c r="BY127" s="2097"/>
      <c r="BZ127" s="2097"/>
      <c r="CA127" s="2097"/>
      <c r="CB127" s="2189"/>
      <c r="CH127" s="14"/>
      <c r="CI127" s="14"/>
      <c r="CJ127" s="104"/>
      <c r="CK127" s="18"/>
      <c r="CL127" s="18"/>
      <c r="CM127" s="103"/>
      <c r="CN127" s="103"/>
      <c r="CO127" s="103"/>
      <c r="CP127" s="103"/>
      <c r="CQ127" s="103"/>
      <c r="CR127" s="103"/>
      <c r="CS127" s="103"/>
      <c r="CT127" s="103"/>
      <c r="CU127" s="103"/>
      <c r="CV127" s="103"/>
      <c r="CW127" s="103"/>
      <c r="CX127" s="44"/>
      <c r="CY127" s="44"/>
      <c r="CZ127" s="44"/>
      <c r="DA127" s="103"/>
      <c r="DB127" s="103"/>
      <c r="DC127" s="103"/>
      <c r="DD127" s="103"/>
      <c r="DE127" s="103"/>
    </row>
    <row r="128" spans="2:109" ht="30" customHeight="1" thickTop="1" thickBot="1">
      <c r="B128" s="2537"/>
      <c r="C128" s="2594"/>
      <c r="D128" s="2132" t="s">
        <v>4846</v>
      </c>
      <c r="E128" s="2133"/>
      <c r="F128" s="2160"/>
      <c r="G128" s="2161"/>
      <c r="H128" s="2161"/>
      <c r="I128" s="2162" t="str">
        <f>実績!C1466</f>
        <v>アラヤ久留米工場</v>
      </c>
      <c r="J128" s="2162"/>
      <c r="K128" s="2162"/>
      <c r="L128" s="2162"/>
      <c r="M128" s="2162"/>
      <c r="N128" s="2162"/>
      <c r="O128" s="2162"/>
      <c r="P128" s="2162"/>
      <c r="Q128" s="2162"/>
      <c r="R128" s="2162"/>
      <c r="S128" s="2162"/>
      <c r="T128" s="2163"/>
      <c r="U128" s="2164" t="str">
        <f>VLOOKUP(I128,実績!$C$5:$CV$1474,3,0)</f>
        <v>植松</v>
      </c>
      <c r="V128" s="2165"/>
      <c r="W128" s="2107">
        <f>VLOOKUP(I128,実績!$C$5:$CV$1474,2,0)</f>
        <v>0</v>
      </c>
      <c r="X128" s="2108"/>
      <c r="Y128" s="2176">
        <f>VLOOKUP(I128,実績!$C$5:$CV$1474,4,FALSE)</f>
        <v>0</v>
      </c>
      <c r="Z128" s="2190"/>
      <c r="AA128" s="2177"/>
      <c r="AB128" s="2107">
        <f>VLOOKUP(I128,実績!$C$5:$CV$1474,9,0)</f>
        <v>0</v>
      </c>
      <c r="AC128" s="2190"/>
      <c r="AD128" s="2177"/>
      <c r="AE128" s="2170">
        <f>ROUND(VLOOKUP(I128,実績!$C$5:$CV$1474,42,0),-1)</f>
        <v>0</v>
      </c>
      <c r="AF128" s="2171"/>
      <c r="AG128" s="2172"/>
      <c r="AH128" s="2176">
        <f>VLOOKUP(I128,実績!$C$5:$CV$1474,50,0)</f>
        <v>0</v>
      </c>
      <c r="AI128" s="2177"/>
      <c r="AJ128" s="2140">
        <f>VLOOKUP(I128,実績!$C$5:$CV$1474,60,0)</f>
        <v>0</v>
      </c>
      <c r="AK128" s="2141"/>
      <c r="AL128" s="2142"/>
      <c r="AM128" s="2146">
        <f>VLOOKUP(I128,実績!$C$5:$CV$1474,61,0)</f>
        <v>0</v>
      </c>
      <c r="AN128" s="2147"/>
      <c r="AO128" s="2147"/>
      <c r="AP128" s="2148"/>
      <c r="AQ128" s="2132" t="str">
        <f>VLOOKUP(I128,実績!$C$5:$CV$1474,37,0)</f>
        <v>-</v>
      </c>
      <c r="AR128" s="2133"/>
      <c r="AS128" s="2118">
        <f>VLOOKUP(I128,実績!$C$5:$CV$1474,38,0)</f>
        <v>0</v>
      </c>
      <c r="AT128" s="2122"/>
      <c r="AU128" s="2125" t="str">
        <f>VLOOKUP(I128,実績!$C$5:$CV$1474,39,0)</f>
        <v>-</v>
      </c>
      <c r="AV128" s="2133"/>
      <c r="AW128" s="2125" t="str">
        <f>VLOOKUP(I128,実績!$C$5:$CV$1474,40,0)</f>
        <v>-</v>
      </c>
      <c r="AX128" s="2133"/>
      <c r="AY128" s="2125" t="str">
        <f>VLOOKUP(I128,実績!$C$5:$CV$1474,41,0)</f>
        <v>布(Tio)</v>
      </c>
      <c r="AZ128" s="2126"/>
      <c r="BA128" s="2084">
        <f>VLOOKUP(I128,実績!$C$5:$CV$1474,44,0)</f>
        <v>0</v>
      </c>
      <c r="BB128" s="2085"/>
      <c r="BC128" s="2086"/>
      <c r="BD128" s="2129">
        <v>44175</v>
      </c>
      <c r="BE128" s="2088"/>
      <c r="BF128" s="2194" t="s">
        <v>17885</v>
      </c>
      <c r="BG128" s="2093"/>
      <c r="BH128" s="2094"/>
      <c r="BI128" s="2094"/>
      <c r="BJ128" s="2094"/>
      <c r="BK128" s="2095"/>
      <c r="BL128" s="2099"/>
      <c r="BM128" s="2100"/>
      <c r="BN128" s="2100"/>
      <c r="BO128" s="2101"/>
      <c r="BP128" s="2099"/>
      <c r="BQ128" s="2100"/>
      <c r="BR128" s="2100"/>
      <c r="BS128" s="2102"/>
      <c r="BT128" s="2103">
        <f>ROUND(VLOOKUP(I128,実績!$C$5:$CV$1474,59,0),1)</f>
        <v>0</v>
      </c>
      <c r="BU128" s="2105">
        <f>VLOOKUP(I128,実績!$C$5:$CV$1474,67,0)</f>
        <v>0</v>
      </c>
      <c r="BV128" s="2136">
        <f>VLOOKUP(I128,実績!$C$5:$CV$1474,68,0)</f>
        <v>0</v>
      </c>
      <c r="BW128" s="2138">
        <f>VLOOKUP(I128,実績!$C$5:$CV$1474,69,0)</f>
        <v>0</v>
      </c>
      <c r="BX128" s="2093" t="str">
        <f>VLOOKUP(I128,実績!$C$5:$CV$1474,75,0)</f>
        <v>3棟</v>
      </c>
      <c r="BY128" s="2094"/>
      <c r="BZ128" s="2094"/>
      <c r="CA128" s="2094"/>
      <c r="CB128" s="2180"/>
      <c r="CD128" s="1968">
        <f>F128</f>
        <v>0</v>
      </c>
      <c r="CE128" s="1968" t="str">
        <f>I128</f>
        <v>アラヤ久留米工場</v>
      </c>
      <c r="CF128" s="96">
        <f>BD128</f>
        <v>44175</v>
      </c>
      <c r="CG128" s="96" t="str">
        <f>BF128</f>
        <v>4月</v>
      </c>
      <c r="CH128" s="14"/>
      <c r="CI128" s="14"/>
      <c r="CJ128" s="104"/>
      <c r="CK128" s="18"/>
      <c r="CL128" s="18"/>
      <c r="CM128" s="103"/>
      <c r="CN128" s="103"/>
      <c r="CO128" s="103"/>
      <c r="CP128" s="103"/>
      <c r="CQ128" s="103"/>
      <c r="CR128" s="103"/>
      <c r="CS128" s="103"/>
      <c r="CT128" s="103"/>
      <c r="CU128" s="103"/>
      <c r="CV128" s="103"/>
      <c r="CW128" s="103"/>
      <c r="CX128" s="44"/>
      <c r="CY128" s="44"/>
      <c r="CZ128" s="44"/>
      <c r="DA128" s="103"/>
      <c r="DB128" s="103"/>
      <c r="DC128" s="103"/>
      <c r="DD128" s="103"/>
      <c r="DE128" s="103"/>
    </row>
    <row r="129" spans="2:155" ht="30" customHeight="1" thickTop="1" thickBot="1">
      <c r="B129" s="2537"/>
      <c r="C129" s="2594"/>
      <c r="D129" s="2134"/>
      <c r="E129" s="2135"/>
      <c r="F129" s="2184" t="str">
        <f>"("&amp;SUBSTITUTE(VLOOKUP(I128,実績!$C$5:$CV$1474,16,0)," 株式会社","")&amp;","&amp;SUBSTITUTE(VLOOKUP(I128,実績!$C$5:$CV$1474,21,0),"株式会社 ","")&amp;")"</f>
        <v>(アイサワ工業,)</v>
      </c>
      <c r="G129" s="2185"/>
      <c r="H129" s="2185"/>
      <c r="I129" s="2185"/>
      <c r="J129" s="2185"/>
      <c r="K129" s="2185"/>
      <c r="L129" s="2185"/>
      <c r="M129" s="2185"/>
      <c r="N129" s="2185"/>
      <c r="O129" s="2185"/>
      <c r="P129" s="2185"/>
      <c r="Q129" s="2185"/>
      <c r="R129" s="2185"/>
      <c r="S129" s="2185"/>
      <c r="T129" s="2186"/>
      <c r="U129" s="2156"/>
      <c r="V129" s="2157"/>
      <c r="W129" s="2109"/>
      <c r="X129" s="2110"/>
      <c r="Y129" s="2178">
        <f>VLOOKUP(I128,実績!$C$5:$CV$1474,5,0)</f>
        <v>0</v>
      </c>
      <c r="Z129" s="2187"/>
      <c r="AA129" s="2179"/>
      <c r="AB129" s="2109"/>
      <c r="AC129" s="2187"/>
      <c r="AD129" s="2179"/>
      <c r="AE129" s="2173"/>
      <c r="AF129" s="2174"/>
      <c r="AG129" s="2175"/>
      <c r="AH129" s="2178"/>
      <c r="AI129" s="2179"/>
      <c r="AJ129" s="2143"/>
      <c r="AK129" s="2144"/>
      <c r="AL129" s="2145"/>
      <c r="AM129" s="2146">
        <f>VLOOKUP(I128,実績!$C$5:$CV$1474,62,0)</f>
        <v>0</v>
      </c>
      <c r="AN129" s="2147"/>
      <c r="AO129" s="2147"/>
      <c r="AP129" s="2148"/>
      <c r="AQ129" s="2134"/>
      <c r="AR129" s="2135"/>
      <c r="AS129" s="2123"/>
      <c r="AT129" s="2124"/>
      <c r="AU129" s="2127"/>
      <c r="AV129" s="2135"/>
      <c r="AW129" s="2127"/>
      <c r="AX129" s="2135"/>
      <c r="AY129" s="2127"/>
      <c r="AZ129" s="2128"/>
      <c r="BA129" s="2084">
        <f>VLOOKUP(I128,実績!$C$5:$CV$1474,46,0)</f>
        <v>0</v>
      </c>
      <c r="BB129" s="2085"/>
      <c r="BC129" s="2086"/>
      <c r="BD129" s="2089"/>
      <c r="BE129" s="2090"/>
      <c r="BF129" s="2092"/>
      <c r="BG129" s="2096"/>
      <c r="BH129" s="2097"/>
      <c r="BI129" s="2097"/>
      <c r="BJ129" s="2097"/>
      <c r="BK129" s="2098"/>
      <c r="BL129" s="2099"/>
      <c r="BM129" s="2100"/>
      <c r="BN129" s="2100"/>
      <c r="BO129" s="2101"/>
      <c r="BP129" s="2099"/>
      <c r="BQ129" s="2100"/>
      <c r="BR129" s="2100"/>
      <c r="BS129" s="2102"/>
      <c r="BT129" s="2104"/>
      <c r="BU129" s="2106"/>
      <c r="BV129" s="2188"/>
      <c r="BW129" s="2139"/>
      <c r="BX129" s="2096"/>
      <c r="BY129" s="2097"/>
      <c r="BZ129" s="2097"/>
      <c r="CA129" s="2097"/>
      <c r="CB129" s="2189"/>
      <c r="CH129" s="14"/>
      <c r="CI129" s="14"/>
      <c r="CJ129" s="104"/>
      <c r="CK129" s="18"/>
      <c r="CL129" s="18"/>
      <c r="CM129" s="103"/>
      <c r="CN129" s="103"/>
      <c r="CO129" s="103"/>
      <c r="CP129" s="103"/>
      <c r="CQ129" s="103"/>
      <c r="CR129" s="103"/>
      <c r="CS129" s="103"/>
      <c r="CT129" s="103"/>
      <c r="CU129" s="103"/>
      <c r="CV129" s="103"/>
      <c r="CW129" s="103"/>
      <c r="CX129" s="44"/>
      <c r="CY129" s="44"/>
      <c r="CZ129" s="44"/>
      <c r="DA129" s="103"/>
      <c r="DB129" s="103"/>
      <c r="DC129" s="103"/>
      <c r="DD129" s="103"/>
      <c r="DE129" s="103"/>
    </row>
    <row r="130" spans="2:155" ht="30" customHeight="1" thickTop="1" thickBot="1">
      <c r="B130" s="2537"/>
      <c r="C130" s="2594"/>
      <c r="D130" s="2132" t="s">
        <v>4846</v>
      </c>
      <c r="E130" s="2133"/>
      <c r="F130" s="2160"/>
      <c r="G130" s="2161"/>
      <c r="H130" s="2161"/>
      <c r="I130" s="2162" t="str">
        <f>実績!C1467</f>
        <v>熊本トヨペット</v>
      </c>
      <c r="J130" s="2162"/>
      <c r="K130" s="2162"/>
      <c r="L130" s="2162"/>
      <c r="M130" s="2162"/>
      <c r="N130" s="2162"/>
      <c r="O130" s="2162"/>
      <c r="P130" s="2162"/>
      <c r="Q130" s="2162"/>
      <c r="R130" s="2162"/>
      <c r="S130" s="2162"/>
      <c r="T130" s="2163"/>
      <c r="U130" s="2164" t="str">
        <f>VLOOKUP(I130,実績!$C$5:$CV$1474,3,0)</f>
        <v>植松</v>
      </c>
      <c r="V130" s="2165"/>
      <c r="W130" s="2107">
        <f>VLOOKUP(I130,実績!$C$5:$CV$1474,2,0)</f>
        <v>0</v>
      </c>
      <c r="X130" s="2108"/>
      <c r="Y130" s="2176">
        <f>VLOOKUP(I130,実績!$C$5:$CV$1474,4,FALSE)</f>
        <v>0</v>
      </c>
      <c r="Z130" s="2190"/>
      <c r="AA130" s="2177"/>
      <c r="AB130" s="2107">
        <f>VLOOKUP(I130,実績!$C$5:$CV$1474,9,0)</f>
        <v>0</v>
      </c>
      <c r="AC130" s="2190"/>
      <c r="AD130" s="2177"/>
      <c r="AE130" s="2170">
        <f>ROUND(VLOOKUP(I130,実績!$C$5:$CV$1474,42,0),-1)</f>
        <v>0</v>
      </c>
      <c r="AF130" s="2171"/>
      <c r="AG130" s="2172"/>
      <c r="AH130" s="2176">
        <f>VLOOKUP(I130,実績!$C$5:$CV$1474,50,0)</f>
        <v>0</v>
      </c>
      <c r="AI130" s="2177"/>
      <c r="AJ130" s="2140">
        <f>VLOOKUP(I130,実績!$C$5:$CV$1474,60,0)</f>
        <v>0</v>
      </c>
      <c r="AK130" s="2141"/>
      <c r="AL130" s="2142"/>
      <c r="AM130" s="2146">
        <f>VLOOKUP(I130,実績!$C$5:$CV$1474,61,0)</f>
        <v>0</v>
      </c>
      <c r="AN130" s="2147"/>
      <c r="AO130" s="2147"/>
      <c r="AP130" s="2148"/>
      <c r="AQ130" s="2149">
        <f>VLOOKUP(I130,実績!$C$5:$CV$1474,37,0)</f>
        <v>0</v>
      </c>
      <c r="AR130" s="2122"/>
      <c r="AS130" s="2118">
        <f>VLOOKUP(I130,実績!$C$5:$CV$1474,38,0)</f>
        <v>0</v>
      </c>
      <c r="AT130" s="2122"/>
      <c r="AU130" s="2118">
        <f>VLOOKUP(I130,実績!$C$5:$CV$1474,39,0)</f>
        <v>0</v>
      </c>
      <c r="AV130" s="2122"/>
      <c r="AW130" s="2118">
        <f>VLOOKUP(I130,実績!$C$5:$CV$1474,40,0)</f>
        <v>0</v>
      </c>
      <c r="AX130" s="2122"/>
      <c r="AY130" s="2125" t="str">
        <f>VLOOKUP(I130,実績!$C$5:$CV$1474,41,0)</f>
        <v>独立</v>
      </c>
      <c r="AZ130" s="2126"/>
      <c r="BA130" s="2084">
        <f>VLOOKUP(I130,実績!$C$5:$CV$1474,44,0)</f>
        <v>0</v>
      </c>
      <c r="BB130" s="2085"/>
      <c r="BC130" s="2086"/>
      <c r="BD130" s="2129" t="s">
        <v>17992</v>
      </c>
      <c r="BE130" s="2088"/>
      <c r="BF130" s="2194" t="s">
        <v>17728</v>
      </c>
      <c r="BG130" s="2587" t="s">
        <v>17991</v>
      </c>
      <c r="BH130" s="2588"/>
      <c r="BI130" s="2588"/>
      <c r="BJ130" s="2588"/>
      <c r="BK130" s="2589"/>
      <c r="BL130" s="2099"/>
      <c r="BM130" s="2100"/>
      <c r="BN130" s="2100"/>
      <c r="BO130" s="2101"/>
      <c r="BP130" s="2099"/>
      <c r="BQ130" s="2100"/>
      <c r="BR130" s="2100"/>
      <c r="BS130" s="2102"/>
      <c r="BT130" s="2103">
        <f>ROUND(VLOOKUP(I130,実績!$C$5:$CV$1474,59,0),1)</f>
        <v>0</v>
      </c>
      <c r="BU130" s="2105">
        <f>VLOOKUP(I130,実績!$C$5:$CV$1474,67,0)</f>
        <v>0</v>
      </c>
      <c r="BV130" s="2136">
        <f>VLOOKUP(I130,実績!$C$5:$CV$1474,68,0)</f>
        <v>0</v>
      </c>
      <c r="BW130" s="2138">
        <f>VLOOKUP(I130,実績!$C$5:$CV$1474,69,0)</f>
        <v>0</v>
      </c>
      <c r="BX130" s="2093" t="str">
        <f>VLOOKUP(I130,実績!$C$5:$CV$1474,75,0)</f>
        <v>既存擁壁の上に改良</v>
      </c>
      <c r="BY130" s="2094"/>
      <c r="BZ130" s="2094"/>
      <c r="CA130" s="2094"/>
      <c r="CB130" s="2180"/>
      <c r="CD130" s="1968">
        <f>F130</f>
        <v>0</v>
      </c>
      <c r="CE130" s="1968" t="str">
        <f>I130</f>
        <v>熊本トヨペット</v>
      </c>
      <c r="CF130" s="96" t="str">
        <f>BD130</f>
        <v>1月末</v>
      </c>
      <c r="CG130" s="96" t="str">
        <f>BF130</f>
        <v>4月</v>
      </c>
      <c r="CH130" s="14"/>
      <c r="CI130" s="14"/>
      <c r="CJ130" s="104"/>
      <c r="CK130" s="18"/>
      <c r="CL130" s="18"/>
      <c r="CM130" s="103"/>
      <c r="CN130" s="103"/>
      <c r="CO130" s="103"/>
      <c r="CP130" s="103"/>
      <c r="CQ130" s="103"/>
      <c r="CR130" s="103"/>
      <c r="CS130" s="103"/>
      <c r="CT130" s="103"/>
      <c r="CU130" s="103"/>
      <c r="CV130" s="103"/>
      <c r="CW130" s="103"/>
      <c r="CX130" s="44"/>
      <c r="CY130" s="44"/>
      <c r="CZ130" s="44"/>
      <c r="DA130" s="103"/>
      <c r="DB130" s="103"/>
      <c r="DC130" s="103"/>
      <c r="DD130" s="103"/>
      <c r="DE130" s="103"/>
    </row>
    <row r="131" spans="2:155" ht="30" customHeight="1" thickTop="1" thickBot="1">
      <c r="B131" s="2537"/>
      <c r="C131" s="2594"/>
      <c r="D131" s="2134"/>
      <c r="E131" s="2135"/>
      <c r="F131" s="2184" t="str">
        <f>"("&amp;SUBSTITUTE(VLOOKUP(I130,実績!$C$5:$CV$1474,16,0),"株式会社 ","")&amp;","&amp;SUBSTITUTE(VLOOKUP(I130,実績!$C$5:$CV$1474,21,0),"株式会社 ","")&amp;")"</f>
        <v>(太宏設計事務所,)</v>
      </c>
      <c r="G131" s="2185"/>
      <c r="H131" s="2185"/>
      <c r="I131" s="2185"/>
      <c r="J131" s="2185"/>
      <c r="K131" s="2185"/>
      <c r="L131" s="2185"/>
      <c r="M131" s="2185"/>
      <c r="N131" s="2185"/>
      <c r="O131" s="2185"/>
      <c r="P131" s="2185"/>
      <c r="Q131" s="2185"/>
      <c r="R131" s="2185"/>
      <c r="S131" s="2185"/>
      <c r="T131" s="2186"/>
      <c r="U131" s="2156"/>
      <c r="V131" s="2157"/>
      <c r="W131" s="2109"/>
      <c r="X131" s="2110"/>
      <c r="Y131" s="2178">
        <f>VLOOKUP(I130,実績!$C$5:$CV$1474,5,0)</f>
        <v>0</v>
      </c>
      <c r="Z131" s="2187"/>
      <c r="AA131" s="2179"/>
      <c r="AB131" s="2109"/>
      <c r="AC131" s="2187"/>
      <c r="AD131" s="2179"/>
      <c r="AE131" s="2173"/>
      <c r="AF131" s="2174"/>
      <c r="AG131" s="2175"/>
      <c r="AH131" s="2178"/>
      <c r="AI131" s="2179"/>
      <c r="AJ131" s="2143"/>
      <c r="AK131" s="2144"/>
      <c r="AL131" s="2145"/>
      <c r="AM131" s="2146">
        <f>VLOOKUP(I130,実績!$C$5:$CV$1474,62,0)</f>
        <v>0</v>
      </c>
      <c r="AN131" s="2147"/>
      <c r="AO131" s="2147"/>
      <c r="AP131" s="2148"/>
      <c r="AQ131" s="2150"/>
      <c r="AR131" s="2124"/>
      <c r="AS131" s="2123"/>
      <c r="AT131" s="2124"/>
      <c r="AU131" s="2123"/>
      <c r="AV131" s="2124"/>
      <c r="AW131" s="2123"/>
      <c r="AX131" s="2124"/>
      <c r="AY131" s="2127"/>
      <c r="AZ131" s="2128"/>
      <c r="BA131" s="2084">
        <f>VLOOKUP(I130,実績!$C$5:$CV$1474,46,0)</f>
        <v>0</v>
      </c>
      <c r="BB131" s="2085"/>
      <c r="BC131" s="2086"/>
      <c r="BD131" s="2089"/>
      <c r="BE131" s="2090"/>
      <c r="BF131" s="2092"/>
      <c r="BG131" s="2590"/>
      <c r="BH131" s="2591"/>
      <c r="BI131" s="2591"/>
      <c r="BJ131" s="2591"/>
      <c r="BK131" s="2592"/>
      <c r="BL131" s="2099"/>
      <c r="BM131" s="2100"/>
      <c r="BN131" s="2100"/>
      <c r="BO131" s="2101"/>
      <c r="BP131" s="2099"/>
      <c r="BQ131" s="2100"/>
      <c r="BR131" s="2100"/>
      <c r="BS131" s="2102"/>
      <c r="BT131" s="2104"/>
      <c r="BU131" s="2106"/>
      <c r="BV131" s="2188"/>
      <c r="BW131" s="2139"/>
      <c r="BX131" s="2096"/>
      <c r="BY131" s="2097"/>
      <c r="BZ131" s="2097"/>
      <c r="CA131" s="2097"/>
      <c r="CB131" s="2189"/>
      <c r="CH131" s="14"/>
      <c r="CI131" s="14"/>
      <c r="CJ131" s="104"/>
      <c r="CK131" s="18"/>
      <c r="CL131" s="18"/>
      <c r="CM131" s="103"/>
      <c r="CN131" s="103"/>
      <c r="CO131" s="103"/>
      <c r="CP131" s="103"/>
      <c r="CQ131" s="103"/>
      <c r="CR131" s="103"/>
      <c r="CS131" s="103"/>
      <c r="CT131" s="103"/>
      <c r="CU131" s="103"/>
      <c r="CV131" s="103"/>
      <c r="CW131" s="103"/>
      <c r="CX131" s="44"/>
      <c r="CY131" s="44"/>
      <c r="CZ131" s="44"/>
      <c r="DA131" s="103"/>
      <c r="DB131" s="103"/>
      <c r="DC131" s="103"/>
      <c r="DD131" s="103"/>
      <c r="DE131" s="103"/>
    </row>
    <row r="132" spans="2:155" ht="30" customHeight="1" thickTop="1" thickBot="1">
      <c r="B132" s="2537"/>
      <c r="C132" s="2594"/>
      <c r="D132" s="2158" t="s">
        <v>4846</v>
      </c>
      <c r="E132" s="2159"/>
      <c r="F132" s="2160"/>
      <c r="G132" s="2161"/>
      <c r="H132" s="2161"/>
      <c r="I132" s="2162" t="str">
        <f>実績!C1462</f>
        <v>ビバモール一宮</v>
      </c>
      <c r="J132" s="2162"/>
      <c r="K132" s="2162"/>
      <c r="L132" s="2162"/>
      <c r="M132" s="2162"/>
      <c r="N132" s="2162"/>
      <c r="O132" s="2162"/>
      <c r="P132" s="2162"/>
      <c r="Q132" s="2162"/>
      <c r="R132" s="2162"/>
      <c r="S132" s="2162"/>
      <c r="T132" s="2163"/>
      <c r="U132" s="2164" t="str">
        <f>VLOOKUP(I132,実績!$C$5:$CV$1474,3,0)</f>
        <v>大田</v>
      </c>
      <c r="V132" s="2165"/>
      <c r="W132" s="2107">
        <f>VLOOKUP(I132,実績!$C$5:$CV$1474,2,0)</f>
        <v>0</v>
      </c>
      <c r="X132" s="2108"/>
      <c r="Y132" s="2176">
        <f>VLOOKUP(I132,実績!$C$5:$CV$1474,4,FALSE)</f>
        <v>0</v>
      </c>
      <c r="Z132" s="2190"/>
      <c r="AA132" s="2177"/>
      <c r="AB132" s="2107">
        <f>VLOOKUP(I132,実績!$C$5:$CV$1474,9,0)</f>
        <v>0</v>
      </c>
      <c r="AC132" s="2190"/>
      <c r="AD132" s="2177"/>
      <c r="AE132" s="2170">
        <f>ROUND(VLOOKUP(I132,実績!$C$5:$CV$1474,42,0),-1)</f>
        <v>0</v>
      </c>
      <c r="AF132" s="2171"/>
      <c r="AG132" s="2172"/>
      <c r="AH132" s="2176">
        <f>VLOOKUP(I132,実績!$C$5:$CV$1474,50,0)</f>
        <v>0</v>
      </c>
      <c r="AI132" s="2177"/>
      <c r="AJ132" s="2140">
        <f>VLOOKUP(I132,実績!$C$5:$CV$1474,60,0)</f>
        <v>0</v>
      </c>
      <c r="AK132" s="2141"/>
      <c r="AL132" s="2142"/>
      <c r="AM132" s="2146">
        <f>VLOOKUP(I132,実績!$C$5:$CV$1474,61,0)</f>
        <v>0</v>
      </c>
      <c r="AN132" s="2147"/>
      <c r="AO132" s="2147"/>
      <c r="AP132" s="2148"/>
      <c r="AQ132" s="2132" t="str">
        <f>VLOOKUP(I132,実績!$C$5:$CV$1474,37,0)</f>
        <v>-</v>
      </c>
      <c r="AR132" s="2133"/>
      <c r="AS132" s="2118">
        <f>VLOOKUP(I132,実績!$C$5:$CV$1474,38,0)</f>
        <v>0</v>
      </c>
      <c r="AT132" s="2122"/>
      <c r="AU132" s="2125" t="str">
        <f>VLOOKUP(I132,実績!$C$5:$CV$1474,39,0)</f>
        <v>-</v>
      </c>
      <c r="AV132" s="2133"/>
      <c r="AW132" s="2125" t="str">
        <f>VLOOKUP(I132,実績!$C$5:$CV$1474,40,0)</f>
        <v>○</v>
      </c>
      <c r="AX132" s="2133"/>
      <c r="AY132" s="2125" t="str">
        <f>VLOOKUP(I132,実績!$C$5:$CV$1474,41,0)</f>
        <v>独立</v>
      </c>
      <c r="AZ132" s="2126"/>
      <c r="BA132" s="2084">
        <f>VLOOKUP(I132,実績!$C$5:$CV$1474,44,0)</f>
        <v>0</v>
      </c>
      <c r="BB132" s="2085"/>
      <c r="BC132" s="2086"/>
      <c r="BD132" s="2196"/>
      <c r="BE132" s="2197"/>
      <c r="BF132" s="2194" t="s">
        <v>17968</v>
      </c>
      <c r="BG132" s="2093"/>
      <c r="BH132" s="2094"/>
      <c r="BI132" s="2094"/>
      <c r="BJ132" s="2094"/>
      <c r="BK132" s="2095"/>
      <c r="BL132" s="2099"/>
      <c r="BM132" s="2100"/>
      <c r="BN132" s="2100"/>
      <c r="BO132" s="2101"/>
      <c r="BP132" s="2099"/>
      <c r="BQ132" s="2100"/>
      <c r="BR132" s="2100"/>
      <c r="BS132" s="2102"/>
      <c r="BT132" s="2103">
        <f>ROUND(VLOOKUP(I132,実績!$C$5:$CV$1474,59,0),1)</f>
        <v>0</v>
      </c>
      <c r="BU132" s="2105">
        <f>VLOOKUP(I132,実績!$C$5:$CV$1474,67,0)</f>
        <v>0</v>
      </c>
      <c r="BV132" s="2136">
        <f>VLOOKUP(I132,実績!$C$5:$CV$1474,68,0)</f>
        <v>0</v>
      </c>
      <c r="BW132" s="2138">
        <f>VLOOKUP(I132,実績!$C$5:$CV$1474,69,0)</f>
        <v>0</v>
      </c>
      <c r="BX132" s="2093">
        <f>VLOOKUP(I132,実績!$C$5:$CV$1474,75,0)</f>
        <v>0</v>
      </c>
      <c r="BY132" s="2094"/>
      <c r="BZ132" s="2094"/>
      <c r="CA132" s="2094"/>
      <c r="CB132" s="2180"/>
      <c r="CD132" s="1968">
        <f>F132</f>
        <v>0</v>
      </c>
      <c r="CE132" s="1968" t="str">
        <f>I132</f>
        <v>ビバモール一宮</v>
      </c>
      <c r="CF132" s="96">
        <f>BD132</f>
        <v>0</v>
      </c>
      <c r="CG132" s="96" t="str">
        <f>BF132</f>
        <v>2月</v>
      </c>
      <c r="CH132" s="14"/>
      <c r="CI132" s="14"/>
      <c r="CJ132" s="104"/>
      <c r="CK132" s="18"/>
      <c r="CL132" s="18"/>
      <c r="CM132" s="103"/>
      <c r="CN132" s="103"/>
      <c r="CO132" s="103"/>
      <c r="CP132" s="103"/>
      <c r="CQ132" s="103"/>
      <c r="CR132" s="103"/>
      <c r="CS132" s="103"/>
      <c r="CT132" s="103"/>
      <c r="CU132" s="103"/>
      <c r="CV132" s="103"/>
      <c r="CW132" s="103"/>
      <c r="CX132" s="44"/>
      <c r="CY132" s="44"/>
      <c r="CZ132" s="44"/>
      <c r="DA132" s="103"/>
      <c r="DB132" s="103"/>
      <c r="DC132" s="103"/>
      <c r="DD132" s="103"/>
      <c r="DE132" s="103"/>
    </row>
    <row r="133" spans="2:155" ht="30" customHeight="1" thickTop="1" thickBot="1">
      <c r="B133" s="2537"/>
      <c r="C133" s="2594"/>
      <c r="D133" s="2134"/>
      <c r="E133" s="2135"/>
      <c r="F133" s="2184" t="str">
        <f>"("&amp;SUBSTITUTE(VLOOKUP(I132,実績!$C$5:$CV$1474,16,0)," 株式会社","")&amp;","&amp;SUBSTITUTE(VLOOKUP(I132,実績!$C$5:$CV$1474,21,0),"株式会社 ","")&amp;")"</f>
        <v>(日本建設,あい設計)</v>
      </c>
      <c r="G133" s="2185"/>
      <c r="H133" s="2185"/>
      <c r="I133" s="2185"/>
      <c r="J133" s="2185"/>
      <c r="K133" s="2185"/>
      <c r="L133" s="2185"/>
      <c r="M133" s="2185"/>
      <c r="N133" s="2185"/>
      <c r="O133" s="2185"/>
      <c r="P133" s="2185"/>
      <c r="Q133" s="2185"/>
      <c r="R133" s="2185"/>
      <c r="S133" s="2185"/>
      <c r="T133" s="2186"/>
      <c r="U133" s="2156"/>
      <c r="V133" s="2157"/>
      <c r="W133" s="2109"/>
      <c r="X133" s="2110"/>
      <c r="Y133" s="2178">
        <f>VLOOKUP(I132,実績!$C$5:$CV$1474,5,0)</f>
        <v>0</v>
      </c>
      <c r="Z133" s="2187"/>
      <c r="AA133" s="2179"/>
      <c r="AB133" s="2109"/>
      <c r="AC133" s="2187"/>
      <c r="AD133" s="2179"/>
      <c r="AE133" s="2173"/>
      <c r="AF133" s="2174"/>
      <c r="AG133" s="2175"/>
      <c r="AH133" s="2178"/>
      <c r="AI133" s="2179"/>
      <c r="AJ133" s="2143"/>
      <c r="AK133" s="2144"/>
      <c r="AL133" s="2145"/>
      <c r="AM133" s="2146">
        <f>VLOOKUP(I132,実績!$C$5:$CV$1474,62,0)</f>
        <v>0</v>
      </c>
      <c r="AN133" s="2147"/>
      <c r="AO133" s="2147"/>
      <c r="AP133" s="2148"/>
      <c r="AQ133" s="2134"/>
      <c r="AR133" s="2135"/>
      <c r="AS133" s="2123"/>
      <c r="AT133" s="2124"/>
      <c r="AU133" s="2127"/>
      <c r="AV133" s="2135"/>
      <c r="AW133" s="2127"/>
      <c r="AX133" s="2135"/>
      <c r="AY133" s="2127"/>
      <c r="AZ133" s="2128"/>
      <c r="BA133" s="2084">
        <f>VLOOKUP(I132,実績!$C$5:$CV$1474,46,0)</f>
        <v>0</v>
      </c>
      <c r="BB133" s="2085"/>
      <c r="BC133" s="2086"/>
      <c r="BD133" s="2198"/>
      <c r="BE133" s="2199"/>
      <c r="BF133" s="2092"/>
      <c r="BG133" s="2096"/>
      <c r="BH133" s="2097"/>
      <c r="BI133" s="2097"/>
      <c r="BJ133" s="2097"/>
      <c r="BK133" s="2098"/>
      <c r="BL133" s="2099"/>
      <c r="BM133" s="2100"/>
      <c r="BN133" s="2100"/>
      <c r="BO133" s="2101"/>
      <c r="BP133" s="2099"/>
      <c r="BQ133" s="2100"/>
      <c r="BR133" s="2100"/>
      <c r="BS133" s="2102"/>
      <c r="BT133" s="2104"/>
      <c r="BU133" s="2106"/>
      <c r="BV133" s="2188"/>
      <c r="BW133" s="2139"/>
      <c r="BX133" s="2096"/>
      <c r="BY133" s="2097"/>
      <c r="BZ133" s="2097"/>
      <c r="CA133" s="2097"/>
      <c r="CB133" s="2189"/>
      <c r="CH133" s="14"/>
      <c r="CI133" s="14"/>
      <c r="CJ133" s="104"/>
      <c r="CK133" s="18"/>
      <c r="CL133" s="18"/>
      <c r="CM133" s="103"/>
      <c r="CN133" s="103"/>
      <c r="CO133" s="103"/>
      <c r="CP133" s="103"/>
      <c r="CQ133" s="103"/>
      <c r="CR133" s="103"/>
      <c r="CS133" s="103"/>
      <c r="CT133" s="103"/>
      <c r="CU133" s="103"/>
      <c r="CV133" s="103"/>
      <c r="CW133" s="103"/>
      <c r="CX133" s="44"/>
      <c r="CY133" s="44"/>
      <c r="CZ133" s="44"/>
      <c r="DA133" s="103"/>
      <c r="DB133" s="103"/>
      <c r="DC133" s="103"/>
      <c r="DD133" s="103"/>
      <c r="DE133" s="103"/>
    </row>
    <row r="134" spans="2:155" ht="30" customHeight="1" thickTop="1" thickBot="1">
      <c r="B134" s="2537"/>
      <c r="C134" s="2594"/>
      <c r="D134" s="2132" t="s">
        <v>4846</v>
      </c>
      <c r="E134" s="2133"/>
      <c r="F134" s="2160"/>
      <c r="G134" s="2161"/>
      <c r="H134" s="2161"/>
      <c r="I134" s="2162" t="str">
        <f>実績!C1468</f>
        <v>マスヤ工業新工場</v>
      </c>
      <c r="J134" s="2162"/>
      <c r="K134" s="2162"/>
      <c r="L134" s="2162"/>
      <c r="M134" s="2162"/>
      <c r="N134" s="2162"/>
      <c r="O134" s="2162"/>
      <c r="P134" s="2162"/>
      <c r="Q134" s="2162"/>
      <c r="R134" s="2162"/>
      <c r="S134" s="2162"/>
      <c r="T134" s="2163"/>
      <c r="U134" s="2164" t="str">
        <f>VLOOKUP(I134,実績!$C$5:$CV$1474,3,0)</f>
        <v>新井</v>
      </c>
      <c r="V134" s="2165"/>
      <c r="W134" s="2107">
        <f>VLOOKUP(I134,実績!$C$5:$CV$1474,2,0)</f>
        <v>0</v>
      </c>
      <c r="X134" s="2108"/>
      <c r="Y134" s="2164" t="str">
        <f>VLOOKUP(I134,実績!$C$5:$CV$1474,4,FALSE)</f>
        <v>広島県</v>
      </c>
      <c r="Z134" s="2166"/>
      <c r="AA134" s="2165"/>
      <c r="AB134" s="2107">
        <f>VLOOKUP(I134,実績!$C$5:$CV$1474,9,0)</f>
        <v>0</v>
      </c>
      <c r="AC134" s="2190"/>
      <c r="AD134" s="2177"/>
      <c r="AE134" s="2170">
        <f>ROUND(VLOOKUP(I134,実績!$C$5:$CV$1474,42,0),-1)</f>
        <v>0</v>
      </c>
      <c r="AF134" s="2171"/>
      <c r="AG134" s="2172"/>
      <c r="AH134" s="2176">
        <f>VLOOKUP(I134,実績!$C$5:$CV$1474,50,0)</f>
        <v>0</v>
      </c>
      <c r="AI134" s="2177"/>
      <c r="AJ134" s="2140">
        <f>VLOOKUP(I134,実績!$C$5:$CV$1474,60,0)</f>
        <v>0</v>
      </c>
      <c r="AK134" s="2141"/>
      <c r="AL134" s="2142"/>
      <c r="AM134" s="2146">
        <f>VLOOKUP(I134,実績!$C$5:$CV$1474,61,0)</f>
        <v>0</v>
      </c>
      <c r="AN134" s="2147"/>
      <c r="AO134" s="2147"/>
      <c r="AP134" s="2148"/>
      <c r="AQ134" s="2132" t="str">
        <f>VLOOKUP(I134,実績!$C$5:$CV$1474,37,0)</f>
        <v>-</v>
      </c>
      <c r="AR134" s="2133"/>
      <c r="AS134" s="2118">
        <f>VLOOKUP(I134,実績!$C$5:$CV$1474,38,0)</f>
        <v>0</v>
      </c>
      <c r="AT134" s="2122"/>
      <c r="AU134" s="2125" t="str">
        <f>VLOOKUP(I134,実績!$C$5:$CV$1474,39,0)</f>
        <v>-</v>
      </c>
      <c r="AV134" s="2133"/>
      <c r="AW134" s="2118">
        <f>VLOOKUP(I134,実績!$C$5:$CV$1474,40,0)</f>
        <v>0</v>
      </c>
      <c r="AX134" s="2122"/>
      <c r="AY134" s="2118">
        <f>VLOOKUP(I134,実績!$C$5:$CV$1474,41,0)</f>
        <v>0</v>
      </c>
      <c r="AZ134" s="2119"/>
      <c r="BA134" s="2084">
        <f>VLOOKUP(I134,実績!$C$5:$CV$1474,44,0)</f>
        <v>0</v>
      </c>
      <c r="BB134" s="2085"/>
      <c r="BC134" s="2086"/>
      <c r="BD134" s="2196"/>
      <c r="BE134" s="2197"/>
      <c r="BF134" s="2194" t="s">
        <v>17557</v>
      </c>
      <c r="BG134" s="2093"/>
      <c r="BH134" s="2094"/>
      <c r="BI134" s="2094"/>
      <c r="BJ134" s="2094"/>
      <c r="BK134" s="2095"/>
      <c r="BL134" s="2099"/>
      <c r="BM134" s="2100"/>
      <c r="BN134" s="2100"/>
      <c r="BO134" s="2101"/>
      <c r="BP134" s="2099"/>
      <c r="BQ134" s="2100"/>
      <c r="BR134" s="2100"/>
      <c r="BS134" s="2102"/>
      <c r="BT134" s="2103">
        <f>ROUND(VLOOKUP(I134,実績!$C$5:$CV$1474,59,0),1)</f>
        <v>0</v>
      </c>
      <c r="BU134" s="2105">
        <f>VLOOKUP(I134,実績!$C$5:$CV$1474,67,0)</f>
        <v>0</v>
      </c>
      <c r="BV134" s="2136">
        <f>VLOOKUP(I134,実績!$C$5:$CV$1474,68,0)</f>
        <v>0</v>
      </c>
      <c r="BW134" s="2138">
        <f>VLOOKUP(I134,実績!$C$5:$CV$1474,69,0)</f>
        <v>0</v>
      </c>
      <c r="BX134" s="2093">
        <f>VLOOKUP(I134,実績!$C$5:$CV$1474,75,0)</f>
        <v>0</v>
      </c>
      <c r="BY134" s="2094"/>
      <c r="BZ134" s="2094"/>
      <c r="CA134" s="2094"/>
      <c r="CB134" s="2180"/>
      <c r="CD134" s="1968">
        <f>F134</f>
        <v>0</v>
      </c>
      <c r="CE134" s="1968" t="str">
        <f>I134</f>
        <v>マスヤ工業新工場</v>
      </c>
      <c r="CF134" s="96">
        <f>BD134</f>
        <v>0</v>
      </c>
      <c r="CG134" s="96" t="str">
        <f>BF134</f>
        <v>2月</v>
      </c>
      <c r="CH134" s="14"/>
      <c r="CI134" s="14"/>
      <c r="CJ134" s="104"/>
      <c r="CK134" s="18"/>
      <c r="CL134" s="18"/>
      <c r="CM134" s="103"/>
      <c r="CN134" s="103"/>
      <c r="CO134" s="103"/>
      <c r="CP134" s="103"/>
      <c r="CQ134" s="103"/>
      <c r="CR134" s="103"/>
      <c r="CS134" s="103"/>
      <c r="CT134" s="103"/>
      <c r="CU134" s="103"/>
      <c r="CV134" s="103"/>
      <c r="CW134" s="103"/>
      <c r="CX134" s="44"/>
      <c r="CY134" s="44"/>
      <c r="CZ134" s="44"/>
      <c r="DA134" s="103"/>
      <c r="DB134" s="103"/>
      <c r="DC134" s="103"/>
      <c r="DD134" s="103"/>
      <c r="DE134" s="103"/>
    </row>
    <row r="135" spans="2:155" ht="30" customHeight="1" thickTop="1" thickBot="1">
      <c r="B135" s="2537"/>
      <c r="C135" s="2594"/>
      <c r="D135" s="2158"/>
      <c r="E135" s="2159"/>
      <c r="F135" s="2221" t="str">
        <f>"("&amp;SUBSTITUTE(VLOOKUP(I134,実績!$C$5:$CV$1474,16,0)," 株式会社","")&amp;","&amp;SUBSTITUTE(VLOOKUP(I134,実績!$C$5:$CV$1474,21,0),"株式会社 ","")&amp;")"</f>
        <v>(,)</v>
      </c>
      <c r="G135" s="2222"/>
      <c r="H135" s="2222"/>
      <c r="I135" s="2222"/>
      <c r="J135" s="2222"/>
      <c r="K135" s="2222"/>
      <c r="L135" s="2222"/>
      <c r="M135" s="2222"/>
      <c r="N135" s="2222"/>
      <c r="O135" s="2222"/>
      <c r="P135" s="2222"/>
      <c r="Q135" s="2222"/>
      <c r="R135" s="2222"/>
      <c r="S135" s="2222"/>
      <c r="T135" s="2223"/>
      <c r="U135" s="2154"/>
      <c r="V135" s="2155"/>
      <c r="W135" s="2211"/>
      <c r="X135" s="2212"/>
      <c r="Y135" s="2154" t="str">
        <f>VLOOKUP(I134,実績!$C$5:$CV$1474,5,0)</f>
        <v>呉市</v>
      </c>
      <c r="Z135" s="2286"/>
      <c r="AA135" s="2155"/>
      <c r="AB135" s="2211"/>
      <c r="AC135" s="2214"/>
      <c r="AD135" s="2215"/>
      <c r="AE135" s="2227"/>
      <c r="AF135" s="2228"/>
      <c r="AG135" s="2229"/>
      <c r="AH135" s="2301"/>
      <c r="AI135" s="2215"/>
      <c r="AJ135" s="2302"/>
      <c r="AK135" s="2303"/>
      <c r="AL135" s="2304"/>
      <c r="AM135" s="2308">
        <f>VLOOKUP(I134,実績!$C$5:$CV$1474,62,0)</f>
        <v>0</v>
      </c>
      <c r="AN135" s="2309"/>
      <c r="AO135" s="2309"/>
      <c r="AP135" s="2310"/>
      <c r="AQ135" s="2158"/>
      <c r="AR135" s="2159"/>
      <c r="AS135" s="2120"/>
      <c r="AT135" s="2200"/>
      <c r="AU135" s="2114"/>
      <c r="AV135" s="2159"/>
      <c r="AW135" s="2120"/>
      <c r="AX135" s="2200"/>
      <c r="AY135" s="2120"/>
      <c r="AZ135" s="2121"/>
      <c r="BA135" s="2230">
        <f>VLOOKUP(I134,実績!$C$5:$CV$1474,46,0)</f>
        <v>0</v>
      </c>
      <c r="BB135" s="2231"/>
      <c r="BC135" s="2232"/>
      <c r="BD135" s="2236"/>
      <c r="BE135" s="2237"/>
      <c r="BF135" s="2251"/>
      <c r="BG135" s="2181"/>
      <c r="BH135" s="2182"/>
      <c r="BI135" s="2182"/>
      <c r="BJ135" s="2182"/>
      <c r="BK135" s="2206"/>
      <c r="BL135" s="2287"/>
      <c r="BM135" s="2288"/>
      <c r="BN135" s="2288"/>
      <c r="BO135" s="2402"/>
      <c r="BP135" s="2287"/>
      <c r="BQ135" s="2288"/>
      <c r="BR135" s="2288"/>
      <c r="BS135" s="2404"/>
      <c r="BT135" s="2210"/>
      <c r="BU135" s="2403"/>
      <c r="BV135" s="2137"/>
      <c r="BW135" s="2383"/>
      <c r="BX135" s="2181"/>
      <c r="BY135" s="2182"/>
      <c r="BZ135" s="2182"/>
      <c r="CA135" s="2182"/>
      <c r="CB135" s="2183"/>
      <c r="CH135" s="14"/>
      <c r="CI135" s="14"/>
      <c r="CJ135" s="104"/>
      <c r="CK135" s="18"/>
      <c r="CL135" s="18"/>
      <c r="CM135" s="103"/>
      <c r="CN135" s="103"/>
      <c r="CO135" s="103"/>
      <c r="CP135" s="103"/>
      <c r="CQ135" s="103"/>
      <c r="CR135" s="103"/>
      <c r="CS135" s="103"/>
      <c r="CT135" s="103"/>
      <c r="CU135" s="103"/>
      <c r="CV135" s="103"/>
      <c r="CW135" s="103"/>
      <c r="CX135" s="44"/>
      <c r="CY135" s="44"/>
      <c r="CZ135" s="44"/>
      <c r="DA135" s="103"/>
      <c r="DB135" s="103"/>
      <c r="DC135" s="103"/>
      <c r="DD135" s="103"/>
      <c r="DE135" s="103"/>
    </row>
    <row r="136" spans="2:155" ht="32.1" customHeight="1" thickTop="1" thickBot="1">
      <c r="B136" s="2537"/>
      <c r="C136" s="2594"/>
      <c r="D136" s="2132" t="s">
        <v>4846</v>
      </c>
      <c r="E136" s="2133"/>
      <c r="F136" s="2160"/>
      <c r="G136" s="2161"/>
      <c r="H136" s="2161"/>
      <c r="I136" s="2162" t="str">
        <f>実績!C1470</f>
        <v>SVH神戸玉津インター</v>
      </c>
      <c r="J136" s="2162"/>
      <c r="K136" s="2162"/>
      <c r="L136" s="2162"/>
      <c r="M136" s="2162"/>
      <c r="N136" s="2162"/>
      <c r="O136" s="2162"/>
      <c r="P136" s="2162"/>
      <c r="Q136" s="2162"/>
      <c r="R136" s="2162"/>
      <c r="S136" s="2162"/>
      <c r="T136" s="2163"/>
      <c r="U136" s="2164" t="str">
        <f>VLOOKUP(I136,実績!$C$5:$CV$1474,3,0)</f>
        <v>新井</v>
      </c>
      <c r="V136" s="2165"/>
      <c r="W136" s="2107">
        <f>VLOOKUP(I136,実績!$C$5:$CV$1474,2,0)</f>
        <v>0</v>
      </c>
      <c r="X136" s="2108"/>
      <c r="Y136" s="2176">
        <f>VLOOKUP(I136,実績!$C$5:$CV$1474,4,FALSE)</f>
        <v>0</v>
      </c>
      <c r="Z136" s="2190"/>
      <c r="AA136" s="2177"/>
      <c r="AB136" s="2107">
        <f>VLOOKUP(I136,実績!$C$5:$CV$1474,9,0)</f>
        <v>0</v>
      </c>
      <c r="AC136" s="2190"/>
      <c r="AD136" s="2177"/>
      <c r="AE136" s="2170">
        <f>ROUND(VLOOKUP(I136,実績!$C$5:$CV$1474,42,0),-1)</f>
        <v>0</v>
      </c>
      <c r="AF136" s="2171"/>
      <c r="AG136" s="2172"/>
      <c r="AH136" s="2176">
        <f>VLOOKUP(I136,実績!$C$5:$CV$1474,50,0)</f>
        <v>0</v>
      </c>
      <c r="AI136" s="2177"/>
      <c r="AJ136" s="2140">
        <f>VLOOKUP(I136,実績!$C$5:$CV$1474,60,0)</f>
        <v>0</v>
      </c>
      <c r="AK136" s="2141"/>
      <c r="AL136" s="2142"/>
      <c r="AM136" s="2146">
        <f>VLOOKUP(I136,実績!$C$5:$CV$1474,61,0)</f>
        <v>0</v>
      </c>
      <c r="AN136" s="2147"/>
      <c r="AO136" s="2147"/>
      <c r="AP136" s="2148"/>
      <c r="AQ136" s="2132" t="str">
        <f>VLOOKUP(I136,実績!$C$5:$CV$1474,37,0)</f>
        <v>-</v>
      </c>
      <c r="AR136" s="2133"/>
      <c r="AS136" s="2118">
        <f>VLOOKUP(I136,実績!$C$5:$CV$1474,38,0)</f>
        <v>0</v>
      </c>
      <c r="AT136" s="2122"/>
      <c r="AU136" s="2125" t="str">
        <f>VLOOKUP(I136,実績!$C$5:$CV$1474,39,0)</f>
        <v>○</v>
      </c>
      <c r="AV136" s="2133"/>
      <c r="AW136" s="2125" t="str">
        <f>VLOOKUP(I136,実績!$C$5:$CV$1474,40,0)</f>
        <v>○</v>
      </c>
      <c r="AX136" s="2133"/>
      <c r="AY136" s="2125" t="str">
        <f>VLOOKUP(I136,実績!$C$5:$CV$1474,41,0)</f>
        <v>独立</v>
      </c>
      <c r="AZ136" s="2126"/>
      <c r="BA136" s="2084">
        <f>VLOOKUP(I136,実績!$C$5:$CV$1474,44,0)</f>
        <v>0</v>
      </c>
      <c r="BB136" s="2085"/>
      <c r="BC136" s="2086"/>
      <c r="BD136" s="2196"/>
      <c r="BE136" s="2197"/>
      <c r="BF136" s="2194" t="s">
        <v>17266</v>
      </c>
      <c r="BG136" s="2093"/>
      <c r="BH136" s="2094"/>
      <c r="BI136" s="2094"/>
      <c r="BJ136" s="2094"/>
      <c r="BK136" s="2095"/>
      <c r="BL136" s="2099"/>
      <c r="BM136" s="2100"/>
      <c r="BN136" s="2100"/>
      <c r="BO136" s="2101"/>
      <c r="BP136" s="2099"/>
      <c r="BQ136" s="2100"/>
      <c r="BR136" s="2100"/>
      <c r="BS136" s="2102"/>
      <c r="BT136" s="2103">
        <f>ROUND(VLOOKUP(I136,実績!$C$5:$CV$1474,59,0),1)</f>
        <v>0</v>
      </c>
      <c r="BU136" s="2105">
        <f>VLOOKUP(I136,実績!$C$5:$CV$1474,67,0)</f>
        <v>0</v>
      </c>
      <c r="BV136" s="2136">
        <f>VLOOKUP(I136,実績!$C$5:$CV$1474,68,0)</f>
        <v>0</v>
      </c>
      <c r="BW136" s="2138">
        <f>VLOOKUP(I136,実績!$C$5:$CV$1474,69,0)</f>
        <v>0</v>
      </c>
      <c r="BX136" s="2093">
        <f>VLOOKUP(I136,実績!$C$5:$CV$1474,75,0)</f>
        <v>0</v>
      </c>
      <c r="BY136" s="2094"/>
      <c r="BZ136" s="2094"/>
      <c r="CA136" s="2094"/>
      <c r="CB136" s="2180"/>
      <c r="CD136" s="1968">
        <f>F136</f>
        <v>0</v>
      </c>
      <c r="CE136" s="1968" t="str">
        <f>I136</f>
        <v>SVH神戸玉津インター</v>
      </c>
      <c r="CF136" s="96">
        <f>BD136</f>
        <v>0</v>
      </c>
      <c r="CG136" s="96" t="str">
        <f>BF136</f>
        <v>3月</v>
      </c>
      <c r="CH136" s="14"/>
      <c r="CI136" s="14"/>
      <c r="CJ136" s="104"/>
      <c r="CK136" s="18"/>
      <c r="CL136" s="18"/>
      <c r="CM136" s="103"/>
      <c r="CN136" s="103"/>
      <c r="CO136" s="103"/>
      <c r="CP136" s="103"/>
      <c r="CQ136" s="103"/>
      <c r="CR136" s="103"/>
      <c r="CS136" s="103"/>
      <c r="CT136" s="103"/>
      <c r="CU136" s="103"/>
      <c r="CV136" s="103"/>
      <c r="CW136" s="103"/>
      <c r="CX136" s="44"/>
      <c r="CY136" s="44"/>
      <c r="CZ136" s="44"/>
      <c r="DA136" s="103"/>
      <c r="DB136" s="103"/>
      <c r="DC136" s="103"/>
      <c r="DD136" s="103"/>
      <c r="DE136" s="103"/>
    </row>
    <row r="137" spans="2:155" ht="32.1" customHeight="1" thickTop="1" thickBot="1">
      <c r="B137" s="2537"/>
      <c r="C137" s="2594"/>
      <c r="D137" s="2134"/>
      <c r="E137" s="2135"/>
      <c r="F137" s="2184" t="str">
        <f>"("&amp;SUBSTITUTE(VLOOKUP(I136,実績!$C$5:$CV$1474,16,0),"株式会社 ","")&amp;","&amp;SUBSTITUTE(VLOOKUP(I136,実績!$C$5:$CV$1474,21,0),"株式会社 ","")&amp;")"</f>
        <v>(,)</v>
      </c>
      <c r="G137" s="2185"/>
      <c r="H137" s="2185"/>
      <c r="I137" s="2185"/>
      <c r="J137" s="2185"/>
      <c r="K137" s="2185"/>
      <c r="L137" s="2185"/>
      <c r="M137" s="2185"/>
      <c r="N137" s="2185"/>
      <c r="O137" s="2185"/>
      <c r="P137" s="2185"/>
      <c r="Q137" s="2185"/>
      <c r="R137" s="2185"/>
      <c r="S137" s="2185"/>
      <c r="T137" s="2186"/>
      <c r="U137" s="2156"/>
      <c r="V137" s="2157"/>
      <c r="W137" s="2109"/>
      <c r="X137" s="2110"/>
      <c r="Y137" s="2178">
        <f>VLOOKUP(I136,実績!$C$5:$CV$1474,5,0)</f>
        <v>0</v>
      </c>
      <c r="Z137" s="2187"/>
      <c r="AA137" s="2179"/>
      <c r="AB137" s="2109"/>
      <c r="AC137" s="2187"/>
      <c r="AD137" s="2179"/>
      <c r="AE137" s="2173"/>
      <c r="AF137" s="2174"/>
      <c r="AG137" s="2175"/>
      <c r="AH137" s="2178"/>
      <c r="AI137" s="2179"/>
      <c r="AJ137" s="2143"/>
      <c r="AK137" s="2144"/>
      <c r="AL137" s="2145"/>
      <c r="AM137" s="2146">
        <f>VLOOKUP(I136,実績!$C$5:$CV$1474,62,0)</f>
        <v>0</v>
      </c>
      <c r="AN137" s="2147"/>
      <c r="AO137" s="2147"/>
      <c r="AP137" s="2148"/>
      <c r="AQ137" s="2134"/>
      <c r="AR137" s="2135"/>
      <c r="AS137" s="2123"/>
      <c r="AT137" s="2124"/>
      <c r="AU137" s="2127"/>
      <c r="AV137" s="2135"/>
      <c r="AW137" s="2127"/>
      <c r="AX137" s="2135"/>
      <c r="AY137" s="2127"/>
      <c r="AZ137" s="2128"/>
      <c r="BA137" s="2084">
        <f>VLOOKUP(I136,実績!$C$5:$CV$1474,46,0)</f>
        <v>0</v>
      </c>
      <c r="BB137" s="2085"/>
      <c r="BC137" s="2086"/>
      <c r="BD137" s="2198"/>
      <c r="BE137" s="2199"/>
      <c r="BF137" s="2092"/>
      <c r="BG137" s="2096"/>
      <c r="BH137" s="2097"/>
      <c r="BI137" s="2097"/>
      <c r="BJ137" s="2097"/>
      <c r="BK137" s="2098"/>
      <c r="BL137" s="2099"/>
      <c r="BM137" s="2100"/>
      <c r="BN137" s="2100"/>
      <c r="BO137" s="2101"/>
      <c r="BP137" s="2099"/>
      <c r="BQ137" s="2100"/>
      <c r="BR137" s="2100"/>
      <c r="BS137" s="2102"/>
      <c r="BT137" s="2104"/>
      <c r="BU137" s="2106"/>
      <c r="BV137" s="2188"/>
      <c r="BW137" s="2139"/>
      <c r="BX137" s="2096"/>
      <c r="BY137" s="2097"/>
      <c r="BZ137" s="2097"/>
      <c r="CA137" s="2097"/>
      <c r="CB137" s="2189"/>
      <c r="CH137" s="14"/>
      <c r="CI137" s="14"/>
      <c r="CJ137" s="104"/>
      <c r="CK137" s="18"/>
      <c r="CL137" s="18"/>
      <c r="CM137" s="103"/>
      <c r="CN137" s="103"/>
      <c r="CO137" s="103"/>
      <c r="CP137" s="103"/>
      <c r="CQ137" s="103"/>
      <c r="CR137" s="103"/>
      <c r="CS137" s="103"/>
      <c r="CT137" s="103"/>
      <c r="CU137" s="103"/>
      <c r="CV137" s="103"/>
      <c r="CW137" s="103"/>
      <c r="CX137" s="44"/>
      <c r="CY137" s="44"/>
      <c r="CZ137" s="44"/>
      <c r="DA137" s="103"/>
      <c r="DB137" s="103"/>
      <c r="DC137" s="103"/>
      <c r="DD137" s="103"/>
      <c r="DE137" s="103"/>
    </row>
    <row r="138" spans="2:155" ht="30" customHeight="1" thickTop="1" thickBot="1">
      <c r="B138" s="2537"/>
      <c r="C138" s="2594"/>
      <c r="D138" s="2158" t="s">
        <v>4846</v>
      </c>
      <c r="E138" s="2159"/>
      <c r="F138" s="2219"/>
      <c r="G138" s="2220"/>
      <c r="H138" s="2220"/>
      <c r="I138" s="2152" t="str">
        <f>実績!C1469</f>
        <v>甲府南インター倉庫</v>
      </c>
      <c r="J138" s="2152"/>
      <c r="K138" s="2152"/>
      <c r="L138" s="2152"/>
      <c r="M138" s="2152"/>
      <c r="N138" s="2152"/>
      <c r="O138" s="2152"/>
      <c r="P138" s="2152"/>
      <c r="Q138" s="2152"/>
      <c r="R138" s="2152"/>
      <c r="S138" s="2152"/>
      <c r="T138" s="2153"/>
      <c r="U138" s="2154" t="str">
        <f>VLOOKUP(I138,実績!$C$5:$CV$1474,3,0)</f>
        <v>ｱｽﾗﾝ</v>
      </c>
      <c r="V138" s="2155"/>
      <c r="W138" s="2211">
        <f>VLOOKUP(I138,実績!$C$5:$CV$1474,2,0)</f>
        <v>0</v>
      </c>
      <c r="X138" s="2212"/>
      <c r="Y138" s="2301">
        <f>VLOOKUP(I138,実績!$C$5:$CV$1474,4,FALSE)</f>
        <v>0</v>
      </c>
      <c r="Z138" s="2214"/>
      <c r="AA138" s="2215"/>
      <c r="AB138" s="2211">
        <f>VLOOKUP(I138,実績!$C$5:$CV$1474,9,0)</f>
        <v>0</v>
      </c>
      <c r="AC138" s="2214"/>
      <c r="AD138" s="2215"/>
      <c r="AE138" s="2227">
        <f>ROUND(VLOOKUP(I138,実績!$C$5:$CV$1474,42,0),-1)</f>
        <v>0</v>
      </c>
      <c r="AF138" s="2228"/>
      <c r="AG138" s="2229"/>
      <c r="AH138" s="2301">
        <f>VLOOKUP(I138,実績!$C$5:$CV$1474,50,0)</f>
        <v>0</v>
      </c>
      <c r="AI138" s="2215"/>
      <c r="AJ138" s="2302">
        <f>VLOOKUP(I138,実績!$C$5:$CV$1474,60,0)</f>
        <v>0</v>
      </c>
      <c r="AK138" s="2303"/>
      <c r="AL138" s="2304"/>
      <c r="AM138" s="2081">
        <f>VLOOKUP(I138,実績!$C$5:$CV$1474,61,0)</f>
        <v>0</v>
      </c>
      <c r="AN138" s="2082"/>
      <c r="AO138" s="2082"/>
      <c r="AP138" s="2083"/>
      <c r="AQ138" s="2158" t="str">
        <f>VLOOKUP(I138,実績!$C$5:$CV$1474,37,0)</f>
        <v>-</v>
      </c>
      <c r="AR138" s="2159"/>
      <c r="AS138" s="2120">
        <f>VLOOKUP(I138,実績!$C$5:$CV$1474,38,0)</f>
        <v>0</v>
      </c>
      <c r="AT138" s="2200"/>
      <c r="AU138" s="2114" t="str">
        <f>VLOOKUP(I138,実績!$C$5:$CV$1474,39,0)</f>
        <v>-</v>
      </c>
      <c r="AV138" s="2159"/>
      <c r="AW138" s="2114" t="str">
        <f>VLOOKUP(I138,実績!$C$5:$CV$1474,40,0)</f>
        <v>○</v>
      </c>
      <c r="AX138" s="2159"/>
      <c r="AY138" s="2114" t="str">
        <f>VLOOKUP(I138,実績!$C$5:$CV$1474,41,0)</f>
        <v>独立</v>
      </c>
      <c r="AZ138" s="2115"/>
      <c r="BA138" s="2084">
        <f>VLOOKUP(I138,実績!$C$5:$CV$1474,44,0)</f>
        <v>0</v>
      </c>
      <c r="BB138" s="2085"/>
      <c r="BC138" s="2086"/>
      <c r="BD138" s="2236"/>
      <c r="BE138" s="2237"/>
      <c r="BF138" s="2245"/>
      <c r="BG138" s="2181" t="s">
        <v>17614</v>
      </c>
      <c r="BH138" s="2182"/>
      <c r="BI138" s="2182"/>
      <c r="BJ138" s="2182"/>
      <c r="BK138" s="2206"/>
      <c r="BL138" s="2111"/>
      <c r="BM138" s="2112"/>
      <c r="BN138" s="2112"/>
      <c r="BO138" s="2195"/>
      <c r="BP138" s="2111"/>
      <c r="BQ138" s="2112"/>
      <c r="BR138" s="2112"/>
      <c r="BS138" s="2113"/>
      <c r="BT138" s="2210">
        <f>ROUND(VLOOKUP(I138,実績!$C$5:$CV$1474,59,0),1)</f>
        <v>0</v>
      </c>
      <c r="BU138" s="2403">
        <f>VLOOKUP(I138,実績!$C$5:$CV$1474,67,0)</f>
        <v>0</v>
      </c>
      <c r="BV138" s="2137">
        <f>VLOOKUP(I138,実績!$C$5:$CV$1474,68,0)</f>
        <v>0</v>
      </c>
      <c r="BW138" s="2383">
        <f>VLOOKUP(I138,実績!$C$5:$CV$1474,69,0)</f>
        <v>0</v>
      </c>
      <c r="BX138" s="2181">
        <f>VLOOKUP(I138,実績!$C$5:$CV$1474,75,0)</f>
        <v>0</v>
      </c>
      <c r="BY138" s="2182"/>
      <c r="BZ138" s="2182"/>
      <c r="CA138" s="2182"/>
      <c r="CB138" s="2183"/>
      <c r="CD138" s="1968">
        <f>F138</f>
        <v>0</v>
      </c>
      <c r="CE138" s="1968" t="str">
        <f>I138</f>
        <v>甲府南インター倉庫</v>
      </c>
      <c r="CF138" s="96">
        <f>BD138</f>
        <v>0</v>
      </c>
      <c r="CG138" s="96">
        <f>BF138</f>
        <v>0</v>
      </c>
      <c r="CH138" s="14"/>
      <c r="CI138" s="14"/>
      <c r="CJ138" s="104"/>
      <c r="CK138" s="18"/>
      <c r="CL138" s="18"/>
      <c r="CM138" s="103"/>
      <c r="CN138" s="103"/>
      <c r="CO138" s="103"/>
      <c r="CP138" s="103"/>
      <c r="CQ138" s="103"/>
      <c r="CR138" s="103"/>
      <c r="CS138" s="103"/>
      <c r="CT138" s="103"/>
      <c r="CU138" s="103"/>
      <c r="CV138" s="103"/>
      <c r="CW138" s="103"/>
      <c r="CX138" s="44"/>
      <c r="CY138" s="44"/>
      <c r="CZ138" s="44"/>
      <c r="DA138" s="103"/>
      <c r="DB138" s="103"/>
      <c r="DC138" s="103"/>
      <c r="DD138" s="103"/>
      <c r="DE138" s="103"/>
    </row>
    <row r="139" spans="2:155" ht="30" customHeight="1" thickTop="1" thickBot="1">
      <c r="B139" s="2537"/>
      <c r="C139" s="2595"/>
      <c r="D139" s="2296"/>
      <c r="E139" s="2297"/>
      <c r="F139" s="2191" t="str">
        <f>"("&amp;SUBSTITUTE(VLOOKUP(I138,実績!$C$5:$CV$1474,16,0),"株式会社 ","")&amp;","&amp;SUBSTITUTE(VLOOKUP(I138,実績!$C$5:$CV$1474,21,0),"株式会社 ","")&amp;")"</f>
        <v>(早野組,横河システム建築)</v>
      </c>
      <c r="G139" s="2192"/>
      <c r="H139" s="2192"/>
      <c r="I139" s="2192"/>
      <c r="J139" s="2192"/>
      <c r="K139" s="2192"/>
      <c r="L139" s="2192"/>
      <c r="M139" s="2192"/>
      <c r="N139" s="2192"/>
      <c r="O139" s="2192"/>
      <c r="P139" s="2192"/>
      <c r="Q139" s="2192"/>
      <c r="R139" s="2192"/>
      <c r="S139" s="2192"/>
      <c r="T139" s="2193"/>
      <c r="U139" s="2270"/>
      <c r="V139" s="2271"/>
      <c r="W139" s="2216"/>
      <c r="X139" s="2597"/>
      <c r="Y139" s="2201">
        <f>VLOOKUP(I138,実績!$C$5:$CV$1474,5,0)</f>
        <v>0</v>
      </c>
      <c r="Z139" s="2202"/>
      <c r="AA139" s="2203"/>
      <c r="AB139" s="2216"/>
      <c r="AC139" s="2202"/>
      <c r="AD139" s="2203"/>
      <c r="AE139" s="2579"/>
      <c r="AF139" s="2580"/>
      <c r="AG139" s="2581"/>
      <c r="AH139" s="2201"/>
      <c r="AI139" s="2203"/>
      <c r="AJ139" s="2598"/>
      <c r="AK139" s="2599"/>
      <c r="AL139" s="2600"/>
      <c r="AM139" s="2584">
        <f>VLOOKUP(I138,実績!$C$5:$CV$1474,62,0)</f>
        <v>0</v>
      </c>
      <c r="AN139" s="2585"/>
      <c r="AO139" s="2585"/>
      <c r="AP139" s="2586"/>
      <c r="AQ139" s="2296"/>
      <c r="AR139" s="2297"/>
      <c r="AS139" s="2582"/>
      <c r="AT139" s="2583"/>
      <c r="AU139" s="2116"/>
      <c r="AV139" s="2297"/>
      <c r="AW139" s="2116"/>
      <c r="AX139" s="2297"/>
      <c r="AY139" s="2116"/>
      <c r="AZ139" s="2117"/>
      <c r="BA139" s="2233">
        <f>VLOOKUP(I138,実績!$C$5:$CV$1474,46,0)</f>
        <v>0</v>
      </c>
      <c r="BB139" s="2234"/>
      <c r="BC139" s="2235"/>
      <c r="BD139" s="2243"/>
      <c r="BE139" s="2244"/>
      <c r="BF139" s="2246"/>
      <c r="BG139" s="2207"/>
      <c r="BH139" s="2208"/>
      <c r="BI139" s="2208"/>
      <c r="BJ139" s="2208"/>
      <c r="BK139" s="2209"/>
      <c r="BL139" s="2218"/>
      <c r="BM139" s="2204"/>
      <c r="BN139" s="2204"/>
      <c r="BO139" s="2412"/>
      <c r="BP139" s="2218"/>
      <c r="BQ139" s="2204"/>
      <c r="BR139" s="2204"/>
      <c r="BS139" s="2205"/>
      <c r="BT139" s="2398"/>
      <c r="BU139" s="2413"/>
      <c r="BV139" s="2217"/>
      <c r="BW139" s="2391"/>
      <c r="BX139" s="2207"/>
      <c r="BY139" s="2208"/>
      <c r="BZ139" s="2208"/>
      <c r="CA139" s="2208"/>
      <c r="CB139" s="2213"/>
      <c r="CH139" s="14"/>
      <c r="CI139" s="14"/>
      <c r="CJ139" s="104"/>
      <c r="CK139" s="18"/>
      <c r="CL139" s="18"/>
      <c r="CM139" s="103"/>
      <c r="CN139" s="103"/>
      <c r="CO139" s="103"/>
      <c r="CP139" s="103"/>
      <c r="CQ139" s="103"/>
      <c r="CR139" s="103"/>
      <c r="CS139" s="103"/>
      <c r="CT139" s="103"/>
      <c r="CU139" s="103"/>
      <c r="CV139" s="103"/>
      <c r="CW139" s="103"/>
      <c r="CX139" s="44"/>
      <c r="CY139" s="44"/>
      <c r="CZ139" s="44"/>
      <c r="DA139" s="103"/>
      <c r="DB139" s="103"/>
      <c r="DC139" s="103"/>
      <c r="DD139" s="103"/>
      <c r="DE139" s="103"/>
    </row>
    <row r="140" spans="2:155" ht="32.1" customHeight="1" thickTop="1">
      <c r="B140" s="16"/>
      <c r="C140" s="16"/>
      <c r="D140" s="1962"/>
      <c r="E140" s="1962"/>
      <c r="G140" s="102"/>
      <c r="H140" s="102"/>
      <c r="I140" s="102"/>
      <c r="J140" s="102"/>
      <c r="K140" s="102"/>
      <c r="L140" s="102"/>
      <c r="M140" s="102"/>
      <c r="N140" s="102"/>
      <c r="O140" s="102"/>
      <c r="P140" s="102"/>
      <c r="Q140" s="102"/>
      <c r="R140" s="102"/>
      <c r="S140" s="102"/>
      <c r="T140" s="102"/>
      <c r="U140" s="1963"/>
      <c r="V140" s="1963"/>
      <c r="W140" s="17"/>
      <c r="X140" s="17"/>
      <c r="Y140" s="1963"/>
      <c r="Z140" s="1963"/>
      <c r="AA140" s="1963"/>
      <c r="AB140" s="1963"/>
      <c r="AC140" s="1963"/>
      <c r="AD140" s="1963"/>
      <c r="AE140" s="1963"/>
      <c r="AF140" s="1963"/>
      <c r="AG140" s="1963"/>
      <c r="AH140" s="1963"/>
      <c r="AI140" s="1963"/>
      <c r="AJ140" s="1964"/>
      <c r="AK140" s="1964"/>
      <c r="AL140" s="92"/>
      <c r="AM140" s="18"/>
      <c r="AN140" s="103"/>
      <c r="AO140" s="103"/>
      <c r="AP140" s="103"/>
      <c r="AQ140" s="103"/>
      <c r="AR140" s="103"/>
      <c r="AS140" s="19"/>
      <c r="AT140" s="19"/>
      <c r="AU140" s="19"/>
      <c r="AV140" s="19"/>
      <c r="AW140" s="19"/>
      <c r="AX140" s="19"/>
      <c r="AY140" s="19"/>
      <c r="AZ140" s="103"/>
      <c r="BA140" s="103"/>
      <c r="BB140" s="103"/>
      <c r="BC140" s="103"/>
      <c r="BD140" s="20"/>
      <c r="BE140" s="20"/>
      <c r="BF140" s="87"/>
      <c r="BG140" s="87"/>
      <c r="BH140" s="87"/>
      <c r="BS140" s="104"/>
      <c r="BT140" s="18"/>
      <c r="BU140" s="18"/>
      <c r="BV140" s="103"/>
      <c r="BW140" s="103"/>
      <c r="BX140" s="103"/>
      <c r="BY140" s="103"/>
      <c r="BZ140" s="103"/>
      <c r="CA140" s="103"/>
      <c r="CB140" s="103"/>
      <c r="CF140" s="14"/>
      <c r="CH140" s="95"/>
      <c r="CI140" s="14"/>
      <c r="CN140" s="103"/>
      <c r="CO140" s="103"/>
      <c r="CP140" s="103"/>
      <c r="CS140" s="44"/>
      <c r="CT140" s="44"/>
      <c r="CU140" s="103"/>
      <c r="CV140" s="103"/>
      <c r="CW140" s="103"/>
      <c r="CX140" s="103"/>
      <c r="CY140" s="103"/>
      <c r="DG140" s="19"/>
      <c r="DH140" s="19"/>
      <c r="DI140" s="19"/>
      <c r="DJ140" s="19"/>
      <c r="DK140" s="19"/>
      <c r="DL140" s="19"/>
    </row>
    <row r="141" spans="2:155" ht="32.1" customHeight="1">
      <c r="B141" s="16"/>
      <c r="C141" s="16"/>
      <c r="D141" s="21" t="s">
        <v>5160</v>
      </c>
      <c r="Z141" s="94" t="s">
        <v>15172</v>
      </c>
      <c r="AA141" s="93"/>
      <c r="AJ141" s="14"/>
      <c r="AK141" s="14"/>
      <c r="AL141" s="14"/>
      <c r="CF141" s="14"/>
      <c r="CG141" s="14"/>
      <c r="CH141" s="14"/>
      <c r="CI141" s="14"/>
      <c r="CJ141" s="103"/>
      <c r="CK141" s="103"/>
      <c r="CL141" s="103"/>
      <c r="CM141" s="103"/>
      <c r="CN141" s="103"/>
      <c r="CO141" s="103"/>
      <c r="CP141" s="44"/>
      <c r="CQ141" s="44"/>
      <c r="CR141" s="44"/>
      <c r="CS141" s="103"/>
      <c r="CT141" s="103"/>
      <c r="CU141" s="103"/>
      <c r="CV141" s="103"/>
      <c r="CW141" s="103"/>
      <c r="DE141" s="19"/>
      <c r="DF141" s="19"/>
      <c r="DL141" s="19"/>
      <c r="DM141" s="19"/>
      <c r="DN141" s="19"/>
      <c r="DO141" s="19"/>
      <c r="DP141" s="19"/>
      <c r="DQ141" s="19"/>
      <c r="DR141" s="103"/>
      <c r="DS141" s="103"/>
      <c r="DT141" s="103"/>
      <c r="DU141" s="103"/>
      <c r="DV141" s="20"/>
      <c r="DW141" s="20"/>
      <c r="DX141" s="20"/>
      <c r="DY141" s="20"/>
      <c r="DZ141" s="20"/>
      <c r="EA141" s="87"/>
      <c r="EB141" s="87"/>
      <c r="EC141" s="87"/>
      <c r="ED141" s="87"/>
      <c r="EE141" s="87"/>
    </row>
    <row r="142" spans="2:155" ht="32.1" customHeight="1">
      <c r="B142" s="16"/>
      <c r="C142" s="16"/>
      <c r="D142" s="14" t="s">
        <v>5159</v>
      </c>
      <c r="E142" s="2080">
        <v>190134</v>
      </c>
      <c r="F142" s="2080"/>
      <c r="G142" s="2080"/>
      <c r="H142" s="21" t="str">
        <f>VLOOKUP(E142,実績!$B$5:$CV$1474,2,0)</f>
        <v>MCCポーアイ工場</v>
      </c>
      <c r="O142" s="21"/>
      <c r="V142" s="21"/>
      <c r="Z142" s="94"/>
      <c r="AA142" s="93" t="s">
        <v>5159</v>
      </c>
      <c r="AB142" s="2080">
        <f>F83</f>
        <v>200050</v>
      </c>
      <c r="AC142" s="2080"/>
      <c r="AD142" s="2080"/>
      <c r="AE142" s="22" t="s">
        <v>17985</v>
      </c>
      <c r="AH142" s="2460" t="str">
        <f>"("&amp;TEXT(VLOOKUP(AB142,実績!$B$5:$CV$1474,31,0),"mm/dd")&amp;")"</f>
        <v>(10/23)</v>
      </c>
      <c r="AI142" s="2460"/>
      <c r="AJ142" s="2460"/>
      <c r="AK142" s="21" t="str">
        <f>VLOOKUP(AB142,実績!$B$5:$CV$1474,2,0)</f>
        <v>日本酪農協同(株)徳島工場</v>
      </c>
      <c r="AL142" s="14"/>
      <c r="AT142" s="1784" t="str">
        <f>IF(VLOOKUP(AB142,実績!$B$5:$CV$1472,41,0)="○","D基礎","")&amp;IF(VLOOKUP(AB142,実績!$B$5:$CV$1472,41,0)="-","通常基礎","")</f>
        <v>D基礎</v>
      </c>
      <c r="CA142" s="103"/>
      <c r="CF142" s="14"/>
      <c r="CG142" s="14"/>
      <c r="CH142" s="14"/>
      <c r="CI142" s="19"/>
      <c r="CJ142" s="19"/>
      <c r="CP142" s="19"/>
      <c r="CQ142" s="19"/>
      <c r="CR142" s="19"/>
      <c r="CS142" s="19"/>
      <c r="CT142" s="19"/>
      <c r="CU142" s="19"/>
      <c r="CV142" s="103"/>
      <c r="CW142" s="103"/>
      <c r="CX142" s="103"/>
      <c r="CY142" s="103"/>
      <c r="CZ142" s="20"/>
      <c r="DA142" s="20"/>
      <c r="DB142" s="20"/>
      <c r="DC142" s="20"/>
      <c r="DD142" s="20"/>
      <c r="DE142" s="87"/>
      <c r="DF142" s="87"/>
      <c r="DG142" s="87"/>
      <c r="DH142" s="87"/>
      <c r="DI142" s="87"/>
    </row>
    <row r="143" spans="2:155" ht="32.1" customHeight="1">
      <c r="B143" s="16"/>
      <c r="D143" s="14" t="s">
        <v>5159</v>
      </c>
      <c r="E143" s="2080">
        <v>200010</v>
      </c>
      <c r="F143" s="2080"/>
      <c r="G143" s="2080"/>
      <c r="H143" s="21" t="str">
        <f>VLOOKUP(E143,実績!$B$5:$CV$1474,2,0)</f>
        <v>パーク・アベニュー神戸三田 自走式駐車場</v>
      </c>
      <c r="O143" s="21"/>
      <c r="V143" s="21"/>
      <c r="AA143" s="93"/>
      <c r="AJ143" s="14"/>
      <c r="AK143" s="14"/>
      <c r="AL143" s="14"/>
      <c r="AV143" s="1784"/>
      <c r="CF143" s="14"/>
      <c r="CG143" s="14"/>
      <c r="CH143" s="14"/>
      <c r="CI143" s="14"/>
      <c r="CP143" s="95"/>
      <c r="CQ143" s="95"/>
      <c r="CR143" s="43"/>
      <c r="CS143" s="43"/>
      <c r="DC143" s="104"/>
      <c r="DD143" s="103"/>
      <c r="DE143" s="103"/>
      <c r="DF143" s="103"/>
      <c r="DG143" s="103"/>
      <c r="DH143" s="103"/>
      <c r="DI143" s="103"/>
      <c r="DJ143" s="103"/>
      <c r="DK143" s="103"/>
      <c r="DL143" s="103"/>
      <c r="DM143" s="103"/>
      <c r="DN143" s="44"/>
      <c r="DO143" s="44"/>
      <c r="DP143" s="44"/>
      <c r="DQ143" s="103"/>
      <c r="DR143" s="103"/>
      <c r="DS143" s="103"/>
      <c r="DT143" s="103"/>
      <c r="DU143" s="103"/>
      <c r="EC143" s="19"/>
      <c r="ED143" s="19"/>
      <c r="EE143" s="19"/>
      <c r="EF143" s="19"/>
      <c r="EG143" s="19"/>
      <c r="EH143" s="19"/>
      <c r="EI143" s="19"/>
      <c r="EJ143" s="103"/>
      <c r="EK143" s="103"/>
      <c r="EL143" s="103"/>
      <c r="EM143" s="103"/>
      <c r="EN143" s="20"/>
      <c r="EO143" s="20"/>
      <c r="EP143" s="20"/>
      <c r="EQ143" s="20"/>
      <c r="ER143" s="20"/>
      <c r="ES143" s="87"/>
      <c r="ET143" s="87"/>
      <c r="EU143" s="87"/>
      <c r="EV143" s="87"/>
      <c r="EW143" s="87"/>
    </row>
    <row r="144" spans="2:155" ht="32.1" customHeight="1">
      <c r="B144" s="16"/>
      <c r="D144" s="14" t="s">
        <v>5159</v>
      </c>
      <c r="E144" s="2080">
        <v>200012</v>
      </c>
      <c r="F144" s="2080"/>
      <c r="G144" s="2080"/>
      <c r="H144" s="21" t="str">
        <f>VLOOKUP(E144,実績!$B$5:$CV$1474,2,0)</f>
        <v>BMW姫路支店/MINI姫路</v>
      </c>
      <c r="AA144" s="93"/>
      <c r="AD144" s="268"/>
      <c r="AE144" s="268"/>
      <c r="AF144" s="268"/>
      <c r="AJ144" s="14"/>
      <c r="AK144" s="14"/>
      <c r="AL144" s="14"/>
      <c r="AQ144" s="21"/>
      <c r="AV144" s="1784"/>
      <c r="BA144" s="268"/>
      <c r="BB144" s="268"/>
      <c r="BC144" s="268"/>
      <c r="CF144" s="14"/>
      <c r="CG144" s="14"/>
      <c r="CH144" s="14"/>
      <c r="CI144" s="14"/>
      <c r="CR144" s="95"/>
      <c r="CS144" s="95"/>
      <c r="CT144" s="43"/>
      <c r="CU144" s="43"/>
      <c r="DB144" s="104"/>
      <c r="DC144" s="18"/>
      <c r="DD144" s="18"/>
      <c r="DE144" s="103"/>
      <c r="DF144" s="103"/>
      <c r="DG144" s="103"/>
      <c r="DH144" s="103"/>
      <c r="DI144" s="103"/>
      <c r="DJ144" s="103"/>
      <c r="DK144" s="103"/>
      <c r="DL144" s="103"/>
      <c r="DM144" s="103"/>
      <c r="DN144" s="103"/>
      <c r="DO144" s="103"/>
      <c r="DP144" s="44"/>
      <c r="DQ144" s="44"/>
      <c r="DR144" s="44"/>
      <c r="DS144" s="103"/>
      <c r="DT144" s="103"/>
      <c r="DU144" s="103"/>
      <c r="DV144" s="103"/>
      <c r="DW144" s="103"/>
      <c r="EE144" s="19"/>
      <c r="EF144" s="19"/>
      <c r="EG144" s="19"/>
      <c r="EH144" s="19"/>
      <c r="EI144" s="19"/>
      <c r="EJ144" s="19"/>
      <c r="EK144" s="19"/>
      <c r="EL144" s="103"/>
      <c r="EM144" s="103"/>
      <c r="EN144" s="103"/>
      <c r="EO144" s="103"/>
      <c r="EP144" s="20"/>
      <c r="EQ144" s="20"/>
      <c r="ER144" s="20"/>
      <c r="ES144" s="20"/>
      <c r="ET144" s="20"/>
      <c r="EU144" s="87"/>
      <c r="EV144" s="87"/>
      <c r="EW144" s="87"/>
      <c r="EX144" s="87"/>
      <c r="EY144" s="87"/>
    </row>
    <row r="145" spans="2:152" ht="32.1" customHeight="1">
      <c r="B145" s="16"/>
      <c r="D145" s="14" t="s">
        <v>5159</v>
      </c>
      <c r="E145" s="2080">
        <v>200004</v>
      </c>
      <c r="F145" s="2080"/>
      <c r="G145" s="2080"/>
      <c r="H145" s="21" t="str">
        <f>VLOOKUP(E145,実績!$B$5:$CV$1474,2,0)</f>
        <v>長尾製缶所 本社第二工場(有田川)</v>
      </c>
      <c r="AA145" s="93"/>
      <c r="AD145" s="268"/>
      <c r="AE145" s="268"/>
      <c r="AF145" s="268"/>
      <c r="AJ145" s="14"/>
      <c r="AK145" s="14"/>
      <c r="AL145" s="14"/>
      <c r="AV145" s="1784"/>
      <c r="BA145" s="268"/>
      <c r="BB145" s="268"/>
      <c r="BC145" s="268"/>
      <c r="CC145" s="95"/>
      <c r="CD145" s="95"/>
      <c r="CE145" s="43"/>
      <c r="CF145" s="43"/>
      <c r="CG145" s="14"/>
      <c r="CH145" s="14"/>
      <c r="CI145" s="14"/>
      <c r="CM145" s="104"/>
      <c r="CN145" s="18"/>
      <c r="CO145" s="18"/>
      <c r="CP145" s="103"/>
      <c r="CQ145" s="103"/>
      <c r="CR145" s="103"/>
      <c r="CS145" s="103"/>
      <c r="CT145" s="103"/>
      <c r="CU145" s="103"/>
      <c r="CV145" s="103"/>
      <c r="CW145" s="103"/>
      <c r="CX145" s="103"/>
      <c r="CY145" s="103"/>
      <c r="CZ145" s="103"/>
      <c r="DA145" s="44"/>
      <c r="DB145" s="44"/>
      <c r="DC145" s="44"/>
      <c r="DD145" s="103"/>
      <c r="DE145" s="103"/>
      <c r="DF145" s="103"/>
      <c r="DG145" s="103"/>
      <c r="DH145" s="103"/>
      <c r="DP145" s="19"/>
      <c r="DQ145" s="19"/>
      <c r="DR145" s="19"/>
      <c r="DS145" s="19"/>
      <c r="DT145" s="19"/>
      <c r="DU145" s="19"/>
      <c r="DV145" s="19"/>
      <c r="DW145" s="103"/>
      <c r="DX145" s="103"/>
      <c r="DY145" s="103"/>
      <c r="DZ145" s="103"/>
      <c r="EA145" s="20"/>
      <c r="EB145" s="20"/>
      <c r="EC145" s="20"/>
      <c r="ED145" s="20"/>
      <c r="EE145" s="20"/>
      <c r="EF145" s="87"/>
      <c r="EG145" s="87"/>
      <c r="EH145" s="87"/>
      <c r="EI145" s="87"/>
      <c r="EJ145" s="87"/>
    </row>
    <row r="146" spans="2:152" ht="32.1" customHeight="1">
      <c r="B146" s="16"/>
      <c r="D146" s="14" t="s">
        <v>5159</v>
      </c>
      <c r="E146" s="2080">
        <v>190133</v>
      </c>
      <c r="F146" s="2080"/>
      <c r="G146" s="2080"/>
      <c r="H146" s="21" t="str">
        <f>VLOOKUP(E146,実績!$B$5:$CV$1474,2,0)</f>
        <v>デンカ株式会社 QC保存倉庫</v>
      </c>
      <c r="AA146" s="21"/>
      <c r="AJ146" s="21"/>
      <c r="AK146" s="14"/>
      <c r="AL146" s="14"/>
      <c r="AQ146" s="21"/>
      <c r="BB146" s="268"/>
      <c r="BC146" s="268"/>
      <c r="BD146" s="268"/>
      <c r="CC146" s="95"/>
      <c r="CD146" s="95"/>
      <c r="CE146" s="43"/>
      <c r="CF146" s="43"/>
      <c r="CG146" s="14"/>
      <c r="CH146" s="14"/>
      <c r="CI146" s="14"/>
      <c r="CM146" s="104"/>
      <c r="CN146" s="18"/>
      <c r="CO146" s="18"/>
      <c r="CP146" s="103"/>
      <c r="CQ146" s="103"/>
      <c r="CR146" s="103"/>
      <c r="CS146" s="103"/>
      <c r="CT146" s="103"/>
      <c r="CU146" s="103"/>
      <c r="CV146" s="103"/>
      <c r="CW146" s="103"/>
      <c r="CX146" s="103"/>
      <c r="CY146" s="103"/>
      <c r="CZ146" s="103"/>
      <c r="DA146" s="44"/>
      <c r="DB146" s="44"/>
      <c r="DC146" s="44"/>
      <c r="DD146" s="103"/>
      <c r="DE146" s="103"/>
      <c r="DF146" s="103"/>
      <c r="DG146" s="103"/>
      <c r="DH146" s="103"/>
      <c r="DP146" s="19"/>
      <c r="DQ146" s="19"/>
      <c r="DR146" s="19"/>
      <c r="DS146" s="19"/>
      <c r="DT146" s="19"/>
      <c r="DU146" s="19"/>
      <c r="DV146" s="19"/>
      <c r="DW146" s="103"/>
      <c r="DX146" s="103"/>
      <c r="DY146" s="103"/>
      <c r="DZ146" s="103"/>
      <c r="EA146" s="20"/>
      <c r="EB146" s="20"/>
      <c r="EC146" s="20"/>
      <c r="ED146" s="20"/>
      <c r="EE146" s="20"/>
      <c r="EF146" s="87"/>
      <c r="EG146" s="87"/>
      <c r="EH146" s="87"/>
      <c r="EI146" s="87"/>
      <c r="EJ146" s="87"/>
    </row>
    <row r="147" spans="2:152" ht="32.1" customHeight="1">
      <c r="B147" s="16"/>
      <c r="AA147" s="21"/>
      <c r="AJ147" s="21"/>
      <c r="AK147" s="14"/>
      <c r="AL147" s="14"/>
      <c r="AQ147" s="21"/>
      <c r="BB147" s="268"/>
      <c r="BC147" s="268"/>
      <c r="BD147" s="268"/>
      <c r="CD147" s="95"/>
      <c r="CE147" s="95"/>
      <c r="CF147" s="43"/>
      <c r="CG147" s="43"/>
      <c r="CH147" s="14"/>
      <c r="CI147" s="14"/>
      <c r="CN147" s="104"/>
      <c r="CO147" s="18"/>
      <c r="CP147" s="18"/>
      <c r="CQ147" s="103"/>
      <c r="CR147" s="103"/>
      <c r="CS147" s="103"/>
      <c r="CT147" s="103"/>
      <c r="CU147" s="103"/>
      <c r="CV147" s="103"/>
      <c r="CW147" s="103"/>
      <c r="CX147" s="103"/>
      <c r="CY147" s="103"/>
      <c r="CZ147" s="103"/>
      <c r="DA147" s="103"/>
      <c r="DB147" s="44"/>
      <c r="DC147" s="44"/>
      <c r="DD147" s="44"/>
      <c r="DE147" s="103"/>
      <c r="DF147" s="103"/>
      <c r="DG147" s="103"/>
      <c r="DH147" s="103"/>
      <c r="DI147" s="103"/>
      <c r="DQ147" s="19"/>
      <c r="DR147" s="19"/>
      <c r="DS147" s="19"/>
      <c r="DT147" s="19"/>
      <c r="DU147" s="19"/>
      <c r="DV147" s="19"/>
      <c r="DW147" s="19"/>
      <c r="DX147" s="103"/>
      <c r="DY147" s="103"/>
      <c r="DZ147" s="103"/>
      <c r="EA147" s="103"/>
      <c r="EB147" s="20"/>
      <c r="EC147" s="20"/>
      <c r="ED147" s="20"/>
      <c r="EE147" s="20"/>
      <c r="EF147" s="20"/>
      <c r="EG147" s="87"/>
      <c r="EH147" s="87"/>
      <c r="EI147" s="87"/>
      <c r="EJ147" s="87"/>
      <c r="EK147" s="87"/>
    </row>
    <row r="148" spans="2:152" ht="32.1" customHeight="1">
      <c r="B148" s="16"/>
      <c r="E148" s="1961"/>
      <c r="F148" s="1961"/>
      <c r="G148" s="1961"/>
      <c r="H148" s="21"/>
      <c r="K148" s="21"/>
      <c r="AA148" s="21"/>
      <c r="AJ148" s="21"/>
      <c r="AK148" s="14"/>
      <c r="AL148" s="14"/>
      <c r="AQ148" s="21"/>
      <c r="BE148" s="268"/>
      <c r="BF148" s="268"/>
      <c r="BG148" s="268"/>
      <c r="CF148" s="14"/>
      <c r="CH148" s="95"/>
      <c r="CJ148" s="43"/>
      <c r="CQ148" s="104"/>
      <c r="CR148" s="18"/>
      <c r="CS148" s="18"/>
      <c r="CT148" s="103"/>
      <c r="CU148" s="103"/>
      <c r="CV148" s="103"/>
      <c r="CW148" s="103"/>
      <c r="CX148" s="103"/>
      <c r="CY148" s="103"/>
      <c r="CZ148" s="103"/>
      <c r="DA148" s="103"/>
      <c r="DB148" s="103"/>
      <c r="DC148" s="103"/>
      <c r="DD148" s="103"/>
      <c r="DE148" s="44"/>
      <c r="DF148" s="44"/>
      <c r="DG148" s="44"/>
      <c r="DH148" s="103"/>
      <c r="DI148" s="103"/>
      <c r="DJ148" s="103"/>
      <c r="DK148" s="103"/>
      <c r="DL148" s="103"/>
      <c r="DT148" s="19"/>
      <c r="DU148" s="19"/>
      <c r="DV148" s="19"/>
      <c r="DW148" s="19"/>
      <c r="DX148" s="19"/>
      <c r="DY148" s="19"/>
      <c r="DZ148" s="19"/>
      <c r="EA148" s="103"/>
      <c r="EB148" s="103"/>
      <c r="EC148" s="103"/>
      <c r="ED148" s="103"/>
      <c r="EE148" s="20"/>
      <c r="EF148" s="20"/>
      <c r="EG148" s="20"/>
      <c r="EH148" s="20"/>
      <c r="EI148" s="20"/>
      <c r="EJ148" s="87"/>
      <c r="EK148" s="87"/>
      <c r="EL148" s="87"/>
      <c r="EM148" s="87"/>
      <c r="EN148" s="87"/>
    </row>
    <row r="149" spans="2:152" ht="39.950000000000003" customHeight="1">
      <c r="B149" s="16"/>
      <c r="AA149" s="21"/>
      <c r="AD149" s="93"/>
      <c r="AE149" s="24"/>
      <c r="AF149" s="24"/>
      <c r="AG149" s="24"/>
      <c r="AH149" s="24"/>
      <c r="AI149" s="24"/>
      <c r="AJ149" s="22"/>
      <c r="AP149" s="24"/>
      <c r="AQ149" s="24"/>
      <c r="AR149" s="22"/>
      <c r="AT149" s="22"/>
      <c r="AY149" s="21"/>
      <c r="BA149" s="22"/>
      <c r="BB149" s="22"/>
      <c r="BI149" s="93"/>
      <c r="BJ149" s="24"/>
      <c r="BK149" s="24"/>
      <c r="BM149" s="268"/>
      <c r="BN149" s="268"/>
      <c r="BO149" s="268"/>
      <c r="CF149" s="14"/>
      <c r="CG149" s="14"/>
      <c r="CH149" s="14"/>
      <c r="CI149" s="14"/>
      <c r="CO149" s="95"/>
      <c r="CP149" s="95"/>
      <c r="CQ149" s="43"/>
      <c r="CR149" s="43"/>
      <c r="CY149" s="104"/>
      <c r="CZ149" s="18"/>
      <c r="DA149" s="18"/>
      <c r="DB149" s="103"/>
      <c r="DC149" s="103"/>
      <c r="DD149" s="103"/>
      <c r="DE149" s="103"/>
      <c r="DF149" s="103"/>
      <c r="DG149" s="103"/>
      <c r="DH149" s="103"/>
      <c r="DI149" s="103"/>
      <c r="DJ149" s="103"/>
      <c r="DK149" s="103"/>
      <c r="DL149" s="103"/>
      <c r="DM149" s="44"/>
      <c r="DN149" s="44"/>
      <c r="DO149" s="44"/>
      <c r="DP149" s="103"/>
      <c r="DQ149" s="103"/>
      <c r="DR149" s="103"/>
      <c r="DS149" s="103"/>
      <c r="DT149" s="103"/>
      <c r="EB149" s="19"/>
      <c r="EC149" s="19"/>
      <c r="ED149" s="19"/>
      <c r="EE149" s="19"/>
      <c r="EF149" s="19"/>
      <c r="EG149" s="19"/>
      <c r="EH149" s="19"/>
      <c r="EI149" s="103"/>
      <c r="EJ149" s="103"/>
      <c r="EK149" s="103"/>
      <c r="EL149" s="103"/>
      <c r="EM149" s="20"/>
      <c r="EN149" s="20"/>
      <c r="EO149" s="20"/>
      <c r="EP149" s="20"/>
      <c r="EQ149" s="20"/>
      <c r="ER149" s="87"/>
      <c r="ES149" s="87"/>
      <c r="ET149" s="87"/>
      <c r="EU149" s="87"/>
      <c r="EV149" s="87"/>
    </row>
    <row r="150" spans="2:152" ht="39.950000000000003" customHeight="1">
      <c r="D150" s="2295" t="s">
        <v>4846</v>
      </c>
      <c r="E150" s="2239"/>
      <c r="F150" s="2283">
        <f>実績!B1282</f>
        <v>190033</v>
      </c>
      <c r="G150" s="2284"/>
      <c r="H150" s="2284"/>
      <c r="I150" s="2365" t="str">
        <f>VLOOKUP(F150,実績!$B$5:$CV$1474,2,0)</f>
        <v>大野ピッチング練習場</v>
      </c>
      <c r="J150" s="2365"/>
      <c r="K150" s="2365"/>
      <c r="L150" s="2365"/>
      <c r="M150" s="2365"/>
      <c r="N150" s="2365"/>
      <c r="O150" s="2365"/>
      <c r="P150" s="2365"/>
      <c r="Q150" s="2365"/>
      <c r="R150" s="2365"/>
      <c r="S150" s="2365"/>
      <c r="T150" s="2366"/>
      <c r="U150" s="2164" t="str">
        <f>VLOOKUP(I150,実績!$C$5:$CV$1474,3,0)</f>
        <v>植松</v>
      </c>
      <c r="V150" s="2165"/>
      <c r="W150" s="2167" t="str">
        <f>VLOOKUP(I150,実績!$C$5:$CV$1474,2,0)</f>
        <v>タオ</v>
      </c>
      <c r="X150" s="2281"/>
      <c r="Y150" s="2164" t="str">
        <f>VLOOKUP(I150,実績!$C$5:$CV$1474,4,FALSE)</f>
        <v>広島県</v>
      </c>
      <c r="Z150" s="2166"/>
      <c r="AA150" s="2165"/>
      <c r="AB150" s="2167" t="str">
        <f>VLOOKUP(I150,実績!$C$5:$CV$1474,9,0)</f>
        <v>屋内練習場</v>
      </c>
      <c r="AC150" s="2166"/>
      <c r="AD150" s="2165"/>
      <c r="AE150" s="2272">
        <f>ROUND(VLOOKUP(I150,実績!$C$5:$CV$1474,42,0),-1)</f>
        <v>490</v>
      </c>
      <c r="AF150" s="2273"/>
      <c r="AG150" s="2274"/>
      <c r="AH150" s="2164" t="str">
        <f>VLOOKUP(I150,実績!$C$5:$CV$1474,50,0)</f>
        <v>無</v>
      </c>
      <c r="AI150" s="2165"/>
      <c r="AJ150" s="2373">
        <f>VLOOKUP(I150,実績!$C$5:$CV$1474,60,0)</f>
        <v>0.74</v>
      </c>
      <c r="AK150" s="2374"/>
      <c r="AL150" s="2375"/>
      <c r="AM150" s="2252" t="str">
        <f>VLOOKUP(I150,実績!$C$5:$CV$1474,61,0)</f>
        <v>中砂(府植物混入)</v>
      </c>
      <c r="AN150" s="2253"/>
      <c r="AO150" s="2253"/>
      <c r="AP150" s="2254"/>
      <c r="AQ150" s="2132" t="str">
        <f>VLOOKUP(I150,実績!$C$5:$CV$1474,37,0)</f>
        <v>-</v>
      </c>
      <c r="AR150" s="2133"/>
      <c r="AS150" s="2125" t="str">
        <f>VLOOKUP(I150,実績!$C$5:$CV$1474,38,0)</f>
        <v>-</v>
      </c>
      <c r="AT150" s="2133"/>
      <c r="AU150" s="2125" t="str">
        <f>VLOOKUP(I150,実績!$C$5:$CV$1474,39,0)</f>
        <v>-</v>
      </c>
      <c r="AV150" s="2133"/>
      <c r="AW150" s="2125" t="str">
        <f>VLOOKUP(I150,実績!$C$5:$CV$1474,40,0)</f>
        <v>-</v>
      </c>
      <c r="AX150" s="2133"/>
      <c r="AY150" s="2125" t="str">
        <f>VLOOKUP(I150,実績!$C$5:$CV$1474,41,0)</f>
        <v>独立</v>
      </c>
      <c r="AZ150" s="2126"/>
      <c r="BA150" s="2240">
        <f>VLOOKUP(I150,実績!$C$5:$CV$1474,44,0)</f>
        <v>1.3</v>
      </c>
      <c r="BB150" s="2241"/>
      <c r="BC150" s="2242"/>
      <c r="BD150" s="2196"/>
      <c r="BE150" s="2197"/>
      <c r="BF150" s="2130"/>
      <c r="BG150" s="2093"/>
      <c r="BH150" s="2094"/>
      <c r="BI150" s="2094"/>
      <c r="BJ150" s="2094"/>
      <c r="BK150" s="2095"/>
      <c r="BL150" s="2099"/>
      <c r="BM150" s="2100"/>
      <c r="BN150" s="2100"/>
      <c r="BO150" s="2101"/>
      <c r="BP150" s="2076"/>
      <c r="BQ150" s="2076"/>
      <c r="BR150" s="2076"/>
      <c r="BS150" s="2077"/>
      <c r="BT150" s="2384">
        <f>ROUND(VLOOKUP(I150,実績!$C$5:$CV$1474,59,0),1)</f>
        <v>2.1</v>
      </c>
      <c r="BU150" s="2414" t="str">
        <f>VLOOKUP(I150,実績!$C$5:$CV$1474,67,0)</f>
        <v>ホテル・駐車場</v>
      </c>
      <c r="BV150" s="2396" t="str">
        <f>VLOOKUP(I150,実績!$C$5:$CV$1474,68,0)</f>
        <v>○</v>
      </c>
      <c r="BW150" s="2381" t="str">
        <f>VLOOKUP(I150,実績!$C$5:$CV$1474,69,0)</f>
        <v>○</v>
      </c>
      <c r="BX150" s="2093" t="str">
        <f>VLOOKUP(I150,実績!$C$5:$CV$1474,75,0)</f>
        <v>海に近い。既存擁壁近接。</v>
      </c>
      <c r="BY150" s="2094"/>
      <c r="BZ150" s="2094"/>
      <c r="CA150" s="2094"/>
      <c r="CB150" s="2180"/>
      <c r="CD150" s="1968">
        <f>F150</f>
        <v>190033</v>
      </c>
      <c r="CE150" s="1968" t="str">
        <f>I150</f>
        <v>大野ピッチング練習場</v>
      </c>
      <c r="CF150" s="96">
        <f>BD150</f>
        <v>0</v>
      </c>
      <c r="CG150" s="96">
        <f>BF150</f>
        <v>0</v>
      </c>
      <c r="CH150" s="95"/>
      <c r="CJ150" s="43"/>
    </row>
    <row r="151" spans="2:152" ht="39.950000000000003" customHeight="1" thickBot="1">
      <c r="D151" s="2493"/>
      <c r="E151" s="2494"/>
      <c r="F151" s="2191" t="str">
        <f>"("&amp;SUBSTITUTE(VLOOKUP(F150,実績!$B$5:$CV$1474,17,0)," 株式会社","")&amp;","&amp;SUBSTITUTE(VLOOKUP(F150,実績!$B$5:$CV$1474,22,0),"有限会社 ","")&amp;")"</f>
        <v>(さくら建築設計,照井構造事務所)</v>
      </c>
      <c r="G151" s="2192"/>
      <c r="H151" s="2192"/>
      <c r="I151" s="2192"/>
      <c r="J151" s="2192"/>
      <c r="K151" s="2192"/>
      <c r="L151" s="2192"/>
      <c r="M151" s="2192"/>
      <c r="N151" s="2192"/>
      <c r="O151" s="2192"/>
      <c r="P151" s="2192"/>
      <c r="Q151" s="2192"/>
      <c r="R151" s="2192"/>
      <c r="S151" s="2192"/>
      <c r="T151" s="2193"/>
      <c r="U151" s="2270"/>
      <c r="V151" s="2271"/>
      <c r="W151" s="2369"/>
      <c r="X151" s="2370"/>
      <c r="Y151" s="2270" t="str">
        <f>VLOOKUP(I150,実績!$C$5:$CV$1474,5,0)</f>
        <v>廿日市</v>
      </c>
      <c r="Z151" s="2334"/>
      <c r="AA151" s="2271"/>
      <c r="AB151" s="2369"/>
      <c r="AC151" s="2334"/>
      <c r="AD151" s="2271"/>
      <c r="AE151" s="2487"/>
      <c r="AF151" s="2488"/>
      <c r="AG151" s="2489"/>
      <c r="AH151" s="2270"/>
      <c r="AI151" s="2271"/>
      <c r="AJ151" s="2490"/>
      <c r="AK151" s="2491"/>
      <c r="AL151" s="2492"/>
      <c r="AM151" s="2432">
        <f>VLOOKUP(I150,実績!$C$5:$CV$1474,62,0)</f>
        <v>4.7</v>
      </c>
      <c r="AN151" s="2433"/>
      <c r="AO151" s="2433"/>
      <c r="AP151" s="2434"/>
      <c r="AQ151" s="2296"/>
      <c r="AR151" s="2297"/>
      <c r="AS151" s="2116"/>
      <c r="AT151" s="2297"/>
      <c r="AU151" s="2116"/>
      <c r="AV151" s="2297"/>
      <c r="AW151" s="2116"/>
      <c r="AX151" s="2297"/>
      <c r="AY151" s="2116"/>
      <c r="AZ151" s="2117"/>
      <c r="BA151" s="2508">
        <f>VLOOKUP(I150,実績!$C$5:$CV$1474,46,0)</f>
        <v>2</v>
      </c>
      <c r="BB151" s="2509"/>
      <c r="BC151" s="2510"/>
      <c r="BD151" s="2243"/>
      <c r="BE151" s="2244"/>
      <c r="BF151" s="2246"/>
      <c r="BG151" s="2207"/>
      <c r="BH151" s="2208"/>
      <c r="BI151" s="2208"/>
      <c r="BJ151" s="2208"/>
      <c r="BK151" s="2209"/>
      <c r="BL151" s="2218"/>
      <c r="BM151" s="2204"/>
      <c r="BN151" s="2204"/>
      <c r="BO151" s="2412"/>
      <c r="BP151" s="2425"/>
      <c r="BQ151" s="2425"/>
      <c r="BR151" s="2425"/>
      <c r="BS151" s="2426"/>
      <c r="BT151" s="2385"/>
      <c r="BU151" s="2504"/>
      <c r="BV151" s="2502"/>
      <c r="BW151" s="2503"/>
      <c r="BX151" s="2207"/>
      <c r="BY151" s="2208"/>
      <c r="BZ151" s="2208"/>
      <c r="CA151" s="2208"/>
      <c r="CB151" s="2213"/>
      <c r="CH151" s="14"/>
      <c r="CI151" s="14"/>
    </row>
    <row r="152" spans="2:152" ht="39.950000000000003" customHeight="1" thickTop="1">
      <c r="E152" s="2080"/>
      <c r="F152" s="2080"/>
      <c r="G152" s="2080"/>
      <c r="H152" s="21"/>
      <c r="J152" s="24"/>
      <c r="AJ152" s="14"/>
      <c r="AK152" s="14"/>
      <c r="AL152" s="14"/>
      <c r="AT152" s="93"/>
      <c r="AU152" s="24"/>
      <c r="AV152" s="24"/>
      <c r="AW152" s="24"/>
      <c r="AX152" s="22"/>
      <c r="BI152" s="268"/>
      <c r="BJ152" s="268"/>
      <c r="BK152" s="268"/>
      <c r="CE152" s="95"/>
      <c r="CG152" s="14"/>
      <c r="CH152" s="14"/>
      <c r="CI152" s="14"/>
    </row>
    <row r="153" spans="2:152" ht="39.950000000000003" customHeight="1">
      <c r="E153" s="2080"/>
      <c r="F153" s="2080"/>
      <c r="G153" s="2080"/>
      <c r="H153" s="21"/>
      <c r="AJ153" s="14"/>
      <c r="AK153" s="14"/>
      <c r="AL153" s="14"/>
      <c r="AT153" s="93"/>
      <c r="AU153" s="24"/>
      <c r="AV153" s="24"/>
      <c r="AW153" s="24"/>
      <c r="AX153" s="22"/>
      <c r="BI153" s="268"/>
      <c r="BJ153" s="268"/>
      <c r="BK153" s="268"/>
      <c r="CE153" s="95"/>
      <c r="CG153" s="14"/>
      <c r="CH153" s="14"/>
      <c r="CI153" s="14"/>
    </row>
    <row r="154" spans="2:152" ht="39.950000000000003" customHeight="1" thickBot="1">
      <c r="CH154" s="14"/>
      <c r="CI154" s="14"/>
    </row>
    <row r="155" spans="2:152" ht="49.5" customHeight="1" thickTop="1">
      <c r="B155" s="2467" t="s">
        <v>4843</v>
      </c>
      <c r="C155" s="2326"/>
      <c r="D155" s="2326"/>
      <c r="E155" s="2326"/>
      <c r="F155" s="2326"/>
      <c r="G155" s="2326"/>
      <c r="H155" s="2326"/>
      <c r="I155" s="2326"/>
      <c r="J155" s="2326"/>
      <c r="K155" s="2326"/>
      <c r="L155" s="2326"/>
      <c r="M155" s="2326"/>
      <c r="N155" s="2326"/>
      <c r="O155" s="2326"/>
      <c r="P155" s="2326"/>
      <c r="Q155" s="2326"/>
      <c r="R155" s="2326"/>
      <c r="S155" s="2326"/>
      <c r="T155" s="2327"/>
      <c r="U155" s="2386" t="s">
        <v>5370</v>
      </c>
      <c r="V155" s="2435"/>
      <c r="W155" s="2338" t="s">
        <v>4845</v>
      </c>
      <c r="X155" s="2339"/>
      <c r="Y155" s="2445" t="s">
        <v>4844</v>
      </c>
      <c r="Z155" s="2354"/>
      <c r="AA155" s="2355"/>
      <c r="AB155" s="2353" t="s">
        <v>533</v>
      </c>
      <c r="AC155" s="2354"/>
      <c r="AD155" s="2355"/>
      <c r="AE155" s="2338" t="s">
        <v>5403</v>
      </c>
      <c r="AF155" s="2338"/>
      <c r="AG155" s="2339"/>
      <c r="AH155" s="2450" t="s">
        <v>5514</v>
      </c>
      <c r="AI155" s="2451"/>
      <c r="AJ155" s="2462" t="s">
        <v>8534</v>
      </c>
      <c r="AK155" s="2462"/>
      <c r="AL155" s="2463"/>
      <c r="AM155" s="2325" t="s">
        <v>8799</v>
      </c>
      <c r="AN155" s="2326"/>
      <c r="AO155" s="2326"/>
      <c r="AP155" s="2327"/>
      <c r="AQ155" s="2342" t="s">
        <v>8830</v>
      </c>
      <c r="AR155" s="2255"/>
      <c r="AS155" s="2255" t="s">
        <v>8831</v>
      </c>
      <c r="AT155" s="2255"/>
      <c r="AU155" s="2255" t="s">
        <v>8832</v>
      </c>
      <c r="AV155" s="2255"/>
      <c r="AW155" s="2255" t="s">
        <v>8677</v>
      </c>
      <c r="AX155" s="2477"/>
      <c r="AY155" s="2255" t="s">
        <v>4546</v>
      </c>
      <c r="AZ155" s="2315"/>
      <c r="BA155" s="2342" t="s">
        <v>5222</v>
      </c>
      <c r="BB155" s="2474"/>
      <c r="BC155" s="2255"/>
      <c r="BD155" s="2260" t="s">
        <v>5515</v>
      </c>
      <c r="BE155" s="2261"/>
      <c r="BF155" s="2475" t="s">
        <v>5585</v>
      </c>
      <c r="BG155" s="2386" t="s">
        <v>5371</v>
      </c>
      <c r="BH155" s="2338"/>
      <c r="BI155" s="2338"/>
      <c r="BJ155" s="2338"/>
      <c r="BK155" s="2338"/>
      <c r="BL155" s="2451" t="s">
        <v>5430</v>
      </c>
      <c r="BM155" s="2451"/>
      <c r="BN155" s="2451"/>
      <c r="BO155" s="2451"/>
      <c r="BP155" s="2451" t="s">
        <v>5431</v>
      </c>
      <c r="BQ155" s="2451"/>
      <c r="BR155" s="2451"/>
      <c r="BS155" s="2479"/>
      <c r="BT155" s="2342" t="s">
        <v>5404</v>
      </c>
      <c r="BU155" s="2255"/>
      <c r="BV155" s="2255"/>
      <c r="BW155" s="2315"/>
      <c r="BX155" s="2467" t="s">
        <v>451</v>
      </c>
      <c r="BY155" s="2326"/>
      <c r="BZ155" s="2326"/>
      <c r="CA155" s="2326"/>
      <c r="CB155" s="2327"/>
      <c r="CH155" s="14"/>
      <c r="CI155" s="14"/>
      <c r="CJ155" s="104"/>
      <c r="CK155" s="18"/>
      <c r="CL155" s="18"/>
      <c r="CM155" s="103"/>
      <c r="CN155" s="103"/>
      <c r="CO155" s="103"/>
      <c r="CP155" s="103"/>
      <c r="CQ155" s="103"/>
      <c r="CR155" s="103"/>
      <c r="CS155" s="103"/>
      <c r="CT155" s="103"/>
      <c r="CU155" s="103"/>
      <c r="CV155" s="103"/>
      <c r="CW155" s="103"/>
      <c r="CX155" s="44"/>
      <c r="CY155" s="44"/>
      <c r="CZ155" s="44"/>
      <c r="DA155" s="103"/>
      <c r="DB155" s="103"/>
      <c r="DC155" s="103"/>
      <c r="DD155" s="103"/>
      <c r="DE155" s="103"/>
    </row>
    <row r="156" spans="2:152" ht="49.5" customHeight="1" thickBot="1">
      <c r="B156" s="2468"/>
      <c r="C156" s="2329"/>
      <c r="D156" s="2329"/>
      <c r="E156" s="2329"/>
      <c r="F156" s="2329"/>
      <c r="G156" s="2329"/>
      <c r="H156" s="2329"/>
      <c r="I156" s="2329"/>
      <c r="J156" s="2329"/>
      <c r="K156" s="2329"/>
      <c r="L156" s="2329"/>
      <c r="M156" s="2329"/>
      <c r="N156" s="2329"/>
      <c r="O156" s="2329"/>
      <c r="P156" s="2329"/>
      <c r="Q156" s="2329"/>
      <c r="R156" s="2329"/>
      <c r="S156" s="2329"/>
      <c r="T156" s="2330"/>
      <c r="U156" s="2387"/>
      <c r="V156" s="2436"/>
      <c r="W156" s="2340"/>
      <c r="X156" s="2341"/>
      <c r="Y156" s="2446"/>
      <c r="Z156" s="2357"/>
      <c r="AA156" s="2358"/>
      <c r="AB156" s="2356"/>
      <c r="AC156" s="2357"/>
      <c r="AD156" s="2358"/>
      <c r="AE156" s="2340"/>
      <c r="AF156" s="2340"/>
      <c r="AG156" s="2341"/>
      <c r="AH156" s="2452"/>
      <c r="AI156" s="2453"/>
      <c r="AJ156" s="2464"/>
      <c r="AK156" s="2464"/>
      <c r="AL156" s="2465"/>
      <c r="AM156" s="2328"/>
      <c r="AN156" s="2329"/>
      <c r="AO156" s="2329"/>
      <c r="AP156" s="2330"/>
      <c r="AQ156" s="2343"/>
      <c r="AR156" s="2256"/>
      <c r="AS156" s="2256"/>
      <c r="AT156" s="2256"/>
      <c r="AU156" s="2256"/>
      <c r="AV156" s="2256"/>
      <c r="AW156" s="2256"/>
      <c r="AX156" s="2478"/>
      <c r="AY156" s="2256"/>
      <c r="AZ156" s="2316"/>
      <c r="BA156" s="2505" t="s">
        <v>5217</v>
      </c>
      <c r="BB156" s="2506"/>
      <c r="BC156" s="2473"/>
      <c r="BD156" s="2262"/>
      <c r="BE156" s="2263"/>
      <c r="BF156" s="2476"/>
      <c r="BG156" s="2387"/>
      <c r="BH156" s="2340"/>
      <c r="BI156" s="2340"/>
      <c r="BJ156" s="2340"/>
      <c r="BK156" s="2340"/>
      <c r="BL156" s="2453"/>
      <c r="BM156" s="2453"/>
      <c r="BN156" s="2453"/>
      <c r="BO156" s="2453"/>
      <c r="BP156" s="2453"/>
      <c r="BQ156" s="2453"/>
      <c r="BR156" s="2453"/>
      <c r="BS156" s="2480"/>
      <c r="BT156" s="1965" t="s">
        <v>5276</v>
      </c>
      <c r="BU156" s="1966" t="s">
        <v>5224</v>
      </c>
      <c r="BV156" s="1966" t="s">
        <v>8833</v>
      </c>
      <c r="BW156" s="1967" t="s">
        <v>5215</v>
      </c>
      <c r="BX156" s="2468"/>
      <c r="BY156" s="2329"/>
      <c r="BZ156" s="2329"/>
      <c r="CA156" s="2329"/>
      <c r="CB156" s="2330"/>
      <c r="CH156" s="14"/>
      <c r="CI156" s="14"/>
      <c r="CJ156" s="18"/>
      <c r="CK156" s="18"/>
      <c r="CL156" s="103"/>
      <c r="CM156" s="103"/>
      <c r="CN156" s="103"/>
      <c r="CO156" s="103"/>
      <c r="CP156" s="103"/>
      <c r="CQ156" s="103"/>
      <c r="CR156" s="103"/>
      <c r="CS156" s="103"/>
      <c r="CT156" s="103"/>
      <c r="CU156" s="103"/>
      <c r="CV156" s="103"/>
      <c r="CW156" s="44"/>
      <c r="CX156" s="44"/>
      <c r="CY156" s="44"/>
      <c r="CZ156" s="103"/>
      <c r="DA156" s="103"/>
      <c r="DB156" s="103"/>
      <c r="DC156" s="103"/>
      <c r="DD156" s="103"/>
      <c r="DE156" s="103"/>
    </row>
    <row r="157" spans="2:152" ht="49.5" customHeight="1" thickTop="1">
      <c r="AJ157" s="14"/>
      <c r="AK157" s="14"/>
      <c r="AL157" s="14"/>
      <c r="CH157" s="14"/>
      <c r="CI157" s="14"/>
      <c r="CJ157" s="18"/>
      <c r="CK157" s="18"/>
      <c r="CL157" s="103"/>
      <c r="CM157" s="103"/>
      <c r="CN157" s="103"/>
      <c r="CO157" s="103"/>
      <c r="CP157" s="103"/>
      <c r="CQ157" s="103"/>
      <c r="CR157" s="103"/>
      <c r="CS157" s="103"/>
      <c r="CT157" s="103"/>
      <c r="CU157" s="103"/>
      <c r="CV157" s="103"/>
      <c r="CW157" s="44"/>
      <c r="CX157" s="44"/>
      <c r="CY157" s="44"/>
      <c r="CZ157" s="103"/>
      <c r="DA157" s="103"/>
      <c r="DB157" s="103"/>
      <c r="DC157" s="103"/>
      <c r="DD157" s="103"/>
      <c r="DE157" s="103"/>
    </row>
    <row r="158" spans="2:152" ht="32.1" customHeight="1">
      <c r="B158" s="112"/>
      <c r="C158" s="113"/>
      <c r="D158" s="2132"/>
      <c r="E158" s="2133"/>
      <c r="F158" s="2283"/>
      <c r="G158" s="2284"/>
      <c r="H158" s="2284"/>
      <c r="I158" s="2485" t="e">
        <f>VLOOKUP(F158,実績!$B$5:$CV$1474,2,0)</f>
        <v>#N/A</v>
      </c>
      <c r="J158" s="2485"/>
      <c r="K158" s="2485"/>
      <c r="L158" s="2485"/>
      <c r="M158" s="2485"/>
      <c r="N158" s="2485"/>
      <c r="O158" s="2485"/>
      <c r="P158" s="2485"/>
      <c r="Q158" s="2485"/>
      <c r="R158" s="2485"/>
      <c r="S158" s="2485"/>
      <c r="T158" s="2486"/>
      <c r="U158" s="2176" t="e">
        <f>VLOOKUP(I158,実績!$C$5:$CV$1474,3,0)</f>
        <v>#N/A</v>
      </c>
      <c r="V158" s="2177"/>
      <c r="W158" s="2107" t="e">
        <f>VLOOKUP(I158,実績!$C$5:$CV$1474,2,0)</f>
        <v>#N/A</v>
      </c>
      <c r="X158" s="2108"/>
      <c r="Y158" s="2176" t="e">
        <f>VLOOKUP(I158,実績!$C$5:$CV$1474,4,FALSE)</f>
        <v>#N/A</v>
      </c>
      <c r="Z158" s="2190"/>
      <c r="AA158" s="2177"/>
      <c r="AB158" s="2107" t="e">
        <f>VLOOKUP(I158,実績!$C$5:$CV$1474,9,0)</f>
        <v>#N/A</v>
      </c>
      <c r="AC158" s="2190"/>
      <c r="AD158" s="2177"/>
      <c r="AE158" s="2170" t="e">
        <f>ROUND(VLOOKUP(I158,実績!$C$5:$CV$1474,42,0),-1)</f>
        <v>#N/A</v>
      </c>
      <c r="AF158" s="2171"/>
      <c r="AG158" s="2172"/>
      <c r="AH158" s="2176" t="e">
        <f>VLOOKUP(I158,実績!$C$5:$CV$1474,50,0)</f>
        <v>#N/A</v>
      </c>
      <c r="AI158" s="2177"/>
      <c r="AJ158" s="2140" t="e">
        <f>VLOOKUP(I158,実績!$C$5:$CV$1474,60,0)</f>
        <v>#N/A</v>
      </c>
      <c r="AK158" s="2141"/>
      <c r="AL158" s="2142"/>
      <c r="AM158" s="2146" t="e">
        <f>VLOOKUP(I158,実績!$C$5:$CV$1474,61,0)</f>
        <v>#N/A</v>
      </c>
      <c r="AN158" s="2147"/>
      <c r="AO158" s="2147"/>
      <c r="AP158" s="2148"/>
      <c r="AQ158" s="2149" t="e">
        <f>VLOOKUP(I158,実績!$C$5:$CV$1474,37,0)</f>
        <v>#N/A</v>
      </c>
      <c r="AR158" s="2122"/>
      <c r="AS158" s="2118" t="e">
        <f>VLOOKUP(I158,実績!$C$5:$CV$1474,38,0)</f>
        <v>#N/A</v>
      </c>
      <c r="AT158" s="2122"/>
      <c r="AU158" s="2118" t="e">
        <f>VLOOKUP(I158,実績!$C$5:$CV$1474,39,0)</f>
        <v>#N/A</v>
      </c>
      <c r="AV158" s="2122"/>
      <c r="AW158" s="2118" t="e">
        <f>VLOOKUP(I158,実績!$C$5:$CV$1474,40,0)</f>
        <v>#N/A</v>
      </c>
      <c r="AX158" s="2122"/>
      <c r="AY158" s="2118" t="e">
        <f>VLOOKUP(I158,実績!$C$5:$CV$1474,41,0)</f>
        <v>#N/A</v>
      </c>
      <c r="AZ158" s="2119"/>
      <c r="BA158" s="2084" t="e">
        <f>VLOOKUP(I158,実績!$C$5:$CV$1474,44,0)</f>
        <v>#N/A</v>
      </c>
      <c r="BB158" s="2085"/>
      <c r="BC158" s="2086"/>
      <c r="BD158" s="2196"/>
      <c r="BE158" s="2197"/>
      <c r="BF158" s="2130"/>
      <c r="BG158" s="2093"/>
      <c r="BH158" s="2094"/>
      <c r="BI158" s="2094"/>
      <c r="BJ158" s="2094"/>
      <c r="BK158" s="2095"/>
      <c r="BL158" s="2099"/>
      <c r="BM158" s="2100"/>
      <c r="BN158" s="2100"/>
      <c r="BO158" s="2101"/>
      <c r="BP158" s="2099"/>
      <c r="BQ158" s="2100"/>
      <c r="BR158" s="2100"/>
      <c r="BS158" s="2102"/>
      <c r="BT158" s="2103" t="e">
        <f>ROUND(VLOOKUP(I158,実績!$C$5:$CV$1474,59,0),1)</f>
        <v>#N/A</v>
      </c>
      <c r="BU158" s="2105" t="e">
        <f>VLOOKUP(I158,実績!$C$5:$CV$1474,67,0)</f>
        <v>#N/A</v>
      </c>
      <c r="BV158" s="2136" t="e">
        <f>VLOOKUP(I158,実績!$C$5:$CV$1474,68,0)</f>
        <v>#N/A</v>
      </c>
      <c r="BW158" s="2138" t="e">
        <f>VLOOKUP(I158,実績!$C$5:$CV$1474,69,0)</f>
        <v>#N/A</v>
      </c>
      <c r="BX158" s="2093" t="e">
        <f>VLOOKUP(I158,実績!$C$5:$CV$1474,75,0)</f>
        <v>#N/A</v>
      </c>
      <c r="BY158" s="2094"/>
      <c r="BZ158" s="2094"/>
      <c r="CA158" s="2094"/>
      <c r="CB158" s="2180"/>
      <c r="CD158" s="1968">
        <f>F158</f>
        <v>0</v>
      </c>
      <c r="CE158" s="1968" t="e">
        <f>I158</f>
        <v>#N/A</v>
      </c>
      <c r="CF158" s="96">
        <f>BD158</f>
        <v>0</v>
      </c>
      <c r="CG158" s="96">
        <f>BF158</f>
        <v>0</v>
      </c>
      <c r="CH158" s="14"/>
      <c r="CI158" s="14"/>
      <c r="CJ158" s="104"/>
      <c r="CK158" s="18"/>
      <c r="CL158" s="18"/>
      <c r="CM158" s="103"/>
      <c r="CN158" s="103"/>
      <c r="CO158" s="103"/>
      <c r="CP158" s="103"/>
      <c r="CQ158" s="103"/>
      <c r="CR158" s="103"/>
      <c r="CS158" s="103"/>
      <c r="CT158" s="103"/>
      <c r="CU158" s="103"/>
      <c r="CV158" s="103"/>
      <c r="CW158" s="103"/>
      <c r="CX158" s="44"/>
      <c r="CY158" s="44"/>
      <c r="CZ158" s="44"/>
      <c r="DA158" s="103"/>
      <c r="DB158" s="103"/>
      <c r="DC158" s="103"/>
      <c r="DD158" s="103"/>
      <c r="DE158" s="103"/>
    </row>
    <row r="159" spans="2:152" ht="32.1" customHeight="1">
      <c r="B159" s="114"/>
      <c r="C159" s="115"/>
      <c r="D159" s="2134"/>
      <c r="E159" s="2135"/>
      <c r="F159" s="2184" t="e">
        <f>"("&amp;SUBSTITUTE(VLOOKUP(F158,実績!$B$5:$CV$1474,17,0),"株式会社","")&amp;","&amp;SUBSTITUTE(VLOOKUP(F158,実績!$B$5:$CV$1474,22,0),"株式会社","")&amp;")"</f>
        <v>#N/A</v>
      </c>
      <c r="G159" s="2185"/>
      <c r="H159" s="2185"/>
      <c r="I159" s="2185"/>
      <c r="J159" s="2185"/>
      <c r="K159" s="2185"/>
      <c r="L159" s="2185"/>
      <c r="M159" s="2185"/>
      <c r="N159" s="2185"/>
      <c r="O159" s="2185"/>
      <c r="P159" s="2185"/>
      <c r="Q159" s="2185"/>
      <c r="R159" s="2185"/>
      <c r="S159" s="2185"/>
      <c r="T159" s="2186"/>
      <c r="U159" s="2178"/>
      <c r="V159" s="2179"/>
      <c r="W159" s="2109"/>
      <c r="X159" s="2110"/>
      <c r="Y159" s="2178" t="e">
        <f>VLOOKUP(I158,実績!$C$5:$CV$1474,5,0)</f>
        <v>#N/A</v>
      </c>
      <c r="Z159" s="2187"/>
      <c r="AA159" s="2179"/>
      <c r="AB159" s="2109"/>
      <c r="AC159" s="2187"/>
      <c r="AD159" s="2179"/>
      <c r="AE159" s="2173"/>
      <c r="AF159" s="2174"/>
      <c r="AG159" s="2175"/>
      <c r="AH159" s="2178"/>
      <c r="AI159" s="2179"/>
      <c r="AJ159" s="2143"/>
      <c r="AK159" s="2144"/>
      <c r="AL159" s="2145"/>
      <c r="AM159" s="2146" t="e">
        <f>VLOOKUP(I158,実績!$C$5:$CV$1474,62,0)</f>
        <v>#N/A</v>
      </c>
      <c r="AN159" s="2147"/>
      <c r="AO159" s="2147"/>
      <c r="AP159" s="2148"/>
      <c r="AQ159" s="2150"/>
      <c r="AR159" s="2124"/>
      <c r="AS159" s="2123"/>
      <c r="AT159" s="2124"/>
      <c r="AU159" s="2123"/>
      <c r="AV159" s="2124"/>
      <c r="AW159" s="2123"/>
      <c r="AX159" s="2124"/>
      <c r="AY159" s="2123"/>
      <c r="AZ159" s="2151"/>
      <c r="BA159" s="2084" t="e">
        <f>VLOOKUP(I158,実績!$C$5:$CV$1474,46,0)</f>
        <v>#N/A</v>
      </c>
      <c r="BB159" s="2085"/>
      <c r="BC159" s="2086"/>
      <c r="BD159" s="2198"/>
      <c r="BE159" s="2199"/>
      <c r="BF159" s="2131"/>
      <c r="BG159" s="2096"/>
      <c r="BH159" s="2097"/>
      <c r="BI159" s="2097"/>
      <c r="BJ159" s="2097"/>
      <c r="BK159" s="2098"/>
      <c r="BL159" s="2099"/>
      <c r="BM159" s="2100"/>
      <c r="BN159" s="2100"/>
      <c r="BO159" s="2101"/>
      <c r="BP159" s="2099"/>
      <c r="BQ159" s="2100"/>
      <c r="BR159" s="2100"/>
      <c r="BS159" s="2102"/>
      <c r="BT159" s="2104"/>
      <c r="BU159" s="2106"/>
      <c r="BV159" s="2188"/>
      <c r="BW159" s="2139"/>
      <c r="BX159" s="2096"/>
      <c r="BY159" s="2097"/>
      <c r="BZ159" s="2097"/>
      <c r="CA159" s="2097"/>
      <c r="CB159" s="2189"/>
      <c r="CH159" s="14"/>
      <c r="CI159" s="14"/>
      <c r="CJ159" s="104"/>
      <c r="CK159" s="18"/>
      <c r="CL159" s="18"/>
      <c r="CM159" s="103"/>
      <c r="CN159" s="103"/>
      <c r="CO159" s="103"/>
      <c r="CP159" s="103"/>
      <c r="CQ159" s="103"/>
      <c r="CR159" s="103"/>
      <c r="CS159" s="103"/>
      <c r="CT159" s="103"/>
      <c r="CU159" s="103"/>
      <c r="CV159" s="103"/>
      <c r="CW159" s="103"/>
      <c r="CX159" s="44"/>
      <c r="CY159" s="44"/>
      <c r="CZ159" s="44"/>
      <c r="DA159" s="103"/>
      <c r="DB159" s="103"/>
      <c r="DC159" s="103"/>
      <c r="DD159" s="103"/>
      <c r="DE159" s="103"/>
    </row>
    <row r="160" spans="2:152" ht="36" customHeight="1"/>
    <row r="161" spans="82:87" ht="36" customHeight="1">
      <c r="CD161" s="95"/>
      <c r="CE161" s="95"/>
      <c r="CF161" s="43"/>
      <c r="CG161" s="43"/>
      <c r="CH161" s="14"/>
      <c r="CI161" s="14"/>
    </row>
    <row r="162" spans="82:87" ht="36" customHeight="1">
      <c r="CD162" s="95"/>
      <c r="CE162" s="95"/>
      <c r="CF162" s="43"/>
      <c r="CG162" s="43"/>
      <c r="CH162" s="14"/>
      <c r="CI162" s="14"/>
    </row>
    <row r="163" spans="82:87" ht="36" customHeight="1">
      <c r="CD163" s="95"/>
      <c r="CE163" s="95"/>
      <c r="CF163" s="43"/>
      <c r="CG163" s="43"/>
      <c r="CH163" s="14"/>
      <c r="CI163" s="14"/>
    </row>
    <row r="164" spans="82:87" ht="36" customHeight="1">
      <c r="CD164" s="95"/>
      <c r="CE164" s="95"/>
      <c r="CF164" s="43"/>
      <c r="CG164" s="43"/>
      <c r="CH164" s="14"/>
      <c r="CI164" s="14"/>
    </row>
    <row r="165" spans="82:87" ht="36" customHeight="1">
      <c r="CD165" s="95"/>
      <c r="CE165" s="95"/>
      <c r="CF165" s="43"/>
      <c r="CG165" s="43"/>
      <c r="CH165" s="14"/>
      <c r="CI165" s="14"/>
    </row>
    <row r="166" spans="82:87" ht="36" customHeight="1"/>
    <row r="167" spans="82:87" ht="36" customHeight="1"/>
    <row r="168" spans="82:87" ht="36" customHeight="1"/>
    <row r="169" spans="82:87" ht="36" customHeight="1"/>
  </sheetData>
  <mergeCells count="2452">
    <mergeCell ref="BX85:CB86"/>
    <mergeCell ref="F86:T86"/>
    <mergeCell ref="Y86:AA86"/>
    <mergeCell ref="AM86:AP86"/>
    <mergeCell ref="BA86:BC86"/>
    <mergeCell ref="BL86:BM86"/>
    <mergeCell ref="BN86:BO86"/>
    <mergeCell ref="BP86:BQ86"/>
    <mergeCell ref="BR86:BS86"/>
    <mergeCell ref="D83:E84"/>
    <mergeCell ref="BX105:CB106"/>
    <mergeCell ref="F83:H83"/>
    <mergeCell ref="I83:T83"/>
    <mergeCell ref="U83:V84"/>
    <mergeCell ref="BA85:BC85"/>
    <mergeCell ref="AJ83:AL84"/>
    <mergeCell ref="AM83:AP83"/>
    <mergeCell ref="AQ83:AR84"/>
    <mergeCell ref="AS83:AT84"/>
    <mergeCell ref="AU83:AV84"/>
    <mergeCell ref="AW83:AX84"/>
    <mergeCell ref="AY83:AZ84"/>
    <mergeCell ref="C42:C67"/>
    <mergeCell ref="B17:B67"/>
    <mergeCell ref="E146:G146"/>
    <mergeCell ref="BA120:BC120"/>
    <mergeCell ref="BW117:BW118"/>
    <mergeCell ref="BX117:CB118"/>
    <mergeCell ref="BU109:BU110"/>
    <mergeCell ref="BV109:BV110"/>
    <mergeCell ref="BW83:BW84"/>
    <mergeCell ref="BX83:CB84"/>
    <mergeCell ref="F84:T84"/>
    <mergeCell ref="Y84:AA84"/>
    <mergeCell ref="AM84:AP84"/>
    <mergeCell ref="BA84:BC84"/>
    <mergeCell ref="BL84:BM84"/>
    <mergeCell ref="BN84:BO84"/>
    <mergeCell ref="BP84:BQ84"/>
    <mergeCell ref="BR84:BS84"/>
    <mergeCell ref="BU85:BU86"/>
    <mergeCell ref="BV85:BV86"/>
    <mergeCell ref="BW85:BW86"/>
    <mergeCell ref="BR85:BS85"/>
    <mergeCell ref="BT85:BT86"/>
    <mergeCell ref="BG85:BK86"/>
    <mergeCell ref="Y85:AA85"/>
    <mergeCell ref="D126:E127"/>
    <mergeCell ref="F106:T106"/>
    <mergeCell ref="Y106:AA106"/>
    <mergeCell ref="AM106:AP106"/>
    <mergeCell ref="BA106:BC106"/>
    <mergeCell ref="BL106:BM106"/>
    <mergeCell ref="BN106:BO106"/>
    <mergeCell ref="BP106:BQ106"/>
    <mergeCell ref="BR106:BS106"/>
    <mergeCell ref="BT105:BT106"/>
    <mergeCell ref="BU105:BU106"/>
    <mergeCell ref="BV105:BV106"/>
    <mergeCell ref="BW105:BW106"/>
    <mergeCell ref="D85:E86"/>
    <mergeCell ref="F85:H85"/>
    <mergeCell ref="I85:T85"/>
    <mergeCell ref="U85:V86"/>
    <mergeCell ref="W85:X86"/>
    <mergeCell ref="AB126:AD127"/>
    <mergeCell ref="BL83:BM83"/>
    <mergeCell ref="BN83:BO83"/>
    <mergeCell ref="BP83:BQ83"/>
    <mergeCell ref="BR83:BS83"/>
    <mergeCell ref="BD85:BE86"/>
    <mergeCell ref="AH83:AI84"/>
    <mergeCell ref="BA83:BC83"/>
    <mergeCell ref="BW89:BW90"/>
    <mergeCell ref="BP127:BQ127"/>
    <mergeCell ref="D130:E131"/>
    <mergeCell ref="F130:H130"/>
    <mergeCell ref="I130:T130"/>
    <mergeCell ref="U130:V131"/>
    <mergeCell ref="W130:X131"/>
    <mergeCell ref="Y130:AA130"/>
    <mergeCell ref="AB130:AD131"/>
    <mergeCell ref="AE130:AG131"/>
    <mergeCell ref="AH130:AI131"/>
    <mergeCell ref="AJ130:AL131"/>
    <mergeCell ref="AM130:AP130"/>
    <mergeCell ref="AQ130:AR131"/>
    <mergeCell ref="AS130:AT131"/>
    <mergeCell ref="BA126:BC126"/>
    <mergeCell ref="D105:E106"/>
    <mergeCell ref="F105:H105"/>
    <mergeCell ref="I105:T105"/>
    <mergeCell ref="U105:V106"/>
    <mergeCell ref="W105:X106"/>
    <mergeCell ref="Y105:AA105"/>
    <mergeCell ref="BL105:BM105"/>
    <mergeCell ref="BN105:BO105"/>
    <mergeCell ref="F93:H93"/>
    <mergeCell ref="U95:V96"/>
    <mergeCell ref="W99:X100"/>
    <mergeCell ref="F127:T127"/>
    <mergeCell ref="Y127:AA127"/>
    <mergeCell ref="AM127:AP127"/>
    <mergeCell ref="BL127:BM127"/>
    <mergeCell ref="E142:G142"/>
    <mergeCell ref="C17:C40"/>
    <mergeCell ref="BP81:BS81"/>
    <mergeCell ref="BP82:BS82"/>
    <mergeCell ref="BF134:BF135"/>
    <mergeCell ref="AB105:AD106"/>
    <mergeCell ref="AE105:AG106"/>
    <mergeCell ref="AH105:AI106"/>
    <mergeCell ref="AJ105:AL106"/>
    <mergeCell ref="AM105:AP105"/>
    <mergeCell ref="AQ105:AR106"/>
    <mergeCell ref="AS105:AT106"/>
    <mergeCell ref="AU105:AV106"/>
    <mergeCell ref="AW105:AX106"/>
    <mergeCell ref="AY105:AZ106"/>
    <mergeCell ref="BA105:BC105"/>
    <mergeCell ref="BD105:BE106"/>
    <mergeCell ref="BF105:BF106"/>
    <mergeCell ref="BG105:BK106"/>
    <mergeCell ref="AM128:AP128"/>
    <mergeCell ref="F126:H126"/>
    <mergeCell ref="I126:T126"/>
    <mergeCell ref="U126:V127"/>
    <mergeCell ref="W126:X127"/>
    <mergeCell ref="Y126:AA126"/>
    <mergeCell ref="BL131:BM131"/>
    <mergeCell ref="BN131:BO131"/>
    <mergeCell ref="BP131:BQ131"/>
    <mergeCell ref="BR131:BS131"/>
    <mergeCell ref="BD87:BE88"/>
    <mergeCell ref="BF87:BF88"/>
    <mergeCell ref="BG87:BK88"/>
    <mergeCell ref="BL87:BM87"/>
    <mergeCell ref="BN87:BO87"/>
    <mergeCell ref="AU132:AV133"/>
    <mergeCell ref="BP126:BQ126"/>
    <mergeCell ref="AH99:AI100"/>
    <mergeCell ref="AM102:AP102"/>
    <mergeCell ref="AS102:AT103"/>
    <mergeCell ref="AM103:AP103"/>
    <mergeCell ref="BR126:BS126"/>
    <mergeCell ref="BT126:BT127"/>
    <mergeCell ref="BA128:BC128"/>
    <mergeCell ref="BR127:BS127"/>
    <mergeCell ref="BP105:BQ105"/>
    <mergeCell ref="BR105:BS105"/>
    <mergeCell ref="C122:C139"/>
    <mergeCell ref="B72:B100"/>
    <mergeCell ref="C72:C79"/>
    <mergeCell ref="D74:E75"/>
    <mergeCell ref="Y89:AA89"/>
    <mergeCell ref="AQ134:AR135"/>
    <mergeCell ref="AS134:AT135"/>
    <mergeCell ref="AH138:AI139"/>
    <mergeCell ref="AH97:AI98"/>
    <mergeCell ref="AH93:AI94"/>
    <mergeCell ref="BG93:BK94"/>
    <mergeCell ref="AY102:AZ103"/>
    <mergeCell ref="BG126:BK127"/>
    <mergeCell ref="W117:X118"/>
    <mergeCell ref="Y117:AA117"/>
    <mergeCell ref="AB117:AD118"/>
    <mergeCell ref="AE117:AG118"/>
    <mergeCell ref="AH117:AI118"/>
    <mergeCell ref="D138:E139"/>
    <mergeCell ref="AE128:AG129"/>
    <mergeCell ref="AH128:AI129"/>
    <mergeCell ref="AU126:AV127"/>
    <mergeCell ref="AJ128:AL129"/>
    <mergeCell ref="U138:V139"/>
    <mergeCell ref="W138:X139"/>
    <mergeCell ref="BF85:BF86"/>
    <mergeCell ref="AW138:AX139"/>
    <mergeCell ref="AQ138:AR139"/>
    <mergeCell ref="AH134:AI135"/>
    <mergeCell ref="AJ138:AL139"/>
    <mergeCell ref="AM138:AP138"/>
    <mergeCell ref="F131:T131"/>
    <mergeCell ref="AS117:AT118"/>
    <mergeCell ref="AU117:AV118"/>
    <mergeCell ref="AW117:AX118"/>
    <mergeCell ref="AM131:AP131"/>
    <mergeCell ref="AS126:AT127"/>
    <mergeCell ref="AE119:AG120"/>
    <mergeCell ref="Y125:AA125"/>
    <mergeCell ref="AM118:AP118"/>
    <mergeCell ref="BW138:BW139"/>
    <mergeCell ref="AS128:AT129"/>
    <mergeCell ref="AU128:AV129"/>
    <mergeCell ref="AW128:AX129"/>
    <mergeCell ref="AM139:AP139"/>
    <mergeCell ref="BA129:BC129"/>
    <mergeCell ref="BU138:BU139"/>
    <mergeCell ref="BG134:BK135"/>
    <mergeCell ref="BL129:BM129"/>
    <mergeCell ref="BW136:BW137"/>
    <mergeCell ref="BR136:BS136"/>
    <mergeCell ref="BD130:BE131"/>
    <mergeCell ref="BF130:BF131"/>
    <mergeCell ref="BG130:BK131"/>
    <mergeCell ref="BL130:BM130"/>
    <mergeCell ref="BN130:BO130"/>
    <mergeCell ref="BP130:BQ130"/>
    <mergeCell ref="BR130:BS130"/>
    <mergeCell ref="BN127:BO127"/>
    <mergeCell ref="BU134:BU135"/>
    <mergeCell ref="BV134:BV135"/>
    <mergeCell ref="BV130:BV131"/>
    <mergeCell ref="BW130:BW131"/>
    <mergeCell ref="Y131:AA131"/>
    <mergeCell ref="Y118:AA118"/>
    <mergeCell ref="AJ113:AL114"/>
    <mergeCell ref="AQ109:AR110"/>
    <mergeCell ref="AS109:AT110"/>
    <mergeCell ref="BR132:BS132"/>
    <mergeCell ref="AE99:AG100"/>
    <mergeCell ref="BW134:BW135"/>
    <mergeCell ref="BU126:BU127"/>
    <mergeCell ref="BT138:BT139"/>
    <mergeCell ref="BL134:BM134"/>
    <mergeCell ref="AJ134:AL135"/>
    <mergeCell ref="AM134:AP134"/>
    <mergeCell ref="AW130:AX131"/>
    <mergeCell ref="AY130:AZ131"/>
    <mergeCell ref="BA130:BC130"/>
    <mergeCell ref="AE138:AG139"/>
    <mergeCell ref="AY99:AZ100"/>
    <mergeCell ref="AY113:AZ114"/>
    <mergeCell ref="AQ99:AR100"/>
    <mergeCell ref="BL118:BM118"/>
    <mergeCell ref="BN118:BO118"/>
    <mergeCell ref="AJ99:AL100"/>
    <mergeCell ref="AM100:AP100"/>
    <mergeCell ref="AM113:AP113"/>
    <mergeCell ref="Y120:AA120"/>
    <mergeCell ref="AY119:AZ120"/>
    <mergeCell ref="AS138:AT139"/>
    <mergeCell ref="Y138:AA138"/>
    <mergeCell ref="AY117:AZ118"/>
    <mergeCell ref="AU134:AV135"/>
    <mergeCell ref="AW119:AX120"/>
    <mergeCell ref="AQ117:AR118"/>
    <mergeCell ref="BX134:CB135"/>
    <mergeCell ref="F135:T135"/>
    <mergeCell ref="Y135:AA135"/>
    <mergeCell ref="AM135:AP135"/>
    <mergeCell ref="BL135:BM135"/>
    <mergeCell ref="BN135:BO135"/>
    <mergeCell ref="BP135:BQ135"/>
    <mergeCell ref="BR135:BS135"/>
    <mergeCell ref="BT128:BT129"/>
    <mergeCell ref="BU128:BU129"/>
    <mergeCell ref="BV128:BV129"/>
    <mergeCell ref="BW128:BW129"/>
    <mergeCell ref="BN128:BO128"/>
    <mergeCell ref="BP128:BQ128"/>
    <mergeCell ref="F113:H113"/>
    <mergeCell ref="AQ113:AR114"/>
    <mergeCell ref="AS119:AT120"/>
    <mergeCell ref="F118:T118"/>
    <mergeCell ref="AM119:AP119"/>
    <mergeCell ref="BX126:CB127"/>
    <mergeCell ref="F120:T120"/>
    <mergeCell ref="I113:T113"/>
    <mergeCell ref="W119:X120"/>
    <mergeCell ref="BA131:BC131"/>
    <mergeCell ref="BP120:BQ120"/>
    <mergeCell ref="BX128:CB129"/>
    <mergeCell ref="BW126:BW127"/>
    <mergeCell ref="BV126:BV127"/>
    <mergeCell ref="BT119:BT120"/>
    <mergeCell ref="AW132:AX133"/>
    <mergeCell ref="AY132:AZ133"/>
    <mergeCell ref="Y129:AA129"/>
    <mergeCell ref="BR129:BS129"/>
    <mergeCell ref="BL111:BM111"/>
    <mergeCell ref="Y119:AA119"/>
    <mergeCell ref="Y100:AA100"/>
    <mergeCell ref="BD97:BE98"/>
    <mergeCell ref="BA127:BC127"/>
    <mergeCell ref="BA107:BC107"/>
    <mergeCell ref="BL100:BM100"/>
    <mergeCell ref="BA119:BC119"/>
    <mergeCell ref="AM129:AP129"/>
    <mergeCell ref="AQ126:AR127"/>
    <mergeCell ref="AH89:AI90"/>
    <mergeCell ref="AJ89:AL90"/>
    <mergeCell ref="AY89:AZ90"/>
    <mergeCell ref="BN85:BO85"/>
    <mergeCell ref="BP85:BQ85"/>
    <mergeCell ref="AB85:AD86"/>
    <mergeCell ref="AE85:AG86"/>
    <mergeCell ref="AH85:AI86"/>
    <mergeCell ref="AJ85:AL86"/>
    <mergeCell ref="BD126:BE127"/>
    <mergeCell ref="AJ117:AL118"/>
    <mergeCell ref="BF126:BF127"/>
    <mergeCell ref="BN114:BO114"/>
    <mergeCell ref="BP99:BQ99"/>
    <mergeCell ref="BA117:BC117"/>
    <mergeCell ref="BA118:BC118"/>
    <mergeCell ref="BG117:BK118"/>
    <mergeCell ref="BL117:BM117"/>
    <mergeCell ref="BF117:BF118"/>
    <mergeCell ref="BP113:BQ113"/>
    <mergeCell ref="BR97:BS97"/>
    <mergeCell ref="BX89:CB90"/>
    <mergeCell ref="F90:T90"/>
    <mergeCell ref="BT91:BT92"/>
    <mergeCell ref="BU91:BU92"/>
    <mergeCell ref="BV91:BV92"/>
    <mergeCell ref="BW91:BW92"/>
    <mergeCell ref="BT117:BT118"/>
    <mergeCell ref="BT102:BT103"/>
    <mergeCell ref="BR119:BS119"/>
    <mergeCell ref="AY107:AZ108"/>
    <mergeCell ref="AY97:AZ98"/>
    <mergeCell ref="AB119:AD120"/>
    <mergeCell ref="BN113:BO113"/>
    <mergeCell ref="BT111:BT112"/>
    <mergeCell ref="BX111:CB112"/>
    <mergeCell ref="BU107:BU108"/>
    <mergeCell ref="BV107:BV108"/>
    <mergeCell ref="BX99:CB100"/>
    <mergeCell ref="U107:V108"/>
    <mergeCell ref="W107:X108"/>
    <mergeCell ref="Y107:AA107"/>
    <mergeCell ref="Y113:AA113"/>
    <mergeCell ref="F114:T114"/>
    <mergeCell ref="BT113:BT114"/>
    <mergeCell ref="BT107:BT108"/>
    <mergeCell ref="BL108:BM108"/>
    <mergeCell ref="BX93:CB94"/>
    <mergeCell ref="Y90:AA90"/>
    <mergeCell ref="AM90:AP90"/>
    <mergeCell ref="BN92:BO92"/>
    <mergeCell ref="BD91:BE92"/>
    <mergeCell ref="BF91:BF92"/>
    <mergeCell ref="AQ119:AR120"/>
    <mergeCell ref="BL119:BM119"/>
    <mergeCell ref="BR120:BS120"/>
    <mergeCell ref="BP118:BQ118"/>
    <mergeCell ref="BR118:BS118"/>
    <mergeCell ref="BA111:BC111"/>
    <mergeCell ref="AW126:AX127"/>
    <mergeCell ref="AY126:AZ127"/>
    <mergeCell ref="AW102:AX103"/>
    <mergeCell ref="AU107:AV108"/>
    <mergeCell ref="AW107:AX108"/>
    <mergeCell ref="AS99:AT100"/>
    <mergeCell ref="AU99:AV100"/>
    <mergeCell ref="BG102:BK103"/>
    <mergeCell ref="BF102:BF103"/>
    <mergeCell ref="BF99:BF100"/>
    <mergeCell ref="BD102:BE103"/>
    <mergeCell ref="BG99:BK100"/>
    <mergeCell ref="BG119:BK120"/>
    <mergeCell ref="BP117:BQ117"/>
    <mergeCell ref="BR117:BS117"/>
    <mergeCell ref="BL113:BM113"/>
    <mergeCell ref="BA102:BC102"/>
    <mergeCell ref="BF111:BF112"/>
    <mergeCell ref="BF113:BF114"/>
    <mergeCell ref="BL120:BM120"/>
    <mergeCell ref="BL114:BM114"/>
    <mergeCell ref="AQ122:AR123"/>
    <mergeCell ref="AS122:AT123"/>
    <mergeCell ref="AU122:AV123"/>
    <mergeCell ref="BN120:BO120"/>
    <mergeCell ref="BN102:BO102"/>
    <mergeCell ref="BG76:BK77"/>
    <mergeCell ref="AJ70:AL71"/>
    <mergeCell ref="AJ74:AL75"/>
    <mergeCell ref="BL90:BM90"/>
    <mergeCell ref="BP91:BQ91"/>
    <mergeCell ref="AJ102:AL103"/>
    <mergeCell ref="BN81:BO81"/>
    <mergeCell ref="AW97:AX98"/>
    <mergeCell ref="AW89:AX90"/>
    <mergeCell ref="AJ93:AL94"/>
    <mergeCell ref="AU93:AV94"/>
    <mergeCell ref="AQ95:AR96"/>
    <mergeCell ref="BD74:BE75"/>
    <mergeCell ref="BA81:BC81"/>
    <mergeCell ref="BA91:BC91"/>
    <mergeCell ref="AS91:AT92"/>
    <mergeCell ref="BD95:BE96"/>
    <mergeCell ref="BA89:BC89"/>
    <mergeCell ref="AM97:AP97"/>
    <mergeCell ref="AM85:AP85"/>
    <mergeCell ref="AQ85:AR86"/>
    <mergeCell ref="AS85:AT86"/>
    <mergeCell ref="AU85:AV86"/>
    <mergeCell ref="AW85:AX86"/>
    <mergeCell ref="BL85:BM85"/>
    <mergeCell ref="BD83:BE84"/>
    <mergeCell ref="BF83:BF84"/>
    <mergeCell ref="BG83:BK84"/>
    <mergeCell ref="BL74:BM74"/>
    <mergeCell ref="BG97:BK98"/>
    <mergeCell ref="AS93:AT94"/>
    <mergeCell ref="BL98:BM98"/>
    <mergeCell ref="AQ54:AR55"/>
    <mergeCell ref="BD50:BE51"/>
    <mergeCell ref="AS8:AT9"/>
    <mergeCell ref="Y96:AA96"/>
    <mergeCell ref="Y78:AA78"/>
    <mergeCell ref="BF52:BF53"/>
    <mergeCell ref="BF64:BF65"/>
    <mergeCell ref="BL58:BM58"/>
    <mergeCell ref="BL94:BM94"/>
    <mergeCell ref="AS39:AT40"/>
    <mergeCell ref="AS48:AT49"/>
    <mergeCell ref="AQ48:AR49"/>
    <mergeCell ref="AQ39:AR40"/>
    <mergeCell ref="AQ17:AR18"/>
    <mergeCell ref="BD25:BE26"/>
    <mergeCell ref="BF25:BF26"/>
    <mergeCell ref="AM10:AP10"/>
    <mergeCell ref="AU56:AV57"/>
    <mergeCell ref="AY27:AZ28"/>
    <mergeCell ref="BD23:BE24"/>
    <mergeCell ref="BA38:BC38"/>
    <mergeCell ref="BA50:BC50"/>
    <mergeCell ref="BA51:BC51"/>
    <mergeCell ref="BA42:BC42"/>
    <mergeCell ref="BA43:BC43"/>
    <mergeCell ref="AW33:AX34"/>
    <mergeCell ref="BF93:BF94"/>
    <mergeCell ref="AQ89:AR90"/>
    <mergeCell ref="AS89:AT90"/>
    <mergeCell ref="AU89:AV90"/>
    <mergeCell ref="AJ19:AL20"/>
    <mergeCell ref="AJ17:AL18"/>
    <mergeCell ref="F89:H89"/>
    <mergeCell ref="I89:T89"/>
    <mergeCell ref="Y94:AA94"/>
    <mergeCell ref="AW6:AX7"/>
    <mergeCell ref="BD14:BE15"/>
    <mergeCell ref="BA70:BC70"/>
    <mergeCell ref="AM65:AP65"/>
    <mergeCell ref="AJ39:AL40"/>
    <mergeCell ref="AM39:AP39"/>
    <mergeCell ref="AM74:AP74"/>
    <mergeCell ref="AS76:AT77"/>
    <mergeCell ref="AM17:AP17"/>
    <mergeCell ref="AU58:AV59"/>
    <mergeCell ref="AW39:AX40"/>
    <mergeCell ref="AW50:AX51"/>
    <mergeCell ref="AY64:AZ65"/>
    <mergeCell ref="AS52:AT53"/>
    <mergeCell ref="AM32:AP32"/>
    <mergeCell ref="AW12:AX13"/>
    <mergeCell ref="BA71:BC71"/>
    <mergeCell ref="BA57:BC57"/>
    <mergeCell ref="BA14:BC14"/>
    <mergeCell ref="BA15:BC15"/>
    <mergeCell ref="BA55:BC55"/>
    <mergeCell ref="AS50:AT51"/>
    <mergeCell ref="AM43:AP43"/>
    <mergeCell ref="AJ23:AL24"/>
    <mergeCell ref="AM20:AP20"/>
    <mergeCell ref="AS23:AT24"/>
    <mergeCell ref="AW44:AX45"/>
    <mergeCell ref="BA24:BC24"/>
    <mergeCell ref="BD35:BE36"/>
    <mergeCell ref="AB78:AD79"/>
    <mergeCell ref="AB6:AD7"/>
    <mergeCell ref="AM26:AP26"/>
    <mergeCell ref="Y43:AA43"/>
    <mergeCell ref="AE97:AG98"/>
    <mergeCell ref="AM94:AP94"/>
    <mergeCell ref="W97:X98"/>
    <mergeCell ref="U78:V79"/>
    <mergeCell ref="AM75:AP75"/>
    <mergeCell ref="U56:V57"/>
    <mergeCell ref="U89:V90"/>
    <mergeCell ref="W78:X79"/>
    <mergeCell ref="AH21:AI22"/>
    <mergeCell ref="AJ21:AL22"/>
    <mergeCell ref="AB21:AD22"/>
    <mergeCell ref="AE78:AG79"/>
    <mergeCell ref="AE66:AG67"/>
    <mergeCell ref="W89:X90"/>
    <mergeCell ref="Y54:AA54"/>
    <mergeCell ref="Y97:AA97"/>
    <mergeCell ref="W83:X84"/>
    <mergeCell ref="Y83:AA83"/>
    <mergeCell ref="AB83:AD84"/>
    <mergeCell ref="AE83:AG84"/>
    <mergeCell ref="AM8:AP8"/>
    <mergeCell ref="D23:E24"/>
    <mergeCell ref="Y27:AA27"/>
    <mergeCell ref="AM19:AP19"/>
    <mergeCell ref="W17:X18"/>
    <mergeCell ref="Y18:AA18"/>
    <mergeCell ref="AM18:AP18"/>
    <mergeCell ref="AE21:AG22"/>
    <mergeCell ref="W21:X22"/>
    <mergeCell ref="D8:E9"/>
    <mergeCell ref="D17:E18"/>
    <mergeCell ref="F17:H17"/>
    <mergeCell ref="U8:V9"/>
    <mergeCell ref="U10:V11"/>
    <mergeCell ref="D25:E26"/>
    <mergeCell ref="Y11:AA11"/>
    <mergeCell ref="AE23:AG24"/>
    <mergeCell ref="Y24:AA24"/>
    <mergeCell ref="F23:H23"/>
    <mergeCell ref="D12:E13"/>
    <mergeCell ref="Y15:AA15"/>
    <mergeCell ref="I14:T14"/>
    <mergeCell ref="D10:E11"/>
    <mergeCell ref="AE19:AG20"/>
    <mergeCell ref="I10:T10"/>
    <mergeCell ref="Y8:AA8"/>
    <mergeCell ref="AB23:AD24"/>
    <mergeCell ref="AH23:AI24"/>
    <mergeCell ref="AB10:AD11"/>
    <mergeCell ref="AM14:AP14"/>
    <mergeCell ref="AJ10:AL11"/>
    <mergeCell ref="F19:H19"/>
    <mergeCell ref="D93:E94"/>
    <mergeCell ref="U113:V114"/>
    <mergeCell ref="D21:E22"/>
    <mergeCell ref="D54:E55"/>
    <mergeCell ref="F45:T45"/>
    <mergeCell ref="D39:E40"/>
    <mergeCell ref="F72:H72"/>
    <mergeCell ref="W113:X114"/>
    <mergeCell ref="B70:T71"/>
    <mergeCell ref="D42:E43"/>
    <mergeCell ref="F49:T49"/>
    <mergeCell ref="B68:CB68"/>
    <mergeCell ref="BR74:BS74"/>
    <mergeCell ref="AH27:AI28"/>
    <mergeCell ref="AH54:AI55"/>
    <mergeCell ref="AJ50:AL51"/>
    <mergeCell ref="AJ54:AL55"/>
    <mergeCell ref="AH48:AI49"/>
    <mergeCell ref="AS58:AT59"/>
    <mergeCell ref="AJ37:AL38"/>
    <mergeCell ref="F39:H39"/>
    <mergeCell ref="B102:B139"/>
    <mergeCell ref="AE39:AG40"/>
    <mergeCell ref="D102:E103"/>
    <mergeCell ref="AB102:AD103"/>
    <mergeCell ref="D60:E61"/>
    <mergeCell ref="D50:E51"/>
    <mergeCell ref="C81:C100"/>
    <mergeCell ref="F53:T53"/>
    <mergeCell ref="I54:T54"/>
    <mergeCell ref="D27:E28"/>
    <mergeCell ref="F61:T61"/>
    <mergeCell ref="D31:E32"/>
    <mergeCell ref="D78:E79"/>
    <mergeCell ref="I50:T50"/>
    <mergeCell ref="I37:T37"/>
    <mergeCell ref="Y51:AA51"/>
    <mergeCell ref="Y92:AA92"/>
    <mergeCell ref="AE95:AG96"/>
    <mergeCell ref="AB89:AD90"/>
    <mergeCell ref="AE89:AG90"/>
    <mergeCell ref="AB62:AD63"/>
    <mergeCell ref="C102:C120"/>
    <mergeCell ref="W35:X36"/>
    <mergeCell ref="AB99:AD100"/>
    <mergeCell ref="I39:T39"/>
    <mergeCell ref="U39:V40"/>
    <mergeCell ref="W39:X40"/>
    <mergeCell ref="U52:V53"/>
    <mergeCell ref="W52:X53"/>
    <mergeCell ref="Y52:AA52"/>
    <mergeCell ref="AB52:AD53"/>
    <mergeCell ref="AE52:AG53"/>
    <mergeCell ref="D33:E34"/>
    <mergeCell ref="F33:H33"/>
    <mergeCell ref="D56:E57"/>
    <mergeCell ref="AB58:AD59"/>
    <mergeCell ref="U50:V51"/>
    <mergeCell ref="D117:E118"/>
    <mergeCell ref="D72:E73"/>
    <mergeCell ref="D48:E49"/>
    <mergeCell ref="D62:E63"/>
    <mergeCell ref="W70:X71"/>
    <mergeCell ref="D113:E114"/>
    <mergeCell ref="F6:H6"/>
    <mergeCell ref="W54:X55"/>
    <mergeCell ref="I58:T58"/>
    <mergeCell ref="F38:T38"/>
    <mergeCell ref="U19:V20"/>
    <mergeCell ref="I31:T31"/>
    <mergeCell ref="W23:X24"/>
    <mergeCell ref="AH78:AI79"/>
    <mergeCell ref="AQ31:AR32"/>
    <mergeCell ref="Y22:AA22"/>
    <mergeCell ref="I17:T17"/>
    <mergeCell ref="Y17:AA17"/>
    <mergeCell ref="AH52:AI53"/>
    <mergeCell ref="AM49:AP49"/>
    <mergeCell ref="AQ6:AR7"/>
    <mergeCell ref="AJ12:AL13"/>
    <mergeCell ref="AE17:AG18"/>
    <mergeCell ref="I60:T60"/>
    <mergeCell ref="Y23:AA23"/>
    <mergeCell ref="I56:T56"/>
    <mergeCell ref="AB60:AD61"/>
    <mergeCell ref="F44:H44"/>
    <mergeCell ref="I44:T44"/>
    <mergeCell ref="AM48:AP48"/>
    <mergeCell ref="AH10:AI11"/>
    <mergeCell ref="F14:H14"/>
    <mergeCell ref="F51:T51"/>
    <mergeCell ref="F18:T18"/>
    <mergeCell ref="AM38:AP38"/>
    <mergeCell ref="W27:X28"/>
    <mergeCell ref="AM9:AP9"/>
    <mergeCell ref="Y9:AA9"/>
    <mergeCell ref="BN10:BO10"/>
    <mergeCell ref="BL12:BM12"/>
    <mergeCell ref="BP11:BQ11"/>
    <mergeCell ref="BP14:BS14"/>
    <mergeCell ref="BF14:BF15"/>
    <mergeCell ref="BA12:BC12"/>
    <mergeCell ref="BA13:BC13"/>
    <mergeCell ref="BX12:CB13"/>
    <mergeCell ref="BR51:BS51"/>
    <mergeCell ref="BT19:BT20"/>
    <mergeCell ref="BV29:BV30"/>
    <mergeCell ref="BX19:CB20"/>
    <mergeCell ref="BW29:BW30"/>
    <mergeCell ref="BA29:BC29"/>
    <mergeCell ref="BA30:BC30"/>
    <mergeCell ref="BG19:BK20"/>
    <mergeCell ref="BD17:BE18"/>
    <mergeCell ref="BA10:BC10"/>
    <mergeCell ref="BL23:BM23"/>
    <mergeCell ref="BF29:BF30"/>
    <mergeCell ref="BD29:BE30"/>
    <mergeCell ref="BG42:BK43"/>
    <mergeCell ref="BA33:BC33"/>
    <mergeCell ref="BA34:BC34"/>
    <mergeCell ref="BF37:BF38"/>
    <mergeCell ref="BR47:BS47"/>
    <mergeCell ref="BL39:BM39"/>
    <mergeCell ref="BN40:BO40"/>
    <mergeCell ref="BW33:BW34"/>
    <mergeCell ref="BX23:CB24"/>
    <mergeCell ref="BX31:CB32"/>
    <mergeCell ref="BX10:CB11"/>
    <mergeCell ref="BD6:BE7"/>
    <mergeCell ref="BP51:BQ51"/>
    <mergeCell ref="AH6:AI7"/>
    <mergeCell ref="AM7:AP7"/>
    <mergeCell ref="AS37:AT38"/>
    <mergeCell ref="AS46:AT47"/>
    <mergeCell ref="AE42:AG43"/>
    <mergeCell ref="AH42:AI43"/>
    <mergeCell ref="AJ42:AL43"/>
    <mergeCell ref="AM42:AP42"/>
    <mergeCell ref="AJ52:AL53"/>
    <mergeCell ref="AJ60:AL61"/>
    <mergeCell ref="BF50:BF51"/>
    <mergeCell ref="BG12:BK13"/>
    <mergeCell ref="BL13:BM13"/>
    <mergeCell ref="BL21:BM21"/>
    <mergeCell ref="BD46:BE47"/>
    <mergeCell ref="BL27:BM27"/>
    <mergeCell ref="BL28:BM28"/>
    <mergeCell ref="BL10:BM10"/>
    <mergeCell ref="BF27:BF28"/>
    <mergeCell ref="BP50:BQ50"/>
    <mergeCell ref="BF42:BF43"/>
    <mergeCell ref="BL17:BM17"/>
    <mergeCell ref="BL24:BM24"/>
    <mergeCell ref="BP10:BQ10"/>
    <mergeCell ref="BL18:BM18"/>
    <mergeCell ref="BP24:BQ24"/>
    <mergeCell ref="BP21:BQ21"/>
    <mergeCell ref="BF60:BF61"/>
    <mergeCell ref="BF58:BF59"/>
    <mergeCell ref="BF44:BF45"/>
    <mergeCell ref="BW74:BW75"/>
    <mergeCell ref="BN56:BO56"/>
    <mergeCell ref="BN52:BO52"/>
    <mergeCell ref="BG155:BK156"/>
    <mergeCell ref="BF155:BF156"/>
    <mergeCell ref="BL20:BM20"/>
    <mergeCell ref="BN19:BO19"/>
    <mergeCell ref="BD12:BE13"/>
    <mergeCell ref="BN9:BO9"/>
    <mergeCell ref="BF19:BF20"/>
    <mergeCell ref="BF10:BF11"/>
    <mergeCell ref="BP119:BQ119"/>
    <mergeCell ref="BT136:BT137"/>
    <mergeCell ref="BU136:BU137"/>
    <mergeCell ref="BV136:BV137"/>
    <mergeCell ref="BV10:BV11"/>
    <mergeCell ref="BV23:BV24"/>
    <mergeCell ref="BP17:BQ17"/>
    <mergeCell ref="BR17:BS17"/>
    <mergeCell ref="BT37:BT38"/>
    <mergeCell ref="BG27:BK28"/>
    <mergeCell ref="BF8:BF9"/>
    <mergeCell ref="BU10:BU11"/>
    <mergeCell ref="BU8:BU9"/>
    <mergeCell ref="BT29:BT30"/>
    <mergeCell ref="BU29:BU30"/>
    <mergeCell ref="BV12:BV13"/>
    <mergeCell ref="BT10:BT11"/>
    <mergeCell ref="BR10:BS10"/>
    <mergeCell ref="BR11:BS11"/>
    <mergeCell ref="BP20:BQ20"/>
    <mergeCell ref="BW19:BW20"/>
    <mergeCell ref="AU50:AV51"/>
    <mergeCell ref="BL78:BM78"/>
    <mergeCell ref="BP73:BQ73"/>
    <mergeCell ref="BN91:BO91"/>
    <mergeCell ref="AW78:AX79"/>
    <mergeCell ref="AU72:AV73"/>
    <mergeCell ref="BA92:BC92"/>
    <mergeCell ref="BL91:BM91"/>
    <mergeCell ref="BN78:BO78"/>
    <mergeCell ref="BL64:BM64"/>
    <mergeCell ref="BD64:BE65"/>
    <mergeCell ref="BP60:BQ60"/>
    <mergeCell ref="BN44:BO44"/>
    <mergeCell ref="BG48:BK49"/>
    <mergeCell ref="BL45:BM45"/>
    <mergeCell ref="BG58:BK59"/>
    <mergeCell ref="BP53:BQ53"/>
    <mergeCell ref="BD48:BE49"/>
    <mergeCell ref="BF54:BF55"/>
    <mergeCell ref="BN65:BO65"/>
    <mergeCell ref="BN74:BO74"/>
    <mergeCell ref="BN63:BO63"/>
    <mergeCell ref="BA67:BC67"/>
    <mergeCell ref="BA78:BC78"/>
    <mergeCell ref="AW58:AX59"/>
    <mergeCell ref="BF70:BF71"/>
    <mergeCell ref="BA79:BC79"/>
    <mergeCell ref="BD76:BE77"/>
    <mergeCell ref="BF76:BF77"/>
    <mergeCell ref="BF72:BF73"/>
    <mergeCell ref="AY66:AZ67"/>
    <mergeCell ref="AY91:AZ92"/>
    <mergeCell ref="AU39:AV40"/>
    <mergeCell ref="BA52:BC52"/>
    <mergeCell ref="BA19:BC19"/>
    <mergeCell ref="BG39:BK40"/>
    <mergeCell ref="BN28:BO28"/>
    <mergeCell ref="BN50:BO50"/>
    <mergeCell ref="BR31:BS31"/>
    <mergeCell ref="BL43:BO43"/>
    <mergeCell ref="BR53:BS53"/>
    <mergeCell ref="BN51:BO51"/>
    <mergeCell ref="BP44:BQ44"/>
    <mergeCell ref="BU31:BU32"/>
    <mergeCell ref="BT12:BT13"/>
    <mergeCell ref="BR12:BS12"/>
    <mergeCell ref="BN13:BO13"/>
    <mergeCell ref="BF12:BF13"/>
    <mergeCell ref="BG23:BK24"/>
    <mergeCell ref="BG17:BK18"/>
    <mergeCell ref="BL19:BM19"/>
    <mergeCell ref="BD33:BE34"/>
    <mergeCell ref="BL15:BM15"/>
    <mergeCell ref="BP33:BQ33"/>
    <mergeCell ref="BU33:BU34"/>
    <mergeCell ref="BU48:BU49"/>
    <mergeCell ref="BP12:BQ12"/>
    <mergeCell ref="BA53:BC53"/>
    <mergeCell ref="BA27:BC27"/>
    <mergeCell ref="BP46:BQ46"/>
    <mergeCell ref="BP36:BQ36"/>
    <mergeCell ref="BA31:BC31"/>
    <mergeCell ref="BA32:BC32"/>
    <mergeCell ref="AU42:AV43"/>
    <mergeCell ref="BN6:BO6"/>
    <mergeCell ref="BU23:BU24"/>
    <mergeCell ref="BU19:BU20"/>
    <mergeCell ref="BP6:BQ6"/>
    <mergeCell ref="BT23:BT24"/>
    <mergeCell ref="BP7:BQ7"/>
    <mergeCell ref="BU6:BU7"/>
    <mergeCell ref="BX27:CB28"/>
    <mergeCell ref="AU25:AV26"/>
    <mergeCell ref="BA11:BC11"/>
    <mergeCell ref="AW14:AX15"/>
    <mergeCell ref="BN49:BO49"/>
    <mergeCell ref="BD31:BE32"/>
    <mergeCell ref="BF31:BF32"/>
    <mergeCell ref="BA9:BC9"/>
    <mergeCell ref="BL8:BM8"/>
    <mergeCell ref="BD8:BE9"/>
    <mergeCell ref="AU27:AV28"/>
    <mergeCell ref="BW12:BW13"/>
    <mergeCell ref="BW10:BW11"/>
    <mergeCell ref="BW37:BW38"/>
    <mergeCell ref="BW23:BW24"/>
    <mergeCell ref="BR7:BS7"/>
    <mergeCell ref="BT21:BT22"/>
    <mergeCell ref="BV6:BV7"/>
    <mergeCell ref="BN45:BO45"/>
    <mergeCell ref="BP28:BQ28"/>
    <mergeCell ref="BR27:BS27"/>
    <mergeCell ref="BP29:BQ29"/>
    <mergeCell ref="BU21:BU22"/>
    <mergeCell ref="BL7:BM7"/>
    <mergeCell ref="BF35:BF36"/>
    <mergeCell ref="BW31:BW32"/>
    <mergeCell ref="BV31:BV32"/>
    <mergeCell ref="BR13:BS13"/>
    <mergeCell ref="BT44:BT45"/>
    <mergeCell ref="BN31:BO31"/>
    <mergeCell ref="BL6:BM6"/>
    <mergeCell ref="BG14:BK15"/>
    <mergeCell ref="BF6:BF7"/>
    <mergeCell ref="BG6:BK7"/>
    <mergeCell ref="BG25:BK26"/>
    <mergeCell ref="BL25:BM25"/>
    <mergeCell ref="BW8:BW9"/>
    <mergeCell ref="BU12:BU13"/>
    <mergeCell ref="BL11:BM11"/>
    <mergeCell ref="BN20:BO20"/>
    <mergeCell ref="BP23:BQ23"/>
    <mergeCell ref="BU17:BU18"/>
    <mergeCell ref="BN15:BO15"/>
    <mergeCell ref="BF23:BF24"/>
    <mergeCell ref="BN11:BO11"/>
    <mergeCell ref="BP13:BQ13"/>
    <mergeCell ref="BN12:BO12"/>
    <mergeCell ref="BN36:BO36"/>
    <mergeCell ref="BR45:BS45"/>
    <mergeCell ref="BN30:BO30"/>
    <mergeCell ref="BP30:BQ30"/>
    <mergeCell ref="BR30:BS30"/>
    <mergeCell ref="BR29:BS29"/>
    <mergeCell ref="BN39:BO39"/>
    <mergeCell ref="BP15:BS15"/>
    <mergeCell ref="BN38:BO38"/>
    <mergeCell ref="BL14:BM14"/>
    <mergeCell ref="BD39:BE40"/>
    <mergeCell ref="BN7:BO7"/>
    <mergeCell ref="BG10:BK11"/>
    <mergeCell ref="BN8:BO8"/>
    <mergeCell ref="BV8:BV9"/>
    <mergeCell ref="AY158:AZ159"/>
    <mergeCell ref="BD10:BE11"/>
    <mergeCell ref="BA155:BC155"/>
    <mergeCell ref="AM64:AP64"/>
    <mergeCell ref="AM45:AP45"/>
    <mergeCell ref="BA151:BC151"/>
    <mergeCell ref="BD60:BE61"/>
    <mergeCell ref="AQ155:AR156"/>
    <mergeCell ref="BL44:BM44"/>
    <mergeCell ref="BN34:BO34"/>
    <mergeCell ref="BL36:BM36"/>
    <mergeCell ref="AM150:AP150"/>
    <mergeCell ref="AM114:AP114"/>
    <mergeCell ref="AY72:AZ73"/>
    <mergeCell ref="BN103:BO103"/>
    <mergeCell ref="BD72:BE73"/>
    <mergeCell ref="BG50:BK51"/>
    <mergeCell ref="BN48:BO48"/>
    <mergeCell ref="BG56:BK57"/>
    <mergeCell ref="BL73:BM73"/>
    <mergeCell ref="BL72:BM72"/>
    <mergeCell ref="BL151:BM151"/>
    <mergeCell ref="BN14:BO14"/>
    <mergeCell ref="AU119:AV120"/>
    <mergeCell ref="AQ102:AR103"/>
    <mergeCell ref="BN119:BO119"/>
    <mergeCell ref="BD158:BE159"/>
    <mergeCell ref="AW158:AX159"/>
    <mergeCell ref="AW155:AX156"/>
    <mergeCell ref="AS155:AT156"/>
    <mergeCell ref="AU155:AV156"/>
    <mergeCell ref="AW37:AX38"/>
    <mergeCell ref="AS19:AT20"/>
    <mergeCell ref="BA158:BC158"/>
    <mergeCell ref="BD37:BE38"/>
    <mergeCell ref="AW17:AX18"/>
    <mergeCell ref="BF33:BF34"/>
    <mergeCell ref="BD42:BE43"/>
    <mergeCell ref="BD19:BE20"/>
    <mergeCell ref="AU14:AV15"/>
    <mergeCell ref="AU48:AV49"/>
    <mergeCell ref="AY14:AZ15"/>
    <mergeCell ref="BD27:BE28"/>
    <mergeCell ref="AY155:AZ156"/>
    <mergeCell ref="BD155:BE156"/>
    <mergeCell ref="AU158:AV159"/>
    <mergeCell ref="AS158:AT159"/>
    <mergeCell ref="BF78:BF79"/>
    <mergeCell ref="BA159:BC159"/>
    <mergeCell ref="BF119:BF120"/>
    <mergeCell ref="BD119:BE120"/>
    <mergeCell ref="BF17:BF18"/>
    <mergeCell ref="AY42:AZ43"/>
    <mergeCell ref="AU66:AV67"/>
    <mergeCell ref="AY54:AZ55"/>
    <mergeCell ref="AU52:AV53"/>
    <mergeCell ref="BA35:BC35"/>
    <mergeCell ref="BA36:BC36"/>
    <mergeCell ref="AY19:AZ20"/>
    <mergeCell ref="BG158:BK159"/>
    <mergeCell ref="BG64:BK65"/>
    <mergeCell ref="AY23:AZ24"/>
    <mergeCell ref="AU6:AV7"/>
    <mergeCell ref="BR159:BS159"/>
    <mergeCell ref="BN96:BO96"/>
    <mergeCell ref="BR79:BS79"/>
    <mergeCell ref="BR94:BS94"/>
    <mergeCell ref="BP100:BQ100"/>
    <mergeCell ref="BA156:BC156"/>
    <mergeCell ref="BN18:BO18"/>
    <mergeCell ref="BP150:BS150"/>
    <mergeCell ref="BN150:BO150"/>
    <mergeCell ref="BG37:BK38"/>
    <mergeCell ref="BG21:BK22"/>
    <mergeCell ref="BP155:BS156"/>
    <mergeCell ref="BR111:BS111"/>
    <mergeCell ref="BL159:BM159"/>
    <mergeCell ref="BP43:BS43"/>
    <mergeCell ref="BR44:BS44"/>
    <mergeCell ref="BL158:BM158"/>
    <mergeCell ref="BF158:BF159"/>
    <mergeCell ref="BN159:BO159"/>
    <mergeCell ref="BG35:BK36"/>
    <mergeCell ref="BR113:BS113"/>
    <mergeCell ref="BR63:BS63"/>
    <mergeCell ref="BR52:BS52"/>
    <mergeCell ref="BP31:BQ31"/>
    <mergeCell ref="BR46:BS46"/>
    <mergeCell ref="BR107:BS107"/>
    <mergeCell ref="BR20:BS20"/>
    <mergeCell ref="BR28:BS28"/>
    <mergeCell ref="BU158:BU159"/>
    <mergeCell ref="BL155:BO156"/>
    <mergeCell ref="BL136:BM136"/>
    <mergeCell ref="BN139:BO139"/>
    <mergeCell ref="BR34:BS34"/>
    <mergeCell ref="BL40:BM40"/>
    <mergeCell ref="BN100:BO100"/>
    <mergeCell ref="BR64:BS64"/>
    <mergeCell ref="BN26:BO26"/>
    <mergeCell ref="BP52:BQ52"/>
    <mergeCell ref="BN33:BO33"/>
    <mergeCell ref="BN158:BO158"/>
    <mergeCell ref="BT155:BW155"/>
    <mergeCell ref="BW78:BW79"/>
    <mergeCell ref="BW25:BW26"/>
    <mergeCell ref="BP158:BQ158"/>
    <mergeCell ref="BR158:BS158"/>
    <mergeCell ref="BL70:BO71"/>
    <mergeCell ref="BN134:BO134"/>
    <mergeCell ref="BN99:BO99"/>
    <mergeCell ref="BW58:BW59"/>
    <mergeCell ref="BW150:BW151"/>
    <mergeCell ref="BL26:BM26"/>
    <mergeCell ref="BN61:BO61"/>
    <mergeCell ref="BP64:BQ64"/>
    <mergeCell ref="BL75:BM75"/>
    <mergeCell ref="BL79:BM79"/>
    <mergeCell ref="BV158:BV159"/>
    <mergeCell ref="BL35:BM35"/>
    <mergeCell ref="BU150:BU151"/>
    <mergeCell ref="BP55:BQ55"/>
    <mergeCell ref="BP35:BQ35"/>
    <mergeCell ref="BX91:CB92"/>
    <mergeCell ref="BT89:BT90"/>
    <mergeCell ref="BU89:BU90"/>
    <mergeCell ref="BV89:BV90"/>
    <mergeCell ref="BR103:BS103"/>
    <mergeCell ref="BP70:BS71"/>
    <mergeCell ref="BR26:BS26"/>
    <mergeCell ref="BP95:BQ95"/>
    <mergeCell ref="BT6:BT7"/>
    <mergeCell ref="BU76:BU77"/>
    <mergeCell ref="BV76:BV77"/>
    <mergeCell ref="BR60:BS60"/>
    <mergeCell ref="BT70:BW70"/>
    <mergeCell ref="BR33:BS33"/>
    <mergeCell ref="BU50:BU51"/>
    <mergeCell ref="BU37:BU38"/>
    <mergeCell ref="BX33:CB34"/>
    <mergeCell ref="BV52:BV53"/>
    <mergeCell ref="BX42:CB43"/>
    <mergeCell ref="BR38:BS38"/>
    <mergeCell ref="BP38:BQ38"/>
    <mergeCell ref="BT35:BT36"/>
    <mergeCell ref="BT33:BT34"/>
    <mergeCell ref="BT78:BT79"/>
    <mergeCell ref="BR78:BS78"/>
    <mergeCell ref="BU35:BU36"/>
    <mergeCell ref="BX6:CB7"/>
    <mergeCell ref="BV33:BV34"/>
    <mergeCell ref="BV42:BV43"/>
    <mergeCell ref="BV44:BV45"/>
    <mergeCell ref="BP9:BQ9"/>
    <mergeCell ref="BV48:BV49"/>
    <mergeCell ref="BX158:CB159"/>
    <mergeCell ref="BR37:BS37"/>
    <mergeCell ref="BU56:BU57"/>
    <mergeCell ref="BX52:CB53"/>
    <mergeCell ref="BW42:BW43"/>
    <mergeCell ref="BR9:BS9"/>
    <mergeCell ref="BP159:BQ159"/>
    <mergeCell ref="BT14:BT15"/>
    <mergeCell ref="BT158:BT159"/>
    <mergeCell ref="BW158:BW159"/>
    <mergeCell ref="BP37:BQ37"/>
    <mergeCell ref="BX155:CB156"/>
    <mergeCell ref="BV150:BV151"/>
    <mergeCell ref="BV60:BV61"/>
    <mergeCell ref="BV113:BV114"/>
    <mergeCell ref="BV21:BV22"/>
    <mergeCell ref="BV117:BV118"/>
    <mergeCell ref="BU111:BU112"/>
    <mergeCell ref="BV81:BV82"/>
    <mergeCell ref="BU52:BU53"/>
    <mergeCell ref="BU99:BU100"/>
    <mergeCell ref="BR50:BS50"/>
    <mergeCell ref="BP72:BQ72"/>
    <mergeCell ref="BR72:BS72"/>
    <mergeCell ref="BX150:CB151"/>
    <mergeCell ref="BP58:BS58"/>
    <mergeCell ref="BR96:BS96"/>
    <mergeCell ref="BP75:BQ75"/>
    <mergeCell ref="BP45:BQ45"/>
    <mergeCell ref="BR57:BS57"/>
    <mergeCell ref="BU42:BU43"/>
    <mergeCell ref="BU93:BU94"/>
    <mergeCell ref="BX39:CB40"/>
    <mergeCell ref="BW39:BW40"/>
    <mergeCell ref="BW44:BW45"/>
    <mergeCell ref="BV54:BV55"/>
    <mergeCell ref="BN23:BO23"/>
    <mergeCell ref="BP27:BQ27"/>
    <mergeCell ref="BV50:BV51"/>
    <mergeCell ref="BU14:BU15"/>
    <mergeCell ref="BU25:BU26"/>
    <mergeCell ref="BV37:BV38"/>
    <mergeCell ref="BV17:BV18"/>
    <mergeCell ref="BV27:BV28"/>
    <mergeCell ref="BW17:BW18"/>
    <mergeCell ref="BW27:BW28"/>
    <mergeCell ref="BX14:CB15"/>
    <mergeCell ref="BN17:BO17"/>
    <mergeCell ref="BP18:BQ18"/>
    <mergeCell ref="BR18:BS18"/>
    <mergeCell ref="BT17:BT18"/>
    <mergeCell ref="BU27:BU28"/>
    <mergeCell ref="BV19:BV20"/>
    <mergeCell ref="BP47:BQ47"/>
    <mergeCell ref="BT25:BT26"/>
    <mergeCell ref="BX29:CB30"/>
    <mergeCell ref="BN24:BO24"/>
    <mergeCell ref="BT27:BT28"/>
    <mergeCell ref="BR19:BS19"/>
    <mergeCell ref="BX37:CB38"/>
    <mergeCell ref="BX17:CB18"/>
    <mergeCell ref="BR32:BS32"/>
    <mergeCell ref="BP19:BQ19"/>
    <mergeCell ref="BU44:BU45"/>
    <mergeCell ref="CG70:CG71"/>
    <mergeCell ref="CD70:CD71"/>
    <mergeCell ref="CE70:CE71"/>
    <mergeCell ref="CF70:CF71"/>
    <mergeCell ref="BT48:BT49"/>
    <mergeCell ref="BP49:BS49"/>
    <mergeCell ref="BX69:CB69"/>
    <mergeCell ref="BX58:CB59"/>
    <mergeCell ref="BV62:BV63"/>
    <mergeCell ref="BT58:BT59"/>
    <mergeCell ref="BU62:BU63"/>
    <mergeCell ref="BP59:BS59"/>
    <mergeCell ref="BU58:BU59"/>
    <mergeCell ref="BX62:CB63"/>
    <mergeCell ref="BV58:BV59"/>
    <mergeCell ref="BT60:BT61"/>
    <mergeCell ref="BX70:CB71"/>
    <mergeCell ref="BR61:BS61"/>
    <mergeCell ref="BP48:BS48"/>
    <mergeCell ref="BW52:BW53"/>
    <mergeCell ref="BU54:BU55"/>
    <mergeCell ref="BV56:BV57"/>
    <mergeCell ref="BW54:BW55"/>
    <mergeCell ref="BW56:BW57"/>
    <mergeCell ref="BX60:CB61"/>
    <mergeCell ref="BW48:BW49"/>
    <mergeCell ref="BX50:CB51"/>
    <mergeCell ref="BR55:BS55"/>
    <mergeCell ref="BP65:BQ65"/>
    <mergeCell ref="BR66:BS66"/>
    <mergeCell ref="BV66:BV67"/>
    <mergeCell ref="BR56:BS56"/>
    <mergeCell ref="AJ150:AL151"/>
    <mergeCell ref="D150:E151"/>
    <mergeCell ref="AH58:AI59"/>
    <mergeCell ref="F159:T159"/>
    <mergeCell ref="U158:V159"/>
    <mergeCell ref="F158:H158"/>
    <mergeCell ref="Y158:AA158"/>
    <mergeCell ref="Y56:AA56"/>
    <mergeCell ref="AM155:AP156"/>
    <mergeCell ref="AM57:AP57"/>
    <mergeCell ref="AH155:AI156"/>
    <mergeCell ref="AM159:AP159"/>
    <mergeCell ref="AH158:AI159"/>
    <mergeCell ref="AM120:AP120"/>
    <mergeCell ref="AH102:AI103"/>
    <mergeCell ref="D158:E159"/>
    <mergeCell ref="W150:X151"/>
    <mergeCell ref="F150:H150"/>
    <mergeCell ref="I97:T97"/>
    <mergeCell ref="Y95:AA95"/>
    <mergeCell ref="I102:T102"/>
    <mergeCell ref="F99:H99"/>
    <mergeCell ref="Y114:AA114"/>
    <mergeCell ref="AB113:AD114"/>
    <mergeCell ref="Y128:AA128"/>
    <mergeCell ref="F92:T92"/>
    <mergeCell ref="AJ58:AL59"/>
    <mergeCell ref="W93:X94"/>
    <mergeCell ref="E153:G153"/>
    <mergeCell ref="AJ155:AL156"/>
    <mergeCell ref="D76:E77"/>
    <mergeCell ref="AB93:AD94"/>
    <mergeCell ref="AQ158:AR159"/>
    <mergeCell ref="AE158:AG159"/>
    <mergeCell ref="AM158:AP158"/>
    <mergeCell ref="Y155:AA156"/>
    <mergeCell ref="Y159:AA159"/>
    <mergeCell ref="AB158:AD159"/>
    <mergeCell ref="AB155:AD156"/>
    <mergeCell ref="B155:T156"/>
    <mergeCell ref="AB35:AD36"/>
    <mergeCell ref="Y31:AA31"/>
    <mergeCell ref="F21:H21"/>
    <mergeCell ref="I21:T21"/>
    <mergeCell ref="U21:V22"/>
    <mergeCell ref="U119:V120"/>
    <mergeCell ref="AE102:AG103"/>
    <mergeCell ref="F36:T36"/>
    <mergeCell ref="F65:T65"/>
    <mergeCell ref="F64:H64"/>
    <mergeCell ref="I64:T64"/>
    <mergeCell ref="Y33:AA33"/>
    <mergeCell ref="I158:T158"/>
    <mergeCell ref="E152:G152"/>
    <mergeCell ref="AM99:AP99"/>
    <mergeCell ref="F134:H134"/>
    <mergeCell ref="AE150:AG151"/>
    <mergeCell ref="AQ27:AR28"/>
    <mergeCell ref="AQ78:AR79"/>
    <mergeCell ref="Y150:AA150"/>
    <mergeCell ref="Y64:AA64"/>
    <mergeCell ref="AJ158:AL159"/>
    <mergeCell ref="AE155:AG156"/>
    <mergeCell ref="F60:H60"/>
    <mergeCell ref="W155:X156"/>
    <mergeCell ref="AH64:AI65"/>
    <mergeCell ref="F75:T75"/>
    <mergeCell ref="F78:H78"/>
    <mergeCell ref="I119:T119"/>
    <mergeCell ref="F97:H97"/>
    <mergeCell ref="F34:T34"/>
    <mergeCell ref="U155:V156"/>
    <mergeCell ref="AB150:AD151"/>
    <mergeCell ref="F96:T96"/>
    <mergeCell ref="W158:X159"/>
    <mergeCell ref="AB64:AD65"/>
    <mergeCell ref="AH12:AI13"/>
    <mergeCell ref="B2:CB2"/>
    <mergeCell ref="AY4:AZ5"/>
    <mergeCell ref="AH4:AI5"/>
    <mergeCell ref="AU4:AV5"/>
    <mergeCell ref="AQ4:AR5"/>
    <mergeCell ref="AE4:AG5"/>
    <mergeCell ref="AM4:AP5"/>
    <mergeCell ref="B4:T5"/>
    <mergeCell ref="W4:X5"/>
    <mergeCell ref="BT4:BW4"/>
    <mergeCell ref="BA5:BC5"/>
    <mergeCell ref="AB4:AD5"/>
    <mergeCell ref="BA4:BC4"/>
    <mergeCell ref="U4:V5"/>
    <mergeCell ref="BF4:BF5"/>
    <mergeCell ref="AW4:AX5"/>
    <mergeCell ref="BG4:BK5"/>
    <mergeCell ref="BP4:BS5"/>
    <mergeCell ref="BX3:CB3"/>
    <mergeCell ref="Y4:AA5"/>
    <mergeCell ref="CG4:CG5"/>
    <mergeCell ref="AJ4:AL5"/>
    <mergeCell ref="CE4:CE5"/>
    <mergeCell ref="CD4:CD5"/>
    <mergeCell ref="CF4:CF5"/>
    <mergeCell ref="BX4:CB5"/>
    <mergeCell ref="BL4:BO5"/>
    <mergeCell ref="BD4:BE5"/>
    <mergeCell ref="AS4:AT5"/>
    <mergeCell ref="AB8:AD9"/>
    <mergeCell ref="BX8:CB9"/>
    <mergeCell ref="BR8:BS8"/>
    <mergeCell ref="BP8:BQ8"/>
    <mergeCell ref="F151:T151"/>
    <mergeCell ref="I78:T78"/>
    <mergeCell ref="F73:T73"/>
    <mergeCell ref="U74:V75"/>
    <mergeCell ref="I99:T99"/>
    <mergeCell ref="I95:T95"/>
    <mergeCell ref="F79:T79"/>
    <mergeCell ref="I93:T93"/>
    <mergeCell ref="U93:V94"/>
    <mergeCell ref="F12:H12"/>
    <mergeCell ref="F13:T13"/>
    <mergeCell ref="U6:V7"/>
    <mergeCell ref="I150:T150"/>
    <mergeCell ref="F27:H27"/>
    <mergeCell ref="I27:T27"/>
    <mergeCell ref="AH150:AI151"/>
    <mergeCell ref="F35:H35"/>
    <mergeCell ref="AB142:AD142"/>
    <mergeCell ref="AS42:AT43"/>
    <mergeCell ref="AQ52:AR53"/>
    <mergeCell ref="Y28:AA28"/>
    <mergeCell ref="D97:E98"/>
    <mergeCell ref="D109:E110"/>
    <mergeCell ref="F119:H119"/>
    <mergeCell ref="U102:V103"/>
    <mergeCell ref="D119:E120"/>
    <mergeCell ref="I25:T25"/>
    <mergeCell ref="I46:T46"/>
    <mergeCell ref="I107:T107"/>
    <mergeCell ref="AH142:AJ142"/>
    <mergeCell ref="W12:X13"/>
    <mergeCell ref="I134:T134"/>
    <mergeCell ref="U134:V135"/>
    <mergeCell ref="F128:H128"/>
    <mergeCell ref="F129:T129"/>
    <mergeCell ref="Y134:AA134"/>
    <mergeCell ref="U128:V129"/>
    <mergeCell ref="F123:T123"/>
    <mergeCell ref="Y123:AA123"/>
    <mergeCell ref="I128:T128"/>
    <mergeCell ref="U58:V59"/>
    <mergeCell ref="W48:X49"/>
    <mergeCell ref="D52:E53"/>
    <mergeCell ref="D14:E15"/>
    <mergeCell ref="AB12:AD13"/>
    <mergeCell ref="AQ14:AR15"/>
    <mergeCell ref="W50:X51"/>
    <mergeCell ref="AE35:AG36"/>
    <mergeCell ref="D89:E90"/>
    <mergeCell ref="D37:E38"/>
    <mergeCell ref="D46:E47"/>
    <mergeCell ref="F66:H66"/>
    <mergeCell ref="F28:T28"/>
    <mergeCell ref="AH60:AI61"/>
    <mergeCell ref="AH70:AI71"/>
    <mergeCell ref="AJ44:AL45"/>
    <mergeCell ref="F24:T24"/>
    <mergeCell ref="AB17:AD18"/>
    <mergeCell ref="F98:T98"/>
    <mergeCell ref="Y103:AA103"/>
    <mergeCell ref="Y102:AA102"/>
    <mergeCell ref="F109:H109"/>
    <mergeCell ref="I109:T109"/>
    <mergeCell ref="U109:V110"/>
    <mergeCell ref="BA8:BC8"/>
    <mergeCell ref="BA62:BC62"/>
    <mergeCell ref="AU21:AV22"/>
    <mergeCell ref="AU33:AV34"/>
    <mergeCell ref="F8:H8"/>
    <mergeCell ref="AE14:AG15"/>
    <mergeCell ref="Y14:AA14"/>
    <mergeCell ref="Y48:AA48"/>
    <mergeCell ref="Y49:AA49"/>
    <mergeCell ref="Y55:AA55"/>
    <mergeCell ref="AJ25:AL26"/>
    <mergeCell ref="F63:T63"/>
    <mergeCell ref="F52:H52"/>
    <mergeCell ref="F22:T22"/>
    <mergeCell ref="AM51:AP51"/>
    <mergeCell ref="W44:X45"/>
    <mergeCell ref="I52:T52"/>
    <mergeCell ref="AY12:AZ13"/>
    <mergeCell ref="W8:X9"/>
    <mergeCell ref="Y7:AA7"/>
    <mergeCell ref="I29:T29"/>
    <mergeCell ref="F11:T11"/>
    <mergeCell ref="Y20:AA20"/>
    <mergeCell ref="F102:H102"/>
    <mergeCell ref="U97:V98"/>
    <mergeCell ref="U29:V30"/>
    <mergeCell ref="W29:X30"/>
    <mergeCell ref="AM11:AP11"/>
    <mergeCell ref="Y32:AA32"/>
    <mergeCell ref="AB19:AD20"/>
    <mergeCell ref="Y10:AA10"/>
    <mergeCell ref="AE8:AG9"/>
    <mergeCell ref="W42:X43"/>
    <mergeCell ref="W14:X15"/>
    <mergeCell ref="AM13:AP13"/>
    <mergeCell ref="AJ27:AL28"/>
    <mergeCell ref="AM27:AP27"/>
    <mergeCell ref="AM12:AP12"/>
    <mergeCell ref="F94:T94"/>
    <mergeCell ref="F9:T9"/>
    <mergeCell ref="AH37:AI38"/>
    <mergeCell ref="AE64:AG65"/>
    <mergeCell ref="U44:V45"/>
    <mergeCell ref="I48:T48"/>
    <mergeCell ref="F59:T59"/>
    <mergeCell ref="AE58:AG59"/>
    <mergeCell ref="Y34:AA34"/>
    <mergeCell ref="AM52:AP52"/>
    <mergeCell ref="AM50:AP50"/>
    <mergeCell ref="Y21:AA21"/>
    <mergeCell ref="F15:T15"/>
    <mergeCell ref="AY31:AZ32"/>
    <mergeCell ref="AY6:AZ7"/>
    <mergeCell ref="AY10:AZ11"/>
    <mergeCell ref="AY29:AZ30"/>
    <mergeCell ref="AY37:AZ38"/>
    <mergeCell ref="W74:X75"/>
    <mergeCell ref="AM59:AP59"/>
    <mergeCell ref="BA17:BC17"/>
    <mergeCell ref="BA18:BC18"/>
    <mergeCell ref="AS29:AT30"/>
    <mergeCell ref="AY44:AZ45"/>
    <mergeCell ref="AU37:AV38"/>
    <mergeCell ref="AU12:AV13"/>
    <mergeCell ref="AU19:AV20"/>
    <mergeCell ref="Y19:AA19"/>
    <mergeCell ref="AW10:AX11"/>
    <mergeCell ref="AU23:AV24"/>
    <mergeCell ref="AU10:AV11"/>
    <mergeCell ref="AW19:AX20"/>
    <mergeCell ref="AW23:AX24"/>
    <mergeCell ref="AW31:AX32"/>
    <mergeCell ref="AH17:AI18"/>
    <mergeCell ref="AS17:AT18"/>
    <mergeCell ref="AQ12:AR13"/>
    <mergeCell ref="AE27:AG28"/>
    <mergeCell ref="AH19:AI20"/>
    <mergeCell ref="AQ35:AR36"/>
    <mergeCell ref="Y70:AA71"/>
    <mergeCell ref="AQ23:AR24"/>
    <mergeCell ref="AY17:AZ18"/>
    <mergeCell ref="AQ8:AR9"/>
    <mergeCell ref="I66:T66"/>
    <mergeCell ref="AE37:AG38"/>
    <mergeCell ref="F30:T30"/>
    <mergeCell ref="I8:T8"/>
    <mergeCell ref="U31:V32"/>
    <mergeCell ref="U12:V13"/>
    <mergeCell ref="I12:T12"/>
    <mergeCell ref="AW27:AX28"/>
    <mergeCell ref="AW8:AX9"/>
    <mergeCell ref="AS6:AT7"/>
    <mergeCell ref="Y12:AA12"/>
    <mergeCell ref="AB25:AD26"/>
    <mergeCell ref="AE25:AG26"/>
    <mergeCell ref="AQ25:AR26"/>
    <mergeCell ref="AS27:AT28"/>
    <mergeCell ref="AB27:AD28"/>
    <mergeCell ref="AM33:AP33"/>
    <mergeCell ref="AQ37:AR38"/>
    <mergeCell ref="AJ8:AL9"/>
    <mergeCell ref="U27:V28"/>
    <mergeCell ref="AQ10:AR11"/>
    <mergeCell ref="Y6:AA6"/>
    <mergeCell ref="AU17:AV18"/>
    <mergeCell ref="AM37:AP37"/>
    <mergeCell ref="AM6:AP6"/>
    <mergeCell ref="I6:T6"/>
    <mergeCell ref="AS10:AT11"/>
    <mergeCell ref="F25:H25"/>
    <mergeCell ref="AQ21:AR22"/>
    <mergeCell ref="AE10:AG11"/>
    <mergeCell ref="AH14:AI15"/>
    <mergeCell ref="U23:V24"/>
    <mergeCell ref="AU138:AV139"/>
    <mergeCell ref="AH113:AI114"/>
    <mergeCell ref="AQ150:AR151"/>
    <mergeCell ref="I74:T74"/>
    <mergeCell ref="U72:V73"/>
    <mergeCell ref="I76:T76"/>
    <mergeCell ref="U70:V71"/>
    <mergeCell ref="Y59:AA59"/>
    <mergeCell ref="I62:T62"/>
    <mergeCell ref="U62:V63"/>
    <mergeCell ref="W62:X63"/>
    <mergeCell ref="AM92:AP92"/>
    <mergeCell ref="AM89:AP89"/>
    <mergeCell ref="AH72:AI73"/>
    <mergeCell ref="W64:X65"/>
    <mergeCell ref="AH109:AI110"/>
    <mergeCell ref="AJ109:AL110"/>
    <mergeCell ref="AM109:AP109"/>
    <mergeCell ref="Y151:AA151"/>
    <mergeCell ref="U150:V151"/>
    <mergeCell ref="Y72:AA72"/>
    <mergeCell ref="AB72:AD73"/>
    <mergeCell ref="AM78:AP78"/>
    <mergeCell ref="Y66:AA66"/>
    <mergeCell ref="AQ76:AR77"/>
    <mergeCell ref="AE74:AG75"/>
    <mergeCell ref="AE62:AG63"/>
    <mergeCell ref="AM72:AP72"/>
    <mergeCell ref="Y65:AA65"/>
    <mergeCell ref="Y79:AA79"/>
    <mergeCell ref="AB66:AD67"/>
    <mergeCell ref="Y75:AA75"/>
    <mergeCell ref="AS150:AT151"/>
    <mergeCell ref="AW150:AX151"/>
    <mergeCell ref="AE72:AG73"/>
    <mergeCell ref="AE60:AG61"/>
    <mergeCell ref="AH31:AI32"/>
    <mergeCell ref="AE29:AG30"/>
    <mergeCell ref="AH29:AI30"/>
    <mergeCell ref="AM29:AP29"/>
    <mergeCell ref="AH136:AI137"/>
    <mergeCell ref="AJ136:AL137"/>
    <mergeCell ref="AM136:AP136"/>
    <mergeCell ref="AS113:AT114"/>
    <mergeCell ref="AU113:AV114"/>
    <mergeCell ref="AU60:AV61"/>
    <mergeCell ref="AQ56:AR57"/>
    <mergeCell ref="AJ78:AL79"/>
    <mergeCell ref="AJ97:AL98"/>
    <mergeCell ref="AM98:AP98"/>
    <mergeCell ref="AU35:AV36"/>
    <mergeCell ref="AS35:AT36"/>
    <mergeCell ref="AM79:AP79"/>
    <mergeCell ref="AW48:AX49"/>
    <mergeCell ref="AU150:AV151"/>
    <mergeCell ref="AQ29:AR30"/>
    <mergeCell ref="AH39:AI40"/>
    <mergeCell ref="AH56:AI57"/>
    <mergeCell ref="AH50:AI51"/>
    <mergeCell ref="AW60:AX61"/>
    <mergeCell ref="AM36:AP36"/>
    <mergeCell ref="AE50:AG51"/>
    <mergeCell ref="AQ97:AR98"/>
    <mergeCell ref="AU130:AV131"/>
    <mergeCell ref="BP32:BQ32"/>
    <mergeCell ref="AY150:AZ151"/>
    <mergeCell ref="BL102:BM102"/>
    <mergeCell ref="BR40:BS40"/>
    <mergeCell ref="BF97:BF98"/>
    <mergeCell ref="BP67:BQ67"/>
    <mergeCell ref="BR67:BS67"/>
    <mergeCell ref="BN117:BO117"/>
    <mergeCell ref="BN25:BO25"/>
    <mergeCell ref="BN75:BO75"/>
    <mergeCell ref="BL67:BM67"/>
    <mergeCell ref="AJ14:AL15"/>
    <mergeCell ref="AJ46:AL47"/>
    <mergeCell ref="AM21:AP21"/>
    <mergeCell ref="AM40:AP40"/>
    <mergeCell ref="AM60:AP60"/>
    <mergeCell ref="AM55:AP55"/>
    <mergeCell ref="AM76:AP76"/>
    <mergeCell ref="BF81:BF82"/>
    <mergeCell ref="BA98:BC98"/>
    <mergeCell ref="BA99:BC99"/>
    <mergeCell ref="BA100:BC100"/>
    <mergeCell ref="BG44:BK45"/>
    <mergeCell ref="BN60:BO60"/>
    <mergeCell ref="BG150:BK151"/>
    <mergeCell ref="BP114:BQ114"/>
    <mergeCell ref="BN21:BO21"/>
    <mergeCell ref="AS21:AT22"/>
    <mergeCell ref="BL65:BM65"/>
    <mergeCell ref="AQ93:AR94"/>
    <mergeCell ref="AJ119:AL120"/>
    <mergeCell ref="AM151:AP151"/>
    <mergeCell ref="BN32:BO32"/>
    <mergeCell ref="BN27:BO27"/>
    <mergeCell ref="BN151:BO151"/>
    <mergeCell ref="BG60:BK61"/>
    <mergeCell ref="BL52:BM52"/>
    <mergeCell ref="BF48:BF49"/>
    <mergeCell ref="BD54:BE55"/>
    <mergeCell ref="BA40:BC40"/>
    <mergeCell ref="BD44:BE45"/>
    <mergeCell ref="BA22:BC22"/>
    <mergeCell ref="BD52:BE53"/>
    <mergeCell ref="BF39:BF40"/>
    <mergeCell ref="BP40:BQ40"/>
    <mergeCell ref="BP151:BS151"/>
    <mergeCell ref="BR75:BS75"/>
    <mergeCell ref="BL37:BM37"/>
    <mergeCell ref="BP134:BQ134"/>
    <mergeCell ref="BR54:BS54"/>
    <mergeCell ref="BL88:BM88"/>
    <mergeCell ref="BA39:BC39"/>
    <mergeCell ref="BR73:BS73"/>
    <mergeCell ref="BR22:BS22"/>
    <mergeCell ref="BA150:BC150"/>
    <mergeCell ref="BA113:BC113"/>
    <mergeCell ref="BA114:BC114"/>
    <mergeCell ref="BA134:BC134"/>
    <mergeCell ref="BD66:BE67"/>
    <mergeCell ref="BN98:BO98"/>
    <mergeCell ref="BA94:BC94"/>
    <mergeCell ref="BA95:BC95"/>
    <mergeCell ref="BL150:BM150"/>
    <mergeCell ref="BA28:BC28"/>
    <mergeCell ref="BN54:BO54"/>
    <mergeCell ref="BG81:BK82"/>
    <mergeCell ref="BL81:BM81"/>
    <mergeCell ref="BA21:BC21"/>
    <mergeCell ref="BD81:BE82"/>
    <mergeCell ref="BA82:BC82"/>
    <mergeCell ref="BF74:BF75"/>
    <mergeCell ref="BN37:BO37"/>
    <mergeCell ref="BD89:BE90"/>
    <mergeCell ref="BF89:BF90"/>
    <mergeCell ref="BG89:BK90"/>
    <mergeCell ref="BL89:BM89"/>
    <mergeCell ref="BP103:BQ103"/>
    <mergeCell ref="BL103:BM103"/>
    <mergeCell ref="BN29:BO29"/>
    <mergeCell ref="BL29:BM29"/>
    <mergeCell ref="BL30:BM30"/>
    <mergeCell ref="BL49:BM49"/>
    <mergeCell ref="BL32:BM32"/>
    <mergeCell ref="BL31:BM31"/>
    <mergeCell ref="BG31:BK32"/>
    <mergeCell ref="BG52:BK53"/>
    <mergeCell ref="BL99:BM99"/>
    <mergeCell ref="BP96:BQ96"/>
    <mergeCell ref="BL53:BM53"/>
    <mergeCell ref="BN53:BO53"/>
    <mergeCell ref="BL66:BM66"/>
    <mergeCell ref="BN35:BO35"/>
    <mergeCell ref="BN93:BO93"/>
    <mergeCell ref="BN62:BO62"/>
    <mergeCell ref="BA66:BC66"/>
    <mergeCell ref="BF62:BF63"/>
    <mergeCell ref="BN22:BO22"/>
    <mergeCell ref="BP22:BQ22"/>
    <mergeCell ref="BN89:BO89"/>
    <mergeCell ref="BN64:BO64"/>
    <mergeCell ref="BG95:BK96"/>
    <mergeCell ref="BL76:BM76"/>
    <mergeCell ref="BP54:BQ54"/>
    <mergeCell ref="BL42:BO42"/>
    <mergeCell ref="BL33:BM33"/>
    <mergeCell ref="BL51:BM51"/>
    <mergeCell ref="BL95:BM95"/>
    <mergeCell ref="BL63:BM63"/>
    <mergeCell ref="BL34:BM34"/>
    <mergeCell ref="BL60:BM60"/>
    <mergeCell ref="BG33:BK34"/>
    <mergeCell ref="BN79:BO79"/>
    <mergeCell ref="BN59:BO59"/>
    <mergeCell ref="BP56:BQ56"/>
    <mergeCell ref="BP25:BQ25"/>
    <mergeCell ref="BP79:BQ79"/>
    <mergeCell ref="BP57:BQ57"/>
    <mergeCell ref="BP76:BQ76"/>
    <mergeCell ref="BL61:BM61"/>
    <mergeCell ref="BL93:BM93"/>
    <mergeCell ref="BL54:BM54"/>
    <mergeCell ref="BL56:BM56"/>
    <mergeCell ref="BP74:BQ74"/>
    <mergeCell ref="BP78:BQ78"/>
    <mergeCell ref="BP92:BQ92"/>
    <mergeCell ref="BN90:BO90"/>
    <mergeCell ref="BG91:BK92"/>
    <mergeCell ref="BP63:BQ63"/>
    <mergeCell ref="BV14:BV15"/>
    <mergeCell ref="BT72:BT73"/>
    <mergeCell ref="BP39:BQ39"/>
    <mergeCell ref="BR39:BS39"/>
    <mergeCell ref="BT62:BT63"/>
    <mergeCell ref="BT56:BT57"/>
    <mergeCell ref="BR25:BS25"/>
    <mergeCell ref="BN67:BO67"/>
    <mergeCell ref="BU66:BU67"/>
    <mergeCell ref="BR36:BS36"/>
    <mergeCell ref="BT42:BT43"/>
    <mergeCell ref="BV35:BV36"/>
    <mergeCell ref="BT50:BT51"/>
    <mergeCell ref="BU95:BU96"/>
    <mergeCell ref="BU78:BU79"/>
    <mergeCell ref="BN76:BO76"/>
    <mergeCell ref="BL50:BM50"/>
    <mergeCell ref="BL38:BM38"/>
    <mergeCell ref="BL48:BM48"/>
    <mergeCell ref="BL62:BM62"/>
    <mergeCell ref="BN94:BO94"/>
    <mergeCell ref="BT74:BT75"/>
    <mergeCell ref="BR92:BS92"/>
    <mergeCell ref="BR93:BS93"/>
    <mergeCell ref="BT83:BT84"/>
    <mergeCell ref="BU83:BU84"/>
    <mergeCell ref="BV83:BV84"/>
    <mergeCell ref="BU60:BU61"/>
    <mergeCell ref="BN55:BO55"/>
    <mergeCell ref="BP62:BQ62"/>
    <mergeCell ref="BU74:BU75"/>
    <mergeCell ref="BL96:BM96"/>
    <mergeCell ref="BX113:CB114"/>
    <mergeCell ref="BU113:BU114"/>
    <mergeCell ref="BT64:BT65"/>
    <mergeCell ref="BU102:BU103"/>
    <mergeCell ref="BW60:BW61"/>
    <mergeCell ref="BR114:BS114"/>
    <mergeCell ref="BV95:BV96"/>
    <mergeCell ref="BN66:BO66"/>
    <mergeCell ref="BP66:BQ66"/>
    <mergeCell ref="BX95:CB96"/>
    <mergeCell ref="BW113:BW114"/>
    <mergeCell ref="BX25:CB26"/>
    <mergeCell ref="BX102:CB103"/>
    <mergeCell ref="BW93:BW94"/>
    <mergeCell ref="BP94:BQ94"/>
    <mergeCell ref="BW119:BW120"/>
    <mergeCell ref="BV99:BV100"/>
    <mergeCell ref="BN58:BO58"/>
    <mergeCell ref="BR100:BS100"/>
    <mergeCell ref="BN73:BO73"/>
    <mergeCell ref="BV74:BV75"/>
    <mergeCell ref="BW107:BW108"/>
    <mergeCell ref="BX107:CB108"/>
    <mergeCell ref="BV72:BV73"/>
    <mergeCell ref="BR95:BS95"/>
    <mergeCell ref="BT95:BT96"/>
    <mergeCell ref="BN82:BO82"/>
    <mergeCell ref="BX48:CB49"/>
    <mergeCell ref="BW62:BW63"/>
    <mergeCell ref="BR109:BS109"/>
    <mergeCell ref="BP102:BQ102"/>
    <mergeCell ref="BP34:BQ34"/>
    <mergeCell ref="BW6:BW7"/>
    <mergeCell ref="BN72:BO72"/>
    <mergeCell ref="BX54:CB55"/>
    <mergeCell ref="BW21:BW22"/>
    <mergeCell ref="BW76:BW77"/>
    <mergeCell ref="BP26:BQ26"/>
    <mergeCell ref="BR21:BS21"/>
    <mergeCell ref="BT54:BT55"/>
    <mergeCell ref="BX64:CB65"/>
    <mergeCell ref="BR62:BS62"/>
    <mergeCell ref="BV78:BV79"/>
    <mergeCell ref="BW14:BW15"/>
    <mergeCell ref="BW64:BW65"/>
    <mergeCell ref="BX74:CB75"/>
    <mergeCell ref="BW66:BW67"/>
    <mergeCell ref="BX66:CB67"/>
    <mergeCell ref="BT66:BT67"/>
    <mergeCell ref="BV25:BV26"/>
    <mergeCell ref="BX21:CB22"/>
    <mergeCell ref="BT8:BT9"/>
    <mergeCell ref="BR6:BS6"/>
    <mergeCell ref="BR24:BS24"/>
    <mergeCell ref="BR23:BS23"/>
    <mergeCell ref="BT31:BT32"/>
    <mergeCell ref="BU64:BU65"/>
    <mergeCell ref="BR35:BS35"/>
    <mergeCell ref="BP42:BS42"/>
    <mergeCell ref="BR65:BS65"/>
    <mergeCell ref="BV64:BV65"/>
    <mergeCell ref="BT39:BT40"/>
    <mergeCell ref="BU39:BU40"/>
    <mergeCell ref="BV39:BV40"/>
    <mergeCell ref="BT150:BT151"/>
    <mergeCell ref="BD150:BE151"/>
    <mergeCell ref="BF150:BF151"/>
    <mergeCell ref="AW74:AX75"/>
    <mergeCell ref="BX72:CB73"/>
    <mergeCell ref="BV119:BV120"/>
    <mergeCell ref="BW81:BW82"/>
    <mergeCell ref="BG70:BK71"/>
    <mergeCell ref="BA76:BC76"/>
    <mergeCell ref="BA72:BC72"/>
    <mergeCell ref="BA73:BC73"/>
    <mergeCell ref="BA74:BC74"/>
    <mergeCell ref="BA75:BC75"/>
    <mergeCell ref="BF66:BF67"/>
    <mergeCell ref="BX81:CB82"/>
    <mergeCell ref="BU119:BU120"/>
    <mergeCell ref="BV102:BV103"/>
    <mergeCell ref="BU72:BU73"/>
    <mergeCell ref="BW97:BW98"/>
    <mergeCell ref="BX119:CB120"/>
    <mergeCell ref="BW102:BW103"/>
    <mergeCell ref="AW113:AX114"/>
    <mergeCell ref="BP87:BQ87"/>
    <mergeCell ref="BR87:BS87"/>
    <mergeCell ref="BT87:BT88"/>
    <mergeCell ref="BU87:BU88"/>
    <mergeCell ref="BV87:BV88"/>
    <mergeCell ref="BW87:BW88"/>
    <mergeCell ref="BX87:CB88"/>
    <mergeCell ref="BA88:BC88"/>
    <mergeCell ref="BG66:BK67"/>
    <mergeCell ref="AW66:AX67"/>
    <mergeCell ref="BX97:CB98"/>
    <mergeCell ref="BW72:BW73"/>
    <mergeCell ref="BW95:BW96"/>
    <mergeCell ref="BW35:BW36"/>
    <mergeCell ref="BR98:BS98"/>
    <mergeCell ref="BP98:BQ98"/>
    <mergeCell ref="BX35:CB36"/>
    <mergeCell ref="BX78:CB79"/>
    <mergeCell ref="BN57:BO57"/>
    <mergeCell ref="BX44:CB45"/>
    <mergeCell ref="BP61:BQ61"/>
    <mergeCell ref="BW50:BW51"/>
    <mergeCell ref="BN97:BO97"/>
    <mergeCell ref="BG62:BK63"/>
    <mergeCell ref="BN95:BO95"/>
    <mergeCell ref="BX56:CB57"/>
    <mergeCell ref="BT81:BT82"/>
    <mergeCell ref="BU81:BU82"/>
    <mergeCell ref="BL57:BM57"/>
    <mergeCell ref="BR91:BS91"/>
    <mergeCell ref="BV93:BV94"/>
    <mergeCell ref="BP97:BQ97"/>
    <mergeCell ref="BR76:BS76"/>
    <mergeCell ref="BT76:BT77"/>
    <mergeCell ref="BL97:BM97"/>
    <mergeCell ref="BL55:BM55"/>
    <mergeCell ref="BG72:BK73"/>
    <mergeCell ref="BL59:BM59"/>
    <mergeCell ref="BN47:BO47"/>
    <mergeCell ref="BN88:BO88"/>
    <mergeCell ref="BP88:BQ88"/>
    <mergeCell ref="BR88:BS88"/>
    <mergeCell ref="F37:H37"/>
    <mergeCell ref="W33:X34"/>
    <mergeCell ref="AB31:AD32"/>
    <mergeCell ref="AM30:AP30"/>
    <mergeCell ref="Y57:AA57"/>
    <mergeCell ref="I19:T19"/>
    <mergeCell ref="Y36:AA36"/>
    <mergeCell ref="Y40:AA40"/>
    <mergeCell ref="AE33:AG34"/>
    <mergeCell ref="AE12:AG13"/>
    <mergeCell ref="AS12:AT13"/>
    <mergeCell ref="AE31:AG32"/>
    <mergeCell ref="Y13:AA13"/>
    <mergeCell ref="AM15:AP15"/>
    <mergeCell ref="AJ33:AL34"/>
    <mergeCell ref="AQ19:AR20"/>
    <mergeCell ref="AS54:AT55"/>
    <mergeCell ref="AQ33:AR34"/>
    <mergeCell ref="U46:V47"/>
    <mergeCell ref="W46:X47"/>
    <mergeCell ref="AE48:AG49"/>
    <mergeCell ref="AQ46:AR47"/>
    <mergeCell ref="AS31:AT32"/>
    <mergeCell ref="AM28:AP28"/>
    <mergeCell ref="I23:T23"/>
    <mergeCell ref="I42:T42"/>
    <mergeCell ref="F55:T55"/>
    <mergeCell ref="AM34:AP34"/>
    <mergeCell ref="AS14:AT15"/>
    <mergeCell ref="AB14:AD15"/>
    <mergeCell ref="AM23:AP23"/>
    <mergeCell ref="AM24:AP24"/>
    <mergeCell ref="AH25:AI26"/>
    <mergeCell ref="U33:V34"/>
    <mergeCell ref="U54:V55"/>
    <mergeCell ref="U42:V43"/>
    <mergeCell ref="Y46:AA46"/>
    <mergeCell ref="AB46:AD47"/>
    <mergeCell ref="AE46:AG47"/>
    <mergeCell ref="AH46:AI47"/>
    <mergeCell ref="Y50:AA50"/>
    <mergeCell ref="W25:X26"/>
    <mergeCell ref="U35:V36"/>
    <mergeCell ref="AH76:AI77"/>
    <mergeCell ref="AJ76:AL77"/>
    <mergeCell ref="AH44:AI45"/>
    <mergeCell ref="AM56:AP56"/>
    <mergeCell ref="W56:X57"/>
    <mergeCell ref="Y45:AA45"/>
    <mergeCell ref="AE54:AG55"/>
    <mergeCell ref="AJ48:AL49"/>
    <mergeCell ref="AB56:AD57"/>
    <mergeCell ref="U66:V67"/>
    <mergeCell ref="W66:X67"/>
    <mergeCell ref="W58:X59"/>
    <mergeCell ref="W76:X77"/>
    <mergeCell ref="Y39:AA39"/>
    <mergeCell ref="Y38:AA38"/>
    <mergeCell ref="AM53:AP53"/>
    <mergeCell ref="Y26:AA26"/>
    <mergeCell ref="Y44:AA44"/>
    <mergeCell ref="Y53:AA53"/>
    <mergeCell ref="Y25:AA25"/>
    <mergeCell ref="AH62:AI63"/>
    <mergeCell ref="F7:T7"/>
    <mergeCell ref="D29:E30"/>
    <mergeCell ref="F29:H29"/>
    <mergeCell ref="D95:E96"/>
    <mergeCell ref="D35:E36"/>
    <mergeCell ref="D19:E20"/>
    <mergeCell ref="F10:H10"/>
    <mergeCell ref="W31:X32"/>
    <mergeCell ref="W19:X20"/>
    <mergeCell ref="Y81:AA81"/>
    <mergeCell ref="F57:T57"/>
    <mergeCell ref="Y29:AA29"/>
    <mergeCell ref="F62:H62"/>
    <mergeCell ref="F67:T67"/>
    <mergeCell ref="U60:V61"/>
    <mergeCell ref="U37:V38"/>
    <mergeCell ref="F20:T20"/>
    <mergeCell ref="F43:T43"/>
    <mergeCell ref="Y35:AA35"/>
    <mergeCell ref="W10:X11"/>
    <mergeCell ref="I33:T33"/>
    <mergeCell ref="D81:E82"/>
    <mergeCell ref="D91:E92"/>
    <mergeCell ref="F91:H91"/>
    <mergeCell ref="I91:T91"/>
    <mergeCell ref="F42:H42"/>
    <mergeCell ref="F26:T26"/>
    <mergeCell ref="F40:T40"/>
    <mergeCell ref="U17:V18"/>
    <mergeCell ref="Y60:AA60"/>
    <mergeCell ref="F48:H48"/>
    <mergeCell ref="D6:E7"/>
    <mergeCell ref="W6:X7"/>
    <mergeCell ref="AJ6:AL7"/>
    <mergeCell ref="W37:X38"/>
    <mergeCell ref="AE6:AG7"/>
    <mergeCell ref="AH8:AI9"/>
    <mergeCell ref="F50:H50"/>
    <mergeCell ref="AM63:AP63"/>
    <mergeCell ref="F81:H81"/>
    <mergeCell ref="I81:T81"/>
    <mergeCell ref="F82:T82"/>
    <mergeCell ref="AS44:AT45"/>
    <mergeCell ref="BA6:BC6"/>
    <mergeCell ref="U14:V15"/>
    <mergeCell ref="AB39:AD40"/>
    <mergeCell ref="AU29:AV30"/>
    <mergeCell ref="AB44:AD45"/>
    <mergeCell ref="AH33:AI34"/>
    <mergeCell ref="AS66:AT67"/>
    <mergeCell ref="W72:X73"/>
    <mergeCell ref="F76:H76"/>
    <mergeCell ref="AQ74:AR75"/>
    <mergeCell ref="F31:H31"/>
    <mergeCell ref="W60:X61"/>
    <mergeCell ref="Y62:AA62"/>
    <mergeCell ref="I72:T72"/>
    <mergeCell ref="U64:V65"/>
    <mergeCell ref="Y58:AA58"/>
    <mergeCell ref="AB70:AD71"/>
    <mergeCell ref="BA23:BC23"/>
    <mergeCell ref="BA7:BC7"/>
    <mergeCell ref="U25:V26"/>
    <mergeCell ref="F58:H58"/>
    <mergeCell ref="AY93:AZ94"/>
    <mergeCell ref="BL92:BM92"/>
    <mergeCell ref="BL82:BM82"/>
    <mergeCell ref="AW81:AX82"/>
    <mergeCell ref="AU109:AV110"/>
    <mergeCell ref="AW109:AX110"/>
    <mergeCell ref="AY109:AZ110"/>
    <mergeCell ref="BA109:BC109"/>
    <mergeCell ref="BA87:BC87"/>
    <mergeCell ref="BA108:BC108"/>
    <mergeCell ref="AU91:AV92"/>
    <mergeCell ref="AU81:AV82"/>
    <mergeCell ref="U81:V82"/>
    <mergeCell ref="W81:X82"/>
    <mergeCell ref="AS81:AT82"/>
    <mergeCell ref="AM96:AP96"/>
    <mergeCell ref="AJ95:AL96"/>
    <mergeCell ref="AB95:AD96"/>
    <mergeCell ref="AY95:AZ96"/>
    <mergeCell ref="AY81:AZ82"/>
    <mergeCell ref="U91:V92"/>
    <mergeCell ref="W91:X92"/>
    <mergeCell ref="Y91:AA91"/>
    <mergeCell ref="AB91:AD92"/>
    <mergeCell ref="AE91:AG92"/>
    <mergeCell ref="BA90:BC90"/>
    <mergeCell ref="AS95:AT96"/>
    <mergeCell ref="AW91:AX92"/>
    <mergeCell ref="AW95:AX96"/>
    <mergeCell ref="AU87:AV88"/>
    <mergeCell ref="BG109:BK110"/>
    <mergeCell ref="BL109:BM109"/>
    <mergeCell ref="AM91:AP91"/>
    <mergeCell ref="AQ91:AR92"/>
    <mergeCell ref="AM81:AP81"/>
    <mergeCell ref="AQ81:AR82"/>
    <mergeCell ref="AM22:AP22"/>
    <mergeCell ref="Y67:AA67"/>
    <mergeCell ref="AM67:AP67"/>
    <mergeCell ref="AQ64:AR65"/>
    <mergeCell ref="BA64:BC64"/>
    <mergeCell ref="AY62:AZ63"/>
    <mergeCell ref="BA61:BC61"/>
    <mergeCell ref="AH35:AI36"/>
    <mergeCell ref="Y76:AA76"/>
    <mergeCell ref="AB76:AD77"/>
    <mergeCell ref="AE76:AG77"/>
    <mergeCell ref="AU44:AV45"/>
    <mergeCell ref="AE44:AG45"/>
    <mergeCell ref="AM58:AP58"/>
    <mergeCell ref="AS62:AT63"/>
    <mergeCell ref="AE70:AG71"/>
    <mergeCell ref="AS70:AT71"/>
    <mergeCell ref="AY33:AZ34"/>
    <mergeCell ref="AY21:AZ22"/>
    <mergeCell ref="Y74:AA74"/>
    <mergeCell ref="AB74:AD75"/>
    <mergeCell ref="AQ70:AR71"/>
    <mergeCell ref="AW64:AX65"/>
    <mergeCell ref="Y73:AA73"/>
    <mergeCell ref="AB54:AD55"/>
    <mergeCell ref="Y37:AA37"/>
    <mergeCell ref="AB33:AD34"/>
    <mergeCell ref="AM25:AP25"/>
    <mergeCell ref="AS25:AT26"/>
    <mergeCell ref="AY52:AZ53"/>
    <mergeCell ref="AY74:AZ75"/>
    <mergeCell ref="BA45:BC45"/>
    <mergeCell ref="BA48:BC48"/>
    <mergeCell ref="BA49:BC49"/>
    <mergeCell ref="BA46:BC46"/>
    <mergeCell ref="BA58:BC58"/>
    <mergeCell ref="BA59:BC59"/>
    <mergeCell ref="BA60:BC60"/>
    <mergeCell ref="BA44:BC44"/>
    <mergeCell ref="AY56:AZ57"/>
    <mergeCell ref="AS60:AT61"/>
    <mergeCell ref="AM35:AP35"/>
    <mergeCell ref="BA26:BC26"/>
    <mergeCell ref="AW54:AX55"/>
    <mergeCell ref="AW62:AX63"/>
    <mergeCell ref="AM70:AP71"/>
    <mergeCell ref="AM61:AP61"/>
    <mergeCell ref="AM73:AP73"/>
    <mergeCell ref="AU64:AV65"/>
    <mergeCell ref="AQ72:AR73"/>
    <mergeCell ref="BA54:BC54"/>
    <mergeCell ref="AW70:AX71"/>
    <mergeCell ref="BA37:BC37"/>
    <mergeCell ref="AM62:AP62"/>
    <mergeCell ref="AS74:AT75"/>
    <mergeCell ref="AQ62:AR63"/>
    <mergeCell ref="BA56:BC56"/>
    <mergeCell ref="AS33:AT34"/>
    <mergeCell ref="AW72:AX73"/>
    <mergeCell ref="AQ42:AR43"/>
    <mergeCell ref="D64:E65"/>
    <mergeCell ref="D44:E45"/>
    <mergeCell ref="Y30:AA30"/>
    <mergeCell ref="AJ29:AL30"/>
    <mergeCell ref="AJ31:AL32"/>
    <mergeCell ref="AY35:AZ36"/>
    <mergeCell ref="AU62:AV63"/>
    <mergeCell ref="AW46:AX47"/>
    <mergeCell ref="AY46:AZ47"/>
    <mergeCell ref="AY50:AZ51"/>
    <mergeCell ref="AY60:AZ61"/>
    <mergeCell ref="AY70:AZ71"/>
    <mergeCell ref="AY39:AZ40"/>
    <mergeCell ref="Y61:AA61"/>
    <mergeCell ref="AM44:AP44"/>
    <mergeCell ref="AJ56:AL57"/>
    <mergeCell ref="F32:T32"/>
    <mergeCell ref="I35:T35"/>
    <mergeCell ref="F54:H54"/>
    <mergeCell ref="U48:V49"/>
    <mergeCell ref="AU31:AV32"/>
    <mergeCell ref="AW35:AX36"/>
    <mergeCell ref="AB29:AD30"/>
    <mergeCell ref="AM31:AP31"/>
    <mergeCell ref="AJ35:AL36"/>
    <mergeCell ref="F46:H46"/>
    <mergeCell ref="Y42:AA42"/>
    <mergeCell ref="AB42:AD43"/>
    <mergeCell ref="AB37:AD38"/>
    <mergeCell ref="AQ60:AR61"/>
    <mergeCell ref="AQ58:AR59"/>
    <mergeCell ref="AY58:AZ59"/>
    <mergeCell ref="AS111:AT112"/>
    <mergeCell ref="AU111:AV112"/>
    <mergeCell ref="AW111:AX112"/>
    <mergeCell ref="Y99:AA99"/>
    <mergeCell ref="W102:X103"/>
    <mergeCell ref="D107:E108"/>
    <mergeCell ref="F107:H107"/>
    <mergeCell ref="AB107:AD108"/>
    <mergeCell ref="AE107:AG108"/>
    <mergeCell ref="AH107:AI108"/>
    <mergeCell ref="AJ107:AL108"/>
    <mergeCell ref="AM107:AP107"/>
    <mergeCell ref="AQ107:AR108"/>
    <mergeCell ref="AS107:AT108"/>
    <mergeCell ref="F108:T108"/>
    <mergeCell ref="Y108:AA108"/>
    <mergeCell ref="AM108:AP108"/>
    <mergeCell ref="F103:T103"/>
    <mergeCell ref="AU102:AV103"/>
    <mergeCell ref="AW99:AX100"/>
    <mergeCell ref="D87:E88"/>
    <mergeCell ref="F87:H87"/>
    <mergeCell ref="I87:T87"/>
    <mergeCell ref="U87:V88"/>
    <mergeCell ref="W87:X88"/>
    <mergeCell ref="Y87:AA87"/>
    <mergeCell ref="AB87:AD88"/>
    <mergeCell ref="AE87:AG88"/>
    <mergeCell ref="AH87:AI88"/>
    <mergeCell ref="AJ87:AL88"/>
    <mergeCell ref="AE56:AG57"/>
    <mergeCell ref="AB48:AD49"/>
    <mergeCell ref="D58:E59"/>
    <mergeCell ref="BD78:BE79"/>
    <mergeCell ref="BA63:BC63"/>
    <mergeCell ref="AY111:AZ112"/>
    <mergeCell ref="D66:E67"/>
    <mergeCell ref="U76:V77"/>
    <mergeCell ref="F74:H74"/>
    <mergeCell ref="AJ66:AL67"/>
    <mergeCell ref="AM66:AP66"/>
    <mergeCell ref="AQ66:AR67"/>
    <mergeCell ref="Y98:AA98"/>
    <mergeCell ref="F95:H95"/>
    <mergeCell ref="AH91:AI92"/>
    <mergeCell ref="AJ91:AL92"/>
    <mergeCell ref="AW93:AX94"/>
    <mergeCell ref="AU95:AV96"/>
    <mergeCell ref="AY85:AZ86"/>
    <mergeCell ref="F112:T112"/>
    <mergeCell ref="Y112:AA112"/>
    <mergeCell ref="AM112:AP112"/>
    <mergeCell ref="BL9:BM9"/>
    <mergeCell ref="AW42:AX43"/>
    <mergeCell ref="AW25:AX26"/>
    <mergeCell ref="AW56:AX57"/>
    <mergeCell ref="AW52:AX53"/>
    <mergeCell ref="BG8:BK9"/>
    <mergeCell ref="AU78:AV79"/>
    <mergeCell ref="BF46:BF47"/>
    <mergeCell ref="BD62:BE63"/>
    <mergeCell ref="AU54:AV55"/>
    <mergeCell ref="BG46:BK47"/>
    <mergeCell ref="AU76:AV77"/>
    <mergeCell ref="AW76:AX77"/>
    <mergeCell ref="AY76:AZ77"/>
    <mergeCell ref="BG78:BK79"/>
    <mergeCell ref="AY78:AZ79"/>
    <mergeCell ref="BD21:BE22"/>
    <mergeCell ref="BF21:BF22"/>
    <mergeCell ref="BG74:BK75"/>
    <mergeCell ref="AW29:AX30"/>
    <mergeCell ref="AY48:AZ49"/>
    <mergeCell ref="AU46:AV47"/>
    <mergeCell ref="BA25:BC25"/>
    <mergeCell ref="AY25:AZ26"/>
    <mergeCell ref="AW21:AX22"/>
    <mergeCell ref="BL22:BM22"/>
    <mergeCell ref="BG54:BK55"/>
    <mergeCell ref="BD58:BE59"/>
    <mergeCell ref="BG29:BK30"/>
    <mergeCell ref="AY8:AZ9"/>
    <mergeCell ref="AU8:AV9"/>
    <mergeCell ref="BA20:BC20"/>
    <mergeCell ref="AQ44:AR45"/>
    <mergeCell ref="AH66:AI67"/>
    <mergeCell ref="Y93:AA93"/>
    <mergeCell ref="F100:T100"/>
    <mergeCell ref="U99:V100"/>
    <mergeCell ref="AB97:AD98"/>
    <mergeCell ref="AH95:AI96"/>
    <mergeCell ref="AE93:AG94"/>
    <mergeCell ref="AM95:AP95"/>
    <mergeCell ref="AU97:AV98"/>
    <mergeCell ref="AM87:AP87"/>
    <mergeCell ref="AQ87:AR88"/>
    <mergeCell ref="AS87:AT88"/>
    <mergeCell ref="Y82:AA82"/>
    <mergeCell ref="AM82:AP82"/>
    <mergeCell ref="AB81:AD82"/>
    <mergeCell ref="AE81:AG82"/>
    <mergeCell ref="AH81:AI82"/>
    <mergeCell ref="AJ81:AL82"/>
    <mergeCell ref="W95:X96"/>
    <mergeCell ref="AM54:AP54"/>
    <mergeCell ref="AJ62:AL63"/>
    <mergeCell ref="F56:H56"/>
    <mergeCell ref="AB50:AD51"/>
    <mergeCell ref="AH74:AI75"/>
    <mergeCell ref="AS78:AT79"/>
    <mergeCell ref="AS97:AT98"/>
    <mergeCell ref="AJ72:AL73"/>
    <mergeCell ref="Y63:AA63"/>
    <mergeCell ref="AS72:AT73"/>
    <mergeCell ref="AM46:AP46"/>
    <mergeCell ref="AM93:AP93"/>
    <mergeCell ref="BX76:CB77"/>
    <mergeCell ref="F77:T77"/>
    <mergeCell ref="Y77:AA77"/>
    <mergeCell ref="AM77:AP77"/>
    <mergeCell ref="BA77:BC77"/>
    <mergeCell ref="BL77:BM77"/>
    <mergeCell ref="BN77:BO77"/>
    <mergeCell ref="BP77:BQ77"/>
    <mergeCell ref="BR77:BS77"/>
    <mergeCell ref="BT46:BT47"/>
    <mergeCell ref="BU46:BU47"/>
    <mergeCell ref="BV46:BV47"/>
    <mergeCell ref="BW46:BW47"/>
    <mergeCell ref="BX46:CB47"/>
    <mergeCell ref="F47:T47"/>
    <mergeCell ref="Y47:AA47"/>
    <mergeCell ref="AM47:AP47"/>
    <mergeCell ref="BA47:BC47"/>
    <mergeCell ref="BL47:BM47"/>
    <mergeCell ref="AU70:AV71"/>
    <mergeCell ref="BF56:BF57"/>
    <mergeCell ref="AU74:AV75"/>
    <mergeCell ref="BA65:BC65"/>
    <mergeCell ref="BN46:BO46"/>
    <mergeCell ref="BT52:BT53"/>
    <mergeCell ref="BD56:BE57"/>
    <mergeCell ref="BD70:BE71"/>
    <mergeCell ref="BL46:BM46"/>
    <mergeCell ref="AS56:AT57"/>
    <mergeCell ref="AQ50:AR51"/>
    <mergeCell ref="AS64:AT65"/>
    <mergeCell ref="AJ64:AL65"/>
    <mergeCell ref="BW122:BW123"/>
    <mergeCell ref="BG111:BK112"/>
    <mergeCell ref="BW109:BW110"/>
    <mergeCell ref="BX109:CB110"/>
    <mergeCell ref="F110:T110"/>
    <mergeCell ref="Y110:AA110"/>
    <mergeCell ref="AM110:AP110"/>
    <mergeCell ref="BA110:BC110"/>
    <mergeCell ref="BL110:BM110"/>
    <mergeCell ref="BN110:BO110"/>
    <mergeCell ref="BP110:BQ110"/>
    <mergeCell ref="BR110:BS110"/>
    <mergeCell ref="BD107:BE108"/>
    <mergeCell ref="BF107:BF108"/>
    <mergeCell ref="BD109:BE110"/>
    <mergeCell ref="BN108:BO108"/>
    <mergeCell ref="BP108:BQ108"/>
    <mergeCell ref="BR108:BS108"/>
    <mergeCell ref="W109:X110"/>
    <mergeCell ref="Y109:AA109"/>
    <mergeCell ref="AB109:AD110"/>
    <mergeCell ref="AE109:AG110"/>
    <mergeCell ref="BN109:BO109"/>
    <mergeCell ref="BP109:BQ109"/>
    <mergeCell ref="F111:H111"/>
    <mergeCell ref="I111:T111"/>
    <mergeCell ref="U111:V112"/>
    <mergeCell ref="W111:X112"/>
    <mergeCell ref="Y111:AA111"/>
    <mergeCell ref="AB111:AD112"/>
    <mergeCell ref="AE111:AG112"/>
    <mergeCell ref="AH111:AI112"/>
    <mergeCell ref="D132:E133"/>
    <mergeCell ref="F132:H132"/>
    <mergeCell ref="I132:T132"/>
    <mergeCell ref="U132:V133"/>
    <mergeCell ref="W132:X133"/>
    <mergeCell ref="Y132:AA132"/>
    <mergeCell ref="AB132:AD133"/>
    <mergeCell ref="AE132:AG133"/>
    <mergeCell ref="AH132:AI133"/>
    <mergeCell ref="AJ132:AL133"/>
    <mergeCell ref="AM132:AP132"/>
    <mergeCell ref="AQ132:AR133"/>
    <mergeCell ref="AS132:AT133"/>
    <mergeCell ref="BN111:BO111"/>
    <mergeCell ref="BP111:BQ111"/>
    <mergeCell ref="BT122:BT123"/>
    <mergeCell ref="BA132:BC132"/>
    <mergeCell ref="BD132:BE133"/>
    <mergeCell ref="BF132:BF133"/>
    <mergeCell ref="BG132:BK133"/>
    <mergeCell ref="BL132:BM132"/>
    <mergeCell ref="BN132:BO132"/>
    <mergeCell ref="BP132:BQ132"/>
    <mergeCell ref="BD117:BE118"/>
    <mergeCell ref="AE113:AG114"/>
    <mergeCell ref="AH119:AI120"/>
    <mergeCell ref="F117:H117"/>
    <mergeCell ref="BD111:BE112"/>
    <mergeCell ref="D111:E112"/>
    <mergeCell ref="AJ111:AL112"/>
    <mergeCell ref="AM111:AP111"/>
    <mergeCell ref="AQ111:AR112"/>
    <mergeCell ref="BU97:BU98"/>
    <mergeCell ref="BA93:BC93"/>
    <mergeCell ref="BA112:BC112"/>
    <mergeCell ref="BL112:BM112"/>
    <mergeCell ref="BN112:BO112"/>
    <mergeCell ref="BP112:BQ112"/>
    <mergeCell ref="BR112:BS112"/>
    <mergeCell ref="BT97:BT98"/>
    <mergeCell ref="BR102:BS102"/>
    <mergeCell ref="BR99:BS99"/>
    <mergeCell ref="BF95:BF96"/>
    <mergeCell ref="BD99:BE100"/>
    <mergeCell ref="BG113:BK114"/>
    <mergeCell ref="BG107:BK108"/>
    <mergeCell ref="BL107:BM107"/>
    <mergeCell ref="BV111:BV112"/>
    <mergeCell ref="BW111:BW112"/>
    <mergeCell ref="BW99:BW100"/>
    <mergeCell ref="AY122:AZ123"/>
    <mergeCell ref="AW87:AX88"/>
    <mergeCell ref="D134:E135"/>
    <mergeCell ref="BA139:BC139"/>
    <mergeCell ref="BD134:BE135"/>
    <mergeCell ref="BN129:BO129"/>
    <mergeCell ref="BP129:BQ129"/>
    <mergeCell ref="BL126:BM126"/>
    <mergeCell ref="BN126:BO126"/>
    <mergeCell ref="BU122:BU123"/>
    <mergeCell ref="BV122:BV123"/>
    <mergeCell ref="BN107:BO107"/>
    <mergeCell ref="BP107:BQ107"/>
    <mergeCell ref="BA103:BC103"/>
    <mergeCell ref="BD113:BE114"/>
    <mergeCell ref="BT93:BT94"/>
    <mergeCell ref="BP93:BQ93"/>
    <mergeCell ref="BU117:BU118"/>
    <mergeCell ref="BT99:BT100"/>
    <mergeCell ref="BT109:BT110"/>
    <mergeCell ref="BF109:BF110"/>
    <mergeCell ref="AY87:AZ88"/>
    <mergeCell ref="D99:E100"/>
    <mergeCell ref="BA96:BC96"/>
    <mergeCell ref="BA97:BC97"/>
    <mergeCell ref="BV97:BV98"/>
    <mergeCell ref="BD138:BE139"/>
    <mergeCell ref="BF138:BF139"/>
    <mergeCell ref="BA136:BC136"/>
    <mergeCell ref="BT130:BT131"/>
    <mergeCell ref="BU130:BU131"/>
    <mergeCell ref="BD93:BE94"/>
    <mergeCell ref="AM133:AP133"/>
    <mergeCell ref="F88:T88"/>
    <mergeCell ref="Y88:AA88"/>
    <mergeCell ref="AM88:AP88"/>
    <mergeCell ref="AB134:AD135"/>
    <mergeCell ref="AE134:AG135"/>
    <mergeCell ref="D122:E123"/>
    <mergeCell ref="F122:H122"/>
    <mergeCell ref="I122:T122"/>
    <mergeCell ref="U122:V123"/>
    <mergeCell ref="W122:X123"/>
    <mergeCell ref="Y122:AA122"/>
    <mergeCell ref="AB122:AD123"/>
    <mergeCell ref="AE122:AG123"/>
    <mergeCell ref="BT132:BT133"/>
    <mergeCell ref="BU132:BU133"/>
    <mergeCell ref="BV132:BV133"/>
    <mergeCell ref="AM123:AP123"/>
    <mergeCell ref="BA123:BC123"/>
    <mergeCell ref="BL123:BM123"/>
    <mergeCell ref="BN123:BO123"/>
    <mergeCell ref="BP123:BQ123"/>
    <mergeCell ref="BR123:BS123"/>
    <mergeCell ref="AH122:AI123"/>
    <mergeCell ref="AJ122:AL123"/>
    <mergeCell ref="AM122:AP122"/>
    <mergeCell ref="D128:E129"/>
    <mergeCell ref="BG128:BK129"/>
    <mergeCell ref="AM126:AP126"/>
    <mergeCell ref="BA135:BC135"/>
    <mergeCell ref="BA122:BC122"/>
    <mergeCell ref="AW122:AX123"/>
    <mergeCell ref="W128:X129"/>
    <mergeCell ref="W134:X135"/>
    <mergeCell ref="BA137:BC137"/>
    <mergeCell ref="BX138:CB139"/>
    <mergeCell ref="AB138:AD139"/>
    <mergeCell ref="BV138:BV139"/>
    <mergeCell ref="BP139:BQ139"/>
    <mergeCell ref="BX136:CB137"/>
    <mergeCell ref="F137:T137"/>
    <mergeCell ref="Y137:AA137"/>
    <mergeCell ref="AM137:AP137"/>
    <mergeCell ref="BL137:BM137"/>
    <mergeCell ref="BN137:BO137"/>
    <mergeCell ref="BP137:BQ137"/>
    <mergeCell ref="BR137:BS137"/>
    <mergeCell ref="F136:H136"/>
    <mergeCell ref="I136:T136"/>
    <mergeCell ref="U136:V137"/>
    <mergeCell ref="BW132:BW133"/>
    <mergeCell ref="F138:H138"/>
    <mergeCell ref="BL139:BM139"/>
    <mergeCell ref="I138:T138"/>
    <mergeCell ref="AQ136:AR137"/>
    <mergeCell ref="AS136:AT137"/>
    <mergeCell ref="AU136:AV137"/>
    <mergeCell ref="AW136:AX137"/>
    <mergeCell ref="Y136:AA136"/>
    <mergeCell ref="AB136:AD137"/>
    <mergeCell ref="AE136:AG137"/>
    <mergeCell ref="BX132:CB133"/>
    <mergeCell ref="F133:T133"/>
    <mergeCell ref="Y133:AA133"/>
    <mergeCell ref="F139:T139"/>
    <mergeCell ref="BA133:BC133"/>
    <mergeCell ref="BL133:BM133"/>
    <mergeCell ref="BN133:BO133"/>
    <mergeCell ref="BP133:BQ133"/>
    <mergeCell ref="BR133:BS133"/>
    <mergeCell ref="AQ128:AR129"/>
    <mergeCell ref="BF128:BF129"/>
    <mergeCell ref="AB128:AD129"/>
    <mergeCell ref="BX130:CB131"/>
    <mergeCell ref="BL128:BM128"/>
    <mergeCell ref="BA138:BC138"/>
    <mergeCell ref="BX122:CB123"/>
    <mergeCell ref="AE126:AG127"/>
    <mergeCell ref="AH126:AI127"/>
    <mergeCell ref="AY136:AZ137"/>
    <mergeCell ref="BP136:BQ136"/>
    <mergeCell ref="BN138:BO138"/>
    <mergeCell ref="BD136:BE137"/>
    <mergeCell ref="BF136:BF137"/>
    <mergeCell ref="AW134:AX135"/>
    <mergeCell ref="BN136:BO136"/>
    <mergeCell ref="Y139:AA139"/>
    <mergeCell ref="BR139:BS139"/>
    <mergeCell ref="BG138:BK139"/>
    <mergeCell ref="BL138:BM138"/>
    <mergeCell ref="BG136:BK137"/>
    <mergeCell ref="BR134:BS134"/>
    <mergeCell ref="BT134:BT135"/>
    <mergeCell ref="AJ126:AL127"/>
    <mergeCell ref="BD128:BE129"/>
    <mergeCell ref="AY128:AZ129"/>
    <mergeCell ref="BX115:CB116"/>
    <mergeCell ref="F116:T116"/>
    <mergeCell ref="Y116:AA116"/>
    <mergeCell ref="AM116:AP116"/>
    <mergeCell ref="BA116:BC116"/>
    <mergeCell ref="BL116:BM116"/>
    <mergeCell ref="BN116:BO116"/>
    <mergeCell ref="BP116:BQ116"/>
    <mergeCell ref="BR116:BS116"/>
    <mergeCell ref="BN124:BO124"/>
    <mergeCell ref="BP124:BQ124"/>
    <mergeCell ref="BR124:BS124"/>
    <mergeCell ref="BT124:BT125"/>
    <mergeCell ref="BU124:BU125"/>
    <mergeCell ref="BV124:BV125"/>
    <mergeCell ref="BW124:BW125"/>
    <mergeCell ref="BX124:CB125"/>
    <mergeCell ref="F125:T125"/>
    <mergeCell ref="AM125:AP125"/>
    <mergeCell ref="BA125:BC125"/>
    <mergeCell ref="BL125:BM125"/>
    <mergeCell ref="BN125:BO125"/>
    <mergeCell ref="BP125:BQ125"/>
    <mergeCell ref="BR125:BS125"/>
    <mergeCell ref="F115:H115"/>
    <mergeCell ref="I115:T115"/>
    <mergeCell ref="U115:V116"/>
    <mergeCell ref="W115:X116"/>
    <mergeCell ref="Y115:AA115"/>
    <mergeCell ref="AB115:AD116"/>
    <mergeCell ref="AE115:AG116"/>
    <mergeCell ref="AH115:AI116"/>
    <mergeCell ref="BV115:BV116"/>
    <mergeCell ref="BW115:BW116"/>
    <mergeCell ref="BR128:BS128"/>
    <mergeCell ref="D115:E116"/>
    <mergeCell ref="AJ115:AL116"/>
    <mergeCell ref="AM115:AP115"/>
    <mergeCell ref="AQ115:AR116"/>
    <mergeCell ref="AS115:AT116"/>
    <mergeCell ref="AU115:AV116"/>
    <mergeCell ref="AW115:AX116"/>
    <mergeCell ref="AY115:AZ116"/>
    <mergeCell ref="BD122:BE123"/>
    <mergeCell ref="BF122:BF123"/>
    <mergeCell ref="BG122:BK123"/>
    <mergeCell ref="BL122:BM122"/>
    <mergeCell ref="BN122:BO122"/>
    <mergeCell ref="BP122:BQ122"/>
    <mergeCell ref="BR122:BS122"/>
    <mergeCell ref="I117:T117"/>
    <mergeCell ref="U117:V118"/>
    <mergeCell ref="D124:E125"/>
    <mergeCell ref="F124:H124"/>
    <mergeCell ref="I124:T124"/>
    <mergeCell ref="U124:V125"/>
    <mergeCell ref="W124:X125"/>
    <mergeCell ref="Y124:AA124"/>
    <mergeCell ref="AB124:AD125"/>
    <mergeCell ref="AE124:AG125"/>
    <mergeCell ref="AH124:AI125"/>
    <mergeCell ref="AJ124:AL125"/>
    <mergeCell ref="AM124:AP124"/>
    <mergeCell ref="AQ124:AR125"/>
    <mergeCell ref="B6:C15"/>
    <mergeCell ref="BP89:BS89"/>
    <mergeCell ref="BP90:BS90"/>
    <mergeCell ref="E145:G145"/>
    <mergeCell ref="E144:G144"/>
    <mergeCell ref="AM117:AP117"/>
    <mergeCell ref="E143:G143"/>
    <mergeCell ref="BA115:BC115"/>
    <mergeCell ref="BD115:BE116"/>
    <mergeCell ref="BF115:BF116"/>
    <mergeCell ref="BG115:BK116"/>
    <mergeCell ref="BL115:BM115"/>
    <mergeCell ref="BN115:BO115"/>
    <mergeCell ref="BP115:BQ115"/>
    <mergeCell ref="BR115:BS115"/>
    <mergeCell ref="BT115:BT116"/>
    <mergeCell ref="BU115:BU116"/>
    <mergeCell ref="W136:X137"/>
    <mergeCell ref="BP138:BQ138"/>
    <mergeCell ref="BR138:BS138"/>
    <mergeCell ref="AY138:AZ139"/>
    <mergeCell ref="AY134:AZ135"/>
    <mergeCell ref="AS124:AT125"/>
    <mergeCell ref="AU124:AV125"/>
    <mergeCell ref="AW124:AX125"/>
    <mergeCell ref="AY124:AZ125"/>
    <mergeCell ref="BA124:BC124"/>
    <mergeCell ref="BD124:BE125"/>
    <mergeCell ref="BF124:BF125"/>
    <mergeCell ref="BG124:BK125"/>
    <mergeCell ref="BL124:BM124"/>
    <mergeCell ref="D136:E137"/>
  </mergeCells>
  <phoneticPr fontId="4"/>
  <pageMargins left="0.23622047244094491" right="0.23622047244094491" top="0.39370078740157483" bottom="0.35433070866141736" header="0.31496062992125984" footer="0.31496062992125984"/>
  <pageSetup paperSize="9" scale="26" fitToHeight="0" orientation="landscape" r:id="rId1"/>
  <rowBreaks count="2" manualBreakCount="2">
    <brk id="67" max="79" man="1"/>
    <brk id="139" max="79" man="1"/>
  </row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sheetPr>
  <dimension ref="A1:GP406"/>
  <sheetViews>
    <sheetView view="pageBreakPreview" zoomScale="70" zoomScaleNormal="70" zoomScaleSheetLayoutView="70" workbookViewId="0">
      <pane xSplit="24" ySplit="5" topLeftCell="Y6" activePane="bottomRight" state="frozen"/>
      <selection pane="topRight" activeCell="U1" sqref="U1"/>
      <selection pane="bottomLeft" activeCell="A6" sqref="A6"/>
      <selection pane="bottomRight" activeCell="FB332" sqref="FB332"/>
    </sheetView>
  </sheetViews>
  <sheetFormatPr defaultColWidth="9" defaultRowHeight="13.5" outlineLevelRow="1" outlineLevelCol="1"/>
  <cols>
    <col min="1" max="1" width="8.75" style="88" customWidth="1"/>
    <col min="2" max="2" width="9.625" style="88" customWidth="1"/>
    <col min="3" max="3" width="4.625" style="88" customWidth="1"/>
    <col min="4" max="4" width="6.125" style="10" customWidth="1"/>
    <col min="5" max="16" width="3.125" style="10" customWidth="1"/>
    <col min="17" max="17" width="6.5" style="10" customWidth="1"/>
    <col min="18" max="18" width="6.625" style="10" customWidth="1"/>
    <col min="19" max="24" width="3.125" style="10" hidden="1" customWidth="1" outlineLevel="1"/>
    <col min="25" max="25" width="3.125" style="10" hidden="1" customWidth="1" outlineLevel="1" collapsed="1"/>
    <col min="26" max="30" width="3.125" style="10" hidden="1" customWidth="1" outlineLevel="1"/>
    <col min="31" max="31" width="3.875" style="10" hidden="1" customWidth="1" outlineLevel="1" collapsed="1"/>
    <col min="32" max="36" width="3.875" style="10" hidden="1" customWidth="1" outlineLevel="1"/>
    <col min="37" max="37" width="3.625" style="10" hidden="1" customWidth="1" outlineLevel="1" collapsed="1"/>
    <col min="38" max="42" width="3.625" style="10" hidden="1" customWidth="1" outlineLevel="1"/>
    <col min="43" max="43" width="3.625" style="10" hidden="1" customWidth="1" outlineLevel="1" collapsed="1"/>
    <col min="44" max="48" width="3.625" style="10" hidden="1" customWidth="1" outlineLevel="1"/>
    <col min="49" max="49" width="4.125" style="10" hidden="1" customWidth="1" outlineLevel="1" collapsed="1"/>
    <col min="50" max="54" width="4.125" style="10" hidden="1" customWidth="1" outlineLevel="1"/>
    <col min="55" max="55" width="4.125" style="10" hidden="1" customWidth="1" outlineLevel="1" collapsed="1"/>
    <col min="56" max="60" width="4.125" style="10" hidden="1" customWidth="1" outlineLevel="1"/>
    <col min="61" max="61" width="4.125" style="10" hidden="1" customWidth="1" outlineLevel="1" collapsed="1"/>
    <col min="62" max="66" width="4.125" style="10" hidden="1" customWidth="1" outlineLevel="1"/>
    <col min="67" max="67" width="4.125" style="10" hidden="1" customWidth="1" outlineLevel="1" collapsed="1"/>
    <col min="68" max="72" width="4.125" style="10" hidden="1" customWidth="1" outlineLevel="1"/>
    <col min="73" max="73" width="4.125" style="10" hidden="1" customWidth="1" outlineLevel="1" collapsed="1"/>
    <col min="74" max="78" width="4.125" style="10" hidden="1" customWidth="1" outlineLevel="1"/>
    <col min="79" max="79" width="4.125" style="10" hidden="1" customWidth="1" outlineLevel="1" collapsed="1"/>
    <col min="80" max="84" width="4.125" style="10" hidden="1" customWidth="1" outlineLevel="1"/>
    <col min="85" max="85" width="4.125" style="10" hidden="1" customWidth="1" outlineLevel="1" collapsed="1"/>
    <col min="86" max="90" width="4.125" style="10" hidden="1" customWidth="1" outlineLevel="1"/>
    <col min="91" max="91" width="3.625" style="10" hidden="1" customWidth="1" outlineLevel="1" collapsed="1"/>
    <col min="92" max="96" width="3.625" style="10" hidden="1" customWidth="1" outlineLevel="1"/>
    <col min="97" max="97" width="3.625" style="10" hidden="1" customWidth="1" outlineLevel="1" collapsed="1"/>
    <col min="98" max="102" width="3.625" style="10" hidden="1" customWidth="1" outlineLevel="1"/>
    <col min="103" max="103" width="3.625" style="10" hidden="1" customWidth="1" outlineLevel="1" collapsed="1"/>
    <col min="104" max="108" width="3.625" style="10" hidden="1" customWidth="1" outlineLevel="1"/>
    <col min="109" max="109" width="4.875" style="10" hidden="1" customWidth="1" outlineLevel="1" collapsed="1"/>
    <col min="110" max="114" width="4.875" style="10" hidden="1" customWidth="1" outlineLevel="1"/>
    <col min="115" max="115" width="4.875" style="10" hidden="1" customWidth="1" outlineLevel="1" collapsed="1"/>
    <col min="116" max="120" width="4.875" style="10" hidden="1" customWidth="1" outlineLevel="1"/>
    <col min="121" max="121" width="4.875" style="10" hidden="1" customWidth="1" outlineLevel="1" collapsed="1"/>
    <col min="122" max="126" width="4.875" style="10" hidden="1" customWidth="1" outlineLevel="1"/>
    <col min="127" max="127" width="4.875" style="10" hidden="1" customWidth="1" outlineLevel="1" collapsed="1"/>
    <col min="128" max="132" width="4.875" style="10" hidden="1" customWidth="1" outlineLevel="1"/>
    <col min="133" max="133" width="4.875" style="10" hidden="1" customWidth="1" outlineLevel="1" collapsed="1"/>
    <col min="134" max="138" width="4.875" style="10" hidden="1" customWidth="1" outlineLevel="1"/>
    <col min="139" max="139" width="4.875" style="10" hidden="1" customWidth="1" outlineLevel="1" collapsed="1"/>
    <col min="140" max="144" width="4.875" style="10" hidden="1" customWidth="1" outlineLevel="1"/>
    <col min="145" max="145" width="4.875" style="10" hidden="1" customWidth="1" outlineLevel="1" collapsed="1"/>
    <col min="146" max="150" width="4.875" style="10" hidden="1" customWidth="1" outlineLevel="1"/>
    <col min="151" max="151" width="4.875" style="10" hidden="1" customWidth="1" outlineLevel="1" collapsed="1"/>
    <col min="152" max="156" width="4.875" style="10" hidden="1" customWidth="1" outlineLevel="1"/>
    <col min="157" max="157" width="4.875" style="10" customWidth="1" collapsed="1"/>
    <col min="158" max="199" width="4.875" style="10" customWidth="1"/>
    <col min="200" max="16384" width="9" style="10"/>
  </cols>
  <sheetData>
    <row r="1" spans="1:198" ht="13.5" customHeight="1">
      <c r="GL1" s="2664" t="s">
        <v>8159</v>
      </c>
      <c r="GM1" s="2665"/>
      <c r="GN1" s="2665"/>
      <c r="GO1" s="2665"/>
      <c r="GP1" s="2666"/>
    </row>
    <row r="2" spans="1:198" ht="14.25" customHeight="1" thickBot="1">
      <c r="GL2" s="2667"/>
      <c r="GM2" s="2668"/>
      <c r="GN2" s="2668"/>
      <c r="GO2" s="2668"/>
      <c r="GP2" s="2669"/>
    </row>
    <row r="3" spans="1:198" ht="20.100000000000001" customHeight="1" thickBot="1">
      <c r="A3" s="48" t="s">
        <v>10549</v>
      </c>
      <c r="B3" s="48"/>
      <c r="C3" s="10"/>
      <c r="GL3" s="2670">
        <f ca="1">TODAY()</f>
        <v>44132</v>
      </c>
      <c r="GM3" s="2670"/>
      <c r="GN3" s="2670"/>
      <c r="GO3" s="2670"/>
      <c r="GP3" s="2670"/>
    </row>
    <row r="4" spans="1:198" ht="20.100000000000001" customHeight="1">
      <c r="A4" s="2642" t="s">
        <v>10757</v>
      </c>
      <c r="B4" s="2643"/>
      <c r="C4" s="2643"/>
      <c r="D4" s="2643"/>
      <c r="E4" s="2643"/>
      <c r="F4" s="2643"/>
      <c r="G4" s="2643"/>
      <c r="H4" s="2643"/>
      <c r="I4" s="2643"/>
      <c r="J4" s="2643"/>
      <c r="K4" s="2643"/>
      <c r="L4" s="2643"/>
      <c r="M4" s="2643"/>
      <c r="N4" s="2643"/>
      <c r="O4" s="2643"/>
      <c r="P4" s="2643"/>
      <c r="Q4" s="2643"/>
      <c r="R4" s="2643"/>
      <c r="S4" s="2640">
        <v>43374</v>
      </c>
      <c r="T4" s="2634"/>
      <c r="U4" s="2634"/>
      <c r="V4" s="2634"/>
      <c r="W4" s="2634"/>
      <c r="X4" s="2635"/>
      <c r="Y4" s="2633">
        <v>43405</v>
      </c>
      <c r="Z4" s="2634"/>
      <c r="AA4" s="2634"/>
      <c r="AB4" s="2634"/>
      <c r="AC4" s="2634"/>
      <c r="AD4" s="2635"/>
      <c r="AE4" s="2633">
        <v>43435</v>
      </c>
      <c r="AF4" s="2634"/>
      <c r="AG4" s="2634"/>
      <c r="AH4" s="2634"/>
      <c r="AI4" s="2634"/>
      <c r="AJ4" s="2635"/>
      <c r="AK4" s="2633">
        <v>43466</v>
      </c>
      <c r="AL4" s="2634"/>
      <c r="AM4" s="2634"/>
      <c r="AN4" s="2634"/>
      <c r="AO4" s="2634"/>
      <c r="AP4" s="2634"/>
      <c r="AQ4" s="2640">
        <v>43497</v>
      </c>
      <c r="AR4" s="2634"/>
      <c r="AS4" s="2634"/>
      <c r="AT4" s="2634"/>
      <c r="AU4" s="2634"/>
      <c r="AV4" s="2635"/>
      <c r="AW4" s="2633">
        <v>43556</v>
      </c>
      <c r="AX4" s="2634"/>
      <c r="AY4" s="2634"/>
      <c r="AZ4" s="2634"/>
      <c r="BA4" s="2634"/>
      <c r="BB4" s="2635"/>
      <c r="BC4" s="2633">
        <v>43586</v>
      </c>
      <c r="BD4" s="2634"/>
      <c r="BE4" s="2634"/>
      <c r="BF4" s="2634"/>
      <c r="BG4" s="2634"/>
      <c r="BH4" s="2635"/>
      <c r="BI4" s="2633">
        <v>43617</v>
      </c>
      <c r="BJ4" s="2634"/>
      <c r="BK4" s="2634"/>
      <c r="BL4" s="2634"/>
      <c r="BM4" s="2634"/>
      <c r="BN4" s="2635"/>
      <c r="BO4" s="2633">
        <v>43647</v>
      </c>
      <c r="BP4" s="2634"/>
      <c r="BQ4" s="2634"/>
      <c r="BR4" s="2634"/>
      <c r="BS4" s="2634"/>
      <c r="BT4" s="2635"/>
      <c r="BU4" s="2633">
        <v>43678</v>
      </c>
      <c r="BV4" s="2634"/>
      <c r="BW4" s="2634"/>
      <c r="BX4" s="2634"/>
      <c r="BY4" s="2634"/>
      <c r="BZ4" s="2635"/>
      <c r="CA4" s="2633">
        <v>43709</v>
      </c>
      <c r="CB4" s="2634"/>
      <c r="CC4" s="2634"/>
      <c r="CD4" s="2634"/>
      <c r="CE4" s="2634"/>
      <c r="CF4" s="2635"/>
      <c r="CG4" s="2633">
        <v>43739</v>
      </c>
      <c r="CH4" s="2634"/>
      <c r="CI4" s="2634"/>
      <c r="CJ4" s="2634"/>
      <c r="CK4" s="2634"/>
      <c r="CL4" s="2635"/>
      <c r="CM4" s="2633">
        <v>43770</v>
      </c>
      <c r="CN4" s="2634"/>
      <c r="CO4" s="2634"/>
      <c r="CP4" s="2634"/>
      <c r="CQ4" s="2634"/>
      <c r="CR4" s="2635"/>
      <c r="CS4" s="2633">
        <v>43800</v>
      </c>
      <c r="CT4" s="2634"/>
      <c r="CU4" s="2634"/>
      <c r="CV4" s="2634"/>
      <c r="CW4" s="2634"/>
      <c r="CX4" s="2635"/>
      <c r="CY4" s="2633">
        <v>43831</v>
      </c>
      <c r="CZ4" s="2634"/>
      <c r="DA4" s="2634"/>
      <c r="DB4" s="2634"/>
      <c r="DC4" s="2634"/>
      <c r="DD4" s="2635"/>
      <c r="DE4" s="2633">
        <v>43862</v>
      </c>
      <c r="DF4" s="2634"/>
      <c r="DG4" s="2634"/>
      <c r="DH4" s="2634"/>
      <c r="DI4" s="2634"/>
      <c r="DJ4" s="2635"/>
      <c r="DK4" s="2633">
        <v>43891</v>
      </c>
      <c r="DL4" s="2634"/>
      <c r="DM4" s="2634"/>
      <c r="DN4" s="2634"/>
      <c r="DO4" s="2634"/>
      <c r="DP4" s="2635"/>
      <c r="DQ4" s="2633">
        <v>43922</v>
      </c>
      <c r="DR4" s="2634"/>
      <c r="DS4" s="2634"/>
      <c r="DT4" s="2634"/>
      <c r="DU4" s="2634"/>
      <c r="DV4" s="2635"/>
      <c r="DW4" s="2633">
        <v>43952</v>
      </c>
      <c r="DX4" s="2634"/>
      <c r="DY4" s="2634"/>
      <c r="DZ4" s="2634"/>
      <c r="EA4" s="2634"/>
      <c r="EB4" s="2635"/>
      <c r="EC4" s="2633">
        <v>43983</v>
      </c>
      <c r="ED4" s="2634"/>
      <c r="EE4" s="2634"/>
      <c r="EF4" s="2634"/>
      <c r="EG4" s="2634"/>
      <c r="EH4" s="2635"/>
      <c r="EI4" s="2633">
        <v>44013</v>
      </c>
      <c r="EJ4" s="2634"/>
      <c r="EK4" s="2634"/>
      <c r="EL4" s="2634"/>
      <c r="EM4" s="2634"/>
      <c r="EN4" s="2635"/>
      <c r="EO4" s="2633">
        <v>44044</v>
      </c>
      <c r="EP4" s="2634"/>
      <c r="EQ4" s="2634"/>
      <c r="ER4" s="2634"/>
      <c r="ES4" s="2634"/>
      <c r="ET4" s="2635"/>
      <c r="EU4" s="2633">
        <v>44075</v>
      </c>
      <c r="EV4" s="2634"/>
      <c r="EW4" s="2634"/>
      <c r="EX4" s="2634"/>
      <c r="EY4" s="2634"/>
      <c r="EZ4" s="2635"/>
      <c r="FA4" s="2633">
        <v>44105</v>
      </c>
      <c r="FB4" s="2634"/>
      <c r="FC4" s="2634"/>
      <c r="FD4" s="2634"/>
      <c r="FE4" s="2634"/>
      <c r="FF4" s="2635"/>
      <c r="FG4" s="2633">
        <v>44136</v>
      </c>
      <c r="FH4" s="2634"/>
      <c r="FI4" s="2634"/>
      <c r="FJ4" s="2634"/>
      <c r="FK4" s="2634"/>
      <c r="FL4" s="2635"/>
      <c r="FM4" s="2633">
        <v>44166</v>
      </c>
      <c r="FN4" s="2634"/>
      <c r="FO4" s="2634"/>
      <c r="FP4" s="2634"/>
      <c r="FQ4" s="2634"/>
      <c r="FR4" s="2635"/>
      <c r="FS4" s="2633">
        <v>44197</v>
      </c>
      <c r="FT4" s="2634"/>
      <c r="FU4" s="2634"/>
      <c r="FV4" s="2634"/>
      <c r="FW4" s="2634"/>
      <c r="FX4" s="2635"/>
      <c r="FY4" s="2633">
        <v>44228</v>
      </c>
      <c r="FZ4" s="2634"/>
      <c r="GA4" s="2634"/>
      <c r="GB4" s="2634"/>
      <c r="GC4" s="2634"/>
      <c r="GD4" s="2635"/>
      <c r="GE4" s="2633">
        <v>44256</v>
      </c>
      <c r="GF4" s="2634"/>
      <c r="GG4" s="2634"/>
      <c r="GH4" s="2634"/>
      <c r="GI4" s="2634"/>
      <c r="GJ4" s="2635"/>
      <c r="GK4" s="2633">
        <v>44287</v>
      </c>
      <c r="GL4" s="2634"/>
      <c r="GM4" s="2634"/>
      <c r="GN4" s="2634"/>
      <c r="GO4" s="2634"/>
      <c r="GP4" s="2635"/>
    </row>
    <row r="5" spans="1:198" ht="20.100000000000001" customHeight="1" thickBot="1">
      <c r="A5" s="2644"/>
      <c r="B5" s="2645"/>
      <c r="C5" s="2645"/>
      <c r="D5" s="2645"/>
      <c r="E5" s="2645"/>
      <c r="F5" s="2645"/>
      <c r="G5" s="2645"/>
      <c r="H5" s="2645"/>
      <c r="I5" s="2645"/>
      <c r="J5" s="2645"/>
      <c r="K5" s="2645"/>
      <c r="L5" s="2645"/>
      <c r="M5" s="2645"/>
      <c r="N5" s="2645"/>
      <c r="O5" s="2645"/>
      <c r="P5" s="2645"/>
      <c r="Q5" s="2645"/>
      <c r="R5" s="2645"/>
      <c r="S5" s="50">
        <v>1</v>
      </c>
      <c r="T5" s="2636">
        <v>10</v>
      </c>
      <c r="U5" s="2636"/>
      <c r="V5" s="2636">
        <v>20</v>
      </c>
      <c r="W5" s="2636"/>
      <c r="X5" s="49">
        <v>30</v>
      </c>
      <c r="Y5" s="50">
        <v>1</v>
      </c>
      <c r="Z5" s="2636">
        <v>10</v>
      </c>
      <c r="AA5" s="2636"/>
      <c r="AB5" s="2636">
        <v>20</v>
      </c>
      <c r="AC5" s="2636"/>
      <c r="AD5" s="51">
        <v>30</v>
      </c>
      <c r="AE5" s="52">
        <v>1</v>
      </c>
      <c r="AF5" s="2636">
        <v>10</v>
      </c>
      <c r="AG5" s="2636"/>
      <c r="AH5" s="2636">
        <v>20</v>
      </c>
      <c r="AI5" s="2636"/>
      <c r="AJ5" s="49">
        <v>30</v>
      </c>
      <c r="AK5" s="50">
        <v>1</v>
      </c>
      <c r="AL5" s="2636">
        <v>10</v>
      </c>
      <c r="AM5" s="2636"/>
      <c r="AN5" s="2636">
        <v>20</v>
      </c>
      <c r="AO5" s="2636"/>
      <c r="AP5" s="51">
        <v>30</v>
      </c>
      <c r="AQ5" s="85">
        <v>1</v>
      </c>
      <c r="AR5" s="2636">
        <v>10</v>
      </c>
      <c r="AS5" s="2636"/>
      <c r="AT5" s="2636">
        <v>20</v>
      </c>
      <c r="AU5" s="2636"/>
      <c r="AV5" s="49">
        <v>30</v>
      </c>
      <c r="AW5" s="52">
        <v>1</v>
      </c>
      <c r="AX5" s="2636">
        <v>10</v>
      </c>
      <c r="AY5" s="2636"/>
      <c r="AZ5" s="2636">
        <v>20</v>
      </c>
      <c r="BA5" s="2636"/>
      <c r="BB5" s="49">
        <v>30</v>
      </c>
      <c r="BC5" s="50">
        <v>1</v>
      </c>
      <c r="BD5" s="2636">
        <v>10</v>
      </c>
      <c r="BE5" s="2636"/>
      <c r="BF5" s="2636">
        <v>20</v>
      </c>
      <c r="BG5" s="2636"/>
      <c r="BH5" s="51">
        <v>30</v>
      </c>
      <c r="BI5" s="52">
        <v>1</v>
      </c>
      <c r="BJ5" s="2636">
        <v>10</v>
      </c>
      <c r="BK5" s="2636"/>
      <c r="BL5" s="2636">
        <v>20</v>
      </c>
      <c r="BM5" s="2636"/>
      <c r="BN5" s="49">
        <v>30</v>
      </c>
      <c r="BO5" s="52">
        <v>1</v>
      </c>
      <c r="BP5" s="2636">
        <v>10</v>
      </c>
      <c r="BQ5" s="2636"/>
      <c r="BR5" s="2636">
        <v>20</v>
      </c>
      <c r="BS5" s="2636"/>
      <c r="BT5" s="49">
        <v>30</v>
      </c>
      <c r="BU5" s="52">
        <v>1</v>
      </c>
      <c r="BV5" s="2636">
        <v>10</v>
      </c>
      <c r="BW5" s="2636"/>
      <c r="BX5" s="2636">
        <v>20</v>
      </c>
      <c r="BY5" s="2636"/>
      <c r="BZ5" s="49">
        <v>30</v>
      </c>
      <c r="CA5" s="52">
        <v>1</v>
      </c>
      <c r="CB5" s="2636">
        <v>10</v>
      </c>
      <c r="CC5" s="2636"/>
      <c r="CD5" s="2636">
        <v>20</v>
      </c>
      <c r="CE5" s="2636"/>
      <c r="CF5" s="49">
        <v>30</v>
      </c>
      <c r="CG5" s="52">
        <v>1</v>
      </c>
      <c r="CH5" s="2636">
        <v>10</v>
      </c>
      <c r="CI5" s="2636"/>
      <c r="CJ5" s="2636">
        <v>20</v>
      </c>
      <c r="CK5" s="2636"/>
      <c r="CL5" s="49">
        <v>30</v>
      </c>
      <c r="CM5" s="52">
        <v>1</v>
      </c>
      <c r="CN5" s="2636">
        <v>10</v>
      </c>
      <c r="CO5" s="2636"/>
      <c r="CP5" s="2636">
        <v>20</v>
      </c>
      <c r="CQ5" s="2636"/>
      <c r="CR5" s="49">
        <v>30</v>
      </c>
      <c r="CS5" s="52">
        <v>1</v>
      </c>
      <c r="CT5" s="2636">
        <v>10</v>
      </c>
      <c r="CU5" s="2636"/>
      <c r="CV5" s="2636">
        <v>20</v>
      </c>
      <c r="CW5" s="2636"/>
      <c r="CX5" s="49">
        <v>30</v>
      </c>
      <c r="CY5" s="52">
        <v>1</v>
      </c>
      <c r="CZ5" s="2636">
        <v>10</v>
      </c>
      <c r="DA5" s="2636"/>
      <c r="DB5" s="2636">
        <v>20</v>
      </c>
      <c r="DC5" s="2636"/>
      <c r="DD5" s="49">
        <v>30</v>
      </c>
      <c r="DE5" s="52">
        <v>1</v>
      </c>
      <c r="DF5" s="2636">
        <v>10</v>
      </c>
      <c r="DG5" s="2636"/>
      <c r="DH5" s="2636">
        <v>20</v>
      </c>
      <c r="DI5" s="2636"/>
      <c r="DJ5" s="49">
        <v>30</v>
      </c>
      <c r="DK5" s="52">
        <v>1</v>
      </c>
      <c r="DL5" s="2636">
        <v>10</v>
      </c>
      <c r="DM5" s="2636"/>
      <c r="DN5" s="2636">
        <v>20</v>
      </c>
      <c r="DO5" s="2636"/>
      <c r="DP5" s="49">
        <v>30</v>
      </c>
      <c r="DQ5" s="52">
        <v>1</v>
      </c>
      <c r="DR5" s="2636">
        <v>10</v>
      </c>
      <c r="DS5" s="2636"/>
      <c r="DT5" s="2636">
        <v>20</v>
      </c>
      <c r="DU5" s="2636"/>
      <c r="DV5" s="49">
        <v>30</v>
      </c>
      <c r="DW5" s="52">
        <v>1</v>
      </c>
      <c r="DX5" s="2636">
        <v>10</v>
      </c>
      <c r="DY5" s="2636"/>
      <c r="DZ5" s="2636">
        <v>20</v>
      </c>
      <c r="EA5" s="2636"/>
      <c r="EB5" s="49">
        <v>30</v>
      </c>
      <c r="EC5" s="52">
        <v>1</v>
      </c>
      <c r="ED5" s="2636">
        <v>10</v>
      </c>
      <c r="EE5" s="2636"/>
      <c r="EF5" s="2636">
        <v>20</v>
      </c>
      <c r="EG5" s="2636"/>
      <c r="EH5" s="49">
        <v>30</v>
      </c>
      <c r="EI5" s="52">
        <v>1</v>
      </c>
      <c r="EJ5" s="2636">
        <v>10</v>
      </c>
      <c r="EK5" s="2636"/>
      <c r="EL5" s="2636">
        <v>20</v>
      </c>
      <c r="EM5" s="2636"/>
      <c r="EN5" s="49">
        <v>30</v>
      </c>
      <c r="EO5" s="52">
        <v>1</v>
      </c>
      <c r="EP5" s="2636">
        <v>10</v>
      </c>
      <c r="EQ5" s="2636"/>
      <c r="ER5" s="2636">
        <v>20</v>
      </c>
      <c r="ES5" s="2636"/>
      <c r="ET5" s="49">
        <v>30</v>
      </c>
      <c r="EU5" s="52">
        <v>1</v>
      </c>
      <c r="EV5" s="2636">
        <v>10</v>
      </c>
      <c r="EW5" s="2636"/>
      <c r="EX5" s="2636">
        <v>20</v>
      </c>
      <c r="EY5" s="2636"/>
      <c r="EZ5" s="49">
        <v>30</v>
      </c>
      <c r="FA5" s="52">
        <v>1</v>
      </c>
      <c r="FB5" s="2636">
        <v>10</v>
      </c>
      <c r="FC5" s="2636"/>
      <c r="FD5" s="2636">
        <v>20</v>
      </c>
      <c r="FE5" s="2636"/>
      <c r="FF5" s="49">
        <v>30</v>
      </c>
      <c r="FG5" s="52">
        <v>1</v>
      </c>
      <c r="FH5" s="2636">
        <v>10</v>
      </c>
      <c r="FI5" s="2636"/>
      <c r="FJ5" s="2636">
        <v>20</v>
      </c>
      <c r="FK5" s="2636"/>
      <c r="FL5" s="49">
        <v>30</v>
      </c>
      <c r="FM5" s="52">
        <v>1</v>
      </c>
      <c r="FN5" s="2636">
        <v>10</v>
      </c>
      <c r="FO5" s="2636"/>
      <c r="FP5" s="2636">
        <v>20</v>
      </c>
      <c r="FQ5" s="2636"/>
      <c r="FR5" s="49">
        <v>30</v>
      </c>
      <c r="FS5" s="52">
        <v>1</v>
      </c>
      <c r="FT5" s="2636">
        <v>10</v>
      </c>
      <c r="FU5" s="2636"/>
      <c r="FV5" s="2636">
        <v>20</v>
      </c>
      <c r="FW5" s="2636"/>
      <c r="FX5" s="49">
        <v>30</v>
      </c>
      <c r="FY5" s="52">
        <v>1</v>
      </c>
      <c r="FZ5" s="2636">
        <v>10</v>
      </c>
      <c r="GA5" s="2636"/>
      <c r="GB5" s="2636">
        <v>20</v>
      </c>
      <c r="GC5" s="2636"/>
      <c r="GD5" s="49">
        <v>30</v>
      </c>
      <c r="GE5" s="52">
        <v>1</v>
      </c>
      <c r="GF5" s="2636">
        <v>10</v>
      </c>
      <c r="GG5" s="2636"/>
      <c r="GH5" s="2636">
        <v>20</v>
      </c>
      <c r="GI5" s="2636"/>
      <c r="GJ5" s="49">
        <v>30</v>
      </c>
      <c r="GK5" s="52">
        <v>1</v>
      </c>
      <c r="GL5" s="2636">
        <v>10</v>
      </c>
      <c r="GM5" s="2636"/>
      <c r="GN5" s="2636">
        <v>20</v>
      </c>
      <c r="GO5" s="2636"/>
      <c r="GP5" s="49">
        <v>30</v>
      </c>
    </row>
    <row r="6" spans="1:198" ht="20.100000000000001" hidden="1" customHeight="1" outlineLevel="1">
      <c r="A6" s="2648" t="s">
        <v>1117</v>
      </c>
      <c r="B6" s="2683" t="s">
        <v>8736</v>
      </c>
      <c r="C6" s="180" t="s">
        <v>8305</v>
      </c>
      <c r="D6" s="2655" t="s">
        <v>8306</v>
      </c>
      <c r="E6" s="2656"/>
      <c r="F6" s="2656"/>
      <c r="G6" s="2656"/>
      <c r="H6" s="2656"/>
      <c r="I6" s="2656"/>
      <c r="J6" s="2656"/>
      <c r="K6" s="2656"/>
      <c r="L6" s="2656"/>
      <c r="M6" s="2656"/>
      <c r="N6" s="2656"/>
      <c r="O6" s="2656"/>
      <c r="P6" s="2656"/>
      <c r="Q6" s="2656"/>
      <c r="R6" s="2657"/>
      <c r="S6" s="181"/>
      <c r="T6" s="141"/>
      <c r="U6" s="142"/>
      <c r="V6" s="141"/>
      <c r="W6" s="142"/>
      <c r="X6" s="143"/>
      <c r="Y6" s="141"/>
      <c r="Z6" s="141"/>
      <c r="AA6" s="142"/>
      <c r="AB6" s="141"/>
      <c r="AC6" s="142"/>
      <c r="AD6" s="141"/>
      <c r="AE6" s="144"/>
      <c r="AF6" s="141"/>
      <c r="AG6" s="142"/>
      <c r="AH6" s="141"/>
      <c r="AI6" s="142"/>
      <c r="AJ6" s="143"/>
      <c r="AK6" s="141"/>
      <c r="AL6" s="141"/>
      <c r="AM6" s="142"/>
      <c r="AN6" s="141"/>
      <c r="AO6" s="142"/>
      <c r="AP6" s="141"/>
      <c r="AQ6" s="181"/>
      <c r="AR6" s="141"/>
      <c r="AS6" s="142"/>
      <c r="AT6" s="141"/>
      <c r="AU6" s="142"/>
      <c r="AV6" s="143"/>
      <c r="AW6" s="144"/>
      <c r="AX6" s="141"/>
      <c r="AY6" s="142"/>
      <c r="AZ6" s="141"/>
      <c r="BA6" s="142"/>
      <c r="BB6" s="143"/>
      <c r="BC6" s="141"/>
      <c r="BD6" s="141"/>
      <c r="BE6" s="142"/>
      <c r="BF6" s="141"/>
      <c r="BG6" s="142"/>
      <c r="BH6" s="141"/>
      <c r="BI6" s="144"/>
      <c r="BJ6" s="141"/>
      <c r="BK6" s="142"/>
      <c r="BL6" s="141"/>
      <c r="BM6" s="142"/>
      <c r="BN6" s="143"/>
      <c r="BO6" s="144"/>
      <c r="BP6" s="141"/>
      <c r="BQ6" s="142"/>
      <c r="BR6" s="141"/>
      <c r="BS6" s="142"/>
      <c r="BT6" s="143"/>
      <c r="BU6" s="144"/>
      <c r="BV6" s="141"/>
      <c r="BW6" s="142"/>
      <c r="BX6" s="141"/>
      <c r="BY6" s="142"/>
      <c r="BZ6" s="143"/>
      <c r="CA6" s="144"/>
      <c r="CB6" s="141"/>
      <c r="CC6" s="142"/>
      <c r="CD6" s="141"/>
      <c r="CE6" s="142"/>
      <c r="CF6" s="143"/>
      <c r="CG6" s="144"/>
      <c r="CH6" s="141"/>
      <c r="CI6" s="142"/>
      <c r="CJ6" s="141"/>
      <c r="CK6" s="142"/>
      <c r="CL6" s="143"/>
      <c r="CM6" s="144"/>
      <c r="CN6" s="141"/>
      <c r="CO6" s="142"/>
      <c r="CP6" s="141"/>
      <c r="CQ6" s="142"/>
      <c r="CR6" s="143"/>
      <c r="CS6" s="144"/>
      <c r="CT6" s="141"/>
      <c r="CU6" s="142"/>
      <c r="CV6" s="141"/>
      <c r="CW6" s="142"/>
      <c r="CX6" s="143"/>
      <c r="CY6" s="144"/>
      <c r="CZ6" s="141"/>
      <c r="DA6" s="142"/>
      <c r="DB6" s="141"/>
      <c r="DC6" s="142"/>
      <c r="DD6" s="143"/>
      <c r="DE6" s="144"/>
      <c r="DF6" s="141"/>
      <c r="DG6" s="142"/>
      <c r="DH6" s="141"/>
      <c r="DI6" s="142"/>
      <c r="DJ6" s="143"/>
      <c r="DK6" s="144"/>
      <c r="DL6" s="141"/>
      <c r="DM6" s="142"/>
      <c r="DN6" s="141"/>
      <c r="DO6" s="142"/>
      <c r="DP6" s="143"/>
      <c r="DQ6" s="144"/>
      <c r="DR6" s="141"/>
      <c r="DS6" s="142"/>
      <c r="DT6" s="141"/>
      <c r="DU6" s="142"/>
      <c r="DV6" s="143"/>
      <c r="DW6" s="144"/>
      <c r="DX6" s="141"/>
      <c r="DY6" s="142"/>
      <c r="DZ6" s="141"/>
      <c r="EA6" s="142"/>
      <c r="EB6" s="143"/>
      <c r="EC6" s="144"/>
      <c r="ED6" s="141"/>
      <c r="EE6" s="142"/>
      <c r="EF6" s="141"/>
      <c r="EG6" s="142"/>
      <c r="EH6" s="143"/>
      <c r="EI6" s="144"/>
      <c r="EJ6" s="141"/>
      <c r="EK6" s="142"/>
      <c r="EL6" s="141"/>
      <c r="EM6" s="142"/>
      <c r="EN6" s="143"/>
      <c r="EO6" s="144"/>
      <c r="EP6" s="141"/>
      <c r="EQ6" s="142"/>
      <c r="ER6" s="141"/>
      <c r="ES6" s="142"/>
      <c r="ET6" s="143"/>
      <c r="EU6" s="144"/>
      <c r="EV6" s="141"/>
      <c r="EW6" s="142"/>
      <c r="EX6" s="141"/>
      <c r="EY6" s="142"/>
      <c r="EZ6" s="143"/>
      <c r="FA6" s="144"/>
      <c r="FB6" s="141"/>
      <c r="FC6" s="142"/>
      <c r="FD6" s="141"/>
      <c r="FE6" s="142"/>
      <c r="FF6" s="143"/>
      <c r="FG6" s="144"/>
      <c r="FH6" s="141"/>
      <c r="FI6" s="142"/>
      <c r="FJ6" s="141"/>
      <c r="FK6" s="142"/>
      <c r="FL6" s="143"/>
      <c r="FM6" s="144"/>
      <c r="FN6" s="141"/>
      <c r="FO6" s="142"/>
      <c r="FP6" s="141"/>
      <c r="FQ6" s="142"/>
      <c r="FR6" s="143"/>
      <c r="FS6" s="144"/>
      <c r="FT6" s="141"/>
      <c r="FU6" s="142"/>
      <c r="FV6" s="141"/>
      <c r="FW6" s="142"/>
      <c r="FX6" s="143"/>
      <c r="FY6" s="144"/>
      <c r="FZ6" s="141"/>
      <c r="GA6" s="142"/>
      <c r="GB6" s="141"/>
      <c r="GC6" s="142"/>
      <c r="GD6" s="143"/>
      <c r="GE6" s="144"/>
      <c r="GF6" s="141"/>
      <c r="GG6" s="142"/>
      <c r="GH6" s="141"/>
      <c r="GI6" s="142"/>
      <c r="GJ6" s="143"/>
      <c r="GK6" s="144"/>
      <c r="GL6" s="141"/>
      <c r="GM6" s="142"/>
      <c r="GN6" s="141"/>
      <c r="GO6" s="142"/>
      <c r="GP6" s="143"/>
    </row>
    <row r="7" spans="1:198" ht="20.100000000000001" hidden="1" customHeight="1" outlineLevel="1" collapsed="1">
      <c r="A7" s="2649"/>
      <c r="B7" s="2684"/>
      <c r="C7" s="182"/>
      <c r="D7" s="2650" t="str">
        <f>実績!C1079&amp;"("&amp;SUBSTITUTE(実績!R1079&amp;")","株式会社 ","")&amp;"【計画変更】"</f>
        <v>SVH四日市(TSUCHIYA　CORPORATION)【計画変更】</v>
      </c>
      <c r="E7" s="2651"/>
      <c r="F7" s="2651"/>
      <c r="G7" s="2651"/>
      <c r="H7" s="2651"/>
      <c r="I7" s="2651"/>
      <c r="J7" s="2651"/>
      <c r="K7" s="2651"/>
      <c r="L7" s="2651"/>
      <c r="M7" s="2651"/>
      <c r="N7" s="2651"/>
      <c r="O7" s="2651"/>
      <c r="P7" s="2651"/>
      <c r="Q7" s="2651"/>
      <c r="R7" s="2718"/>
      <c r="S7" s="183"/>
      <c r="T7" s="146"/>
      <c r="U7" s="147"/>
      <c r="V7" s="146"/>
      <c r="W7" s="147"/>
      <c r="X7" s="148"/>
      <c r="Y7" s="146"/>
      <c r="Z7" s="146"/>
      <c r="AA7" s="147"/>
      <c r="AB7" s="146"/>
      <c r="AC7" s="147"/>
      <c r="AD7" s="146"/>
      <c r="AE7" s="145"/>
      <c r="AF7" s="146"/>
      <c r="AG7" s="147"/>
      <c r="AH7" s="146"/>
      <c r="AI7" s="147"/>
      <c r="AJ7" s="148"/>
      <c r="AK7" s="146"/>
      <c r="AL7" s="146"/>
      <c r="AM7" s="147"/>
      <c r="AN7" s="146"/>
      <c r="AO7" s="147"/>
      <c r="AP7" s="146"/>
      <c r="AQ7" s="183"/>
      <c r="AR7" s="146"/>
      <c r="AS7" s="147"/>
      <c r="AT7" s="146"/>
      <c r="AU7" s="147"/>
      <c r="AV7" s="148"/>
      <c r="AW7" s="145"/>
      <c r="AX7" s="146"/>
      <c r="AY7" s="147"/>
      <c r="AZ7" s="146"/>
      <c r="BA7" s="147"/>
      <c r="BB7" s="148"/>
      <c r="BC7" s="146"/>
      <c r="BD7" s="146"/>
      <c r="BE7" s="147"/>
      <c r="BF7" s="146"/>
      <c r="BG7" s="147"/>
      <c r="BH7" s="146"/>
      <c r="BI7" s="145"/>
      <c r="BJ7" s="146"/>
      <c r="BK7" s="147"/>
      <c r="BL7" s="146"/>
      <c r="BM7" s="147"/>
      <c r="BN7" s="148"/>
      <c r="BO7" s="145"/>
      <c r="BP7" s="146"/>
      <c r="BQ7" s="147"/>
      <c r="BR7" s="146"/>
      <c r="BS7" s="147"/>
      <c r="BT7" s="148"/>
      <c r="BU7" s="145"/>
      <c r="BV7" s="146"/>
      <c r="BW7" s="147"/>
      <c r="BX7" s="146"/>
      <c r="BY7" s="147"/>
      <c r="BZ7" s="148"/>
      <c r="CA7" s="145"/>
      <c r="CB7" s="146"/>
      <c r="CC7" s="147"/>
      <c r="CD7" s="146"/>
      <c r="CE7" s="147"/>
      <c r="CF7" s="148"/>
      <c r="CG7" s="145"/>
      <c r="CH7" s="146"/>
      <c r="CI7" s="147"/>
      <c r="CJ7" s="146"/>
      <c r="CK7" s="147"/>
      <c r="CL7" s="148"/>
      <c r="CM7" s="145"/>
      <c r="CN7" s="146"/>
      <c r="CO7" s="147"/>
      <c r="CP7" s="146"/>
      <c r="CQ7" s="147"/>
      <c r="CR7" s="148"/>
      <c r="CS7" s="145"/>
      <c r="CT7" s="146"/>
      <c r="CU7" s="147"/>
      <c r="CV7" s="146"/>
      <c r="CW7" s="147"/>
      <c r="CX7" s="148"/>
      <c r="CY7" s="145"/>
      <c r="CZ7" s="146"/>
      <c r="DA7" s="147"/>
      <c r="DB7" s="146"/>
      <c r="DC7" s="147"/>
      <c r="DD7" s="148"/>
      <c r="DE7" s="145"/>
      <c r="DF7" s="146"/>
      <c r="DG7" s="147"/>
      <c r="DH7" s="146"/>
      <c r="DI7" s="147"/>
      <c r="DJ7" s="148"/>
      <c r="DK7" s="145"/>
      <c r="DL7" s="146"/>
      <c r="DM7" s="147"/>
      <c r="DN7" s="146"/>
      <c r="DO7" s="147"/>
      <c r="DP7" s="148"/>
      <c r="DQ7" s="145"/>
      <c r="DR7" s="146"/>
      <c r="DS7" s="147"/>
      <c r="DT7" s="146"/>
      <c r="DU7" s="147"/>
      <c r="DV7" s="148"/>
      <c r="DW7" s="145"/>
      <c r="DX7" s="146"/>
      <c r="DY7" s="147"/>
      <c r="DZ7" s="146"/>
      <c r="EA7" s="147"/>
      <c r="EB7" s="148"/>
      <c r="EC7" s="145"/>
      <c r="ED7" s="146"/>
      <c r="EE7" s="147"/>
      <c r="EF7" s="146"/>
      <c r="EG7" s="147"/>
      <c r="EH7" s="148"/>
      <c r="EI7" s="145"/>
      <c r="EJ7" s="146"/>
      <c r="EK7" s="147"/>
      <c r="EL7" s="146"/>
      <c r="EM7" s="147"/>
      <c r="EN7" s="148"/>
      <c r="EO7" s="145"/>
      <c r="EP7" s="146"/>
      <c r="EQ7" s="147"/>
      <c r="ER7" s="146"/>
      <c r="ES7" s="147"/>
      <c r="ET7" s="148"/>
      <c r="EU7" s="145"/>
      <c r="EV7" s="146"/>
      <c r="EW7" s="147"/>
      <c r="EX7" s="146"/>
      <c r="EY7" s="147"/>
      <c r="EZ7" s="148"/>
      <c r="FA7" s="145"/>
      <c r="FB7" s="146"/>
      <c r="FC7" s="147"/>
      <c r="FD7" s="146"/>
      <c r="FE7" s="147"/>
      <c r="FF7" s="148"/>
      <c r="FG7" s="145"/>
      <c r="FH7" s="146"/>
      <c r="FI7" s="147"/>
      <c r="FJ7" s="146"/>
      <c r="FK7" s="147"/>
      <c r="FL7" s="148"/>
      <c r="FM7" s="145"/>
      <c r="FN7" s="146"/>
      <c r="FO7" s="147"/>
      <c r="FP7" s="146"/>
      <c r="FQ7" s="147"/>
      <c r="FR7" s="148"/>
      <c r="FS7" s="145"/>
      <c r="FT7" s="146"/>
      <c r="FU7" s="147"/>
      <c r="FV7" s="146"/>
      <c r="FW7" s="147"/>
      <c r="FX7" s="148"/>
      <c r="FY7" s="145"/>
      <c r="FZ7" s="146"/>
      <c r="GA7" s="147"/>
      <c r="GB7" s="146"/>
      <c r="GC7" s="147"/>
      <c r="GD7" s="148"/>
      <c r="GE7" s="145"/>
      <c r="GF7" s="146"/>
      <c r="GG7" s="147"/>
      <c r="GH7" s="146"/>
      <c r="GI7" s="147"/>
      <c r="GJ7" s="148"/>
      <c r="GK7" s="145"/>
      <c r="GL7" s="146"/>
      <c r="GM7" s="147"/>
      <c r="GN7" s="146"/>
      <c r="GO7" s="147"/>
      <c r="GP7" s="148"/>
    </row>
    <row r="8" spans="1:198" ht="20.100000000000001" hidden="1" customHeight="1" outlineLevel="1" collapsed="1" thickBot="1">
      <c r="A8" s="2649"/>
      <c r="B8" s="2685"/>
      <c r="C8" s="184" t="s">
        <v>10919</v>
      </c>
      <c r="D8" s="2658" t="s">
        <v>14571</v>
      </c>
      <c r="E8" s="2659"/>
      <c r="F8" s="2659"/>
      <c r="G8" s="2659"/>
      <c r="H8" s="2659"/>
      <c r="I8" s="2659"/>
      <c r="J8" s="2659"/>
      <c r="K8" s="2659"/>
      <c r="L8" s="2659"/>
      <c r="M8" s="2659"/>
      <c r="N8" s="2659"/>
      <c r="O8" s="2659"/>
      <c r="P8" s="2659"/>
      <c r="Q8" s="2659"/>
      <c r="R8" s="2659"/>
      <c r="S8" s="185"/>
      <c r="T8" s="185"/>
      <c r="U8" s="186"/>
      <c r="V8" s="185"/>
      <c r="W8" s="186"/>
      <c r="X8" s="187"/>
      <c r="Y8" s="185"/>
      <c r="Z8" s="185"/>
      <c r="AA8" s="186"/>
      <c r="AB8" s="185"/>
      <c r="AC8" s="186"/>
      <c r="AD8" s="185"/>
      <c r="AE8" s="188"/>
      <c r="AF8" s="185"/>
      <c r="AG8" s="186"/>
      <c r="AH8" s="185"/>
      <c r="AI8" s="186"/>
      <c r="AJ8" s="187"/>
      <c r="AK8" s="185"/>
      <c r="AL8" s="185"/>
      <c r="AM8" s="186"/>
      <c r="AN8" s="185"/>
      <c r="AO8" s="186"/>
      <c r="AP8" s="185"/>
      <c r="AQ8" s="189"/>
      <c r="AR8" s="185"/>
      <c r="AS8" s="186"/>
      <c r="AT8" s="185"/>
      <c r="AU8" s="186"/>
      <c r="AV8" s="187"/>
      <c r="AW8" s="188"/>
      <c r="AX8" s="185"/>
      <c r="AY8" s="186"/>
      <c r="AZ8" s="185"/>
      <c r="BA8" s="186"/>
      <c r="BB8" s="187"/>
      <c r="BC8" s="185"/>
      <c r="BD8" s="185"/>
      <c r="BE8" s="186"/>
      <c r="BF8" s="185"/>
      <c r="BG8" s="186"/>
      <c r="BH8" s="185"/>
      <c r="BI8" s="188"/>
      <c r="BJ8" s="185"/>
      <c r="BK8" s="186"/>
      <c r="BL8" s="185"/>
      <c r="BM8" s="186"/>
      <c r="BN8" s="187"/>
      <c r="BO8" s="188"/>
      <c r="BP8" s="185"/>
      <c r="BQ8" s="186"/>
      <c r="BR8" s="185"/>
      <c r="BS8" s="186"/>
      <c r="BT8" s="187"/>
      <c r="BU8" s="188"/>
      <c r="BV8" s="185"/>
      <c r="BW8" s="186"/>
      <c r="BX8" s="185"/>
      <c r="BY8" s="186"/>
      <c r="BZ8" s="187"/>
      <c r="CA8" s="188"/>
      <c r="CB8" s="185"/>
      <c r="CC8" s="186"/>
      <c r="CD8" s="185"/>
      <c r="CE8" s="186"/>
      <c r="CF8" s="187"/>
      <c r="CG8" s="188"/>
      <c r="CH8" s="185"/>
      <c r="CI8" s="186"/>
      <c r="CJ8" s="185"/>
      <c r="CK8" s="186"/>
      <c r="CL8" s="187"/>
      <c r="CM8" s="188"/>
      <c r="CN8" s="185"/>
      <c r="CO8" s="186"/>
      <c r="CP8" s="185"/>
      <c r="CQ8" s="186"/>
      <c r="CR8" s="187"/>
      <c r="CS8" s="188"/>
      <c r="CT8" s="185"/>
      <c r="CU8" s="186"/>
      <c r="CV8" s="185"/>
      <c r="CW8" s="186"/>
      <c r="CX8" s="187"/>
      <c r="CY8" s="188"/>
      <c r="CZ8" s="190" t="s">
        <v>10992</v>
      </c>
      <c r="DA8" s="186"/>
      <c r="DB8" s="185"/>
      <c r="DC8" s="186"/>
      <c r="DD8" s="187"/>
      <c r="DE8" s="188"/>
      <c r="DF8" s="185"/>
      <c r="DG8" s="186"/>
      <c r="DH8" s="185"/>
      <c r="DI8" s="186"/>
      <c r="DJ8" s="187"/>
      <c r="DK8" s="188"/>
      <c r="DL8" s="185"/>
      <c r="DM8" s="186"/>
      <c r="DN8" s="185"/>
      <c r="DO8" s="186"/>
      <c r="DP8" s="187"/>
      <c r="DQ8" s="188"/>
      <c r="DR8" s="185"/>
      <c r="DS8" s="186"/>
      <c r="DT8" s="185"/>
      <c r="DU8" s="186"/>
      <c r="DV8" s="187"/>
      <c r="DW8" s="188"/>
      <c r="DX8" s="185"/>
      <c r="DY8" s="186"/>
      <c r="DZ8" s="185"/>
      <c r="EA8" s="186"/>
      <c r="EB8" s="187"/>
      <c r="EC8" s="188"/>
      <c r="ED8" s="185"/>
      <c r="EE8" s="186"/>
      <c r="EF8" s="185"/>
      <c r="EG8" s="186"/>
      <c r="EH8" s="187"/>
      <c r="EI8" s="188"/>
      <c r="EJ8" s="185"/>
      <c r="EK8" s="186"/>
      <c r="EL8" s="185"/>
      <c r="EM8" s="186"/>
      <c r="EN8" s="187"/>
      <c r="EO8" s="188"/>
      <c r="EP8" s="185"/>
      <c r="EQ8" s="186"/>
      <c r="ER8" s="185"/>
      <c r="ES8" s="186"/>
      <c r="ET8" s="187"/>
      <c r="EU8" s="188"/>
      <c r="EV8" s="185"/>
      <c r="EW8" s="186"/>
      <c r="EX8" s="185"/>
      <c r="EY8" s="186"/>
      <c r="EZ8" s="187"/>
      <c r="FA8" s="188"/>
      <c r="FB8" s="185"/>
      <c r="FC8" s="186"/>
      <c r="FD8" s="185"/>
      <c r="FE8" s="186"/>
      <c r="FF8" s="187"/>
      <c r="FG8" s="188"/>
      <c r="FH8" s="185"/>
      <c r="FI8" s="186"/>
      <c r="FJ8" s="185"/>
      <c r="FK8" s="186"/>
      <c r="FL8" s="187"/>
      <c r="FM8" s="188"/>
      <c r="FN8" s="185"/>
      <c r="FO8" s="186"/>
      <c r="FP8" s="185"/>
      <c r="FQ8" s="186"/>
      <c r="FR8" s="187"/>
      <c r="FS8" s="188"/>
      <c r="FT8" s="185"/>
      <c r="FU8" s="186"/>
      <c r="FV8" s="185"/>
      <c r="FW8" s="186"/>
      <c r="FX8" s="187"/>
      <c r="FY8" s="188"/>
      <c r="FZ8" s="185"/>
      <c r="GA8" s="186"/>
      <c r="GB8" s="185"/>
      <c r="GC8" s="186"/>
      <c r="GD8" s="187"/>
      <c r="GE8" s="188"/>
      <c r="GF8" s="185"/>
      <c r="GG8" s="186"/>
      <c r="GH8" s="185"/>
      <c r="GI8" s="186"/>
      <c r="GJ8" s="187"/>
      <c r="GK8" s="188"/>
      <c r="GL8" s="185"/>
      <c r="GM8" s="186"/>
      <c r="GN8" s="185"/>
      <c r="GO8" s="186"/>
      <c r="GP8" s="187"/>
    </row>
    <row r="9" spans="1:198" ht="20.100000000000001" hidden="1" customHeight="1" outlineLevel="1">
      <c r="A9" s="2649"/>
      <c r="B9" s="2652" t="s">
        <v>15077</v>
      </c>
      <c r="C9" s="1323"/>
      <c r="D9" s="2695" t="s">
        <v>8140</v>
      </c>
      <c r="E9" s="2696"/>
      <c r="F9" s="2696"/>
      <c r="G9" s="2696"/>
      <c r="H9" s="2696"/>
      <c r="I9" s="2696"/>
      <c r="J9" s="2696"/>
      <c r="K9" s="2696"/>
      <c r="L9" s="2696"/>
      <c r="M9" s="2696"/>
      <c r="N9" s="2696"/>
      <c r="O9" s="2696"/>
      <c r="P9" s="2696"/>
      <c r="Q9" s="2696"/>
      <c r="R9" s="191"/>
      <c r="S9" s="80"/>
      <c r="T9" s="80"/>
      <c r="U9" s="81"/>
      <c r="V9" s="80"/>
      <c r="W9" s="81"/>
      <c r="X9" s="82"/>
      <c r="Y9" s="80"/>
      <c r="Z9" s="80"/>
      <c r="AA9" s="81"/>
      <c r="AB9" s="80"/>
      <c r="AC9" s="81"/>
      <c r="AD9" s="80"/>
      <c r="AE9" s="83"/>
      <c r="AF9" s="80"/>
      <c r="AG9" s="81"/>
      <c r="AH9" s="80"/>
      <c r="AI9" s="81"/>
      <c r="AJ9" s="82"/>
      <c r="AK9" s="80"/>
      <c r="AL9" s="80"/>
      <c r="AM9" s="81"/>
      <c r="AN9" s="80"/>
      <c r="AO9" s="81"/>
      <c r="AP9" s="80"/>
      <c r="AQ9" s="79"/>
      <c r="AR9" s="80"/>
      <c r="AS9" s="81"/>
      <c r="AT9" s="80"/>
      <c r="AU9" s="81"/>
      <c r="AV9" s="82"/>
      <c r="AW9" s="83"/>
      <c r="AX9" s="80"/>
      <c r="AY9" s="81"/>
      <c r="AZ9" s="80"/>
      <c r="BA9" s="81"/>
      <c r="BB9" s="82"/>
      <c r="BC9" s="80"/>
      <c r="BD9" s="80"/>
      <c r="BE9" s="81"/>
      <c r="BF9" s="80"/>
      <c r="BG9" s="81"/>
      <c r="BH9" s="80"/>
      <c r="BI9" s="83"/>
      <c r="BJ9" s="80"/>
      <c r="BK9" s="81"/>
      <c r="BL9" s="80"/>
      <c r="BM9" s="81"/>
      <c r="BN9" s="82"/>
      <c r="BO9" s="83"/>
      <c r="BP9" s="80"/>
      <c r="BQ9" s="81"/>
      <c r="BR9" s="80"/>
      <c r="BS9" s="81"/>
      <c r="BT9" s="82"/>
      <c r="BU9" s="83"/>
      <c r="BV9" s="80"/>
      <c r="BW9" s="81"/>
      <c r="BX9" s="80"/>
      <c r="BY9" s="81"/>
      <c r="BZ9" s="82"/>
      <c r="CA9" s="83"/>
      <c r="CB9" s="80"/>
      <c r="CC9" s="81"/>
      <c r="CD9" s="80"/>
      <c r="CE9" s="81"/>
      <c r="CF9" s="82"/>
      <c r="CG9" s="83"/>
      <c r="CH9" s="80"/>
      <c r="CI9" s="81"/>
      <c r="CJ9" s="80"/>
      <c r="CK9" s="81"/>
      <c r="CL9" s="82"/>
      <c r="CM9" s="83"/>
      <c r="CN9" s="80"/>
      <c r="CO9" s="81"/>
      <c r="CP9" s="80"/>
      <c r="CQ9" s="81"/>
      <c r="CR9" s="82"/>
      <c r="CS9" s="83"/>
      <c r="CT9" s="80"/>
      <c r="CU9" s="81"/>
      <c r="CV9" s="80"/>
      <c r="CW9" s="81"/>
      <c r="CX9" s="82"/>
      <c r="CY9" s="137"/>
      <c r="CZ9" s="138"/>
      <c r="DA9" s="139"/>
      <c r="DB9" s="138"/>
      <c r="DC9" s="139"/>
      <c r="DD9" s="140"/>
      <c r="DE9" s="137"/>
      <c r="DF9" s="138"/>
      <c r="DG9" s="139"/>
      <c r="DH9" s="138"/>
      <c r="DI9" s="139"/>
      <c r="DJ9" s="140"/>
      <c r="DK9" s="137"/>
      <c r="DL9" s="138"/>
      <c r="DM9" s="139"/>
      <c r="DN9" s="138"/>
      <c r="DO9" s="139"/>
      <c r="DP9" s="140"/>
      <c r="DQ9" s="137"/>
      <c r="DR9" s="138"/>
      <c r="DS9" s="139"/>
      <c r="DT9" s="138"/>
      <c r="DU9" s="139"/>
      <c r="DV9" s="140"/>
      <c r="DW9" s="137"/>
      <c r="DX9" s="138"/>
      <c r="DY9" s="139"/>
      <c r="DZ9" s="138"/>
      <c r="EA9" s="139"/>
      <c r="EB9" s="140"/>
      <c r="EC9" s="137"/>
      <c r="ED9" s="138"/>
      <c r="EE9" s="139"/>
      <c r="EF9" s="138"/>
      <c r="EG9" s="139"/>
      <c r="EH9" s="140"/>
      <c r="EI9" s="137"/>
      <c r="EJ9" s="138"/>
      <c r="EK9" s="139"/>
      <c r="EL9" s="138"/>
      <c r="EM9" s="139"/>
      <c r="EN9" s="140"/>
      <c r="EO9" s="137"/>
      <c r="EP9" s="138"/>
      <c r="EQ9" s="139"/>
      <c r="ER9" s="138"/>
      <c r="ES9" s="139"/>
      <c r="ET9" s="140"/>
      <c r="EU9" s="137"/>
      <c r="EV9" s="138"/>
      <c r="EW9" s="139"/>
      <c r="EX9" s="138"/>
      <c r="EY9" s="139"/>
      <c r="EZ9" s="140"/>
      <c r="FA9" s="137"/>
      <c r="FB9" s="138"/>
      <c r="FC9" s="139"/>
      <c r="FD9" s="138"/>
      <c r="FE9" s="139"/>
      <c r="FF9" s="140"/>
      <c r="FG9" s="137"/>
      <c r="FH9" s="138"/>
      <c r="FI9" s="139"/>
      <c r="FJ9" s="138"/>
      <c r="FK9" s="139"/>
      <c r="FL9" s="140"/>
      <c r="FM9" s="137"/>
      <c r="FN9" s="138"/>
      <c r="FO9" s="139"/>
      <c r="FP9" s="138"/>
      <c r="FQ9" s="139"/>
      <c r="FR9" s="140"/>
      <c r="FS9" s="137"/>
      <c r="FT9" s="138"/>
      <c r="FU9" s="139"/>
      <c r="FV9" s="138"/>
      <c r="FW9" s="139"/>
      <c r="FX9" s="140"/>
      <c r="FY9" s="137"/>
      <c r="FZ9" s="138"/>
      <c r="GA9" s="139"/>
      <c r="GB9" s="138"/>
      <c r="GC9" s="139"/>
      <c r="GD9" s="140"/>
      <c r="GE9" s="137"/>
      <c r="GF9" s="138"/>
      <c r="GG9" s="139"/>
      <c r="GH9" s="138"/>
      <c r="GI9" s="139"/>
      <c r="GJ9" s="140"/>
      <c r="GK9" s="137"/>
      <c r="GL9" s="138"/>
      <c r="GM9" s="139"/>
      <c r="GN9" s="138"/>
      <c r="GO9" s="139"/>
      <c r="GP9" s="140"/>
    </row>
    <row r="10" spans="1:198" ht="20.100000000000001" hidden="1" customHeight="1" outlineLevel="1">
      <c r="A10" s="2649"/>
      <c r="B10" s="2653"/>
      <c r="C10" s="169"/>
      <c r="D10" s="2650" t="s">
        <v>8705</v>
      </c>
      <c r="E10" s="2651"/>
      <c r="F10" s="2651"/>
      <c r="G10" s="2651"/>
      <c r="H10" s="2651"/>
      <c r="I10" s="2651"/>
      <c r="J10" s="2651"/>
      <c r="K10" s="2651"/>
      <c r="L10" s="2651"/>
      <c r="M10" s="2651"/>
      <c r="N10" s="2651"/>
      <c r="O10" s="2651"/>
      <c r="P10" s="2651"/>
      <c r="Q10" s="2651"/>
      <c r="R10" s="1284"/>
      <c r="S10" s="26"/>
      <c r="T10" s="26"/>
      <c r="U10" s="54"/>
      <c r="V10" s="26"/>
      <c r="W10" s="54"/>
      <c r="X10" s="55"/>
      <c r="Y10" s="26"/>
      <c r="Z10" s="26"/>
      <c r="AA10" s="54"/>
      <c r="AB10" s="26"/>
      <c r="AC10" s="54"/>
      <c r="AD10" s="26"/>
      <c r="AE10" s="56"/>
      <c r="AF10" s="26"/>
      <c r="AG10" s="54"/>
      <c r="AH10" s="26"/>
      <c r="AI10" s="54"/>
      <c r="AJ10" s="55"/>
      <c r="AK10" s="26"/>
      <c r="AL10" s="26"/>
      <c r="AM10" s="54"/>
      <c r="AN10" s="26"/>
      <c r="AO10" s="54"/>
      <c r="AP10" s="26"/>
      <c r="AQ10" s="53"/>
      <c r="AR10" s="26"/>
      <c r="AS10" s="54"/>
      <c r="AT10" s="26"/>
      <c r="AU10" s="54"/>
      <c r="AV10" s="55"/>
      <c r="AW10" s="56"/>
      <c r="AX10" s="26"/>
      <c r="AY10" s="54"/>
      <c r="AZ10" s="26"/>
      <c r="BA10" s="54"/>
      <c r="BB10" s="55"/>
      <c r="BC10" s="26"/>
      <c r="BD10" s="26"/>
      <c r="BE10" s="54"/>
      <c r="BF10" s="26"/>
      <c r="BG10" s="54"/>
      <c r="BH10" s="26"/>
      <c r="BI10" s="56"/>
      <c r="BJ10" s="26"/>
      <c r="BK10" s="54"/>
      <c r="BL10" s="26"/>
      <c r="BM10" s="54"/>
      <c r="BN10" s="55"/>
      <c r="BO10" s="56"/>
      <c r="BP10" s="26"/>
      <c r="BQ10" s="54"/>
      <c r="BR10" s="26"/>
      <c r="BS10" s="54"/>
      <c r="BT10" s="55"/>
      <c r="BU10" s="56"/>
      <c r="BV10" s="26"/>
      <c r="BW10" s="54"/>
      <c r="BX10" s="26"/>
      <c r="BY10" s="54"/>
      <c r="BZ10" s="55"/>
      <c r="CA10" s="56"/>
      <c r="CB10" s="26"/>
      <c r="CC10" s="54"/>
      <c r="CD10" s="26"/>
      <c r="CE10" s="54"/>
      <c r="CF10" s="55"/>
      <c r="CG10" s="56"/>
      <c r="CH10" s="26"/>
      <c r="CI10" s="54"/>
      <c r="CJ10" s="26"/>
      <c r="CK10" s="54"/>
      <c r="CL10" s="55"/>
      <c r="CM10" s="56"/>
      <c r="CN10" s="26"/>
      <c r="CO10" s="54"/>
      <c r="CP10" s="26"/>
      <c r="CQ10" s="54"/>
      <c r="CR10" s="55"/>
      <c r="CS10" s="56"/>
      <c r="CT10" s="26"/>
      <c r="CU10" s="54"/>
      <c r="CV10" s="26"/>
      <c r="CW10" s="54"/>
      <c r="CX10" s="55"/>
      <c r="CY10" s="145"/>
      <c r="CZ10" s="146"/>
      <c r="DA10" s="147"/>
      <c r="DB10" s="146"/>
      <c r="DC10" s="147"/>
      <c r="DD10" s="148"/>
      <c r="DE10" s="145"/>
      <c r="DF10" s="146"/>
      <c r="DG10" s="147"/>
      <c r="DH10" s="146"/>
      <c r="DI10" s="147"/>
      <c r="DJ10" s="148"/>
      <c r="DK10" s="145"/>
      <c r="DL10" s="146"/>
      <c r="DM10" s="147"/>
      <c r="DN10" s="146"/>
      <c r="DO10" s="147"/>
      <c r="DP10" s="148"/>
      <c r="DQ10" s="145"/>
      <c r="DR10" s="146"/>
      <c r="DS10" s="147"/>
      <c r="DT10" s="146"/>
      <c r="DU10" s="147"/>
      <c r="DV10" s="148"/>
      <c r="DW10" s="145"/>
      <c r="DX10" s="146"/>
      <c r="DY10" s="147"/>
      <c r="DZ10" s="146"/>
      <c r="EA10" s="147"/>
      <c r="EB10" s="148"/>
      <c r="EC10" s="145"/>
      <c r="ED10" s="146"/>
      <c r="EE10" s="147"/>
      <c r="EF10" s="146"/>
      <c r="EG10" s="147"/>
      <c r="EH10" s="148"/>
      <c r="EI10" s="145"/>
      <c r="EJ10" s="146"/>
      <c r="EK10" s="147"/>
      <c r="EL10" s="146"/>
      <c r="EM10" s="147"/>
      <c r="EN10" s="148"/>
      <c r="EO10" s="145"/>
      <c r="EP10" s="146"/>
      <c r="EQ10" s="147"/>
      <c r="ER10" s="146"/>
      <c r="ES10" s="147"/>
      <c r="ET10" s="148"/>
      <c r="EU10" s="145"/>
      <c r="EV10" s="146"/>
      <c r="EW10" s="147"/>
      <c r="EX10" s="146"/>
      <c r="EY10" s="147"/>
      <c r="EZ10" s="148"/>
      <c r="FA10" s="145"/>
      <c r="FB10" s="146"/>
      <c r="FC10" s="147"/>
      <c r="FD10" s="146"/>
      <c r="FE10" s="147"/>
      <c r="FF10" s="148"/>
      <c r="FG10" s="145"/>
      <c r="FH10" s="146"/>
      <c r="FI10" s="147"/>
      <c r="FJ10" s="146"/>
      <c r="FK10" s="147"/>
      <c r="FL10" s="148"/>
      <c r="FM10" s="145"/>
      <c r="FN10" s="146"/>
      <c r="FO10" s="147"/>
      <c r="FP10" s="146"/>
      <c r="FQ10" s="147"/>
      <c r="FR10" s="148"/>
      <c r="FS10" s="145"/>
      <c r="FT10" s="146"/>
      <c r="FU10" s="147"/>
      <c r="FV10" s="146"/>
      <c r="FW10" s="147"/>
      <c r="FX10" s="148"/>
      <c r="FY10" s="145"/>
      <c r="FZ10" s="146"/>
      <c r="GA10" s="147"/>
      <c r="GB10" s="146"/>
      <c r="GC10" s="147"/>
      <c r="GD10" s="148"/>
      <c r="GE10" s="145"/>
      <c r="GF10" s="146"/>
      <c r="GG10" s="147"/>
      <c r="GH10" s="146"/>
      <c r="GI10" s="147"/>
      <c r="GJ10" s="148"/>
      <c r="GK10" s="145"/>
      <c r="GL10" s="146"/>
      <c r="GM10" s="147"/>
      <c r="GN10" s="146"/>
      <c r="GO10" s="147"/>
      <c r="GP10" s="148"/>
    </row>
    <row r="11" spans="1:198" ht="20.100000000000001" hidden="1" customHeight="1" outlineLevel="1" collapsed="1">
      <c r="A11" s="2649"/>
      <c r="B11" s="2653"/>
      <c r="C11" s="169"/>
      <c r="D11" s="2650" t="s">
        <v>8139</v>
      </c>
      <c r="E11" s="2651"/>
      <c r="F11" s="2651"/>
      <c r="G11" s="2651"/>
      <c r="H11" s="2651"/>
      <c r="I11" s="2651"/>
      <c r="J11" s="2651"/>
      <c r="K11" s="2651"/>
      <c r="L11" s="2651"/>
      <c r="M11" s="2651"/>
      <c r="N11" s="2651"/>
      <c r="O11" s="2651"/>
      <c r="P11" s="2651"/>
      <c r="Q11" s="2651"/>
      <c r="R11" s="1284"/>
      <c r="S11" s="26"/>
      <c r="T11" s="26"/>
      <c r="U11" s="54"/>
      <c r="V11" s="26"/>
      <c r="W11" s="54"/>
      <c r="X11" s="55"/>
      <c r="Y11" s="26"/>
      <c r="Z11" s="26"/>
      <c r="AA11" s="54"/>
      <c r="AB11" s="26"/>
      <c r="AC11" s="54"/>
      <c r="AD11" s="26"/>
      <c r="AE11" s="56"/>
      <c r="AF11" s="26"/>
      <c r="AG11" s="54"/>
      <c r="AH11" s="26"/>
      <c r="AI11" s="54"/>
      <c r="AJ11" s="55"/>
      <c r="AK11" s="26"/>
      <c r="AL11" s="26"/>
      <c r="AM11" s="54"/>
      <c r="AN11" s="26"/>
      <c r="AO11" s="54"/>
      <c r="AP11" s="26"/>
      <c r="AQ11" s="53"/>
      <c r="AR11" s="26"/>
      <c r="AS11" s="54"/>
      <c r="AT11" s="26"/>
      <c r="AU11" s="54"/>
      <c r="AV11" s="55"/>
      <c r="AW11" s="56"/>
      <c r="AX11" s="26"/>
      <c r="AY11" s="54"/>
      <c r="AZ11" s="26"/>
      <c r="BA11" s="54"/>
      <c r="BB11" s="55"/>
      <c r="BC11" s="26"/>
      <c r="BD11" s="26"/>
      <c r="BE11" s="54"/>
      <c r="BF11" s="26"/>
      <c r="BG11" s="54"/>
      <c r="BH11" s="26"/>
      <c r="BI11" s="56"/>
      <c r="BJ11" s="26"/>
      <c r="BK11" s="54"/>
      <c r="BL11" s="26"/>
      <c r="BM11" s="54"/>
      <c r="BN11" s="55"/>
      <c r="BO11" s="56"/>
      <c r="BP11" s="26"/>
      <c r="BQ11" s="54"/>
      <c r="BR11" s="26"/>
      <c r="BS11" s="54"/>
      <c r="BT11" s="55"/>
      <c r="BU11" s="56"/>
      <c r="BV11" s="26"/>
      <c r="BW11" s="54"/>
      <c r="BX11" s="26"/>
      <c r="BY11" s="54"/>
      <c r="BZ11" s="55"/>
      <c r="CA11" s="56"/>
      <c r="CB11" s="26"/>
      <c r="CC11" s="54"/>
      <c r="CD11" s="26"/>
      <c r="CE11" s="54"/>
      <c r="CF11" s="55"/>
      <c r="CG11" s="56"/>
      <c r="CH11" s="26"/>
      <c r="CI11" s="54"/>
      <c r="CJ11" s="26"/>
      <c r="CK11" s="54"/>
      <c r="CL11" s="55"/>
      <c r="CM11" s="56"/>
      <c r="CN11" s="26"/>
      <c r="CO11" s="54"/>
      <c r="CP11" s="26"/>
      <c r="CQ11" s="54"/>
      <c r="CR11" s="55"/>
      <c r="CS11" s="56"/>
      <c r="CT11" s="26"/>
      <c r="CU11" s="54"/>
      <c r="CV11" s="26"/>
      <c r="CW11" s="54"/>
      <c r="CX11" s="55"/>
      <c r="CY11" s="145"/>
      <c r="CZ11" s="146"/>
      <c r="DA11" s="147"/>
      <c r="DB11" s="146"/>
      <c r="DC11" s="147"/>
      <c r="DD11" s="148"/>
      <c r="DE11" s="145"/>
      <c r="DF11" s="146"/>
      <c r="DG11" s="147"/>
      <c r="DH11" s="146"/>
      <c r="DI11" s="147"/>
      <c r="DJ11" s="148"/>
      <c r="DK11" s="145"/>
      <c r="DL11" s="146"/>
      <c r="DM11" s="147"/>
      <c r="DN11" s="146"/>
      <c r="DO11" s="147"/>
      <c r="DP11" s="148"/>
      <c r="DQ11" s="145"/>
      <c r="DR11" s="146"/>
      <c r="DS11" s="147"/>
      <c r="DT11" s="146"/>
      <c r="DU11" s="147"/>
      <c r="DV11" s="148"/>
      <c r="DW11" s="145"/>
      <c r="DX11" s="146"/>
      <c r="DY11" s="147"/>
      <c r="DZ11" s="146"/>
      <c r="EA11" s="147"/>
      <c r="EB11" s="148"/>
      <c r="EC11" s="145"/>
      <c r="ED11" s="146"/>
      <c r="EE11" s="147"/>
      <c r="EF11" s="146"/>
      <c r="EG11" s="147"/>
      <c r="EH11" s="148"/>
      <c r="EI11" s="145"/>
      <c r="EJ11" s="146"/>
      <c r="EK11" s="147"/>
      <c r="EL11" s="146"/>
      <c r="EM11" s="147"/>
      <c r="EN11" s="148"/>
      <c r="EO11" s="145"/>
      <c r="EP11" s="146"/>
      <c r="EQ11" s="147"/>
      <c r="ER11" s="146"/>
      <c r="ES11" s="147"/>
      <c r="ET11" s="148"/>
      <c r="EU11" s="145"/>
      <c r="EV11" s="146"/>
      <c r="EW11" s="147"/>
      <c r="EX11" s="146"/>
      <c r="EY11" s="147"/>
      <c r="EZ11" s="148"/>
      <c r="FA11" s="145"/>
      <c r="FB11" s="146"/>
      <c r="FC11" s="147"/>
      <c r="FD11" s="146"/>
      <c r="FE11" s="147"/>
      <c r="FF11" s="148"/>
      <c r="FG11" s="145"/>
      <c r="FH11" s="146"/>
      <c r="FI11" s="147"/>
      <c r="FJ11" s="146"/>
      <c r="FK11" s="147"/>
      <c r="FL11" s="148"/>
      <c r="FM11" s="145"/>
      <c r="FN11" s="146"/>
      <c r="FO11" s="147"/>
      <c r="FP11" s="146"/>
      <c r="FQ11" s="147"/>
      <c r="FR11" s="148"/>
      <c r="FS11" s="145"/>
      <c r="FT11" s="146"/>
      <c r="FU11" s="147"/>
      <c r="FV11" s="146"/>
      <c r="FW11" s="147"/>
      <c r="FX11" s="148"/>
      <c r="FY11" s="145"/>
      <c r="FZ11" s="146"/>
      <c r="GA11" s="147"/>
      <c r="GB11" s="146"/>
      <c r="GC11" s="147"/>
      <c r="GD11" s="148"/>
      <c r="GE11" s="145"/>
      <c r="GF11" s="146"/>
      <c r="GG11" s="147"/>
      <c r="GH11" s="146"/>
      <c r="GI11" s="147"/>
      <c r="GJ11" s="148"/>
      <c r="GK11" s="145"/>
      <c r="GL11" s="146"/>
      <c r="GM11" s="147"/>
      <c r="GN11" s="146"/>
      <c r="GO11" s="147"/>
      <c r="GP11" s="148"/>
    </row>
    <row r="12" spans="1:198" ht="20.100000000000001" hidden="1" customHeight="1" outlineLevel="1" collapsed="1">
      <c r="A12" s="2649"/>
      <c r="B12" s="2653"/>
      <c r="C12" s="169"/>
      <c r="D12" s="2650" t="s">
        <v>8138</v>
      </c>
      <c r="E12" s="2674"/>
      <c r="F12" s="2674"/>
      <c r="G12" s="2674"/>
      <c r="H12" s="2674"/>
      <c r="I12" s="2674"/>
      <c r="J12" s="2674"/>
      <c r="K12" s="2674"/>
      <c r="L12" s="2674"/>
      <c r="M12" s="2674"/>
      <c r="N12" s="2674"/>
      <c r="O12" s="2674"/>
      <c r="P12" s="2674"/>
      <c r="Q12" s="2674"/>
      <c r="R12" s="170"/>
      <c r="S12" s="26"/>
      <c r="T12" s="26"/>
      <c r="U12" s="54"/>
      <c r="V12" s="26"/>
      <c r="W12" s="54"/>
      <c r="X12" s="55"/>
      <c r="Y12" s="26"/>
      <c r="Z12" s="26"/>
      <c r="AA12" s="54"/>
      <c r="AB12" s="26"/>
      <c r="AC12" s="54"/>
      <c r="AD12" s="26"/>
      <c r="AE12" s="56"/>
      <c r="AF12" s="26"/>
      <c r="AG12" s="54"/>
      <c r="AH12" s="26"/>
      <c r="AI12" s="54"/>
      <c r="AJ12" s="55"/>
      <c r="AK12" s="26"/>
      <c r="AL12" s="26"/>
      <c r="AM12" s="54"/>
      <c r="AN12" s="26"/>
      <c r="AO12" s="54"/>
      <c r="AP12" s="26"/>
      <c r="AQ12" s="53"/>
      <c r="AR12" s="26"/>
      <c r="AS12" s="54"/>
      <c r="AT12" s="26"/>
      <c r="AU12" s="54"/>
      <c r="AV12" s="55"/>
      <c r="AW12" s="56"/>
      <c r="AX12" s="26"/>
      <c r="AY12" s="54"/>
      <c r="AZ12" s="26"/>
      <c r="BA12" s="54"/>
      <c r="BB12" s="55"/>
      <c r="BC12" s="26"/>
      <c r="BD12" s="26"/>
      <c r="BE12" s="54"/>
      <c r="BF12" s="26"/>
      <c r="BG12" s="54"/>
      <c r="BH12" s="26"/>
      <c r="BI12" s="56"/>
      <c r="BJ12" s="26"/>
      <c r="BK12" s="54"/>
      <c r="BL12" s="26"/>
      <c r="BM12" s="54"/>
      <c r="BN12" s="55"/>
      <c r="BO12" s="56"/>
      <c r="BP12" s="26"/>
      <c r="BQ12" s="54"/>
      <c r="BR12" s="26"/>
      <c r="BS12" s="54"/>
      <c r="BT12" s="55"/>
      <c r="BU12" s="56"/>
      <c r="BV12" s="26"/>
      <c r="BW12" s="54"/>
      <c r="BX12" s="26"/>
      <c r="BY12" s="54"/>
      <c r="BZ12" s="55"/>
      <c r="CA12" s="56"/>
      <c r="CB12" s="26"/>
      <c r="CC12" s="54"/>
      <c r="CD12" s="26"/>
      <c r="CE12" s="54"/>
      <c r="CF12" s="55"/>
      <c r="CG12" s="56"/>
      <c r="CH12" s="26"/>
      <c r="CI12" s="54"/>
      <c r="CJ12" s="26"/>
      <c r="CK12" s="54"/>
      <c r="CL12" s="55"/>
      <c r="CM12" s="56"/>
      <c r="CN12" s="26"/>
      <c r="CO12" s="54"/>
      <c r="CP12" s="26"/>
      <c r="CQ12" s="54"/>
      <c r="CR12" s="55"/>
      <c r="CS12" s="56"/>
      <c r="CT12" s="26"/>
      <c r="CU12" s="54"/>
      <c r="CV12" s="26"/>
      <c r="CW12" s="54"/>
      <c r="CX12" s="55"/>
      <c r="CY12" s="145"/>
      <c r="CZ12" s="146"/>
      <c r="DA12" s="147"/>
      <c r="DB12" s="146"/>
      <c r="DC12" s="147"/>
      <c r="DD12" s="148"/>
      <c r="DE12" s="145"/>
      <c r="DF12" s="146"/>
      <c r="DG12" s="147"/>
      <c r="DH12" s="146"/>
      <c r="DI12" s="147"/>
      <c r="DJ12" s="148"/>
      <c r="DK12" s="145"/>
      <c r="DL12" s="146"/>
      <c r="DM12" s="147"/>
      <c r="DN12" s="146"/>
      <c r="DO12" s="147"/>
      <c r="DP12" s="148"/>
      <c r="DQ12" s="145"/>
      <c r="DR12" s="146"/>
      <c r="DS12" s="147"/>
      <c r="DT12" s="146"/>
      <c r="DU12" s="147"/>
      <c r="DV12" s="148"/>
      <c r="DW12" s="145"/>
      <c r="DX12" s="146"/>
      <c r="DY12" s="147"/>
      <c r="DZ12" s="146"/>
      <c r="EA12" s="147"/>
      <c r="EB12" s="148"/>
      <c r="EC12" s="145"/>
      <c r="ED12" s="146"/>
      <c r="EE12" s="147"/>
      <c r="EF12" s="146"/>
      <c r="EG12" s="147"/>
      <c r="EH12" s="148"/>
      <c r="EI12" s="145"/>
      <c r="EJ12" s="146"/>
      <c r="EK12" s="147"/>
      <c r="EL12" s="146"/>
      <c r="EM12" s="147"/>
      <c r="EN12" s="148"/>
      <c r="EO12" s="145"/>
      <c r="EP12" s="146"/>
      <c r="EQ12" s="147"/>
      <c r="ER12" s="146"/>
      <c r="ES12" s="147"/>
      <c r="ET12" s="148"/>
      <c r="EU12" s="145"/>
      <c r="EV12" s="146"/>
      <c r="EW12" s="147"/>
      <c r="EX12" s="146"/>
      <c r="EY12" s="147"/>
      <c r="EZ12" s="148"/>
      <c r="FA12" s="145"/>
      <c r="FB12" s="146"/>
      <c r="FC12" s="147"/>
      <c r="FD12" s="146"/>
      <c r="FE12" s="147"/>
      <c r="FF12" s="148"/>
      <c r="FG12" s="145"/>
      <c r="FH12" s="146"/>
      <c r="FI12" s="147"/>
      <c r="FJ12" s="146"/>
      <c r="FK12" s="147"/>
      <c r="FL12" s="148"/>
      <c r="FM12" s="145"/>
      <c r="FN12" s="146"/>
      <c r="FO12" s="147"/>
      <c r="FP12" s="146"/>
      <c r="FQ12" s="147"/>
      <c r="FR12" s="148"/>
      <c r="FS12" s="145"/>
      <c r="FT12" s="146"/>
      <c r="FU12" s="147"/>
      <c r="FV12" s="146"/>
      <c r="FW12" s="147"/>
      <c r="FX12" s="148"/>
      <c r="FY12" s="145"/>
      <c r="FZ12" s="146"/>
      <c r="GA12" s="147"/>
      <c r="GB12" s="146"/>
      <c r="GC12" s="147"/>
      <c r="GD12" s="148"/>
      <c r="GE12" s="145"/>
      <c r="GF12" s="146"/>
      <c r="GG12" s="147"/>
      <c r="GH12" s="146"/>
      <c r="GI12" s="147"/>
      <c r="GJ12" s="148"/>
      <c r="GK12" s="145"/>
      <c r="GL12" s="146"/>
      <c r="GM12" s="147"/>
      <c r="GN12" s="146"/>
      <c r="GO12" s="147"/>
      <c r="GP12" s="148"/>
    </row>
    <row r="13" spans="1:198" ht="24.95" hidden="1" customHeight="1" outlineLevel="1">
      <c r="A13" s="2649"/>
      <c r="B13" s="2653"/>
      <c r="C13" s="169" t="s">
        <v>10067</v>
      </c>
      <c r="D13" s="2650" t="str">
        <f>実績!C1228</f>
        <v>玄海農場鶏舎</v>
      </c>
      <c r="E13" s="2651"/>
      <c r="F13" s="2651"/>
      <c r="G13" s="2651"/>
      <c r="H13" s="2651"/>
      <c r="I13" s="2651"/>
      <c r="J13" s="2651"/>
      <c r="K13" s="2651"/>
      <c r="L13" s="2651"/>
      <c r="M13" s="2651"/>
      <c r="N13" s="2651"/>
      <c r="O13" s="2651"/>
      <c r="P13" s="2651"/>
      <c r="Q13" s="2651"/>
      <c r="R13" s="1284"/>
      <c r="S13" s="26"/>
      <c r="T13" s="26"/>
      <c r="U13" s="54"/>
      <c r="V13" s="26"/>
      <c r="W13" s="54"/>
      <c r="X13" s="55"/>
      <c r="Y13" s="26"/>
      <c r="Z13" s="26"/>
      <c r="AA13" s="54"/>
      <c r="AB13" s="26"/>
      <c r="AC13" s="54"/>
      <c r="AD13" s="26"/>
      <c r="AE13" s="56"/>
      <c r="AF13" s="26"/>
      <c r="AG13" s="54"/>
      <c r="AH13" s="26"/>
      <c r="AI13" s="54"/>
      <c r="AJ13" s="55"/>
      <c r="AK13" s="26"/>
      <c r="AL13" s="26"/>
      <c r="AM13" s="54"/>
      <c r="AN13" s="26"/>
      <c r="AO13" s="54"/>
      <c r="AP13" s="26" t="s">
        <v>8250</v>
      </c>
      <c r="AQ13" s="53"/>
      <c r="AR13" s="26"/>
      <c r="AS13" s="54"/>
      <c r="AT13" s="26"/>
      <c r="AU13" s="54"/>
      <c r="AV13" s="55"/>
      <c r="AW13" s="117"/>
      <c r="AX13" s="26"/>
      <c r="AY13" s="54"/>
      <c r="AZ13" s="26"/>
      <c r="BA13" s="54"/>
      <c r="BB13" s="55"/>
      <c r="BC13" s="26"/>
      <c r="BD13" s="26"/>
      <c r="BE13" s="54"/>
      <c r="BF13" s="26"/>
      <c r="BG13" s="54"/>
      <c r="BH13" s="26"/>
      <c r="BI13" s="56"/>
      <c r="BJ13" s="26"/>
      <c r="BK13" s="54"/>
      <c r="BL13" s="26"/>
      <c r="BM13" s="54"/>
      <c r="BN13" s="55"/>
      <c r="BO13" s="56"/>
      <c r="BP13" s="26" t="s">
        <v>9658</v>
      </c>
      <c r="BQ13" s="54"/>
      <c r="BR13" s="26"/>
      <c r="BS13" s="54"/>
      <c r="BT13" s="55"/>
      <c r="BU13" s="56"/>
      <c r="BV13" s="26"/>
      <c r="BW13" s="54"/>
      <c r="BX13" s="108"/>
      <c r="BY13" s="54"/>
      <c r="BZ13" s="55"/>
      <c r="CA13" s="56" t="s">
        <v>9585</v>
      </c>
      <c r="CB13" s="26"/>
      <c r="CC13" s="54"/>
      <c r="CD13" s="26"/>
      <c r="CE13" s="54"/>
      <c r="CF13" s="55"/>
      <c r="CG13" s="56"/>
      <c r="CH13" s="26"/>
      <c r="CI13" s="54"/>
      <c r="CJ13" s="26"/>
      <c r="CK13" s="54"/>
      <c r="CL13" s="55"/>
      <c r="CM13" s="56"/>
      <c r="CN13" s="26"/>
      <c r="CO13" s="54"/>
      <c r="CP13" s="26"/>
      <c r="CQ13" s="54"/>
      <c r="CR13" s="116" t="s">
        <v>9595</v>
      </c>
      <c r="CS13" s="56"/>
      <c r="CT13" s="26"/>
      <c r="CU13" s="54"/>
      <c r="CV13" s="26"/>
      <c r="CW13" s="54"/>
      <c r="CX13" s="116"/>
      <c r="CY13" s="145"/>
      <c r="CZ13" s="146"/>
      <c r="DA13" s="147"/>
      <c r="DB13" s="146"/>
      <c r="DC13" s="147"/>
      <c r="DD13" s="149"/>
      <c r="DE13" s="145"/>
      <c r="DF13" s="146"/>
      <c r="DG13" s="147"/>
      <c r="DH13" s="146"/>
      <c r="DI13" s="147"/>
      <c r="DJ13" s="149"/>
      <c r="DK13" s="145"/>
      <c r="DL13" s="146"/>
      <c r="DM13" s="147"/>
      <c r="DN13" s="146"/>
      <c r="DO13" s="147"/>
      <c r="DP13" s="149"/>
      <c r="DQ13" s="145"/>
      <c r="DR13" s="146"/>
      <c r="DS13" s="147"/>
      <c r="DT13" s="146"/>
      <c r="DU13" s="147"/>
      <c r="DV13" s="149"/>
      <c r="DW13" s="145"/>
      <c r="DX13" s="146"/>
      <c r="DY13" s="147"/>
      <c r="DZ13" s="146"/>
      <c r="EA13" s="147"/>
      <c r="EB13" s="149"/>
      <c r="EC13" s="145"/>
      <c r="ED13" s="146"/>
      <c r="EE13" s="147"/>
      <c r="EF13" s="146"/>
      <c r="EG13" s="147"/>
      <c r="EH13" s="149"/>
      <c r="EI13" s="145"/>
      <c r="EJ13" s="146"/>
      <c r="EK13" s="147"/>
      <c r="EL13" s="146"/>
      <c r="EM13" s="147"/>
      <c r="EN13" s="149"/>
      <c r="EO13" s="145"/>
      <c r="EP13" s="146"/>
      <c r="EQ13" s="147"/>
      <c r="ER13" s="146"/>
      <c r="ES13" s="147"/>
      <c r="ET13" s="149"/>
      <c r="EU13" s="145"/>
      <c r="EV13" s="146"/>
      <c r="EW13" s="147"/>
      <c r="EX13" s="146"/>
      <c r="EY13" s="147"/>
      <c r="EZ13" s="149"/>
      <c r="FA13" s="145"/>
      <c r="FB13" s="146"/>
      <c r="FC13" s="147"/>
      <c r="FD13" s="146"/>
      <c r="FE13" s="147"/>
      <c r="FF13" s="149"/>
      <c r="FG13" s="145"/>
      <c r="FH13" s="146"/>
      <c r="FI13" s="147"/>
      <c r="FJ13" s="146"/>
      <c r="FK13" s="147"/>
      <c r="FL13" s="149"/>
      <c r="FM13" s="145"/>
      <c r="FN13" s="146"/>
      <c r="FO13" s="147"/>
      <c r="FP13" s="146"/>
      <c r="FQ13" s="147"/>
      <c r="FR13" s="149"/>
      <c r="FS13" s="145"/>
      <c r="FT13" s="146"/>
      <c r="FU13" s="147"/>
      <c r="FV13" s="146"/>
      <c r="FW13" s="147"/>
      <c r="FX13" s="149"/>
      <c r="FY13" s="145"/>
      <c r="FZ13" s="146"/>
      <c r="GA13" s="147"/>
      <c r="GB13" s="146"/>
      <c r="GC13" s="147"/>
      <c r="GD13" s="149"/>
      <c r="GE13" s="145"/>
      <c r="GF13" s="146"/>
      <c r="GG13" s="147"/>
      <c r="GH13" s="146"/>
      <c r="GI13" s="147"/>
      <c r="GJ13" s="149"/>
      <c r="GK13" s="145"/>
      <c r="GL13" s="146"/>
      <c r="GM13" s="147"/>
      <c r="GN13" s="146"/>
      <c r="GO13" s="147"/>
      <c r="GP13" s="149"/>
    </row>
    <row r="14" spans="1:198" ht="24.95" hidden="1" customHeight="1" outlineLevel="1" collapsed="1">
      <c r="A14" s="2649"/>
      <c r="B14" s="2653"/>
      <c r="C14" s="169"/>
      <c r="D14" s="2650" t="str">
        <f>実績!C1143</f>
        <v>コーリツ笠岡工場</v>
      </c>
      <c r="E14" s="2651"/>
      <c r="F14" s="2651"/>
      <c r="G14" s="2651"/>
      <c r="H14" s="2651"/>
      <c r="I14" s="2651"/>
      <c r="J14" s="2651"/>
      <c r="K14" s="2651"/>
      <c r="L14" s="2651"/>
      <c r="M14" s="2651"/>
      <c r="N14" s="2651"/>
      <c r="O14" s="2651"/>
      <c r="P14" s="2651"/>
      <c r="Q14" s="2651"/>
      <c r="R14" s="1284"/>
      <c r="S14" s="26"/>
      <c r="T14" s="26"/>
      <c r="U14" s="54"/>
      <c r="V14" s="26"/>
      <c r="W14" s="54"/>
      <c r="X14" s="55"/>
      <c r="Y14" s="26"/>
      <c r="Z14" s="26"/>
      <c r="AA14" s="54"/>
      <c r="AB14" s="26"/>
      <c r="AC14" s="54"/>
      <c r="AD14" s="26"/>
      <c r="AE14" s="56"/>
      <c r="AF14" s="26"/>
      <c r="AG14" s="54"/>
      <c r="AH14" s="26"/>
      <c r="AI14" s="54"/>
      <c r="AJ14" s="55"/>
      <c r="AK14" s="26"/>
      <c r="AL14" s="26"/>
      <c r="AM14" s="54"/>
      <c r="AN14" s="26"/>
      <c r="AO14" s="54"/>
      <c r="AP14" s="26" t="s">
        <v>8250</v>
      </c>
      <c r="AQ14" s="53"/>
      <c r="AR14" s="26"/>
      <c r="AS14" s="54"/>
      <c r="AT14" s="26"/>
      <c r="AU14" s="54"/>
      <c r="AV14" s="55"/>
      <c r="AW14" s="117"/>
      <c r="AX14" s="26"/>
      <c r="AY14" s="54"/>
      <c r="AZ14" s="26"/>
      <c r="BA14" s="54"/>
      <c r="BB14" s="124" t="s">
        <v>9211</v>
      </c>
      <c r="BC14" s="26"/>
      <c r="BD14" s="26"/>
      <c r="BE14" s="54"/>
      <c r="BF14" s="26"/>
      <c r="BG14" s="54"/>
      <c r="BH14" s="26"/>
      <c r="BI14" s="56"/>
      <c r="BJ14" s="26"/>
      <c r="BK14" s="54"/>
      <c r="BL14" s="26"/>
      <c r="BM14" s="54"/>
      <c r="BN14" s="55"/>
      <c r="BO14" s="56"/>
      <c r="BP14" s="26"/>
      <c r="BQ14" s="54"/>
      <c r="BR14" s="26"/>
      <c r="BS14" s="54"/>
      <c r="BT14" s="55"/>
      <c r="BU14" s="56"/>
      <c r="BV14" s="26"/>
      <c r="BW14" s="54"/>
      <c r="BX14" s="26"/>
      <c r="BY14" s="54"/>
      <c r="BZ14" s="55"/>
      <c r="CA14" s="56"/>
      <c r="CB14" s="26"/>
      <c r="CC14" s="54"/>
      <c r="CD14" s="26"/>
      <c r="CE14" s="54"/>
      <c r="CF14" s="55"/>
      <c r="CG14" s="56"/>
      <c r="CH14" s="26"/>
      <c r="CI14" s="54"/>
      <c r="CJ14" s="26"/>
      <c r="CK14" s="54"/>
      <c r="CL14" s="55"/>
      <c r="CM14" s="56"/>
      <c r="CN14" s="26"/>
      <c r="CO14" s="54"/>
      <c r="CP14" s="26"/>
      <c r="CQ14" s="54"/>
      <c r="CR14" s="55"/>
      <c r="CS14" s="56"/>
      <c r="CT14" s="26"/>
      <c r="CU14" s="54"/>
      <c r="CV14" s="26"/>
      <c r="CW14" s="54"/>
      <c r="CX14" s="55"/>
      <c r="CY14" s="145"/>
      <c r="CZ14" s="146"/>
      <c r="DA14" s="147"/>
      <c r="DB14" s="146"/>
      <c r="DC14" s="147"/>
      <c r="DD14" s="148"/>
      <c r="DE14" s="145"/>
      <c r="DF14" s="146"/>
      <c r="DG14" s="147"/>
      <c r="DH14" s="146"/>
      <c r="DI14" s="147"/>
      <c r="DJ14" s="148"/>
      <c r="DK14" s="145"/>
      <c r="DL14" s="146"/>
      <c r="DM14" s="147"/>
      <c r="DN14" s="146"/>
      <c r="DO14" s="147"/>
      <c r="DP14" s="148"/>
      <c r="DQ14" s="145"/>
      <c r="DR14" s="146"/>
      <c r="DS14" s="147"/>
      <c r="DT14" s="146"/>
      <c r="DU14" s="147"/>
      <c r="DV14" s="148"/>
      <c r="DW14" s="145"/>
      <c r="DX14" s="146"/>
      <c r="DY14" s="147"/>
      <c r="DZ14" s="146"/>
      <c r="EA14" s="147"/>
      <c r="EB14" s="148"/>
      <c r="EC14" s="145"/>
      <c r="ED14" s="146"/>
      <c r="EE14" s="147"/>
      <c r="EF14" s="146"/>
      <c r="EG14" s="147"/>
      <c r="EH14" s="148"/>
      <c r="EI14" s="145"/>
      <c r="EJ14" s="146"/>
      <c r="EK14" s="147"/>
      <c r="EL14" s="146"/>
      <c r="EM14" s="147"/>
      <c r="EN14" s="148"/>
      <c r="EO14" s="145"/>
      <c r="EP14" s="146"/>
      <c r="EQ14" s="147"/>
      <c r="ER14" s="146"/>
      <c r="ES14" s="147"/>
      <c r="ET14" s="148"/>
      <c r="EU14" s="145"/>
      <c r="EV14" s="146"/>
      <c r="EW14" s="147"/>
      <c r="EX14" s="146"/>
      <c r="EY14" s="147"/>
      <c r="EZ14" s="148"/>
      <c r="FA14" s="145"/>
      <c r="FB14" s="146"/>
      <c r="FC14" s="147"/>
      <c r="FD14" s="146"/>
      <c r="FE14" s="147"/>
      <c r="FF14" s="148"/>
      <c r="FG14" s="145"/>
      <c r="FH14" s="146"/>
      <c r="FI14" s="147"/>
      <c r="FJ14" s="146"/>
      <c r="FK14" s="147"/>
      <c r="FL14" s="148"/>
      <c r="FM14" s="145"/>
      <c r="FN14" s="146"/>
      <c r="FO14" s="147"/>
      <c r="FP14" s="146"/>
      <c r="FQ14" s="147"/>
      <c r="FR14" s="148"/>
      <c r="FS14" s="145"/>
      <c r="FT14" s="146"/>
      <c r="FU14" s="147"/>
      <c r="FV14" s="146"/>
      <c r="FW14" s="147"/>
      <c r="FX14" s="148"/>
      <c r="FY14" s="145"/>
      <c r="FZ14" s="146"/>
      <c r="GA14" s="147"/>
      <c r="GB14" s="146"/>
      <c r="GC14" s="147"/>
      <c r="GD14" s="148"/>
      <c r="GE14" s="145"/>
      <c r="GF14" s="146"/>
      <c r="GG14" s="147"/>
      <c r="GH14" s="146"/>
      <c r="GI14" s="147"/>
      <c r="GJ14" s="148"/>
      <c r="GK14" s="145"/>
      <c r="GL14" s="146"/>
      <c r="GM14" s="147"/>
      <c r="GN14" s="146"/>
      <c r="GO14" s="147"/>
      <c r="GP14" s="148"/>
    </row>
    <row r="15" spans="1:198" ht="20.100000000000001" hidden="1" customHeight="1" outlineLevel="1" collapsed="1">
      <c r="A15" s="2649"/>
      <c r="B15" s="2653"/>
      <c r="C15" s="1322"/>
      <c r="D15" s="2677" t="s">
        <v>8141</v>
      </c>
      <c r="E15" s="2678"/>
      <c r="F15" s="2678"/>
      <c r="G15" s="2678"/>
      <c r="H15" s="2678"/>
      <c r="I15" s="2678"/>
      <c r="J15" s="2678"/>
      <c r="K15" s="2678"/>
      <c r="L15" s="2678"/>
      <c r="M15" s="2678"/>
      <c r="N15" s="2678"/>
      <c r="O15" s="2678"/>
      <c r="P15" s="2678"/>
      <c r="Q15" s="2678"/>
      <c r="R15" s="2710"/>
      <c r="S15" s="63"/>
      <c r="T15" s="63"/>
      <c r="U15" s="64"/>
      <c r="V15" s="63"/>
      <c r="W15" s="64"/>
      <c r="X15" s="65"/>
      <c r="Y15" s="63"/>
      <c r="Z15" s="63"/>
      <c r="AA15" s="64"/>
      <c r="AB15" s="63"/>
      <c r="AC15" s="64"/>
      <c r="AD15" s="63"/>
      <c r="AE15" s="66"/>
      <c r="AF15" s="63"/>
      <c r="AG15" s="64"/>
      <c r="AH15" s="63"/>
      <c r="AI15" s="64"/>
      <c r="AJ15" s="65"/>
      <c r="AK15" s="63"/>
      <c r="AL15" s="63"/>
      <c r="AM15" s="64"/>
      <c r="AN15" s="63"/>
      <c r="AO15" s="64"/>
      <c r="AP15" s="63"/>
      <c r="AQ15" s="62"/>
      <c r="AR15" s="63"/>
      <c r="AS15" s="64"/>
      <c r="AT15" s="63"/>
      <c r="AU15" s="64"/>
      <c r="AV15" s="65"/>
      <c r="AW15" s="194"/>
      <c r="AX15" s="63"/>
      <c r="AY15" s="64"/>
      <c r="AZ15" s="63"/>
      <c r="BA15" s="64"/>
      <c r="BB15" s="65"/>
      <c r="BC15" s="63" t="s">
        <v>8771</v>
      </c>
      <c r="BD15" s="63"/>
      <c r="BE15" s="64"/>
      <c r="BF15" s="63"/>
      <c r="BG15" s="64"/>
      <c r="BH15" s="63"/>
      <c r="BI15" s="66"/>
      <c r="BJ15" s="63"/>
      <c r="BK15" s="64"/>
      <c r="BL15" s="63"/>
      <c r="BM15" s="193" t="s">
        <v>8661</v>
      </c>
      <c r="BN15" s="65"/>
      <c r="BO15" s="66"/>
      <c r="BP15" s="63"/>
      <c r="BQ15" s="64"/>
      <c r="BR15" s="63"/>
      <c r="BS15" s="64"/>
      <c r="BT15" s="65"/>
      <c r="BU15" s="66"/>
      <c r="BV15" s="63"/>
      <c r="BW15" s="64"/>
      <c r="BX15" s="63"/>
      <c r="BY15" s="64"/>
      <c r="BZ15" s="65"/>
      <c r="CA15" s="66"/>
      <c r="CB15" s="63"/>
      <c r="CC15" s="64"/>
      <c r="CD15" s="63"/>
      <c r="CE15" s="64"/>
      <c r="CF15" s="65"/>
      <c r="CG15" s="66"/>
      <c r="CH15" s="63"/>
      <c r="CI15" s="64"/>
      <c r="CJ15" s="63"/>
      <c r="CK15" s="64"/>
      <c r="CL15" s="65"/>
      <c r="CM15" s="66"/>
      <c r="CN15" s="63"/>
      <c r="CO15" s="64"/>
      <c r="CP15" s="63"/>
      <c r="CQ15" s="195"/>
      <c r="CR15" s="65"/>
      <c r="CS15" s="66"/>
      <c r="CT15" s="63"/>
      <c r="CU15" s="64"/>
      <c r="CV15" s="63"/>
      <c r="CW15" s="195"/>
      <c r="CX15" s="65"/>
      <c r="CY15" s="150"/>
      <c r="CZ15" s="151"/>
      <c r="DA15" s="152"/>
      <c r="DB15" s="151"/>
      <c r="DC15" s="196"/>
      <c r="DD15" s="192"/>
      <c r="DE15" s="150"/>
      <c r="DF15" s="151"/>
      <c r="DG15" s="152"/>
      <c r="DH15" s="151"/>
      <c r="DI15" s="196"/>
      <c r="DJ15" s="192"/>
      <c r="DK15" s="150"/>
      <c r="DL15" s="151"/>
      <c r="DM15" s="152"/>
      <c r="DN15" s="151"/>
      <c r="DO15" s="196"/>
      <c r="DP15" s="192"/>
      <c r="DQ15" s="150"/>
      <c r="DR15" s="151"/>
      <c r="DS15" s="152"/>
      <c r="DT15" s="151"/>
      <c r="DU15" s="196"/>
      <c r="DV15" s="192"/>
      <c r="DW15" s="150"/>
      <c r="DX15" s="151"/>
      <c r="DY15" s="152"/>
      <c r="DZ15" s="151"/>
      <c r="EA15" s="196"/>
      <c r="EB15" s="192"/>
      <c r="EC15" s="150"/>
      <c r="ED15" s="151"/>
      <c r="EE15" s="152"/>
      <c r="EF15" s="151"/>
      <c r="EG15" s="196"/>
      <c r="EH15" s="192"/>
      <c r="EI15" s="150"/>
      <c r="EJ15" s="151"/>
      <c r="EK15" s="152"/>
      <c r="EL15" s="151"/>
      <c r="EM15" s="196"/>
      <c r="EN15" s="192"/>
      <c r="EO15" s="150"/>
      <c r="EP15" s="151"/>
      <c r="EQ15" s="152"/>
      <c r="ER15" s="151"/>
      <c r="ES15" s="196"/>
      <c r="ET15" s="192"/>
      <c r="EU15" s="150"/>
      <c r="EV15" s="151"/>
      <c r="EW15" s="152"/>
      <c r="EX15" s="151"/>
      <c r="EY15" s="196"/>
      <c r="EZ15" s="192"/>
      <c r="FA15" s="150"/>
      <c r="FB15" s="151"/>
      <c r="FC15" s="152"/>
      <c r="FD15" s="151"/>
      <c r="FE15" s="196"/>
      <c r="FF15" s="192"/>
      <c r="FG15" s="150"/>
      <c r="FH15" s="151"/>
      <c r="FI15" s="152"/>
      <c r="FJ15" s="151"/>
      <c r="FK15" s="196"/>
      <c r="FL15" s="192"/>
      <c r="FM15" s="150"/>
      <c r="FN15" s="151"/>
      <c r="FO15" s="152"/>
      <c r="FP15" s="151"/>
      <c r="FQ15" s="196"/>
      <c r="FR15" s="192"/>
      <c r="FS15" s="150"/>
      <c r="FT15" s="151"/>
      <c r="FU15" s="152"/>
      <c r="FV15" s="151"/>
      <c r="FW15" s="196"/>
      <c r="FX15" s="192"/>
      <c r="FY15" s="150"/>
      <c r="FZ15" s="151"/>
      <c r="GA15" s="152"/>
      <c r="GB15" s="151"/>
      <c r="GC15" s="196"/>
      <c r="GD15" s="192"/>
      <c r="GE15" s="150"/>
      <c r="GF15" s="151"/>
      <c r="GG15" s="152"/>
      <c r="GH15" s="151"/>
      <c r="GI15" s="196"/>
      <c r="GJ15" s="192"/>
      <c r="GK15" s="150"/>
      <c r="GL15" s="151"/>
      <c r="GM15" s="152"/>
      <c r="GN15" s="151"/>
      <c r="GO15" s="196"/>
      <c r="GP15" s="192"/>
    </row>
    <row r="16" spans="1:198" ht="20.100000000000001" hidden="1" customHeight="1" outlineLevel="1">
      <c r="A16" s="2649"/>
      <c r="B16" s="2653"/>
      <c r="C16" s="205"/>
      <c r="D16" s="2680" t="str">
        <f>実績!C1207</f>
        <v>南国殖産殿(仮称)鹿児島南港水素ステーション</v>
      </c>
      <c r="E16" s="2681"/>
      <c r="F16" s="2681"/>
      <c r="G16" s="2681"/>
      <c r="H16" s="2681"/>
      <c r="I16" s="2681"/>
      <c r="J16" s="2681"/>
      <c r="K16" s="2681"/>
      <c r="L16" s="2681"/>
      <c r="M16" s="2681"/>
      <c r="N16" s="2681"/>
      <c r="O16" s="2681"/>
      <c r="P16" s="2681"/>
      <c r="Q16" s="2681"/>
      <c r="R16" s="2682"/>
      <c r="S16" s="206"/>
      <c r="T16" s="206"/>
      <c r="U16" s="207"/>
      <c r="V16" s="206"/>
      <c r="W16" s="207"/>
      <c r="X16" s="208"/>
      <c r="Y16" s="206"/>
      <c r="Z16" s="206"/>
      <c r="AA16" s="207"/>
      <c r="AB16" s="206"/>
      <c r="AC16" s="207"/>
      <c r="AD16" s="206"/>
      <c r="AE16" s="209"/>
      <c r="AF16" s="206"/>
      <c r="AG16" s="207"/>
      <c r="AH16" s="206"/>
      <c r="AI16" s="207"/>
      <c r="AJ16" s="208"/>
      <c r="AK16" s="206"/>
      <c r="AL16" s="206"/>
      <c r="AM16" s="207"/>
      <c r="AN16" s="206"/>
      <c r="AO16" s="207"/>
      <c r="AP16" s="206" t="s">
        <v>8250</v>
      </c>
      <c r="AQ16" s="210"/>
      <c r="AR16" s="206"/>
      <c r="AS16" s="207"/>
      <c r="AT16" s="206"/>
      <c r="AU16" s="207"/>
      <c r="AV16" s="208"/>
      <c r="AW16" s="211"/>
      <c r="AX16" s="206"/>
      <c r="AY16" s="207"/>
      <c r="AZ16" s="206"/>
      <c r="BA16" s="207"/>
      <c r="BB16" s="208"/>
      <c r="BC16" s="206"/>
      <c r="BD16" s="206"/>
      <c r="BE16" s="207"/>
      <c r="BF16" s="206"/>
      <c r="BG16" s="207"/>
      <c r="BH16" s="206"/>
      <c r="BI16" s="209"/>
      <c r="BJ16" s="206"/>
      <c r="BK16" s="207"/>
      <c r="BL16" s="206"/>
      <c r="BM16" s="207"/>
      <c r="BN16" s="208"/>
      <c r="BO16" s="209"/>
      <c r="BP16" s="212" t="s">
        <v>9766</v>
      </c>
      <c r="BQ16" s="207"/>
      <c r="BR16" s="206"/>
      <c r="BS16" s="207"/>
      <c r="BT16" s="208"/>
      <c r="BU16" s="209"/>
      <c r="BV16" s="206"/>
      <c r="BW16" s="207"/>
      <c r="BX16" s="213"/>
      <c r="BY16" s="214" t="s">
        <v>10083</v>
      </c>
      <c r="BZ16" s="208"/>
      <c r="CA16" s="215"/>
      <c r="CB16" s="206"/>
      <c r="CC16" s="207"/>
      <c r="CD16" s="206"/>
      <c r="CE16" s="207"/>
      <c r="CF16" s="208"/>
      <c r="CG16" s="209"/>
      <c r="CH16" s="206"/>
      <c r="CI16" s="207"/>
      <c r="CJ16" s="206"/>
      <c r="CK16" s="207"/>
      <c r="CL16" s="208"/>
      <c r="CM16" s="209"/>
      <c r="CN16" s="206"/>
      <c r="CO16" s="207"/>
      <c r="CP16" s="206"/>
      <c r="CQ16" s="207"/>
      <c r="CR16" s="216"/>
      <c r="CS16" s="209"/>
      <c r="CT16" s="206"/>
      <c r="CU16" s="207"/>
      <c r="CV16" s="206"/>
      <c r="CW16" s="207"/>
      <c r="CX16" s="216"/>
      <c r="CY16" s="209"/>
      <c r="CZ16" s="206"/>
      <c r="DA16" s="214" t="s">
        <v>10993</v>
      </c>
      <c r="DB16" s="206"/>
      <c r="DC16" s="207"/>
      <c r="DD16" s="216"/>
      <c r="DE16" s="209"/>
      <c r="DF16" s="206"/>
      <c r="DG16" s="207"/>
      <c r="DH16" s="206"/>
      <c r="DI16" s="207"/>
      <c r="DJ16" s="216"/>
      <c r="DK16" s="209"/>
      <c r="DL16" s="206"/>
      <c r="DM16" s="207"/>
      <c r="DN16" s="206"/>
      <c r="DO16" s="207"/>
      <c r="DP16" s="217"/>
      <c r="DQ16" s="218"/>
      <c r="DR16" s="206"/>
      <c r="DS16" s="207"/>
      <c r="DT16" s="206"/>
      <c r="DU16" s="207"/>
      <c r="DV16" s="216"/>
      <c r="DW16" s="209"/>
      <c r="DX16" s="206"/>
      <c r="DY16" s="207"/>
      <c r="DZ16" s="206"/>
      <c r="EA16" s="207"/>
      <c r="EB16" s="216"/>
      <c r="EC16" s="209"/>
      <c r="ED16" s="206"/>
      <c r="EE16" s="207"/>
      <c r="EF16" s="206"/>
      <c r="EG16" s="207"/>
      <c r="EH16" s="216"/>
      <c r="EI16" s="209"/>
      <c r="EJ16" s="206"/>
      <c r="EK16" s="207"/>
      <c r="EL16" s="206"/>
      <c r="EM16" s="207"/>
      <c r="EN16" s="216"/>
      <c r="EO16" s="209"/>
      <c r="EP16" s="206"/>
      <c r="EQ16" s="207"/>
      <c r="ER16" s="206"/>
      <c r="ES16" s="207"/>
      <c r="ET16" s="216"/>
      <c r="EU16" s="209"/>
      <c r="EV16" s="206"/>
      <c r="EW16" s="207"/>
      <c r="EX16" s="206"/>
      <c r="EY16" s="207"/>
      <c r="EZ16" s="216"/>
      <c r="FA16" s="209"/>
      <c r="FB16" s="206"/>
      <c r="FC16" s="207"/>
      <c r="FD16" s="206"/>
      <c r="FE16" s="207"/>
      <c r="FF16" s="216"/>
      <c r="FG16" s="209"/>
      <c r="FH16" s="206"/>
      <c r="FI16" s="207"/>
      <c r="FJ16" s="206"/>
      <c r="FK16" s="207"/>
      <c r="FL16" s="216"/>
      <c r="FM16" s="209"/>
      <c r="FN16" s="206"/>
      <c r="FO16" s="207"/>
      <c r="FP16" s="206"/>
      <c r="FQ16" s="207"/>
      <c r="FR16" s="216"/>
      <c r="FS16" s="209"/>
      <c r="FT16" s="206"/>
      <c r="FU16" s="207"/>
      <c r="FV16" s="206"/>
      <c r="FW16" s="207"/>
      <c r="FX16" s="216"/>
      <c r="FY16" s="209"/>
      <c r="FZ16" s="206"/>
      <c r="GA16" s="207"/>
      <c r="GB16" s="206"/>
      <c r="GC16" s="207"/>
      <c r="GD16" s="216"/>
      <c r="GE16" s="209"/>
      <c r="GF16" s="206"/>
      <c r="GG16" s="207"/>
      <c r="GH16" s="206"/>
      <c r="GI16" s="207"/>
      <c r="GJ16" s="216"/>
      <c r="GK16" s="209"/>
      <c r="GL16" s="206"/>
      <c r="GM16" s="207"/>
      <c r="GN16" s="206"/>
      <c r="GO16" s="207"/>
      <c r="GP16" s="216"/>
    </row>
    <row r="17" spans="1:198" ht="20.100000000000001" hidden="1" customHeight="1" outlineLevel="1" collapsed="1">
      <c r="A17" s="2649"/>
      <c r="B17" s="2653"/>
      <c r="C17" s="2660" t="s">
        <v>10067</v>
      </c>
      <c r="D17" s="2686" t="str">
        <f>実績!C1291&amp;"("&amp;SUBSTITUTE(実績!AB1291&amp;")","株式会社 ","")</f>
        <v>BMW神戸(カーダクレッセ)</v>
      </c>
      <c r="E17" s="2711"/>
      <c r="F17" s="2711"/>
      <c r="G17" s="2711"/>
      <c r="H17" s="2711"/>
      <c r="I17" s="2711"/>
      <c r="J17" s="2711"/>
      <c r="K17" s="2711"/>
      <c r="L17" s="2711"/>
      <c r="M17" s="2711"/>
      <c r="N17" s="2711"/>
      <c r="O17" s="2711"/>
      <c r="P17" s="2711"/>
      <c r="Q17" s="2712"/>
      <c r="R17" s="220" t="s">
        <v>10755</v>
      </c>
      <c r="S17" s="151"/>
      <c r="T17" s="151"/>
      <c r="U17" s="151"/>
      <c r="V17" s="151"/>
      <c r="W17" s="151"/>
      <c r="X17" s="151"/>
      <c r="Y17" s="151"/>
      <c r="Z17" s="151"/>
      <c r="AA17" s="151"/>
      <c r="AB17" s="151"/>
      <c r="AC17" s="151"/>
      <c r="AD17" s="151"/>
      <c r="AE17" s="151"/>
      <c r="AF17" s="151"/>
      <c r="AG17" s="151"/>
      <c r="AH17" s="151"/>
      <c r="AI17" s="151"/>
      <c r="AJ17" s="151"/>
      <c r="AK17" s="151"/>
      <c r="AL17" s="151"/>
      <c r="AM17" s="151"/>
      <c r="AN17" s="151"/>
      <c r="AO17" s="151"/>
      <c r="AP17" s="151"/>
      <c r="AQ17" s="151"/>
      <c r="AR17" s="151"/>
      <c r="AS17" s="151"/>
      <c r="AT17" s="151"/>
      <c r="AU17" s="151"/>
      <c r="AV17" s="151"/>
      <c r="AW17" s="151"/>
      <c r="AX17" s="151"/>
      <c r="AY17" s="151"/>
      <c r="AZ17" s="151"/>
      <c r="BA17" s="151"/>
      <c r="BB17" s="151"/>
      <c r="BC17" s="151"/>
      <c r="BD17" s="151"/>
      <c r="BE17" s="151"/>
      <c r="BF17" s="151"/>
      <c r="BG17" s="151"/>
      <c r="BH17" s="151"/>
      <c r="BI17" s="150"/>
      <c r="BJ17" s="151"/>
      <c r="BK17" s="152"/>
      <c r="BL17" s="151"/>
      <c r="BM17" s="152"/>
      <c r="BN17" s="192"/>
      <c r="BO17" s="150"/>
      <c r="BP17" s="151"/>
      <c r="BQ17" s="152"/>
      <c r="BR17" s="151"/>
      <c r="BS17" s="152"/>
      <c r="BT17" s="192"/>
      <c r="BU17" s="222"/>
      <c r="BV17" s="151"/>
      <c r="BW17" s="152"/>
      <c r="BX17" s="223"/>
      <c r="BY17" s="152"/>
      <c r="BZ17" s="192"/>
      <c r="CA17" s="150"/>
      <c r="CB17" s="151"/>
      <c r="CC17" s="152"/>
      <c r="CD17" s="223"/>
      <c r="CE17" s="152"/>
      <c r="CF17" s="192"/>
      <c r="CG17" s="222"/>
      <c r="CH17" s="151"/>
      <c r="CI17" s="152"/>
      <c r="CJ17" s="151"/>
      <c r="CK17" s="152"/>
      <c r="CL17" s="192"/>
      <c r="CM17" s="150"/>
      <c r="CN17" s="151"/>
      <c r="CO17" s="152"/>
      <c r="CP17" s="151"/>
      <c r="CQ17" s="152"/>
      <c r="CR17" s="224"/>
      <c r="CS17" s="150"/>
      <c r="CT17" s="151"/>
      <c r="CU17" s="152"/>
      <c r="CV17" s="151"/>
      <c r="CW17" s="152"/>
      <c r="CX17" s="224"/>
      <c r="CY17" s="222" t="s">
        <v>13413</v>
      </c>
      <c r="CZ17" s="151"/>
      <c r="DA17" s="248"/>
      <c r="DB17" s="151"/>
      <c r="DC17" s="152"/>
      <c r="DD17" s="224"/>
      <c r="DE17" s="150"/>
      <c r="DF17" s="151"/>
      <c r="DG17" s="152"/>
      <c r="DH17" s="151"/>
      <c r="DI17" s="249"/>
      <c r="DJ17" s="250"/>
      <c r="DK17" s="222" t="s">
        <v>14848</v>
      </c>
      <c r="DL17" s="151"/>
      <c r="DM17" s="152"/>
      <c r="DN17" s="151"/>
      <c r="DO17" s="152"/>
      <c r="DP17" s="151"/>
      <c r="DQ17" s="251"/>
      <c r="DR17" s="151"/>
      <c r="DS17" s="152"/>
      <c r="DT17" s="252"/>
      <c r="DU17" s="151"/>
      <c r="DV17" s="253"/>
      <c r="DW17" s="150"/>
      <c r="DX17" s="151"/>
      <c r="DY17" s="152"/>
      <c r="DZ17" s="151"/>
      <c r="EA17" s="152"/>
      <c r="EB17" s="224"/>
      <c r="EC17" s="150"/>
      <c r="ED17" s="151"/>
      <c r="EE17" s="152"/>
      <c r="EF17" s="151"/>
      <c r="EG17" s="152"/>
      <c r="EH17" s="224"/>
      <c r="EI17" s="150"/>
      <c r="EJ17" s="151"/>
      <c r="EK17" s="152"/>
      <c r="EL17" s="151"/>
      <c r="EM17" s="152"/>
      <c r="EN17" s="224"/>
      <c r="EO17" s="150"/>
      <c r="EP17" s="151"/>
      <c r="EQ17" s="152"/>
      <c r="ER17" s="151"/>
      <c r="ES17" s="152"/>
      <c r="ET17" s="224"/>
      <c r="EU17" s="150"/>
      <c r="EV17" s="151"/>
      <c r="EW17" s="152"/>
      <c r="EX17" s="151"/>
      <c r="EY17" s="152"/>
      <c r="EZ17" s="224"/>
      <c r="FA17" s="150"/>
      <c r="FB17" s="151"/>
      <c r="FC17" s="152"/>
      <c r="FD17" s="151"/>
      <c r="FE17" s="152"/>
      <c r="FF17" s="224"/>
      <c r="FG17" s="150"/>
      <c r="FH17" s="151"/>
      <c r="FI17" s="152"/>
      <c r="FJ17" s="151"/>
      <c r="FK17" s="152"/>
      <c r="FL17" s="224"/>
      <c r="FM17" s="150"/>
      <c r="FN17" s="151"/>
      <c r="FO17" s="152"/>
      <c r="FP17" s="151"/>
      <c r="FQ17" s="152"/>
      <c r="FR17" s="224"/>
      <c r="FS17" s="150"/>
      <c r="FT17" s="151"/>
      <c r="FU17" s="152"/>
      <c r="FV17" s="151"/>
      <c r="FW17" s="152"/>
      <c r="FX17" s="224"/>
      <c r="FY17" s="150"/>
      <c r="FZ17" s="151"/>
      <c r="GA17" s="152"/>
      <c r="GB17" s="151"/>
      <c r="GC17" s="152"/>
      <c r="GD17" s="224"/>
      <c r="GE17" s="150"/>
      <c r="GF17" s="151"/>
      <c r="GG17" s="152"/>
      <c r="GH17" s="151"/>
      <c r="GI17" s="152"/>
      <c r="GJ17" s="224"/>
      <c r="GK17" s="150"/>
      <c r="GL17" s="151"/>
      <c r="GM17" s="152"/>
      <c r="GN17" s="151"/>
      <c r="GO17" s="152"/>
      <c r="GP17" s="224"/>
    </row>
    <row r="18" spans="1:198" ht="20.100000000000001" hidden="1" customHeight="1" outlineLevel="1">
      <c r="A18" s="2649"/>
      <c r="B18" s="2653"/>
      <c r="C18" s="2661"/>
      <c r="D18" s="2713"/>
      <c r="E18" s="2681"/>
      <c r="F18" s="2681"/>
      <c r="G18" s="2681"/>
      <c r="H18" s="2681"/>
      <c r="I18" s="2681"/>
      <c r="J18" s="2681"/>
      <c r="K18" s="2681"/>
      <c r="L18" s="2681"/>
      <c r="M18" s="2681"/>
      <c r="N18" s="2681"/>
      <c r="O18" s="2681"/>
      <c r="P18" s="2681"/>
      <c r="Q18" s="2714"/>
      <c r="R18" s="238" t="s">
        <v>10756</v>
      </c>
      <c r="S18" s="239"/>
      <c r="T18" s="239"/>
      <c r="U18" s="240"/>
      <c r="V18" s="239"/>
      <c r="W18" s="240"/>
      <c r="X18" s="241"/>
      <c r="Y18" s="239"/>
      <c r="Z18" s="239"/>
      <c r="AA18" s="240"/>
      <c r="AB18" s="239"/>
      <c r="AC18" s="240"/>
      <c r="AD18" s="239"/>
      <c r="AE18" s="242"/>
      <c r="AF18" s="239"/>
      <c r="AG18" s="240"/>
      <c r="AH18" s="239"/>
      <c r="AI18" s="240"/>
      <c r="AJ18" s="241"/>
      <c r="AK18" s="239"/>
      <c r="AL18" s="239"/>
      <c r="AM18" s="240"/>
      <c r="AN18" s="239"/>
      <c r="AO18" s="240"/>
      <c r="AP18" s="239"/>
      <c r="AQ18" s="243"/>
      <c r="AR18" s="239"/>
      <c r="AS18" s="240"/>
      <c r="AT18" s="239"/>
      <c r="AU18" s="240"/>
      <c r="AV18" s="241"/>
      <c r="AW18" s="242"/>
      <c r="AX18" s="239"/>
      <c r="AY18" s="240"/>
      <c r="AZ18" s="239"/>
      <c r="BA18" s="240"/>
      <c r="BB18" s="241"/>
      <c r="BC18" s="239"/>
      <c r="BD18" s="239"/>
      <c r="BE18" s="240"/>
      <c r="BF18" s="239"/>
      <c r="BG18" s="240"/>
      <c r="BH18" s="239"/>
      <c r="BI18" s="242"/>
      <c r="BJ18" s="239"/>
      <c r="BK18" s="240"/>
      <c r="BL18" s="239"/>
      <c r="BM18" s="240"/>
      <c r="BN18" s="241"/>
      <c r="BO18" s="242"/>
      <c r="BP18" s="239"/>
      <c r="BQ18" s="240"/>
      <c r="BR18" s="244"/>
      <c r="BS18" s="240"/>
      <c r="BT18" s="241"/>
      <c r="BU18" s="242"/>
      <c r="BV18" s="239"/>
      <c r="BW18" s="240"/>
      <c r="BX18" s="239"/>
      <c r="BY18" s="240"/>
      <c r="BZ18" s="241"/>
      <c r="CA18" s="242"/>
      <c r="CB18" s="239"/>
      <c r="CC18" s="240"/>
      <c r="CD18" s="239"/>
      <c r="CE18" s="240"/>
      <c r="CF18" s="241"/>
      <c r="CG18" s="242"/>
      <c r="CH18" s="239"/>
      <c r="CI18" s="240"/>
      <c r="CJ18" s="239"/>
      <c r="CK18" s="240"/>
      <c r="CL18" s="241"/>
      <c r="CM18" s="242"/>
      <c r="CN18" s="244"/>
      <c r="CO18" s="240"/>
      <c r="CP18" s="245"/>
      <c r="CQ18" s="240"/>
      <c r="CR18" s="241"/>
      <c r="CS18" s="242"/>
      <c r="CT18" s="239"/>
      <c r="CU18" s="240"/>
      <c r="CV18" s="239"/>
      <c r="CW18" s="240"/>
      <c r="CX18" s="241"/>
      <c r="CY18" s="242"/>
      <c r="CZ18" s="239"/>
      <c r="DA18" s="240"/>
      <c r="DB18" s="239"/>
      <c r="DC18" s="240"/>
      <c r="DD18" s="241"/>
      <c r="DE18" s="242"/>
      <c r="DF18" s="239"/>
      <c r="DG18" s="240"/>
      <c r="DH18" s="239"/>
      <c r="DI18" s="240"/>
      <c r="DJ18" s="241"/>
      <c r="DK18" s="242"/>
      <c r="DL18" s="239"/>
      <c r="DM18" s="240" t="s">
        <v>14988</v>
      </c>
      <c r="DN18" s="239"/>
      <c r="DO18" s="240"/>
      <c r="DP18" s="239"/>
      <c r="DQ18" s="246"/>
      <c r="DR18" s="239"/>
      <c r="DS18" s="240"/>
      <c r="DT18" s="244"/>
      <c r="DU18" s="239"/>
      <c r="DV18" s="241"/>
      <c r="DW18" s="242"/>
      <c r="DX18" s="239"/>
      <c r="DY18" s="240"/>
      <c r="DZ18" s="239"/>
      <c r="EA18" s="240"/>
      <c r="EB18" s="247"/>
      <c r="EC18" s="242"/>
      <c r="ED18" s="239"/>
      <c r="EE18" s="240"/>
      <c r="EF18" s="239"/>
      <c r="EG18" s="240"/>
      <c r="EH18" s="247"/>
      <c r="EI18" s="242"/>
      <c r="EJ18" s="239"/>
      <c r="EK18" s="240"/>
      <c r="EL18" s="239"/>
      <c r="EM18" s="240"/>
      <c r="EN18" s="247"/>
      <c r="EO18" s="242"/>
      <c r="EP18" s="239"/>
      <c r="EQ18" s="240"/>
      <c r="ER18" s="239"/>
      <c r="ES18" s="240"/>
      <c r="ET18" s="247"/>
      <c r="EU18" s="242"/>
      <c r="EV18" s="239"/>
      <c r="EW18" s="240"/>
      <c r="EX18" s="239"/>
      <c r="EY18" s="240"/>
      <c r="EZ18" s="247"/>
      <c r="FA18" s="242"/>
      <c r="FB18" s="239"/>
      <c r="FC18" s="240"/>
      <c r="FD18" s="239"/>
      <c r="FE18" s="240"/>
      <c r="FF18" s="247"/>
      <c r="FG18" s="242"/>
      <c r="FH18" s="239"/>
      <c r="FI18" s="240"/>
      <c r="FJ18" s="239"/>
      <c r="FK18" s="240"/>
      <c r="FL18" s="247"/>
      <c r="FM18" s="242"/>
      <c r="FN18" s="239"/>
      <c r="FO18" s="240"/>
      <c r="FP18" s="239"/>
      <c r="FQ18" s="240"/>
      <c r="FR18" s="247"/>
      <c r="FS18" s="242"/>
      <c r="FT18" s="239"/>
      <c r="FU18" s="240"/>
      <c r="FV18" s="239"/>
      <c r="FW18" s="240"/>
      <c r="FX18" s="247"/>
      <c r="FY18" s="242"/>
      <c r="FZ18" s="239"/>
      <c r="GA18" s="240"/>
      <c r="GB18" s="239"/>
      <c r="GC18" s="240"/>
      <c r="GD18" s="247"/>
      <c r="GE18" s="242"/>
      <c r="GF18" s="239"/>
      <c r="GG18" s="240"/>
      <c r="GH18" s="239"/>
      <c r="GI18" s="240"/>
      <c r="GJ18" s="247"/>
      <c r="GK18" s="242"/>
      <c r="GL18" s="239"/>
      <c r="GM18" s="240"/>
      <c r="GN18" s="239"/>
      <c r="GO18" s="240"/>
      <c r="GP18" s="247"/>
    </row>
    <row r="19" spans="1:198" ht="20.100000000000001" hidden="1" customHeight="1" outlineLevel="1">
      <c r="A19" s="1975"/>
      <c r="B19" s="2653"/>
      <c r="C19" s="2660" t="s">
        <v>10067</v>
      </c>
      <c r="D19" s="2686" t="str">
        <f>実績!C1339&amp;"("&amp;SUBSTITUTE(実績!R1339&amp;")","株式会社 ","")</f>
        <v>鴻池運輸(淺川組)</v>
      </c>
      <c r="E19" s="2687"/>
      <c r="F19" s="2687"/>
      <c r="G19" s="2687"/>
      <c r="H19" s="2687"/>
      <c r="I19" s="2687"/>
      <c r="J19" s="2687"/>
      <c r="K19" s="2687"/>
      <c r="L19" s="2687"/>
      <c r="M19" s="2687"/>
      <c r="N19" s="2687"/>
      <c r="O19" s="2687"/>
      <c r="P19" s="2687"/>
      <c r="Q19" s="2687"/>
      <c r="R19" s="220" t="s">
        <v>1117</v>
      </c>
      <c r="S19" s="151"/>
      <c r="T19" s="151"/>
      <c r="U19" s="151"/>
      <c r="V19" s="151"/>
      <c r="W19" s="151"/>
      <c r="X19" s="151"/>
      <c r="Y19" s="151"/>
      <c r="Z19" s="151"/>
      <c r="AA19" s="151"/>
      <c r="AB19" s="151"/>
      <c r="AC19" s="151"/>
      <c r="AD19" s="151"/>
      <c r="AE19" s="151"/>
      <c r="AF19" s="151"/>
      <c r="AG19" s="151"/>
      <c r="AH19" s="151"/>
      <c r="AI19" s="151"/>
      <c r="AJ19" s="151"/>
      <c r="AK19" s="151"/>
      <c r="AL19" s="151"/>
      <c r="AM19" s="151"/>
      <c r="AN19" s="151"/>
      <c r="AO19" s="151"/>
      <c r="AP19" s="151"/>
      <c r="AQ19" s="151"/>
      <c r="AR19" s="151"/>
      <c r="AS19" s="151"/>
      <c r="AT19" s="151"/>
      <c r="AU19" s="151"/>
      <c r="AV19" s="151"/>
      <c r="AW19" s="151"/>
      <c r="AX19" s="151"/>
      <c r="AY19" s="151"/>
      <c r="AZ19" s="151"/>
      <c r="BA19" s="151"/>
      <c r="BB19" s="151"/>
      <c r="BC19" s="151"/>
      <c r="BD19" s="151"/>
      <c r="BE19" s="151"/>
      <c r="BF19" s="151"/>
      <c r="BG19" s="151"/>
      <c r="BH19" s="151"/>
      <c r="BI19" s="150"/>
      <c r="BJ19" s="151"/>
      <c r="BK19" s="152"/>
      <c r="BL19" s="151"/>
      <c r="BM19" s="152"/>
      <c r="BN19" s="192"/>
      <c r="BO19" s="150"/>
      <c r="BP19" s="151"/>
      <c r="BQ19" s="152"/>
      <c r="BR19" s="151"/>
      <c r="BS19" s="152"/>
      <c r="BT19" s="192"/>
      <c r="BU19" s="222"/>
      <c r="BV19" s="151"/>
      <c r="BW19" s="152"/>
      <c r="BX19" s="223"/>
      <c r="BY19" s="152"/>
      <c r="BZ19" s="192"/>
      <c r="CA19" s="150"/>
      <c r="CB19" s="151"/>
      <c r="CC19" s="152"/>
      <c r="CD19" s="223"/>
      <c r="CE19" s="152"/>
      <c r="CF19" s="192"/>
      <c r="CG19" s="222"/>
      <c r="CH19" s="151"/>
      <c r="CI19" s="152"/>
      <c r="CJ19" s="151"/>
      <c r="CK19" s="152"/>
      <c r="CL19" s="192"/>
      <c r="CM19" s="150"/>
      <c r="CN19" s="151"/>
      <c r="CO19" s="152"/>
      <c r="CP19" s="151"/>
      <c r="CQ19" s="152"/>
      <c r="CR19" s="224"/>
      <c r="CS19" s="150"/>
      <c r="CT19" s="151"/>
      <c r="CU19" s="152"/>
      <c r="CV19" s="151"/>
      <c r="CW19" s="152"/>
      <c r="CX19" s="224"/>
      <c r="CY19" s="150"/>
      <c r="CZ19" s="151"/>
      <c r="DA19" s="152"/>
      <c r="DB19" s="151"/>
      <c r="DC19" s="152"/>
      <c r="DD19" s="224"/>
      <c r="DE19" s="150"/>
      <c r="DF19" s="151"/>
      <c r="DG19" s="152"/>
      <c r="DH19" s="151"/>
      <c r="DI19" s="152"/>
      <c r="DJ19" s="224"/>
      <c r="DK19" s="222"/>
      <c r="DL19" s="151"/>
      <c r="DM19" s="152"/>
      <c r="DN19" s="151"/>
      <c r="DO19" s="152"/>
      <c r="DP19" s="231"/>
      <c r="DQ19" s="232"/>
      <c r="DR19" s="146"/>
      <c r="DS19" s="147"/>
      <c r="DT19" s="146"/>
      <c r="DU19" s="147"/>
      <c r="DV19" s="149"/>
      <c r="DW19" s="145"/>
      <c r="DX19" s="146"/>
      <c r="DY19" s="147"/>
      <c r="DZ19" s="146"/>
      <c r="EA19" s="147"/>
      <c r="EB19" s="149"/>
      <c r="EC19" s="145"/>
      <c r="ED19" s="146"/>
      <c r="EE19" s="147"/>
      <c r="EF19" s="146"/>
      <c r="EG19" s="147"/>
      <c r="EH19" s="149"/>
      <c r="EI19" s="145"/>
      <c r="EJ19" s="146"/>
      <c r="EK19" s="147"/>
      <c r="EL19" s="146" t="s">
        <v>15093</v>
      </c>
      <c r="EM19" s="147"/>
      <c r="EN19" s="149"/>
      <c r="EO19" s="145"/>
      <c r="EP19" s="146"/>
      <c r="EQ19" s="147"/>
      <c r="ER19" s="146"/>
      <c r="ES19" s="147"/>
      <c r="ET19" s="149"/>
      <c r="EU19" s="145"/>
      <c r="EV19" s="146"/>
      <c r="EW19" s="147"/>
      <c r="EX19" s="146"/>
      <c r="EY19" s="147"/>
      <c r="EZ19" s="149"/>
      <c r="FA19" s="145"/>
      <c r="FB19" s="146"/>
      <c r="FC19" s="147"/>
      <c r="FD19" s="146"/>
      <c r="FE19" s="147"/>
      <c r="FF19" s="149"/>
      <c r="FG19" s="145"/>
      <c r="FH19" s="146"/>
      <c r="FI19" s="147"/>
      <c r="FJ19" s="146"/>
      <c r="FK19" s="147"/>
      <c r="FL19" s="149"/>
      <c r="FM19" s="145"/>
      <c r="FN19" s="146"/>
      <c r="FO19" s="147"/>
      <c r="FP19" s="146"/>
      <c r="FQ19" s="147"/>
      <c r="FR19" s="149"/>
      <c r="FS19" s="145"/>
      <c r="FT19" s="146"/>
      <c r="FU19" s="147"/>
      <c r="FV19" s="146"/>
      <c r="FW19" s="147"/>
      <c r="FX19" s="149"/>
      <c r="FY19" s="145"/>
      <c r="FZ19" s="146"/>
      <c r="GA19" s="147"/>
      <c r="GB19" s="146"/>
      <c r="GC19" s="147"/>
      <c r="GD19" s="149"/>
      <c r="GE19" s="145"/>
      <c r="GF19" s="146"/>
      <c r="GG19" s="147"/>
      <c r="GH19" s="146"/>
      <c r="GI19" s="147"/>
      <c r="GJ19" s="149"/>
      <c r="GK19" s="145"/>
      <c r="GL19" s="146"/>
      <c r="GM19" s="147"/>
      <c r="GN19" s="146"/>
      <c r="GO19" s="147"/>
      <c r="GP19" s="149"/>
    </row>
    <row r="20" spans="1:198" ht="20.100000000000001" hidden="1" customHeight="1" outlineLevel="1" thickBot="1">
      <c r="A20" s="1975"/>
      <c r="B20" s="2653"/>
      <c r="C20" s="2661"/>
      <c r="D20" s="2688"/>
      <c r="E20" s="2689"/>
      <c r="F20" s="2689"/>
      <c r="G20" s="2689"/>
      <c r="H20" s="2689"/>
      <c r="I20" s="2689"/>
      <c r="J20" s="2689"/>
      <c r="K20" s="2689"/>
      <c r="L20" s="2689"/>
      <c r="M20" s="2689"/>
      <c r="N20" s="2689"/>
      <c r="O20" s="2689"/>
      <c r="P20" s="2689"/>
      <c r="Q20" s="2689"/>
      <c r="R20" s="221" t="s">
        <v>1116</v>
      </c>
      <c r="S20" s="176"/>
      <c r="T20" s="176"/>
      <c r="U20" s="177"/>
      <c r="V20" s="176"/>
      <c r="W20" s="177"/>
      <c r="X20" s="200"/>
      <c r="Y20" s="176"/>
      <c r="Z20" s="176"/>
      <c r="AA20" s="177"/>
      <c r="AB20" s="176"/>
      <c r="AC20" s="177"/>
      <c r="AD20" s="176"/>
      <c r="AE20" s="175"/>
      <c r="AF20" s="176"/>
      <c r="AG20" s="177"/>
      <c r="AH20" s="176"/>
      <c r="AI20" s="177"/>
      <c r="AJ20" s="200"/>
      <c r="AK20" s="176"/>
      <c r="AL20" s="176"/>
      <c r="AM20" s="177"/>
      <c r="AN20" s="176"/>
      <c r="AO20" s="177"/>
      <c r="AP20" s="176"/>
      <c r="AQ20" s="225"/>
      <c r="AR20" s="176"/>
      <c r="AS20" s="177"/>
      <c r="AT20" s="176"/>
      <c r="AU20" s="177"/>
      <c r="AV20" s="200"/>
      <c r="AW20" s="175"/>
      <c r="AX20" s="176"/>
      <c r="AY20" s="177"/>
      <c r="AZ20" s="176"/>
      <c r="BA20" s="177"/>
      <c r="BB20" s="200"/>
      <c r="BC20" s="176"/>
      <c r="BD20" s="176"/>
      <c r="BE20" s="177"/>
      <c r="BF20" s="176"/>
      <c r="BG20" s="177"/>
      <c r="BH20" s="176"/>
      <c r="BI20" s="175"/>
      <c r="BJ20" s="176"/>
      <c r="BK20" s="177"/>
      <c r="BL20" s="176"/>
      <c r="BM20" s="177"/>
      <c r="BN20" s="200"/>
      <c r="BO20" s="175"/>
      <c r="BP20" s="176"/>
      <c r="BQ20" s="177"/>
      <c r="BR20" s="178"/>
      <c r="BS20" s="177"/>
      <c r="BT20" s="200"/>
      <c r="BU20" s="175"/>
      <c r="BV20" s="176"/>
      <c r="BW20" s="177"/>
      <c r="BX20" s="176"/>
      <c r="BY20" s="177"/>
      <c r="BZ20" s="200"/>
      <c r="CA20" s="175"/>
      <c r="CB20" s="176"/>
      <c r="CC20" s="177"/>
      <c r="CD20" s="176"/>
      <c r="CE20" s="177"/>
      <c r="CF20" s="200"/>
      <c r="CG20" s="175"/>
      <c r="CH20" s="176"/>
      <c r="CI20" s="177"/>
      <c r="CJ20" s="176"/>
      <c r="CK20" s="177"/>
      <c r="CL20" s="200"/>
      <c r="CM20" s="175"/>
      <c r="CN20" s="176"/>
      <c r="CO20" s="177"/>
      <c r="CP20" s="219"/>
      <c r="CQ20" s="177"/>
      <c r="CR20" s="200"/>
      <c r="CS20" s="175"/>
      <c r="CT20" s="176"/>
      <c r="CU20" s="177"/>
      <c r="CV20" s="176"/>
      <c r="CW20" s="177"/>
      <c r="CX20" s="200"/>
      <c r="CY20" s="175"/>
      <c r="CZ20" s="176"/>
      <c r="DA20" s="177"/>
      <c r="DB20" s="176"/>
      <c r="DC20" s="177"/>
      <c r="DD20" s="200"/>
      <c r="DE20" s="175"/>
      <c r="DF20" s="176"/>
      <c r="DG20" s="177"/>
      <c r="DH20" s="176"/>
      <c r="DI20" s="177"/>
      <c r="DJ20" s="200"/>
      <c r="DK20" s="175"/>
      <c r="DL20" s="176"/>
      <c r="DM20" s="177"/>
      <c r="DN20" s="176"/>
      <c r="DO20" s="177"/>
      <c r="DP20" s="226"/>
      <c r="DQ20" s="227"/>
      <c r="DR20" s="228"/>
      <c r="DS20" s="229"/>
      <c r="DT20" s="228"/>
      <c r="DU20" s="229"/>
      <c r="DV20" s="226"/>
      <c r="DW20" s="227"/>
      <c r="DX20" s="228"/>
      <c r="DY20" s="229"/>
      <c r="DZ20" s="228"/>
      <c r="EA20" s="229"/>
      <c r="EB20" s="226"/>
      <c r="EC20" s="227"/>
      <c r="ED20" s="228"/>
      <c r="EE20" s="229"/>
      <c r="EF20" s="228"/>
      <c r="EG20" s="229"/>
      <c r="EH20" s="230"/>
      <c r="EI20" s="227"/>
      <c r="EJ20" s="228"/>
      <c r="EK20" s="229"/>
      <c r="EL20" s="228"/>
      <c r="EM20" s="229"/>
      <c r="EN20" s="230"/>
      <c r="EO20" s="227"/>
      <c r="EP20" s="228"/>
      <c r="EQ20" s="229"/>
      <c r="ER20" s="228"/>
      <c r="ES20" s="229"/>
      <c r="ET20" s="230"/>
      <c r="EU20" s="227"/>
      <c r="EV20" s="228"/>
      <c r="EW20" s="229"/>
      <c r="EX20" s="228"/>
      <c r="EY20" s="229"/>
      <c r="EZ20" s="230"/>
      <c r="FA20" s="227"/>
      <c r="FB20" s="228"/>
      <c r="FC20" s="229"/>
      <c r="FD20" s="228"/>
      <c r="FE20" s="229"/>
      <c r="FF20" s="230"/>
      <c r="FG20" s="227"/>
      <c r="FH20" s="228"/>
      <c r="FI20" s="229"/>
      <c r="FJ20" s="228"/>
      <c r="FK20" s="229"/>
      <c r="FL20" s="230"/>
      <c r="FM20" s="227"/>
      <c r="FN20" s="228"/>
      <c r="FO20" s="229"/>
      <c r="FP20" s="228"/>
      <c r="FQ20" s="229"/>
      <c r="FR20" s="230"/>
      <c r="FS20" s="227"/>
      <c r="FT20" s="228"/>
      <c r="FU20" s="229"/>
      <c r="FV20" s="228"/>
      <c r="FW20" s="229"/>
      <c r="FX20" s="230"/>
      <c r="FY20" s="227"/>
      <c r="FZ20" s="228"/>
      <c r="GA20" s="229"/>
      <c r="GB20" s="228"/>
      <c r="GC20" s="229"/>
      <c r="GD20" s="230"/>
      <c r="GE20" s="227"/>
      <c r="GF20" s="228"/>
      <c r="GG20" s="229"/>
      <c r="GH20" s="228"/>
      <c r="GI20" s="229"/>
      <c r="GJ20" s="230"/>
      <c r="GK20" s="227"/>
      <c r="GL20" s="228"/>
      <c r="GM20" s="229"/>
      <c r="GN20" s="228"/>
      <c r="GO20" s="229"/>
      <c r="GP20" s="230"/>
    </row>
    <row r="21" spans="1:198" ht="20.100000000000001" hidden="1" customHeight="1" outlineLevel="1" collapsed="1">
      <c r="A21" s="2704" t="s">
        <v>10545</v>
      </c>
      <c r="B21" s="2654"/>
      <c r="C21" s="270"/>
      <c r="D21" s="2690" t="str">
        <f>実績!C1231</f>
        <v>エア・リキード北名古屋水素ステーション</v>
      </c>
      <c r="E21" s="2691"/>
      <c r="F21" s="2691"/>
      <c r="G21" s="2691"/>
      <c r="H21" s="2691"/>
      <c r="I21" s="2691"/>
      <c r="J21" s="2691"/>
      <c r="K21" s="2691"/>
      <c r="L21" s="2691"/>
      <c r="M21" s="2691"/>
      <c r="N21" s="2691"/>
      <c r="O21" s="2691"/>
      <c r="P21" s="2691"/>
      <c r="Q21" s="2691"/>
      <c r="R21" s="2692"/>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71"/>
      <c r="AS21" s="271"/>
      <c r="AT21" s="271"/>
      <c r="AU21" s="271"/>
      <c r="AV21" s="271"/>
      <c r="AW21" s="272"/>
      <c r="AX21" s="271"/>
      <c r="AY21" s="271"/>
      <c r="AZ21" s="271"/>
      <c r="BA21" s="271"/>
      <c r="BB21" s="271"/>
      <c r="BC21" s="271"/>
      <c r="BD21" s="271"/>
      <c r="BE21" s="271"/>
      <c r="BF21" s="271"/>
      <c r="BG21" s="271"/>
      <c r="BH21" s="271"/>
      <c r="BI21" s="273"/>
      <c r="BJ21" s="271"/>
      <c r="BK21" s="274"/>
      <c r="BL21" s="271"/>
      <c r="BM21" s="274"/>
      <c r="BN21" s="275"/>
      <c r="BO21" s="273"/>
      <c r="BP21" s="276"/>
      <c r="BQ21" s="274"/>
      <c r="BR21" s="271"/>
      <c r="BS21" s="274"/>
      <c r="BT21" s="275"/>
      <c r="BU21" s="273"/>
      <c r="BV21" s="271"/>
      <c r="BW21" s="274"/>
      <c r="BX21" s="272"/>
      <c r="BY21" s="277"/>
      <c r="BZ21" s="275"/>
      <c r="CA21" s="278"/>
      <c r="CB21" s="271"/>
      <c r="CC21" s="274"/>
      <c r="CD21" s="271"/>
      <c r="CE21" s="274"/>
      <c r="CF21" s="275"/>
      <c r="CG21" s="273"/>
      <c r="CH21" s="271"/>
      <c r="CI21" s="274"/>
      <c r="CJ21" s="271"/>
      <c r="CK21" s="274"/>
      <c r="CL21" s="275"/>
      <c r="CM21" s="273"/>
      <c r="CN21" s="271"/>
      <c r="CO21" s="274"/>
      <c r="CP21" s="271"/>
      <c r="CQ21" s="274"/>
      <c r="CR21" s="279"/>
      <c r="CS21" s="273"/>
      <c r="CT21" s="271"/>
      <c r="CU21" s="274"/>
      <c r="CV21" s="271"/>
      <c r="CW21" s="274"/>
      <c r="CX21" s="279"/>
      <c r="CY21" s="273"/>
      <c r="CZ21" s="271"/>
      <c r="DA21" s="274"/>
      <c r="DB21" s="271"/>
      <c r="DC21" s="277" t="s">
        <v>10993</v>
      </c>
      <c r="DD21" s="279"/>
      <c r="DE21" s="273"/>
      <c r="DF21" s="271"/>
      <c r="DG21" s="274"/>
      <c r="DH21" s="271"/>
      <c r="DI21" s="274"/>
      <c r="DJ21" s="279"/>
      <c r="DK21" s="273"/>
      <c r="DL21" s="271"/>
      <c r="DM21" s="274"/>
      <c r="DN21" s="271"/>
      <c r="DO21" s="274"/>
      <c r="DP21" s="280"/>
      <c r="DQ21" s="281"/>
      <c r="DR21" s="271"/>
      <c r="DS21" s="274"/>
      <c r="DT21" s="271"/>
      <c r="DU21" s="274"/>
      <c r="DV21" s="279"/>
      <c r="DW21" s="273"/>
      <c r="DX21" s="271"/>
      <c r="DY21" s="274"/>
      <c r="DZ21" s="271"/>
      <c r="EA21" s="274"/>
      <c r="EB21" s="279"/>
      <c r="EC21" s="273"/>
      <c r="ED21" s="271"/>
      <c r="EE21" s="274"/>
      <c r="EF21" s="271"/>
      <c r="EG21" s="274"/>
      <c r="EH21" s="279"/>
      <c r="EI21" s="273"/>
      <c r="EJ21" s="271"/>
      <c r="EK21" s="274"/>
      <c r="EL21" s="271"/>
      <c r="EM21" s="274"/>
      <c r="EN21" s="279"/>
      <c r="EO21" s="273"/>
      <c r="EP21" s="271"/>
      <c r="EQ21" s="274"/>
      <c r="ER21" s="271"/>
      <c r="ES21" s="274"/>
      <c r="ET21" s="279"/>
      <c r="EU21" s="273"/>
      <c r="EV21" s="271"/>
      <c r="EW21" s="274"/>
      <c r="EX21" s="271"/>
      <c r="EY21" s="274"/>
      <c r="EZ21" s="279"/>
      <c r="FA21" s="273"/>
      <c r="FB21" s="271"/>
      <c r="FC21" s="274"/>
      <c r="FD21" s="271"/>
      <c r="FE21" s="274"/>
      <c r="FF21" s="279"/>
      <c r="FG21" s="273"/>
      <c r="FH21" s="271"/>
      <c r="FI21" s="274"/>
      <c r="FJ21" s="271"/>
      <c r="FK21" s="274"/>
      <c r="FL21" s="279"/>
      <c r="FM21" s="273"/>
      <c r="FN21" s="271"/>
      <c r="FO21" s="274"/>
      <c r="FP21" s="271"/>
      <c r="FQ21" s="274"/>
      <c r="FR21" s="279"/>
      <c r="FS21" s="273"/>
      <c r="FT21" s="271"/>
      <c r="FU21" s="274"/>
      <c r="FV21" s="271"/>
      <c r="FW21" s="274"/>
      <c r="FX21" s="279"/>
      <c r="FY21" s="273"/>
      <c r="FZ21" s="271"/>
      <c r="GA21" s="274"/>
      <c r="GB21" s="271"/>
      <c r="GC21" s="274"/>
      <c r="GD21" s="279"/>
      <c r="GE21" s="273"/>
      <c r="GF21" s="271"/>
      <c r="GG21" s="274"/>
      <c r="GH21" s="271"/>
      <c r="GI21" s="274"/>
      <c r="GJ21" s="279"/>
      <c r="GK21" s="273"/>
      <c r="GL21" s="271"/>
      <c r="GM21" s="274"/>
      <c r="GN21" s="271"/>
      <c r="GO21" s="274"/>
      <c r="GP21" s="279"/>
    </row>
    <row r="22" spans="1:198" ht="20.100000000000001" customHeight="1" collapsed="1">
      <c r="A22" s="2705"/>
      <c r="B22" s="2662" t="s">
        <v>16979</v>
      </c>
      <c r="C22" s="1876" t="s">
        <v>16980</v>
      </c>
      <c r="D22" s="2715" t="str">
        <f>実績!C1281&amp;"("&amp;SUBSTITUTE(実績!AB1281&amp;")","株式会社 ","")</f>
        <v>千葉北水素ステーション(巴商会)</v>
      </c>
      <c r="E22" s="2716"/>
      <c r="F22" s="2716"/>
      <c r="G22" s="2716"/>
      <c r="H22" s="2716"/>
      <c r="I22" s="2716"/>
      <c r="J22" s="2716"/>
      <c r="K22" s="2716"/>
      <c r="L22" s="2716"/>
      <c r="M22" s="2716"/>
      <c r="N22" s="2716"/>
      <c r="O22" s="2716"/>
      <c r="P22" s="2716"/>
      <c r="Q22" s="2717"/>
      <c r="R22" s="1324" t="s">
        <v>10755</v>
      </c>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73"/>
      <c r="BJ22" s="25"/>
      <c r="BK22" s="71"/>
      <c r="BL22" s="25"/>
      <c r="BM22" s="71"/>
      <c r="BN22" s="72"/>
      <c r="BO22" s="73"/>
      <c r="BP22" s="25"/>
      <c r="BQ22" s="71"/>
      <c r="BR22" s="25"/>
      <c r="BS22" s="71"/>
      <c r="BT22" s="72"/>
      <c r="BU22" s="121"/>
      <c r="BV22" s="25"/>
      <c r="BW22" s="71"/>
      <c r="BX22" s="122"/>
      <c r="BY22" s="71"/>
      <c r="BZ22" s="72"/>
      <c r="CA22" s="73"/>
      <c r="CB22" s="25"/>
      <c r="CC22" s="71"/>
      <c r="CD22" s="122"/>
      <c r="CE22" s="71"/>
      <c r="CF22" s="72"/>
      <c r="CG22" s="121"/>
      <c r="CH22" s="25"/>
      <c r="CI22" s="71"/>
      <c r="CJ22" s="25"/>
      <c r="CK22" s="71"/>
      <c r="CL22" s="72"/>
      <c r="CM22" s="73"/>
      <c r="CN22" s="25"/>
      <c r="CO22" s="71"/>
      <c r="CP22" s="25"/>
      <c r="CQ22" s="71"/>
      <c r="CR22" s="106"/>
      <c r="CS22" s="73"/>
      <c r="CT22" s="25"/>
      <c r="CU22" s="71"/>
      <c r="CV22" s="25"/>
      <c r="CW22" s="71"/>
      <c r="CX22" s="106"/>
      <c r="CY22" s="1328" t="s">
        <v>13411</v>
      </c>
      <c r="CZ22" s="1325"/>
      <c r="DA22" s="1327"/>
      <c r="DB22" s="1325"/>
      <c r="DC22" s="1327"/>
      <c r="DD22" s="1329"/>
      <c r="DE22" s="1326"/>
      <c r="DF22" s="1325"/>
      <c r="DG22" s="1327"/>
      <c r="DH22" s="1325"/>
      <c r="DI22" s="1327"/>
      <c r="DJ22" s="1329"/>
      <c r="DK22" s="1328" t="s">
        <v>8250</v>
      </c>
      <c r="DL22" s="1325"/>
      <c r="DM22" s="1327"/>
      <c r="DN22" s="1325"/>
      <c r="DO22" s="1327"/>
      <c r="DP22" s="1325"/>
      <c r="DQ22" s="1330"/>
      <c r="DR22" s="1325"/>
      <c r="DS22" s="1327"/>
      <c r="DT22" s="1325"/>
      <c r="DU22" s="1327"/>
      <c r="DV22" s="1877"/>
      <c r="DW22" s="1326"/>
      <c r="DX22" s="1325"/>
      <c r="DY22" s="1327"/>
      <c r="DZ22" s="1325"/>
      <c r="EA22" s="1327"/>
      <c r="EB22" s="1329"/>
      <c r="EC22" s="1326"/>
      <c r="ED22" s="1325"/>
      <c r="EE22" s="1327"/>
      <c r="EF22" s="1325"/>
      <c r="EG22" s="1327"/>
      <c r="EH22" s="1329"/>
      <c r="EI22" s="1328" t="s">
        <v>15433</v>
      </c>
      <c r="EJ22" s="1325"/>
      <c r="EK22" s="1327"/>
      <c r="EL22" s="1325"/>
      <c r="EM22" s="1327"/>
      <c r="EN22" s="1329"/>
      <c r="EO22" s="1326"/>
      <c r="EP22" s="1325"/>
      <c r="EQ22" s="1327"/>
      <c r="ER22" s="1325"/>
      <c r="ES22" s="1327"/>
      <c r="ET22" s="1329"/>
      <c r="EU22" s="1326"/>
      <c r="EV22" s="1325"/>
      <c r="EW22" s="1327"/>
      <c r="EX22" s="1325"/>
      <c r="EY22" s="1327"/>
      <c r="EZ22" s="1329"/>
      <c r="FA22" s="1326"/>
      <c r="FB22" s="1325"/>
      <c r="FC22" s="1327"/>
      <c r="FD22" s="1325"/>
      <c r="FE22" s="1327"/>
      <c r="FF22" s="1329"/>
      <c r="FG22" s="1326"/>
      <c r="FH22" s="1325"/>
      <c r="FI22" s="1327"/>
      <c r="FJ22" s="1325"/>
      <c r="FK22" s="1327"/>
      <c r="FL22" s="1329"/>
      <c r="FM22" s="1326"/>
      <c r="FN22" s="1325"/>
      <c r="FO22" s="1327"/>
      <c r="FP22" s="1325"/>
      <c r="FQ22" s="1327"/>
      <c r="FR22" s="1329"/>
      <c r="FS22" s="1326"/>
      <c r="FT22" s="1325"/>
      <c r="FU22" s="1327"/>
      <c r="FV22" s="1325"/>
      <c r="FW22" s="1327"/>
      <c r="FX22" s="1329"/>
      <c r="FY22" s="1326"/>
      <c r="FZ22" s="1325"/>
      <c r="GA22" s="1327"/>
      <c r="GB22" s="1325"/>
      <c r="GC22" s="1327"/>
      <c r="GD22" s="1329"/>
      <c r="GE22" s="1326"/>
      <c r="GF22" s="1325"/>
      <c r="GG22" s="1327"/>
      <c r="GH22" s="1325"/>
      <c r="GI22" s="1327"/>
      <c r="GJ22" s="1329"/>
      <c r="GK22" s="1326"/>
      <c r="GL22" s="1325"/>
      <c r="GM22" s="1327"/>
      <c r="GN22" s="1325"/>
      <c r="GO22" s="1327"/>
      <c r="GP22" s="1329"/>
    </row>
    <row r="23" spans="1:198" ht="20.100000000000001" customHeight="1">
      <c r="A23" s="2705"/>
      <c r="B23" s="2663"/>
      <c r="C23" s="2693" t="s">
        <v>16981</v>
      </c>
      <c r="D23" s="2650" t="str">
        <f>実績!C1291&amp;"("&amp;SUBSTITUTE(実績!AB1291&amp;")","株式会社 ","")</f>
        <v>BMW神戸(カーダクレッセ)</v>
      </c>
      <c r="E23" s="2674"/>
      <c r="F23" s="2674"/>
      <c r="G23" s="2674"/>
      <c r="H23" s="2674"/>
      <c r="I23" s="2674"/>
      <c r="J23" s="2674"/>
      <c r="K23" s="2674"/>
      <c r="L23" s="2674"/>
      <c r="M23" s="2674"/>
      <c r="N23" s="2674"/>
      <c r="O23" s="2674"/>
      <c r="P23" s="2674"/>
      <c r="Q23" s="2675"/>
      <c r="R23" s="220" t="s">
        <v>1117</v>
      </c>
      <c r="S23" s="146"/>
      <c r="T23" s="146"/>
      <c r="U23" s="146"/>
      <c r="V23" s="146"/>
      <c r="W23" s="146"/>
      <c r="X23" s="146"/>
      <c r="Y23" s="146"/>
      <c r="Z23" s="146"/>
      <c r="AA23" s="146"/>
      <c r="AB23" s="146"/>
      <c r="AC23" s="146"/>
      <c r="AD23" s="146"/>
      <c r="AE23" s="146"/>
      <c r="AF23" s="146"/>
      <c r="AG23" s="146"/>
      <c r="AH23" s="146"/>
      <c r="AI23" s="146"/>
      <c r="AJ23" s="146"/>
      <c r="AK23" s="146"/>
      <c r="AL23" s="146"/>
      <c r="AM23" s="146"/>
      <c r="AN23" s="146"/>
      <c r="AO23" s="146"/>
      <c r="AP23" s="146"/>
      <c r="AQ23" s="146"/>
      <c r="AR23" s="146"/>
      <c r="AS23" s="146"/>
      <c r="AT23" s="146"/>
      <c r="AU23" s="146"/>
      <c r="AV23" s="146"/>
      <c r="AW23" s="146"/>
      <c r="AX23" s="146"/>
      <c r="AY23" s="146"/>
      <c r="AZ23" s="146"/>
      <c r="BA23" s="146"/>
      <c r="BB23" s="146"/>
      <c r="BC23" s="146"/>
      <c r="BD23" s="146"/>
      <c r="BE23" s="146"/>
      <c r="BF23" s="146"/>
      <c r="BG23" s="146"/>
      <c r="BH23" s="146"/>
      <c r="BI23" s="145"/>
      <c r="BJ23" s="146"/>
      <c r="BK23" s="147"/>
      <c r="BL23" s="146"/>
      <c r="BM23" s="147"/>
      <c r="BN23" s="148"/>
      <c r="BO23" s="145"/>
      <c r="BP23" s="146"/>
      <c r="BQ23" s="147"/>
      <c r="BR23" s="146"/>
      <c r="BS23" s="147"/>
      <c r="BT23" s="148"/>
      <c r="BU23" s="1878"/>
      <c r="BV23" s="146"/>
      <c r="BW23" s="147"/>
      <c r="BX23" s="1879"/>
      <c r="BY23" s="147"/>
      <c r="BZ23" s="148"/>
      <c r="CA23" s="145"/>
      <c r="CB23" s="146"/>
      <c r="CC23" s="147"/>
      <c r="CD23" s="1879"/>
      <c r="CE23" s="147"/>
      <c r="CF23" s="148"/>
      <c r="CG23" s="1878"/>
      <c r="CH23" s="146"/>
      <c r="CI23" s="147"/>
      <c r="CJ23" s="146"/>
      <c r="CK23" s="147"/>
      <c r="CL23" s="148"/>
      <c r="CM23" s="145"/>
      <c r="CN23" s="146"/>
      <c r="CO23" s="147"/>
      <c r="CP23" s="146"/>
      <c r="CQ23" s="147"/>
      <c r="CR23" s="149"/>
      <c r="CS23" s="145"/>
      <c r="CT23" s="146"/>
      <c r="CU23" s="147"/>
      <c r="CV23" s="146"/>
      <c r="CW23" s="147"/>
      <c r="CX23" s="149"/>
      <c r="CY23" s="145"/>
      <c r="CZ23" s="146"/>
      <c r="DA23" s="1880" t="s">
        <v>13412</v>
      </c>
      <c r="DB23" s="146"/>
      <c r="DC23" s="147"/>
      <c r="DD23" s="149"/>
      <c r="DE23" s="145"/>
      <c r="DF23" s="146"/>
      <c r="DG23" s="147"/>
      <c r="DH23" s="146"/>
      <c r="DI23" s="1881"/>
      <c r="DJ23" s="149"/>
      <c r="DK23" s="145" t="s">
        <v>14847</v>
      </c>
      <c r="DL23" s="146"/>
      <c r="DM23" s="1881" t="s">
        <v>15171</v>
      </c>
      <c r="DN23" s="146"/>
      <c r="DO23" s="1881"/>
      <c r="DP23" s="146"/>
      <c r="DQ23" s="232"/>
      <c r="DR23" s="146"/>
      <c r="DS23" s="147"/>
      <c r="DT23" s="1882" t="s">
        <v>15170</v>
      </c>
      <c r="DU23" s="146"/>
      <c r="DV23" s="149"/>
      <c r="DW23" s="145"/>
      <c r="DX23" s="146"/>
      <c r="DY23" s="147"/>
      <c r="DZ23" s="146"/>
      <c r="EA23" s="147"/>
      <c r="EB23" s="1883" t="s">
        <v>15765</v>
      </c>
      <c r="EC23" s="1878"/>
      <c r="ED23" s="146"/>
      <c r="EE23" s="147"/>
      <c r="EF23" s="1879" t="s">
        <v>16026</v>
      </c>
      <c r="EG23" s="147"/>
      <c r="EH23" s="149"/>
      <c r="EI23" s="1878"/>
      <c r="EJ23" s="146"/>
      <c r="EK23" s="147"/>
      <c r="EL23" s="146"/>
      <c r="EM23" s="147"/>
      <c r="EN23" s="149"/>
      <c r="EO23" s="145"/>
      <c r="EP23" s="146"/>
      <c r="EQ23" s="147"/>
      <c r="ER23" s="146"/>
      <c r="ES23" s="147"/>
      <c r="ET23" s="149"/>
      <c r="EU23" s="145"/>
      <c r="EV23" s="146"/>
      <c r="EW23" s="147"/>
      <c r="EX23" s="146" t="s">
        <v>15717</v>
      </c>
      <c r="EY23" s="147"/>
      <c r="EZ23" s="149"/>
      <c r="FA23" s="145"/>
      <c r="FB23" s="146"/>
      <c r="FC23" s="147"/>
      <c r="FD23" s="146"/>
      <c r="FE23" s="147"/>
      <c r="FF23" s="149"/>
      <c r="FG23" s="145"/>
      <c r="FH23" s="146"/>
      <c r="FI23" s="147"/>
      <c r="FJ23" s="146"/>
      <c r="FK23" s="147"/>
      <c r="FL23" s="149"/>
      <c r="FM23" s="145"/>
      <c r="FN23" s="146"/>
      <c r="FO23" s="147"/>
      <c r="FP23" s="146"/>
      <c r="FQ23" s="147"/>
      <c r="FR23" s="149"/>
      <c r="FS23" s="145"/>
      <c r="FT23" s="146"/>
      <c r="FU23" s="147"/>
      <c r="FV23" s="146"/>
      <c r="FW23" s="147"/>
      <c r="FX23" s="149"/>
      <c r="FY23" s="145"/>
      <c r="FZ23" s="146"/>
      <c r="GA23" s="147"/>
      <c r="GB23" s="146"/>
      <c r="GC23" s="147"/>
      <c r="GD23" s="149"/>
      <c r="GE23" s="145"/>
      <c r="GF23" s="146"/>
      <c r="GG23" s="147"/>
      <c r="GH23" s="146"/>
      <c r="GI23" s="147"/>
      <c r="GJ23" s="149"/>
      <c r="GK23" s="145"/>
      <c r="GL23" s="146"/>
      <c r="GM23" s="147"/>
      <c r="GN23" s="146"/>
      <c r="GO23" s="147"/>
      <c r="GP23" s="149" t="s">
        <v>16025</v>
      </c>
    </row>
    <row r="24" spans="1:198" ht="20.100000000000001" hidden="1" customHeight="1" outlineLevel="1">
      <c r="A24" s="2705"/>
      <c r="B24" s="1884"/>
      <c r="C24" s="2694"/>
      <c r="D24" s="2677"/>
      <c r="E24" s="2678"/>
      <c r="F24" s="2678"/>
      <c r="G24" s="2678"/>
      <c r="H24" s="2678"/>
      <c r="I24" s="2678"/>
      <c r="J24" s="2678"/>
      <c r="K24" s="2678"/>
      <c r="L24" s="2678"/>
      <c r="M24" s="2678"/>
      <c r="N24" s="2678"/>
      <c r="O24" s="2678"/>
      <c r="P24" s="2678"/>
      <c r="Q24" s="2679"/>
      <c r="R24" s="1886" t="s">
        <v>1116</v>
      </c>
      <c r="S24" s="1887"/>
      <c r="T24" s="1887"/>
      <c r="U24" s="1888"/>
      <c r="V24" s="1887"/>
      <c r="W24" s="1888"/>
      <c r="X24" s="1889"/>
      <c r="Y24" s="1887"/>
      <c r="Z24" s="1887"/>
      <c r="AA24" s="1888"/>
      <c r="AB24" s="1887"/>
      <c r="AC24" s="1888"/>
      <c r="AD24" s="1887"/>
      <c r="AE24" s="1890"/>
      <c r="AF24" s="1887"/>
      <c r="AG24" s="1888"/>
      <c r="AH24" s="1887"/>
      <c r="AI24" s="1888"/>
      <c r="AJ24" s="1889"/>
      <c r="AK24" s="1887"/>
      <c r="AL24" s="1887"/>
      <c r="AM24" s="1888"/>
      <c r="AN24" s="1887"/>
      <c r="AO24" s="1888"/>
      <c r="AP24" s="1887"/>
      <c r="AQ24" s="1891"/>
      <c r="AR24" s="1887"/>
      <c r="AS24" s="1888"/>
      <c r="AT24" s="1887"/>
      <c r="AU24" s="1888"/>
      <c r="AV24" s="1889"/>
      <c r="AW24" s="1890"/>
      <c r="AX24" s="1887"/>
      <c r="AY24" s="1888"/>
      <c r="AZ24" s="1887"/>
      <c r="BA24" s="1888"/>
      <c r="BB24" s="1889"/>
      <c r="BC24" s="1887"/>
      <c r="BD24" s="1887"/>
      <c r="BE24" s="1888"/>
      <c r="BF24" s="1887"/>
      <c r="BG24" s="1888"/>
      <c r="BH24" s="1887"/>
      <c r="BI24" s="1890"/>
      <c r="BJ24" s="1887"/>
      <c r="BK24" s="1888"/>
      <c r="BL24" s="1887"/>
      <c r="BM24" s="1888"/>
      <c r="BN24" s="1889"/>
      <c r="BO24" s="1890"/>
      <c r="BP24" s="1887"/>
      <c r="BQ24" s="1888"/>
      <c r="BR24" s="1892"/>
      <c r="BS24" s="1888"/>
      <c r="BT24" s="1889"/>
      <c r="BU24" s="1890"/>
      <c r="BV24" s="1887"/>
      <c r="BW24" s="1888"/>
      <c r="BX24" s="1887"/>
      <c r="BY24" s="1888"/>
      <c r="BZ24" s="1889"/>
      <c r="CA24" s="1890"/>
      <c r="CB24" s="1887"/>
      <c r="CC24" s="1888"/>
      <c r="CD24" s="1887"/>
      <c r="CE24" s="1888"/>
      <c r="CF24" s="1889"/>
      <c r="CG24" s="1890"/>
      <c r="CH24" s="1887"/>
      <c r="CI24" s="1888"/>
      <c r="CJ24" s="1887"/>
      <c r="CK24" s="1888"/>
      <c r="CL24" s="1889"/>
      <c r="CM24" s="1890"/>
      <c r="CN24" s="1892"/>
      <c r="CO24" s="1888"/>
      <c r="CP24" s="1893"/>
      <c r="CQ24" s="1888"/>
      <c r="CR24" s="1889"/>
      <c r="CS24" s="1890"/>
      <c r="CT24" s="1887"/>
      <c r="CU24" s="1888"/>
      <c r="CV24" s="1887"/>
      <c r="CW24" s="1888"/>
      <c r="CX24" s="1889"/>
      <c r="CY24" s="1890"/>
      <c r="CZ24" s="1887"/>
      <c r="DA24" s="1888" t="s">
        <v>10844</v>
      </c>
      <c r="DB24" s="1887"/>
      <c r="DC24" s="1888"/>
      <c r="DD24" s="1889"/>
      <c r="DE24" s="1890"/>
      <c r="DF24" s="1887"/>
      <c r="DG24" s="1888"/>
      <c r="DH24" s="1887"/>
      <c r="DI24" s="1888"/>
      <c r="DJ24" s="1889"/>
      <c r="DK24" s="1890"/>
      <c r="DL24" s="1887"/>
      <c r="DM24" s="1888"/>
      <c r="DN24" s="1887"/>
      <c r="DO24" s="1888"/>
      <c r="DP24" s="1887"/>
      <c r="DQ24" s="1894"/>
      <c r="DR24" s="1887"/>
      <c r="DS24" s="1888"/>
      <c r="DT24" s="1892"/>
      <c r="DU24" s="1887"/>
      <c r="DV24" s="1889"/>
      <c r="DW24" s="1890"/>
      <c r="DX24" s="1887"/>
      <c r="DY24" s="1888"/>
      <c r="DZ24" s="1887"/>
      <c r="EA24" s="1888"/>
      <c r="EB24" s="1895" t="s">
        <v>15765</v>
      </c>
      <c r="EC24" s="1890"/>
      <c r="ED24" s="1887"/>
      <c r="EE24" s="1888"/>
      <c r="EF24" s="1887" t="s">
        <v>16026</v>
      </c>
      <c r="EG24" s="1888"/>
      <c r="EH24" s="1896"/>
      <c r="EI24" s="1890"/>
      <c r="EJ24" s="1887"/>
      <c r="EK24" s="1888"/>
      <c r="EL24" s="1887"/>
      <c r="EM24" s="1888"/>
      <c r="EN24" s="1896"/>
      <c r="EO24" s="1890"/>
      <c r="EP24" s="1887"/>
      <c r="EQ24" s="1888"/>
      <c r="ER24" s="1887"/>
      <c r="ES24" s="1888"/>
      <c r="ET24" s="1896"/>
      <c r="EU24" s="1890"/>
      <c r="EV24" s="1887"/>
      <c r="EW24" s="1888"/>
      <c r="EX24" s="1887"/>
      <c r="EY24" s="1888"/>
      <c r="EZ24" s="1896"/>
      <c r="FA24" s="1890"/>
      <c r="FB24" s="1887"/>
      <c r="FC24" s="1888"/>
      <c r="FD24" s="1887"/>
      <c r="FE24" s="1888"/>
      <c r="FF24" s="1896"/>
      <c r="FG24" s="1890"/>
      <c r="FH24" s="1887"/>
      <c r="FI24" s="1888"/>
      <c r="FJ24" s="1887"/>
      <c r="FK24" s="1888"/>
      <c r="FL24" s="1896"/>
      <c r="FM24" s="1890"/>
      <c r="FN24" s="1887"/>
      <c r="FO24" s="1888"/>
      <c r="FP24" s="1887"/>
      <c r="FQ24" s="1888"/>
      <c r="FR24" s="1896"/>
      <c r="FS24" s="1890"/>
      <c r="FT24" s="1887"/>
      <c r="FU24" s="1888"/>
      <c r="FV24" s="1887"/>
      <c r="FW24" s="1888"/>
      <c r="FX24" s="1896"/>
      <c r="FY24" s="1890"/>
      <c r="FZ24" s="1887"/>
      <c r="GA24" s="1888"/>
      <c r="GB24" s="1887"/>
      <c r="GC24" s="1888"/>
      <c r="GD24" s="1896"/>
      <c r="GE24" s="1890"/>
      <c r="GF24" s="1887"/>
      <c r="GG24" s="1888"/>
      <c r="GH24" s="1887"/>
      <c r="GI24" s="1888"/>
      <c r="GJ24" s="1896"/>
      <c r="GK24" s="1890"/>
      <c r="GL24" s="1887"/>
      <c r="GM24" s="1888"/>
      <c r="GN24" s="1887"/>
      <c r="GO24" s="1888"/>
      <c r="GP24" s="1896"/>
    </row>
    <row r="25" spans="1:198" ht="20.100000000000001" customHeight="1" collapsed="1">
      <c r="A25" s="2705"/>
      <c r="B25" s="2684" t="s">
        <v>8987</v>
      </c>
      <c r="C25" s="2693" t="s">
        <v>15980</v>
      </c>
      <c r="D25" s="2650" t="str">
        <f>実績!C1388&amp;"("&amp;SUBSTITUTE(実績!AB1388&amp;")","有限会社 ","")</f>
        <v>マルイウエストランド(ユウエスプラン)</v>
      </c>
      <c r="E25" s="2674"/>
      <c r="F25" s="2674"/>
      <c r="G25" s="2674"/>
      <c r="H25" s="2674"/>
      <c r="I25" s="2674"/>
      <c r="J25" s="2674"/>
      <c r="K25" s="2674"/>
      <c r="L25" s="2674"/>
      <c r="M25" s="2674"/>
      <c r="N25" s="2674"/>
      <c r="O25" s="2674"/>
      <c r="P25" s="2674"/>
      <c r="Q25" s="2674"/>
      <c r="R25" s="220" t="s">
        <v>1117</v>
      </c>
      <c r="S25" s="146"/>
      <c r="T25" s="146"/>
      <c r="U25" s="147"/>
      <c r="V25" s="146"/>
      <c r="W25" s="147"/>
      <c r="X25" s="148"/>
      <c r="Y25" s="146"/>
      <c r="Z25" s="146"/>
      <c r="AA25" s="147"/>
      <c r="AB25" s="146"/>
      <c r="AC25" s="147"/>
      <c r="AD25" s="146"/>
      <c r="AE25" s="145"/>
      <c r="AF25" s="146"/>
      <c r="AG25" s="147"/>
      <c r="AH25" s="146"/>
      <c r="AI25" s="147"/>
      <c r="AJ25" s="148"/>
      <c r="AK25" s="146"/>
      <c r="AL25" s="146"/>
      <c r="AM25" s="147"/>
      <c r="AN25" s="146"/>
      <c r="AO25" s="147"/>
      <c r="AP25" s="146"/>
      <c r="AQ25" s="183"/>
      <c r="AR25" s="146"/>
      <c r="AS25" s="147"/>
      <c r="AT25" s="146"/>
      <c r="AU25" s="147"/>
      <c r="AV25" s="148"/>
      <c r="AW25" s="145"/>
      <c r="AX25" s="146"/>
      <c r="AY25" s="147"/>
      <c r="AZ25" s="146"/>
      <c r="BA25" s="147"/>
      <c r="BB25" s="148"/>
      <c r="BC25" s="146"/>
      <c r="BD25" s="146"/>
      <c r="BE25" s="147"/>
      <c r="BF25" s="146"/>
      <c r="BG25" s="147"/>
      <c r="BH25" s="146"/>
      <c r="BI25" s="145"/>
      <c r="BJ25" s="146"/>
      <c r="BK25" s="147"/>
      <c r="BL25" s="146"/>
      <c r="BM25" s="147"/>
      <c r="BN25" s="148"/>
      <c r="BO25" s="145"/>
      <c r="BP25" s="146"/>
      <c r="BQ25" s="147"/>
      <c r="BR25" s="1279"/>
      <c r="BS25" s="147"/>
      <c r="BT25" s="148"/>
      <c r="BU25" s="145"/>
      <c r="BV25" s="146"/>
      <c r="BW25" s="147"/>
      <c r="BX25" s="146"/>
      <c r="BY25" s="147"/>
      <c r="BZ25" s="148"/>
      <c r="CA25" s="145"/>
      <c r="CB25" s="146"/>
      <c r="CC25" s="147"/>
      <c r="CD25" s="146"/>
      <c r="CE25" s="147"/>
      <c r="CF25" s="148"/>
      <c r="CG25" s="145"/>
      <c r="CH25" s="146"/>
      <c r="CI25" s="147"/>
      <c r="CJ25" s="146"/>
      <c r="CK25" s="147"/>
      <c r="CL25" s="148"/>
      <c r="CM25" s="145"/>
      <c r="CN25" s="146"/>
      <c r="CO25" s="147"/>
      <c r="CP25" s="1280"/>
      <c r="CQ25" s="147"/>
      <c r="CR25" s="148"/>
      <c r="CS25" s="145"/>
      <c r="CT25" s="146"/>
      <c r="CU25" s="147"/>
      <c r="CV25" s="146"/>
      <c r="CW25" s="147"/>
      <c r="CX25" s="148"/>
      <c r="CY25" s="145"/>
      <c r="CZ25" s="146"/>
      <c r="DA25" s="147"/>
      <c r="DB25" s="146"/>
      <c r="DC25" s="147"/>
      <c r="DD25" s="148"/>
      <c r="DE25" s="145"/>
      <c r="DF25" s="146"/>
      <c r="DG25" s="147"/>
      <c r="DH25" s="146"/>
      <c r="DI25" s="147"/>
      <c r="DJ25" s="148"/>
      <c r="DK25" s="145"/>
      <c r="DL25" s="146"/>
      <c r="DM25" s="147"/>
      <c r="DN25" s="146"/>
      <c r="DO25" s="147"/>
      <c r="DP25" s="148"/>
      <c r="DQ25" s="145"/>
      <c r="DR25" s="146"/>
      <c r="DS25" s="147"/>
      <c r="DT25" s="146"/>
      <c r="DU25" s="147"/>
      <c r="DV25" s="148"/>
      <c r="DW25" s="145"/>
      <c r="DX25" s="146"/>
      <c r="DY25" s="147"/>
      <c r="DZ25" s="146"/>
      <c r="EA25" s="147"/>
      <c r="EB25" s="148"/>
      <c r="EC25" s="145"/>
      <c r="ED25" s="146"/>
      <c r="EE25" s="147"/>
      <c r="EF25" s="146"/>
      <c r="EG25" s="147"/>
      <c r="EH25" s="148"/>
      <c r="EI25" s="145"/>
      <c r="EJ25" s="146"/>
      <c r="EK25" s="147"/>
      <c r="EL25" s="146"/>
      <c r="EM25" s="147"/>
      <c r="EN25" s="148"/>
      <c r="EO25" s="145"/>
      <c r="EP25" s="146"/>
      <c r="EQ25" s="147"/>
      <c r="ER25" s="146" t="s">
        <v>17327</v>
      </c>
      <c r="ES25" s="147"/>
      <c r="ET25" s="149"/>
      <c r="EU25" s="145"/>
      <c r="EV25" s="146"/>
      <c r="EW25" s="147"/>
      <c r="EX25" s="146"/>
      <c r="EY25" s="147"/>
      <c r="EZ25" s="149"/>
      <c r="FA25" s="145"/>
      <c r="FB25" s="146"/>
      <c r="FC25" s="1320"/>
      <c r="FD25" s="146"/>
      <c r="FE25" s="147"/>
      <c r="FF25" s="149"/>
      <c r="FG25" s="1951" t="s">
        <v>18006</v>
      </c>
      <c r="FH25" s="146"/>
      <c r="FI25" s="147"/>
      <c r="FJ25" s="146"/>
      <c r="FK25" s="147"/>
      <c r="FL25" s="149"/>
      <c r="FM25" s="145"/>
      <c r="FN25" s="146"/>
      <c r="FO25" s="147"/>
      <c r="FP25" s="146"/>
      <c r="FQ25" s="147"/>
      <c r="FR25" s="149"/>
      <c r="FS25" s="145"/>
      <c r="FT25" s="146"/>
      <c r="FU25" s="147"/>
      <c r="FV25" s="146"/>
      <c r="FW25" s="147"/>
      <c r="FX25" s="149"/>
      <c r="FY25" s="145"/>
      <c r="FZ25" s="146"/>
      <c r="GA25" s="147"/>
      <c r="GB25" s="146"/>
      <c r="GC25" s="147"/>
      <c r="GD25" s="149"/>
      <c r="GE25" s="145"/>
      <c r="GF25" s="146"/>
      <c r="GG25" s="147"/>
      <c r="GH25" s="146"/>
      <c r="GI25" s="147"/>
      <c r="GJ25" s="149"/>
      <c r="GK25" s="145"/>
      <c r="GL25" s="146"/>
      <c r="GM25" s="147"/>
      <c r="GN25" s="146"/>
      <c r="GO25" s="147"/>
      <c r="GP25" s="149" t="s">
        <v>16025</v>
      </c>
    </row>
    <row r="26" spans="1:198" ht="20.100000000000001" hidden="1" customHeight="1">
      <c r="A26" s="2705"/>
      <c r="B26" s="2684"/>
      <c r="C26" s="2693"/>
      <c r="D26" s="2650"/>
      <c r="E26" s="2674"/>
      <c r="F26" s="2674"/>
      <c r="G26" s="2674"/>
      <c r="H26" s="2674"/>
      <c r="I26" s="2674"/>
      <c r="J26" s="2674"/>
      <c r="K26" s="2674"/>
      <c r="L26" s="2674"/>
      <c r="M26" s="2674"/>
      <c r="N26" s="2674"/>
      <c r="O26" s="2674"/>
      <c r="P26" s="2674"/>
      <c r="Q26" s="2674"/>
      <c r="R26" s="1295" t="s">
        <v>1116</v>
      </c>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c r="BX26" s="26"/>
      <c r="BY26" s="26"/>
      <c r="BZ26" s="26"/>
      <c r="CA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153"/>
      <c r="EJ26" s="154"/>
      <c r="EK26" s="155"/>
      <c r="EL26" s="154"/>
      <c r="EM26" s="155"/>
      <c r="EN26" s="156"/>
      <c r="EO26" s="153"/>
      <c r="EP26" s="154"/>
      <c r="EQ26" s="155"/>
      <c r="ER26" s="1331" t="s">
        <v>17327</v>
      </c>
      <c r="ES26" s="155"/>
      <c r="ET26" s="157"/>
      <c r="EU26" s="153"/>
      <c r="EV26" s="154"/>
      <c r="EW26" s="155"/>
      <c r="EX26" s="154"/>
      <c r="EY26" s="155"/>
      <c r="EZ26" s="157"/>
      <c r="FA26" s="153"/>
      <c r="FB26" s="154"/>
      <c r="FC26" s="155"/>
      <c r="FD26" s="154"/>
      <c r="FE26" s="155"/>
      <c r="FF26" s="157"/>
      <c r="FG26" s="153"/>
      <c r="FH26" s="154"/>
      <c r="FI26" s="155"/>
      <c r="FJ26" s="154"/>
      <c r="FK26" s="155"/>
      <c r="FL26" s="157"/>
      <c r="FM26" s="153"/>
      <c r="FN26" s="154"/>
      <c r="FO26" s="155"/>
      <c r="FP26" s="154"/>
      <c r="FQ26" s="155"/>
      <c r="FR26" s="157"/>
      <c r="FS26" s="153"/>
      <c r="FT26" s="154"/>
      <c r="FU26" s="155"/>
      <c r="FV26" s="154"/>
      <c r="FW26" s="155"/>
      <c r="FX26" s="157"/>
      <c r="FY26" s="153"/>
      <c r="FZ26" s="154"/>
      <c r="GA26" s="155"/>
      <c r="GB26" s="154"/>
      <c r="GC26" s="155"/>
      <c r="GD26" s="157"/>
      <c r="GE26" s="153"/>
      <c r="GF26" s="154"/>
      <c r="GG26" s="155"/>
      <c r="GH26" s="154"/>
      <c r="GI26" s="155"/>
      <c r="GJ26" s="157"/>
      <c r="GK26" s="153"/>
      <c r="GL26" s="154"/>
      <c r="GM26" s="155"/>
      <c r="GN26" s="154"/>
      <c r="GO26" s="155"/>
      <c r="GP26" s="157"/>
    </row>
    <row r="27" spans="1:198" ht="20.100000000000001" customHeight="1">
      <c r="A27" s="2705"/>
      <c r="B27" s="2684"/>
      <c r="C27" s="2693" t="s">
        <v>16578</v>
      </c>
      <c r="D27" s="2650" t="str">
        <f>実績!C1374&amp;"("&amp;SUBSTITUTE(実績!AB1374&amp;")","株式会社 ","")</f>
        <v>ポルシェ鹿児島(カーダクレッセ)</v>
      </c>
      <c r="E27" s="2674"/>
      <c r="F27" s="2674"/>
      <c r="G27" s="2674"/>
      <c r="H27" s="2674"/>
      <c r="I27" s="2674"/>
      <c r="J27" s="2674"/>
      <c r="K27" s="2674"/>
      <c r="L27" s="2674"/>
      <c r="M27" s="2674"/>
      <c r="N27" s="2674"/>
      <c r="O27" s="2674"/>
      <c r="P27" s="2674"/>
      <c r="Q27" s="2675"/>
      <c r="R27" s="220" t="s">
        <v>1117</v>
      </c>
      <c r="S27" s="146"/>
      <c r="T27" s="146"/>
      <c r="U27" s="147"/>
      <c r="V27" s="146"/>
      <c r="W27" s="147"/>
      <c r="X27" s="148"/>
      <c r="Y27" s="146"/>
      <c r="Z27" s="146"/>
      <c r="AA27" s="147"/>
      <c r="AB27" s="146"/>
      <c r="AC27" s="147"/>
      <c r="AD27" s="146"/>
      <c r="AE27" s="145"/>
      <c r="AF27" s="146"/>
      <c r="AG27" s="147"/>
      <c r="AH27" s="146"/>
      <c r="AI27" s="147"/>
      <c r="AJ27" s="148"/>
      <c r="AK27" s="146"/>
      <c r="AL27" s="146"/>
      <c r="AM27" s="147"/>
      <c r="AN27" s="146"/>
      <c r="AO27" s="147"/>
      <c r="AP27" s="146"/>
      <c r="AQ27" s="183"/>
      <c r="AR27" s="146"/>
      <c r="AS27" s="147"/>
      <c r="AT27" s="146"/>
      <c r="AU27" s="147"/>
      <c r="AV27" s="148"/>
      <c r="AW27" s="145"/>
      <c r="AX27" s="146"/>
      <c r="AY27" s="147"/>
      <c r="AZ27" s="146"/>
      <c r="BA27" s="147"/>
      <c r="BB27" s="148"/>
      <c r="BC27" s="146"/>
      <c r="BD27" s="146"/>
      <c r="BE27" s="147"/>
      <c r="BF27" s="146"/>
      <c r="BG27" s="147"/>
      <c r="BH27" s="146"/>
      <c r="BI27" s="145"/>
      <c r="BJ27" s="146"/>
      <c r="BK27" s="147"/>
      <c r="BL27" s="146"/>
      <c r="BM27" s="147"/>
      <c r="BN27" s="148"/>
      <c r="BO27" s="145"/>
      <c r="BP27" s="146"/>
      <c r="BQ27" s="147"/>
      <c r="BR27" s="1279"/>
      <c r="BS27" s="147"/>
      <c r="BT27" s="148"/>
      <c r="BU27" s="145"/>
      <c r="BV27" s="146"/>
      <c r="BW27" s="147"/>
      <c r="BX27" s="146"/>
      <c r="BY27" s="147"/>
      <c r="BZ27" s="148"/>
      <c r="CA27" s="145"/>
      <c r="CB27" s="146"/>
      <c r="CC27" s="147"/>
      <c r="CD27" s="146"/>
      <c r="CE27" s="147"/>
      <c r="CF27" s="148"/>
      <c r="CG27" s="145"/>
      <c r="CH27" s="146"/>
      <c r="CI27" s="147"/>
      <c r="CJ27" s="146"/>
      <c r="CK27" s="147"/>
      <c r="CL27" s="148"/>
      <c r="CM27" s="145"/>
      <c r="CN27" s="146"/>
      <c r="CO27" s="147"/>
      <c r="CP27" s="1280"/>
      <c r="CQ27" s="147"/>
      <c r="CR27" s="148"/>
      <c r="CS27" s="145"/>
      <c r="CT27" s="146"/>
      <c r="CU27" s="147"/>
      <c r="CV27" s="146"/>
      <c r="CW27" s="147"/>
      <c r="CX27" s="148"/>
      <c r="CY27" s="145"/>
      <c r="CZ27" s="146"/>
      <c r="DA27" s="147"/>
      <c r="DB27" s="146"/>
      <c r="DC27" s="147"/>
      <c r="DD27" s="148"/>
      <c r="DE27" s="145"/>
      <c r="DF27" s="146"/>
      <c r="DG27" s="147"/>
      <c r="DH27" s="146"/>
      <c r="DI27" s="147"/>
      <c r="DJ27" s="148"/>
      <c r="DK27" s="145"/>
      <c r="DL27" s="146"/>
      <c r="DM27" s="147"/>
      <c r="DN27" s="146"/>
      <c r="DO27" s="147"/>
      <c r="DP27" s="148"/>
      <c r="DQ27" s="145"/>
      <c r="DR27" s="146"/>
      <c r="DS27" s="147"/>
      <c r="DT27" s="146"/>
      <c r="DU27" s="147"/>
      <c r="DV27" s="148"/>
      <c r="DW27" s="145"/>
      <c r="DX27" s="146"/>
      <c r="DY27" s="147"/>
      <c r="DZ27" s="146"/>
      <c r="EA27" s="147"/>
      <c r="EB27" s="148"/>
      <c r="EC27" s="145"/>
      <c r="ED27" s="146"/>
      <c r="EE27" s="147"/>
      <c r="EF27" s="146"/>
      <c r="EG27" s="147"/>
      <c r="EH27" s="148"/>
      <c r="EI27" s="145"/>
      <c r="EJ27" s="146"/>
      <c r="EK27" s="147"/>
      <c r="EL27" s="146"/>
      <c r="EM27" s="147"/>
      <c r="EN27" s="148"/>
      <c r="EO27" s="145"/>
      <c r="EP27" s="146"/>
      <c r="EQ27" s="147"/>
      <c r="ER27" s="146"/>
      <c r="ES27" s="147"/>
      <c r="ET27" s="149"/>
      <c r="EU27" s="145"/>
      <c r="EV27" s="146"/>
      <c r="EW27" s="147"/>
      <c r="EX27" s="146"/>
      <c r="EY27" s="147"/>
      <c r="EZ27" s="149"/>
      <c r="FA27" s="145"/>
      <c r="FB27" s="146"/>
      <c r="FC27" s="147"/>
      <c r="FD27" s="146"/>
      <c r="FE27" s="147"/>
      <c r="FF27" s="149"/>
      <c r="FG27" s="145"/>
      <c r="FH27" s="1279" t="s">
        <v>17674</v>
      </c>
      <c r="FI27" s="147"/>
      <c r="FJ27" s="146"/>
      <c r="FK27" s="147"/>
      <c r="FL27" s="149"/>
      <c r="FM27" s="145"/>
      <c r="FN27" s="146"/>
      <c r="FO27" s="147"/>
      <c r="FP27" s="146"/>
      <c r="FQ27" s="147"/>
      <c r="FR27" s="1872"/>
      <c r="FS27" s="145"/>
      <c r="FT27" s="146"/>
      <c r="FU27" s="147"/>
      <c r="FV27" s="146"/>
      <c r="FW27" s="147"/>
      <c r="FX27" s="149" t="s">
        <v>18104</v>
      </c>
      <c r="FY27" s="145"/>
      <c r="FZ27" s="146"/>
      <c r="GA27" s="147"/>
      <c r="GB27" s="146"/>
      <c r="GC27" s="147"/>
      <c r="GD27" s="149"/>
      <c r="GE27" s="145"/>
      <c r="GF27" s="146"/>
      <c r="GG27" s="147"/>
      <c r="GH27" s="146"/>
      <c r="GI27" s="147"/>
      <c r="GJ27" s="149"/>
      <c r="GK27" s="145"/>
      <c r="GL27" s="146"/>
      <c r="GM27" s="147"/>
      <c r="GN27" s="146"/>
      <c r="GO27" s="147"/>
      <c r="GP27" s="149" t="s">
        <v>18105</v>
      </c>
    </row>
    <row r="28" spans="1:198" ht="20.100000000000001" customHeight="1" thickBot="1">
      <c r="A28" s="2706"/>
      <c r="B28" s="2685"/>
      <c r="C28" s="2707"/>
      <c r="D28" s="2658"/>
      <c r="E28" s="2659"/>
      <c r="F28" s="2659"/>
      <c r="G28" s="2659"/>
      <c r="H28" s="2659"/>
      <c r="I28" s="2659"/>
      <c r="J28" s="2659"/>
      <c r="K28" s="2659"/>
      <c r="L28" s="2659"/>
      <c r="M28" s="2659"/>
      <c r="N28" s="2659"/>
      <c r="O28" s="2659"/>
      <c r="P28" s="2659"/>
      <c r="Q28" s="2676"/>
      <c r="R28" s="221" t="s">
        <v>1116</v>
      </c>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175"/>
      <c r="EJ28" s="176"/>
      <c r="EK28" s="177"/>
      <c r="EL28" s="176"/>
      <c r="EM28" s="177"/>
      <c r="EN28" s="200"/>
      <c r="EO28" s="175"/>
      <c r="EP28" s="176"/>
      <c r="EQ28" s="177"/>
      <c r="ER28" s="176"/>
      <c r="ES28" s="177"/>
      <c r="ET28" s="1313"/>
      <c r="EU28" s="175"/>
      <c r="EV28" s="176"/>
      <c r="EW28" s="177"/>
      <c r="EX28" s="176"/>
      <c r="EY28" s="177"/>
      <c r="EZ28" s="1313"/>
      <c r="FA28" s="175"/>
      <c r="FB28" s="176"/>
      <c r="FC28" s="177"/>
      <c r="FD28" s="176"/>
      <c r="FE28" s="177"/>
      <c r="FF28" s="1313"/>
      <c r="FG28" s="175"/>
      <c r="FH28" s="178" t="s">
        <v>17674</v>
      </c>
      <c r="FI28" s="177"/>
      <c r="FJ28" s="176"/>
      <c r="FK28" s="177"/>
      <c r="FL28" s="1313"/>
      <c r="FM28" s="175"/>
      <c r="FN28" s="176"/>
      <c r="FO28" s="177"/>
      <c r="FP28" s="176"/>
      <c r="FQ28" s="177"/>
      <c r="FR28" s="1873"/>
      <c r="FS28" s="175"/>
      <c r="FT28" s="176"/>
      <c r="FU28" s="177"/>
      <c r="FV28" s="176"/>
      <c r="FW28" s="177"/>
      <c r="FX28" s="1313" t="s">
        <v>18104</v>
      </c>
      <c r="FY28" s="175"/>
      <c r="FZ28" s="176"/>
      <c r="GA28" s="177"/>
      <c r="GB28" s="176"/>
      <c r="GC28" s="177"/>
      <c r="GD28" s="1313"/>
      <c r="GE28" s="175"/>
      <c r="GF28" s="176"/>
      <c r="GG28" s="177"/>
      <c r="GH28" s="176"/>
      <c r="GI28" s="177"/>
      <c r="GJ28" s="1313"/>
      <c r="GK28" s="175"/>
      <c r="GL28" s="176"/>
      <c r="GM28" s="177"/>
      <c r="GN28" s="176"/>
      <c r="GO28" s="177"/>
      <c r="GP28" s="1313"/>
    </row>
    <row r="29" spans="1:198" ht="20.100000000000001" hidden="1" customHeight="1" outlineLevel="1">
      <c r="A29" s="2646" t="s">
        <v>10763</v>
      </c>
      <c r="B29" s="2757" t="s">
        <v>8736</v>
      </c>
      <c r="C29" s="1845"/>
      <c r="D29" s="2629" t="s">
        <v>8142</v>
      </c>
      <c r="E29" s="2630"/>
      <c r="F29" s="2630"/>
      <c r="G29" s="2630"/>
      <c r="H29" s="2630"/>
      <c r="I29" s="2630"/>
      <c r="J29" s="2630"/>
      <c r="K29" s="2630"/>
      <c r="L29" s="2630"/>
      <c r="M29" s="2630"/>
      <c r="N29" s="2630"/>
      <c r="O29" s="2630"/>
      <c r="P29" s="2630"/>
      <c r="Q29" s="2630"/>
      <c r="R29" s="1926"/>
      <c r="S29" s="1846"/>
      <c r="T29" s="1846"/>
      <c r="U29" s="1847"/>
      <c r="V29" s="1846"/>
      <c r="W29" s="1847"/>
      <c r="X29" s="1848"/>
      <c r="Y29" s="1846"/>
      <c r="Z29" s="1846"/>
      <c r="AA29" s="1847"/>
      <c r="AB29" s="1846"/>
      <c r="AC29" s="1847"/>
      <c r="AD29" s="1846"/>
      <c r="AE29" s="1849"/>
      <c r="AF29" s="1846"/>
      <c r="AG29" s="1847"/>
      <c r="AH29" s="1846"/>
      <c r="AI29" s="1847"/>
      <c r="AJ29" s="1848"/>
      <c r="AK29" s="1846"/>
      <c r="AL29" s="1846"/>
      <c r="AM29" s="1847"/>
      <c r="AN29" s="1846"/>
      <c r="AO29" s="1847"/>
      <c r="AP29" s="1846"/>
      <c r="AQ29" s="1850"/>
      <c r="AR29" s="1846"/>
      <c r="AS29" s="1847"/>
      <c r="AT29" s="1846"/>
      <c r="AU29" s="1847"/>
      <c r="AV29" s="1848"/>
      <c r="AW29" s="1898"/>
      <c r="AX29" s="1846"/>
      <c r="AY29" s="1847"/>
      <c r="AZ29" s="1846"/>
      <c r="BA29" s="1847"/>
      <c r="BB29" s="1848"/>
      <c r="BC29" s="1846"/>
      <c r="BD29" s="1846"/>
      <c r="BE29" s="1847"/>
      <c r="BF29" s="1846"/>
      <c r="BG29" s="1847"/>
      <c r="BH29" s="1846"/>
      <c r="BI29" s="1849"/>
      <c r="BJ29" s="1846"/>
      <c r="BK29" s="1847"/>
      <c r="BL29" s="1846"/>
      <c r="BM29" s="1847"/>
      <c r="BN29" s="1848"/>
      <c r="BO29" s="1849"/>
      <c r="BP29" s="1846"/>
      <c r="BQ29" s="1847"/>
      <c r="BR29" s="1846"/>
      <c r="BS29" s="1847"/>
      <c r="BT29" s="1848"/>
      <c r="BU29" s="1849"/>
      <c r="BV29" s="1846"/>
      <c r="BW29" s="1847"/>
      <c r="BX29" s="1846"/>
      <c r="BY29" s="1847"/>
      <c r="BZ29" s="1848"/>
      <c r="CA29" s="1849"/>
      <c r="CB29" s="1846"/>
      <c r="CC29" s="1847"/>
      <c r="CD29" s="1846"/>
      <c r="CE29" s="1847"/>
      <c r="CF29" s="1848"/>
      <c r="CG29" s="1849"/>
      <c r="CH29" s="1846"/>
      <c r="CI29" s="1847"/>
      <c r="CJ29" s="1846"/>
      <c r="CK29" s="1847"/>
      <c r="CL29" s="1848"/>
      <c r="CM29" s="1849"/>
      <c r="CN29" s="1846"/>
      <c r="CO29" s="1847"/>
      <c r="CP29" s="1846"/>
      <c r="CQ29" s="1847"/>
      <c r="CR29" s="1848"/>
      <c r="CS29" s="1849"/>
      <c r="CT29" s="1846"/>
      <c r="CU29" s="1847"/>
      <c r="CV29" s="1846"/>
      <c r="CW29" s="1847"/>
      <c r="CX29" s="1848"/>
      <c r="CY29" s="1849"/>
      <c r="CZ29" s="1846"/>
      <c r="DA29" s="1847"/>
      <c r="DB29" s="1846"/>
      <c r="DC29" s="1847"/>
      <c r="DD29" s="1848"/>
      <c r="DE29" s="1849"/>
      <c r="DF29" s="1846"/>
      <c r="DG29" s="1847"/>
      <c r="DH29" s="1846"/>
      <c r="DI29" s="1847"/>
      <c r="DJ29" s="1848"/>
      <c r="DK29" s="1849"/>
      <c r="DL29" s="1846"/>
      <c r="DM29" s="1847"/>
      <c r="DN29" s="1846"/>
      <c r="DO29" s="1847"/>
      <c r="DP29" s="1846"/>
      <c r="DQ29" s="1851"/>
      <c r="DR29" s="1846"/>
      <c r="DS29" s="1847"/>
      <c r="DT29" s="1852"/>
      <c r="DU29" s="1846"/>
      <c r="DV29" s="1848"/>
      <c r="DW29" s="1849"/>
      <c r="DX29" s="1846"/>
      <c r="DY29" s="1847"/>
      <c r="DZ29" s="1846"/>
      <c r="EA29" s="1847"/>
      <c r="EB29" s="1848"/>
      <c r="EC29" s="1849"/>
      <c r="ED29" s="1846"/>
      <c r="EE29" s="1847"/>
      <c r="EF29" s="1846"/>
      <c r="EG29" s="1847"/>
      <c r="EH29" s="1847"/>
      <c r="EI29" s="1849"/>
      <c r="EJ29" s="1846"/>
      <c r="EK29" s="1847"/>
      <c r="EL29" s="1846"/>
      <c r="EM29" s="1847"/>
      <c r="EN29" s="1848"/>
      <c r="EO29" s="1849"/>
      <c r="EP29" s="1846"/>
      <c r="EQ29" s="1847"/>
      <c r="ER29" s="1846"/>
      <c r="ES29" s="1847"/>
      <c r="ET29" s="1899"/>
      <c r="EU29" s="1849"/>
      <c r="EV29" s="1846"/>
      <c r="EW29" s="1847"/>
      <c r="EX29" s="1846"/>
      <c r="EY29" s="1847"/>
      <c r="EZ29" s="1899"/>
      <c r="FA29" s="1849"/>
      <c r="FB29" s="1846"/>
      <c r="FC29" s="1847"/>
      <c r="FD29" s="1846"/>
      <c r="FE29" s="1847"/>
      <c r="FF29" s="1899"/>
      <c r="FG29" s="1849"/>
      <c r="FH29" s="1846"/>
      <c r="FI29" s="1847"/>
      <c r="FJ29" s="1846"/>
      <c r="FK29" s="1847"/>
      <c r="FL29" s="1899"/>
      <c r="FM29" s="1849"/>
      <c r="FN29" s="1846"/>
      <c r="FO29" s="1847"/>
      <c r="FP29" s="1846"/>
      <c r="FQ29" s="1847"/>
      <c r="FR29" s="1899"/>
      <c r="FS29" s="1849"/>
      <c r="FT29" s="1846"/>
      <c r="FU29" s="1847"/>
      <c r="FV29" s="1846"/>
      <c r="FW29" s="1847"/>
      <c r="FX29" s="1899"/>
      <c r="FY29" s="1849"/>
      <c r="FZ29" s="1846"/>
      <c r="GA29" s="1847"/>
      <c r="GB29" s="1846"/>
      <c r="GC29" s="1847"/>
      <c r="GD29" s="1899"/>
      <c r="GE29" s="1849"/>
      <c r="GF29" s="1846"/>
      <c r="GG29" s="1847"/>
      <c r="GH29" s="1846"/>
      <c r="GI29" s="1847"/>
      <c r="GJ29" s="1899"/>
      <c r="GK29" s="1849"/>
      <c r="GL29" s="1846"/>
      <c r="GM29" s="1847"/>
      <c r="GN29" s="1846"/>
      <c r="GO29" s="1847"/>
      <c r="GP29" s="1899"/>
    </row>
    <row r="30" spans="1:198" ht="20.100000000000001" hidden="1" customHeight="1" outlineLevel="1">
      <c r="A30" s="2647"/>
      <c r="B30" s="2758"/>
      <c r="C30" s="1836"/>
      <c r="D30" s="2614" t="str">
        <f>実績!C1145&amp;"("&amp;SUBSTITUTE(実績!R1145&amp;")","株式会社 ","")</f>
        <v>ナルス直江津東(万代設計)</v>
      </c>
      <c r="E30" s="2615"/>
      <c r="F30" s="2615"/>
      <c r="G30" s="2615"/>
      <c r="H30" s="2615"/>
      <c r="I30" s="2615"/>
      <c r="J30" s="2615"/>
      <c r="K30" s="2615"/>
      <c r="L30" s="2615"/>
      <c r="M30" s="2615"/>
      <c r="N30" s="2615"/>
      <c r="O30" s="2615"/>
      <c r="P30" s="2615"/>
      <c r="Q30" s="2615"/>
      <c r="R30" s="1976"/>
      <c r="S30" s="1837"/>
      <c r="T30" s="1837"/>
      <c r="U30" s="1838"/>
      <c r="V30" s="1837"/>
      <c r="W30" s="1838"/>
      <c r="X30" s="1839"/>
      <c r="Y30" s="1837"/>
      <c r="Z30" s="1837"/>
      <c r="AA30" s="1838"/>
      <c r="AB30" s="1837"/>
      <c r="AC30" s="1838"/>
      <c r="AD30" s="1837"/>
      <c r="AE30" s="1900" t="s">
        <v>8331</v>
      </c>
      <c r="AF30" s="1837"/>
      <c r="AG30" s="1838" t="s">
        <v>8250</v>
      </c>
      <c r="AH30" s="1837"/>
      <c r="AI30" s="1838"/>
      <c r="AJ30" s="1839"/>
      <c r="AK30" s="1837"/>
      <c r="AL30" s="1837"/>
      <c r="AM30" s="1838"/>
      <c r="AN30" s="1837"/>
      <c r="AO30" s="1838"/>
      <c r="AP30" s="1837"/>
      <c r="AQ30" s="1841"/>
      <c r="AR30" s="1842"/>
      <c r="AS30" s="1838"/>
      <c r="AT30" s="1837"/>
      <c r="AU30" s="1838"/>
      <c r="AV30" s="1839"/>
      <c r="AW30" s="1900" t="s">
        <v>8145</v>
      </c>
      <c r="AX30" s="1837"/>
      <c r="AY30" s="1838"/>
      <c r="AZ30" s="1837"/>
      <c r="BA30" s="1838"/>
      <c r="BB30" s="1839"/>
      <c r="BC30" s="1837"/>
      <c r="BD30" s="1837"/>
      <c r="BE30" s="1838"/>
      <c r="BF30" s="1837"/>
      <c r="BG30" s="1838"/>
      <c r="BH30" s="1837"/>
      <c r="BI30" s="1840"/>
      <c r="BJ30" s="1837"/>
      <c r="BK30" s="1838"/>
      <c r="BL30" s="1837"/>
      <c r="BM30" s="1838"/>
      <c r="BN30" s="1839"/>
      <c r="BO30" s="1840"/>
      <c r="BP30" s="1837"/>
      <c r="BQ30" s="1838"/>
      <c r="BR30" s="1837"/>
      <c r="BS30" s="1838"/>
      <c r="BT30" s="1839"/>
      <c r="BU30" s="1840"/>
      <c r="BV30" s="1837"/>
      <c r="BW30" s="1838"/>
      <c r="BX30" s="1837"/>
      <c r="BY30" s="1838"/>
      <c r="BZ30" s="1839"/>
      <c r="CA30" s="1840"/>
      <c r="CB30" s="1837"/>
      <c r="CC30" s="1838"/>
      <c r="CD30" s="1837"/>
      <c r="CE30" s="1838"/>
      <c r="CF30" s="1839"/>
      <c r="CG30" s="1840"/>
      <c r="CH30" s="1837"/>
      <c r="CI30" s="1838"/>
      <c r="CJ30" s="1837"/>
      <c r="CK30" s="1838"/>
      <c r="CL30" s="1839"/>
      <c r="CM30" s="1840"/>
      <c r="CN30" s="1837"/>
      <c r="CO30" s="1838"/>
      <c r="CP30" s="1837"/>
      <c r="CQ30" s="1838"/>
      <c r="CR30" s="1839"/>
      <c r="CS30" s="1840"/>
      <c r="CT30" s="1837"/>
      <c r="CU30" s="1838"/>
      <c r="CV30" s="1837"/>
      <c r="CW30" s="1838"/>
      <c r="CX30" s="1839"/>
      <c r="CY30" s="1840"/>
      <c r="CZ30" s="1837"/>
      <c r="DA30" s="1838"/>
      <c r="DB30" s="1837"/>
      <c r="DC30" s="1838"/>
      <c r="DD30" s="1839"/>
      <c r="DE30" s="1840"/>
      <c r="DF30" s="1837"/>
      <c r="DG30" s="1838"/>
      <c r="DH30" s="1837"/>
      <c r="DI30" s="1838"/>
      <c r="DJ30" s="1839"/>
      <c r="DK30" s="1840"/>
      <c r="DL30" s="1837"/>
      <c r="DM30" s="1838"/>
      <c r="DN30" s="1837"/>
      <c r="DO30" s="1838"/>
      <c r="DP30" s="1837"/>
      <c r="DQ30" s="1853"/>
      <c r="DR30" s="1837"/>
      <c r="DS30" s="1838"/>
      <c r="DT30" s="1842"/>
      <c r="DU30" s="1837"/>
      <c r="DV30" s="1839"/>
      <c r="DW30" s="1840"/>
      <c r="DX30" s="1837"/>
      <c r="DY30" s="1838"/>
      <c r="DZ30" s="1837"/>
      <c r="EA30" s="1838"/>
      <c r="EB30" s="1839"/>
      <c r="EC30" s="1840"/>
      <c r="ED30" s="1837"/>
      <c r="EE30" s="1838"/>
      <c r="EF30" s="1837"/>
      <c r="EG30" s="1838"/>
      <c r="EH30" s="1838"/>
      <c r="EI30" s="1840"/>
      <c r="EJ30" s="1837"/>
      <c r="EK30" s="1838"/>
      <c r="EL30" s="1837"/>
      <c r="EM30" s="1838"/>
      <c r="EN30" s="1839"/>
      <c r="EO30" s="1840"/>
      <c r="EP30" s="1837"/>
      <c r="EQ30" s="1838"/>
      <c r="ER30" s="1837"/>
      <c r="ES30" s="1838"/>
      <c r="ET30" s="1901"/>
      <c r="EU30" s="1840"/>
      <c r="EV30" s="1837"/>
      <c r="EW30" s="1838"/>
      <c r="EX30" s="1837"/>
      <c r="EY30" s="1838"/>
      <c r="EZ30" s="1901"/>
      <c r="FA30" s="1840"/>
      <c r="FB30" s="1837"/>
      <c r="FC30" s="1838"/>
      <c r="FD30" s="1837"/>
      <c r="FE30" s="1838"/>
      <c r="FF30" s="1901"/>
      <c r="FG30" s="1840"/>
      <c r="FH30" s="1837"/>
      <c r="FI30" s="1838"/>
      <c r="FJ30" s="1837"/>
      <c r="FK30" s="1838"/>
      <c r="FL30" s="1901"/>
      <c r="FM30" s="1840"/>
      <c r="FN30" s="1837"/>
      <c r="FO30" s="1838"/>
      <c r="FP30" s="1837"/>
      <c r="FQ30" s="1838"/>
      <c r="FR30" s="1901"/>
      <c r="FS30" s="1840"/>
      <c r="FT30" s="1837"/>
      <c r="FU30" s="1838"/>
      <c r="FV30" s="1837"/>
      <c r="FW30" s="1838"/>
      <c r="FX30" s="1901"/>
      <c r="FY30" s="1840"/>
      <c r="FZ30" s="1837"/>
      <c r="GA30" s="1838"/>
      <c r="GB30" s="1837"/>
      <c r="GC30" s="1838"/>
      <c r="GD30" s="1901"/>
      <c r="GE30" s="1840"/>
      <c r="GF30" s="1837"/>
      <c r="GG30" s="1838"/>
      <c r="GH30" s="1837"/>
      <c r="GI30" s="1838"/>
      <c r="GJ30" s="1901"/>
      <c r="GK30" s="1840"/>
      <c r="GL30" s="1837"/>
      <c r="GM30" s="1838"/>
      <c r="GN30" s="1837"/>
      <c r="GO30" s="1838"/>
      <c r="GP30" s="1901"/>
    </row>
    <row r="31" spans="1:198" ht="20.100000000000001" hidden="1" customHeight="1" outlineLevel="1">
      <c r="A31" s="2647"/>
      <c r="B31" s="2758"/>
      <c r="C31" s="1836"/>
      <c r="D31" s="2614" t="str">
        <f>実績!C1112&amp;"("&amp;SUBSTITUTE(実績!AB1112&amp;")","株式会社 ","")</f>
        <v>MINI北大阪(カーダクレッセ)</v>
      </c>
      <c r="E31" s="2615"/>
      <c r="F31" s="2615"/>
      <c r="G31" s="2615"/>
      <c r="H31" s="2615"/>
      <c r="I31" s="2615"/>
      <c r="J31" s="2615"/>
      <c r="K31" s="2615"/>
      <c r="L31" s="2615"/>
      <c r="M31" s="2615"/>
      <c r="N31" s="2615"/>
      <c r="O31" s="2615"/>
      <c r="P31" s="2615"/>
      <c r="Q31" s="2615"/>
      <c r="R31" s="1976"/>
      <c r="S31" s="1837"/>
      <c r="T31" s="1837"/>
      <c r="U31" s="1838"/>
      <c r="V31" s="1837"/>
      <c r="W31" s="1838"/>
      <c r="X31" s="1839"/>
      <c r="Y31" s="1837"/>
      <c r="Z31" s="1837"/>
      <c r="AA31" s="1838"/>
      <c r="AB31" s="1837"/>
      <c r="AC31" s="1837" t="s">
        <v>8330</v>
      </c>
      <c r="AD31" s="1837"/>
      <c r="AE31" s="1900"/>
      <c r="AF31" s="1837"/>
      <c r="AG31" s="1838"/>
      <c r="AH31" s="1837"/>
      <c r="AI31" s="1838" t="s">
        <v>8250</v>
      </c>
      <c r="AJ31" s="1839"/>
      <c r="AK31" s="1837"/>
      <c r="AL31" s="1837"/>
      <c r="AM31" s="1838"/>
      <c r="AN31" s="1837"/>
      <c r="AO31" s="1838"/>
      <c r="AP31" s="1837"/>
      <c r="AQ31" s="1841" t="s">
        <v>8145</v>
      </c>
      <c r="AR31" s="1837"/>
      <c r="AS31" s="1838"/>
      <c r="AT31" s="1837"/>
      <c r="AU31" s="1838"/>
      <c r="AV31" s="1839"/>
      <c r="AW31" s="1900"/>
      <c r="AX31" s="1837"/>
      <c r="AY31" s="1838"/>
      <c r="AZ31" s="1837"/>
      <c r="BA31" s="1838"/>
      <c r="BB31" s="1839"/>
      <c r="BC31" s="1837"/>
      <c r="BD31" s="1837"/>
      <c r="BE31" s="1838"/>
      <c r="BF31" s="1837"/>
      <c r="BG31" s="1838"/>
      <c r="BH31" s="1837"/>
      <c r="BI31" s="1840"/>
      <c r="BJ31" s="1837"/>
      <c r="BK31" s="1838"/>
      <c r="BL31" s="1837"/>
      <c r="BM31" s="1838"/>
      <c r="BN31" s="1839"/>
      <c r="BO31" s="1840"/>
      <c r="BP31" s="1837"/>
      <c r="BQ31" s="1838"/>
      <c r="BR31" s="1837"/>
      <c r="BS31" s="1838"/>
      <c r="BT31" s="1839"/>
      <c r="BU31" s="1840"/>
      <c r="BV31" s="1837"/>
      <c r="BW31" s="1838"/>
      <c r="BX31" s="1837"/>
      <c r="BY31" s="1838"/>
      <c r="BZ31" s="1839"/>
      <c r="CA31" s="1840"/>
      <c r="CB31" s="1837"/>
      <c r="CC31" s="1838"/>
      <c r="CD31" s="1837"/>
      <c r="CE31" s="1838"/>
      <c r="CF31" s="1839"/>
      <c r="CG31" s="1840"/>
      <c r="CH31" s="1837"/>
      <c r="CI31" s="1838"/>
      <c r="CJ31" s="1837"/>
      <c r="CK31" s="1838"/>
      <c r="CL31" s="1839"/>
      <c r="CM31" s="1840"/>
      <c r="CN31" s="1837"/>
      <c r="CO31" s="1838"/>
      <c r="CP31" s="1837"/>
      <c r="CQ31" s="1838"/>
      <c r="CR31" s="1839"/>
      <c r="CS31" s="1840"/>
      <c r="CT31" s="1837"/>
      <c r="CU31" s="1838"/>
      <c r="CV31" s="1837"/>
      <c r="CW31" s="1838"/>
      <c r="CX31" s="1839"/>
      <c r="CY31" s="1840"/>
      <c r="CZ31" s="1837"/>
      <c r="DA31" s="1838"/>
      <c r="DB31" s="1837"/>
      <c r="DC31" s="1838"/>
      <c r="DD31" s="1839"/>
      <c r="DE31" s="1840"/>
      <c r="DF31" s="1837"/>
      <c r="DG31" s="1838"/>
      <c r="DH31" s="1837"/>
      <c r="DI31" s="1838"/>
      <c r="DJ31" s="1839"/>
      <c r="DK31" s="1840"/>
      <c r="DL31" s="1837"/>
      <c r="DM31" s="1838"/>
      <c r="DN31" s="1837"/>
      <c r="DO31" s="1838"/>
      <c r="DP31" s="1837"/>
      <c r="DQ31" s="1853"/>
      <c r="DR31" s="1837"/>
      <c r="DS31" s="1838"/>
      <c r="DT31" s="1842"/>
      <c r="DU31" s="1837"/>
      <c r="DV31" s="1839"/>
      <c r="DW31" s="1840"/>
      <c r="DX31" s="1837"/>
      <c r="DY31" s="1838"/>
      <c r="DZ31" s="1837"/>
      <c r="EA31" s="1838"/>
      <c r="EB31" s="1839"/>
      <c r="EC31" s="1840"/>
      <c r="ED31" s="1837"/>
      <c r="EE31" s="1838"/>
      <c r="EF31" s="1837"/>
      <c r="EG31" s="1838"/>
      <c r="EH31" s="1838"/>
      <c r="EI31" s="1840"/>
      <c r="EJ31" s="1837"/>
      <c r="EK31" s="1838"/>
      <c r="EL31" s="1837"/>
      <c r="EM31" s="1838"/>
      <c r="EN31" s="1839"/>
      <c r="EO31" s="1840"/>
      <c r="EP31" s="1837"/>
      <c r="EQ31" s="1838"/>
      <c r="ER31" s="1837"/>
      <c r="ES31" s="1838"/>
      <c r="ET31" s="1901"/>
      <c r="EU31" s="1840"/>
      <c r="EV31" s="1837"/>
      <c r="EW31" s="1838"/>
      <c r="EX31" s="1837"/>
      <c r="EY31" s="1838"/>
      <c r="EZ31" s="1901"/>
      <c r="FA31" s="1840"/>
      <c r="FB31" s="1837"/>
      <c r="FC31" s="1838"/>
      <c r="FD31" s="1837"/>
      <c r="FE31" s="1838"/>
      <c r="FF31" s="1901"/>
      <c r="FG31" s="1840"/>
      <c r="FH31" s="1837"/>
      <c r="FI31" s="1838"/>
      <c r="FJ31" s="1837"/>
      <c r="FK31" s="1838"/>
      <c r="FL31" s="1901"/>
      <c r="FM31" s="1840"/>
      <c r="FN31" s="1837"/>
      <c r="FO31" s="1838"/>
      <c r="FP31" s="1837"/>
      <c r="FQ31" s="1838"/>
      <c r="FR31" s="1901"/>
      <c r="FS31" s="1840"/>
      <c r="FT31" s="1837"/>
      <c r="FU31" s="1838"/>
      <c r="FV31" s="1837"/>
      <c r="FW31" s="1838"/>
      <c r="FX31" s="1901"/>
      <c r="FY31" s="1840"/>
      <c r="FZ31" s="1837"/>
      <c r="GA31" s="1838"/>
      <c r="GB31" s="1837"/>
      <c r="GC31" s="1838"/>
      <c r="GD31" s="1901"/>
      <c r="GE31" s="1840"/>
      <c r="GF31" s="1837"/>
      <c r="GG31" s="1838"/>
      <c r="GH31" s="1837"/>
      <c r="GI31" s="1838"/>
      <c r="GJ31" s="1901"/>
      <c r="GK31" s="1840"/>
      <c r="GL31" s="1837"/>
      <c r="GM31" s="1838"/>
      <c r="GN31" s="1837"/>
      <c r="GO31" s="1838"/>
      <c r="GP31" s="1901"/>
    </row>
    <row r="32" spans="1:198" ht="20.100000000000001" hidden="1" customHeight="1" outlineLevel="1">
      <c r="A32" s="2647"/>
      <c r="B32" s="2758"/>
      <c r="C32" s="1836"/>
      <c r="D32" s="2614" t="str">
        <f>実績!C1138&amp;"("&amp;SUBSTITUTE(実績!R1138&amp;")"," 株式会社","")</f>
        <v>カナモト山梨営業所(日成ビルド工業)</v>
      </c>
      <c r="E32" s="2615"/>
      <c r="F32" s="2615"/>
      <c r="G32" s="2615"/>
      <c r="H32" s="2615"/>
      <c r="I32" s="2615"/>
      <c r="J32" s="2615"/>
      <c r="K32" s="2615"/>
      <c r="L32" s="2615"/>
      <c r="M32" s="2615"/>
      <c r="N32" s="2615"/>
      <c r="O32" s="2615"/>
      <c r="P32" s="2615"/>
      <c r="Q32" s="2615"/>
      <c r="R32" s="1976"/>
      <c r="S32" s="1837"/>
      <c r="T32" s="1837"/>
      <c r="U32" s="1838"/>
      <c r="V32" s="1837"/>
      <c r="W32" s="1838"/>
      <c r="X32" s="1839"/>
      <c r="Y32" s="1838"/>
      <c r="Z32" s="1837"/>
      <c r="AA32" s="1838"/>
      <c r="AB32" s="1837"/>
      <c r="AC32" s="1838"/>
      <c r="AD32" s="1837"/>
      <c r="AE32" s="1900"/>
      <c r="AF32" s="1837"/>
      <c r="AG32" s="1838"/>
      <c r="AH32" s="1837"/>
      <c r="AI32" s="1838"/>
      <c r="AJ32" s="1839"/>
      <c r="AK32" s="1837" t="s">
        <v>8250</v>
      </c>
      <c r="AL32" s="1837"/>
      <c r="AM32" s="1838"/>
      <c r="AN32" s="1837"/>
      <c r="AO32" s="1838"/>
      <c r="AP32" s="1837"/>
      <c r="AQ32" s="1841" t="s">
        <v>8283</v>
      </c>
      <c r="AR32" s="1842"/>
      <c r="AS32" s="1838"/>
      <c r="AT32" s="1837"/>
      <c r="AU32" s="1838"/>
      <c r="AV32" s="1839"/>
      <c r="AW32" s="1900"/>
      <c r="AX32" s="1837"/>
      <c r="AY32" s="1838"/>
      <c r="AZ32" s="1837"/>
      <c r="BA32" s="1838"/>
      <c r="BB32" s="1839"/>
      <c r="BC32" s="1837"/>
      <c r="BD32" s="1837"/>
      <c r="BE32" s="1838"/>
      <c r="BF32" s="1837"/>
      <c r="BG32" s="1838"/>
      <c r="BH32" s="1837"/>
      <c r="BI32" s="1840"/>
      <c r="BJ32" s="1837"/>
      <c r="BK32" s="1838"/>
      <c r="BL32" s="1837"/>
      <c r="BM32" s="1838"/>
      <c r="BN32" s="1839"/>
      <c r="BO32" s="1840"/>
      <c r="BP32" s="1837"/>
      <c r="BQ32" s="1838"/>
      <c r="BR32" s="1837"/>
      <c r="BS32" s="1838"/>
      <c r="BT32" s="1839"/>
      <c r="BU32" s="1840"/>
      <c r="BV32" s="1837"/>
      <c r="BW32" s="1838"/>
      <c r="BX32" s="1837"/>
      <c r="BY32" s="1838"/>
      <c r="BZ32" s="1839"/>
      <c r="CA32" s="1840"/>
      <c r="CB32" s="1837"/>
      <c r="CC32" s="1838"/>
      <c r="CD32" s="1837"/>
      <c r="CE32" s="1838"/>
      <c r="CF32" s="1839"/>
      <c r="CG32" s="1840"/>
      <c r="CH32" s="1837"/>
      <c r="CI32" s="1838"/>
      <c r="CJ32" s="1837"/>
      <c r="CK32" s="1838"/>
      <c r="CL32" s="1839"/>
      <c r="CM32" s="1840"/>
      <c r="CN32" s="1837"/>
      <c r="CO32" s="1838"/>
      <c r="CP32" s="1837"/>
      <c r="CQ32" s="1838"/>
      <c r="CR32" s="1839"/>
      <c r="CS32" s="1840"/>
      <c r="CT32" s="1837"/>
      <c r="CU32" s="1838"/>
      <c r="CV32" s="1837"/>
      <c r="CW32" s="1838"/>
      <c r="CX32" s="1839"/>
      <c r="CY32" s="1840"/>
      <c r="CZ32" s="1837"/>
      <c r="DA32" s="1838"/>
      <c r="DB32" s="1837"/>
      <c r="DC32" s="1838"/>
      <c r="DD32" s="1839"/>
      <c r="DE32" s="1840"/>
      <c r="DF32" s="1837"/>
      <c r="DG32" s="1838"/>
      <c r="DH32" s="1837"/>
      <c r="DI32" s="1838"/>
      <c r="DJ32" s="1839"/>
      <c r="DK32" s="1840"/>
      <c r="DL32" s="1837"/>
      <c r="DM32" s="1838"/>
      <c r="DN32" s="1837"/>
      <c r="DO32" s="1838"/>
      <c r="DP32" s="1837"/>
      <c r="DQ32" s="1853"/>
      <c r="DR32" s="1837"/>
      <c r="DS32" s="1838"/>
      <c r="DT32" s="1842"/>
      <c r="DU32" s="1837"/>
      <c r="DV32" s="1839"/>
      <c r="DW32" s="1840"/>
      <c r="DX32" s="1837"/>
      <c r="DY32" s="1838"/>
      <c r="DZ32" s="1837"/>
      <c r="EA32" s="1838"/>
      <c r="EB32" s="1839"/>
      <c r="EC32" s="1840"/>
      <c r="ED32" s="1837"/>
      <c r="EE32" s="1838"/>
      <c r="EF32" s="1837"/>
      <c r="EG32" s="1838"/>
      <c r="EH32" s="1838"/>
      <c r="EI32" s="1840"/>
      <c r="EJ32" s="1837"/>
      <c r="EK32" s="1838"/>
      <c r="EL32" s="1837"/>
      <c r="EM32" s="1838"/>
      <c r="EN32" s="1839"/>
      <c r="EO32" s="1840"/>
      <c r="EP32" s="1837"/>
      <c r="EQ32" s="1838"/>
      <c r="ER32" s="1837"/>
      <c r="ES32" s="1838"/>
      <c r="ET32" s="1901"/>
      <c r="EU32" s="1840"/>
      <c r="EV32" s="1837"/>
      <c r="EW32" s="1838"/>
      <c r="EX32" s="1837"/>
      <c r="EY32" s="1838"/>
      <c r="EZ32" s="1901"/>
      <c r="FA32" s="1840"/>
      <c r="FB32" s="1837"/>
      <c r="FC32" s="1838"/>
      <c r="FD32" s="1837"/>
      <c r="FE32" s="1838"/>
      <c r="FF32" s="1901"/>
      <c r="FG32" s="1840"/>
      <c r="FH32" s="1837"/>
      <c r="FI32" s="1838"/>
      <c r="FJ32" s="1837"/>
      <c r="FK32" s="1838"/>
      <c r="FL32" s="1901"/>
      <c r="FM32" s="1840"/>
      <c r="FN32" s="1837"/>
      <c r="FO32" s="1838"/>
      <c r="FP32" s="1837"/>
      <c r="FQ32" s="1838"/>
      <c r="FR32" s="1901"/>
      <c r="FS32" s="1840"/>
      <c r="FT32" s="1837"/>
      <c r="FU32" s="1838"/>
      <c r="FV32" s="1837"/>
      <c r="FW32" s="1838"/>
      <c r="FX32" s="1901"/>
      <c r="FY32" s="1840"/>
      <c r="FZ32" s="1837"/>
      <c r="GA32" s="1838"/>
      <c r="GB32" s="1837"/>
      <c r="GC32" s="1838"/>
      <c r="GD32" s="1901"/>
      <c r="GE32" s="1840"/>
      <c r="GF32" s="1837"/>
      <c r="GG32" s="1838"/>
      <c r="GH32" s="1837"/>
      <c r="GI32" s="1838"/>
      <c r="GJ32" s="1901"/>
      <c r="GK32" s="1840"/>
      <c r="GL32" s="1837"/>
      <c r="GM32" s="1838"/>
      <c r="GN32" s="1837"/>
      <c r="GO32" s="1838"/>
      <c r="GP32" s="1901"/>
    </row>
    <row r="33" spans="1:198" ht="20.100000000000001" hidden="1" customHeight="1" outlineLevel="1" collapsed="1">
      <c r="A33" s="2647"/>
      <c r="B33" s="2758"/>
      <c r="C33" s="1836"/>
      <c r="D33" s="2614" t="str">
        <f>実績!C1158&amp;"("&amp;SUBSTITUTE(実績!R1158&amp;")","有限会社 ","")</f>
        <v>V・drug千種公園北(中部設計)</v>
      </c>
      <c r="E33" s="2615"/>
      <c r="F33" s="2615"/>
      <c r="G33" s="2615"/>
      <c r="H33" s="2615"/>
      <c r="I33" s="2615"/>
      <c r="J33" s="2615"/>
      <c r="K33" s="2615"/>
      <c r="L33" s="2615"/>
      <c r="M33" s="2615"/>
      <c r="N33" s="2615"/>
      <c r="O33" s="2615"/>
      <c r="P33" s="2615"/>
      <c r="Q33" s="2615"/>
      <c r="R33" s="1976"/>
      <c r="S33" s="1837"/>
      <c r="T33" s="1837"/>
      <c r="U33" s="1838"/>
      <c r="V33" s="1837"/>
      <c r="W33" s="1838"/>
      <c r="X33" s="1839"/>
      <c r="Y33" s="1837"/>
      <c r="Z33" s="1837"/>
      <c r="AA33" s="1838"/>
      <c r="AB33" s="1837"/>
      <c r="AC33" s="1838"/>
      <c r="AD33" s="1837"/>
      <c r="AE33" s="1840"/>
      <c r="AF33" s="1837"/>
      <c r="AG33" s="1837"/>
      <c r="AH33" s="1837"/>
      <c r="AI33" s="1838"/>
      <c r="AJ33" s="1839"/>
      <c r="AK33" s="1837"/>
      <c r="AL33" s="1837"/>
      <c r="AM33" s="1838"/>
      <c r="AN33" s="1837"/>
      <c r="AO33" s="1838"/>
      <c r="AP33" s="1837"/>
      <c r="AQ33" s="1841"/>
      <c r="AR33" s="1837"/>
      <c r="AS33" s="1838"/>
      <c r="AT33" s="1837" t="s">
        <v>8250</v>
      </c>
      <c r="AU33" s="1838"/>
      <c r="AV33" s="1839"/>
      <c r="AW33" s="1900"/>
      <c r="AX33" s="1837"/>
      <c r="AY33" s="1838"/>
      <c r="AZ33" s="1837"/>
      <c r="BA33" s="1838"/>
      <c r="BB33" s="1839"/>
      <c r="BC33" s="1837"/>
      <c r="BD33" s="1837"/>
      <c r="BE33" s="1838"/>
      <c r="BF33" s="1837"/>
      <c r="BG33" s="1838"/>
      <c r="BH33" s="1837"/>
      <c r="BI33" s="1840"/>
      <c r="BJ33" s="1837"/>
      <c r="BK33" s="1838"/>
      <c r="BL33" s="1837"/>
      <c r="BM33" s="1838"/>
      <c r="BN33" s="1839"/>
      <c r="BO33" s="1840"/>
      <c r="BP33" s="1837"/>
      <c r="BQ33" s="1838"/>
      <c r="BR33" s="1837"/>
      <c r="BS33" s="1838"/>
      <c r="BT33" s="1839"/>
      <c r="BU33" s="1840"/>
      <c r="BV33" s="1837"/>
      <c r="BW33" s="1838"/>
      <c r="BX33" s="1837"/>
      <c r="BY33" s="1838"/>
      <c r="BZ33" s="1839"/>
      <c r="CA33" s="1840"/>
      <c r="CB33" s="1837"/>
      <c r="CC33" s="1838"/>
      <c r="CD33" s="1837"/>
      <c r="CE33" s="1838"/>
      <c r="CF33" s="1839"/>
      <c r="CG33" s="1840"/>
      <c r="CH33" s="1837"/>
      <c r="CI33" s="1838"/>
      <c r="CJ33" s="1837"/>
      <c r="CK33" s="1838"/>
      <c r="CL33" s="1839"/>
      <c r="CM33" s="1840"/>
      <c r="CN33" s="1837"/>
      <c r="CO33" s="1838"/>
      <c r="CP33" s="1837"/>
      <c r="CQ33" s="1838"/>
      <c r="CR33" s="1839"/>
      <c r="CS33" s="1840"/>
      <c r="CT33" s="1837"/>
      <c r="CU33" s="1838"/>
      <c r="CV33" s="1837"/>
      <c r="CW33" s="1838"/>
      <c r="CX33" s="1839"/>
      <c r="CY33" s="1840"/>
      <c r="CZ33" s="1837"/>
      <c r="DA33" s="1838"/>
      <c r="DB33" s="1837"/>
      <c r="DC33" s="1838"/>
      <c r="DD33" s="1839"/>
      <c r="DE33" s="1840"/>
      <c r="DF33" s="1837"/>
      <c r="DG33" s="1838"/>
      <c r="DH33" s="1837"/>
      <c r="DI33" s="1838"/>
      <c r="DJ33" s="1839"/>
      <c r="DK33" s="1840"/>
      <c r="DL33" s="1837"/>
      <c r="DM33" s="1838"/>
      <c r="DN33" s="1837"/>
      <c r="DO33" s="1838"/>
      <c r="DP33" s="1837"/>
      <c r="DQ33" s="1853"/>
      <c r="DR33" s="1837"/>
      <c r="DS33" s="1838"/>
      <c r="DT33" s="1842"/>
      <c r="DU33" s="1837"/>
      <c r="DV33" s="1839"/>
      <c r="DW33" s="1840"/>
      <c r="DX33" s="1837"/>
      <c r="DY33" s="1838"/>
      <c r="DZ33" s="1837"/>
      <c r="EA33" s="1838"/>
      <c r="EB33" s="1839"/>
      <c r="EC33" s="1840"/>
      <c r="ED33" s="1837"/>
      <c r="EE33" s="1838"/>
      <c r="EF33" s="1837"/>
      <c r="EG33" s="1838"/>
      <c r="EH33" s="1838"/>
      <c r="EI33" s="1840"/>
      <c r="EJ33" s="1837"/>
      <c r="EK33" s="1838"/>
      <c r="EL33" s="1837"/>
      <c r="EM33" s="1838"/>
      <c r="EN33" s="1839"/>
      <c r="EO33" s="1840"/>
      <c r="EP33" s="1837"/>
      <c r="EQ33" s="1838"/>
      <c r="ER33" s="1837"/>
      <c r="ES33" s="1838"/>
      <c r="ET33" s="1901"/>
      <c r="EU33" s="1840"/>
      <c r="EV33" s="1837"/>
      <c r="EW33" s="1838"/>
      <c r="EX33" s="1837"/>
      <c r="EY33" s="1838"/>
      <c r="EZ33" s="1901"/>
      <c r="FA33" s="1840"/>
      <c r="FB33" s="1837"/>
      <c r="FC33" s="1838"/>
      <c r="FD33" s="1837"/>
      <c r="FE33" s="1838"/>
      <c r="FF33" s="1901"/>
      <c r="FG33" s="1840"/>
      <c r="FH33" s="1837"/>
      <c r="FI33" s="1838"/>
      <c r="FJ33" s="1837"/>
      <c r="FK33" s="1838"/>
      <c r="FL33" s="1901"/>
      <c r="FM33" s="1840"/>
      <c r="FN33" s="1837"/>
      <c r="FO33" s="1838"/>
      <c r="FP33" s="1837"/>
      <c r="FQ33" s="1838"/>
      <c r="FR33" s="1901"/>
      <c r="FS33" s="1840"/>
      <c r="FT33" s="1837"/>
      <c r="FU33" s="1838"/>
      <c r="FV33" s="1837"/>
      <c r="FW33" s="1838"/>
      <c r="FX33" s="1901"/>
      <c r="FY33" s="1840"/>
      <c r="FZ33" s="1837"/>
      <c r="GA33" s="1838"/>
      <c r="GB33" s="1837"/>
      <c r="GC33" s="1838"/>
      <c r="GD33" s="1901"/>
      <c r="GE33" s="1840"/>
      <c r="GF33" s="1837"/>
      <c r="GG33" s="1838"/>
      <c r="GH33" s="1837"/>
      <c r="GI33" s="1838"/>
      <c r="GJ33" s="1901"/>
      <c r="GK33" s="1840"/>
      <c r="GL33" s="1837"/>
      <c r="GM33" s="1838"/>
      <c r="GN33" s="1837"/>
      <c r="GO33" s="1838"/>
      <c r="GP33" s="1901"/>
    </row>
    <row r="34" spans="1:198" ht="20.100000000000001" hidden="1" customHeight="1" outlineLevel="1" collapsed="1">
      <c r="A34" s="2647"/>
      <c r="B34" s="2758"/>
      <c r="C34" s="1836"/>
      <c r="D34" s="2614" t="str">
        <f>実績!C1179&amp;"("&amp;SUBSTITUTE(実績!R1179&amp;")","株式会社 ","")</f>
        <v>KAPAS広島支店(CAPD)</v>
      </c>
      <c r="E34" s="2615"/>
      <c r="F34" s="2615"/>
      <c r="G34" s="2615"/>
      <c r="H34" s="2615"/>
      <c r="I34" s="2615"/>
      <c r="J34" s="2615"/>
      <c r="K34" s="2615"/>
      <c r="L34" s="2615"/>
      <c r="M34" s="2615"/>
      <c r="N34" s="2615"/>
      <c r="O34" s="2615"/>
      <c r="P34" s="2615"/>
      <c r="Q34" s="2615"/>
      <c r="R34" s="1976"/>
      <c r="S34" s="1837"/>
      <c r="T34" s="1837"/>
      <c r="U34" s="1838"/>
      <c r="V34" s="1837"/>
      <c r="W34" s="1838"/>
      <c r="X34" s="1839"/>
      <c r="Y34" s="1837"/>
      <c r="Z34" s="1837"/>
      <c r="AA34" s="1838"/>
      <c r="AB34" s="1837"/>
      <c r="AC34" s="1838"/>
      <c r="AD34" s="1837"/>
      <c r="AE34" s="1900"/>
      <c r="AF34" s="1837"/>
      <c r="AG34" s="1838"/>
      <c r="AH34" s="1837"/>
      <c r="AI34" s="1838"/>
      <c r="AJ34" s="1839"/>
      <c r="AK34" s="1837"/>
      <c r="AL34" s="1837"/>
      <c r="AM34" s="1838"/>
      <c r="AN34" s="1837"/>
      <c r="AO34" s="1838"/>
      <c r="AP34" s="1837"/>
      <c r="AQ34" s="1841"/>
      <c r="AR34" s="1842"/>
      <c r="AS34" s="1838"/>
      <c r="AT34" s="1837"/>
      <c r="AU34" s="1838" t="s">
        <v>8250</v>
      </c>
      <c r="AV34" s="1839"/>
      <c r="AW34" s="1900"/>
      <c r="AX34" s="1837"/>
      <c r="AY34" s="1838"/>
      <c r="AZ34" s="1837"/>
      <c r="BA34" s="1838"/>
      <c r="BB34" s="1839"/>
      <c r="BC34" s="1837"/>
      <c r="BD34" s="1837"/>
      <c r="BE34" s="1838"/>
      <c r="BF34" s="1837"/>
      <c r="BG34" s="1838"/>
      <c r="BH34" s="1837"/>
      <c r="BI34" s="1840"/>
      <c r="BJ34" s="1837"/>
      <c r="BK34" s="1838"/>
      <c r="BL34" s="1837"/>
      <c r="BM34" s="1838"/>
      <c r="BN34" s="1839"/>
      <c r="BO34" s="1840"/>
      <c r="BP34" s="1837"/>
      <c r="BQ34" s="1838"/>
      <c r="BR34" s="1837"/>
      <c r="BS34" s="1838"/>
      <c r="BT34" s="1839"/>
      <c r="BU34" s="1840"/>
      <c r="BV34" s="1837"/>
      <c r="BW34" s="1838"/>
      <c r="BX34" s="1837"/>
      <c r="BY34" s="1838"/>
      <c r="BZ34" s="1839"/>
      <c r="CA34" s="1840"/>
      <c r="CB34" s="1837"/>
      <c r="CC34" s="1838"/>
      <c r="CD34" s="1837"/>
      <c r="CE34" s="1838"/>
      <c r="CF34" s="1839"/>
      <c r="CG34" s="1840"/>
      <c r="CH34" s="1837"/>
      <c r="CI34" s="1838"/>
      <c r="CJ34" s="1837"/>
      <c r="CK34" s="1838"/>
      <c r="CL34" s="1839"/>
      <c r="CM34" s="1840"/>
      <c r="CN34" s="1837"/>
      <c r="CO34" s="1838"/>
      <c r="CP34" s="1837"/>
      <c r="CQ34" s="1838"/>
      <c r="CR34" s="1839"/>
      <c r="CS34" s="1840"/>
      <c r="CT34" s="1837"/>
      <c r="CU34" s="1838"/>
      <c r="CV34" s="1837"/>
      <c r="CW34" s="1838"/>
      <c r="CX34" s="1839"/>
      <c r="CY34" s="1840"/>
      <c r="CZ34" s="1837"/>
      <c r="DA34" s="1838"/>
      <c r="DB34" s="1837"/>
      <c r="DC34" s="1838"/>
      <c r="DD34" s="1839"/>
      <c r="DE34" s="1840"/>
      <c r="DF34" s="1837"/>
      <c r="DG34" s="1838"/>
      <c r="DH34" s="1837"/>
      <c r="DI34" s="1838"/>
      <c r="DJ34" s="1839"/>
      <c r="DK34" s="1840"/>
      <c r="DL34" s="1837"/>
      <c r="DM34" s="1838"/>
      <c r="DN34" s="1837"/>
      <c r="DO34" s="1838"/>
      <c r="DP34" s="1837"/>
      <c r="DQ34" s="1853"/>
      <c r="DR34" s="1837"/>
      <c r="DS34" s="1838"/>
      <c r="DT34" s="1842"/>
      <c r="DU34" s="1837"/>
      <c r="DV34" s="1839"/>
      <c r="DW34" s="1840"/>
      <c r="DX34" s="1837"/>
      <c r="DY34" s="1838"/>
      <c r="DZ34" s="1837"/>
      <c r="EA34" s="1838"/>
      <c r="EB34" s="1839"/>
      <c r="EC34" s="1840"/>
      <c r="ED34" s="1837"/>
      <c r="EE34" s="1838"/>
      <c r="EF34" s="1837"/>
      <c r="EG34" s="1838"/>
      <c r="EH34" s="1838"/>
      <c r="EI34" s="1840"/>
      <c r="EJ34" s="1837"/>
      <c r="EK34" s="1838"/>
      <c r="EL34" s="1837"/>
      <c r="EM34" s="1838"/>
      <c r="EN34" s="1839"/>
      <c r="EO34" s="1840"/>
      <c r="EP34" s="1837"/>
      <c r="EQ34" s="1838"/>
      <c r="ER34" s="1837"/>
      <c r="ES34" s="1838"/>
      <c r="ET34" s="1901"/>
      <c r="EU34" s="1840"/>
      <c r="EV34" s="1837"/>
      <c r="EW34" s="1838"/>
      <c r="EX34" s="1837"/>
      <c r="EY34" s="1838"/>
      <c r="EZ34" s="1901"/>
      <c r="FA34" s="1840"/>
      <c r="FB34" s="1837"/>
      <c r="FC34" s="1838"/>
      <c r="FD34" s="1837"/>
      <c r="FE34" s="1838"/>
      <c r="FF34" s="1901"/>
      <c r="FG34" s="1840"/>
      <c r="FH34" s="1837"/>
      <c r="FI34" s="1838"/>
      <c r="FJ34" s="1837"/>
      <c r="FK34" s="1838"/>
      <c r="FL34" s="1901"/>
      <c r="FM34" s="1840"/>
      <c r="FN34" s="1837"/>
      <c r="FO34" s="1838"/>
      <c r="FP34" s="1837"/>
      <c r="FQ34" s="1838"/>
      <c r="FR34" s="1901"/>
      <c r="FS34" s="1840"/>
      <c r="FT34" s="1837"/>
      <c r="FU34" s="1838"/>
      <c r="FV34" s="1837"/>
      <c r="FW34" s="1838"/>
      <c r="FX34" s="1901"/>
      <c r="FY34" s="1840"/>
      <c r="FZ34" s="1837"/>
      <c r="GA34" s="1838"/>
      <c r="GB34" s="1837"/>
      <c r="GC34" s="1838"/>
      <c r="GD34" s="1901"/>
      <c r="GE34" s="1840"/>
      <c r="GF34" s="1837"/>
      <c r="GG34" s="1838"/>
      <c r="GH34" s="1837"/>
      <c r="GI34" s="1838"/>
      <c r="GJ34" s="1901"/>
      <c r="GK34" s="1840"/>
      <c r="GL34" s="1837"/>
      <c r="GM34" s="1838"/>
      <c r="GN34" s="1837"/>
      <c r="GO34" s="1838"/>
      <c r="GP34" s="1901"/>
    </row>
    <row r="35" spans="1:198" ht="20.100000000000001" hidden="1" customHeight="1" outlineLevel="1" collapsed="1">
      <c r="A35" s="2647"/>
      <c r="B35" s="2758"/>
      <c r="C35" s="1836"/>
      <c r="D35" s="2614" t="str">
        <f>実績!C1191&amp;"("&amp;SUBSTITUTE(実績!R1191&amp;")"," 株式会社","")</f>
        <v>与那原商業施設(ﾃﾅﾝﾄ棟)(金秀建設)</v>
      </c>
      <c r="E35" s="2617"/>
      <c r="F35" s="2617"/>
      <c r="G35" s="2617"/>
      <c r="H35" s="2617"/>
      <c r="I35" s="2617"/>
      <c r="J35" s="2617"/>
      <c r="K35" s="2617"/>
      <c r="L35" s="2617"/>
      <c r="M35" s="2617"/>
      <c r="N35" s="2617"/>
      <c r="O35" s="2617"/>
      <c r="P35" s="2617"/>
      <c r="Q35" s="2617"/>
      <c r="R35" s="1978"/>
      <c r="S35" s="1837"/>
      <c r="T35" s="1837"/>
      <c r="U35" s="1838"/>
      <c r="V35" s="1837"/>
      <c r="W35" s="1838"/>
      <c r="X35" s="1839"/>
      <c r="Y35" s="1837"/>
      <c r="Z35" s="1837"/>
      <c r="AA35" s="1838"/>
      <c r="AB35" s="1837"/>
      <c r="AC35" s="1838"/>
      <c r="AD35" s="1837"/>
      <c r="AE35" s="1837"/>
      <c r="AF35" s="1837"/>
      <c r="AG35" s="1838"/>
      <c r="AH35" s="1837"/>
      <c r="AI35" s="1838"/>
      <c r="AJ35" s="1839"/>
      <c r="AK35" s="1837"/>
      <c r="AL35" s="1837"/>
      <c r="AM35" s="1838"/>
      <c r="AN35" s="1837"/>
      <c r="AO35" s="1838"/>
      <c r="AP35" s="1837"/>
      <c r="AQ35" s="1841"/>
      <c r="AR35" s="1837"/>
      <c r="AS35" s="1838"/>
      <c r="AT35" s="1837"/>
      <c r="AU35" s="1838"/>
      <c r="AV35" s="1839"/>
      <c r="AW35" s="1840" t="s">
        <v>8250</v>
      </c>
      <c r="AX35" s="1837"/>
      <c r="AY35" s="1838"/>
      <c r="AZ35" s="1837"/>
      <c r="BA35" s="1838"/>
      <c r="BB35" s="1839"/>
      <c r="BC35" s="1837"/>
      <c r="BD35" s="1837"/>
      <c r="BE35" s="1838"/>
      <c r="BF35" s="1837"/>
      <c r="BG35" s="1838"/>
      <c r="BH35" s="1837"/>
      <c r="BI35" s="1840"/>
      <c r="BJ35" s="1837"/>
      <c r="BK35" s="1838"/>
      <c r="BL35" s="1837"/>
      <c r="BM35" s="1838"/>
      <c r="BN35" s="1839"/>
      <c r="BO35" s="1840"/>
      <c r="BP35" s="1837"/>
      <c r="BQ35" s="1838"/>
      <c r="BR35" s="1837"/>
      <c r="BS35" s="1838"/>
      <c r="BT35" s="1839"/>
      <c r="BU35" s="1840"/>
      <c r="BV35" s="1837"/>
      <c r="BW35" s="1838"/>
      <c r="BX35" s="1837"/>
      <c r="BY35" s="1838"/>
      <c r="BZ35" s="1839"/>
      <c r="CA35" s="1840"/>
      <c r="CB35" s="1837"/>
      <c r="CC35" s="1838"/>
      <c r="CD35" s="1837"/>
      <c r="CE35" s="1838"/>
      <c r="CF35" s="1839"/>
      <c r="CG35" s="1840"/>
      <c r="CH35" s="1837"/>
      <c r="CI35" s="1838"/>
      <c r="CJ35" s="1837"/>
      <c r="CK35" s="1838"/>
      <c r="CL35" s="1839"/>
      <c r="CM35" s="1840"/>
      <c r="CN35" s="1837"/>
      <c r="CO35" s="1838"/>
      <c r="CP35" s="1837"/>
      <c r="CQ35" s="1838"/>
      <c r="CR35" s="1839"/>
      <c r="CS35" s="1840"/>
      <c r="CT35" s="1837"/>
      <c r="CU35" s="1838"/>
      <c r="CV35" s="1837"/>
      <c r="CW35" s="1838"/>
      <c r="CX35" s="1839"/>
      <c r="CY35" s="1840"/>
      <c r="CZ35" s="1837"/>
      <c r="DA35" s="1838"/>
      <c r="DB35" s="1837"/>
      <c r="DC35" s="1838"/>
      <c r="DD35" s="1839"/>
      <c r="DE35" s="1840"/>
      <c r="DF35" s="1837"/>
      <c r="DG35" s="1838"/>
      <c r="DH35" s="1837"/>
      <c r="DI35" s="1838"/>
      <c r="DJ35" s="1839"/>
      <c r="DK35" s="1840"/>
      <c r="DL35" s="1837"/>
      <c r="DM35" s="1838"/>
      <c r="DN35" s="1837"/>
      <c r="DO35" s="1838"/>
      <c r="DP35" s="1837"/>
      <c r="DQ35" s="1853"/>
      <c r="DR35" s="1837"/>
      <c r="DS35" s="1838"/>
      <c r="DT35" s="1842"/>
      <c r="DU35" s="1837"/>
      <c r="DV35" s="1839"/>
      <c r="DW35" s="1840"/>
      <c r="DX35" s="1837"/>
      <c r="DY35" s="1838"/>
      <c r="DZ35" s="1837"/>
      <c r="EA35" s="1838"/>
      <c r="EB35" s="1839"/>
      <c r="EC35" s="1840"/>
      <c r="ED35" s="1837"/>
      <c r="EE35" s="1838"/>
      <c r="EF35" s="1837"/>
      <c r="EG35" s="1838"/>
      <c r="EH35" s="1838"/>
      <c r="EI35" s="1840"/>
      <c r="EJ35" s="1837"/>
      <c r="EK35" s="1838"/>
      <c r="EL35" s="1837"/>
      <c r="EM35" s="1838"/>
      <c r="EN35" s="1839"/>
      <c r="EO35" s="1840"/>
      <c r="EP35" s="1837"/>
      <c r="EQ35" s="1838"/>
      <c r="ER35" s="1837"/>
      <c r="ES35" s="1838"/>
      <c r="ET35" s="1901"/>
      <c r="EU35" s="1840"/>
      <c r="EV35" s="1837"/>
      <c r="EW35" s="1838"/>
      <c r="EX35" s="1837"/>
      <c r="EY35" s="1838"/>
      <c r="EZ35" s="1901"/>
      <c r="FA35" s="1840"/>
      <c r="FB35" s="1837"/>
      <c r="FC35" s="1838"/>
      <c r="FD35" s="1837"/>
      <c r="FE35" s="1838"/>
      <c r="FF35" s="1901"/>
      <c r="FG35" s="1840"/>
      <c r="FH35" s="1837"/>
      <c r="FI35" s="1838"/>
      <c r="FJ35" s="1837"/>
      <c r="FK35" s="1838"/>
      <c r="FL35" s="1901"/>
      <c r="FM35" s="1840"/>
      <c r="FN35" s="1837"/>
      <c r="FO35" s="1838"/>
      <c r="FP35" s="1837"/>
      <c r="FQ35" s="1838"/>
      <c r="FR35" s="1901"/>
      <c r="FS35" s="1840"/>
      <c r="FT35" s="1837"/>
      <c r="FU35" s="1838"/>
      <c r="FV35" s="1837"/>
      <c r="FW35" s="1838"/>
      <c r="FX35" s="1901"/>
      <c r="FY35" s="1840"/>
      <c r="FZ35" s="1837"/>
      <c r="GA35" s="1838"/>
      <c r="GB35" s="1837"/>
      <c r="GC35" s="1838"/>
      <c r="GD35" s="1901"/>
      <c r="GE35" s="1840"/>
      <c r="GF35" s="1837"/>
      <c r="GG35" s="1838"/>
      <c r="GH35" s="1837"/>
      <c r="GI35" s="1838"/>
      <c r="GJ35" s="1901"/>
      <c r="GK35" s="1840"/>
      <c r="GL35" s="1837"/>
      <c r="GM35" s="1838"/>
      <c r="GN35" s="1837"/>
      <c r="GO35" s="1838"/>
      <c r="GP35" s="1901"/>
    </row>
    <row r="36" spans="1:198" ht="20.100000000000001" hidden="1" customHeight="1" outlineLevel="1" collapsed="1">
      <c r="A36" s="2647"/>
      <c r="B36" s="2758"/>
      <c r="C36" s="1836"/>
      <c r="D36" s="2614" t="str">
        <f>実績!C1187&amp;"("&amp;SUBSTITUTE(実績!R1187&amp;")","有限会社 ","")</f>
        <v>V・drug蘇原(中部設計)</v>
      </c>
      <c r="E36" s="2615"/>
      <c r="F36" s="2615"/>
      <c r="G36" s="2615"/>
      <c r="H36" s="2615"/>
      <c r="I36" s="2615"/>
      <c r="J36" s="2615"/>
      <c r="K36" s="2615"/>
      <c r="L36" s="2615"/>
      <c r="M36" s="2615"/>
      <c r="N36" s="2615"/>
      <c r="O36" s="2615"/>
      <c r="P36" s="2615"/>
      <c r="Q36" s="2615"/>
      <c r="R36" s="1976"/>
      <c r="S36" s="1837"/>
      <c r="T36" s="1837"/>
      <c r="U36" s="1838"/>
      <c r="V36" s="1837"/>
      <c r="W36" s="1838"/>
      <c r="X36" s="1839"/>
      <c r="Y36" s="1837"/>
      <c r="Z36" s="1837"/>
      <c r="AA36" s="1838"/>
      <c r="AB36" s="1837"/>
      <c r="AC36" s="1838"/>
      <c r="AD36" s="1837"/>
      <c r="AE36" s="1837"/>
      <c r="AF36" s="1837"/>
      <c r="AG36" s="1838"/>
      <c r="AH36" s="1837"/>
      <c r="AI36" s="1838"/>
      <c r="AJ36" s="1839"/>
      <c r="AK36" s="1837"/>
      <c r="AL36" s="1837"/>
      <c r="AM36" s="1838"/>
      <c r="AN36" s="1837"/>
      <c r="AO36" s="1838"/>
      <c r="AP36" s="1837"/>
      <c r="AQ36" s="1841"/>
      <c r="AR36" s="1837"/>
      <c r="AS36" s="1838"/>
      <c r="AT36" s="1837"/>
      <c r="AU36" s="1838"/>
      <c r="AV36" s="1839"/>
      <c r="AW36" s="1840"/>
      <c r="AX36" s="1837" t="s">
        <v>9076</v>
      </c>
      <c r="AY36" s="1838"/>
      <c r="AZ36" s="1837"/>
      <c r="BA36" s="1838"/>
      <c r="BB36" s="1839"/>
      <c r="BC36" s="1837" t="s">
        <v>8763</v>
      </c>
      <c r="BD36" s="1837"/>
      <c r="BE36" s="1838"/>
      <c r="BF36" s="1837"/>
      <c r="BG36" s="1838"/>
      <c r="BH36" s="1837"/>
      <c r="BI36" s="1840"/>
      <c r="BJ36" s="1837"/>
      <c r="BK36" s="1838"/>
      <c r="BL36" s="1837"/>
      <c r="BM36" s="1838"/>
      <c r="BN36" s="1839"/>
      <c r="BO36" s="1840" t="s">
        <v>8145</v>
      </c>
      <c r="BP36" s="1837"/>
      <c r="BQ36" s="1838"/>
      <c r="BR36" s="1837"/>
      <c r="BS36" s="1838"/>
      <c r="BT36" s="1839"/>
      <c r="BU36" s="1840"/>
      <c r="BV36" s="1837"/>
      <c r="BW36" s="1838"/>
      <c r="BX36" s="1837"/>
      <c r="BY36" s="1838"/>
      <c r="BZ36" s="1839"/>
      <c r="CA36" s="1840"/>
      <c r="CB36" s="1837"/>
      <c r="CC36" s="1838"/>
      <c r="CD36" s="1837"/>
      <c r="CE36" s="1838"/>
      <c r="CF36" s="1839"/>
      <c r="CG36" s="1840"/>
      <c r="CH36" s="1837"/>
      <c r="CI36" s="1838"/>
      <c r="CJ36" s="1837"/>
      <c r="CK36" s="1838"/>
      <c r="CL36" s="1839"/>
      <c r="CM36" s="1840"/>
      <c r="CN36" s="1837"/>
      <c r="CO36" s="1838"/>
      <c r="CP36" s="1837"/>
      <c r="CQ36" s="1838"/>
      <c r="CR36" s="1839"/>
      <c r="CS36" s="1840"/>
      <c r="CT36" s="1837"/>
      <c r="CU36" s="1838"/>
      <c r="CV36" s="1837"/>
      <c r="CW36" s="1838"/>
      <c r="CX36" s="1839"/>
      <c r="CY36" s="1840"/>
      <c r="CZ36" s="1837"/>
      <c r="DA36" s="1838"/>
      <c r="DB36" s="1837"/>
      <c r="DC36" s="1838"/>
      <c r="DD36" s="1839"/>
      <c r="DE36" s="1840"/>
      <c r="DF36" s="1837"/>
      <c r="DG36" s="1838"/>
      <c r="DH36" s="1837"/>
      <c r="DI36" s="1838"/>
      <c r="DJ36" s="1839"/>
      <c r="DK36" s="1840"/>
      <c r="DL36" s="1837"/>
      <c r="DM36" s="1838"/>
      <c r="DN36" s="1837"/>
      <c r="DO36" s="1838"/>
      <c r="DP36" s="1837"/>
      <c r="DQ36" s="1853"/>
      <c r="DR36" s="1837"/>
      <c r="DS36" s="1838"/>
      <c r="DT36" s="1842"/>
      <c r="DU36" s="1837"/>
      <c r="DV36" s="1839"/>
      <c r="DW36" s="1840"/>
      <c r="DX36" s="1837"/>
      <c r="DY36" s="1838"/>
      <c r="DZ36" s="1837"/>
      <c r="EA36" s="1838"/>
      <c r="EB36" s="1839"/>
      <c r="EC36" s="1840"/>
      <c r="ED36" s="1837"/>
      <c r="EE36" s="1838"/>
      <c r="EF36" s="1837"/>
      <c r="EG36" s="1838"/>
      <c r="EH36" s="1838"/>
      <c r="EI36" s="1840"/>
      <c r="EJ36" s="1837"/>
      <c r="EK36" s="1838"/>
      <c r="EL36" s="1837"/>
      <c r="EM36" s="1838"/>
      <c r="EN36" s="1839"/>
      <c r="EO36" s="1840"/>
      <c r="EP36" s="1837"/>
      <c r="EQ36" s="1838"/>
      <c r="ER36" s="1837"/>
      <c r="ES36" s="1838"/>
      <c r="ET36" s="1901"/>
      <c r="EU36" s="1840"/>
      <c r="EV36" s="1837"/>
      <c r="EW36" s="1838"/>
      <c r="EX36" s="1837"/>
      <c r="EY36" s="1838"/>
      <c r="EZ36" s="1901"/>
      <c r="FA36" s="1840"/>
      <c r="FB36" s="1837"/>
      <c r="FC36" s="1838"/>
      <c r="FD36" s="1837"/>
      <c r="FE36" s="1838"/>
      <c r="FF36" s="1901"/>
      <c r="FG36" s="1840"/>
      <c r="FH36" s="1837"/>
      <c r="FI36" s="1838"/>
      <c r="FJ36" s="1837"/>
      <c r="FK36" s="1838"/>
      <c r="FL36" s="1901"/>
      <c r="FM36" s="1840"/>
      <c r="FN36" s="1837"/>
      <c r="FO36" s="1838"/>
      <c r="FP36" s="1837"/>
      <c r="FQ36" s="1838"/>
      <c r="FR36" s="1901"/>
      <c r="FS36" s="1840"/>
      <c r="FT36" s="1837"/>
      <c r="FU36" s="1838"/>
      <c r="FV36" s="1837"/>
      <c r="FW36" s="1838"/>
      <c r="FX36" s="1901"/>
      <c r="FY36" s="1840"/>
      <c r="FZ36" s="1837"/>
      <c r="GA36" s="1838"/>
      <c r="GB36" s="1837"/>
      <c r="GC36" s="1838"/>
      <c r="GD36" s="1901"/>
      <c r="GE36" s="1840"/>
      <c r="GF36" s="1837"/>
      <c r="GG36" s="1838"/>
      <c r="GH36" s="1837"/>
      <c r="GI36" s="1838"/>
      <c r="GJ36" s="1901"/>
      <c r="GK36" s="1840"/>
      <c r="GL36" s="1837"/>
      <c r="GM36" s="1838"/>
      <c r="GN36" s="1837"/>
      <c r="GO36" s="1838"/>
      <c r="GP36" s="1901"/>
    </row>
    <row r="37" spans="1:198" ht="20.100000000000001" hidden="1" customHeight="1" outlineLevel="1">
      <c r="A37" s="2647"/>
      <c r="B37" s="2758"/>
      <c r="C37" s="1836"/>
      <c r="D37" s="2614" t="str">
        <f>実績!C1156&amp;"("&amp;SUBSTITUTE(実績!R1156&amp;")"," 株式会社","")</f>
        <v>㈱ケイ・エム環境(車庫)(ダイワ工業)</v>
      </c>
      <c r="E37" s="2615"/>
      <c r="F37" s="2615"/>
      <c r="G37" s="2615"/>
      <c r="H37" s="2615"/>
      <c r="I37" s="2615"/>
      <c r="J37" s="2615"/>
      <c r="K37" s="2615"/>
      <c r="L37" s="2615"/>
      <c r="M37" s="2615"/>
      <c r="N37" s="2615"/>
      <c r="O37" s="2615"/>
      <c r="P37" s="2615"/>
      <c r="Q37" s="2615"/>
      <c r="R37" s="1976"/>
      <c r="S37" s="1837"/>
      <c r="T37" s="1837"/>
      <c r="U37" s="1838"/>
      <c r="V37" s="1837"/>
      <c r="W37" s="1838"/>
      <c r="X37" s="1839"/>
      <c r="Y37" s="1837"/>
      <c r="Z37" s="1837"/>
      <c r="AA37" s="1838"/>
      <c r="AB37" s="1837"/>
      <c r="AC37" s="1838"/>
      <c r="AD37" s="1837"/>
      <c r="AE37" s="1900"/>
      <c r="AF37" s="1837"/>
      <c r="AG37" s="1838"/>
      <c r="AH37" s="1837"/>
      <c r="AI37" s="1838"/>
      <c r="AJ37" s="1839"/>
      <c r="AK37" s="1837"/>
      <c r="AL37" s="1837"/>
      <c r="AM37" s="1838"/>
      <c r="AN37" s="1837"/>
      <c r="AO37" s="1838" t="s">
        <v>8575</v>
      </c>
      <c r="AP37" s="1837"/>
      <c r="AQ37" s="1841"/>
      <c r="AR37" s="1842"/>
      <c r="AS37" s="1838"/>
      <c r="AT37" s="1837"/>
      <c r="AU37" s="1838"/>
      <c r="AV37" s="1839"/>
      <c r="AW37" s="1840"/>
      <c r="AX37" s="1837" t="s">
        <v>9076</v>
      </c>
      <c r="AY37" s="1838"/>
      <c r="AZ37" s="1837"/>
      <c r="BA37" s="1838"/>
      <c r="BB37" s="1839"/>
      <c r="BC37" s="1837"/>
      <c r="BD37" s="1837"/>
      <c r="BE37" s="1838"/>
      <c r="BF37" s="1837"/>
      <c r="BG37" s="1838"/>
      <c r="BH37" s="1837"/>
      <c r="BI37" s="1840"/>
      <c r="BJ37" s="1837"/>
      <c r="BK37" s="1838"/>
      <c r="BL37" s="1837"/>
      <c r="BM37" s="1838"/>
      <c r="BN37" s="1839"/>
      <c r="BO37" s="1840"/>
      <c r="BP37" s="1837"/>
      <c r="BQ37" s="1838"/>
      <c r="BR37" s="1837"/>
      <c r="BS37" s="1838"/>
      <c r="BT37" s="1839"/>
      <c r="BU37" s="1840"/>
      <c r="BV37" s="1837"/>
      <c r="BW37" s="1838"/>
      <c r="BX37" s="1837"/>
      <c r="BY37" s="1838"/>
      <c r="BZ37" s="1839"/>
      <c r="CA37" s="1840"/>
      <c r="CB37" s="1837"/>
      <c r="CC37" s="1838"/>
      <c r="CD37" s="1837"/>
      <c r="CE37" s="1838"/>
      <c r="CF37" s="1839"/>
      <c r="CG37" s="1840"/>
      <c r="CH37" s="1837"/>
      <c r="CI37" s="1838"/>
      <c r="CJ37" s="1837"/>
      <c r="CK37" s="1838"/>
      <c r="CL37" s="1839"/>
      <c r="CM37" s="1840"/>
      <c r="CN37" s="1837"/>
      <c r="CO37" s="1838"/>
      <c r="CP37" s="1837"/>
      <c r="CQ37" s="1838"/>
      <c r="CR37" s="1839"/>
      <c r="CS37" s="1840"/>
      <c r="CT37" s="1837"/>
      <c r="CU37" s="1838"/>
      <c r="CV37" s="1837"/>
      <c r="CW37" s="1838"/>
      <c r="CX37" s="1839"/>
      <c r="CY37" s="1840"/>
      <c r="CZ37" s="1837"/>
      <c r="DA37" s="1838"/>
      <c r="DB37" s="1837"/>
      <c r="DC37" s="1838"/>
      <c r="DD37" s="1839"/>
      <c r="DE37" s="1840"/>
      <c r="DF37" s="1837"/>
      <c r="DG37" s="1838"/>
      <c r="DH37" s="1837"/>
      <c r="DI37" s="1838"/>
      <c r="DJ37" s="1839"/>
      <c r="DK37" s="1840"/>
      <c r="DL37" s="1837"/>
      <c r="DM37" s="1838"/>
      <c r="DN37" s="1837"/>
      <c r="DO37" s="1838"/>
      <c r="DP37" s="1837"/>
      <c r="DQ37" s="1853"/>
      <c r="DR37" s="1837"/>
      <c r="DS37" s="1838"/>
      <c r="DT37" s="1842"/>
      <c r="DU37" s="1837"/>
      <c r="DV37" s="1839"/>
      <c r="DW37" s="1840"/>
      <c r="DX37" s="1837"/>
      <c r="DY37" s="1838"/>
      <c r="DZ37" s="1837"/>
      <c r="EA37" s="1838"/>
      <c r="EB37" s="1839"/>
      <c r="EC37" s="1840"/>
      <c r="ED37" s="1837"/>
      <c r="EE37" s="1838"/>
      <c r="EF37" s="1837"/>
      <c r="EG37" s="1838"/>
      <c r="EH37" s="1838"/>
      <c r="EI37" s="1840"/>
      <c r="EJ37" s="1837"/>
      <c r="EK37" s="1838"/>
      <c r="EL37" s="1837"/>
      <c r="EM37" s="1838"/>
      <c r="EN37" s="1839"/>
      <c r="EO37" s="1840"/>
      <c r="EP37" s="1837"/>
      <c r="EQ37" s="1838"/>
      <c r="ER37" s="1837"/>
      <c r="ES37" s="1838"/>
      <c r="ET37" s="1902"/>
      <c r="EU37" s="1840"/>
      <c r="EV37" s="1837"/>
      <c r="EW37" s="1838"/>
      <c r="EX37" s="1837"/>
      <c r="EY37" s="1838"/>
      <c r="EZ37" s="1902"/>
      <c r="FA37" s="1840"/>
      <c r="FB37" s="1837"/>
      <c r="FC37" s="1838"/>
      <c r="FD37" s="1837"/>
      <c r="FE37" s="1838"/>
      <c r="FF37" s="1902"/>
      <c r="FG37" s="1840"/>
      <c r="FH37" s="1837"/>
      <c r="FI37" s="1838"/>
      <c r="FJ37" s="1837"/>
      <c r="FK37" s="1838"/>
      <c r="FL37" s="1902"/>
      <c r="FM37" s="1840"/>
      <c r="FN37" s="1837"/>
      <c r="FO37" s="1838"/>
      <c r="FP37" s="1837"/>
      <c r="FQ37" s="1838"/>
      <c r="FR37" s="1902"/>
      <c r="FS37" s="1840"/>
      <c r="FT37" s="1837"/>
      <c r="FU37" s="1838"/>
      <c r="FV37" s="1837"/>
      <c r="FW37" s="1838"/>
      <c r="FX37" s="1902"/>
      <c r="FY37" s="1840"/>
      <c r="FZ37" s="1837"/>
      <c r="GA37" s="1838"/>
      <c r="GB37" s="1837"/>
      <c r="GC37" s="1838"/>
      <c r="GD37" s="1902"/>
      <c r="GE37" s="1840"/>
      <c r="GF37" s="1837"/>
      <c r="GG37" s="1838"/>
      <c r="GH37" s="1837"/>
      <c r="GI37" s="1838"/>
      <c r="GJ37" s="1902"/>
      <c r="GK37" s="1840"/>
      <c r="GL37" s="1837"/>
      <c r="GM37" s="1838"/>
      <c r="GN37" s="1837"/>
      <c r="GO37" s="1838"/>
      <c r="GP37" s="1902"/>
    </row>
    <row r="38" spans="1:198" ht="20.100000000000001" hidden="1" customHeight="1" outlineLevel="1">
      <c r="A38" s="2647"/>
      <c r="B38" s="2758"/>
      <c r="C38" s="1836"/>
      <c r="D38" s="2614" t="str">
        <f>実績!C1193&amp;"("&amp;SUBSTITUTE(実績!R1193&amp;")","株式会社 ","")</f>
        <v>岩田産業㈱南熊本支店(アースワーク)</v>
      </c>
      <c r="E38" s="2615"/>
      <c r="F38" s="2615"/>
      <c r="G38" s="2615"/>
      <c r="H38" s="2615"/>
      <c r="I38" s="2615"/>
      <c r="J38" s="2615"/>
      <c r="K38" s="2615"/>
      <c r="L38" s="2615"/>
      <c r="M38" s="2615"/>
      <c r="N38" s="2615"/>
      <c r="O38" s="2615"/>
      <c r="P38" s="2615"/>
      <c r="Q38" s="2615"/>
      <c r="R38" s="1976"/>
      <c r="S38" s="1837"/>
      <c r="T38" s="1837"/>
      <c r="U38" s="1838"/>
      <c r="V38" s="1837"/>
      <c r="W38" s="1838"/>
      <c r="X38" s="1839"/>
      <c r="Y38" s="1837"/>
      <c r="Z38" s="1837"/>
      <c r="AA38" s="1838"/>
      <c r="AB38" s="1837"/>
      <c r="AC38" s="1838"/>
      <c r="AD38" s="1837"/>
      <c r="AE38" s="1837"/>
      <c r="AF38" s="1837"/>
      <c r="AG38" s="1838"/>
      <c r="AH38" s="1837"/>
      <c r="AI38" s="1838"/>
      <c r="AJ38" s="1839"/>
      <c r="AK38" s="1837"/>
      <c r="AL38" s="1837"/>
      <c r="AM38" s="1838"/>
      <c r="AN38" s="1837"/>
      <c r="AO38" s="1838"/>
      <c r="AP38" s="1837"/>
      <c r="AQ38" s="1841"/>
      <c r="AR38" s="1837"/>
      <c r="AS38" s="1838"/>
      <c r="AT38" s="1837"/>
      <c r="AU38" s="1838"/>
      <c r="AV38" s="1839"/>
      <c r="AW38" s="1840"/>
      <c r="AX38" s="1837"/>
      <c r="AY38" s="1838" t="s">
        <v>9053</v>
      </c>
      <c r="AZ38" s="1837"/>
      <c r="BA38" s="1838"/>
      <c r="BB38" s="1839"/>
      <c r="BC38" s="1837"/>
      <c r="BD38" s="1837"/>
      <c r="BE38" s="1838"/>
      <c r="BF38" s="1837"/>
      <c r="BG38" s="1838"/>
      <c r="BH38" s="1837"/>
      <c r="BI38" s="1840"/>
      <c r="BJ38" s="1837"/>
      <c r="BK38" s="1838" t="s">
        <v>8944</v>
      </c>
      <c r="BL38" s="1837"/>
      <c r="BM38" s="1838"/>
      <c r="BN38" s="1839"/>
      <c r="BO38" s="1840"/>
      <c r="BP38" s="1837"/>
      <c r="BQ38" s="1838"/>
      <c r="BR38" s="1837"/>
      <c r="BS38" s="1838"/>
      <c r="BT38" s="1839"/>
      <c r="BU38" s="1840"/>
      <c r="BV38" s="1837"/>
      <c r="BW38" s="1838"/>
      <c r="BX38" s="1837"/>
      <c r="BY38" s="1838"/>
      <c r="BZ38" s="1839"/>
      <c r="CA38" s="1840"/>
      <c r="CB38" s="1837"/>
      <c r="CC38" s="1838"/>
      <c r="CD38" s="1837"/>
      <c r="CE38" s="1838"/>
      <c r="CF38" s="1839"/>
      <c r="CG38" s="1840"/>
      <c r="CH38" s="1837"/>
      <c r="CI38" s="1838"/>
      <c r="CJ38" s="1837"/>
      <c r="CK38" s="1838"/>
      <c r="CL38" s="1839"/>
      <c r="CM38" s="1840"/>
      <c r="CN38" s="1837"/>
      <c r="CO38" s="1838"/>
      <c r="CP38" s="1837"/>
      <c r="CQ38" s="1838"/>
      <c r="CR38" s="1839"/>
      <c r="CS38" s="1840"/>
      <c r="CT38" s="1837"/>
      <c r="CU38" s="1838"/>
      <c r="CV38" s="1837"/>
      <c r="CW38" s="1838"/>
      <c r="CX38" s="1839"/>
      <c r="CY38" s="1840"/>
      <c r="CZ38" s="1837"/>
      <c r="DA38" s="1838"/>
      <c r="DB38" s="1837"/>
      <c r="DC38" s="1838"/>
      <c r="DD38" s="1839"/>
      <c r="DE38" s="1840"/>
      <c r="DF38" s="1837"/>
      <c r="DG38" s="1838"/>
      <c r="DH38" s="1837"/>
      <c r="DI38" s="1838"/>
      <c r="DJ38" s="1839"/>
      <c r="DK38" s="1840"/>
      <c r="DL38" s="1837"/>
      <c r="DM38" s="1838"/>
      <c r="DN38" s="1837"/>
      <c r="DO38" s="1838"/>
      <c r="DP38" s="1837"/>
      <c r="DQ38" s="1853"/>
      <c r="DR38" s="1837"/>
      <c r="DS38" s="1838"/>
      <c r="DT38" s="1842"/>
      <c r="DU38" s="1837"/>
      <c r="DV38" s="1839"/>
      <c r="DW38" s="1840"/>
      <c r="DX38" s="1837"/>
      <c r="DY38" s="1838"/>
      <c r="DZ38" s="1837"/>
      <c r="EA38" s="1838"/>
      <c r="EB38" s="1839"/>
      <c r="EC38" s="1840"/>
      <c r="ED38" s="1837"/>
      <c r="EE38" s="1838"/>
      <c r="EF38" s="1837"/>
      <c r="EG38" s="1838"/>
      <c r="EH38" s="1838"/>
      <c r="EI38" s="1840"/>
      <c r="EJ38" s="1837"/>
      <c r="EK38" s="1838"/>
      <c r="EL38" s="1837"/>
      <c r="EM38" s="1838"/>
      <c r="EN38" s="1839"/>
      <c r="EO38" s="1840"/>
      <c r="EP38" s="1837"/>
      <c r="EQ38" s="1838"/>
      <c r="ER38" s="1837"/>
      <c r="ES38" s="1838"/>
      <c r="ET38" s="1902"/>
      <c r="EU38" s="1840"/>
      <c r="EV38" s="1837"/>
      <c r="EW38" s="1838"/>
      <c r="EX38" s="1837"/>
      <c r="EY38" s="1838"/>
      <c r="EZ38" s="1902"/>
      <c r="FA38" s="1840"/>
      <c r="FB38" s="1837"/>
      <c r="FC38" s="1838"/>
      <c r="FD38" s="1837"/>
      <c r="FE38" s="1838"/>
      <c r="FF38" s="1902"/>
      <c r="FG38" s="1840"/>
      <c r="FH38" s="1837"/>
      <c r="FI38" s="1838"/>
      <c r="FJ38" s="1837"/>
      <c r="FK38" s="1838"/>
      <c r="FL38" s="1902"/>
      <c r="FM38" s="1840"/>
      <c r="FN38" s="1837"/>
      <c r="FO38" s="1838"/>
      <c r="FP38" s="1837"/>
      <c r="FQ38" s="1838"/>
      <c r="FR38" s="1902"/>
      <c r="FS38" s="1840"/>
      <c r="FT38" s="1837"/>
      <c r="FU38" s="1838"/>
      <c r="FV38" s="1837"/>
      <c r="FW38" s="1838"/>
      <c r="FX38" s="1902"/>
      <c r="FY38" s="1840"/>
      <c r="FZ38" s="1837"/>
      <c r="GA38" s="1838"/>
      <c r="GB38" s="1837"/>
      <c r="GC38" s="1838"/>
      <c r="GD38" s="1902"/>
      <c r="GE38" s="1840"/>
      <c r="GF38" s="1837"/>
      <c r="GG38" s="1838"/>
      <c r="GH38" s="1837"/>
      <c r="GI38" s="1838"/>
      <c r="GJ38" s="1902"/>
      <c r="GK38" s="1840"/>
      <c r="GL38" s="1837"/>
      <c r="GM38" s="1838"/>
      <c r="GN38" s="1837"/>
      <c r="GO38" s="1838"/>
      <c r="GP38" s="1902"/>
    </row>
    <row r="39" spans="1:198" ht="20.100000000000001" hidden="1" customHeight="1" outlineLevel="1" collapsed="1">
      <c r="A39" s="2647"/>
      <c r="B39" s="2758"/>
      <c r="C39" s="1836"/>
      <c r="D39" s="2614" t="str">
        <f>実績!C1195&amp;"("&amp;SUBSTITUTE(実績!R1195&amp;")","株式会社 ","")</f>
        <v>大阪マツダ菱江(基本設計)(基建築設計事務所)</v>
      </c>
      <c r="E39" s="2615"/>
      <c r="F39" s="2615"/>
      <c r="G39" s="2615"/>
      <c r="H39" s="2615"/>
      <c r="I39" s="2615"/>
      <c r="J39" s="2615"/>
      <c r="K39" s="2615"/>
      <c r="L39" s="2615"/>
      <c r="M39" s="2615"/>
      <c r="N39" s="2615"/>
      <c r="O39" s="2615"/>
      <c r="P39" s="2615"/>
      <c r="Q39" s="2615"/>
      <c r="R39" s="1976"/>
      <c r="S39" s="1837"/>
      <c r="T39" s="1837"/>
      <c r="U39" s="1838"/>
      <c r="V39" s="1837"/>
      <c r="W39" s="1838"/>
      <c r="X39" s="1839"/>
      <c r="Y39" s="1837"/>
      <c r="Z39" s="1837"/>
      <c r="AA39" s="1838"/>
      <c r="AB39" s="1837"/>
      <c r="AC39" s="1838"/>
      <c r="AD39" s="1837"/>
      <c r="AE39" s="1837"/>
      <c r="AF39" s="1837"/>
      <c r="AG39" s="1838"/>
      <c r="AH39" s="1837"/>
      <c r="AI39" s="1838"/>
      <c r="AJ39" s="1839"/>
      <c r="AK39" s="1837"/>
      <c r="AL39" s="1837"/>
      <c r="AM39" s="1838"/>
      <c r="AN39" s="1837"/>
      <c r="AO39" s="1838"/>
      <c r="AP39" s="1837"/>
      <c r="AQ39" s="1841"/>
      <c r="AR39" s="1837"/>
      <c r="AS39" s="1838"/>
      <c r="AT39" s="1837"/>
      <c r="AU39" s="1838"/>
      <c r="AV39" s="1839"/>
      <c r="AW39" s="1840"/>
      <c r="AX39" s="1837"/>
      <c r="AY39" s="1838"/>
      <c r="AZ39" s="1837" t="s">
        <v>9164</v>
      </c>
      <c r="BA39" s="1838"/>
      <c r="BB39" s="1839"/>
      <c r="BC39" s="1837"/>
      <c r="BD39" s="1837"/>
      <c r="BE39" s="1838"/>
      <c r="BF39" s="1837"/>
      <c r="BG39" s="1838"/>
      <c r="BH39" s="1837"/>
      <c r="BI39" s="1840"/>
      <c r="BJ39" s="1837"/>
      <c r="BK39" s="1838"/>
      <c r="BL39" s="1837"/>
      <c r="BM39" s="1838"/>
      <c r="BN39" s="1839"/>
      <c r="BO39" s="1840"/>
      <c r="BP39" s="1837"/>
      <c r="BQ39" s="1838"/>
      <c r="BR39" s="1837"/>
      <c r="BS39" s="1838"/>
      <c r="BT39" s="1839"/>
      <c r="BU39" s="1840"/>
      <c r="BV39" s="1837"/>
      <c r="BW39" s="1838"/>
      <c r="BX39" s="1837"/>
      <c r="BY39" s="1838"/>
      <c r="BZ39" s="1839"/>
      <c r="CA39" s="1840"/>
      <c r="CB39" s="1837"/>
      <c r="CC39" s="1838"/>
      <c r="CD39" s="1837"/>
      <c r="CE39" s="1838"/>
      <c r="CF39" s="1839"/>
      <c r="CG39" s="1840"/>
      <c r="CH39" s="1837"/>
      <c r="CI39" s="1838"/>
      <c r="CJ39" s="1837"/>
      <c r="CK39" s="1838"/>
      <c r="CL39" s="1839"/>
      <c r="CM39" s="1840"/>
      <c r="CN39" s="1837"/>
      <c r="CO39" s="1838"/>
      <c r="CP39" s="1837"/>
      <c r="CQ39" s="1838"/>
      <c r="CR39" s="1839"/>
      <c r="CS39" s="1840"/>
      <c r="CT39" s="1837"/>
      <c r="CU39" s="1838"/>
      <c r="CV39" s="1837"/>
      <c r="CW39" s="1838"/>
      <c r="CX39" s="1839"/>
      <c r="CY39" s="1840"/>
      <c r="CZ39" s="1837"/>
      <c r="DA39" s="1838"/>
      <c r="DB39" s="1837"/>
      <c r="DC39" s="1838"/>
      <c r="DD39" s="1839"/>
      <c r="DE39" s="1840"/>
      <c r="DF39" s="1837"/>
      <c r="DG39" s="1838"/>
      <c r="DH39" s="1837"/>
      <c r="DI39" s="1838"/>
      <c r="DJ39" s="1839"/>
      <c r="DK39" s="1840"/>
      <c r="DL39" s="1837"/>
      <c r="DM39" s="1838"/>
      <c r="DN39" s="1837"/>
      <c r="DO39" s="1838"/>
      <c r="DP39" s="1837"/>
      <c r="DQ39" s="1853"/>
      <c r="DR39" s="1837"/>
      <c r="DS39" s="1838"/>
      <c r="DT39" s="1842"/>
      <c r="DU39" s="1837"/>
      <c r="DV39" s="1839"/>
      <c r="DW39" s="1840"/>
      <c r="DX39" s="1837"/>
      <c r="DY39" s="1838"/>
      <c r="DZ39" s="1837"/>
      <c r="EA39" s="1838"/>
      <c r="EB39" s="1839"/>
      <c r="EC39" s="1840"/>
      <c r="ED39" s="1837"/>
      <c r="EE39" s="1838"/>
      <c r="EF39" s="1837"/>
      <c r="EG39" s="1838"/>
      <c r="EH39" s="1838"/>
      <c r="EI39" s="1840"/>
      <c r="EJ39" s="1837"/>
      <c r="EK39" s="1838"/>
      <c r="EL39" s="1837"/>
      <c r="EM39" s="1838"/>
      <c r="EN39" s="1839"/>
      <c r="EO39" s="1840"/>
      <c r="EP39" s="1837"/>
      <c r="EQ39" s="1838"/>
      <c r="ER39" s="1837"/>
      <c r="ES39" s="1838"/>
      <c r="ET39" s="1902"/>
      <c r="EU39" s="1840"/>
      <c r="EV39" s="1837"/>
      <c r="EW39" s="1838"/>
      <c r="EX39" s="1837"/>
      <c r="EY39" s="1838"/>
      <c r="EZ39" s="1902"/>
      <c r="FA39" s="1840"/>
      <c r="FB39" s="1837"/>
      <c r="FC39" s="1838"/>
      <c r="FD39" s="1837"/>
      <c r="FE39" s="1838"/>
      <c r="FF39" s="1902"/>
      <c r="FG39" s="1840"/>
      <c r="FH39" s="1837"/>
      <c r="FI39" s="1838"/>
      <c r="FJ39" s="1837"/>
      <c r="FK39" s="1838"/>
      <c r="FL39" s="1902"/>
      <c r="FM39" s="1840"/>
      <c r="FN39" s="1837"/>
      <c r="FO39" s="1838"/>
      <c r="FP39" s="1837"/>
      <c r="FQ39" s="1838"/>
      <c r="FR39" s="1902"/>
      <c r="FS39" s="1840"/>
      <c r="FT39" s="1837"/>
      <c r="FU39" s="1838"/>
      <c r="FV39" s="1837"/>
      <c r="FW39" s="1838"/>
      <c r="FX39" s="1902"/>
      <c r="FY39" s="1840"/>
      <c r="FZ39" s="1837"/>
      <c r="GA39" s="1838"/>
      <c r="GB39" s="1837"/>
      <c r="GC39" s="1838"/>
      <c r="GD39" s="1902"/>
      <c r="GE39" s="1840"/>
      <c r="GF39" s="1837"/>
      <c r="GG39" s="1838"/>
      <c r="GH39" s="1837"/>
      <c r="GI39" s="1838"/>
      <c r="GJ39" s="1902"/>
      <c r="GK39" s="1840"/>
      <c r="GL39" s="1837"/>
      <c r="GM39" s="1838"/>
      <c r="GN39" s="1837"/>
      <c r="GO39" s="1838"/>
      <c r="GP39" s="1902"/>
    </row>
    <row r="40" spans="1:198" ht="20.100000000000001" hidden="1" customHeight="1" outlineLevel="1" collapsed="1">
      <c r="A40" s="2647"/>
      <c r="B40" s="2758"/>
      <c r="C40" s="1836"/>
      <c r="D40" s="2614" t="str">
        <f>実績!C1205&amp;"("&amp;SUBSTITUTE(実績!R1205&amp;")","株式会社 ","")</f>
        <v>丸三食品株式会社(タカヤ)</v>
      </c>
      <c r="E40" s="2615"/>
      <c r="F40" s="2615"/>
      <c r="G40" s="2615"/>
      <c r="H40" s="2615"/>
      <c r="I40" s="2615"/>
      <c r="J40" s="2615"/>
      <c r="K40" s="2615"/>
      <c r="L40" s="2615"/>
      <c r="M40" s="2615"/>
      <c r="N40" s="2615"/>
      <c r="O40" s="2615"/>
      <c r="P40" s="2615"/>
      <c r="Q40" s="2615"/>
      <c r="R40" s="1976"/>
      <c r="S40" s="1837"/>
      <c r="T40" s="1837"/>
      <c r="U40" s="1838"/>
      <c r="V40" s="1837"/>
      <c r="W40" s="1838"/>
      <c r="X40" s="1839"/>
      <c r="Y40" s="1837"/>
      <c r="Z40" s="1837"/>
      <c r="AA40" s="1838"/>
      <c r="AB40" s="1837"/>
      <c r="AC40" s="1838"/>
      <c r="AD40" s="1837"/>
      <c r="AE40" s="1837"/>
      <c r="AF40" s="1837"/>
      <c r="AG40" s="1838"/>
      <c r="AH40" s="1837"/>
      <c r="AI40" s="1838"/>
      <c r="AJ40" s="1839"/>
      <c r="AK40" s="1837"/>
      <c r="AL40" s="1837"/>
      <c r="AM40" s="1838"/>
      <c r="AN40" s="1837"/>
      <c r="AO40" s="1838"/>
      <c r="AP40" s="1837"/>
      <c r="AQ40" s="1841"/>
      <c r="AR40" s="1837"/>
      <c r="AS40" s="1838"/>
      <c r="AT40" s="1837"/>
      <c r="AU40" s="1838"/>
      <c r="AV40" s="1839"/>
      <c r="AW40" s="1840"/>
      <c r="AX40" s="1837"/>
      <c r="AY40" s="1838"/>
      <c r="AZ40" s="1837"/>
      <c r="BA40" s="1838"/>
      <c r="BB40" s="1839"/>
      <c r="BC40" s="1837"/>
      <c r="BD40" s="1837"/>
      <c r="BE40" s="1838"/>
      <c r="BF40" s="1837"/>
      <c r="BG40" s="1838" t="s">
        <v>9291</v>
      </c>
      <c r="BH40" s="1837"/>
      <c r="BI40" s="1840"/>
      <c r="BJ40" s="1837"/>
      <c r="BK40" s="1838"/>
      <c r="BL40" s="1837"/>
      <c r="BM40" s="1838"/>
      <c r="BN40" s="1839"/>
      <c r="BO40" s="1840" t="s">
        <v>8955</v>
      </c>
      <c r="BP40" s="1837"/>
      <c r="BQ40" s="1838"/>
      <c r="BR40" s="1837"/>
      <c r="BS40" s="1838"/>
      <c r="BT40" s="1839"/>
      <c r="BU40" s="1840"/>
      <c r="BV40" s="1837"/>
      <c r="BW40" s="1838"/>
      <c r="BX40" s="1837"/>
      <c r="BY40" s="1838"/>
      <c r="BZ40" s="1839"/>
      <c r="CA40" s="1840"/>
      <c r="CB40" s="1837"/>
      <c r="CC40" s="1838"/>
      <c r="CD40" s="1837"/>
      <c r="CE40" s="1838"/>
      <c r="CF40" s="1839"/>
      <c r="CG40" s="1840"/>
      <c r="CH40" s="1837"/>
      <c r="CI40" s="1838"/>
      <c r="CJ40" s="1837"/>
      <c r="CK40" s="1838"/>
      <c r="CL40" s="1839"/>
      <c r="CM40" s="1840"/>
      <c r="CN40" s="1837"/>
      <c r="CO40" s="1838"/>
      <c r="CP40" s="1837"/>
      <c r="CQ40" s="1838"/>
      <c r="CR40" s="1839"/>
      <c r="CS40" s="1840"/>
      <c r="CT40" s="1837"/>
      <c r="CU40" s="1838"/>
      <c r="CV40" s="1837"/>
      <c r="CW40" s="1838"/>
      <c r="CX40" s="1839"/>
      <c r="CY40" s="1840"/>
      <c r="CZ40" s="1837"/>
      <c r="DA40" s="1838"/>
      <c r="DB40" s="1837"/>
      <c r="DC40" s="1838"/>
      <c r="DD40" s="1839"/>
      <c r="DE40" s="1840"/>
      <c r="DF40" s="1837"/>
      <c r="DG40" s="1838"/>
      <c r="DH40" s="1837"/>
      <c r="DI40" s="1838"/>
      <c r="DJ40" s="1839"/>
      <c r="DK40" s="1840"/>
      <c r="DL40" s="1837"/>
      <c r="DM40" s="1838"/>
      <c r="DN40" s="1837"/>
      <c r="DO40" s="1838"/>
      <c r="DP40" s="1837"/>
      <c r="DQ40" s="1853"/>
      <c r="DR40" s="1837"/>
      <c r="DS40" s="1838"/>
      <c r="DT40" s="1842"/>
      <c r="DU40" s="1837"/>
      <c r="DV40" s="1839"/>
      <c r="DW40" s="1840"/>
      <c r="DX40" s="1837"/>
      <c r="DY40" s="1838"/>
      <c r="DZ40" s="1837"/>
      <c r="EA40" s="1838"/>
      <c r="EB40" s="1839"/>
      <c r="EC40" s="1840"/>
      <c r="ED40" s="1837"/>
      <c r="EE40" s="1838"/>
      <c r="EF40" s="1837"/>
      <c r="EG40" s="1838"/>
      <c r="EH40" s="1838"/>
      <c r="EI40" s="1840"/>
      <c r="EJ40" s="1837"/>
      <c r="EK40" s="1838"/>
      <c r="EL40" s="1837"/>
      <c r="EM40" s="1838"/>
      <c r="EN40" s="1839"/>
      <c r="EO40" s="1840"/>
      <c r="EP40" s="1837"/>
      <c r="EQ40" s="1838"/>
      <c r="ER40" s="1837"/>
      <c r="ES40" s="1838"/>
      <c r="ET40" s="1902"/>
      <c r="EU40" s="1840"/>
      <c r="EV40" s="1837"/>
      <c r="EW40" s="1838"/>
      <c r="EX40" s="1837"/>
      <c r="EY40" s="1838"/>
      <c r="EZ40" s="1902"/>
      <c r="FA40" s="1840"/>
      <c r="FB40" s="1837"/>
      <c r="FC40" s="1838"/>
      <c r="FD40" s="1837"/>
      <c r="FE40" s="1838"/>
      <c r="FF40" s="1902"/>
      <c r="FG40" s="1840"/>
      <c r="FH40" s="1837"/>
      <c r="FI40" s="1838"/>
      <c r="FJ40" s="1837"/>
      <c r="FK40" s="1838"/>
      <c r="FL40" s="1902"/>
      <c r="FM40" s="1840"/>
      <c r="FN40" s="1837"/>
      <c r="FO40" s="1838"/>
      <c r="FP40" s="1837"/>
      <c r="FQ40" s="1838"/>
      <c r="FR40" s="1902"/>
      <c r="FS40" s="1840"/>
      <c r="FT40" s="1837"/>
      <c r="FU40" s="1838"/>
      <c r="FV40" s="1837"/>
      <c r="FW40" s="1838"/>
      <c r="FX40" s="1902"/>
      <c r="FY40" s="1840"/>
      <c r="FZ40" s="1837"/>
      <c r="GA40" s="1838"/>
      <c r="GB40" s="1837"/>
      <c r="GC40" s="1838"/>
      <c r="GD40" s="1902"/>
      <c r="GE40" s="1840"/>
      <c r="GF40" s="1837"/>
      <c r="GG40" s="1838"/>
      <c r="GH40" s="1837"/>
      <c r="GI40" s="1838"/>
      <c r="GJ40" s="1902"/>
      <c r="GK40" s="1840"/>
      <c r="GL40" s="1837"/>
      <c r="GM40" s="1838"/>
      <c r="GN40" s="1837"/>
      <c r="GO40" s="1838"/>
      <c r="GP40" s="1902"/>
    </row>
    <row r="41" spans="1:198" ht="20.100000000000001" hidden="1" customHeight="1" outlineLevel="1" collapsed="1">
      <c r="A41" s="2647"/>
      <c r="B41" s="2758"/>
      <c r="C41" s="1836"/>
      <c r="D41" s="2614" t="str">
        <f>実績!C1135&amp;"("&amp;SUBSTITUTE(実績!AB1135&amp;")","株式会社 ","")</f>
        <v>BPS/MINI NEXT加古川(カーダクレッセ)</v>
      </c>
      <c r="E41" s="2615"/>
      <c r="F41" s="2615"/>
      <c r="G41" s="2615"/>
      <c r="H41" s="2615"/>
      <c r="I41" s="2615"/>
      <c r="J41" s="2615"/>
      <c r="K41" s="2615"/>
      <c r="L41" s="2615"/>
      <c r="M41" s="2615"/>
      <c r="N41" s="2615"/>
      <c r="O41" s="2615"/>
      <c r="P41" s="2615"/>
      <c r="Q41" s="2615"/>
      <c r="R41" s="1976"/>
      <c r="S41" s="1837"/>
      <c r="T41" s="1837"/>
      <c r="U41" s="1838"/>
      <c r="V41" s="1837"/>
      <c r="W41" s="1838"/>
      <c r="X41" s="1839"/>
      <c r="Y41" s="1837"/>
      <c r="Z41" s="1837"/>
      <c r="AA41" s="1838"/>
      <c r="AB41" s="1837"/>
      <c r="AC41" s="1838"/>
      <c r="AD41" s="1837" t="s">
        <v>8323</v>
      </c>
      <c r="AE41" s="1900"/>
      <c r="AF41" s="1837"/>
      <c r="AG41" s="1838"/>
      <c r="AH41" s="1837"/>
      <c r="AI41" s="1838"/>
      <c r="AJ41" s="1839"/>
      <c r="AK41" s="1837"/>
      <c r="AL41" s="1837"/>
      <c r="AM41" s="1838"/>
      <c r="AN41" s="1837" t="s">
        <v>8526</v>
      </c>
      <c r="AO41" s="1838"/>
      <c r="AP41" s="1837"/>
      <c r="AQ41" s="1841"/>
      <c r="AR41" s="1842"/>
      <c r="AS41" s="1838"/>
      <c r="AT41" s="1837"/>
      <c r="AU41" s="1838"/>
      <c r="AV41" s="1839"/>
      <c r="AW41" s="1840"/>
      <c r="AX41" s="1837"/>
      <c r="AY41" s="1838"/>
      <c r="AZ41" s="1837"/>
      <c r="BA41" s="1838"/>
      <c r="BB41" s="1839"/>
      <c r="BC41" s="1837"/>
      <c r="BD41" s="1837"/>
      <c r="BE41" s="1838"/>
      <c r="BF41" s="1837"/>
      <c r="BG41" s="1838"/>
      <c r="BH41" s="1837"/>
      <c r="BI41" s="1840"/>
      <c r="BJ41" s="1837"/>
      <c r="BK41" s="1838"/>
      <c r="BL41" s="1837"/>
      <c r="BM41" s="1838"/>
      <c r="BN41" s="1839"/>
      <c r="BO41" s="1840" t="s">
        <v>9291</v>
      </c>
      <c r="BP41" s="1837"/>
      <c r="BQ41" s="1838"/>
      <c r="BR41" s="1837"/>
      <c r="BS41" s="1838"/>
      <c r="BT41" s="1839"/>
      <c r="BU41" s="1840"/>
      <c r="BV41" s="1837"/>
      <c r="BW41" s="1838"/>
      <c r="BX41" s="1837"/>
      <c r="BY41" s="1838"/>
      <c r="BZ41" s="1839"/>
      <c r="CA41" s="1840"/>
      <c r="CB41" s="1837"/>
      <c r="CC41" s="1838"/>
      <c r="CD41" s="1837"/>
      <c r="CE41" s="1838"/>
      <c r="CF41" s="1839"/>
      <c r="CG41" s="1840"/>
      <c r="CH41" s="1837"/>
      <c r="CI41" s="1838"/>
      <c r="CJ41" s="1837"/>
      <c r="CK41" s="1838"/>
      <c r="CL41" s="1839"/>
      <c r="CM41" s="1840"/>
      <c r="CN41" s="1837"/>
      <c r="CO41" s="1838"/>
      <c r="CP41" s="1837"/>
      <c r="CQ41" s="1838"/>
      <c r="CR41" s="1839"/>
      <c r="CS41" s="1840"/>
      <c r="CT41" s="1837"/>
      <c r="CU41" s="1838"/>
      <c r="CV41" s="1837"/>
      <c r="CW41" s="1838"/>
      <c r="CX41" s="1839"/>
      <c r="CY41" s="1840"/>
      <c r="CZ41" s="1837"/>
      <c r="DA41" s="1838"/>
      <c r="DB41" s="1837"/>
      <c r="DC41" s="1838"/>
      <c r="DD41" s="1839"/>
      <c r="DE41" s="1840"/>
      <c r="DF41" s="1837"/>
      <c r="DG41" s="1838"/>
      <c r="DH41" s="1837"/>
      <c r="DI41" s="1838"/>
      <c r="DJ41" s="1839"/>
      <c r="DK41" s="1840"/>
      <c r="DL41" s="1837"/>
      <c r="DM41" s="1838"/>
      <c r="DN41" s="1837"/>
      <c r="DO41" s="1838"/>
      <c r="DP41" s="1837"/>
      <c r="DQ41" s="1853"/>
      <c r="DR41" s="1837"/>
      <c r="DS41" s="1838"/>
      <c r="DT41" s="1842"/>
      <c r="DU41" s="1837"/>
      <c r="DV41" s="1839"/>
      <c r="DW41" s="1840"/>
      <c r="DX41" s="1837"/>
      <c r="DY41" s="1838"/>
      <c r="DZ41" s="1837"/>
      <c r="EA41" s="1838"/>
      <c r="EB41" s="1839"/>
      <c r="EC41" s="1840"/>
      <c r="ED41" s="1837"/>
      <c r="EE41" s="1838"/>
      <c r="EF41" s="1837"/>
      <c r="EG41" s="1838"/>
      <c r="EH41" s="1838"/>
      <c r="EI41" s="1840"/>
      <c r="EJ41" s="1837"/>
      <c r="EK41" s="1838"/>
      <c r="EL41" s="1837"/>
      <c r="EM41" s="1838"/>
      <c r="EN41" s="1839"/>
      <c r="EO41" s="1840"/>
      <c r="EP41" s="1837"/>
      <c r="EQ41" s="1838"/>
      <c r="ER41" s="1837"/>
      <c r="ES41" s="1838"/>
      <c r="ET41" s="1902"/>
      <c r="EU41" s="1840"/>
      <c r="EV41" s="1837"/>
      <c r="EW41" s="1838"/>
      <c r="EX41" s="1837"/>
      <c r="EY41" s="1838"/>
      <c r="EZ41" s="1902"/>
      <c r="FA41" s="1840"/>
      <c r="FB41" s="1837"/>
      <c r="FC41" s="1838"/>
      <c r="FD41" s="1837"/>
      <c r="FE41" s="1838"/>
      <c r="FF41" s="1902"/>
      <c r="FG41" s="1840"/>
      <c r="FH41" s="1837"/>
      <c r="FI41" s="1838"/>
      <c r="FJ41" s="1837"/>
      <c r="FK41" s="1838"/>
      <c r="FL41" s="1902"/>
      <c r="FM41" s="1840"/>
      <c r="FN41" s="1837"/>
      <c r="FO41" s="1838"/>
      <c r="FP41" s="1837"/>
      <c r="FQ41" s="1838"/>
      <c r="FR41" s="1902"/>
      <c r="FS41" s="1840"/>
      <c r="FT41" s="1837"/>
      <c r="FU41" s="1838"/>
      <c r="FV41" s="1837"/>
      <c r="FW41" s="1838"/>
      <c r="FX41" s="1902"/>
      <c r="FY41" s="1840"/>
      <c r="FZ41" s="1837"/>
      <c r="GA41" s="1838"/>
      <c r="GB41" s="1837"/>
      <c r="GC41" s="1838"/>
      <c r="GD41" s="1902"/>
      <c r="GE41" s="1840"/>
      <c r="GF41" s="1837"/>
      <c r="GG41" s="1838"/>
      <c r="GH41" s="1837"/>
      <c r="GI41" s="1838"/>
      <c r="GJ41" s="1902"/>
      <c r="GK41" s="1840"/>
      <c r="GL41" s="1837"/>
      <c r="GM41" s="1838"/>
      <c r="GN41" s="1837"/>
      <c r="GO41" s="1838"/>
      <c r="GP41" s="1902"/>
    </row>
    <row r="42" spans="1:198" ht="20.100000000000001" hidden="1" customHeight="1" outlineLevel="1">
      <c r="A42" s="2647"/>
      <c r="B42" s="2758"/>
      <c r="C42" s="1836"/>
      <c r="D42" s="2614" t="str">
        <f>実績!C1204&amp;"("&amp;SUBSTITUTE(実績!R1204&amp;")","株式会社 ","")</f>
        <v>吾郷税理士事務所社屋(塩野建築設計事務所)</v>
      </c>
      <c r="E42" s="2615"/>
      <c r="F42" s="2615"/>
      <c r="G42" s="2615"/>
      <c r="H42" s="2615"/>
      <c r="I42" s="2615"/>
      <c r="J42" s="2615"/>
      <c r="K42" s="2615"/>
      <c r="L42" s="2615"/>
      <c r="M42" s="2615"/>
      <c r="N42" s="2615"/>
      <c r="O42" s="2615"/>
      <c r="P42" s="2615"/>
      <c r="Q42" s="2615"/>
      <c r="R42" s="1976"/>
      <c r="S42" s="1837"/>
      <c r="T42" s="1837"/>
      <c r="U42" s="1838"/>
      <c r="V42" s="1837"/>
      <c r="W42" s="1838"/>
      <c r="X42" s="1839"/>
      <c r="Y42" s="1837"/>
      <c r="Z42" s="1837"/>
      <c r="AA42" s="1838"/>
      <c r="AB42" s="1837"/>
      <c r="AC42" s="1838"/>
      <c r="AD42" s="1837"/>
      <c r="AE42" s="1837"/>
      <c r="AF42" s="1837"/>
      <c r="AG42" s="1838"/>
      <c r="AH42" s="1837"/>
      <c r="AI42" s="1838"/>
      <c r="AJ42" s="1839"/>
      <c r="AK42" s="1837"/>
      <c r="AL42" s="1837"/>
      <c r="AM42" s="1838"/>
      <c r="AN42" s="1837"/>
      <c r="AO42" s="1838"/>
      <c r="AP42" s="1837"/>
      <c r="AQ42" s="1841"/>
      <c r="AR42" s="1837"/>
      <c r="AS42" s="1838"/>
      <c r="AT42" s="1837"/>
      <c r="AU42" s="1838"/>
      <c r="AV42" s="1839"/>
      <c r="AW42" s="1840"/>
      <c r="AX42" s="1837"/>
      <c r="AY42" s="1838"/>
      <c r="AZ42" s="1837" t="s">
        <v>9165</v>
      </c>
      <c r="BA42" s="1838"/>
      <c r="BB42" s="1839"/>
      <c r="BC42" s="1837"/>
      <c r="BD42" s="1837"/>
      <c r="BE42" s="1838"/>
      <c r="BF42" s="1837"/>
      <c r="BG42" s="1838"/>
      <c r="BH42" s="1837"/>
      <c r="BI42" s="1840"/>
      <c r="BJ42" s="1837"/>
      <c r="BK42" s="1838"/>
      <c r="BL42" s="1842"/>
      <c r="BM42" s="1838"/>
      <c r="BN42" s="1839"/>
      <c r="BO42" s="1840" t="s">
        <v>9767</v>
      </c>
      <c r="BP42" s="1837"/>
      <c r="BQ42" s="1838"/>
      <c r="BR42" s="1842"/>
      <c r="BS42" s="1838"/>
      <c r="BT42" s="1839"/>
      <c r="BU42" s="1840"/>
      <c r="BV42" s="1837"/>
      <c r="BW42" s="1838"/>
      <c r="BX42" s="1837"/>
      <c r="BY42" s="1838"/>
      <c r="BZ42" s="1839"/>
      <c r="CA42" s="1840"/>
      <c r="CB42" s="1837"/>
      <c r="CC42" s="1838"/>
      <c r="CD42" s="1837"/>
      <c r="CE42" s="1838"/>
      <c r="CF42" s="1839"/>
      <c r="CG42" s="1840"/>
      <c r="CH42" s="1837"/>
      <c r="CI42" s="1838"/>
      <c r="CJ42" s="1837"/>
      <c r="CK42" s="1838"/>
      <c r="CL42" s="1839"/>
      <c r="CM42" s="1840"/>
      <c r="CN42" s="1837"/>
      <c r="CO42" s="1838"/>
      <c r="CP42" s="1837"/>
      <c r="CQ42" s="1838"/>
      <c r="CR42" s="1839"/>
      <c r="CS42" s="1840"/>
      <c r="CT42" s="1837"/>
      <c r="CU42" s="1838"/>
      <c r="CV42" s="1837"/>
      <c r="CW42" s="1838"/>
      <c r="CX42" s="1839"/>
      <c r="CY42" s="1840"/>
      <c r="CZ42" s="1837"/>
      <c r="DA42" s="1838"/>
      <c r="DB42" s="1837"/>
      <c r="DC42" s="1838"/>
      <c r="DD42" s="1839"/>
      <c r="DE42" s="1840"/>
      <c r="DF42" s="1837"/>
      <c r="DG42" s="1838"/>
      <c r="DH42" s="1837"/>
      <c r="DI42" s="1838"/>
      <c r="DJ42" s="1839"/>
      <c r="DK42" s="1840"/>
      <c r="DL42" s="1837"/>
      <c r="DM42" s="1838"/>
      <c r="DN42" s="1837"/>
      <c r="DO42" s="1838"/>
      <c r="DP42" s="1837"/>
      <c r="DQ42" s="1853"/>
      <c r="DR42" s="1837"/>
      <c r="DS42" s="1838"/>
      <c r="DT42" s="1842"/>
      <c r="DU42" s="1837"/>
      <c r="DV42" s="1839"/>
      <c r="DW42" s="1840"/>
      <c r="DX42" s="1837"/>
      <c r="DY42" s="1838"/>
      <c r="DZ42" s="1837"/>
      <c r="EA42" s="1838"/>
      <c r="EB42" s="1839"/>
      <c r="EC42" s="1840"/>
      <c r="ED42" s="1837"/>
      <c r="EE42" s="1838"/>
      <c r="EF42" s="1837"/>
      <c r="EG42" s="1838"/>
      <c r="EH42" s="1838"/>
      <c r="EI42" s="1840"/>
      <c r="EJ42" s="1837"/>
      <c r="EK42" s="1838"/>
      <c r="EL42" s="1837"/>
      <c r="EM42" s="1838"/>
      <c r="EN42" s="1839"/>
      <c r="EO42" s="1840"/>
      <c r="EP42" s="1837"/>
      <c r="EQ42" s="1838"/>
      <c r="ER42" s="1837"/>
      <c r="ES42" s="1838"/>
      <c r="ET42" s="1902"/>
      <c r="EU42" s="1840"/>
      <c r="EV42" s="1837"/>
      <c r="EW42" s="1838"/>
      <c r="EX42" s="1837"/>
      <c r="EY42" s="1838"/>
      <c r="EZ42" s="1902"/>
      <c r="FA42" s="1840"/>
      <c r="FB42" s="1837"/>
      <c r="FC42" s="1838"/>
      <c r="FD42" s="1837"/>
      <c r="FE42" s="1838"/>
      <c r="FF42" s="1902"/>
      <c r="FG42" s="1840"/>
      <c r="FH42" s="1837"/>
      <c r="FI42" s="1838"/>
      <c r="FJ42" s="1837"/>
      <c r="FK42" s="1838"/>
      <c r="FL42" s="1902"/>
      <c r="FM42" s="1840"/>
      <c r="FN42" s="1837"/>
      <c r="FO42" s="1838"/>
      <c r="FP42" s="1837"/>
      <c r="FQ42" s="1838"/>
      <c r="FR42" s="1902"/>
      <c r="FS42" s="1840"/>
      <c r="FT42" s="1837"/>
      <c r="FU42" s="1838"/>
      <c r="FV42" s="1837"/>
      <c r="FW42" s="1838"/>
      <c r="FX42" s="1902"/>
      <c r="FY42" s="1840"/>
      <c r="FZ42" s="1837"/>
      <c r="GA42" s="1838"/>
      <c r="GB42" s="1837"/>
      <c r="GC42" s="1838"/>
      <c r="GD42" s="1902"/>
      <c r="GE42" s="1840"/>
      <c r="GF42" s="1837"/>
      <c r="GG42" s="1838"/>
      <c r="GH42" s="1837"/>
      <c r="GI42" s="1838"/>
      <c r="GJ42" s="1902"/>
      <c r="GK42" s="1840"/>
      <c r="GL42" s="1837"/>
      <c r="GM42" s="1838"/>
      <c r="GN42" s="1837"/>
      <c r="GO42" s="1838"/>
      <c r="GP42" s="1902"/>
    </row>
    <row r="43" spans="1:198" ht="20.100000000000001" hidden="1" customHeight="1" outlineLevel="1" collapsed="1">
      <c r="A43" s="2647"/>
      <c r="B43" s="2758"/>
      <c r="C43" s="1836"/>
      <c r="D43" s="2614" t="str">
        <f>実績!C1220&amp;"("&amp;SUBSTITUTE(実績!R1220&amp;")","株式会社 ","")</f>
        <v>(株)倉田技研 竜王工場(奥田工務店)</v>
      </c>
      <c r="E43" s="2615"/>
      <c r="F43" s="2615"/>
      <c r="G43" s="2615"/>
      <c r="H43" s="2615"/>
      <c r="I43" s="2615"/>
      <c r="J43" s="2615"/>
      <c r="K43" s="2615"/>
      <c r="L43" s="2615"/>
      <c r="M43" s="2615"/>
      <c r="N43" s="2615"/>
      <c r="O43" s="2615"/>
      <c r="P43" s="2615"/>
      <c r="Q43" s="2615"/>
      <c r="R43" s="1976"/>
      <c r="S43" s="1837"/>
      <c r="T43" s="1837"/>
      <c r="U43" s="1838"/>
      <c r="V43" s="1837"/>
      <c r="W43" s="1838"/>
      <c r="X43" s="1839"/>
      <c r="Y43" s="1837"/>
      <c r="Z43" s="1837"/>
      <c r="AA43" s="1838"/>
      <c r="AB43" s="1837"/>
      <c r="AC43" s="1838"/>
      <c r="AD43" s="1837"/>
      <c r="AE43" s="1837"/>
      <c r="AF43" s="1837"/>
      <c r="AG43" s="1838"/>
      <c r="AH43" s="1837"/>
      <c r="AI43" s="1838"/>
      <c r="AJ43" s="1839"/>
      <c r="AK43" s="1837"/>
      <c r="AL43" s="1837"/>
      <c r="AM43" s="1838"/>
      <c r="AN43" s="1837"/>
      <c r="AO43" s="1838"/>
      <c r="AP43" s="1837"/>
      <c r="AQ43" s="1841"/>
      <c r="AR43" s="1837"/>
      <c r="AS43" s="1838"/>
      <c r="AT43" s="1837"/>
      <c r="AU43" s="1838"/>
      <c r="AV43" s="1839"/>
      <c r="AW43" s="1840"/>
      <c r="AX43" s="1837"/>
      <c r="AY43" s="1838"/>
      <c r="AZ43" s="1837"/>
      <c r="BA43" s="1838"/>
      <c r="BB43" s="1839"/>
      <c r="BC43" s="1837"/>
      <c r="BD43" s="1837"/>
      <c r="BE43" s="1838"/>
      <c r="BF43" s="1837"/>
      <c r="BG43" s="1838"/>
      <c r="BH43" s="1837"/>
      <c r="BI43" s="1840"/>
      <c r="BJ43" s="1837"/>
      <c r="BK43" s="1838"/>
      <c r="BL43" s="1837"/>
      <c r="BM43" s="1838"/>
      <c r="BN43" s="1839"/>
      <c r="BO43" s="1840"/>
      <c r="BP43" s="1837"/>
      <c r="BQ43" s="1838"/>
      <c r="BR43" s="1842"/>
      <c r="BS43" s="1838"/>
      <c r="BT43" s="1839"/>
      <c r="BU43" s="1840"/>
      <c r="BV43" s="1837"/>
      <c r="BW43" s="1838" t="s">
        <v>10006</v>
      </c>
      <c r="BX43" s="1837"/>
      <c r="BY43" s="1838"/>
      <c r="BZ43" s="1839"/>
      <c r="CA43" s="1840"/>
      <c r="CB43" s="1837"/>
      <c r="CC43" s="1838"/>
      <c r="CD43" s="1837"/>
      <c r="CE43" s="1838"/>
      <c r="CF43" s="1839"/>
      <c r="CG43" s="1840"/>
      <c r="CH43" s="1837"/>
      <c r="CI43" s="1838"/>
      <c r="CJ43" s="1837"/>
      <c r="CK43" s="1838"/>
      <c r="CL43" s="1839"/>
      <c r="CM43" s="1840"/>
      <c r="CN43" s="1837"/>
      <c r="CO43" s="1838"/>
      <c r="CP43" s="1837"/>
      <c r="CQ43" s="1838"/>
      <c r="CR43" s="1839"/>
      <c r="CS43" s="1840"/>
      <c r="CT43" s="1837"/>
      <c r="CU43" s="1838"/>
      <c r="CV43" s="1837"/>
      <c r="CW43" s="1838"/>
      <c r="CX43" s="1839"/>
      <c r="CY43" s="1840"/>
      <c r="CZ43" s="1837"/>
      <c r="DA43" s="1838"/>
      <c r="DB43" s="1837"/>
      <c r="DC43" s="1838"/>
      <c r="DD43" s="1839"/>
      <c r="DE43" s="1840"/>
      <c r="DF43" s="1837"/>
      <c r="DG43" s="1838"/>
      <c r="DH43" s="1837"/>
      <c r="DI43" s="1838"/>
      <c r="DJ43" s="1839"/>
      <c r="DK43" s="1840"/>
      <c r="DL43" s="1837"/>
      <c r="DM43" s="1838"/>
      <c r="DN43" s="1837"/>
      <c r="DO43" s="1838"/>
      <c r="DP43" s="1837"/>
      <c r="DQ43" s="1853"/>
      <c r="DR43" s="1837"/>
      <c r="DS43" s="1838"/>
      <c r="DT43" s="1842"/>
      <c r="DU43" s="1837"/>
      <c r="DV43" s="1839"/>
      <c r="DW43" s="1840"/>
      <c r="DX43" s="1837"/>
      <c r="DY43" s="1838"/>
      <c r="DZ43" s="1837"/>
      <c r="EA43" s="1838"/>
      <c r="EB43" s="1839"/>
      <c r="EC43" s="1840"/>
      <c r="ED43" s="1837"/>
      <c r="EE43" s="1838"/>
      <c r="EF43" s="1837"/>
      <c r="EG43" s="1838"/>
      <c r="EH43" s="1838"/>
      <c r="EI43" s="1840"/>
      <c r="EJ43" s="1837"/>
      <c r="EK43" s="1838"/>
      <c r="EL43" s="1837"/>
      <c r="EM43" s="1838"/>
      <c r="EN43" s="1839"/>
      <c r="EO43" s="1840"/>
      <c r="EP43" s="1837"/>
      <c r="EQ43" s="1838"/>
      <c r="ER43" s="1837"/>
      <c r="ES43" s="1838"/>
      <c r="ET43" s="1902"/>
      <c r="EU43" s="1840"/>
      <c r="EV43" s="1837"/>
      <c r="EW43" s="1838"/>
      <c r="EX43" s="1837"/>
      <c r="EY43" s="1838"/>
      <c r="EZ43" s="1902"/>
      <c r="FA43" s="1840"/>
      <c r="FB43" s="1837"/>
      <c r="FC43" s="1838"/>
      <c r="FD43" s="1837"/>
      <c r="FE43" s="1838"/>
      <c r="FF43" s="1902"/>
      <c r="FG43" s="1840"/>
      <c r="FH43" s="1837"/>
      <c r="FI43" s="1838"/>
      <c r="FJ43" s="1837"/>
      <c r="FK43" s="1838"/>
      <c r="FL43" s="1902"/>
      <c r="FM43" s="1840"/>
      <c r="FN43" s="1837"/>
      <c r="FO43" s="1838"/>
      <c r="FP43" s="1837"/>
      <c r="FQ43" s="1838"/>
      <c r="FR43" s="1902"/>
      <c r="FS43" s="1840"/>
      <c r="FT43" s="1837"/>
      <c r="FU43" s="1838"/>
      <c r="FV43" s="1837"/>
      <c r="FW43" s="1838"/>
      <c r="FX43" s="1902"/>
      <c r="FY43" s="1840"/>
      <c r="FZ43" s="1837"/>
      <c r="GA43" s="1838"/>
      <c r="GB43" s="1837"/>
      <c r="GC43" s="1838"/>
      <c r="GD43" s="1902"/>
      <c r="GE43" s="1840"/>
      <c r="GF43" s="1837"/>
      <c r="GG43" s="1838"/>
      <c r="GH43" s="1837"/>
      <c r="GI43" s="1838"/>
      <c r="GJ43" s="1902"/>
      <c r="GK43" s="1840"/>
      <c r="GL43" s="1837"/>
      <c r="GM43" s="1838"/>
      <c r="GN43" s="1837"/>
      <c r="GO43" s="1838"/>
      <c r="GP43" s="1902"/>
    </row>
    <row r="44" spans="1:198" ht="20.100000000000001" hidden="1" customHeight="1" outlineLevel="1">
      <c r="A44" s="2647"/>
      <c r="B44" s="2758"/>
      <c r="C44" s="1836"/>
      <c r="D44" s="2614" t="s">
        <v>9769</v>
      </c>
      <c r="E44" s="2617"/>
      <c r="F44" s="2617"/>
      <c r="G44" s="2617"/>
      <c r="H44" s="2617"/>
      <c r="I44" s="2617"/>
      <c r="J44" s="2617"/>
      <c r="K44" s="2617"/>
      <c r="L44" s="2617"/>
      <c r="M44" s="2617"/>
      <c r="N44" s="2617"/>
      <c r="O44" s="2617"/>
      <c r="P44" s="2617"/>
      <c r="Q44" s="2617"/>
      <c r="R44" s="1978"/>
      <c r="S44" s="1837"/>
      <c r="T44" s="1837"/>
      <c r="U44" s="1838"/>
      <c r="V44" s="1837"/>
      <c r="W44" s="1838"/>
      <c r="X44" s="1839"/>
      <c r="Y44" s="1837"/>
      <c r="Z44" s="1837"/>
      <c r="AA44" s="1838"/>
      <c r="AB44" s="1837"/>
      <c r="AC44" s="1838"/>
      <c r="AD44" s="1837"/>
      <c r="AE44" s="1837"/>
      <c r="AF44" s="1837"/>
      <c r="AG44" s="1838"/>
      <c r="AH44" s="1837"/>
      <c r="AI44" s="1838"/>
      <c r="AJ44" s="1839"/>
      <c r="AK44" s="1837"/>
      <c r="AL44" s="1837"/>
      <c r="AM44" s="1838"/>
      <c r="AN44" s="1837"/>
      <c r="AO44" s="1838"/>
      <c r="AP44" s="1837"/>
      <c r="AQ44" s="1841"/>
      <c r="AR44" s="1837"/>
      <c r="AS44" s="1838"/>
      <c r="AT44" s="1837"/>
      <c r="AU44" s="1838"/>
      <c r="AV44" s="1839"/>
      <c r="AW44" s="1840"/>
      <c r="AX44" s="1837"/>
      <c r="AY44" s="1838"/>
      <c r="AZ44" s="1837"/>
      <c r="BA44" s="1838"/>
      <c r="BB44" s="1839"/>
      <c r="BC44" s="1837"/>
      <c r="BD44" s="1837"/>
      <c r="BE44" s="1838"/>
      <c r="BF44" s="1837"/>
      <c r="BG44" s="1838"/>
      <c r="BH44" s="1837"/>
      <c r="BI44" s="1840"/>
      <c r="BJ44" s="1837"/>
      <c r="BK44" s="1838"/>
      <c r="BL44" s="1837"/>
      <c r="BM44" s="1838"/>
      <c r="BN44" s="1839"/>
      <c r="BO44" s="1840"/>
      <c r="BP44" s="1837"/>
      <c r="BQ44" s="1838"/>
      <c r="BR44" s="1837"/>
      <c r="BS44" s="1903"/>
      <c r="BT44" s="1839"/>
      <c r="BU44" s="1840"/>
      <c r="BV44" s="1837"/>
      <c r="BW44" s="1838"/>
      <c r="BX44" s="1837" t="s">
        <v>9778</v>
      </c>
      <c r="BY44" s="1838"/>
      <c r="BZ44" s="1839"/>
      <c r="CA44" s="1840"/>
      <c r="CB44" s="1837"/>
      <c r="CC44" s="1838"/>
      <c r="CD44" s="1837" t="s">
        <v>9779</v>
      </c>
      <c r="CE44" s="1838"/>
      <c r="CF44" s="1839"/>
      <c r="CG44" s="1840"/>
      <c r="CH44" s="1837"/>
      <c r="CI44" s="1838"/>
      <c r="CJ44" s="1837"/>
      <c r="CK44" s="1838"/>
      <c r="CL44" s="1839"/>
      <c r="CM44" s="1840"/>
      <c r="CN44" s="1837"/>
      <c r="CO44" s="1838"/>
      <c r="CP44" s="1837"/>
      <c r="CQ44" s="1838"/>
      <c r="CR44" s="1839"/>
      <c r="CS44" s="1840"/>
      <c r="CT44" s="1837"/>
      <c r="CU44" s="1838"/>
      <c r="CV44" s="1837"/>
      <c r="CW44" s="1838"/>
      <c r="CX44" s="1839"/>
      <c r="CY44" s="1840"/>
      <c r="CZ44" s="1837"/>
      <c r="DA44" s="1838"/>
      <c r="DB44" s="1837"/>
      <c r="DC44" s="1838"/>
      <c r="DD44" s="1839"/>
      <c r="DE44" s="1840"/>
      <c r="DF44" s="1837"/>
      <c r="DG44" s="1838"/>
      <c r="DH44" s="1837"/>
      <c r="DI44" s="1838"/>
      <c r="DJ44" s="1839"/>
      <c r="DK44" s="1840"/>
      <c r="DL44" s="1837"/>
      <c r="DM44" s="1838"/>
      <c r="DN44" s="1837"/>
      <c r="DO44" s="1838"/>
      <c r="DP44" s="1837"/>
      <c r="DQ44" s="1853"/>
      <c r="DR44" s="1837"/>
      <c r="DS44" s="1838"/>
      <c r="DT44" s="1842"/>
      <c r="DU44" s="1837"/>
      <c r="DV44" s="1839"/>
      <c r="DW44" s="1840"/>
      <c r="DX44" s="1837"/>
      <c r="DY44" s="1838"/>
      <c r="DZ44" s="1837"/>
      <c r="EA44" s="1838"/>
      <c r="EB44" s="1839"/>
      <c r="EC44" s="1840"/>
      <c r="ED44" s="1837"/>
      <c r="EE44" s="1838"/>
      <c r="EF44" s="1837"/>
      <c r="EG44" s="1838"/>
      <c r="EH44" s="1838"/>
      <c r="EI44" s="1840"/>
      <c r="EJ44" s="1837"/>
      <c r="EK44" s="1838"/>
      <c r="EL44" s="1837"/>
      <c r="EM44" s="1838"/>
      <c r="EN44" s="1839"/>
      <c r="EO44" s="1840"/>
      <c r="EP44" s="1837"/>
      <c r="EQ44" s="1838"/>
      <c r="ER44" s="1837"/>
      <c r="ES44" s="1838"/>
      <c r="ET44" s="1902"/>
      <c r="EU44" s="1840"/>
      <c r="EV44" s="1837"/>
      <c r="EW44" s="1838"/>
      <c r="EX44" s="1837"/>
      <c r="EY44" s="1838"/>
      <c r="EZ44" s="1902"/>
      <c r="FA44" s="1840"/>
      <c r="FB44" s="1837"/>
      <c r="FC44" s="1838"/>
      <c r="FD44" s="1837"/>
      <c r="FE44" s="1838"/>
      <c r="FF44" s="1902"/>
      <c r="FG44" s="1840"/>
      <c r="FH44" s="1837"/>
      <c r="FI44" s="1838"/>
      <c r="FJ44" s="1837"/>
      <c r="FK44" s="1838"/>
      <c r="FL44" s="1902"/>
      <c r="FM44" s="1840"/>
      <c r="FN44" s="1837"/>
      <c r="FO44" s="1838"/>
      <c r="FP44" s="1837"/>
      <c r="FQ44" s="1838"/>
      <c r="FR44" s="1902"/>
      <c r="FS44" s="1840"/>
      <c r="FT44" s="1837"/>
      <c r="FU44" s="1838"/>
      <c r="FV44" s="1837"/>
      <c r="FW44" s="1838"/>
      <c r="FX44" s="1902"/>
      <c r="FY44" s="1840"/>
      <c r="FZ44" s="1837"/>
      <c r="GA44" s="1838"/>
      <c r="GB44" s="1837"/>
      <c r="GC44" s="1838"/>
      <c r="GD44" s="1902"/>
      <c r="GE44" s="1840"/>
      <c r="GF44" s="1837"/>
      <c r="GG44" s="1838"/>
      <c r="GH44" s="1837"/>
      <c r="GI44" s="1838"/>
      <c r="GJ44" s="1902"/>
      <c r="GK44" s="1840"/>
      <c r="GL44" s="1837"/>
      <c r="GM44" s="1838"/>
      <c r="GN44" s="1837"/>
      <c r="GO44" s="1838"/>
      <c r="GP44" s="1902"/>
    </row>
    <row r="45" spans="1:198" ht="20.100000000000001" hidden="1" customHeight="1" outlineLevel="1" collapsed="1">
      <c r="A45" s="2647"/>
      <c r="B45" s="2758"/>
      <c r="C45" s="1836"/>
      <c r="D45" s="2614" t="str">
        <f>実績!C874&amp;"("&amp;SUBSTITUTE(実績!R874&amp;")","有限会社 ","")</f>
        <v>KO-HOUSE(窪田建築アトリエ)</v>
      </c>
      <c r="E45" s="2615"/>
      <c r="F45" s="2615"/>
      <c r="G45" s="2615"/>
      <c r="H45" s="2615"/>
      <c r="I45" s="2615"/>
      <c r="J45" s="2615"/>
      <c r="K45" s="2615"/>
      <c r="L45" s="2615"/>
      <c r="M45" s="2615"/>
      <c r="N45" s="2615"/>
      <c r="O45" s="2615"/>
      <c r="P45" s="2615"/>
      <c r="Q45" s="2615"/>
      <c r="R45" s="1976"/>
      <c r="S45" s="1837"/>
      <c r="T45" s="1837"/>
      <c r="U45" s="1838"/>
      <c r="V45" s="1837"/>
      <c r="W45" s="1838"/>
      <c r="X45" s="1839"/>
      <c r="Y45" s="1837"/>
      <c r="Z45" s="1837"/>
      <c r="AA45" s="1838"/>
      <c r="AB45" s="1837"/>
      <c r="AC45" s="1838"/>
      <c r="AD45" s="1837"/>
      <c r="AE45" s="1837"/>
      <c r="AF45" s="1837"/>
      <c r="AG45" s="1838"/>
      <c r="AH45" s="1837"/>
      <c r="AI45" s="1838"/>
      <c r="AJ45" s="1839"/>
      <c r="AK45" s="1837"/>
      <c r="AL45" s="1837"/>
      <c r="AM45" s="1838"/>
      <c r="AN45" s="1837"/>
      <c r="AO45" s="1838"/>
      <c r="AP45" s="1837"/>
      <c r="AQ45" s="1841"/>
      <c r="AR45" s="1837"/>
      <c r="AS45" s="1838"/>
      <c r="AT45" s="1837"/>
      <c r="AU45" s="1838"/>
      <c r="AV45" s="1839"/>
      <c r="AW45" s="1840"/>
      <c r="AX45" s="1837"/>
      <c r="AY45" s="1838"/>
      <c r="AZ45" s="1837" t="s">
        <v>9165</v>
      </c>
      <c r="BA45" s="1838"/>
      <c r="BB45" s="1839"/>
      <c r="BC45" s="1837"/>
      <c r="BD45" s="1837"/>
      <c r="BE45" s="1838"/>
      <c r="BF45" s="1837"/>
      <c r="BG45" s="1838"/>
      <c r="BH45" s="1837"/>
      <c r="BI45" s="1840"/>
      <c r="BJ45" s="1837"/>
      <c r="BK45" s="1838"/>
      <c r="BL45" s="1842"/>
      <c r="BM45" s="1838"/>
      <c r="BN45" s="1839"/>
      <c r="BO45" s="1840"/>
      <c r="BP45" s="1837"/>
      <c r="BQ45" s="1838"/>
      <c r="BR45" s="1842"/>
      <c r="BS45" s="1838"/>
      <c r="BT45" s="1839"/>
      <c r="BU45" s="1840"/>
      <c r="BV45" s="1837"/>
      <c r="BW45" s="1838"/>
      <c r="BX45" s="1837"/>
      <c r="BY45" s="1838"/>
      <c r="BZ45" s="1844"/>
      <c r="CA45" s="1840" t="s">
        <v>10083</v>
      </c>
      <c r="CB45" s="1837"/>
      <c r="CC45" s="1838"/>
      <c r="CD45" s="1837"/>
      <c r="CE45" s="1838"/>
      <c r="CF45" s="1839"/>
      <c r="CG45" s="1840"/>
      <c r="CH45" s="1837"/>
      <c r="CI45" s="1838"/>
      <c r="CJ45" s="1837"/>
      <c r="CK45" s="1838"/>
      <c r="CL45" s="1839"/>
      <c r="CM45" s="1840"/>
      <c r="CN45" s="1837"/>
      <c r="CO45" s="1838"/>
      <c r="CP45" s="1837"/>
      <c r="CQ45" s="1838"/>
      <c r="CR45" s="1839"/>
      <c r="CS45" s="1840"/>
      <c r="CT45" s="1837"/>
      <c r="CU45" s="1838"/>
      <c r="CV45" s="1837"/>
      <c r="CW45" s="1838"/>
      <c r="CX45" s="1839"/>
      <c r="CY45" s="1840"/>
      <c r="CZ45" s="1837"/>
      <c r="DA45" s="1838"/>
      <c r="DB45" s="1837"/>
      <c r="DC45" s="1838"/>
      <c r="DD45" s="1839"/>
      <c r="DE45" s="1840"/>
      <c r="DF45" s="1837"/>
      <c r="DG45" s="1838"/>
      <c r="DH45" s="1837"/>
      <c r="DI45" s="1838"/>
      <c r="DJ45" s="1839"/>
      <c r="DK45" s="1840"/>
      <c r="DL45" s="1837"/>
      <c r="DM45" s="1838"/>
      <c r="DN45" s="1837"/>
      <c r="DO45" s="1838"/>
      <c r="DP45" s="1837"/>
      <c r="DQ45" s="1853"/>
      <c r="DR45" s="1837"/>
      <c r="DS45" s="1838"/>
      <c r="DT45" s="1842"/>
      <c r="DU45" s="1837"/>
      <c r="DV45" s="1839"/>
      <c r="DW45" s="1840"/>
      <c r="DX45" s="1837"/>
      <c r="DY45" s="1838"/>
      <c r="DZ45" s="1837"/>
      <c r="EA45" s="1838"/>
      <c r="EB45" s="1839"/>
      <c r="EC45" s="1840"/>
      <c r="ED45" s="1837"/>
      <c r="EE45" s="1838"/>
      <c r="EF45" s="1837"/>
      <c r="EG45" s="1838"/>
      <c r="EH45" s="1838"/>
      <c r="EI45" s="1840"/>
      <c r="EJ45" s="1837"/>
      <c r="EK45" s="1838"/>
      <c r="EL45" s="1837"/>
      <c r="EM45" s="1838"/>
      <c r="EN45" s="1839"/>
      <c r="EO45" s="1840"/>
      <c r="EP45" s="1837"/>
      <c r="EQ45" s="1838"/>
      <c r="ER45" s="1837"/>
      <c r="ES45" s="1838"/>
      <c r="ET45" s="1902"/>
      <c r="EU45" s="1840"/>
      <c r="EV45" s="1837"/>
      <c r="EW45" s="1838"/>
      <c r="EX45" s="1837"/>
      <c r="EY45" s="1838"/>
      <c r="EZ45" s="1902"/>
      <c r="FA45" s="1840"/>
      <c r="FB45" s="1837"/>
      <c r="FC45" s="1838"/>
      <c r="FD45" s="1837"/>
      <c r="FE45" s="1838"/>
      <c r="FF45" s="1902"/>
      <c r="FG45" s="1840"/>
      <c r="FH45" s="1837"/>
      <c r="FI45" s="1838"/>
      <c r="FJ45" s="1837"/>
      <c r="FK45" s="1838"/>
      <c r="FL45" s="1902"/>
      <c r="FM45" s="1840"/>
      <c r="FN45" s="1837"/>
      <c r="FO45" s="1838"/>
      <c r="FP45" s="1837"/>
      <c r="FQ45" s="1838"/>
      <c r="FR45" s="1902"/>
      <c r="FS45" s="1840"/>
      <c r="FT45" s="1837"/>
      <c r="FU45" s="1838"/>
      <c r="FV45" s="1837"/>
      <c r="FW45" s="1838"/>
      <c r="FX45" s="1902"/>
      <c r="FY45" s="1840"/>
      <c r="FZ45" s="1837"/>
      <c r="GA45" s="1838"/>
      <c r="GB45" s="1837"/>
      <c r="GC45" s="1838"/>
      <c r="GD45" s="1902"/>
      <c r="GE45" s="1840"/>
      <c r="GF45" s="1837"/>
      <c r="GG45" s="1838"/>
      <c r="GH45" s="1837"/>
      <c r="GI45" s="1838"/>
      <c r="GJ45" s="1902"/>
      <c r="GK45" s="1840"/>
      <c r="GL45" s="1837"/>
      <c r="GM45" s="1838"/>
      <c r="GN45" s="1837"/>
      <c r="GO45" s="1838"/>
      <c r="GP45" s="1902"/>
    </row>
    <row r="46" spans="1:198" ht="20.100000000000001" hidden="1" customHeight="1" outlineLevel="1" collapsed="1">
      <c r="A46" s="2647"/>
      <c r="B46" s="2758"/>
      <c r="C46" s="1836"/>
      <c r="D46" s="2614" t="str">
        <f>実績!C1255&amp;"("&amp;SUBSTITUTE(実績!R1255&amp;")","株式会社 ","")</f>
        <v>バロー領下(上野山都市設計)</v>
      </c>
      <c r="E46" s="2617"/>
      <c r="F46" s="2617"/>
      <c r="G46" s="2617"/>
      <c r="H46" s="2617"/>
      <c r="I46" s="2617"/>
      <c r="J46" s="2617"/>
      <c r="K46" s="2617"/>
      <c r="L46" s="2617"/>
      <c r="M46" s="2617"/>
      <c r="N46" s="2617"/>
      <c r="O46" s="2617"/>
      <c r="P46" s="2617"/>
      <c r="Q46" s="2617"/>
      <c r="R46" s="1978"/>
      <c r="S46" s="1837"/>
      <c r="T46" s="1837"/>
      <c r="U46" s="1838"/>
      <c r="V46" s="1837"/>
      <c r="W46" s="1838"/>
      <c r="X46" s="1839"/>
      <c r="Y46" s="1837"/>
      <c r="Z46" s="1837"/>
      <c r="AA46" s="1838"/>
      <c r="AB46" s="1837"/>
      <c r="AC46" s="1838"/>
      <c r="AD46" s="1837"/>
      <c r="AE46" s="1840"/>
      <c r="AF46" s="1837"/>
      <c r="AG46" s="1838"/>
      <c r="AH46" s="1837"/>
      <c r="AI46" s="1838"/>
      <c r="AJ46" s="1839"/>
      <c r="AK46" s="1837"/>
      <c r="AL46" s="1837"/>
      <c r="AM46" s="1838"/>
      <c r="AN46" s="1837"/>
      <c r="AO46" s="1838"/>
      <c r="AP46" s="1837"/>
      <c r="AQ46" s="1841"/>
      <c r="AR46" s="1837"/>
      <c r="AS46" s="1838"/>
      <c r="AT46" s="1837"/>
      <c r="AU46" s="1838" t="s">
        <v>8352</v>
      </c>
      <c r="AV46" s="1839"/>
      <c r="AW46" s="1840"/>
      <c r="AX46" s="1837"/>
      <c r="AY46" s="1838"/>
      <c r="AZ46" s="1837"/>
      <c r="BA46" s="1838"/>
      <c r="BB46" s="1839"/>
      <c r="BC46" s="1837"/>
      <c r="BD46" s="1837"/>
      <c r="BE46" s="1838"/>
      <c r="BF46" s="1837"/>
      <c r="BG46" s="1838"/>
      <c r="BH46" s="1837"/>
      <c r="BI46" s="1840"/>
      <c r="BJ46" s="1837"/>
      <c r="BK46" s="1838"/>
      <c r="BL46" s="1837"/>
      <c r="BM46" s="1838"/>
      <c r="BN46" s="1839"/>
      <c r="BO46" s="1840"/>
      <c r="BP46" s="1837"/>
      <c r="BQ46" s="1838"/>
      <c r="BR46" s="1837"/>
      <c r="BS46" s="1838"/>
      <c r="BT46" s="1839"/>
      <c r="BU46" s="1840"/>
      <c r="BV46" s="1837"/>
      <c r="BW46" s="1838"/>
      <c r="BX46" s="1837"/>
      <c r="BY46" s="1838"/>
      <c r="BZ46" s="1839"/>
      <c r="CA46" s="1840"/>
      <c r="CB46" s="1837"/>
      <c r="CC46" s="1838"/>
      <c r="CD46" s="1837"/>
      <c r="CE46" s="1838"/>
      <c r="CF46" s="1839" t="s">
        <v>10260</v>
      </c>
      <c r="CG46" s="1840"/>
      <c r="CH46" s="1837"/>
      <c r="CI46" s="1838"/>
      <c r="CJ46" s="1837" t="s">
        <v>10440</v>
      </c>
      <c r="CK46" s="1838"/>
      <c r="CL46" s="1839"/>
      <c r="CM46" s="1840"/>
      <c r="CN46" s="1837"/>
      <c r="CO46" s="1838"/>
      <c r="CP46" s="1837"/>
      <c r="CQ46" s="1838"/>
      <c r="CR46" s="1839"/>
      <c r="CS46" s="1840"/>
      <c r="CT46" s="1837"/>
      <c r="CU46" s="1838"/>
      <c r="CV46" s="1837"/>
      <c r="CW46" s="1838"/>
      <c r="CX46" s="1839"/>
      <c r="CY46" s="1840"/>
      <c r="CZ46" s="1837"/>
      <c r="DA46" s="1838" t="s">
        <v>10441</v>
      </c>
      <c r="DB46" s="1837"/>
      <c r="DC46" s="1838"/>
      <c r="DD46" s="1839"/>
      <c r="DE46" s="1840"/>
      <c r="DF46" s="1837"/>
      <c r="DG46" s="1838"/>
      <c r="DH46" s="1837"/>
      <c r="DI46" s="1838"/>
      <c r="DJ46" s="1839"/>
      <c r="DK46" s="1840"/>
      <c r="DL46" s="1837"/>
      <c r="DM46" s="1838"/>
      <c r="DN46" s="1837"/>
      <c r="DO46" s="1838"/>
      <c r="DP46" s="1837"/>
      <c r="DQ46" s="1853"/>
      <c r="DR46" s="1837"/>
      <c r="DS46" s="1838"/>
      <c r="DT46" s="1842"/>
      <c r="DU46" s="1837"/>
      <c r="DV46" s="1839"/>
      <c r="DW46" s="1840"/>
      <c r="DX46" s="1837"/>
      <c r="DY46" s="1838"/>
      <c r="DZ46" s="1837"/>
      <c r="EA46" s="1838"/>
      <c r="EB46" s="1839"/>
      <c r="EC46" s="1840"/>
      <c r="ED46" s="1837"/>
      <c r="EE46" s="1838"/>
      <c r="EF46" s="1837"/>
      <c r="EG46" s="1838"/>
      <c r="EH46" s="1838"/>
      <c r="EI46" s="1840"/>
      <c r="EJ46" s="1837"/>
      <c r="EK46" s="1838"/>
      <c r="EL46" s="1837"/>
      <c r="EM46" s="1838"/>
      <c r="EN46" s="1839"/>
      <c r="EO46" s="1840"/>
      <c r="EP46" s="1837"/>
      <c r="EQ46" s="1838"/>
      <c r="ER46" s="1837"/>
      <c r="ES46" s="1838"/>
      <c r="ET46" s="1902"/>
      <c r="EU46" s="1840"/>
      <c r="EV46" s="1837"/>
      <c r="EW46" s="1838"/>
      <c r="EX46" s="1837"/>
      <c r="EY46" s="1838"/>
      <c r="EZ46" s="1902"/>
      <c r="FA46" s="1840"/>
      <c r="FB46" s="1837"/>
      <c r="FC46" s="1838"/>
      <c r="FD46" s="1837"/>
      <c r="FE46" s="1838"/>
      <c r="FF46" s="1902"/>
      <c r="FG46" s="1840"/>
      <c r="FH46" s="1837"/>
      <c r="FI46" s="1838"/>
      <c r="FJ46" s="1837"/>
      <c r="FK46" s="1838"/>
      <c r="FL46" s="1902"/>
      <c r="FM46" s="1840"/>
      <c r="FN46" s="1837"/>
      <c r="FO46" s="1838"/>
      <c r="FP46" s="1837"/>
      <c r="FQ46" s="1838"/>
      <c r="FR46" s="1902"/>
      <c r="FS46" s="1840"/>
      <c r="FT46" s="1837"/>
      <c r="FU46" s="1838"/>
      <c r="FV46" s="1837"/>
      <c r="FW46" s="1838"/>
      <c r="FX46" s="1902"/>
      <c r="FY46" s="1840"/>
      <c r="FZ46" s="1837"/>
      <c r="GA46" s="1838"/>
      <c r="GB46" s="1837"/>
      <c r="GC46" s="1838"/>
      <c r="GD46" s="1902"/>
      <c r="GE46" s="1840"/>
      <c r="GF46" s="1837"/>
      <c r="GG46" s="1838"/>
      <c r="GH46" s="1837"/>
      <c r="GI46" s="1838"/>
      <c r="GJ46" s="1902"/>
      <c r="GK46" s="1840"/>
      <c r="GL46" s="1837"/>
      <c r="GM46" s="1838"/>
      <c r="GN46" s="1837"/>
      <c r="GO46" s="1838"/>
      <c r="GP46" s="1902"/>
    </row>
    <row r="47" spans="1:198" ht="20.100000000000001" hidden="1" customHeight="1" outlineLevel="1">
      <c r="A47" s="2647"/>
      <c r="B47" s="2758"/>
      <c r="C47" s="1836"/>
      <c r="D47" s="2614" t="str">
        <f>実績!C1261&amp;"("&amp;SUBSTITUTE(実績!AB1261&amp;")","株式会社 ","")</f>
        <v>BMW姫路(カーダクレッセ)</v>
      </c>
      <c r="E47" s="2617"/>
      <c r="F47" s="2617"/>
      <c r="G47" s="2617"/>
      <c r="H47" s="2617"/>
      <c r="I47" s="2617"/>
      <c r="J47" s="2617"/>
      <c r="K47" s="2617"/>
      <c r="L47" s="2617"/>
      <c r="M47" s="2617"/>
      <c r="N47" s="2617"/>
      <c r="O47" s="2617"/>
      <c r="P47" s="2617"/>
      <c r="Q47" s="2617"/>
      <c r="R47" s="1978"/>
      <c r="S47" s="1837"/>
      <c r="T47" s="1837"/>
      <c r="U47" s="1838"/>
      <c r="V47" s="1837"/>
      <c r="W47" s="1838"/>
      <c r="X47" s="1839"/>
      <c r="Y47" s="1837"/>
      <c r="Z47" s="1837"/>
      <c r="AA47" s="1838"/>
      <c r="AB47" s="1837"/>
      <c r="AC47" s="1838"/>
      <c r="AD47" s="1837"/>
      <c r="AE47" s="1840"/>
      <c r="AF47" s="1837"/>
      <c r="AG47" s="1838"/>
      <c r="AH47" s="1837"/>
      <c r="AI47" s="1838"/>
      <c r="AJ47" s="1839"/>
      <c r="AK47" s="1837"/>
      <c r="AL47" s="1837"/>
      <c r="AM47" s="1838"/>
      <c r="AN47" s="1837"/>
      <c r="AO47" s="1838"/>
      <c r="AP47" s="1837"/>
      <c r="AQ47" s="1841"/>
      <c r="AR47" s="1837"/>
      <c r="AS47" s="1838"/>
      <c r="AT47" s="1837"/>
      <c r="AU47" s="1838" t="s">
        <v>8352</v>
      </c>
      <c r="AV47" s="1839"/>
      <c r="AW47" s="1840"/>
      <c r="AX47" s="1837"/>
      <c r="AY47" s="1838"/>
      <c r="AZ47" s="1837"/>
      <c r="BA47" s="1838"/>
      <c r="BB47" s="1839"/>
      <c r="BC47" s="1837"/>
      <c r="BD47" s="1837"/>
      <c r="BE47" s="1838"/>
      <c r="BF47" s="1837"/>
      <c r="BG47" s="1838"/>
      <c r="BH47" s="1837"/>
      <c r="BI47" s="1840"/>
      <c r="BJ47" s="1837"/>
      <c r="BK47" s="1838"/>
      <c r="BL47" s="1837"/>
      <c r="BM47" s="1838"/>
      <c r="BN47" s="1839"/>
      <c r="BO47" s="1840"/>
      <c r="BP47" s="1837"/>
      <c r="BQ47" s="1838"/>
      <c r="BR47" s="1837"/>
      <c r="BS47" s="1838"/>
      <c r="BT47" s="1839"/>
      <c r="BU47" s="1840"/>
      <c r="BV47" s="1837"/>
      <c r="BW47" s="1838"/>
      <c r="BX47" s="1837"/>
      <c r="BY47" s="1838"/>
      <c r="BZ47" s="1839"/>
      <c r="CA47" s="1840"/>
      <c r="CB47" s="1837"/>
      <c r="CC47" s="1838"/>
      <c r="CD47" s="1837"/>
      <c r="CE47" s="1838"/>
      <c r="CF47" s="1839"/>
      <c r="CG47" s="1840"/>
      <c r="CH47" s="1837"/>
      <c r="CI47" s="1838" t="s">
        <v>9992</v>
      </c>
      <c r="CJ47" s="1837"/>
      <c r="CK47" s="1838" t="s">
        <v>9990</v>
      </c>
      <c r="CL47" s="1839"/>
      <c r="CM47" s="1840"/>
      <c r="CN47" s="1837"/>
      <c r="CO47" s="1838"/>
      <c r="CP47" s="1837"/>
      <c r="CQ47" s="1838"/>
      <c r="CR47" s="1839"/>
      <c r="CS47" s="1840"/>
      <c r="CT47" s="1837"/>
      <c r="CU47" s="1838"/>
      <c r="CV47" s="1837"/>
      <c r="CW47" s="1838" t="s">
        <v>9991</v>
      </c>
      <c r="CX47" s="1839"/>
      <c r="CY47" s="1840"/>
      <c r="CZ47" s="1837"/>
      <c r="DA47" s="1838"/>
      <c r="DB47" s="1837"/>
      <c r="DC47" s="1838"/>
      <c r="DD47" s="1839"/>
      <c r="DE47" s="1840"/>
      <c r="DF47" s="1837"/>
      <c r="DG47" s="1838"/>
      <c r="DH47" s="1837"/>
      <c r="DI47" s="1838"/>
      <c r="DJ47" s="1839"/>
      <c r="DK47" s="1840"/>
      <c r="DL47" s="1837"/>
      <c r="DM47" s="1838"/>
      <c r="DN47" s="1837"/>
      <c r="DO47" s="1838"/>
      <c r="DP47" s="1837"/>
      <c r="DQ47" s="1853"/>
      <c r="DR47" s="1837"/>
      <c r="DS47" s="1838"/>
      <c r="DT47" s="1842"/>
      <c r="DU47" s="1837"/>
      <c r="DV47" s="1839"/>
      <c r="DW47" s="1840"/>
      <c r="DX47" s="1837"/>
      <c r="DY47" s="1838"/>
      <c r="DZ47" s="1837"/>
      <c r="EA47" s="1838"/>
      <c r="EB47" s="1839"/>
      <c r="EC47" s="1840"/>
      <c r="ED47" s="1837"/>
      <c r="EE47" s="1838"/>
      <c r="EF47" s="1837"/>
      <c r="EG47" s="1838"/>
      <c r="EH47" s="1838"/>
      <c r="EI47" s="1840"/>
      <c r="EJ47" s="1837"/>
      <c r="EK47" s="1838"/>
      <c r="EL47" s="1837"/>
      <c r="EM47" s="1838"/>
      <c r="EN47" s="1839"/>
      <c r="EO47" s="1840"/>
      <c r="EP47" s="1837"/>
      <c r="EQ47" s="1838"/>
      <c r="ER47" s="1837"/>
      <c r="ES47" s="1838"/>
      <c r="ET47" s="1902"/>
      <c r="EU47" s="1840"/>
      <c r="EV47" s="1837"/>
      <c r="EW47" s="1838"/>
      <c r="EX47" s="1837"/>
      <c r="EY47" s="1838"/>
      <c r="EZ47" s="1902"/>
      <c r="FA47" s="1840"/>
      <c r="FB47" s="1837"/>
      <c r="FC47" s="1838"/>
      <c r="FD47" s="1837"/>
      <c r="FE47" s="1838"/>
      <c r="FF47" s="1902"/>
      <c r="FG47" s="1840"/>
      <c r="FH47" s="1837"/>
      <c r="FI47" s="1838"/>
      <c r="FJ47" s="1837"/>
      <c r="FK47" s="1838"/>
      <c r="FL47" s="1902"/>
      <c r="FM47" s="1840"/>
      <c r="FN47" s="1837"/>
      <c r="FO47" s="1838"/>
      <c r="FP47" s="1837"/>
      <c r="FQ47" s="1838"/>
      <c r="FR47" s="1902"/>
      <c r="FS47" s="1840"/>
      <c r="FT47" s="1837"/>
      <c r="FU47" s="1838"/>
      <c r="FV47" s="1837"/>
      <c r="FW47" s="1838"/>
      <c r="FX47" s="1902"/>
      <c r="FY47" s="1840"/>
      <c r="FZ47" s="1837"/>
      <c r="GA47" s="1838"/>
      <c r="GB47" s="1837"/>
      <c r="GC47" s="1838"/>
      <c r="GD47" s="1902"/>
      <c r="GE47" s="1840"/>
      <c r="GF47" s="1837"/>
      <c r="GG47" s="1838"/>
      <c r="GH47" s="1837"/>
      <c r="GI47" s="1838"/>
      <c r="GJ47" s="1902"/>
      <c r="GK47" s="1840"/>
      <c r="GL47" s="1837"/>
      <c r="GM47" s="1838"/>
      <c r="GN47" s="1837"/>
      <c r="GO47" s="1838"/>
      <c r="GP47" s="1902"/>
    </row>
    <row r="48" spans="1:198" ht="20.100000000000001" hidden="1" customHeight="1" outlineLevel="1" collapsed="1">
      <c r="A48" s="2647"/>
      <c r="B48" s="2758"/>
      <c r="C48" s="1836"/>
      <c r="D48" s="2614" t="str">
        <f>実績!C1227&amp;"("&amp;SUBSTITUTE(実績!R1227&amp;")","有限会社 ","")</f>
        <v>K幼保連携型認定こども園(アークスコーベ)</v>
      </c>
      <c r="E48" s="2615"/>
      <c r="F48" s="2615"/>
      <c r="G48" s="2615"/>
      <c r="H48" s="2615"/>
      <c r="I48" s="2615"/>
      <c r="J48" s="2615"/>
      <c r="K48" s="2615"/>
      <c r="L48" s="2615"/>
      <c r="M48" s="2615"/>
      <c r="N48" s="2615"/>
      <c r="O48" s="2615"/>
      <c r="P48" s="2615"/>
      <c r="Q48" s="2615"/>
      <c r="R48" s="1976"/>
      <c r="S48" s="1837"/>
      <c r="T48" s="1837"/>
      <c r="U48" s="1838"/>
      <c r="V48" s="1837"/>
      <c r="W48" s="1838"/>
      <c r="X48" s="1839"/>
      <c r="Y48" s="1837"/>
      <c r="Z48" s="1837"/>
      <c r="AA48" s="1838"/>
      <c r="AB48" s="1837"/>
      <c r="AC48" s="1838"/>
      <c r="AD48" s="1837"/>
      <c r="AE48" s="1837"/>
      <c r="AF48" s="1837"/>
      <c r="AG48" s="1838"/>
      <c r="AH48" s="1837"/>
      <c r="AI48" s="1838"/>
      <c r="AJ48" s="1839"/>
      <c r="AK48" s="1837"/>
      <c r="AL48" s="1837"/>
      <c r="AM48" s="1838"/>
      <c r="AN48" s="1837"/>
      <c r="AO48" s="1838"/>
      <c r="AP48" s="1837"/>
      <c r="AQ48" s="1841"/>
      <c r="AR48" s="1837"/>
      <c r="AS48" s="1838"/>
      <c r="AT48" s="1837"/>
      <c r="AU48" s="1838"/>
      <c r="AV48" s="1839"/>
      <c r="AW48" s="1840"/>
      <c r="AX48" s="1837"/>
      <c r="AY48" s="1838"/>
      <c r="AZ48" s="1837" t="s">
        <v>9165</v>
      </c>
      <c r="BA48" s="1838"/>
      <c r="BB48" s="1839"/>
      <c r="BC48" s="1837"/>
      <c r="BD48" s="1837"/>
      <c r="BE48" s="1838"/>
      <c r="BF48" s="1837"/>
      <c r="BG48" s="1838"/>
      <c r="BH48" s="1837"/>
      <c r="BI48" s="1840"/>
      <c r="BJ48" s="1837"/>
      <c r="BK48" s="1838"/>
      <c r="BL48" s="1842"/>
      <c r="BM48" s="1838"/>
      <c r="BN48" s="1839"/>
      <c r="BO48" s="1840"/>
      <c r="BP48" s="1837"/>
      <c r="BQ48" s="1838"/>
      <c r="BR48" s="1842"/>
      <c r="BS48" s="1838"/>
      <c r="BT48" s="1839"/>
      <c r="BU48" s="1840"/>
      <c r="BV48" s="1837"/>
      <c r="BW48" s="1838"/>
      <c r="BX48" s="1837"/>
      <c r="BY48" s="1838"/>
      <c r="BZ48" s="1844" t="s">
        <v>9814</v>
      </c>
      <c r="CA48" s="1840"/>
      <c r="CB48" s="1837"/>
      <c r="CC48" s="1838"/>
      <c r="CD48" s="1837"/>
      <c r="CE48" s="1838"/>
      <c r="CF48" s="1839"/>
      <c r="CG48" s="1840"/>
      <c r="CH48" s="1837"/>
      <c r="CI48" s="1838"/>
      <c r="CJ48" s="1837"/>
      <c r="CK48" s="1838"/>
      <c r="CL48" s="1839"/>
      <c r="CM48" s="1840" t="s">
        <v>9816</v>
      </c>
      <c r="CN48" s="1837"/>
      <c r="CO48" s="1838"/>
      <c r="CP48" s="1837"/>
      <c r="CQ48" s="1838"/>
      <c r="CR48" s="1839"/>
      <c r="CS48" s="1840"/>
      <c r="CT48" s="1837"/>
      <c r="CU48" s="1838"/>
      <c r="CV48" s="1837"/>
      <c r="CW48" s="1838"/>
      <c r="CX48" s="1839"/>
      <c r="CY48" s="1840"/>
      <c r="CZ48" s="1837"/>
      <c r="DA48" s="1838"/>
      <c r="DB48" s="1837"/>
      <c r="DC48" s="1838"/>
      <c r="DD48" s="1839"/>
      <c r="DE48" s="1840"/>
      <c r="DF48" s="1837"/>
      <c r="DG48" s="1838"/>
      <c r="DH48" s="1837"/>
      <c r="DI48" s="1838"/>
      <c r="DJ48" s="1839"/>
      <c r="DK48" s="1840"/>
      <c r="DL48" s="1837"/>
      <c r="DM48" s="1838"/>
      <c r="DN48" s="1837"/>
      <c r="DO48" s="1838"/>
      <c r="DP48" s="1837"/>
      <c r="DQ48" s="1853"/>
      <c r="DR48" s="1837"/>
      <c r="DS48" s="1838"/>
      <c r="DT48" s="1842"/>
      <c r="DU48" s="1837"/>
      <c r="DV48" s="1839"/>
      <c r="DW48" s="1840"/>
      <c r="DX48" s="1837"/>
      <c r="DY48" s="1838"/>
      <c r="DZ48" s="1837"/>
      <c r="EA48" s="1838"/>
      <c r="EB48" s="1839"/>
      <c r="EC48" s="1840"/>
      <c r="ED48" s="1837"/>
      <c r="EE48" s="1838"/>
      <c r="EF48" s="1837"/>
      <c r="EG48" s="1838"/>
      <c r="EH48" s="1838"/>
      <c r="EI48" s="1840"/>
      <c r="EJ48" s="1837"/>
      <c r="EK48" s="1838"/>
      <c r="EL48" s="1837"/>
      <c r="EM48" s="1838"/>
      <c r="EN48" s="1839"/>
      <c r="EO48" s="1840"/>
      <c r="EP48" s="1837"/>
      <c r="EQ48" s="1838"/>
      <c r="ER48" s="1837"/>
      <c r="ES48" s="1838"/>
      <c r="ET48" s="1902"/>
      <c r="EU48" s="1840"/>
      <c r="EV48" s="1837"/>
      <c r="EW48" s="1838"/>
      <c r="EX48" s="1837"/>
      <c r="EY48" s="1838"/>
      <c r="EZ48" s="1902"/>
      <c r="FA48" s="1840"/>
      <c r="FB48" s="1837"/>
      <c r="FC48" s="1838"/>
      <c r="FD48" s="1837"/>
      <c r="FE48" s="1838"/>
      <c r="FF48" s="1902"/>
      <c r="FG48" s="1840"/>
      <c r="FH48" s="1837"/>
      <c r="FI48" s="1838"/>
      <c r="FJ48" s="1837"/>
      <c r="FK48" s="1838"/>
      <c r="FL48" s="1902"/>
      <c r="FM48" s="1840"/>
      <c r="FN48" s="1837"/>
      <c r="FO48" s="1838"/>
      <c r="FP48" s="1837"/>
      <c r="FQ48" s="1838"/>
      <c r="FR48" s="1902"/>
      <c r="FS48" s="1840"/>
      <c r="FT48" s="1837"/>
      <c r="FU48" s="1838"/>
      <c r="FV48" s="1837"/>
      <c r="FW48" s="1838"/>
      <c r="FX48" s="1902"/>
      <c r="FY48" s="1840"/>
      <c r="FZ48" s="1837"/>
      <c r="GA48" s="1838"/>
      <c r="GB48" s="1837"/>
      <c r="GC48" s="1838"/>
      <c r="GD48" s="1902"/>
      <c r="GE48" s="1840"/>
      <c r="GF48" s="1837"/>
      <c r="GG48" s="1838"/>
      <c r="GH48" s="1837"/>
      <c r="GI48" s="1838"/>
      <c r="GJ48" s="1902"/>
      <c r="GK48" s="1840"/>
      <c r="GL48" s="1837"/>
      <c r="GM48" s="1838"/>
      <c r="GN48" s="1837"/>
      <c r="GO48" s="1838"/>
      <c r="GP48" s="1902"/>
    </row>
    <row r="49" spans="1:198" ht="20.100000000000001" hidden="1" customHeight="1" outlineLevel="1" collapsed="1">
      <c r="A49" s="2647"/>
      <c r="B49" s="2758"/>
      <c r="C49" s="1836"/>
      <c r="D49" s="2614" t="str">
        <f>実績!C1290&amp;"("&amp;SUBSTITUTE(実績!R1290&amp;")","有限会社 ","")</f>
        <v>島根中央炊飯センター(塩野建築設計事務所)</v>
      </c>
      <c r="E49" s="2617"/>
      <c r="F49" s="2617"/>
      <c r="G49" s="2617"/>
      <c r="H49" s="2617"/>
      <c r="I49" s="2617"/>
      <c r="J49" s="2617"/>
      <c r="K49" s="2617"/>
      <c r="L49" s="2617"/>
      <c r="M49" s="2617"/>
      <c r="N49" s="2617"/>
      <c r="O49" s="2617"/>
      <c r="P49" s="2617"/>
      <c r="Q49" s="2617"/>
      <c r="R49" s="2622"/>
      <c r="S49" s="1837"/>
      <c r="T49" s="1837"/>
      <c r="U49" s="1837"/>
      <c r="V49" s="1837"/>
      <c r="W49" s="1837"/>
      <c r="X49" s="1837"/>
      <c r="Y49" s="1837"/>
      <c r="Z49" s="1837"/>
      <c r="AA49" s="1837"/>
      <c r="AB49" s="1837"/>
      <c r="AC49" s="1837"/>
      <c r="AD49" s="1837"/>
      <c r="AE49" s="1837"/>
      <c r="AF49" s="1837"/>
      <c r="AG49" s="1837"/>
      <c r="AH49" s="1837"/>
      <c r="AI49" s="1837"/>
      <c r="AJ49" s="1837"/>
      <c r="AK49" s="1837"/>
      <c r="AL49" s="1837"/>
      <c r="AM49" s="1837"/>
      <c r="AN49" s="1837"/>
      <c r="AO49" s="1837"/>
      <c r="AP49" s="1837"/>
      <c r="AQ49" s="1837"/>
      <c r="AR49" s="1837"/>
      <c r="AS49" s="1837"/>
      <c r="AT49" s="1837"/>
      <c r="AU49" s="1837"/>
      <c r="AV49" s="1837"/>
      <c r="AW49" s="1837"/>
      <c r="AX49" s="1837"/>
      <c r="AY49" s="1837"/>
      <c r="AZ49" s="1837"/>
      <c r="BA49" s="1837"/>
      <c r="BB49" s="1837"/>
      <c r="BC49" s="1837"/>
      <c r="BD49" s="1837"/>
      <c r="BE49" s="1837"/>
      <c r="BF49" s="1837"/>
      <c r="BG49" s="1837"/>
      <c r="BH49" s="1837"/>
      <c r="BI49" s="1837"/>
      <c r="BJ49" s="1837"/>
      <c r="BK49" s="1837"/>
      <c r="BL49" s="1837"/>
      <c r="BM49" s="1837"/>
      <c r="BN49" s="1837"/>
      <c r="BO49" s="1837"/>
      <c r="BP49" s="1837"/>
      <c r="BQ49" s="1837"/>
      <c r="BR49" s="1837"/>
      <c r="BS49" s="1837"/>
      <c r="BT49" s="1837"/>
      <c r="BU49" s="1840"/>
      <c r="BV49" s="1837"/>
      <c r="BW49" s="1838"/>
      <c r="BX49" s="1837"/>
      <c r="BY49" s="1838"/>
      <c r="BZ49" s="1839"/>
      <c r="CA49" s="1840"/>
      <c r="CB49" s="1837"/>
      <c r="CC49" s="1838"/>
      <c r="CD49" s="1837"/>
      <c r="CE49" s="1838"/>
      <c r="CF49" s="1839"/>
      <c r="CG49" s="1840"/>
      <c r="CH49" s="1837"/>
      <c r="CI49" s="1838"/>
      <c r="CJ49" s="1837"/>
      <c r="CK49" s="1838"/>
      <c r="CL49" s="1839"/>
      <c r="CM49" s="1840"/>
      <c r="CN49" s="1837"/>
      <c r="CO49" s="1838"/>
      <c r="CP49" s="1837"/>
      <c r="CQ49" s="1838"/>
      <c r="CR49" s="1839"/>
      <c r="CS49" s="1840" t="s">
        <v>10649</v>
      </c>
      <c r="CT49" s="1837"/>
      <c r="CU49" s="1838"/>
      <c r="CV49" s="1837"/>
      <c r="CW49" s="1838"/>
      <c r="CX49" s="1839"/>
      <c r="CY49" s="1840"/>
      <c r="CZ49" s="1837"/>
      <c r="DA49" s="1838"/>
      <c r="DB49" s="1837"/>
      <c r="DC49" s="1838"/>
      <c r="DD49" s="1839"/>
      <c r="DE49" s="1840" t="s">
        <v>10558</v>
      </c>
      <c r="DF49" s="1837"/>
      <c r="DG49" s="1838"/>
      <c r="DH49" s="1837"/>
      <c r="DI49" s="1838"/>
      <c r="DJ49" s="1839"/>
      <c r="DK49" s="1840"/>
      <c r="DL49" s="1837"/>
      <c r="DM49" s="1838"/>
      <c r="DN49" s="1837"/>
      <c r="DO49" s="1838"/>
      <c r="DP49" s="1837"/>
      <c r="DQ49" s="1853"/>
      <c r="DR49" s="1837"/>
      <c r="DS49" s="1838"/>
      <c r="DT49" s="1842"/>
      <c r="DU49" s="1837"/>
      <c r="DV49" s="1839"/>
      <c r="DW49" s="1840"/>
      <c r="DX49" s="1837"/>
      <c r="DY49" s="1838"/>
      <c r="DZ49" s="1837"/>
      <c r="EA49" s="1838"/>
      <c r="EB49" s="1839"/>
      <c r="EC49" s="1840"/>
      <c r="ED49" s="1837"/>
      <c r="EE49" s="1838"/>
      <c r="EF49" s="1837"/>
      <c r="EG49" s="1838"/>
      <c r="EH49" s="1838"/>
      <c r="EI49" s="1840"/>
      <c r="EJ49" s="1837"/>
      <c r="EK49" s="1838"/>
      <c r="EL49" s="1837"/>
      <c r="EM49" s="1838"/>
      <c r="EN49" s="1839"/>
      <c r="EO49" s="1840"/>
      <c r="EP49" s="1837"/>
      <c r="EQ49" s="1838"/>
      <c r="ER49" s="1837"/>
      <c r="ES49" s="1838"/>
      <c r="ET49" s="1902"/>
      <c r="EU49" s="1840"/>
      <c r="EV49" s="1837"/>
      <c r="EW49" s="1838"/>
      <c r="EX49" s="1837"/>
      <c r="EY49" s="1838"/>
      <c r="EZ49" s="1902"/>
      <c r="FA49" s="1840"/>
      <c r="FB49" s="1837"/>
      <c r="FC49" s="1838"/>
      <c r="FD49" s="1837"/>
      <c r="FE49" s="1838"/>
      <c r="FF49" s="1902"/>
      <c r="FG49" s="1840"/>
      <c r="FH49" s="1837"/>
      <c r="FI49" s="1838"/>
      <c r="FJ49" s="1837"/>
      <c r="FK49" s="1838"/>
      <c r="FL49" s="1902"/>
      <c r="FM49" s="1840"/>
      <c r="FN49" s="1837"/>
      <c r="FO49" s="1838"/>
      <c r="FP49" s="1837"/>
      <c r="FQ49" s="1838"/>
      <c r="FR49" s="1902"/>
      <c r="FS49" s="1840"/>
      <c r="FT49" s="1837"/>
      <c r="FU49" s="1838"/>
      <c r="FV49" s="1837"/>
      <c r="FW49" s="1838"/>
      <c r="FX49" s="1902"/>
      <c r="FY49" s="1840"/>
      <c r="FZ49" s="1837"/>
      <c r="GA49" s="1838"/>
      <c r="GB49" s="1837"/>
      <c r="GC49" s="1838"/>
      <c r="GD49" s="1902"/>
      <c r="GE49" s="1840"/>
      <c r="GF49" s="1837"/>
      <c r="GG49" s="1838"/>
      <c r="GH49" s="1837"/>
      <c r="GI49" s="1838"/>
      <c r="GJ49" s="1902"/>
      <c r="GK49" s="1840"/>
      <c r="GL49" s="1837"/>
      <c r="GM49" s="1838"/>
      <c r="GN49" s="1837"/>
      <c r="GO49" s="1838"/>
      <c r="GP49" s="1902"/>
    </row>
    <row r="50" spans="1:198" ht="20.100000000000001" hidden="1" customHeight="1" outlineLevel="1">
      <c r="A50" s="2647"/>
      <c r="B50" s="2758"/>
      <c r="C50" s="1836"/>
      <c r="D50" s="2614" t="str">
        <f>実績!C1285&amp;"("&amp;SUBSTITUTE(実績!R1285&amp;")","有限会社 ","")</f>
        <v>V・drug半田乙川(中部設計)</v>
      </c>
      <c r="E50" s="2617"/>
      <c r="F50" s="2617"/>
      <c r="G50" s="2617"/>
      <c r="H50" s="2617"/>
      <c r="I50" s="2617"/>
      <c r="J50" s="2617"/>
      <c r="K50" s="2617"/>
      <c r="L50" s="2617"/>
      <c r="M50" s="2617"/>
      <c r="N50" s="2617"/>
      <c r="O50" s="2617"/>
      <c r="P50" s="2617"/>
      <c r="Q50" s="2617"/>
      <c r="R50" s="2622"/>
      <c r="S50" s="1837"/>
      <c r="T50" s="1837"/>
      <c r="U50" s="1837"/>
      <c r="V50" s="1837"/>
      <c r="W50" s="1837"/>
      <c r="X50" s="1837"/>
      <c r="Y50" s="1837"/>
      <c r="Z50" s="1837"/>
      <c r="AA50" s="1837"/>
      <c r="AB50" s="1837"/>
      <c r="AC50" s="1837"/>
      <c r="AD50" s="1837"/>
      <c r="AE50" s="1837"/>
      <c r="AF50" s="1837"/>
      <c r="AG50" s="1837"/>
      <c r="AH50" s="1837"/>
      <c r="AI50" s="1837"/>
      <c r="AJ50" s="1837"/>
      <c r="AK50" s="1837"/>
      <c r="AL50" s="1837"/>
      <c r="AM50" s="1837"/>
      <c r="AN50" s="1837"/>
      <c r="AO50" s="1837"/>
      <c r="AP50" s="1837"/>
      <c r="AQ50" s="1837"/>
      <c r="AR50" s="1837"/>
      <c r="AS50" s="1837"/>
      <c r="AT50" s="1837"/>
      <c r="AU50" s="1837"/>
      <c r="AV50" s="1837"/>
      <c r="AW50" s="1837"/>
      <c r="AX50" s="1837"/>
      <c r="AY50" s="1837"/>
      <c r="AZ50" s="1837"/>
      <c r="BA50" s="1837"/>
      <c r="BB50" s="1837"/>
      <c r="BC50" s="1837"/>
      <c r="BD50" s="1837"/>
      <c r="BE50" s="1837"/>
      <c r="BF50" s="1837"/>
      <c r="BG50" s="1837"/>
      <c r="BH50" s="1837"/>
      <c r="BI50" s="1837"/>
      <c r="BJ50" s="1837"/>
      <c r="BK50" s="1837"/>
      <c r="BL50" s="1837"/>
      <c r="BM50" s="1837"/>
      <c r="BN50" s="1837"/>
      <c r="BO50" s="1837"/>
      <c r="BP50" s="1837"/>
      <c r="BQ50" s="1837"/>
      <c r="BR50" s="1837"/>
      <c r="BS50" s="1837"/>
      <c r="BT50" s="1837"/>
      <c r="BU50" s="1840"/>
      <c r="BV50" s="1837"/>
      <c r="BW50" s="1838"/>
      <c r="BX50" s="1837"/>
      <c r="BY50" s="1838"/>
      <c r="BZ50" s="1839"/>
      <c r="CA50" s="1840"/>
      <c r="CB50" s="1837"/>
      <c r="CC50" s="1838"/>
      <c r="CD50" s="1837"/>
      <c r="CE50" s="1838"/>
      <c r="CF50" s="1839"/>
      <c r="CG50" s="1840"/>
      <c r="CH50" s="1837"/>
      <c r="CI50" s="1838"/>
      <c r="CJ50" s="1837"/>
      <c r="CK50" s="1838"/>
      <c r="CL50" s="1839"/>
      <c r="CM50" s="1840"/>
      <c r="CN50" s="1837"/>
      <c r="CO50" s="1838"/>
      <c r="CP50" s="1837"/>
      <c r="CQ50" s="1838"/>
      <c r="CR50" s="1839"/>
      <c r="CS50" s="1840"/>
      <c r="CT50" s="1837"/>
      <c r="CU50" s="1838"/>
      <c r="CV50" s="1837" t="s">
        <v>10698</v>
      </c>
      <c r="CW50" s="1838"/>
      <c r="CX50" s="1839"/>
      <c r="CY50" s="1840"/>
      <c r="CZ50" s="1837"/>
      <c r="DA50" s="1838"/>
      <c r="DB50" s="1837"/>
      <c r="DC50" s="1838"/>
      <c r="DD50" s="1839"/>
      <c r="DE50" s="1840" t="s">
        <v>8145</v>
      </c>
      <c r="DF50" s="1837"/>
      <c r="DG50" s="1838"/>
      <c r="DH50" s="1837"/>
      <c r="DI50" s="1838"/>
      <c r="DJ50" s="1839"/>
      <c r="DK50" s="1840"/>
      <c r="DL50" s="1837"/>
      <c r="DM50" s="1838"/>
      <c r="DN50" s="1837"/>
      <c r="DO50" s="1838"/>
      <c r="DP50" s="1837"/>
      <c r="DQ50" s="1853"/>
      <c r="DR50" s="1837"/>
      <c r="DS50" s="1838"/>
      <c r="DT50" s="1842"/>
      <c r="DU50" s="1837"/>
      <c r="DV50" s="1839"/>
      <c r="DW50" s="1840"/>
      <c r="DX50" s="1837"/>
      <c r="DY50" s="1838"/>
      <c r="DZ50" s="1837"/>
      <c r="EA50" s="1838"/>
      <c r="EB50" s="1839"/>
      <c r="EC50" s="1840"/>
      <c r="ED50" s="1837"/>
      <c r="EE50" s="1838"/>
      <c r="EF50" s="1837"/>
      <c r="EG50" s="1838"/>
      <c r="EH50" s="1838"/>
      <c r="EI50" s="1840"/>
      <c r="EJ50" s="1837"/>
      <c r="EK50" s="1838"/>
      <c r="EL50" s="1837"/>
      <c r="EM50" s="1838"/>
      <c r="EN50" s="1839"/>
      <c r="EO50" s="1840"/>
      <c r="EP50" s="1837"/>
      <c r="EQ50" s="1838"/>
      <c r="ER50" s="1837"/>
      <c r="ES50" s="1838"/>
      <c r="ET50" s="1902"/>
      <c r="EU50" s="1840"/>
      <c r="EV50" s="1837"/>
      <c r="EW50" s="1838"/>
      <c r="EX50" s="1837"/>
      <c r="EY50" s="1838"/>
      <c r="EZ50" s="1902"/>
      <c r="FA50" s="1840"/>
      <c r="FB50" s="1837"/>
      <c r="FC50" s="1838"/>
      <c r="FD50" s="1837"/>
      <c r="FE50" s="1838"/>
      <c r="FF50" s="1902"/>
      <c r="FG50" s="1840"/>
      <c r="FH50" s="1837"/>
      <c r="FI50" s="1838"/>
      <c r="FJ50" s="1837"/>
      <c r="FK50" s="1838"/>
      <c r="FL50" s="1902"/>
      <c r="FM50" s="1840"/>
      <c r="FN50" s="1837"/>
      <c r="FO50" s="1838"/>
      <c r="FP50" s="1837"/>
      <c r="FQ50" s="1838"/>
      <c r="FR50" s="1902"/>
      <c r="FS50" s="1840"/>
      <c r="FT50" s="1837"/>
      <c r="FU50" s="1838"/>
      <c r="FV50" s="1837"/>
      <c r="FW50" s="1838"/>
      <c r="FX50" s="1902"/>
      <c r="FY50" s="1840"/>
      <c r="FZ50" s="1837"/>
      <c r="GA50" s="1838"/>
      <c r="GB50" s="1837"/>
      <c r="GC50" s="1838"/>
      <c r="GD50" s="1902"/>
      <c r="GE50" s="1840"/>
      <c r="GF50" s="1837"/>
      <c r="GG50" s="1838"/>
      <c r="GH50" s="1837"/>
      <c r="GI50" s="1838"/>
      <c r="GJ50" s="1902"/>
      <c r="GK50" s="1840"/>
      <c r="GL50" s="1837"/>
      <c r="GM50" s="1838"/>
      <c r="GN50" s="1837"/>
      <c r="GO50" s="1838"/>
      <c r="GP50" s="1902"/>
    </row>
    <row r="51" spans="1:198" ht="20.100000000000001" hidden="1" customHeight="1" outlineLevel="1" collapsed="1">
      <c r="A51" s="2647"/>
      <c r="B51" s="2758"/>
      <c r="C51" s="1836"/>
      <c r="D51" s="2614" t="str">
        <f>実績!C1314&amp;"("&amp;SUBSTITUTE(実績!R1314&amp;")","株式会社 ","")</f>
        <v>バロー岡崎駅南 SM棟(上野山都市設計)</v>
      </c>
      <c r="E51" s="2617"/>
      <c r="F51" s="2617"/>
      <c r="G51" s="2617"/>
      <c r="H51" s="2617"/>
      <c r="I51" s="2617"/>
      <c r="J51" s="2617"/>
      <c r="K51" s="2617"/>
      <c r="L51" s="2617"/>
      <c r="M51" s="2617"/>
      <c r="N51" s="2617"/>
      <c r="O51" s="2617"/>
      <c r="P51" s="2617"/>
      <c r="Q51" s="2617"/>
      <c r="R51" s="2622"/>
      <c r="S51" s="1837"/>
      <c r="T51" s="1837"/>
      <c r="U51" s="1838"/>
      <c r="V51" s="1837"/>
      <c r="W51" s="1838"/>
      <c r="X51" s="1839"/>
      <c r="Y51" s="1837"/>
      <c r="Z51" s="1837"/>
      <c r="AA51" s="1838"/>
      <c r="AB51" s="1837"/>
      <c r="AC51" s="1838"/>
      <c r="AD51" s="1837"/>
      <c r="AE51" s="1840"/>
      <c r="AF51" s="1837"/>
      <c r="AG51" s="1838"/>
      <c r="AH51" s="1837"/>
      <c r="AI51" s="1838"/>
      <c r="AJ51" s="1839"/>
      <c r="AK51" s="1837"/>
      <c r="AL51" s="1837"/>
      <c r="AM51" s="1838"/>
      <c r="AN51" s="1837"/>
      <c r="AO51" s="1838"/>
      <c r="AP51" s="1837"/>
      <c r="AQ51" s="1841"/>
      <c r="AR51" s="1837"/>
      <c r="AS51" s="1838"/>
      <c r="AT51" s="1837"/>
      <c r="AU51" s="1838"/>
      <c r="AV51" s="1839"/>
      <c r="AW51" s="1840"/>
      <c r="AX51" s="1837"/>
      <c r="AY51" s="1838"/>
      <c r="AZ51" s="1837"/>
      <c r="BA51" s="1838"/>
      <c r="BB51" s="1839"/>
      <c r="BC51" s="1837"/>
      <c r="BD51" s="1837"/>
      <c r="BE51" s="1838"/>
      <c r="BF51" s="1837"/>
      <c r="BG51" s="1838"/>
      <c r="BH51" s="1837"/>
      <c r="BI51" s="1840"/>
      <c r="BJ51" s="1837"/>
      <c r="BK51" s="1838"/>
      <c r="BL51" s="1837"/>
      <c r="BM51" s="1838"/>
      <c r="BN51" s="1839"/>
      <c r="BO51" s="1840"/>
      <c r="BP51" s="1837"/>
      <c r="BQ51" s="1838"/>
      <c r="BR51" s="1842"/>
      <c r="BS51" s="1838"/>
      <c r="BT51" s="1839"/>
      <c r="BU51" s="1840"/>
      <c r="BV51" s="1837"/>
      <c r="BW51" s="1838"/>
      <c r="BX51" s="1837"/>
      <c r="BY51" s="1838"/>
      <c r="BZ51" s="1839"/>
      <c r="CA51" s="1840"/>
      <c r="CB51" s="1837"/>
      <c r="CC51" s="1838"/>
      <c r="CD51" s="1837"/>
      <c r="CE51" s="1838"/>
      <c r="CF51" s="1839"/>
      <c r="CG51" s="1840"/>
      <c r="CH51" s="1837"/>
      <c r="CI51" s="1838"/>
      <c r="CJ51" s="1837"/>
      <c r="CK51" s="1838"/>
      <c r="CL51" s="1839"/>
      <c r="CM51" s="1840"/>
      <c r="CN51" s="1837"/>
      <c r="CO51" s="1838"/>
      <c r="CP51" s="1843"/>
      <c r="CQ51" s="1838"/>
      <c r="CR51" s="1839"/>
      <c r="CS51" s="1840"/>
      <c r="CT51" s="1837"/>
      <c r="CU51" s="1838"/>
      <c r="CV51" s="1837"/>
      <c r="CW51" s="1838"/>
      <c r="CX51" s="1839"/>
      <c r="CY51" s="1840"/>
      <c r="CZ51" s="1837"/>
      <c r="DA51" s="1838"/>
      <c r="DB51" s="1837"/>
      <c r="DC51" s="1838"/>
      <c r="DD51" s="1839"/>
      <c r="DE51" s="1840"/>
      <c r="DF51" s="1837"/>
      <c r="DG51" s="1838"/>
      <c r="DH51" s="1837" t="s">
        <v>11052</v>
      </c>
      <c r="DI51" s="1838"/>
      <c r="DJ51" s="1839"/>
      <c r="DK51" s="1840"/>
      <c r="DL51" s="1837"/>
      <c r="DM51" s="1838"/>
      <c r="DN51" s="1837"/>
      <c r="DO51" s="1838"/>
      <c r="DP51" s="1839"/>
      <c r="DQ51" s="1840" t="s">
        <v>11053</v>
      </c>
      <c r="DR51" s="1837"/>
      <c r="DS51" s="1838"/>
      <c r="DT51" s="1837"/>
      <c r="DU51" s="1838"/>
      <c r="DV51" s="1839"/>
      <c r="DW51" s="1840"/>
      <c r="DX51" s="1837"/>
      <c r="DY51" s="1838"/>
      <c r="DZ51" s="1837"/>
      <c r="EA51" s="1838"/>
      <c r="EB51" s="1839"/>
      <c r="EC51" s="1840"/>
      <c r="ED51" s="1837"/>
      <c r="EE51" s="1838"/>
      <c r="EF51" s="1837"/>
      <c r="EG51" s="1838"/>
      <c r="EH51" s="1838"/>
      <c r="EI51" s="1840"/>
      <c r="EJ51" s="1837"/>
      <c r="EK51" s="1838"/>
      <c r="EL51" s="1837"/>
      <c r="EM51" s="1838"/>
      <c r="EN51" s="1839"/>
      <c r="EO51" s="1840"/>
      <c r="EP51" s="1837"/>
      <c r="EQ51" s="1838"/>
      <c r="ER51" s="1837"/>
      <c r="ES51" s="1838"/>
      <c r="ET51" s="1902"/>
      <c r="EU51" s="1840"/>
      <c r="EV51" s="1837"/>
      <c r="EW51" s="1838"/>
      <c r="EX51" s="1837"/>
      <c r="EY51" s="1838"/>
      <c r="EZ51" s="1902"/>
      <c r="FA51" s="1840"/>
      <c r="FB51" s="1837"/>
      <c r="FC51" s="1838"/>
      <c r="FD51" s="1837"/>
      <c r="FE51" s="1838"/>
      <c r="FF51" s="1902"/>
      <c r="FG51" s="1840"/>
      <c r="FH51" s="1837"/>
      <c r="FI51" s="1838"/>
      <c r="FJ51" s="1837"/>
      <c r="FK51" s="1838"/>
      <c r="FL51" s="1902"/>
      <c r="FM51" s="1840"/>
      <c r="FN51" s="1837"/>
      <c r="FO51" s="1838"/>
      <c r="FP51" s="1837"/>
      <c r="FQ51" s="1838"/>
      <c r="FR51" s="1902"/>
      <c r="FS51" s="1840"/>
      <c r="FT51" s="1837"/>
      <c r="FU51" s="1838"/>
      <c r="FV51" s="1837"/>
      <c r="FW51" s="1838"/>
      <c r="FX51" s="1902"/>
      <c r="FY51" s="1840"/>
      <c r="FZ51" s="1837"/>
      <c r="GA51" s="1838"/>
      <c r="GB51" s="1837"/>
      <c r="GC51" s="1838"/>
      <c r="GD51" s="1902"/>
      <c r="GE51" s="1840"/>
      <c r="GF51" s="1837"/>
      <c r="GG51" s="1838"/>
      <c r="GH51" s="1837"/>
      <c r="GI51" s="1838"/>
      <c r="GJ51" s="1902"/>
      <c r="GK51" s="1840"/>
      <c r="GL51" s="1837"/>
      <c r="GM51" s="1838"/>
      <c r="GN51" s="1837"/>
      <c r="GO51" s="1838"/>
      <c r="GP51" s="1902"/>
    </row>
    <row r="52" spans="1:198" ht="20.100000000000001" hidden="1" customHeight="1" outlineLevel="1">
      <c r="A52" s="2647"/>
      <c r="B52" s="2758"/>
      <c r="C52" s="1904" t="s">
        <v>10514</v>
      </c>
      <c r="D52" s="2614" t="s">
        <v>8309</v>
      </c>
      <c r="E52" s="2617"/>
      <c r="F52" s="2617"/>
      <c r="G52" s="2617"/>
      <c r="H52" s="2617"/>
      <c r="I52" s="2617"/>
      <c r="J52" s="2617"/>
      <c r="K52" s="2617"/>
      <c r="L52" s="2617"/>
      <c r="M52" s="2617"/>
      <c r="N52" s="2617"/>
      <c r="O52" s="2617"/>
      <c r="P52" s="2617"/>
      <c r="Q52" s="2617"/>
      <c r="R52" s="1977"/>
      <c r="S52" s="1841"/>
      <c r="T52" s="1837"/>
      <c r="U52" s="1838"/>
      <c r="V52" s="1837"/>
      <c r="W52" s="1838"/>
      <c r="X52" s="1839"/>
      <c r="Y52" s="1837"/>
      <c r="Z52" s="1837"/>
      <c r="AA52" s="1838"/>
      <c r="AB52" s="1837"/>
      <c r="AC52" s="1838"/>
      <c r="AD52" s="1837"/>
      <c r="AE52" s="1840"/>
      <c r="AF52" s="1837"/>
      <c r="AG52" s="1838"/>
      <c r="AH52" s="1837"/>
      <c r="AI52" s="1838"/>
      <c r="AJ52" s="1839"/>
      <c r="AK52" s="1837"/>
      <c r="AL52" s="1837"/>
      <c r="AM52" s="1838"/>
      <c r="AN52" s="1837"/>
      <c r="AO52" s="1838"/>
      <c r="AP52" s="1837"/>
      <c r="AQ52" s="1841"/>
      <c r="AR52" s="1837"/>
      <c r="AS52" s="1838"/>
      <c r="AT52" s="1837"/>
      <c r="AU52" s="1838"/>
      <c r="AV52" s="1839"/>
      <c r="AW52" s="1840"/>
      <c r="AX52" s="1837"/>
      <c r="AY52" s="1838"/>
      <c r="AZ52" s="1837"/>
      <c r="BA52" s="1838"/>
      <c r="BB52" s="1839"/>
      <c r="BC52" s="1837"/>
      <c r="BD52" s="1837"/>
      <c r="BE52" s="1838"/>
      <c r="BF52" s="1837"/>
      <c r="BG52" s="1838"/>
      <c r="BH52" s="1837"/>
      <c r="BI52" s="1840"/>
      <c r="BJ52" s="1837"/>
      <c r="BK52" s="1838"/>
      <c r="BL52" s="1837"/>
      <c r="BM52" s="1838"/>
      <c r="BN52" s="1839"/>
      <c r="BO52" s="1840"/>
      <c r="BP52" s="1837"/>
      <c r="BQ52" s="1838"/>
      <c r="BR52" s="1842"/>
      <c r="BS52" s="1838"/>
      <c r="BT52" s="1839"/>
      <c r="BU52" s="1840"/>
      <c r="BV52" s="1837"/>
      <c r="BW52" s="1838"/>
      <c r="BX52" s="1837"/>
      <c r="BY52" s="1838"/>
      <c r="BZ52" s="1839"/>
      <c r="CA52" s="1840"/>
      <c r="CB52" s="1837"/>
      <c r="CC52" s="1838"/>
      <c r="CD52" s="1837"/>
      <c r="CE52" s="1838"/>
      <c r="CF52" s="1839"/>
      <c r="CG52" s="1840"/>
      <c r="CH52" s="1837"/>
      <c r="CI52" s="1838"/>
      <c r="CJ52" s="1837"/>
      <c r="CK52" s="1838"/>
      <c r="CL52" s="1839"/>
      <c r="CM52" s="1840"/>
      <c r="CN52" s="1837"/>
      <c r="CO52" s="1838"/>
      <c r="CP52" s="1843"/>
      <c r="CQ52" s="1838"/>
      <c r="CR52" s="1839"/>
      <c r="CS52" s="1840"/>
      <c r="CT52" s="1837"/>
      <c r="CU52" s="1838"/>
      <c r="CV52" s="1837"/>
      <c r="CW52" s="1838"/>
      <c r="CX52" s="1839"/>
      <c r="CY52" s="1840"/>
      <c r="CZ52" s="1837"/>
      <c r="DA52" s="1838"/>
      <c r="DB52" s="1837"/>
      <c r="DC52" s="1838"/>
      <c r="DD52" s="1839"/>
      <c r="DE52" s="1840"/>
      <c r="DF52" s="1837"/>
      <c r="DG52" s="1838"/>
      <c r="DH52" s="1837"/>
      <c r="DI52" s="1838"/>
      <c r="DJ52" s="1839"/>
      <c r="DK52" s="1840"/>
      <c r="DL52" s="1837"/>
      <c r="DM52" s="1838"/>
      <c r="DN52" s="1837"/>
      <c r="DO52" s="1838"/>
      <c r="DP52" s="1837"/>
      <c r="DQ52" s="1853"/>
      <c r="DR52" s="1837"/>
      <c r="DS52" s="1838"/>
      <c r="DT52" s="1842"/>
      <c r="DU52" s="1837"/>
      <c r="DV52" s="1839"/>
      <c r="DW52" s="1840"/>
      <c r="DX52" s="1837"/>
      <c r="DY52" s="1838"/>
      <c r="DZ52" s="1837"/>
      <c r="EA52" s="1838"/>
      <c r="EB52" s="1839"/>
      <c r="EC52" s="1840"/>
      <c r="ED52" s="1837"/>
      <c r="EE52" s="1838"/>
      <c r="EF52" s="1837"/>
      <c r="EG52" s="1838"/>
      <c r="EH52" s="1838"/>
      <c r="EI52" s="1840"/>
      <c r="EJ52" s="1837"/>
      <c r="EK52" s="1838"/>
      <c r="EL52" s="1837"/>
      <c r="EM52" s="1838"/>
      <c r="EN52" s="1839"/>
      <c r="EO52" s="1840"/>
      <c r="EP52" s="1837"/>
      <c r="EQ52" s="1838"/>
      <c r="ER52" s="1837"/>
      <c r="ES52" s="1838"/>
      <c r="ET52" s="1902"/>
      <c r="EU52" s="1840"/>
      <c r="EV52" s="1837"/>
      <c r="EW52" s="1838"/>
      <c r="EX52" s="1837"/>
      <c r="EY52" s="1838"/>
      <c r="EZ52" s="1902"/>
      <c r="FA52" s="1840"/>
      <c r="FB52" s="1837"/>
      <c r="FC52" s="1838"/>
      <c r="FD52" s="1837"/>
      <c r="FE52" s="1838"/>
      <c r="FF52" s="1902"/>
      <c r="FG52" s="1840"/>
      <c r="FH52" s="1837"/>
      <c r="FI52" s="1838"/>
      <c r="FJ52" s="1837"/>
      <c r="FK52" s="1838"/>
      <c r="FL52" s="1902"/>
      <c r="FM52" s="1840"/>
      <c r="FN52" s="1837"/>
      <c r="FO52" s="1838"/>
      <c r="FP52" s="1837"/>
      <c r="FQ52" s="1838"/>
      <c r="FR52" s="1902"/>
      <c r="FS52" s="1840"/>
      <c r="FT52" s="1837"/>
      <c r="FU52" s="1838"/>
      <c r="FV52" s="1837"/>
      <c r="FW52" s="1838"/>
      <c r="FX52" s="1902"/>
      <c r="FY52" s="1840"/>
      <c r="FZ52" s="1837"/>
      <c r="GA52" s="1838"/>
      <c r="GB52" s="1837"/>
      <c r="GC52" s="1838"/>
      <c r="GD52" s="1902"/>
      <c r="GE52" s="1840"/>
      <c r="GF52" s="1837"/>
      <c r="GG52" s="1838"/>
      <c r="GH52" s="1837"/>
      <c r="GI52" s="1838"/>
      <c r="GJ52" s="1902"/>
      <c r="GK52" s="1840"/>
      <c r="GL52" s="1837"/>
      <c r="GM52" s="1838"/>
      <c r="GN52" s="1837"/>
      <c r="GO52" s="1838"/>
      <c r="GP52" s="1902"/>
    </row>
    <row r="53" spans="1:198" ht="20.100000000000001" hidden="1" customHeight="1" outlineLevel="1">
      <c r="A53" s="2647"/>
      <c r="B53" s="2758"/>
      <c r="C53" s="1904" t="s">
        <v>10514</v>
      </c>
      <c r="D53" s="2614" t="str">
        <f>実績!C1122&amp;"("&amp;SUBSTITUTE(実績!R1122&amp;")(愛媛県松山市)","株式会社 ","")</f>
        <v>MA-HOUSE(窪田建築アトリエ)(愛媛県松山市)</v>
      </c>
      <c r="E53" s="2617"/>
      <c r="F53" s="2617"/>
      <c r="G53" s="2617"/>
      <c r="H53" s="2617"/>
      <c r="I53" s="2617"/>
      <c r="J53" s="2617"/>
      <c r="K53" s="2617"/>
      <c r="L53" s="2617"/>
      <c r="M53" s="2617"/>
      <c r="N53" s="2617"/>
      <c r="O53" s="2617"/>
      <c r="P53" s="2617"/>
      <c r="Q53" s="2617"/>
      <c r="R53" s="1977"/>
      <c r="S53" s="1841"/>
      <c r="T53" s="1837"/>
      <c r="U53" s="1838"/>
      <c r="V53" s="1837"/>
      <c r="W53" s="1838"/>
      <c r="X53" s="1839"/>
      <c r="Y53" s="1837"/>
      <c r="Z53" s="1837"/>
      <c r="AA53" s="1838"/>
      <c r="AB53" s="1837"/>
      <c r="AC53" s="1837" t="s">
        <v>8272</v>
      </c>
      <c r="AD53" s="1837"/>
      <c r="AE53" s="1900"/>
      <c r="AF53" s="1837"/>
      <c r="AG53" s="1838"/>
      <c r="AH53" s="1837"/>
      <c r="AI53" s="1838"/>
      <c r="AJ53" s="1839"/>
      <c r="AK53" s="1837"/>
      <c r="AL53" s="1837"/>
      <c r="AM53" s="1838"/>
      <c r="AN53" s="1837"/>
      <c r="AO53" s="1838"/>
      <c r="AP53" s="1837"/>
      <c r="AQ53" s="1841"/>
      <c r="AR53" s="1842"/>
      <c r="AS53" s="1838"/>
      <c r="AT53" s="1837"/>
      <c r="AU53" s="1838"/>
      <c r="AV53" s="1839"/>
      <c r="AW53" s="1840"/>
      <c r="AX53" s="1837"/>
      <c r="AY53" s="1838"/>
      <c r="AZ53" s="1837"/>
      <c r="BA53" s="1838"/>
      <c r="BB53" s="1839"/>
      <c r="BC53" s="1837"/>
      <c r="BD53" s="1837"/>
      <c r="BE53" s="1838"/>
      <c r="BF53" s="1837"/>
      <c r="BG53" s="1838"/>
      <c r="BH53" s="1837"/>
      <c r="BI53" s="1840"/>
      <c r="BJ53" s="1837"/>
      <c r="BK53" s="1838"/>
      <c r="BL53" s="1837"/>
      <c r="BM53" s="1838"/>
      <c r="BN53" s="1839"/>
      <c r="BO53" s="1840"/>
      <c r="BP53" s="1837"/>
      <c r="BQ53" s="1838"/>
      <c r="BR53" s="1842"/>
      <c r="BS53" s="1838"/>
      <c r="BT53" s="1839"/>
      <c r="BU53" s="1840"/>
      <c r="BV53" s="1837"/>
      <c r="BW53" s="1838"/>
      <c r="BX53" s="1837"/>
      <c r="BY53" s="1838"/>
      <c r="BZ53" s="1839"/>
      <c r="CA53" s="1840"/>
      <c r="CB53" s="1837"/>
      <c r="CC53" s="1838"/>
      <c r="CD53" s="1837"/>
      <c r="CE53" s="1838"/>
      <c r="CF53" s="1839"/>
      <c r="CG53" s="1840"/>
      <c r="CH53" s="1837"/>
      <c r="CI53" s="1838"/>
      <c r="CJ53" s="1837"/>
      <c r="CK53" s="1838"/>
      <c r="CL53" s="1839"/>
      <c r="CM53" s="1840"/>
      <c r="CN53" s="1837"/>
      <c r="CO53" s="1838"/>
      <c r="CP53" s="1837"/>
      <c r="CQ53" s="1838"/>
      <c r="CR53" s="1905"/>
      <c r="CS53" s="1840"/>
      <c r="CT53" s="1837"/>
      <c r="CU53" s="1838"/>
      <c r="CV53" s="1837"/>
      <c r="CW53" s="1838"/>
      <c r="CX53" s="1839"/>
      <c r="CY53" s="1840"/>
      <c r="CZ53" s="1837"/>
      <c r="DA53" s="1838"/>
      <c r="DB53" s="1837"/>
      <c r="DC53" s="1838"/>
      <c r="DD53" s="1839"/>
      <c r="DE53" s="1840"/>
      <c r="DF53" s="1837"/>
      <c r="DG53" s="1838"/>
      <c r="DH53" s="1837"/>
      <c r="DI53" s="1838"/>
      <c r="DJ53" s="1839"/>
      <c r="DK53" s="1840"/>
      <c r="DL53" s="1837"/>
      <c r="DM53" s="1838"/>
      <c r="DN53" s="1837"/>
      <c r="DO53" s="1838"/>
      <c r="DP53" s="1837"/>
      <c r="DQ53" s="1853"/>
      <c r="DR53" s="1837"/>
      <c r="DS53" s="1838"/>
      <c r="DT53" s="1842"/>
      <c r="DU53" s="1837"/>
      <c r="DV53" s="1839"/>
      <c r="DW53" s="1840"/>
      <c r="DX53" s="1837"/>
      <c r="DY53" s="1838"/>
      <c r="DZ53" s="1837"/>
      <c r="EA53" s="1838"/>
      <c r="EB53" s="1839"/>
      <c r="EC53" s="1840"/>
      <c r="ED53" s="1837"/>
      <c r="EE53" s="1838"/>
      <c r="EF53" s="1837"/>
      <c r="EG53" s="1838"/>
      <c r="EH53" s="1838"/>
      <c r="EI53" s="1840"/>
      <c r="EJ53" s="1837"/>
      <c r="EK53" s="1838"/>
      <c r="EL53" s="1837"/>
      <c r="EM53" s="1838"/>
      <c r="EN53" s="1839"/>
      <c r="EO53" s="1840"/>
      <c r="EP53" s="1837"/>
      <c r="EQ53" s="1838"/>
      <c r="ER53" s="1837"/>
      <c r="ES53" s="1838"/>
      <c r="ET53" s="1902"/>
      <c r="EU53" s="1840"/>
      <c r="EV53" s="1837"/>
      <c r="EW53" s="1838"/>
      <c r="EX53" s="1837"/>
      <c r="EY53" s="1838"/>
      <c r="EZ53" s="1902"/>
      <c r="FA53" s="1840"/>
      <c r="FB53" s="1837"/>
      <c r="FC53" s="1838"/>
      <c r="FD53" s="1837"/>
      <c r="FE53" s="1838"/>
      <c r="FF53" s="1902"/>
      <c r="FG53" s="1840"/>
      <c r="FH53" s="1837"/>
      <c r="FI53" s="1838"/>
      <c r="FJ53" s="1837"/>
      <c r="FK53" s="1838"/>
      <c r="FL53" s="1902"/>
      <c r="FM53" s="1840"/>
      <c r="FN53" s="1837"/>
      <c r="FO53" s="1838"/>
      <c r="FP53" s="1837"/>
      <c r="FQ53" s="1838"/>
      <c r="FR53" s="1902"/>
      <c r="FS53" s="1840"/>
      <c r="FT53" s="1837"/>
      <c r="FU53" s="1838"/>
      <c r="FV53" s="1837"/>
      <c r="FW53" s="1838"/>
      <c r="FX53" s="1902"/>
      <c r="FY53" s="1840"/>
      <c r="FZ53" s="1837"/>
      <c r="GA53" s="1838"/>
      <c r="GB53" s="1837"/>
      <c r="GC53" s="1838"/>
      <c r="GD53" s="1902"/>
      <c r="GE53" s="1840"/>
      <c r="GF53" s="1837"/>
      <c r="GG53" s="1838"/>
      <c r="GH53" s="1837"/>
      <c r="GI53" s="1838"/>
      <c r="GJ53" s="1902"/>
      <c r="GK53" s="1840"/>
      <c r="GL53" s="1837"/>
      <c r="GM53" s="1838"/>
      <c r="GN53" s="1837"/>
      <c r="GO53" s="1838"/>
      <c r="GP53" s="1902"/>
    </row>
    <row r="54" spans="1:198" ht="20.100000000000001" hidden="1" customHeight="1" outlineLevel="1">
      <c r="A54" s="2647"/>
      <c r="B54" s="2758"/>
      <c r="C54" s="1904" t="s">
        <v>10514</v>
      </c>
      <c r="D54" s="2614" t="str">
        <f>実績!C1137&amp;"("&amp;SUBSTITUTE(実績!R1137&amp;")(大阪府泉南郡岬町)","株式会社 ","")</f>
        <v>HA-HOUSE(窪田建築アトリエ)(大阪府泉南郡岬町)</v>
      </c>
      <c r="E54" s="2617"/>
      <c r="F54" s="2617"/>
      <c r="G54" s="2617"/>
      <c r="H54" s="2617"/>
      <c r="I54" s="2617"/>
      <c r="J54" s="2617"/>
      <c r="K54" s="2617"/>
      <c r="L54" s="2617"/>
      <c r="M54" s="2617"/>
      <c r="N54" s="2617"/>
      <c r="O54" s="2617"/>
      <c r="P54" s="2617"/>
      <c r="Q54" s="2617"/>
      <c r="R54" s="1977"/>
      <c r="S54" s="1841"/>
      <c r="T54" s="1837"/>
      <c r="U54" s="1838"/>
      <c r="V54" s="1837"/>
      <c r="W54" s="1838"/>
      <c r="X54" s="1839"/>
      <c r="Y54" s="1837"/>
      <c r="Z54" s="1837"/>
      <c r="AA54" s="1838"/>
      <c r="AB54" s="1837" t="s">
        <v>8144</v>
      </c>
      <c r="AC54" s="1838"/>
      <c r="AD54" s="1837"/>
      <c r="AE54" s="1900"/>
      <c r="AF54" s="1837"/>
      <c r="AG54" s="1838"/>
      <c r="AH54" s="1837"/>
      <c r="AI54" s="1838"/>
      <c r="AJ54" s="1839"/>
      <c r="AK54" s="1837"/>
      <c r="AL54" s="1837"/>
      <c r="AM54" s="1838"/>
      <c r="AN54" s="1837"/>
      <c r="AO54" s="1838"/>
      <c r="AP54" s="1837"/>
      <c r="AQ54" s="1841"/>
      <c r="AR54" s="1842"/>
      <c r="AS54" s="1838"/>
      <c r="AT54" s="1837"/>
      <c r="AU54" s="1838"/>
      <c r="AV54" s="1839"/>
      <c r="AW54" s="1840"/>
      <c r="AX54" s="1837"/>
      <c r="AY54" s="1838"/>
      <c r="AZ54" s="1837"/>
      <c r="BA54" s="1838"/>
      <c r="BB54" s="1839"/>
      <c r="BC54" s="1837"/>
      <c r="BD54" s="1837"/>
      <c r="BE54" s="1838"/>
      <c r="BF54" s="1837"/>
      <c r="BG54" s="1838"/>
      <c r="BH54" s="1837"/>
      <c r="BI54" s="1840"/>
      <c r="BJ54" s="1837"/>
      <c r="BK54" s="1838"/>
      <c r="BL54" s="1837"/>
      <c r="BM54" s="1838"/>
      <c r="BN54" s="1839"/>
      <c r="BO54" s="1840"/>
      <c r="BP54" s="1837"/>
      <c r="BQ54" s="1838"/>
      <c r="BR54" s="1837"/>
      <c r="BS54" s="1838"/>
      <c r="BT54" s="1839"/>
      <c r="BU54" s="1840"/>
      <c r="BV54" s="1837"/>
      <c r="BW54" s="1838"/>
      <c r="BX54" s="1837"/>
      <c r="BY54" s="1838"/>
      <c r="BZ54" s="1839"/>
      <c r="CA54" s="1840"/>
      <c r="CB54" s="1837"/>
      <c r="CC54" s="1838"/>
      <c r="CD54" s="1837"/>
      <c r="CE54" s="1838"/>
      <c r="CF54" s="1839"/>
      <c r="CG54" s="1840"/>
      <c r="CH54" s="1837"/>
      <c r="CI54" s="1838"/>
      <c r="CJ54" s="1837"/>
      <c r="CK54" s="1838"/>
      <c r="CL54" s="1839"/>
      <c r="CM54" s="1840"/>
      <c r="CN54" s="1837"/>
      <c r="CO54" s="1838"/>
      <c r="CP54" s="1837"/>
      <c r="CQ54" s="1838"/>
      <c r="CR54" s="1839"/>
      <c r="CS54" s="1840"/>
      <c r="CT54" s="1837"/>
      <c r="CU54" s="1838"/>
      <c r="CV54" s="1837"/>
      <c r="CW54" s="1838"/>
      <c r="CX54" s="1839"/>
      <c r="CY54" s="1840"/>
      <c r="CZ54" s="1837"/>
      <c r="DA54" s="1838"/>
      <c r="DB54" s="1837"/>
      <c r="DC54" s="1838"/>
      <c r="DD54" s="1839"/>
      <c r="DE54" s="1840"/>
      <c r="DF54" s="1837"/>
      <c r="DG54" s="1838"/>
      <c r="DH54" s="1837"/>
      <c r="DI54" s="1838"/>
      <c r="DJ54" s="1839"/>
      <c r="DK54" s="1840"/>
      <c r="DL54" s="1837"/>
      <c r="DM54" s="1838"/>
      <c r="DN54" s="1837"/>
      <c r="DO54" s="1838"/>
      <c r="DP54" s="1837"/>
      <c r="DQ54" s="1853"/>
      <c r="DR54" s="1837"/>
      <c r="DS54" s="1838"/>
      <c r="DT54" s="1842"/>
      <c r="DU54" s="1837"/>
      <c r="DV54" s="1839"/>
      <c r="DW54" s="1840"/>
      <c r="DX54" s="1837"/>
      <c r="DY54" s="1838"/>
      <c r="DZ54" s="1837"/>
      <c r="EA54" s="1838"/>
      <c r="EB54" s="1839"/>
      <c r="EC54" s="1840"/>
      <c r="ED54" s="1837"/>
      <c r="EE54" s="1838"/>
      <c r="EF54" s="1837"/>
      <c r="EG54" s="1838"/>
      <c r="EH54" s="1838"/>
      <c r="EI54" s="1840"/>
      <c r="EJ54" s="1837"/>
      <c r="EK54" s="1838"/>
      <c r="EL54" s="1837"/>
      <c r="EM54" s="1838"/>
      <c r="EN54" s="1839"/>
      <c r="EO54" s="1840"/>
      <c r="EP54" s="1837"/>
      <c r="EQ54" s="1838"/>
      <c r="ER54" s="1837"/>
      <c r="ES54" s="1838"/>
      <c r="ET54" s="1902"/>
      <c r="EU54" s="1840"/>
      <c r="EV54" s="1837"/>
      <c r="EW54" s="1838"/>
      <c r="EX54" s="1837"/>
      <c r="EY54" s="1838"/>
      <c r="EZ54" s="1902"/>
      <c r="FA54" s="1840"/>
      <c r="FB54" s="1837"/>
      <c r="FC54" s="1838"/>
      <c r="FD54" s="1837"/>
      <c r="FE54" s="1838"/>
      <c r="FF54" s="1902"/>
      <c r="FG54" s="1840"/>
      <c r="FH54" s="1837"/>
      <c r="FI54" s="1838"/>
      <c r="FJ54" s="1837"/>
      <c r="FK54" s="1838"/>
      <c r="FL54" s="1902"/>
      <c r="FM54" s="1840"/>
      <c r="FN54" s="1837"/>
      <c r="FO54" s="1838"/>
      <c r="FP54" s="1837"/>
      <c r="FQ54" s="1838"/>
      <c r="FR54" s="1902"/>
      <c r="FS54" s="1840"/>
      <c r="FT54" s="1837"/>
      <c r="FU54" s="1838"/>
      <c r="FV54" s="1837"/>
      <c r="FW54" s="1838"/>
      <c r="FX54" s="1902"/>
      <c r="FY54" s="1840"/>
      <c r="FZ54" s="1837"/>
      <c r="GA54" s="1838"/>
      <c r="GB54" s="1837"/>
      <c r="GC54" s="1838"/>
      <c r="GD54" s="1902"/>
      <c r="GE54" s="1840"/>
      <c r="GF54" s="1837"/>
      <c r="GG54" s="1838"/>
      <c r="GH54" s="1837"/>
      <c r="GI54" s="1838"/>
      <c r="GJ54" s="1902"/>
      <c r="GK54" s="1840"/>
      <c r="GL54" s="1837"/>
      <c r="GM54" s="1838"/>
      <c r="GN54" s="1837"/>
      <c r="GO54" s="1838"/>
      <c r="GP54" s="1902"/>
    </row>
    <row r="55" spans="1:198" ht="20.100000000000001" hidden="1" customHeight="1" outlineLevel="1">
      <c r="A55" s="2647"/>
      <c r="B55" s="2758"/>
      <c r="C55" s="1904" t="s">
        <v>10514</v>
      </c>
      <c r="D55" s="2614" t="str">
        <f>実績!C903&amp;"("&amp;SUBSTITUTE(実績!R903&amp;")","株式会社 ","")</f>
        <v>ﾊｶﾙﾌﾟﾗｽ株式会社 食堂・社員寮(遠藤秀平建築研究所)</v>
      </c>
      <c r="E55" s="2617"/>
      <c r="F55" s="2617"/>
      <c r="G55" s="2617"/>
      <c r="H55" s="2617"/>
      <c r="I55" s="2617"/>
      <c r="J55" s="2617"/>
      <c r="K55" s="2617"/>
      <c r="L55" s="2617"/>
      <c r="M55" s="2617"/>
      <c r="N55" s="2617"/>
      <c r="O55" s="2617"/>
      <c r="P55" s="2617"/>
      <c r="Q55" s="2617"/>
      <c r="R55" s="1977"/>
      <c r="S55" s="1841"/>
      <c r="T55" s="1837"/>
      <c r="U55" s="1838"/>
      <c r="V55" s="1837"/>
      <c r="W55" s="1838"/>
      <c r="X55" s="1839"/>
      <c r="Y55" s="1837"/>
      <c r="Z55" s="1837"/>
      <c r="AA55" s="1838"/>
      <c r="AB55" s="1837"/>
      <c r="AC55" s="1838"/>
      <c r="AD55" s="1837"/>
      <c r="AE55" s="1900"/>
      <c r="AF55" s="1837"/>
      <c r="AG55" s="1838"/>
      <c r="AH55" s="1837"/>
      <c r="AI55" s="1838"/>
      <c r="AJ55" s="1839"/>
      <c r="AK55" s="1837"/>
      <c r="AL55" s="1837"/>
      <c r="AM55" s="1838"/>
      <c r="AN55" s="1837"/>
      <c r="AO55" s="1838"/>
      <c r="AP55" s="1837"/>
      <c r="AQ55" s="1841"/>
      <c r="AR55" s="1837"/>
      <c r="AS55" s="1838"/>
      <c r="AT55" s="1837"/>
      <c r="AU55" s="1838"/>
      <c r="AV55" s="1839"/>
      <c r="AW55" s="1840"/>
      <c r="AX55" s="1837"/>
      <c r="AY55" s="1838"/>
      <c r="AZ55" s="1837"/>
      <c r="BA55" s="1838"/>
      <c r="BB55" s="1839"/>
      <c r="BC55" s="1837"/>
      <c r="BD55" s="1837"/>
      <c r="BE55" s="1838"/>
      <c r="BF55" s="1837"/>
      <c r="BG55" s="1838"/>
      <c r="BH55" s="1837"/>
      <c r="BI55" s="1840"/>
      <c r="BJ55" s="1837"/>
      <c r="BK55" s="1838"/>
      <c r="BL55" s="1837"/>
      <c r="BM55" s="1838"/>
      <c r="BN55" s="1839"/>
      <c r="BO55" s="1840"/>
      <c r="BP55" s="1837"/>
      <c r="BQ55" s="1838"/>
      <c r="BR55" s="1837"/>
      <c r="BS55" s="1838"/>
      <c r="BT55" s="1839"/>
      <c r="BU55" s="1840"/>
      <c r="BV55" s="1837"/>
      <c r="BW55" s="1838"/>
      <c r="BX55" s="1837"/>
      <c r="BY55" s="1838"/>
      <c r="BZ55" s="1839"/>
      <c r="CA55" s="1840"/>
      <c r="CB55" s="1837"/>
      <c r="CC55" s="1838"/>
      <c r="CD55" s="1837"/>
      <c r="CE55" s="1838"/>
      <c r="CF55" s="1839"/>
      <c r="CG55" s="1840"/>
      <c r="CH55" s="1837"/>
      <c r="CI55" s="1838"/>
      <c r="CJ55" s="1837"/>
      <c r="CK55" s="1838"/>
      <c r="CL55" s="1839"/>
      <c r="CM55" s="1840"/>
      <c r="CN55" s="1837"/>
      <c r="CO55" s="1838"/>
      <c r="CP55" s="1837"/>
      <c r="CQ55" s="1838"/>
      <c r="CR55" s="1839"/>
      <c r="CS55" s="1840"/>
      <c r="CT55" s="1837"/>
      <c r="CU55" s="1838"/>
      <c r="CV55" s="1837"/>
      <c r="CW55" s="1838"/>
      <c r="CX55" s="1839"/>
      <c r="CY55" s="1840"/>
      <c r="CZ55" s="1837"/>
      <c r="DA55" s="1838"/>
      <c r="DB55" s="1837"/>
      <c r="DC55" s="1838"/>
      <c r="DD55" s="1839"/>
      <c r="DE55" s="1837"/>
      <c r="DF55" s="1837"/>
      <c r="DG55" s="1837"/>
      <c r="DH55" s="1837"/>
      <c r="DI55" s="1837"/>
      <c r="DJ55" s="1837"/>
      <c r="DK55" s="1837"/>
      <c r="DL55" s="1837"/>
      <c r="DM55" s="1837"/>
      <c r="DN55" s="1837"/>
      <c r="DO55" s="1837"/>
      <c r="DP55" s="1837"/>
      <c r="DQ55" s="1837"/>
      <c r="DR55" s="1837"/>
      <c r="DS55" s="1837"/>
      <c r="DT55" s="1837"/>
      <c r="DU55" s="1837"/>
      <c r="DV55" s="1839"/>
      <c r="DW55" s="1840"/>
      <c r="DX55" s="1837"/>
      <c r="DY55" s="1838"/>
      <c r="DZ55" s="1837"/>
      <c r="EA55" s="1838"/>
      <c r="EB55" s="1839"/>
      <c r="EC55" s="1840"/>
      <c r="ED55" s="1837"/>
      <c r="EE55" s="1838"/>
      <c r="EF55" s="1837"/>
      <c r="EG55" s="1838"/>
      <c r="EH55" s="1838"/>
      <c r="EI55" s="1840"/>
      <c r="EJ55" s="1837"/>
      <c r="EK55" s="1838"/>
      <c r="EL55" s="1837"/>
      <c r="EM55" s="1838"/>
      <c r="EN55" s="1839"/>
      <c r="EO55" s="1840"/>
      <c r="EP55" s="1837"/>
      <c r="EQ55" s="1838"/>
      <c r="ER55" s="1837"/>
      <c r="ES55" s="1838"/>
      <c r="ET55" s="1902"/>
      <c r="EU55" s="1840"/>
      <c r="EV55" s="1837"/>
      <c r="EW55" s="1838"/>
      <c r="EX55" s="1837"/>
      <c r="EY55" s="1838"/>
      <c r="EZ55" s="1902"/>
      <c r="FA55" s="1840"/>
      <c r="FB55" s="1837"/>
      <c r="FC55" s="1838"/>
      <c r="FD55" s="1837"/>
      <c r="FE55" s="1838"/>
      <c r="FF55" s="1902"/>
      <c r="FG55" s="1840"/>
      <c r="FH55" s="1837"/>
      <c r="FI55" s="1838"/>
      <c r="FJ55" s="1837"/>
      <c r="FK55" s="1838"/>
      <c r="FL55" s="1902"/>
      <c r="FM55" s="1840"/>
      <c r="FN55" s="1837"/>
      <c r="FO55" s="1838"/>
      <c r="FP55" s="1837"/>
      <c r="FQ55" s="1838"/>
      <c r="FR55" s="1902"/>
      <c r="FS55" s="1840"/>
      <c r="FT55" s="1837"/>
      <c r="FU55" s="1838"/>
      <c r="FV55" s="1837"/>
      <c r="FW55" s="1838"/>
      <c r="FX55" s="1902"/>
      <c r="FY55" s="1840"/>
      <c r="FZ55" s="1837"/>
      <c r="GA55" s="1838"/>
      <c r="GB55" s="1837"/>
      <c r="GC55" s="1838"/>
      <c r="GD55" s="1902"/>
      <c r="GE55" s="1840"/>
      <c r="GF55" s="1837"/>
      <c r="GG55" s="1838"/>
      <c r="GH55" s="1837"/>
      <c r="GI55" s="1838"/>
      <c r="GJ55" s="1902"/>
      <c r="GK55" s="1840"/>
      <c r="GL55" s="1837"/>
      <c r="GM55" s="1838"/>
      <c r="GN55" s="1837"/>
      <c r="GO55" s="1838"/>
      <c r="GP55" s="1902"/>
    </row>
    <row r="56" spans="1:198" ht="20.100000000000001" hidden="1" customHeight="1" outlineLevel="1">
      <c r="A56" s="2647"/>
      <c r="B56" s="2758"/>
      <c r="C56" s="1904" t="s">
        <v>10514</v>
      </c>
      <c r="D56" s="2614" t="str">
        <f>実績!C905&amp;"("&amp;SUBSTITUTE(実績!R905&amp;")","株式会社 ","")</f>
        <v>ホームセンターバロー久居インター(中部都市建築設計事務所)</v>
      </c>
      <c r="E56" s="2617"/>
      <c r="F56" s="2617"/>
      <c r="G56" s="2617"/>
      <c r="H56" s="2617"/>
      <c r="I56" s="2617"/>
      <c r="J56" s="2617"/>
      <c r="K56" s="2617"/>
      <c r="L56" s="2617"/>
      <c r="M56" s="2617"/>
      <c r="N56" s="2617"/>
      <c r="O56" s="2617"/>
      <c r="P56" s="2617"/>
      <c r="Q56" s="2617"/>
      <c r="R56" s="1977"/>
      <c r="S56" s="1841"/>
      <c r="T56" s="1837"/>
      <c r="U56" s="1838"/>
      <c r="V56" s="1837"/>
      <c r="W56" s="1838"/>
      <c r="X56" s="1839"/>
      <c r="Y56" s="1837"/>
      <c r="Z56" s="1837"/>
      <c r="AA56" s="1838"/>
      <c r="AB56" s="1837"/>
      <c r="AC56" s="1838"/>
      <c r="AD56" s="1837"/>
      <c r="AE56" s="1900"/>
      <c r="AF56" s="1837"/>
      <c r="AG56" s="1838"/>
      <c r="AH56" s="1837"/>
      <c r="AI56" s="1838"/>
      <c r="AJ56" s="1839"/>
      <c r="AK56" s="1837"/>
      <c r="AL56" s="1837"/>
      <c r="AM56" s="1838"/>
      <c r="AN56" s="1837"/>
      <c r="AO56" s="1838"/>
      <c r="AP56" s="1837"/>
      <c r="AQ56" s="1841"/>
      <c r="AR56" s="1837"/>
      <c r="AS56" s="1838"/>
      <c r="AT56" s="1837"/>
      <c r="AU56" s="1838"/>
      <c r="AV56" s="1839"/>
      <c r="AW56" s="1840"/>
      <c r="AX56" s="1837"/>
      <c r="AY56" s="1838"/>
      <c r="AZ56" s="1837"/>
      <c r="BA56" s="1838"/>
      <c r="BB56" s="1839"/>
      <c r="BC56" s="1837"/>
      <c r="BD56" s="1837"/>
      <c r="BE56" s="1838"/>
      <c r="BF56" s="1837"/>
      <c r="BG56" s="1838"/>
      <c r="BH56" s="1837"/>
      <c r="BI56" s="1840"/>
      <c r="BJ56" s="1837"/>
      <c r="BK56" s="1838"/>
      <c r="BL56" s="1837"/>
      <c r="BM56" s="1838"/>
      <c r="BN56" s="1839"/>
      <c r="BO56" s="1840"/>
      <c r="BP56" s="1837"/>
      <c r="BQ56" s="1838"/>
      <c r="BR56" s="1837"/>
      <c r="BS56" s="1838"/>
      <c r="BT56" s="1839"/>
      <c r="BU56" s="1840"/>
      <c r="BV56" s="1837"/>
      <c r="BW56" s="1838"/>
      <c r="BX56" s="1837"/>
      <c r="BY56" s="1838"/>
      <c r="BZ56" s="1839"/>
      <c r="CA56" s="1840"/>
      <c r="CB56" s="1837"/>
      <c r="CC56" s="1838"/>
      <c r="CD56" s="1837"/>
      <c r="CE56" s="1838"/>
      <c r="CF56" s="1839"/>
      <c r="CG56" s="1840"/>
      <c r="CH56" s="1837"/>
      <c r="CI56" s="1838"/>
      <c r="CJ56" s="1837"/>
      <c r="CK56" s="1838"/>
      <c r="CL56" s="1839"/>
      <c r="CM56" s="1840"/>
      <c r="CN56" s="1837"/>
      <c r="CO56" s="1838"/>
      <c r="CP56" s="1837"/>
      <c r="CQ56" s="1838"/>
      <c r="CR56" s="1839"/>
      <c r="CS56" s="1840"/>
      <c r="CT56" s="1837"/>
      <c r="CU56" s="1838"/>
      <c r="CV56" s="1837"/>
      <c r="CW56" s="1838"/>
      <c r="CX56" s="1839"/>
      <c r="CY56" s="1840"/>
      <c r="CZ56" s="1837"/>
      <c r="DA56" s="1838"/>
      <c r="DB56" s="1837"/>
      <c r="DC56" s="1838"/>
      <c r="DD56" s="1839"/>
      <c r="DE56" s="1840"/>
      <c r="DF56" s="1837"/>
      <c r="DG56" s="1838"/>
      <c r="DH56" s="1837"/>
      <c r="DI56" s="1838"/>
      <c r="DJ56" s="1839"/>
      <c r="DK56" s="1840"/>
      <c r="DL56" s="1837"/>
      <c r="DM56" s="1838"/>
      <c r="DN56" s="1837"/>
      <c r="DO56" s="1838"/>
      <c r="DP56" s="1837"/>
      <c r="DQ56" s="1853"/>
      <c r="DR56" s="1837"/>
      <c r="DS56" s="1838"/>
      <c r="DT56" s="1842"/>
      <c r="DU56" s="1837"/>
      <c r="DV56" s="1839"/>
      <c r="DW56" s="1840"/>
      <c r="DX56" s="1837"/>
      <c r="DY56" s="1838"/>
      <c r="DZ56" s="1837"/>
      <c r="EA56" s="1838"/>
      <c r="EB56" s="1839"/>
      <c r="EC56" s="1840"/>
      <c r="ED56" s="1837"/>
      <c r="EE56" s="1838"/>
      <c r="EF56" s="1837"/>
      <c r="EG56" s="1838"/>
      <c r="EH56" s="1838"/>
      <c r="EI56" s="1840"/>
      <c r="EJ56" s="1837"/>
      <c r="EK56" s="1838"/>
      <c r="EL56" s="1837"/>
      <c r="EM56" s="1838"/>
      <c r="EN56" s="1839"/>
      <c r="EO56" s="1840"/>
      <c r="EP56" s="1837"/>
      <c r="EQ56" s="1838"/>
      <c r="ER56" s="1837"/>
      <c r="ES56" s="1838"/>
      <c r="ET56" s="1902"/>
      <c r="EU56" s="1840"/>
      <c r="EV56" s="1837"/>
      <c r="EW56" s="1838"/>
      <c r="EX56" s="1837"/>
      <c r="EY56" s="1838"/>
      <c r="EZ56" s="1902"/>
      <c r="FA56" s="1840"/>
      <c r="FB56" s="1837"/>
      <c r="FC56" s="1838"/>
      <c r="FD56" s="1837"/>
      <c r="FE56" s="1838"/>
      <c r="FF56" s="1902"/>
      <c r="FG56" s="1840"/>
      <c r="FH56" s="1837"/>
      <c r="FI56" s="1838"/>
      <c r="FJ56" s="1837"/>
      <c r="FK56" s="1838"/>
      <c r="FL56" s="1902"/>
      <c r="FM56" s="1840"/>
      <c r="FN56" s="1837"/>
      <c r="FO56" s="1838"/>
      <c r="FP56" s="1837"/>
      <c r="FQ56" s="1838"/>
      <c r="FR56" s="1902"/>
      <c r="FS56" s="1840"/>
      <c r="FT56" s="1837"/>
      <c r="FU56" s="1838"/>
      <c r="FV56" s="1837"/>
      <c r="FW56" s="1838"/>
      <c r="FX56" s="1902"/>
      <c r="FY56" s="1840"/>
      <c r="FZ56" s="1837"/>
      <c r="GA56" s="1838"/>
      <c r="GB56" s="1837"/>
      <c r="GC56" s="1838"/>
      <c r="GD56" s="1902"/>
      <c r="GE56" s="1840"/>
      <c r="GF56" s="1837"/>
      <c r="GG56" s="1838"/>
      <c r="GH56" s="1837"/>
      <c r="GI56" s="1838"/>
      <c r="GJ56" s="1902"/>
      <c r="GK56" s="1840"/>
      <c r="GL56" s="1837"/>
      <c r="GM56" s="1838"/>
      <c r="GN56" s="1837"/>
      <c r="GO56" s="1838"/>
      <c r="GP56" s="1902"/>
    </row>
    <row r="57" spans="1:198" ht="20.100000000000001" hidden="1" customHeight="1" outlineLevel="1" collapsed="1">
      <c r="A57" s="2647"/>
      <c r="B57" s="2758"/>
      <c r="C57" s="1836"/>
      <c r="D57" s="2614" t="str">
        <f>実績!C1300&amp;"("&amp;SUBSTITUTE(実績!R1300&amp;")","株式会社 ","")</f>
        <v>沖縄トヨペット豊見城(旧 サザン)(エー・アール・ジー)</v>
      </c>
      <c r="E57" s="2617"/>
      <c r="F57" s="2617"/>
      <c r="G57" s="2617"/>
      <c r="H57" s="2617"/>
      <c r="I57" s="2617"/>
      <c r="J57" s="2617"/>
      <c r="K57" s="2617"/>
      <c r="L57" s="2617"/>
      <c r="M57" s="2617"/>
      <c r="N57" s="2617"/>
      <c r="O57" s="2617"/>
      <c r="P57" s="2617"/>
      <c r="Q57" s="2617"/>
      <c r="R57" s="2622"/>
      <c r="S57" s="1837"/>
      <c r="T57" s="1837"/>
      <c r="U57" s="1838"/>
      <c r="V57" s="1837"/>
      <c r="W57" s="1838"/>
      <c r="X57" s="1839"/>
      <c r="Y57" s="1837"/>
      <c r="Z57" s="1837"/>
      <c r="AA57" s="1838"/>
      <c r="AB57" s="1837"/>
      <c r="AC57" s="1838"/>
      <c r="AD57" s="1837"/>
      <c r="AE57" s="1840"/>
      <c r="AF57" s="1837"/>
      <c r="AG57" s="1838"/>
      <c r="AH57" s="1837"/>
      <c r="AI57" s="1838"/>
      <c r="AJ57" s="1839"/>
      <c r="AK57" s="1837"/>
      <c r="AL57" s="1837"/>
      <c r="AM57" s="1838"/>
      <c r="AN57" s="1837"/>
      <c r="AO57" s="1838"/>
      <c r="AP57" s="1837"/>
      <c r="AQ57" s="1841"/>
      <c r="AR57" s="1837"/>
      <c r="AS57" s="1838"/>
      <c r="AT57" s="1837"/>
      <c r="AU57" s="1838"/>
      <c r="AV57" s="1839"/>
      <c r="AW57" s="1840"/>
      <c r="AX57" s="1837"/>
      <c r="AY57" s="1838"/>
      <c r="AZ57" s="1837"/>
      <c r="BA57" s="1838"/>
      <c r="BB57" s="1839"/>
      <c r="BC57" s="1837"/>
      <c r="BD57" s="1837"/>
      <c r="BE57" s="1838"/>
      <c r="BF57" s="1837"/>
      <c r="BG57" s="1838"/>
      <c r="BH57" s="1837"/>
      <c r="BI57" s="1840"/>
      <c r="BJ57" s="1837"/>
      <c r="BK57" s="1838"/>
      <c r="BL57" s="1837"/>
      <c r="BM57" s="1838"/>
      <c r="BN57" s="1839"/>
      <c r="BO57" s="1840"/>
      <c r="BP57" s="1837"/>
      <c r="BQ57" s="1838"/>
      <c r="BR57" s="1842"/>
      <c r="BS57" s="1838"/>
      <c r="BT57" s="1839"/>
      <c r="BU57" s="1840"/>
      <c r="BV57" s="1837"/>
      <c r="BW57" s="1838"/>
      <c r="BX57" s="1837"/>
      <c r="BY57" s="1838"/>
      <c r="BZ57" s="1839"/>
      <c r="CA57" s="1840"/>
      <c r="CB57" s="1837"/>
      <c r="CC57" s="1838"/>
      <c r="CD57" s="1837"/>
      <c r="CE57" s="1838"/>
      <c r="CF57" s="1839"/>
      <c r="CG57" s="1840"/>
      <c r="CH57" s="1837"/>
      <c r="CI57" s="1838"/>
      <c r="CJ57" s="1837"/>
      <c r="CK57" s="1838"/>
      <c r="CL57" s="1839"/>
      <c r="CM57" s="1840"/>
      <c r="CN57" s="1837"/>
      <c r="CO57" s="1838"/>
      <c r="CP57" s="1843"/>
      <c r="CQ57" s="1838"/>
      <c r="CR57" s="1839"/>
      <c r="CS57" s="1840"/>
      <c r="CT57" s="1837"/>
      <c r="CU57" s="1838"/>
      <c r="CV57" s="1837"/>
      <c r="CW57" s="1838"/>
      <c r="CX57" s="1839"/>
      <c r="CY57" s="1840"/>
      <c r="CZ57" s="1837"/>
      <c r="DA57" s="1838"/>
      <c r="DB57" s="1837"/>
      <c r="DC57" s="1838"/>
      <c r="DD57" s="1839"/>
      <c r="DE57" s="1840"/>
      <c r="DF57" s="1837"/>
      <c r="DG57" s="1838"/>
      <c r="DH57" s="1837"/>
      <c r="DI57" s="1838"/>
      <c r="DJ57" s="1839" t="s">
        <v>14546</v>
      </c>
      <c r="DK57" s="1840"/>
      <c r="DL57" s="1837"/>
      <c r="DM57" s="1838"/>
      <c r="DN57" s="1837"/>
      <c r="DO57" s="1838"/>
      <c r="DP57" s="1837"/>
      <c r="DQ57" s="1853"/>
      <c r="DR57" s="1837"/>
      <c r="DS57" s="1838"/>
      <c r="DT57" s="1842"/>
      <c r="DU57" s="1837"/>
      <c r="DV57" s="1839"/>
      <c r="DW57" s="1840"/>
      <c r="DX57" s="1837"/>
      <c r="DY57" s="1838" t="s">
        <v>15006</v>
      </c>
      <c r="DZ57" s="1837"/>
      <c r="EA57" s="1838"/>
      <c r="EB57" s="1839"/>
      <c r="EC57" s="1840"/>
      <c r="ED57" s="1837"/>
      <c r="EE57" s="1838"/>
      <c r="EF57" s="1837"/>
      <c r="EG57" s="1838"/>
      <c r="EH57" s="1839"/>
      <c r="EI57" s="1840" t="s">
        <v>13365</v>
      </c>
      <c r="EJ57" s="1837"/>
      <c r="EK57" s="1838"/>
      <c r="EL57" s="1837"/>
      <c r="EM57" s="1838"/>
      <c r="EN57" s="1839"/>
      <c r="EO57" s="1840"/>
      <c r="EP57" s="1837"/>
      <c r="EQ57" s="1838"/>
      <c r="ER57" s="1837"/>
      <c r="ES57" s="1838"/>
      <c r="ET57" s="1902"/>
      <c r="EU57" s="1840"/>
      <c r="EV57" s="1837"/>
      <c r="EW57" s="1838"/>
      <c r="EX57" s="1837"/>
      <c r="EY57" s="1838"/>
      <c r="EZ57" s="1902"/>
      <c r="FA57" s="1840"/>
      <c r="FB57" s="1837"/>
      <c r="FC57" s="1838"/>
      <c r="FD57" s="1837"/>
      <c r="FE57" s="1838"/>
      <c r="FF57" s="1902"/>
      <c r="FG57" s="1840"/>
      <c r="FH57" s="1837"/>
      <c r="FI57" s="1838"/>
      <c r="FJ57" s="1837"/>
      <c r="FK57" s="1838"/>
      <c r="FL57" s="1902"/>
      <c r="FM57" s="1840"/>
      <c r="FN57" s="1837"/>
      <c r="FO57" s="1838"/>
      <c r="FP57" s="1837"/>
      <c r="FQ57" s="1838"/>
      <c r="FR57" s="1902"/>
      <c r="FS57" s="1840"/>
      <c r="FT57" s="1837"/>
      <c r="FU57" s="1838"/>
      <c r="FV57" s="1837"/>
      <c r="FW57" s="1838"/>
      <c r="FX57" s="1902"/>
      <c r="FY57" s="1840"/>
      <c r="FZ57" s="1837"/>
      <c r="GA57" s="1838"/>
      <c r="GB57" s="1837"/>
      <c r="GC57" s="1838"/>
      <c r="GD57" s="1902"/>
      <c r="GE57" s="1840"/>
      <c r="GF57" s="1837"/>
      <c r="GG57" s="1838"/>
      <c r="GH57" s="1837"/>
      <c r="GI57" s="1838"/>
      <c r="GJ57" s="1902"/>
      <c r="GK57" s="1840"/>
      <c r="GL57" s="1837"/>
      <c r="GM57" s="1838"/>
      <c r="GN57" s="1837"/>
      <c r="GO57" s="1838"/>
      <c r="GP57" s="1902"/>
    </row>
    <row r="58" spans="1:198" ht="20.100000000000001" hidden="1" customHeight="1" outlineLevel="1">
      <c r="A58" s="1974" t="s">
        <v>14535</v>
      </c>
      <c r="B58" s="2758"/>
      <c r="C58" s="1836"/>
      <c r="D58" s="2614" t="str">
        <f>実績!C1449&amp;"("&amp;SUBSTITUTE(実績!R1449&amp;")","株式会社 ","")</f>
        <v>守山テナントビル(カワバタマサヒロ建築設計事務所)</v>
      </c>
      <c r="E58" s="2617"/>
      <c r="F58" s="2617"/>
      <c r="G58" s="2617"/>
      <c r="H58" s="2617"/>
      <c r="I58" s="2617"/>
      <c r="J58" s="2617"/>
      <c r="K58" s="2617"/>
      <c r="L58" s="2617"/>
      <c r="M58" s="2617"/>
      <c r="N58" s="2617"/>
      <c r="O58" s="2617"/>
      <c r="P58" s="2617"/>
      <c r="Q58" s="2617" t="s">
        <v>14536</v>
      </c>
      <c r="R58" s="2641"/>
      <c r="S58" s="1837"/>
      <c r="T58" s="1837"/>
      <c r="U58" s="1838"/>
      <c r="V58" s="1837"/>
      <c r="W58" s="1838"/>
      <c r="X58" s="1839"/>
      <c r="Y58" s="1837"/>
      <c r="Z58" s="1837"/>
      <c r="AA58" s="1838"/>
      <c r="AB58" s="1837"/>
      <c r="AC58" s="1838"/>
      <c r="AD58" s="1837"/>
      <c r="AE58" s="1840"/>
      <c r="AF58" s="1837"/>
      <c r="AG58" s="1838"/>
      <c r="AH58" s="1837"/>
      <c r="AI58" s="1838"/>
      <c r="AJ58" s="1839"/>
      <c r="AK58" s="1837"/>
      <c r="AL58" s="1837"/>
      <c r="AM58" s="1838"/>
      <c r="AN58" s="1837"/>
      <c r="AO58" s="1838"/>
      <c r="AP58" s="1837"/>
      <c r="AQ58" s="1841"/>
      <c r="AR58" s="1837"/>
      <c r="AS58" s="1838"/>
      <c r="AT58" s="1837"/>
      <c r="AU58" s="1838"/>
      <c r="AV58" s="1839"/>
      <c r="AW58" s="1840"/>
      <c r="AX58" s="1837"/>
      <c r="AY58" s="1838"/>
      <c r="AZ58" s="1837"/>
      <c r="BA58" s="1838"/>
      <c r="BB58" s="1839"/>
      <c r="BC58" s="1837"/>
      <c r="BD58" s="1837"/>
      <c r="BE58" s="1838"/>
      <c r="BF58" s="1837"/>
      <c r="BG58" s="1838"/>
      <c r="BH58" s="1837"/>
      <c r="BI58" s="1840"/>
      <c r="BJ58" s="1837"/>
      <c r="BK58" s="1838"/>
      <c r="BL58" s="1837"/>
      <c r="BM58" s="1838"/>
      <c r="BN58" s="1839"/>
      <c r="BO58" s="1840"/>
      <c r="BP58" s="1837"/>
      <c r="BQ58" s="1838"/>
      <c r="BR58" s="1842"/>
      <c r="BS58" s="1838"/>
      <c r="BT58" s="1839"/>
      <c r="BU58" s="1840"/>
      <c r="BV58" s="1837"/>
      <c r="BW58" s="1838"/>
      <c r="BX58" s="1837"/>
      <c r="BY58" s="1838"/>
      <c r="BZ58" s="1839"/>
      <c r="CA58" s="1840"/>
      <c r="CB58" s="1837"/>
      <c r="CC58" s="1838"/>
      <c r="CD58" s="1837"/>
      <c r="CE58" s="1838"/>
      <c r="CF58" s="1839"/>
      <c r="CG58" s="1840"/>
      <c r="CH58" s="1837"/>
      <c r="CI58" s="1838"/>
      <c r="CJ58" s="1837"/>
      <c r="CK58" s="1838"/>
      <c r="CL58" s="1839"/>
      <c r="CM58" s="1840"/>
      <c r="CN58" s="1837"/>
      <c r="CO58" s="1838"/>
      <c r="CP58" s="1843"/>
      <c r="CQ58" s="1838"/>
      <c r="CR58" s="1839"/>
      <c r="CS58" s="1840" t="s">
        <v>10546</v>
      </c>
      <c r="CT58" s="1837"/>
      <c r="CU58" s="1838"/>
      <c r="CV58" s="1837"/>
      <c r="CW58" s="1838"/>
      <c r="CX58" s="1839"/>
      <c r="CY58" s="1840"/>
      <c r="CZ58" s="1837"/>
      <c r="DA58" s="1838"/>
      <c r="DB58" s="1837"/>
      <c r="DC58" s="1838"/>
      <c r="DD58" s="1839"/>
      <c r="DE58" s="1840"/>
      <c r="DF58" s="1837"/>
      <c r="DG58" s="1838"/>
      <c r="DH58" s="1837"/>
      <c r="DI58" s="1838"/>
      <c r="DJ58" s="1839"/>
      <c r="DK58" s="1840"/>
      <c r="DL58" s="1837"/>
      <c r="DM58" s="1838"/>
      <c r="DN58" s="1837"/>
      <c r="DO58" s="1838"/>
      <c r="DP58" s="1839"/>
      <c r="DQ58" s="1840"/>
      <c r="DR58" s="1837"/>
      <c r="DS58" s="1838"/>
      <c r="DT58" s="1837"/>
      <c r="DU58" s="1838"/>
      <c r="DV58" s="1844"/>
      <c r="DW58" s="1840"/>
      <c r="DX58" s="1837"/>
      <c r="DY58" s="1838"/>
      <c r="DZ58" s="1837"/>
      <c r="EA58" s="1838"/>
      <c r="EB58" s="1844"/>
      <c r="EC58" s="1840"/>
      <c r="ED58" s="1837"/>
      <c r="EE58" s="1838"/>
      <c r="EF58" s="1837"/>
      <c r="EG58" s="1838"/>
      <c r="EH58" s="1844"/>
      <c r="EI58" s="1840"/>
      <c r="EJ58" s="1837"/>
      <c r="EK58" s="1838"/>
      <c r="EL58" s="1837"/>
      <c r="EM58" s="1838"/>
      <c r="EN58" s="1844"/>
      <c r="EO58" s="1840"/>
      <c r="EP58" s="1837"/>
      <c r="EQ58" s="1838"/>
      <c r="ER58" s="1837"/>
      <c r="ES58" s="1838"/>
      <c r="ET58" s="1906"/>
      <c r="EU58" s="1840"/>
      <c r="EV58" s="1837"/>
      <c r="EW58" s="1838"/>
      <c r="EX58" s="1837"/>
      <c r="EY58" s="1838"/>
      <c r="EZ58" s="1906"/>
      <c r="FA58" s="1840"/>
      <c r="FB58" s="1837"/>
      <c r="FC58" s="1838"/>
      <c r="FD58" s="1837"/>
      <c r="FE58" s="1838"/>
      <c r="FF58" s="1906"/>
      <c r="FG58" s="1840"/>
      <c r="FH58" s="1837"/>
      <c r="FI58" s="1838"/>
      <c r="FJ58" s="1837"/>
      <c r="FK58" s="1838"/>
      <c r="FL58" s="1906"/>
      <c r="FM58" s="1840"/>
      <c r="FN58" s="1837"/>
      <c r="FO58" s="1838"/>
      <c r="FP58" s="1837"/>
      <c r="FQ58" s="1838"/>
      <c r="FR58" s="1906"/>
      <c r="FS58" s="1840"/>
      <c r="FT58" s="1837"/>
      <c r="FU58" s="1838"/>
      <c r="FV58" s="1837"/>
      <c r="FW58" s="1838"/>
      <c r="FX58" s="1906"/>
      <c r="FY58" s="1840"/>
      <c r="FZ58" s="1837"/>
      <c r="GA58" s="1838"/>
      <c r="GB58" s="1837"/>
      <c r="GC58" s="1838"/>
      <c r="GD58" s="1906"/>
      <c r="GE58" s="1840"/>
      <c r="GF58" s="1837"/>
      <c r="GG58" s="1838"/>
      <c r="GH58" s="1837"/>
      <c r="GI58" s="1838"/>
      <c r="GJ58" s="1906"/>
      <c r="GK58" s="1840"/>
      <c r="GL58" s="1837"/>
      <c r="GM58" s="1838"/>
      <c r="GN58" s="1837"/>
      <c r="GO58" s="1838"/>
      <c r="GP58" s="1906"/>
    </row>
    <row r="59" spans="1:198" ht="20.100000000000001" hidden="1" customHeight="1" outlineLevel="1" collapsed="1">
      <c r="A59" s="2637" t="s">
        <v>10763</v>
      </c>
      <c r="B59" s="2758"/>
      <c r="C59" s="1836"/>
      <c r="D59" s="2614" t="str">
        <f>実績!C1324&amp;"("&amp;SUBSTITUTE(実績!R1324&amp;")","有限会社 ","")</f>
        <v>バロー穂積(中部設計)</v>
      </c>
      <c r="E59" s="2617"/>
      <c r="F59" s="2617"/>
      <c r="G59" s="2617"/>
      <c r="H59" s="2617"/>
      <c r="I59" s="2617"/>
      <c r="J59" s="2617"/>
      <c r="K59" s="2617"/>
      <c r="L59" s="2617"/>
      <c r="M59" s="2617"/>
      <c r="N59" s="2617"/>
      <c r="O59" s="2617"/>
      <c r="P59" s="2617"/>
      <c r="Q59" s="2617"/>
      <c r="R59" s="2622"/>
      <c r="S59" s="1837"/>
      <c r="T59" s="1837"/>
      <c r="U59" s="1838"/>
      <c r="V59" s="1837"/>
      <c r="W59" s="1838"/>
      <c r="X59" s="1839"/>
      <c r="Y59" s="1837"/>
      <c r="Z59" s="1837"/>
      <c r="AA59" s="1838"/>
      <c r="AB59" s="1837"/>
      <c r="AC59" s="1838"/>
      <c r="AD59" s="1837"/>
      <c r="AE59" s="1840"/>
      <c r="AF59" s="1837"/>
      <c r="AG59" s="1838"/>
      <c r="AH59" s="1837"/>
      <c r="AI59" s="1838"/>
      <c r="AJ59" s="1839"/>
      <c r="AK59" s="1837"/>
      <c r="AL59" s="1837"/>
      <c r="AM59" s="1838"/>
      <c r="AN59" s="1837"/>
      <c r="AO59" s="1838"/>
      <c r="AP59" s="1837"/>
      <c r="AQ59" s="1841"/>
      <c r="AR59" s="1837"/>
      <c r="AS59" s="1838"/>
      <c r="AT59" s="1837"/>
      <c r="AU59" s="1838"/>
      <c r="AV59" s="1839"/>
      <c r="AW59" s="1840"/>
      <c r="AX59" s="1837"/>
      <c r="AY59" s="1838"/>
      <c r="AZ59" s="1837"/>
      <c r="BA59" s="1838"/>
      <c r="BB59" s="1839"/>
      <c r="BC59" s="1837"/>
      <c r="BD59" s="1837"/>
      <c r="BE59" s="1838"/>
      <c r="BF59" s="1837"/>
      <c r="BG59" s="1838"/>
      <c r="BH59" s="1837"/>
      <c r="BI59" s="1840"/>
      <c r="BJ59" s="1837"/>
      <c r="BK59" s="1838"/>
      <c r="BL59" s="1837"/>
      <c r="BM59" s="1838"/>
      <c r="BN59" s="1839"/>
      <c r="BO59" s="1840"/>
      <c r="BP59" s="1837"/>
      <c r="BQ59" s="1838"/>
      <c r="BR59" s="1842"/>
      <c r="BS59" s="1838"/>
      <c r="BT59" s="1839"/>
      <c r="BU59" s="1840"/>
      <c r="BV59" s="1837"/>
      <c r="BW59" s="1838"/>
      <c r="BX59" s="1837"/>
      <c r="BY59" s="1838"/>
      <c r="BZ59" s="1839"/>
      <c r="CA59" s="1840"/>
      <c r="CB59" s="1837"/>
      <c r="CC59" s="1838"/>
      <c r="CD59" s="1837"/>
      <c r="CE59" s="1838"/>
      <c r="CF59" s="1839"/>
      <c r="CG59" s="1840"/>
      <c r="CH59" s="1837"/>
      <c r="CI59" s="1838"/>
      <c r="CJ59" s="1837"/>
      <c r="CK59" s="1838"/>
      <c r="CL59" s="1839"/>
      <c r="CM59" s="1840"/>
      <c r="CN59" s="1837"/>
      <c r="CO59" s="1838"/>
      <c r="CP59" s="1843"/>
      <c r="CQ59" s="1838"/>
      <c r="CR59" s="1839"/>
      <c r="CS59" s="1840"/>
      <c r="CT59" s="1837"/>
      <c r="CU59" s="1838"/>
      <c r="CV59" s="1837"/>
      <c r="CW59" s="1838"/>
      <c r="CX59" s="1839"/>
      <c r="CY59" s="1840"/>
      <c r="CZ59" s="1837"/>
      <c r="DA59" s="1903"/>
      <c r="DB59" s="1837"/>
      <c r="DC59" s="1838"/>
      <c r="DD59" s="1839"/>
      <c r="DE59" s="1840"/>
      <c r="DF59" s="1837"/>
      <c r="DG59" s="1838"/>
      <c r="DH59" s="1837"/>
      <c r="DI59" s="1838"/>
      <c r="DJ59" s="1839"/>
      <c r="DK59" s="1840" t="s">
        <v>12888</v>
      </c>
      <c r="DL59" s="1837"/>
      <c r="DM59" s="1838"/>
      <c r="DN59" s="1837"/>
      <c r="DO59" s="1838"/>
      <c r="DP59" s="1837" t="s">
        <v>8250</v>
      </c>
      <c r="DQ59" s="1840"/>
      <c r="DR59" s="1837"/>
      <c r="DS59" s="1838"/>
      <c r="DT59" s="1837"/>
      <c r="DU59" s="1838"/>
      <c r="DV59" s="1839"/>
      <c r="DW59" s="1840"/>
      <c r="DX59" s="1837"/>
      <c r="DY59" s="1838" t="s">
        <v>12889</v>
      </c>
      <c r="DZ59" s="1837"/>
      <c r="EA59" s="1838"/>
      <c r="EB59" s="1839"/>
      <c r="EC59" s="1840"/>
      <c r="ED59" s="1837"/>
      <c r="EE59" s="1838"/>
      <c r="EF59" s="1837"/>
      <c r="EG59" s="1838"/>
      <c r="EH59" s="1839"/>
      <c r="EI59" s="1840"/>
      <c r="EJ59" s="1837"/>
      <c r="EK59" s="1838"/>
      <c r="EL59" s="1837"/>
      <c r="EM59" s="1838"/>
      <c r="EN59" s="1839"/>
      <c r="EO59" s="1840"/>
      <c r="EP59" s="1837"/>
      <c r="EQ59" s="1838"/>
      <c r="ER59" s="1837"/>
      <c r="ES59" s="1838"/>
      <c r="ET59" s="1906" t="s">
        <v>12890</v>
      </c>
      <c r="EU59" s="1840"/>
      <c r="EV59" s="1837"/>
      <c r="EW59" s="1838"/>
      <c r="EX59" s="1837"/>
      <c r="EY59" s="1838"/>
      <c r="EZ59" s="1906"/>
      <c r="FA59" s="1840"/>
      <c r="FB59" s="1837"/>
      <c r="FC59" s="1838"/>
      <c r="FD59" s="1837"/>
      <c r="FE59" s="1838"/>
      <c r="FF59" s="1906"/>
      <c r="FG59" s="1840"/>
      <c r="FH59" s="1837"/>
      <c r="FI59" s="1838"/>
      <c r="FJ59" s="1837"/>
      <c r="FK59" s="1838"/>
      <c r="FL59" s="1906"/>
      <c r="FM59" s="1840"/>
      <c r="FN59" s="1837"/>
      <c r="FO59" s="1838"/>
      <c r="FP59" s="1837"/>
      <c r="FQ59" s="1838"/>
      <c r="FR59" s="1906"/>
      <c r="FS59" s="1840"/>
      <c r="FT59" s="1837"/>
      <c r="FU59" s="1838"/>
      <c r="FV59" s="1837"/>
      <c r="FW59" s="1838"/>
      <c r="FX59" s="1906"/>
      <c r="FY59" s="1840"/>
      <c r="FZ59" s="1837"/>
      <c r="GA59" s="1838"/>
      <c r="GB59" s="1837"/>
      <c r="GC59" s="1838"/>
      <c r="GD59" s="1906"/>
      <c r="GE59" s="1840"/>
      <c r="GF59" s="1837"/>
      <c r="GG59" s="1838"/>
      <c r="GH59" s="1837"/>
      <c r="GI59" s="1838"/>
      <c r="GJ59" s="1906"/>
      <c r="GK59" s="1840"/>
      <c r="GL59" s="1837"/>
      <c r="GM59" s="1838"/>
      <c r="GN59" s="1837"/>
      <c r="GO59" s="1838"/>
      <c r="GP59" s="1906"/>
    </row>
    <row r="60" spans="1:198" ht="20.100000000000001" hidden="1" customHeight="1" outlineLevel="1" collapsed="1">
      <c r="A60" s="2637"/>
      <c r="B60" s="2758"/>
      <c r="C60" s="1836"/>
      <c r="D60" s="2614" t="str">
        <f>実績!C1342&amp;"("&amp;SUBSTITUTE(実績!R1342&amp;")","有限会社 ","")</f>
        <v>Vdrug豊田東山(中部設計)</v>
      </c>
      <c r="E60" s="2617"/>
      <c r="F60" s="2617"/>
      <c r="G60" s="2617"/>
      <c r="H60" s="2617"/>
      <c r="I60" s="2617"/>
      <c r="J60" s="2617"/>
      <c r="K60" s="2617"/>
      <c r="L60" s="2617"/>
      <c r="M60" s="2617"/>
      <c r="N60" s="2617"/>
      <c r="O60" s="2617"/>
      <c r="P60" s="2617"/>
      <c r="Q60" s="2617"/>
      <c r="R60" s="2622"/>
      <c r="S60" s="1837"/>
      <c r="T60" s="1837"/>
      <c r="U60" s="1837"/>
      <c r="V60" s="1837"/>
      <c r="W60" s="1837"/>
      <c r="X60" s="1837"/>
      <c r="Y60" s="1837"/>
      <c r="Z60" s="1837"/>
      <c r="AA60" s="1837"/>
      <c r="AB60" s="1837"/>
      <c r="AC60" s="1837"/>
      <c r="AD60" s="1837"/>
      <c r="AE60" s="1837"/>
      <c r="AF60" s="1837"/>
      <c r="AG60" s="1837"/>
      <c r="AH60" s="1837"/>
      <c r="AI60" s="1837"/>
      <c r="AJ60" s="1837"/>
      <c r="AK60" s="1837"/>
      <c r="AL60" s="1837"/>
      <c r="AM60" s="1837"/>
      <c r="AN60" s="1837"/>
      <c r="AO60" s="1837"/>
      <c r="AP60" s="1837"/>
      <c r="AQ60" s="1837"/>
      <c r="AR60" s="1837"/>
      <c r="AS60" s="1837"/>
      <c r="AT60" s="1837"/>
      <c r="AU60" s="1837"/>
      <c r="AV60" s="1837"/>
      <c r="AW60" s="1837"/>
      <c r="AX60" s="1837"/>
      <c r="AY60" s="1837"/>
      <c r="AZ60" s="1837"/>
      <c r="BA60" s="1837"/>
      <c r="BB60" s="1837"/>
      <c r="BC60" s="1837"/>
      <c r="BD60" s="1837"/>
      <c r="BE60" s="1837"/>
      <c r="BF60" s="1837"/>
      <c r="BG60" s="1837"/>
      <c r="BH60" s="1837"/>
      <c r="BI60" s="1837"/>
      <c r="BJ60" s="1837"/>
      <c r="BK60" s="1837"/>
      <c r="BL60" s="1837"/>
      <c r="BM60" s="1837"/>
      <c r="BN60" s="1837"/>
      <c r="BO60" s="1837"/>
      <c r="BP60" s="1837"/>
      <c r="BQ60" s="1837"/>
      <c r="BR60" s="1837"/>
      <c r="BS60" s="1837"/>
      <c r="BT60" s="1837"/>
      <c r="BU60" s="1837"/>
      <c r="BV60" s="1837"/>
      <c r="BW60" s="1837"/>
      <c r="BX60" s="1837"/>
      <c r="BY60" s="1837"/>
      <c r="BZ60" s="1837"/>
      <c r="CA60" s="1837"/>
      <c r="CB60" s="1837"/>
      <c r="CC60" s="1837"/>
      <c r="CD60" s="1837"/>
      <c r="CE60" s="1837"/>
      <c r="CF60" s="1837"/>
      <c r="CG60" s="1837"/>
      <c r="CH60" s="1837"/>
      <c r="CI60" s="1837"/>
      <c r="CJ60" s="1837"/>
      <c r="CK60" s="1837"/>
      <c r="CL60" s="1837"/>
      <c r="CM60" s="1837"/>
      <c r="CN60" s="1837"/>
      <c r="CO60" s="1837"/>
      <c r="CP60" s="1843"/>
      <c r="CQ60" s="1837"/>
      <c r="CR60" s="1837"/>
      <c r="CS60" s="1837"/>
      <c r="CT60" s="1837"/>
      <c r="CU60" s="1837"/>
      <c r="CV60" s="1837"/>
      <c r="CW60" s="1837"/>
      <c r="CX60" s="1837"/>
      <c r="CY60" s="1840"/>
      <c r="CZ60" s="1837"/>
      <c r="DA60" s="1838"/>
      <c r="DB60" s="1837"/>
      <c r="DC60" s="1838"/>
      <c r="DD60" s="1839"/>
      <c r="DE60" s="1840"/>
      <c r="DF60" s="1837"/>
      <c r="DG60" s="1838"/>
      <c r="DH60" s="1837"/>
      <c r="DI60" s="1838"/>
      <c r="DJ60" s="1844"/>
      <c r="DK60" s="1840"/>
      <c r="DL60" s="1837"/>
      <c r="DM60" s="1838"/>
      <c r="DN60" s="1837"/>
      <c r="DO60" s="1838"/>
      <c r="DP60" s="1839"/>
      <c r="DQ60" s="1840"/>
      <c r="DR60" s="1842"/>
      <c r="DS60" s="1838" t="s">
        <v>14989</v>
      </c>
      <c r="DT60" s="1837"/>
      <c r="DU60" s="1838"/>
      <c r="DV60" s="1844"/>
      <c r="DW60" s="1840"/>
      <c r="DX60" s="1837"/>
      <c r="DY60" s="1838"/>
      <c r="DZ60" s="1837"/>
      <c r="EA60" s="1838"/>
      <c r="EB60" s="1844"/>
      <c r="EC60" s="1840"/>
      <c r="ED60" s="1837"/>
      <c r="EE60" s="1838"/>
      <c r="EF60" s="1837"/>
      <c r="EG60" s="1838"/>
      <c r="EH60" s="1844"/>
      <c r="EI60" s="1840"/>
      <c r="EJ60" s="1837"/>
      <c r="EK60" s="1838"/>
      <c r="EL60" s="1837"/>
      <c r="EM60" s="1838"/>
      <c r="EN60" s="1844"/>
      <c r="EO60" s="1840"/>
      <c r="EP60" s="1837"/>
      <c r="EQ60" s="1838"/>
      <c r="ER60" s="1837"/>
      <c r="ES60" s="1838"/>
      <c r="ET60" s="1906" t="s">
        <v>15005</v>
      </c>
      <c r="EU60" s="1840"/>
      <c r="EV60" s="1837"/>
      <c r="EW60" s="1838"/>
      <c r="EX60" s="1837"/>
      <c r="EY60" s="1838"/>
      <c r="EZ60" s="1906"/>
      <c r="FA60" s="1840"/>
      <c r="FB60" s="1837"/>
      <c r="FC60" s="1838"/>
      <c r="FD60" s="1837"/>
      <c r="FE60" s="1838"/>
      <c r="FF60" s="1906"/>
      <c r="FG60" s="1840"/>
      <c r="FH60" s="1837"/>
      <c r="FI60" s="1838"/>
      <c r="FJ60" s="1837"/>
      <c r="FK60" s="1838"/>
      <c r="FL60" s="1906"/>
      <c r="FM60" s="1840"/>
      <c r="FN60" s="1837"/>
      <c r="FO60" s="1838"/>
      <c r="FP60" s="1837"/>
      <c r="FQ60" s="1838"/>
      <c r="FR60" s="1906"/>
      <c r="FS60" s="1840"/>
      <c r="FT60" s="1837"/>
      <c r="FU60" s="1838"/>
      <c r="FV60" s="1837"/>
      <c r="FW60" s="1838"/>
      <c r="FX60" s="1906"/>
      <c r="FY60" s="1840"/>
      <c r="FZ60" s="1837"/>
      <c r="GA60" s="1838"/>
      <c r="GB60" s="1837"/>
      <c r="GC60" s="1838"/>
      <c r="GD60" s="1906"/>
      <c r="GE60" s="1840"/>
      <c r="GF60" s="1837"/>
      <c r="GG60" s="1838"/>
      <c r="GH60" s="1837"/>
      <c r="GI60" s="1838"/>
      <c r="GJ60" s="1906"/>
      <c r="GK60" s="1840"/>
      <c r="GL60" s="1837"/>
      <c r="GM60" s="1838"/>
      <c r="GN60" s="1837"/>
      <c r="GO60" s="1838"/>
      <c r="GP60" s="1906"/>
    </row>
    <row r="61" spans="1:198" ht="20.100000000000001" hidden="1" customHeight="1" outlineLevel="1" collapsed="1">
      <c r="A61" s="2637"/>
      <c r="B61" s="2758"/>
      <c r="C61" s="1836"/>
      <c r="D61" s="2614" t="str">
        <f>実績!C1307&amp;"("&amp;SUBSTITUTE(実績!AB1307&amp;")","株式会社 ","")</f>
        <v>jeep岡山(カーダクレッセ)</v>
      </c>
      <c r="E61" s="2617"/>
      <c r="F61" s="2617"/>
      <c r="G61" s="2617"/>
      <c r="H61" s="2617"/>
      <c r="I61" s="2617"/>
      <c r="J61" s="2617"/>
      <c r="K61" s="2617"/>
      <c r="L61" s="2617"/>
      <c r="M61" s="2617"/>
      <c r="N61" s="2617"/>
      <c r="O61" s="2617"/>
      <c r="P61" s="2617"/>
      <c r="Q61" s="2617"/>
      <c r="R61" s="2622"/>
      <c r="S61" s="1837"/>
      <c r="T61" s="1837"/>
      <c r="U61" s="1838"/>
      <c r="V61" s="1837"/>
      <c r="W61" s="1838"/>
      <c r="X61" s="1839"/>
      <c r="Y61" s="1837"/>
      <c r="Z61" s="1837"/>
      <c r="AA61" s="1838"/>
      <c r="AB61" s="1837"/>
      <c r="AC61" s="1838"/>
      <c r="AD61" s="1837"/>
      <c r="AE61" s="1840"/>
      <c r="AF61" s="1837"/>
      <c r="AG61" s="1838"/>
      <c r="AH61" s="1837"/>
      <c r="AI61" s="1838"/>
      <c r="AJ61" s="1839"/>
      <c r="AK61" s="1837"/>
      <c r="AL61" s="1837"/>
      <c r="AM61" s="1838"/>
      <c r="AN61" s="1837"/>
      <c r="AO61" s="1838"/>
      <c r="AP61" s="1837"/>
      <c r="AQ61" s="1841"/>
      <c r="AR61" s="1837"/>
      <c r="AS61" s="1838"/>
      <c r="AT61" s="1837"/>
      <c r="AU61" s="1838"/>
      <c r="AV61" s="1839"/>
      <c r="AW61" s="1840"/>
      <c r="AX61" s="1837"/>
      <c r="AY61" s="1838"/>
      <c r="AZ61" s="1837"/>
      <c r="BA61" s="1838"/>
      <c r="BB61" s="1839"/>
      <c r="BC61" s="1837"/>
      <c r="BD61" s="1837"/>
      <c r="BE61" s="1838"/>
      <c r="BF61" s="1837"/>
      <c r="BG61" s="1838"/>
      <c r="BH61" s="1837"/>
      <c r="BI61" s="1840"/>
      <c r="BJ61" s="1837"/>
      <c r="BK61" s="1838"/>
      <c r="BL61" s="1837"/>
      <c r="BM61" s="1838"/>
      <c r="BN61" s="1839"/>
      <c r="BO61" s="1840"/>
      <c r="BP61" s="1837"/>
      <c r="BQ61" s="1838"/>
      <c r="BR61" s="1842"/>
      <c r="BS61" s="1838"/>
      <c r="BT61" s="1839"/>
      <c r="BU61" s="1840"/>
      <c r="BV61" s="1837"/>
      <c r="BW61" s="1838"/>
      <c r="BX61" s="1837"/>
      <c r="BY61" s="1838"/>
      <c r="BZ61" s="1839"/>
      <c r="CA61" s="1840"/>
      <c r="CB61" s="1837"/>
      <c r="CC61" s="1838"/>
      <c r="CD61" s="1837"/>
      <c r="CE61" s="1838"/>
      <c r="CF61" s="1839"/>
      <c r="CG61" s="1840"/>
      <c r="CH61" s="1837"/>
      <c r="CI61" s="1838"/>
      <c r="CJ61" s="1837"/>
      <c r="CK61" s="1838"/>
      <c r="CL61" s="1839"/>
      <c r="CM61" s="1840"/>
      <c r="CN61" s="1837"/>
      <c r="CO61" s="1838"/>
      <c r="CP61" s="1843"/>
      <c r="CQ61" s="1838"/>
      <c r="CR61" s="1839"/>
      <c r="CS61" s="1840"/>
      <c r="CT61" s="1837"/>
      <c r="CU61" s="1838"/>
      <c r="CV61" s="1837"/>
      <c r="CW61" s="1838"/>
      <c r="CX61" s="1839"/>
      <c r="CY61" s="1840"/>
      <c r="CZ61" s="1837"/>
      <c r="DA61" s="1838"/>
      <c r="DB61" s="1837"/>
      <c r="DC61" s="1838"/>
      <c r="DD61" s="1839"/>
      <c r="DE61" s="1840"/>
      <c r="DF61" s="1837"/>
      <c r="DG61" s="1838"/>
      <c r="DH61" s="1837"/>
      <c r="DI61" s="1838"/>
      <c r="DJ61" s="1844"/>
      <c r="DK61" s="1840"/>
      <c r="DL61" s="1837"/>
      <c r="DM61" s="1838"/>
      <c r="DN61" s="1837"/>
      <c r="DO61" s="1838"/>
      <c r="DP61" s="1837"/>
      <c r="DQ61" s="1840"/>
      <c r="DR61" s="1837"/>
      <c r="DS61" s="1838" t="s">
        <v>15342</v>
      </c>
      <c r="DT61" s="1837"/>
      <c r="DU61" s="1838"/>
      <c r="DV61" s="1839"/>
      <c r="DW61" s="1840"/>
      <c r="DX61" s="1837"/>
      <c r="DY61" s="1838"/>
      <c r="DZ61" s="1837"/>
      <c r="EA61" s="1838"/>
      <c r="EB61" s="1839"/>
      <c r="EC61" s="1840"/>
      <c r="ED61" s="1837"/>
      <c r="EE61" s="1838"/>
      <c r="EF61" s="1837"/>
      <c r="EG61" s="1838"/>
      <c r="EH61" s="1839"/>
      <c r="EI61" s="1840"/>
      <c r="EJ61" s="1837"/>
      <c r="EK61" s="1838"/>
      <c r="EL61" s="1837"/>
      <c r="EM61" s="1838"/>
      <c r="EN61" s="1839"/>
      <c r="EO61" s="1840"/>
      <c r="EP61" s="1837"/>
      <c r="EQ61" s="1838"/>
      <c r="ER61" s="1837"/>
      <c r="ES61" s="1838"/>
      <c r="ET61" s="1902"/>
      <c r="EU61" s="1840"/>
      <c r="EV61" s="1837"/>
      <c r="EW61" s="1838"/>
      <c r="EX61" s="1837"/>
      <c r="EY61" s="1838"/>
      <c r="EZ61" s="1902"/>
      <c r="FA61" s="1840"/>
      <c r="FB61" s="1837"/>
      <c r="FC61" s="1838"/>
      <c r="FD61" s="1837"/>
      <c r="FE61" s="1838"/>
      <c r="FF61" s="1902"/>
      <c r="FG61" s="1840"/>
      <c r="FH61" s="1837"/>
      <c r="FI61" s="1838"/>
      <c r="FJ61" s="1837"/>
      <c r="FK61" s="1838"/>
      <c r="FL61" s="1902"/>
      <c r="FM61" s="1840"/>
      <c r="FN61" s="1837"/>
      <c r="FO61" s="1838"/>
      <c r="FP61" s="1837"/>
      <c r="FQ61" s="1838"/>
      <c r="FR61" s="1902"/>
      <c r="FS61" s="1840"/>
      <c r="FT61" s="1837"/>
      <c r="FU61" s="1838"/>
      <c r="FV61" s="1837"/>
      <c r="FW61" s="1838"/>
      <c r="FX61" s="1902"/>
      <c r="FY61" s="1840"/>
      <c r="FZ61" s="1837"/>
      <c r="GA61" s="1838"/>
      <c r="GB61" s="1837"/>
      <c r="GC61" s="1838"/>
      <c r="GD61" s="1902"/>
      <c r="GE61" s="1840"/>
      <c r="GF61" s="1837"/>
      <c r="GG61" s="1838"/>
      <c r="GH61" s="1837"/>
      <c r="GI61" s="1838"/>
      <c r="GJ61" s="1902"/>
      <c r="GK61" s="1840"/>
      <c r="GL61" s="1837"/>
      <c r="GM61" s="1838"/>
      <c r="GN61" s="1837"/>
      <c r="GO61" s="1838"/>
      <c r="GP61" s="1902"/>
    </row>
    <row r="62" spans="1:198" ht="20.100000000000001" hidden="1" customHeight="1" outlineLevel="1" collapsed="1">
      <c r="A62" s="2637"/>
      <c r="B62" s="2758"/>
      <c r="C62" s="1836"/>
      <c r="D62" s="2614" t="str">
        <f>実績!C1326&amp;"("&amp;SUBSTITUTE(実績!R1326&amp;")","株式会社 ","")</f>
        <v>V・drug岡崎医療センター前薬局(上野山都市設計)</v>
      </c>
      <c r="E62" s="2617"/>
      <c r="F62" s="2617"/>
      <c r="G62" s="2617"/>
      <c r="H62" s="2617"/>
      <c r="I62" s="2617"/>
      <c r="J62" s="2617"/>
      <c r="K62" s="2617"/>
      <c r="L62" s="2617"/>
      <c r="M62" s="2617"/>
      <c r="N62" s="2617"/>
      <c r="O62" s="2617"/>
      <c r="P62" s="2617"/>
      <c r="Q62" s="2617"/>
      <c r="R62" s="2622"/>
      <c r="S62" s="1837"/>
      <c r="T62" s="1837"/>
      <c r="U62" s="1838"/>
      <c r="V62" s="1837"/>
      <c r="W62" s="1838"/>
      <c r="X62" s="1839"/>
      <c r="Y62" s="1837"/>
      <c r="Z62" s="1837"/>
      <c r="AA62" s="1838"/>
      <c r="AB62" s="1837"/>
      <c r="AC62" s="1838"/>
      <c r="AD62" s="1837"/>
      <c r="AE62" s="1840"/>
      <c r="AF62" s="1837"/>
      <c r="AG62" s="1838"/>
      <c r="AH62" s="1837"/>
      <c r="AI62" s="1838"/>
      <c r="AJ62" s="1839"/>
      <c r="AK62" s="1837"/>
      <c r="AL62" s="1837"/>
      <c r="AM62" s="1838"/>
      <c r="AN62" s="1837"/>
      <c r="AO62" s="1838"/>
      <c r="AP62" s="1837"/>
      <c r="AQ62" s="1841"/>
      <c r="AR62" s="1837"/>
      <c r="AS62" s="1838"/>
      <c r="AT62" s="1837"/>
      <c r="AU62" s="1838"/>
      <c r="AV62" s="1839"/>
      <c r="AW62" s="1840"/>
      <c r="AX62" s="1837"/>
      <c r="AY62" s="1838"/>
      <c r="AZ62" s="1837"/>
      <c r="BA62" s="1838"/>
      <c r="BB62" s="1839"/>
      <c r="BC62" s="1837"/>
      <c r="BD62" s="1837"/>
      <c r="BE62" s="1838"/>
      <c r="BF62" s="1837"/>
      <c r="BG62" s="1838"/>
      <c r="BH62" s="1837"/>
      <c r="BI62" s="1840"/>
      <c r="BJ62" s="1837"/>
      <c r="BK62" s="1838"/>
      <c r="BL62" s="1837"/>
      <c r="BM62" s="1838"/>
      <c r="BN62" s="1839"/>
      <c r="BO62" s="1840"/>
      <c r="BP62" s="1837"/>
      <c r="BQ62" s="1838"/>
      <c r="BR62" s="1842"/>
      <c r="BS62" s="1838"/>
      <c r="BT62" s="1839"/>
      <c r="BU62" s="1840"/>
      <c r="BV62" s="1837"/>
      <c r="BW62" s="1838"/>
      <c r="BX62" s="1837"/>
      <c r="BY62" s="1838"/>
      <c r="BZ62" s="1839"/>
      <c r="CA62" s="1840"/>
      <c r="CB62" s="1837"/>
      <c r="CC62" s="1838"/>
      <c r="CD62" s="1837"/>
      <c r="CE62" s="1838"/>
      <c r="CF62" s="1839"/>
      <c r="CG62" s="1840"/>
      <c r="CH62" s="1837"/>
      <c r="CI62" s="1838"/>
      <c r="CJ62" s="1837"/>
      <c r="CK62" s="1838"/>
      <c r="CL62" s="1839"/>
      <c r="CM62" s="1840"/>
      <c r="CN62" s="1837"/>
      <c r="CO62" s="1838"/>
      <c r="CP62" s="1843"/>
      <c r="CQ62" s="1838"/>
      <c r="CR62" s="1839"/>
      <c r="CS62" s="1840"/>
      <c r="CT62" s="1837"/>
      <c r="CU62" s="1838"/>
      <c r="CV62" s="1837"/>
      <c r="CW62" s="1838"/>
      <c r="CX62" s="1839"/>
      <c r="CY62" s="1840"/>
      <c r="CZ62" s="1837"/>
      <c r="DA62" s="1838"/>
      <c r="DB62" s="1837"/>
      <c r="DC62" s="1838"/>
      <c r="DD62" s="1839"/>
      <c r="DE62" s="1840"/>
      <c r="DF62" s="1837"/>
      <c r="DG62" s="1838"/>
      <c r="DH62" s="1837"/>
      <c r="DI62" s="1838"/>
      <c r="DJ62" s="1839"/>
      <c r="DK62" s="1840"/>
      <c r="DL62" s="1837"/>
      <c r="DM62" s="1838"/>
      <c r="DN62" s="1837"/>
      <c r="DO62" s="1838"/>
      <c r="DP62" s="1839"/>
      <c r="DQ62" s="1840"/>
      <c r="DR62" s="1837"/>
      <c r="DS62" s="1838"/>
      <c r="DT62" s="1837"/>
      <c r="DU62" s="1838"/>
      <c r="DV62" s="1839"/>
      <c r="DW62" s="1840"/>
      <c r="DX62" s="1837"/>
      <c r="DY62" s="1838"/>
      <c r="DZ62" s="1837"/>
      <c r="EA62" s="1838"/>
      <c r="EB62" s="1839"/>
      <c r="EC62" s="1840"/>
      <c r="ED62" s="1837"/>
      <c r="EE62" s="1838"/>
      <c r="EF62" s="1837"/>
      <c r="EG62" s="1838"/>
      <c r="EH62" s="1839"/>
      <c r="EI62" s="1837"/>
      <c r="EJ62" s="1837"/>
      <c r="EK62" s="1838"/>
      <c r="EL62" s="1837"/>
      <c r="EM62" s="1838"/>
      <c r="EN62" s="1844"/>
      <c r="EO62" s="1840"/>
      <c r="EP62" s="1837"/>
      <c r="EQ62" s="1838"/>
      <c r="ER62" s="1837"/>
      <c r="ES62" s="1838"/>
      <c r="ET62" s="1906"/>
      <c r="EU62" s="1840"/>
      <c r="EV62" s="1837"/>
      <c r="EW62" s="1838"/>
      <c r="EX62" s="1837"/>
      <c r="EY62" s="1838"/>
      <c r="EZ62" s="1906"/>
      <c r="FA62" s="1840"/>
      <c r="FB62" s="1837"/>
      <c r="FC62" s="1838"/>
      <c r="FD62" s="1837"/>
      <c r="FE62" s="1838"/>
      <c r="FF62" s="1906"/>
      <c r="FG62" s="1840"/>
      <c r="FH62" s="1837"/>
      <c r="FI62" s="1838"/>
      <c r="FJ62" s="1837"/>
      <c r="FK62" s="1838"/>
      <c r="FL62" s="1906"/>
      <c r="FM62" s="1840"/>
      <c r="FN62" s="1837"/>
      <c r="FO62" s="1838"/>
      <c r="FP62" s="1837"/>
      <c r="FQ62" s="1838"/>
      <c r="FR62" s="1906"/>
      <c r="FS62" s="1840"/>
      <c r="FT62" s="1837"/>
      <c r="FU62" s="1838"/>
      <c r="FV62" s="1837"/>
      <c r="FW62" s="1838"/>
      <c r="FX62" s="1906"/>
      <c r="FY62" s="1840"/>
      <c r="FZ62" s="1837"/>
      <c r="GA62" s="1838"/>
      <c r="GB62" s="1837"/>
      <c r="GC62" s="1838"/>
      <c r="GD62" s="1906"/>
      <c r="GE62" s="1840"/>
      <c r="GF62" s="1837"/>
      <c r="GG62" s="1838"/>
      <c r="GH62" s="1837"/>
      <c r="GI62" s="1838"/>
      <c r="GJ62" s="1906"/>
      <c r="GK62" s="1840"/>
      <c r="GL62" s="1837"/>
      <c r="GM62" s="1838"/>
      <c r="GN62" s="1837"/>
      <c r="GO62" s="1838"/>
      <c r="GP62" s="1906"/>
    </row>
    <row r="63" spans="1:198" ht="20.100000000000001" hidden="1" customHeight="1" outlineLevel="1" collapsed="1">
      <c r="A63" s="2637"/>
      <c r="B63" s="2758"/>
      <c r="C63" s="1836"/>
      <c r="D63" s="2614" t="str">
        <f>実績!C1329&amp;"("&amp;SUBSTITUTE(実績!R1329&amp;")","株式会社","")</f>
        <v>斐川サンホーム(塩野建築設計事務所)</v>
      </c>
      <c r="E63" s="2617"/>
      <c r="F63" s="2617"/>
      <c r="G63" s="2617"/>
      <c r="H63" s="2617"/>
      <c r="I63" s="2617"/>
      <c r="J63" s="2617"/>
      <c r="K63" s="2617"/>
      <c r="L63" s="2617"/>
      <c r="M63" s="2617"/>
      <c r="N63" s="2617"/>
      <c r="O63" s="2617"/>
      <c r="P63" s="2617"/>
      <c r="Q63" s="2617"/>
      <c r="R63" s="2622"/>
      <c r="S63" s="1837"/>
      <c r="T63" s="1837"/>
      <c r="U63" s="1838"/>
      <c r="V63" s="1837"/>
      <c r="W63" s="1838"/>
      <c r="X63" s="1839"/>
      <c r="Y63" s="1837"/>
      <c r="Z63" s="1837"/>
      <c r="AA63" s="1838"/>
      <c r="AB63" s="1837"/>
      <c r="AC63" s="1838"/>
      <c r="AD63" s="1837"/>
      <c r="AE63" s="1840"/>
      <c r="AF63" s="1837"/>
      <c r="AG63" s="1838"/>
      <c r="AH63" s="1837"/>
      <c r="AI63" s="1838"/>
      <c r="AJ63" s="1839"/>
      <c r="AK63" s="1837"/>
      <c r="AL63" s="1837"/>
      <c r="AM63" s="1838"/>
      <c r="AN63" s="1837"/>
      <c r="AO63" s="1838"/>
      <c r="AP63" s="1837"/>
      <c r="AQ63" s="1841"/>
      <c r="AR63" s="1837"/>
      <c r="AS63" s="1838"/>
      <c r="AT63" s="1837"/>
      <c r="AU63" s="1838"/>
      <c r="AV63" s="1839"/>
      <c r="AW63" s="1840"/>
      <c r="AX63" s="1837"/>
      <c r="AY63" s="1838"/>
      <c r="AZ63" s="1837"/>
      <c r="BA63" s="1838"/>
      <c r="BB63" s="1839"/>
      <c r="BC63" s="1837"/>
      <c r="BD63" s="1837"/>
      <c r="BE63" s="1838"/>
      <c r="BF63" s="1837"/>
      <c r="BG63" s="1838"/>
      <c r="BH63" s="1837"/>
      <c r="BI63" s="1840"/>
      <c r="BJ63" s="1837"/>
      <c r="BK63" s="1838"/>
      <c r="BL63" s="1837"/>
      <c r="BM63" s="1838"/>
      <c r="BN63" s="1839"/>
      <c r="BO63" s="1840"/>
      <c r="BP63" s="1837"/>
      <c r="BQ63" s="1838"/>
      <c r="BR63" s="1842"/>
      <c r="BS63" s="1838"/>
      <c r="BT63" s="1839"/>
      <c r="BU63" s="1840"/>
      <c r="BV63" s="1837"/>
      <c r="BW63" s="1838"/>
      <c r="BX63" s="1837"/>
      <c r="BY63" s="1838"/>
      <c r="BZ63" s="1839"/>
      <c r="CA63" s="1840"/>
      <c r="CB63" s="1837"/>
      <c r="CC63" s="1838"/>
      <c r="CD63" s="1837"/>
      <c r="CE63" s="1838"/>
      <c r="CF63" s="1839"/>
      <c r="CG63" s="1840"/>
      <c r="CH63" s="1837"/>
      <c r="CI63" s="1838"/>
      <c r="CJ63" s="1837"/>
      <c r="CK63" s="1838"/>
      <c r="CL63" s="1839"/>
      <c r="CM63" s="1840"/>
      <c r="CN63" s="1837"/>
      <c r="CO63" s="1838"/>
      <c r="CP63" s="1843"/>
      <c r="CQ63" s="1838"/>
      <c r="CR63" s="1839"/>
      <c r="CS63" s="1840" t="s">
        <v>10546</v>
      </c>
      <c r="CT63" s="1837"/>
      <c r="CU63" s="1838"/>
      <c r="CV63" s="1837"/>
      <c r="CW63" s="1838"/>
      <c r="CX63" s="1839"/>
      <c r="CY63" s="1840"/>
      <c r="CZ63" s="1837"/>
      <c r="DA63" s="1838"/>
      <c r="DB63" s="1837"/>
      <c r="DC63" s="1838"/>
      <c r="DD63" s="1839"/>
      <c r="DE63" s="1840"/>
      <c r="DF63" s="1837"/>
      <c r="DG63" s="1838"/>
      <c r="DH63" s="1837"/>
      <c r="DI63" s="1838"/>
      <c r="DJ63" s="1839"/>
      <c r="DK63" s="1840"/>
      <c r="DL63" s="1837"/>
      <c r="DM63" s="1838"/>
      <c r="DN63" s="1837"/>
      <c r="DO63" s="1838"/>
      <c r="DP63" s="1839"/>
      <c r="DQ63" s="1840" t="s">
        <v>15341</v>
      </c>
      <c r="DR63" s="1837"/>
      <c r="DS63" s="1838"/>
      <c r="DT63" s="1837"/>
      <c r="DU63" s="1838"/>
      <c r="DV63" s="1844"/>
      <c r="DW63" s="1840"/>
      <c r="DX63" s="1837"/>
      <c r="DY63" s="1838"/>
      <c r="DZ63" s="1837" t="s">
        <v>15669</v>
      </c>
      <c r="EA63" s="1838"/>
      <c r="EB63" s="1844"/>
      <c r="EC63" s="1840"/>
      <c r="ED63" s="1837"/>
      <c r="EE63" s="1838"/>
      <c r="EF63" s="1837"/>
      <c r="EG63" s="1838"/>
      <c r="EH63" s="1844"/>
      <c r="EI63" s="1840" t="s">
        <v>10920</v>
      </c>
      <c r="EJ63" s="1837"/>
      <c r="EK63" s="1838"/>
      <c r="EL63" s="1837"/>
      <c r="EM63" s="1838"/>
      <c r="EN63" s="1844"/>
      <c r="EO63" s="1840"/>
      <c r="EP63" s="1837"/>
      <c r="EQ63" s="1838"/>
      <c r="ER63" s="1837"/>
      <c r="ES63" s="1838"/>
      <c r="ET63" s="1844"/>
      <c r="EU63" s="1840"/>
      <c r="EV63" s="1837"/>
      <c r="EW63" s="1838"/>
      <c r="EX63" s="1837"/>
      <c r="EY63" s="1838"/>
      <c r="EZ63" s="1844"/>
      <c r="FA63" s="1840"/>
      <c r="FB63" s="1837"/>
      <c r="FC63" s="1838"/>
      <c r="FD63" s="1837"/>
      <c r="FE63" s="1838"/>
      <c r="FF63" s="1844"/>
      <c r="FG63" s="1840"/>
      <c r="FH63" s="1837"/>
      <c r="FI63" s="1838"/>
      <c r="FJ63" s="1837"/>
      <c r="FK63" s="1838"/>
      <c r="FL63" s="1844"/>
      <c r="FM63" s="1840"/>
      <c r="FN63" s="1837"/>
      <c r="FO63" s="1838"/>
      <c r="FP63" s="1837"/>
      <c r="FQ63" s="1838"/>
      <c r="FR63" s="1844"/>
      <c r="FS63" s="1840"/>
      <c r="FT63" s="1837"/>
      <c r="FU63" s="1838"/>
      <c r="FV63" s="1837"/>
      <c r="FW63" s="1838"/>
      <c r="FX63" s="1844"/>
      <c r="FY63" s="1840"/>
      <c r="FZ63" s="1837"/>
      <c r="GA63" s="1838"/>
      <c r="GB63" s="1837"/>
      <c r="GC63" s="1838"/>
      <c r="GD63" s="1844"/>
      <c r="GE63" s="1840"/>
      <c r="GF63" s="1837"/>
      <c r="GG63" s="1838"/>
      <c r="GH63" s="1837"/>
      <c r="GI63" s="1838"/>
      <c r="GJ63" s="1844"/>
      <c r="GK63" s="1840"/>
      <c r="GL63" s="1837"/>
      <c r="GM63" s="1838"/>
      <c r="GN63" s="1837"/>
      <c r="GO63" s="1838"/>
      <c r="GP63" s="1844"/>
    </row>
    <row r="64" spans="1:198" ht="20.100000000000001" hidden="1" customHeight="1" outlineLevel="1" collapsed="1">
      <c r="A64" s="2637"/>
      <c r="B64" s="2758"/>
      <c r="C64" s="1836"/>
      <c r="D64" s="2614" t="str">
        <f>実績!C1450&amp;"("&amp;SUBSTITUTE(実績!AB1450&amp;")"," 株式会社","")</f>
        <v>VM湘南平塚(新日本建設)</v>
      </c>
      <c r="E64" s="2617"/>
      <c r="F64" s="2617"/>
      <c r="G64" s="2617"/>
      <c r="H64" s="2617"/>
      <c r="I64" s="2617"/>
      <c r="J64" s="2617" t="s">
        <v>15860</v>
      </c>
      <c r="K64" s="2617"/>
      <c r="L64" s="2617"/>
      <c r="M64" s="2617"/>
      <c r="N64" s="2617"/>
      <c r="O64" s="2617"/>
      <c r="P64" s="2617"/>
      <c r="Q64" s="2617"/>
      <c r="R64" s="2641"/>
      <c r="S64" s="1837"/>
      <c r="T64" s="1837"/>
      <c r="U64" s="1838"/>
      <c r="V64" s="1837"/>
      <c r="W64" s="1838"/>
      <c r="X64" s="1839"/>
      <c r="Y64" s="1837"/>
      <c r="Z64" s="1837"/>
      <c r="AA64" s="1838"/>
      <c r="AB64" s="1837"/>
      <c r="AC64" s="1838"/>
      <c r="AD64" s="1837"/>
      <c r="AE64" s="1840"/>
      <c r="AF64" s="1837"/>
      <c r="AG64" s="1838"/>
      <c r="AH64" s="1837"/>
      <c r="AI64" s="1838"/>
      <c r="AJ64" s="1839"/>
      <c r="AK64" s="1837"/>
      <c r="AL64" s="1837"/>
      <c r="AM64" s="1838"/>
      <c r="AN64" s="1837"/>
      <c r="AO64" s="1838"/>
      <c r="AP64" s="1837"/>
      <c r="AQ64" s="1841"/>
      <c r="AR64" s="1837"/>
      <c r="AS64" s="1838"/>
      <c r="AT64" s="1837"/>
      <c r="AU64" s="1838"/>
      <c r="AV64" s="1839"/>
      <c r="AW64" s="1840"/>
      <c r="AX64" s="1837"/>
      <c r="AY64" s="1838"/>
      <c r="AZ64" s="1837"/>
      <c r="BA64" s="1838"/>
      <c r="BB64" s="1839"/>
      <c r="BC64" s="1837"/>
      <c r="BD64" s="1837"/>
      <c r="BE64" s="1838"/>
      <c r="BF64" s="1837"/>
      <c r="BG64" s="1838"/>
      <c r="BH64" s="1837"/>
      <c r="BI64" s="1840"/>
      <c r="BJ64" s="1837"/>
      <c r="BK64" s="1838"/>
      <c r="BL64" s="1837"/>
      <c r="BM64" s="1838"/>
      <c r="BN64" s="1839"/>
      <c r="BO64" s="1840"/>
      <c r="BP64" s="1837"/>
      <c r="BQ64" s="1838"/>
      <c r="BR64" s="1842"/>
      <c r="BS64" s="1838"/>
      <c r="BT64" s="1839"/>
      <c r="BU64" s="1840"/>
      <c r="BV64" s="1837"/>
      <c r="BW64" s="1838"/>
      <c r="BX64" s="1837"/>
      <c r="BY64" s="1838"/>
      <c r="BZ64" s="1839"/>
      <c r="CA64" s="1840"/>
      <c r="CB64" s="1837"/>
      <c r="CC64" s="1838"/>
      <c r="CD64" s="1837"/>
      <c r="CE64" s="1838"/>
      <c r="CF64" s="1839"/>
      <c r="CG64" s="1840"/>
      <c r="CH64" s="1837"/>
      <c r="CI64" s="1838"/>
      <c r="CJ64" s="1837"/>
      <c r="CK64" s="1838"/>
      <c r="CL64" s="1839"/>
      <c r="CM64" s="1840"/>
      <c r="CN64" s="1837"/>
      <c r="CO64" s="1838"/>
      <c r="CP64" s="1843"/>
      <c r="CQ64" s="1838"/>
      <c r="CR64" s="1839"/>
      <c r="CS64" s="1840" t="s">
        <v>10546</v>
      </c>
      <c r="CT64" s="1837"/>
      <c r="CU64" s="1838"/>
      <c r="CV64" s="1837"/>
      <c r="CW64" s="1838"/>
      <c r="CX64" s="1839"/>
      <c r="CY64" s="1840"/>
      <c r="CZ64" s="1837"/>
      <c r="DA64" s="1838"/>
      <c r="DB64" s="1837"/>
      <c r="DC64" s="1838"/>
      <c r="DD64" s="1839"/>
      <c r="DE64" s="1840"/>
      <c r="DF64" s="1837"/>
      <c r="DG64" s="1838"/>
      <c r="DH64" s="1837"/>
      <c r="DI64" s="1838"/>
      <c r="DJ64" s="1839"/>
      <c r="DK64" s="1840"/>
      <c r="DL64" s="1837"/>
      <c r="DM64" s="1838"/>
      <c r="DN64" s="1837"/>
      <c r="DO64" s="1838"/>
      <c r="DP64" s="1839"/>
      <c r="DQ64" s="1840" t="s">
        <v>8644</v>
      </c>
      <c r="DR64" s="1837"/>
      <c r="DS64" s="1838"/>
      <c r="DT64" s="1837"/>
      <c r="DU64" s="1838"/>
      <c r="DV64" s="1844"/>
      <c r="DW64" s="1840"/>
      <c r="DX64" s="1837"/>
      <c r="DY64" s="1838"/>
      <c r="DZ64" s="1837"/>
      <c r="EA64" s="1838"/>
      <c r="EB64" s="1844"/>
      <c r="EC64" s="1840" t="s">
        <v>8653</v>
      </c>
      <c r="ED64" s="1837"/>
      <c r="EE64" s="1838"/>
      <c r="EF64" s="1837"/>
      <c r="EG64" s="1838"/>
      <c r="EH64" s="1844"/>
      <c r="EI64" s="1840"/>
      <c r="EJ64" s="1837"/>
      <c r="EK64" s="1838"/>
      <c r="EL64" s="1837"/>
      <c r="EM64" s="1838"/>
      <c r="EN64" s="1844"/>
      <c r="EO64" s="1840"/>
      <c r="EP64" s="1837"/>
      <c r="EQ64" s="1838"/>
      <c r="ER64" s="1837"/>
      <c r="ES64" s="1838"/>
      <c r="ET64" s="1844"/>
      <c r="EU64" s="1840"/>
      <c r="EV64" s="1837"/>
      <c r="EW64" s="1838"/>
      <c r="EX64" s="1837"/>
      <c r="EY64" s="1838"/>
      <c r="EZ64" s="1844"/>
      <c r="FA64" s="1840"/>
      <c r="FB64" s="1837"/>
      <c r="FC64" s="1838"/>
      <c r="FD64" s="1837"/>
      <c r="FE64" s="1838"/>
      <c r="FF64" s="1844"/>
      <c r="FG64" s="1840"/>
      <c r="FH64" s="1837"/>
      <c r="FI64" s="1838"/>
      <c r="FJ64" s="1837"/>
      <c r="FK64" s="1838"/>
      <c r="FL64" s="1844"/>
      <c r="FM64" s="1840"/>
      <c r="FN64" s="1837"/>
      <c r="FO64" s="1838"/>
      <c r="FP64" s="1837"/>
      <c r="FQ64" s="1838"/>
      <c r="FR64" s="1844"/>
      <c r="FS64" s="1840"/>
      <c r="FT64" s="1837"/>
      <c r="FU64" s="1838"/>
      <c r="FV64" s="1837"/>
      <c r="FW64" s="1838"/>
      <c r="FX64" s="1844"/>
      <c r="FY64" s="1840"/>
      <c r="FZ64" s="1837"/>
      <c r="GA64" s="1838"/>
      <c r="GB64" s="1837"/>
      <c r="GC64" s="1838"/>
      <c r="GD64" s="1844"/>
      <c r="GE64" s="1840"/>
      <c r="GF64" s="1837"/>
      <c r="GG64" s="1838"/>
      <c r="GH64" s="1837"/>
      <c r="GI64" s="1838"/>
      <c r="GJ64" s="1844"/>
      <c r="GK64" s="1840"/>
      <c r="GL64" s="1837"/>
      <c r="GM64" s="1838"/>
      <c r="GN64" s="1837"/>
      <c r="GO64" s="1838"/>
      <c r="GP64" s="1844"/>
    </row>
    <row r="65" spans="1:198" ht="20.100000000000001" hidden="1" customHeight="1" outlineLevel="1">
      <c r="A65" s="2637"/>
      <c r="B65" s="2758"/>
      <c r="C65" s="1836"/>
      <c r="D65" s="2614" t="str">
        <f>実績!C1409&amp;"("&amp;SUBSTITUTE(実績!AB1409&amp;")","株式会社 ","")</f>
        <v>BMW姫路支店/MINI姫路(カーダクレッセ)</v>
      </c>
      <c r="E65" s="2617"/>
      <c r="F65" s="2617"/>
      <c r="G65" s="2617"/>
      <c r="H65" s="2617"/>
      <c r="I65" s="2617"/>
      <c r="J65" s="2617"/>
      <c r="K65" s="2617"/>
      <c r="L65" s="2617"/>
      <c r="M65" s="2617"/>
      <c r="N65" s="2617"/>
      <c r="O65" s="2617"/>
      <c r="P65" s="2617"/>
      <c r="Q65" s="2617"/>
      <c r="R65" s="2622"/>
      <c r="S65" s="1837"/>
      <c r="T65" s="1837"/>
      <c r="U65" s="1838"/>
      <c r="V65" s="1837"/>
      <c r="W65" s="1838"/>
      <c r="X65" s="1839"/>
      <c r="Y65" s="1837"/>
      <c r="Z65" s="1837"/>
      <c r="AA65" s="1838"/>
      <c r="AB65" s="1837"/>
      <c r="AC65" s="1838"/>
      <c r="AD65" s="1837"/>
      <c r="AE65" s="1840"/>
      <c r="AF65" s="1837"/>
      <c r="AG65" s="1838"/>
      <c r="AH65" s="1837"/>
      <c r="AI65" s="1838"/>
      <c r="AJ65" s="1839"/>
      <c r="AK65" s="1837"/>
      <c r="AL65" s="1837"/>
      <c r="AM65" s="1838"/>
      <c r="AN65" s="1837"/>
      <c r="AO65" s="1838"/>
      <c r="AP65" s="1837"/>
      <c r="AQ65" s="1841"/>
      <c r="AR65" s="1837"/>
      <c r="AS65" s="1838"/>
      <c r="AT65" s="1837"/>
      <c r="AU65" s="1838"/>
      <c r="AV65" s="1839"/>
      <c r="AW65" s="1840"/>
      <c r="AX65" s="1837"/>
      <c r="AY65" s="1838"/>
      <c r="AZ65" s="1837"/>
      <c r="BA65" s="1838"/>
      <c r="BB65" s="1839"/>
      <c r="BC65" s="1837"/>
      <c r="BD65" s="1837"/>
      <c r="BE65" s="1838"/>
      <c r="BF65" s="1837"/>
      <c r="BG65" s="1838"/>
      <c r="BH65" s="1837"/>
      <c r="BI65" s="1840"/>
      <c r="BJ65" s="1837"/>
      <c r="BK65" s="1838"/>
      <c r="BL65" s="1837"/>
      <c r="BM65" s="1838"/>
      <c r="BN65" s="1839"/>
      <c r="BO65" s="1840"/>
      <c r="BP65" s="1837"/>
      <c r="BQ65" s="1838"/>
      <c r="BR65" s="1842"/>
      <c r="BS65" s="1838"/>
      <c r="BT65" s="1839"/>
      <c r="BU65" s="1840"/>
      <c r="BV65" s="1837"/>
      <c r="BW65" s="1838"/>
      <c r="BX65" s="1837"/>
      <c r="BY65" s="1838"/>
      <c r="BZ65" s="1839"/>
      <c r="CA65" s="1840"/>
      <c r="CB65" s="1837"/>
      <c r="CC65" s="1838"/>
      <c r="CD65" s="1837"/>
      <c r="CE65" s="1838"/>
      <c r="CF65" s="1839"/>
      <c r="CG65" s="1840"/>
      <c r="CH65" s="1837"/>
      <c r="CI65" s="1838"/>
      <c r="CJ65" s="1837"/>
      <c r="CK65" s="1838"/>
      <c r="CL65" s="1839"/>
      <c r="CM65" s="1840"/>
      <c r="CN65" s="1837"/>
      <c r="CO65" s="1838"/>
      <c r="CP65" s="1843"/>
      <c r="CQ65" s="1838"/>
      <c r="CR65" s="1839"/>
      <c r="CS65" s="1840"/>
      <c r="CT65" s="1837"/>
      <c r="CU65" s="1838"/>
      <c r="CV65" s="1837"/>
      <c r="CW65" s="1838"/>
      <c r="CX65" s="1839"/>
      <c r="CY65" s="1840"/>
      <c r="CZ65" s="1837"/>
      <c r="DA65" s="1838"/>
      <c r="DB65" s="1837"/>
      <c r="DC65" s="1838"/>
      <c r="DD65" s="1839"/>
      <c r="DE65" s="1840"/>
      <c r="DF65" s="1837"/>
      <c r="DG65" s="1838"/>
      <c r="DH65" s="1837"/>
      <c r="DI65" s="1838"/>
      <c r="DJ65" s="1839"/>
      <c r="DK65" s="1840"/>
      <c r="DL65" s="1837"/>
      <c r="DM65" s="1838"/>
      <c r="DN65" s="1837"/>
      <c r="DO65" s="1838"/>
      <c r="DP65" s="1839"/>
      <c r="DQ65" s="1840"/>
      <c r="DR65" s="1837"/>
      <c r="DS65" s="1838"/>
      <c r="DT65" s="1837"/>
      <c r="DU65" s="1838"/>
      <c r="DV65" s="1839"/>
      <c r="DW65" s="1840"/>
      <c r="DX65" s="1837"/>
      <c r="DY65" s="1838"/>
      <c r="DZ65" s="1837"/>
      <c r="EA65" s="1838"/>
      <c r="EB65" s="1839"/>
      <c r="EC65" s="1840"/>
      <c r="ED65" s="1837"/>
      <c r="EE65" s="1838"/>
      <c r="EF65" s="1837"/>
      <c r="EG65" s="1838"/>
      <c r="EH65" s="1839"/>
      <c r="EI65" s="1840"/>
      <c r="EJ65" s="1837"/>
      <c r="EK65" s="1838"/>
      <c r="EL65" s="1837"/>
      <c r="EM65" s="1838"/>
      <c r="EN65" s="1844"/>
      <c r="EO65" s="1840"/>
      <c r="EP65" s="1837"/>
      <c r="EQ65" s="1838"/>
      <c r="ER65" s="1837"/>
      <c r="ES65" s="1838"/>
      <c r="ET65" s="1844"/>
      <c r="EU65" s="1840" t="s">
        <v>16906</v>
      </c>
      <c r="EV65" s="1837" t="s">
        <v>17654</v>
      </c>
      <c r="EW65" s="1838"/>
      <c r="EX65" s="1837"/>
      <c r="EY65" s="1838"/>
      <c r="EZ65" s="1844"/>
      <c r="FA65" s="1840"/>
      <c r="FB65" s="1837"/>
      <c r="FC65" s="1838"/>
      <c r="FD65" s="1837"/>
      <c r="FE65" s="1838"/>
      <c r="FF65" s="1844"/>
      <c r="FG65" s="1840"/>
      <c r="FH65" s="1837"/>
      <c r="FI65" s="1838"/>
      <c r="FJ65" s="1837"/>
      <c r="FK65" s="1838"/>
      <c r="FL65" s="1844"/>
      <c r="FM65" s="1840"/>
      <c r="FN65" s="1837"/>
      <c r="FO65" s="1838"/>
      <c r="FP65" s="1837"/>
      <c r="FQ65" s="1838"/>
      <c r="FR65" s="1844"/>
      <c r="FS65" s="1840"/>
      <c r="FT65" s="1837"/>
      <c r="FU65" s="1838"/>
      <c r="FV65" s="1837" t="s">
        <v>16874</v>
      </c>
      <c r="FW65" s="1838"/>
      <c r="FX65" s="1844"/>
      <c r="FY65" s="1840"/>
      <c r="FZ65" s="1837"/>
      <c r="GA65" s="1838"/>
      <c r="GB65" s="1837"/>
      <c r="GC65" s="1838"/>
      <c r="GD65" s="1844"/>
      <c r="GE65" s="1840"/>
      <c r="GF65" s="1837"/>
      <c r="GG65" s="1838"/>
      <c r="GH65" s="1837"/>
      <c r="GI65" s="1838"/>
      <c r="GJ65" s="1844"/>
      <c r="GK65" s="1840"/>
      <c r="GL65" s="1837"/>
      <c r="GM65" s="1838"/>
      <c r="GN65" s="1837"/>
      <c r="GO65" s="1838"/>
      <c r="GP65" s="1844"/>
    </row>
    <row r="66" spans="1:198" ht="20.100000000000001" hidden="1" customHeight="1" outlineLevel="1">
      <c r="A66" s="2638"/>
      <c r="B66" s="2758"/>
      <c r="C66" s="1836" t="s">
        <v>10514</v>
      </c>
      <c r="D66" s="2614" t="str">
        <f>実績!C1384&amp;"("&amp;SUBSTITUTE(実績!R1384&amp;")"," 株式会社","")</f>
        <v>トヨタレンタカー豊見城 店舗棟(MPデベロップメント)</v>
      </c>
      <c r="E66" s="2617"/>
      <c r="F66" s="2617"/>
      <c r="G66" s="2617"/>
      <c r="H66" s="2617"/>
      <c r="I66" s="2617"/>
      <c r="J66" s="2617"/>
      <c r="K66" s="2617"/>
      <c r="L66" s="2617"/>
      <c r="M66" s="2617"/>
      <c r="N66" s="2617"/>
      <c r="O66" s="2617"/>
      <c r="P66" s="2617"/>
      <c r="Q66" s="2617"/>
      <c r="R66" s="2632"/>
      <c r="S66" s="1837"/>
      <c r="T66" s="1837"/>
      <c r="U66" s="1838"/>
      <c r="V66" s="1837"/>
      <c r="W66" s="1838"/>
      <c r="X66" s="1839"/>
      <c r="Y66" s="1837"/>
      <c r="Z66" s="1837"/>
      <c r="AA66" s="1838"/>
      <c r="AB66" s="1837"/>
      <c r="AC66" s="1838"/>
      <c r="AD66" s="1837"/>
      <c r="AE66" s="1840"/>
      <c r="AF66" s="1837"/>
      <c r="AG66" s="1838"/>
      <c r="AH66" s="1837"/>
      <c r="AI66" s="1838"/>
      <c r="AJ66" s="1839"/>
      <c r="AK66" s="1837"/>
      <c r="AL66" s="1837"/>
      <c r="AM66" s="1838"/>
      <c r="AN66" s="1837"/>
      <c r="AO66" s="1838"/>
      <c r="AP66" s="1837"/>
      <c r="AQ66" s="1841"/>
      <c r="AR66" s="1837"/>
      <c r="AS66" s="1838"/>
      <c r="AT66" s="1837"/>
      <c r="AU66" s="1838"/>
      <c r="AV66" s="1839"/>
      <c r="AW66" s="1840"/>
      <c r="AX66" s="1837"/>
      <c r="AY66" s="1838"/>
      <c r="AZ66" s="1837"/>
      <c r="BA66" s="1838"/>
      <c r="BB66" s="1839"/>
      <c r="BC66" s="1837"/>
      <c r="BD66" s="1837"/>
      <c r="BE66" s="1838"/>
      <c r="BF66" s="1837"/>
      <c r="BG66" s="1838"/>
      <c r="BH66" s="1837"/>
      <c r="BI66" s="1840"/>
      <c r="BJ66" s="1837"/>
      <c r="BK66" s="1838"/>
      <c r="BL66" s="1837"/>
      <c r="BM66" s="1838"/>
      <c r="BN66" s="1839"/>
      <c r="BO66" s="1840"/>
      <c r="BP66" s="1837"/>
      <c r="BQ66" s="1838"/>
      <c r="BR66" s="1842"/>
      <c r="BS66" s="1838"/>
      <c r="BT66" s="1839"/>
      <c r="BU66" s="1840"/>
      <c r="BV66" s="1837"/>
      <c r="BW66" s="1838"/>
      <c r="BX66" s="1837"/>
      <c r="BY66" s="1838"/>
      <c r="BZ66" s="1839"/>
      <c r="CA66" s="1840"/>
      <c r="CB66" s="1837"/>
      <c r="CC66" s="1838"/>
      <c r="CD66" s="1837"/>
      <c r="CE66" s="1838"/>
      <c r="CF66" s="1839"/>
      <c r="CG66" s="1840"/>
      <c r="CH66" s="1837"/>
      <c r="CI66" s="1838"/>
      <c r="CJ66" s="1837"/>
      <c r="CK66" s="1838"/>
      <c r="CL66" s="1839"/>
      <c r="CM66" s="1840"/>
      <c r="CN66" s="1837"/>
      <c r="CO66" s="1838"/>
      <c r="CP66" s="1843"/>
      <c r="CQ66" s="1838"/>
      <c r="CR66" s="1839"/>
      <c r="CS66" s="1840" t="s">
        <v>10546</v>
      </c>
      <c r="CT66" s="1837"/>
      <c r="CU66" s="1838"/>
      <c r="CV66" s="1837"/>
      <c r="CW66" s="1838"/>
      <c r="CX66" s="1839"/>
      <c r="CY66" s="1840"/>
      <c r="CZ66" s="1837"/>
      <c r="DA66" s="1838"/>
      <c r="DB66" s="1837"/>
      <c r="DC66" s="1838"/>
      <c r="DD66" s="1839"/>
      <c r="DE66" s="1840"/>
      <c r="DF66" s="1837"/>
      <c r="DG66" s="1838"/>
      <c r="DH66" s="1837"/>
      <c r="DI66" s="1838"/>
      <c r="DJ66" s="1839"/>
      <c r="DK66" s="1840"/>
      <c r="DL66" s="1837"/>
      <c r="DM66" s="1838"/>
      <c r="DN66" s="1837"/>
      <c r="DO66" s="1838"/>
      <c r="DP66" s="1839"/>
      <c r="DQ66" s="1840" t="s">
        <v>8644</v>
      </c>
      <c r="DR66" s="1837"/>
      <c r="DS66" s="1838"/>
      <c r="DT66" s="1837"/>
      <c r="DU66" s="1838"/>
      <c r="DV66" s="1844"/>
      <c r="DW66" s="1840"/>
      <c r="DX66" s="1837"/>
      <c r="DY66" s="1838"/>
      <c r="DZ66" s="1837"/>
      <c r="EA66" s="1838"/>
      <c r="EB66" s="1839"/>
      <c r="EC66" s="1840"/>
      <c r="ED66" s="1837"/>
      <c r="EE66" s="1838"/>
      <c r="EF66" s="1837"/>
      <c r="EG66" s="1838"/>
      <c r="EH66" s="1844"/>
      <c r="EI66" s="1840" t="s">
        <v>8352</v>
      </c>
      <c r="EJ66" s="1837"/>
      <c r="EK66" s="1838"/>
      <c r="EL66" s="1837" t="s">
        <v>16656</v>
      </c>
      <c r="EM66" s="1838"/>
      <c r="EN66" s="1839"/>
      <c r="EO66" s="1840"/>
      <c r="EP66" s="1837"/>
      <c r="EQ66" s="1838"/>
      <c r="ER66" s="1837"/>
      <c r="ES66" s="1838"/>
      <c r="ET66" s="1844"/>
      <c r="EU66" s="1840"/>
      <c r="EV66" s="1837"/>
      <c r="EW66" s="1838"/>
      <c r="EX66" s="1837"/>
      <c r="EY66" s="1838"/>
      <c r="EZ66" s="1844"/>
      <c r="FA66" s="1840"/>
      <c r="FB66" s="1837"/>
      <c r="FC66" s="1838"/>
      <c r="FD66" s="1837" t="s">
        <v>17647</v>
      </c>
      <c r="FE66" s="1838"/>
      <c r="FF66" s="1844"/>
      <c r="FG66" s="1840"/>
      <c r="FH66" s="1837"/>
      <c r="FI66" s="1838"/>
      <c r="FJ66" s="1837"/>
      <c r="FK66" s="1838"/>
      <c r="FL66" s="1844"/>
      <c r="FM66" s="1840"/>
      <c r="FN66" s="1837"/>
      <c r="FO66" s="1838"/>
      <c r="FP66" s="1837"/>
      <c r="FQ66" s="1838"/>
      <c r="FR66" s="1844"/>
      <c r="FS66" s="1840"/>
      <c r="FT66" s="1837"/>
      <c r="FU66" s="1838"/>
      <c r="FV66" s="1837"/>
      <c r="FW66" s="1838"/>
      <c r="FX66" s="1844"/>
      <c r="FY66" s="1840" t="s">
        <v>17630</v>
      </c>
      <c r="FZ66" s="1837"/>
      <c r="GA66" s="1838"/>
      <c r="GB66" s="1837"/>
      <c r="GC66" s="1838"/>
      <c r="GD66" s="1844"/>
      <c r="GE66" s="1840"/>
      <c r="GF66" s="1837"/>
      <c r="GG66" s="1838"/>
      <c r="GH66" s="1837"/>
      <c r="GI66" s="1838"/>
      <c r="GJ66" s="1844"/>
      <c r="GK66" s="1840"/>
      <c r="GL66" s="1837"/>
      <c r="GM66" s="1838"/>
      <c r="GN66" s="1837"/>
      <c r="GO66" s="1838"/>
      <c r="GP66" s="1844"/>
    </row>
    <row r="67" spans="1:198" ht="20.100000000000001" hidden="1" customHeight="1" outlineLevel="1" collapsed="1">
      <c r="A67" s="2638"/>
      <c r="B67" s="2758"/>
      <c r="C67" s="1836"/>
      <c r="D67" s="2614" t="str">
        <f>実績!C1376&amp;"("&amp;SUBSTITUTE(実績!R1376&amp;")"," 株式会社","")</f>
        <v>東北マツダ泉 工場棟(マツダエース)</v>
      </c>
      <c r="E67" s="2617"/>
      <c r="F67" s="2617"/>
      <c r="G67" s="2617"/>
      <c r="H67" s="2617"/>
      <c r="I67" s="2617"/>
      <c r="J67" s="2617"/>
      <c r="K67" s="2617"/>
      <c r="L67" s="2617"/>
      <c r="M67" s="2617"/>
      <c r="N67" s="2617"/>
      <c r="O67" s="2617"/>
      <c r="P67" s="2617"/>
      <c r="Q67" s="2617"/>
      <c r="R67" s="2622"/>
      <c r="S67" s="1837"/>
      <c r="T67" s="1837"/>
      <c r="U67" s="1838"/>
      <c r="V67" s="1837"/>
      <c r="W67" s="1838"/>
      <c r="X67" s="1839"/>
      <c r="Y67" s="1837"/>
      <c r="Z67" s="1837"/>
      <c r="AA67" s="1838"/>
      <c r="AB67" s="1837"/>
      <c r="AC67" s="1838"/>
      <c r="AD67" s="1837"/>
      <c r="AE67" s="1840"/>
      <c r="AF67" s="1837"/>
      <c r="AG67" s="1838"/>
      <c r="AH67" s="1837"/>
      <c r="AI67" s="1838"/>
      <c r="AJ67" s="1839"/>
      <c r="AK67" s="1837"/>
      <c r="AL67" s="1837"/>
      <c r="AM67" s="1838"/>
      <c r="AN67" s="1837"/>
      <c r="AO67" s="1838"/>
      <c r="AP67" s="1837"/>
      <c r="AQ67" s="1841"/>
      <c r="AR67" s="1837"/>
      <c r="AS67" s="1838"/>
      <c r="AT67" s="1837"/>
      <c r="AU67" s="1838"/>
      <c r="AV67" s="1839"/>
      <c r="AW67" s="1840"/>
      <c r="AX67" s="1837"/>
      <c r="AY67" s="1838"/>
      <c r="AZ67" s="1837"/>
      <c r="BA67" s="1838"/>
      <c r="BB67" s="1839"/>
      <c r="BC67" s="1837"/>
      <c r="BD67" s="1837"/>
      <c r="BE67" s="1838"/>
      <c r="BF67" s="1837"/>
      <c r="BG67" s="1838"/>
      <c r="BH67" s="1837"/>
      <c r="BI67" s="1840"/>
      <c r="BJ67" s="1837"/>
      <c r="BK67" s="1838"/>
      <c r="BL67" s="1837"/>
      <c r="BM67" s="1838"/>
      <c r="BN67" s="1839"/>
      <c r="BO67" s="1840"/>
      <c r="BP67" s="1837"/>
      <c r="BQ67" s="1838"/>
      <c r="BR67" s="1842"/>
      <c r="BS67" s="1838"/>
      <c r="BT67" s="1839"/>
      <c r="BU67" s="1840"/>
      <c r="BV67" s="1837"/>
      <c r="BW67" s="1838"/>
      <c r="BX67" s="1837"/>
      <c r="BY67" s="1838"/>
      <c r="BZ67" s="1839"/>
      <c r="CA67" s="1840"/>
      <c r="CB67" s="1837"/>
      <c r="CC67" s="1838"/>
      <c r="CD67" s="1837"/>
      <c r="CE67" s="1838"/>
      <c r="CF67" s="1839"/>
      <c r="CG67" s="1840"/>
      <c r="CH67" s="1837"/>
      <c r="CI67" s="1838"/>
      <c r="CJ67" s="1837"/>
      <c r="CK67" s="1838"/>
      <c r="CL67" s="1839"/>
      <c r="CM67" s="1840"/>
      <c r="CN67" s="1837"/>
      <c r="CO67" s="1838"/>
      <c r="CP67" s="1843"/>
      <c r="CQ67" s="1838"/>
      <c r="CR67" s="1839"/>
      <c r="CS67" s="1840"/>
      <c r="CT67" s="1837"/>
      <c r="CU67" s="1838"/>
      <c r="CV67" s="1837"/>
      <c r="CW67" s="1838"/>
      <c r="CX67" s="1839"/>
      <c r="CY67" s="1840"/>
      <c r="CZ67" s="1837"/>
      <c r="DA67" s="1838"/>
      <c r="DB67" s="1837"/>
      <c r="DC67" s="1838"/>
      <c r="DD67" s="1839"/>
      <c r="DE67" s="1840"/>
      <c r="DF67" s="1837"/>
      <c r="DG67" s="1838"/>
      <c r="DH67" s="1837"/>
      <c r="DI67" s="1838"/>
      <c r="DJ67" s="1839"/>
      <c r="DK67" s="1840"/>
      <c r="DL67" s="1837"/>
      <c r="DM67" s="1838"/>
      <c r="DN67" s="1837"/>
      <c r="DO67" s="1838"/>
      <c r="DP67" s="1839"/>
      <c r="DQ67" s="1840"/>
      <c r="DR67" s="1837"/>
      <c r="DS67" s="1838"/>
      <c r="DT67" s="1837"/>
      <c r="DU67" s="1838"/>
      <c r="DV67" s="1839"/>
      <c r="DW67" s="1840"/>
      <c r="DX67" s="1837"/>
      <c r="DY67" s="1838"/>
      <c r="DZ67" s="1837"/>
      <c r="EA67" s="1838"/>
      <c r="EB67" s="1839"/>
      <c r="EC67" s="1840"/>
      <c r="ED67" s="1837"/>
      <c r="EE67" s="1838"/>
      <c r="EF67" s="1837"/>
      <c r="EG67" s="1838"/>
      <c r="EH67" s="1839"/>
      <c r="EI67" s="1840"/>
      <c r="EJ67" s="1837"/>
      <c r="EK67" s="1838"/>
      <c r="EL67" s="1837"/>
      <c r="EM67" s="1838"/>
      <c r="EN67" s="1839"/>
      <c r="EO67" s="1840"/>
      <c r="EP67" s="1837"/>
      <c r="EQ67" s="1838"/>
      <c r="ER67" s="1837"/>
      <c r="ES67" s="1838"/>
      <c r="ET67" s="1839"/>
      <c r="EU67" s="1840"/>
      <c r="EV67" s="1837"/>
      <c r="EW67" s="1838"/>
      <c r="EX67" s="1837"/>
      <c r="EY67" s="1838"/>
      <c r="EZ67" s="1839"/>
      <c r="FA67" s="1840"/>
      <c r="FB67" s="1837"/>
      <c r="FC67" s="1838"/>
      <c r="FD67" s="1837"/>
      <c r="FE67" s="1838"/>
      <c r="FF67" s="1839"/>
      <c r="FG67" s="1840"/>
      <c r="FH67" s="1837"/>
      <c r="FI67" s="1838"/>
      <c r="FJ67" s="1837"/>
      <c r="FK67" s="1838"/>
      <c r="FL67" s="1839"/>
      <c r="FM67" s="1840"/>
      <c r="FN67" s="1837"/>
      <c r="FO67" s="1838"/>
      <c r="FP67" s="1837"/>
      <c r="FQ67" s="1838"/>
      <c r="FR67" s="1839"/>
      <c r="FS67" s="1840"/>
      <c r="FT67" s="1837"/>
      <c r="FU67" s="1838"/>
      <c r="FV67" s="1837"/>
      <c r="FW67" s="1838"/>
      <c r="FX67" s="1839"/>
      <c r="FY67" s="1840"/>
      <c r="FZ67" s="1837"/>
      <c r="GA67" s="1838"/>
      <c r="GB67" s="1837"/>
      <c r="GC67" s="1838"/>
      <c r="GD67" s="1839"/>
      <c r="GE67" s="1840"/>
      <c r="GF67" s="1837"/>
      <c r="GG67" s="1838"/>
      <c r="GH67" s="1837"/>
      <c r="GI67" s="1838"/>
      <c r="GJ67" s="1839"/>
      <c r="GK67" s="1840"/>
      <c r="GL67" s="1837"/>
      <c r="GM67" s="1838"/>
      <c r="GN67" s="1837"/>
      <c r="GO67" s="1838"/>
      <c r="GP67" s="1839"/>
    </row>
    <row r="68" spans="1:198" ht="20.100000000000001" hidden="1" customHeight="1" outlineLevel="1" collapsed="1">
      <c r="A68" s="2638"/>
      <c r="B68" s="2758"/>
      <c r="C68" s="1836"/>
      <c r="D68" s="2614" t="str">
        <f>実績!C1370&amp;"("&amp;SUBSTITUTE(実績!AB1370&amp;")","株式会社 ","")</f>
        <v>MINI大阪南(カーダクレッセ)</v>
      </c>
      <c r="E68" s="2617"/>
      <c r="F68" s="2617"/>
      <c r="G68" s="2617"/>
      <c r="H68" s="2617"/>
      <c r="I68" s="2617"/>
      <c r="J68" s="2617"/>
      <c r="K68" s="2617"/>
      <c r="L68" s="2617"/>
      <c r="M68" s="2617"/>
      <c r="N68" s="2617"/>
      <c r="O68" s="2617"/>
      <c r="P68" s="2617"/>
      <c r="Q68" s="2617"/>
      <c r="R68" s="2632"/>
      <c r="S68" s="1837"/>
      <c r="T68" s="1837"/>
      <c r="U68" s="1838"/>
      <c r="V68" s="1837"/>
      <c r="W68" s="1838"/>
      <c r="X68" s="1839"/>
      <c r="Y68" s="1837"/>
      <c r="Z68" s="1837"/>
      <c r="AA68" s="1838"/>
      <c r="AB68" s="1837"/>
      <c r="AC68" s="1838"/>
      <c r="AD68" s="1837"/>
      <c r="AE68" s="1840"/>
      <c r="AF68" s="1837"/>
      <c r="AG68" s="1838"/>
      <c r="AH68" s="1837"/>
      <c r="AI68" s="1838"/>
      <c r="AJ68" s="1839"/>
      <c r="AK68" s="1837"/>
      <c r="AL68" s="1837"/>
      <c r="AM68" s="1838"/>
      <c r="AN68" s="1837"/>
      <c r="AO68" s="1838"/>
      <c r="AP68" s="1837"/>
      <c r="AQ68" s="1841"/>
      <c r="AR68" s="1837"/>
      <c r="AS68" s="1838"/>
      <c r="AT68" s="1837"/>
      <c r="AU68" s="1838"/>
      <c r="AV68" s="1839"/>
      <c r="AW68" s="1840"/>
      <c r="AX68" s="1837"/>
      <c r="AY68" s="1838"/>
      <c r="AZ68" s="1837"/>
      <c r="BA68" s="1838"/>
      <c r="BB68" s="1839"/>
      <c r="BC68" s="1837"/>
      <c r="BD68" s="1837"/>
      <c r="BE68" s="1838"/>
      <c r="BF68" s="1837"/>
      <c r="BG68" s="1838"/>
      <c r="BH68" s="1837"/>
      <c r="BI68" s="1840"/>
      <c r="BJ68" s="1837"/>
      <c r="BK68" s="1838"/>
      <c r="BL68" s="1837"/>
      <c r="BM68" s="1838"/>
      <c r="BN68" s="1839"/>
      <c r="BO68" s="1840"/>
      <c r="BP68" s="1837"/>
      <c r="BQ68" s="1838"/>
      <c r="BR68" s="1842"/>
      <c r="BS68" s="1838"/>
      <c r="BT68" s="1839"/>
      <c r="BU68" s="1840"/>
      <c r="BV68" s="1837"/>
      <c r="BW68" s="1838"/>
      <c r="BX68" s="1837"/>
      <c r="BY68" s="1838"/>
      <c r="BZ68" s="1839"/>
      <c r="CA68" s="1840"/>
      <c r="CB68" s="1837"/>
      <c r="CC68" s="1838"/>
      <c r="CD68" s="1837"/>
      <c r="CE68" s="1838"/>
      <c r="CF68" s="1839"/>
      <c r="CG68" s="1840"/>
      <c r="CH68" s="1837"/>
      <c r="CI68" s="1838"/>
      <c r="CJ68" s="1837"/>
      <c r="CK68" s="1838"/>
      <c r="CL68" s="1839"/>
      <c r="CM68" s="1840"/>
      <c r="CN68" s="1837"/>
      <c r="CO68" s="1838"/>
      <c r="CP68" s="1843"/>
      <c r="CQ68" s="1838"/>
      <c r="CR68" s="1839"/>
      <c r="CS68" s="1840" t="s">
        <v>10546</v>
      </c>
      <c r="CT68" s="1837"/>
      <c r="CU68" s="1838"/>
      <c r="CV68" s="1837"/>
      <c r="CW68" s="1838"/>
      <c r="CX68" s="1839"/>
      <c r="CY68" s="1840"/>
      <c r="CZ68" s="1837"/>
      <c r="DA68" s="1838"/>
      <c r="DB68" s="1837"/>
      <c r="DC68" s="1838"/>
      <c r="DD68" s="1839"/>
      <c r="DE68" s="1840"/>
      <c r="DF68" s="1837"/>
      <c r="DG68" s="1838"/>
      <c r="DH68" s="1837"/>
      <c r="DI68" s="1838"/>
      <c r="DJ68" s="1839"/>
      <c r="DK68" s="1840"/>
      <c r="DL68" s="1837"/>
      <c r="DM68" s="1838"/>
      <c r="DN68" s="1837"/>
      <c r="DO68" s="1838"/>
      <c r="DP68" s="1839"/>
      <c r="DQ68" s="1840" t="s">
        <v>8644</v>
      </c>
      <c r="DR68" s="1837"/>
      <c r="DS68" s="1838"/>
      <c r="DT68" s="1837"/>
      <c r="DU68" s="1838"/>
      <c r="DV68" s="1844"/>
      <c r="DW68" s="1840"/>
      <c r="DX68" s="1837"/>
      <c r="DY68" s="1838"/>
      <c r="DZ68" s="1837"/>
      <c r="EA68" s="1838"/>
      <c r="EB68" s="1839"/>
      <c r="EC68" s="1840"/>
      <c r="ED68" s="1837"/>
      <c r="EE68" s="1838"/>
      <c r="EF68" s="1837"/>
      <c r="EG68" s="1838"/>
      <c r="EH68" s="1839"/>
      <c r="EI68" s="1840"/>
      <c r="EJ68" s="1837"/>
      <c r="EK68" s="1838"/>
      <c r="EL68" s="1837"/>
      <c r="EM68" s="1838" t="s">
        <v>16843</v>
      </c>
      <c r="EN68" s="1839"/>
      <c r="EO68" s="1840"/>
      <c r="EP68" s="1837"/>
      <c r="EQ68" s="1838"/>
      <c r="ER68" s="1837"/>
      <c r="ES68" s="1838"/>
      <c r="ET68" s="1844"/>
      <c r="EU68" s="1840"/>
      <c r="EV68" s="1837"/>
      <c r="EW68" s="1838"/>
      <c r="EX68" s="1837"/>
      <c r="EY68" s="1838"/>
      <c r="EZ68" s="1844"/>
      <c r="FA68" s="1840"/>
      <c r="FB68" s="1837"/>
      <c r="FC68" s="1838"/>
      <c r="FD68" s="1837"/>
      <c r="FE68" s="1838"/>
      <c r="FF68" s="1844"/>
      <c r="FG68" s="1840" t="s">
        <v>17206</v>
      </c>
      <c r="FH68" s="1837"/>
      <c r="FI68" s="1838"/>
      <c r="FJ68" s="1837"/>
      <c r="FK68" s="1838"/>
      <c r="FL68" s="1844"/>
      <c r="FM68" s="1840"/>
      <c r="FN68" s="1837"/>
      <c r="FO68" s="1838"/>
      <c r="FP68" s="1837"/>
      <c r="FQ68" s="1838"/>
      <c r="FR68" s="1844"/>
      <c r="FS68" s="1840"/>
      <c r="FT68" s="1837"/>
      <c r="FU68" s="1838"/>
      <c r="FV68" s="1837"/>
      <c r="FW68" s="1838"/>
      <c r="FX68" s="1844"/>
      <c r="FY68" s="1840"/>
      <c r="FZ68" s="1837"/>
      <c r="GA68" s="1838"/>
      <c r="GB68" s="1837"/>
      <c r="GC68" s="1838"/>
      <c r="GD68" s="1844"/>
      <c r="GE68" s="1840"/>
      <c r="GF68" s="1837"/>
      <c r="GG68" s="1838"/>
      <c r="GH68" s="1837"/>
      <c r="GI68" s="1838"/>
      <c r="GJ68" s="1844"/>
      <c r="GK68" s="1840"/>
      <c r="GL68" s="1837"/>
      <c r="GM68" s="1838"/>
      <c r="GN68" s="1837"/>
      <c r="GO68" s="1838"/>
      <c r="GP68" s="1844"/>
    </row>
    <row r="69" spans="1:198" ht="20.100000000000001" customHeight="1" collapsed="1" thickBot="1">
      <c r="A69" s="2638"/>
      <c r="B69" s="2759"/>
      <c r="C69" s="1866"/>
      <c r="D69" s="2697" t="str">
        <f>実績!C1439&amp;"("&amp;SUBSTITUTE(実績!R1439&amp;")"," 一級建築士事務所","")</f>
        <v>Ｖdrug清水岡(バローマックス)</v>
      </c>
      <c r="E69" s="2698"/>
      <c r="F69" s="2698"/>
      <c r="G69" s="2698"/>
      <c r="H69" s="2698"/>
      <c r="I69" s="2698"/>
      <c r="J69" s="2698"/>
      <c r="K69" s="2698"/>
      <c r="L69" s="2698"/>
      <c r="M69" s="2698"/>
      <c r="N69" s="2698"/>
      <c r="O69" s="2698"/>
      <c r="P69" s="2698"/>
      <c r="Q69" s="2698"/>
      <c r="R69" s="2699"/>
      <c r="S69" s="1867"/>
      <c r="T69" s="1867"/>
      <c r="U69" s="1868"/>
      <c r="V69" s="1867"/>
      <c r="W69" s="1868"/>
      <c r="X69" s="1869"/>
      <c r="Y69" s="1867"/>
      <c r="Z69" s="1867"/>
      <c r="AA69" s="1868"/>
      <c r="AB69" s="1867"/>
      <c r="AC69" s="1868"/>
      <c r="AD69" s="1867"/>
      <c r="AE69" s="1870"/>
      <c r="AF69" s="1867"/>
      <c r="AG69" s="1868"/>
      <c r="AH69" s="1867"/>
      <c r="AI69" s="1868"/>
      <c r="AJ69" s="1869"/>
      <c r="AK69" s="1867"/>
      <c r="AL69" s="1867"/>
      <c r="AM69" s="1868"/>
      <c r="AN69" s="1867"/>
      <c r="AO69" s="1868"/>
      <c r="AP69" s="1867"/>
      <c r="AQ69" s="1907"/>
      <c r="AR69" s="1867"/>
      <c r="AS69" s="1868"/>
      <c r="AT69" s="1867"/>
      <c r="AU69" s="1868"/>
      <c r="AV69" s="1869"/>
      <c r="AW69" s="1870"/>
      <c r="AX69" s="1867"/>
      <c r="AY69" s="1868"/>
      <c r="AZ69" s="1867"/>
      <c r="BA69" s="1868"/>
      <c r="BB69" s="1869"/>
      <c r="BC69" s="1867"/>
      <c r="BD69" s="1867"/>
      <c r="BE69" s="1868"/>
      <c r="BF69" s="1867"/>
      <c r="BG69" s="1868"/>
      <c r="BH69" s="1867"/>
      <c r="BI69" s="1870"/>
      <c r="BJ69" s="1867"/>
      <c r="BK69" s="1868"/>
      <c r="BL69" s="1867"/>
      <c r="BM69" s="1868"/>
      <c r="BN69" s="1869"/>
      <c r="BO69" s="1870"/>
      <c r="BP69" s="1867"/>
      <c r="BQ69" s="1868"/>
      <c r="BR69" s="1908"/>
      <c r="BS69" s="1868"/>
      <c r="BT69" s="1869"/>
      <c r="BU69" s="1870"/>
      <c r="BV69" s="1867"/>
      <c r="BW69" s="1868"/>
      <c r="BX69" s="1867"/>
      <c r="BY69" s="1868"/>
      <c r="BZ69" s="1869"/>
      <c r="CA69" s="1870"/>
      <c r="CB69" s="1867"/>
      <c r="CC69" s="1868"/>
      <c r="CD69" s="1867"/>
      <c r="CE69" s="1868"/>
      <c r="CF69" s="1869"/>
      <c r="CG69" s="1870"/>
      <c r="CH69" s="1867"/>
      <c r="CI69" s="1868"/>
      <c r="CJ69" s="1867"/>
      <c r="CK69" s="1868"/>
      <c r="CL69" s="1869"/>
      <c r="CM69" s="1870"/>
      <c r="CN69" s="1867"/>
      <c r="CO69" s="1868"/>
      <c r="CP69" s="1871"/>
      <c r="CQ69" s="1868"/>
      <c r="CR69" s="1869"/>
      <c r="CS69" s="1870"/>
      <c r="CT69" s="1867"/>
      <c r="CU69" s="1868"/>
      <c r="CV69" s="1867"/>
      <c r="CW69" s="1868"/>
      <c r="CX69" s="1869"/>
      <c r="CY69" s="1870"/>
      <c r="CZ69" s="1867"/>
      <c r="DA69" s="1868"/>
      <c r="DB69" s="1867"/>
      <c r="DC69" s="1868"/>
      <c r="DD69" s="1869"/>
      <c r="DE69" s="1870"/>
      <c r="DF69" s="1867"/>
      <c r="DG69" s="1868"/>
      <c r="DH69" s="1867"/>
      <c r="DI69" s="1868"/>
      <c r="DJ69" s="1869"/>
      <c r="DK69" s="1870"/>
      <c r="DL69" s="1867"/>
      <c r="DM69" s="1868"/>
      <c r="DN69" s="1867"/>
      <c r="DO69" s="1868"/>
      <c r="DP69" s="1869"/>
      <c r="DQ69" s="1870"/>
      <c r="DR69" s="1867"/>
      <c r="DS69" s="1868"/>
      <c r="DT69" s="1867"/>
      <c r="DU69" s="1868"/>
      <c r="DV69" s="1869"/>
      <c r="DW69" s="1870"/>
      <c r="DX69" s="1867"/>
      <c r="DY69" s="1868"/>
      <c r="DZ69" s="1867"/>
      <c r="EA69" s="1868"/>
      <c r="EB69" s="1869"/>
      <c r="EC69" s="1870"/>
      <c r="ED69" s="1867"/>
      <c r="EE69" s="1868"/>
      <c r="EF69" s="1867"/>
      <c r="EG69" s="1868"/>
      <c r="EH69" s="1869"/>
      <c r="EI69" s="1870"/>
      <c r="EJ69" s="1867"/>
      <c r="EK69" s="1868"/>
      <c r="EL69" s="1867"/>
      <c r="EM69" s="1868"/>
      <c r="EN69" s="1869"/>
      <c r="EO69" s="1870"/>
      <c r="EP69" s="1867"/>
      <c r="EQ69" s="1868"/>
      <c r="ER69" s="1867"/>
      <c r="ES69" s="1868"/>
      <c r="ET69" s="1869"/>
      <c r="EU69" s="1870"/>
      <c r="EV69" s="1867"/>
      <c r="EW69" s="1868"/>
      <c r="EX69" s="1867"/>
      <c r="EY69" s="1868"/>
      <c r="EZ69" s="1869"/>
      <c r="FA69" s="1870"/>
      <c r="FB69" s="1867"/>
      <c r="FC69" s="1868"/>
      <c r="FD69" s="1867"/>
      <c r="FE69" s="1868"/>
      <c r="FF69" s="1869"/>
      <c r="FG69" s="1870" t="s">
        <v>17952</v>
      </c>
      <c r="FH69" s="1867"/>
      <c r="FI69" s="1868"/>
      <c r="FJ69" s="1867"/>
      <c r="FK69" s="1868"/>
      <c r="FL69" s="1869"/>
      <c r="FM69" s="1870" t="s">
        <v>17953</v>
      </c>
      <c r="FN69" s="1867"/>
      <c r="FO69" s="1868"/>
      <c r="FP69" s="1867"/>
      <c r="FQ69" s="1868"/>
      <c r="FR69" s="1869"/>
      <c r="FS69" s="1870"/>
      <c r="FT69" s="1867"/>
      <c r="FU69" s="1868"/>
      <c r="FV69" s="1867" t="s">
        <v>18058</v>
      </c>
      <c r="FW69" s="1868"/>
      <c r="FX69" s="1875"/>
      <c r="FY69" s="1870"/>
      <c r="FZ69" s="1867"/>
      <c r="GA69" s="1868"/>
      <c r="GB69" s="1867"/>
      <c r="GC69" s="1868"/>
      <c r="GD69" s="1875"/>
      <c r="GE69" s="1870"/>
      <c r="GF69" s="1867"/>
      <c r="GG69" s="1868"/>
      <c r="GH69" s="1867"/>
      <c r="GI69" s="1868"/>
      <c r="GJ69" s="1875"/>
      <c r="GK69" s="1870"/>
      <c r="GL69" s="1867"/>
      <c r="GM69" s="1868"/>
      <c r="GN69" s="1867"/>
      <c r="GO69" s="1868"/>
      <c r="GP69" s="1875"/>
    </row>
    <row r="70" spans="1:198" ht="20.100000000000001" customHeight="1">
      <c r="A70" s="2638"/>
      <c r="B70" s="2755" t="s">
        <v>15428</v>
      </c>
      <c r="C70" s="1915" t="s">
        <v>18136</v>
      </c>
      <c r="D70" s="2749" t="str">
        <f>実績!C1431&amp;"("&amp;SUBSTITUTE(実績!R1431&amp;")","株式会社 ","")</f>
        <v>協和輸送本社社屋(創設計)</v>
      </c>
      <c r="E70" s="2750"/>
      <c r="F70" s="2750"/>
      <c r="G70" s="2750"/>
      <c r="H70" s="2750"/>
      <c r="I70" s="2750"/>
      <c r="J70" s="2750"/>
      <c r="K70" s="2750"/>
      <c r="L70" s="2750"/>
      <c r="M70" s="2750"/>
      <c r="N70" s="2750"/>
      <c r="O70" s="2750"/>
      <c r="P70" s="2750"/>
      <c r="Q70" s="2750"/>
      <c r="R70" s="2751"/>
      <c r="S70" s="1916"/>
      <c r="T70" s="1916"/>
      <c r="U70" s="1917"/>
      <c r="V70" s="1916"/>
      <c r="W70" s="1917"/>
      <c r="X70" s="1918"/>
      <c r="Y70" s="1916"/>
      <c r="Z70" s="1916"/>
      <c r="AA70" s="1917"/>
      <c r="AB70" s="1916"/>
      <c r="AC70" s="1917"/>
      <c r="AD70" s="1916"/>
      <c r="AE70" s="1919"/>
      <c r="AF70" s="1916"/>
      <c r="AG70" s="1917"/>
      <c r="AH70" s="1916"/>
      <c r="AI70" s="1917"/>
      <c r="AJ70" s="1918"/>
      <c r="AK70" s="1916"/>
      <c r="AL70" s="1916"/>
      <c r="AM70" s="1917"/>
      <c r="AN70" s="1916"/>
      <c r="AO70" s="1917"/>
      <c r="AP70" s="1916"/>
      <c r="AQ70" s="1920"/>
      <c r="AR70" s="1916"/>
      <c r="AS70" s="1917"/>
      <c r="AT70" s="1916"/>
      <c r="AU70" s="1917"/>
      <c r="AV70" s="1918"/>
      <c r="AW70" s="1919"/>
      <c r="AX70" s="1916"/>
      <c r="AY70" s="1917"/>
      <c r="AZ70" s="1916"/>
      <c r="BA70" s="1917"/>
      <c r="BB70" s="1918"/>
      <c r="BC70" s="1916"/>
      <c r="BD70" s="1916"/>
      <c r="BE70" s="1917"/>
      <c r="BF70" s="1916"/>
      <c r="BG70" s="1917"/>
      <c r="BH70" s="1916"/>
      <c r="BI70" s="1919"/>
      <c r="BJ70" s="1916"/>
      <c r="BK70" s="1917"/>
      <c r="BL70" s="1916"/>
      <c r="BM70" s="1917"/>
      <c r="BN70" s="1918"/>
      <c r="BO70" s="1919"/>
      <c r="BP70" s="1916"/>
      <c r="BQ70" s="1917"/>
      <c r="BR70" s="1921"/>
      <c r="BS70" s="1917"/>
      <c r="BT70" s="1918"/>
      <c r="BU70" s="1919"/>
      <c r="BV70" s="1916"/>
      <c r="BW70" s="1917"/>
      <c r="BX70" s="1916"/>
      <c r="BY70" s="1917"/>
      <c r="BZ70" s="1918"/>
      <c r="CA70" s="1919"/>
      <c r="CB70" s="1916"/>
      <c r="CC70" s="1917"/>
      <c r="CD70" s="1916"/>
      <c r="CE70" s="1917"/>
      <c r="CF70" s="1918"/>
      <c r="CG70" s="1919"/>
      <c r="CH70" s="1916"/>
      <c r="CI70" s="1917"/>
      <c r="CJ70" s="1916"/>
      <c r="CK70" s="1917"/>
      <c r="CL70" s="1918"/>
      <c r="CM70" s="1919"/>
      <c r="CN70" s="1916"/>
      <c r="CO70" s="1917"/>
      <c r="CP70" s="1922"/>
      <c r="CQ70" s="1917"/>
      <c r="CR70" s="1918"/>
      <c r="CS70" s="1919"/>
      <c r="CT70" s="1916"/>
      <c r="CU70" s="1917"/>
      <c r="CV70" s="1916"/>
      <c r="CW70" s="1917"/>
      <c r="CX70" s="1918"/>
      <c r="CY70" s="1919"/>
      <c r="CZ70" s="1916"/>
      <c r="DA70" s="1917"/>
      <c r="DB70" s="1916"/>
      <c r="DC70" s="1917"/>
      <c r="DD70" s="1918"/>
      <c r="DE70" s="1919"/>
      <c r="DF70" s="1916"/>
      <c r="DG70" s="1917"/>
      <c r="DH70" s="1916"/>
      <c r="DI70" s="1917"/>
      <c r="DJ70" s="1918"/>
      <c r="DK70" s="1919"/>
      <c r="DL70" s="1916"/>
      <c r="DM70" s="1917"/>
      <c r="DN70" s="1916"/>
      <c r="DO70" s="1917"/>
      <c r="DP70" s="1918"/>
      <c r="DQ70" s="1919"/>
      <c r="DR70" s="1916"/>
      <c r="DS70" s="1917"/>
      <c r="DT70" s="1916"/>
      <c r="DU70" s="1917"/>
      <c r="DV70" s="1918"/>
      <c r="DW70" s="1919"/>
      <c r="DX70" s="1916"/>
      <c r="DY70" s="1917"/>
      <c r="DZ70" s="1916"/>
      <c r="EA70" s="1917"/>
      <c r="EB70" s="1918"/>
      <c r="EC70" s="1919"/>
      <c r="ED70" s="1916"/>
      <c r="EE70" s="1917"/>
      <c r="EF70" s="1916"/>
      <c r="EG70" s="1917"/>
      <c r="EH70" s="1918"/>
      <c r="EI70" s="1919"/>
      <c r="EJ70" s="1916"/>
      <c r="EK70" s="1917"/>
      <c r="EL70" s="1916"/>
      <c r="EM70" s="1917"/>
      <c r="EN70" s="1923"/>
      <c r="EO70" s="1919"/>
      <c r="EP70" s="1916"/>
      <c r="EQ70" s="1917"/>
      <c r="ER70" s="1980"/>
      <c r="ES70" s="1917"/>
      <c r="ET70" s="1923"/>
      <c r="EU70" s="1981"/>
      <c r="EV70" s="1916"/>
      <c r="EW70" s="1917"/>
      <c r="EX70" s="1916"/>
      <c r="EY70" s="1917"/>
      <c r="EZ70" s="1923"/>
      <c r="FA70" s="1919"/>
      <c r="FB70" s="1916"/>
      <c r="FC70" s="1917"/>
      <c r="FD70" s="1916"/>
      <c r="FE70" s="1917"/>
      <c r="FF70" s="1923"/>
      <c r="FG70" s="1919"/>
      <c r="FH70" s="1916" t="s">
        <v>17803</v>
      </c>
      <c r="FI70" s="1917"/>
      <c r="FJ70" s="1916"/>
      <c r="FK70" s="1917"/>
      <c r="FL70" s="1923"/>
      <c r="FM70" s="1919"/>
      <c r="FN70" s="1916"/>
      <c r="FO70" s="1917"/>
      <c r="FP70" s="1916"/>
      <c r="FQ70" s="1917"/>
      <c r="FR70" s="1923"/>
      <c r="FS70" s="1919"/>
      <c r="FT70" s="1916"/>
      <c r="FU70" s="1917"/>
      <c r="FV70" s="1916"/>
      <c r="FW70" s="1917"/>
      <c r="FX70" s="1923"/>
      <c r="FY70" s="1919" t="s">
        <v>8145</v>
      </c>
      <c r="FZ70" s="1916"/>
      <c r="GA70" s="1917"/>
      <c r="GB70" s="1916"/>
      <c r="GC70" s="1917"/>
      <c r="GD70" s="1923"/>
      <c r="GE70" s="1919"/>
      <c r="GF70" s="1916"/>
      <c r="GG70" s="1917"/>
      <c r="GH70" s="1916"/>
      <c r="GI70" s="1917"/>
      <c r="GJ70" s="1923"/>
      <c r="GK70" s="1919"/>
      <c r="GL70" s="1916"/>
      <c r="GM70" s="1917"/>
      <c r="GN70" s="1916"/>
      <c r="GO70" s="1917"/>
      <c r="GP70" s="1923"/>
    </row>
    <row r="71" spans="1:198" ht="20.100000000000001" customHeight="1" thickBot="1">
      <c r="A71" s="2638"/>
      <c r="B71" s="2756"/>
      <c r="C71" s="199" t="s">
        <v>17958</v>
      </c>
      <c r="D71" s="2671" t="str">
        <f>実績!C1441&amp;"("&amp;SUBSTITUTE(実績!R1441&amp;")","有限会社 ","")</f>
        <v>アルビス中村(中部設計)</v>
      </c>
      <c r="E71" s="2672"/>
      <c r="F71" s="2672"/>
      <c r="G71" s="2672"/>
      <c r="H71" s="2672"/>
      <c r="I71" s="2672"/>
      <c r="J71" s="2672"/>
      <c r="K71" s="2672"/>
      <c r="L71" s="2672"/>
      <c r="M71" s="2672"/>
      <c r="N71" s="2672"/>
      <c r="O71" s="2672"/>
      <c r="P71" s="2672"/>
      <c r="Q71" s="2672"/>
      <c r="R71" s="2673"/>
      <c r="S71" s="176"/>
      <c r="T71" s="176"/>
      <c r="U71" s="177"/>
      <c r="V71" s="176"/>
      <c r="W71" s="177"/>
      <c r="X71" s="200"/>
      <c r="Y71" s="176"/>
      <c r="Z71" s="176"/>
      <c r="AA71" s="177"/>
      <c r="AB71" s="176"/>
      <c r="AC71" s="177"/>
      <c r="AD71" s="176"/>
      <c r="AE71" s="175"/>
      <c r="AF71" s="176"/>
      <c r="AG71" s="177"/>
      <c r="AH71" s="176"/>
      <c r="AI71" s="177"/>
      <c r="AJ71" s="200"/>
      <c r="AK71" s="176"/>
      <c r="AL71" s="176"/>
      <c r="AM71" s="177"/>
      <c r="AN71" s="176"/>
      <c r="AO71" s="177"/>
      <c r="AP71" s="176"/>
      <c r="AQ71" s="225"/>
      <c r="AR71" s="176"/>
      <c r="AS71" s="177"/>
      <c r="AT71" s="176"/>
      <c r="AU71" s="177"/>
      <c r="AV71" s="200"/>
      <c r="AW71" s="175"/>
      <c r="AX71" s="176"/>
      <c r="AY71" s="177"/>
      <c r="AZ71" s="176"/>
      <c r="BA71" s="177"/>
      <c r="BB71" s="200"/>
      <c r="BC71" s="176"/>
      <c r="BD71" s="176"/>
      <c r="BE71" s="177"/>
      <c r="BF71" s="176"/>
      <c r="BG71" s="177"/>
      <c r="BH71" s="176"/>
      <c r="BI71" s="175"/>
      <c r="BJ71" s="176"/>
      <c r="BK71" s="177"/>
      <c r="BL71" s="176"/>
      <c r="BM71" s="177"/>
      <c r="BN71" s="200"/>
      <c r="BO71" s="175"/>
      <c r="BP71" s="176"/>
      <c r="BQ71" s="177"/>
      <c r="BR71" s="178"/>
      <c r="BS71" s="177"/>
      <c r="BT71" s="200"/>
      <c r="BU71" s="175"/>
      <c r="BV71" s="176"/>
      <c r="BW71" s="177"/>
      <c r="BX71" s="176"/>
      <c r="BY71" s="177"/>
      <c r="BZ71" s="200"/>
      <c r="CA71" s="175"/>
      <c r="CB71" s="176"/>
      <c r="CC71" s="177"/>
      <c r="CD71" s="176"/>
      <c r="CE71" s="177"/>
      <c r="CF71" s="200"/>
      <c r="CG71" s="175"/>
      <c r="CH71" s="176"/>
      <c r="CI71" s="177"/>
      <c r="CJ71" s="176"/>
      <c r="CK71" s="177"/>
      <c r="CL71" s="200"/>
      <c r="CM71" s="175"/>
      <c r="CN71" s="176"/>
      <c r="CO71" s="177"/>
      <c r="CP71" s="219"/>
      <c r="CQ71" s="177"/>
      <c r="CR71" s="200"/>
      <c r="CS71" s="175"/>
      <c r="CT71" s="176"/>
      <c r="CU71" s="177"/>
      <c r="CV71" s="176"/>
      <c r="CW71" s="177"/>
      <c r="CX71" s="200"/>
      <c r="CY71" s="175"/>
      <c r="CZ71" s="176"/>
      <c r="DA71" s="177"/>
      <c r="DB71" s="176"/>
      <c r="DC71" s="177"/>
      <c r="DD71" s="200"/>
      <c r="DE71" s="175"/>
      <c r="DF71" s="176"/>
      <c r="DG71" s="177"/>
      <c r="DH71" s="176"/>
      <c r="DI71" s="177"/>
      <c r="DJ71" s="200"/>
      <c r="DK71" s="175"/>
      <c r="DL71" s="176"/>
      <c r="DM71" s="177"/>
      <c r="DN71" s="176"/>
      <c r="DO71" s="177"/>
      <c r="DP71" s="200"/>
      <c r="DQ71" s="175"/>
      <c r="DR71" s="176"/>
      <c r="DS71" s="177"/>
      <c r="DT71" s="176"/>
      <c r="DU71" s="177"/>
      <c r="DV71" s="200"/>
      <c r="DW71" s="175"/>
      <c r="DX71" s="176"/>
      <c r="DY71" s="177"/>
      <c r="DZ71" s="176"/>
      <c r="EA71" s="177"/>
      <c r="EB71" s="200"/>
      <c r="EC71" s="175"/>
      <c r="ED71" s="176"/>
      <c r="EE71" s="177"/>
      <c r="EF71" s="176"/>
      <c r="EG71" s="177"/>
      <c r="EH71" s="200"/>
      <c r="EI71" s="175"/>
      <c r="EJ71" s="176"/>
      <c r="EK71" s="177"/>
      <c r="EL71" s="176"/>
      <c r="EM71" s="177"/>
      <c r="EN71" s="1313"/>
      <c r="EO71" s="175"/>
      <c r="EP71" s="176"/>
      <c r="EQ71" s="177"/>
      <c r="ER71" s="1924"/>
      <c r="ES71" s="177"/>
      <c r="ET71" s="1313"/>
      <c r="EU71" s="1925"/>
      <c r="EV71" s="176"/>
      <c r="EW71" s="177"/>
      <c r="EX71" s="176"/>
      <c r="EY71" s="177"/>
      <c r="EZ71" s="1313"/>
      <c r="FA71" s="175"/>
      <c r="FB71" s="176"/>
      <c r="FC71" s="177"/>
      <c r="FD71" s="176"/>
      <c r="FE71" s="177" t="s">
        <v>18057</v>
      </c>
      <c r="FF71" s="1313"/>
      <c r="FG71" s="175"/>
      <c r="FH71" s="176"/>
      <c r="FI71" s="177"/>
      <c r="FJ71" s="176" t="s">
        <v>18059</v>
      </c>
      <c r="FK71" s="177"/>
      <c r="FL71" s="1313"/>
      <c r="FM71" s="175"/>
      <c r="FN71" s="176"/>
      <c r="FO71" s="177"/>
      <c r="FP71" s="176"/>
      <c r="FQ71" s="177"/>
      <c r="FR71" s="1313"/>
      <c r="FS71" s="175" t="s">
        <v>18058</v>
      </c>
      <c r="FT71" s="176"/>
      <c r="FU71" s="177"/>
      <c r="FV71" s="176"/>
      <c r="FW71" s="177"/>
      <c r="FX71" s="1313"/>
      <c r="FY71" s="175"/>
      <c r="FZ71" s="176"/>
      <c r="GA71" s="177"/>
      <c r="GB71" s="176"/>
      <c r="GC71" s="177"/>
      <c r="GD71" s="1313"/>
      <c r="GE71" s="175"/>
      <c r="GF71" s="176"/>
      <c r="GG71" s="177"/>
      <c r="GH71" s="176"/>
      <c r="GI71" s="177"/>
      <c r="GJ71" s="1313"/>
      <c r="GK71" s="175"/>
      <c r="GL71" s="176"/>
      <c r="GM71" s="177"/>
      <c r="GN71" s="176"/>
      <c r="GO71" s="177"/>
      <c r="GP71" s="1313"/>
    </row>
    <row r="72" spans="1:198" ht="20.100000000000001" customHeight="1" thickBot="1">
      <c r="A72" s="2639"/>
      <c r="B72" s="1936" t="s">
        <v>16910</v>
      </c>
      <c r="C72" s="1937" t="s">
        <v>18137</v>
      </c>
      <c r="D72" s="2752" t="str">
        <f>実績!C1393&amp;"("&amp;SUBSTITUTE(実績!R1393&amp;")","株式会社 ","")</f>
        <v>スーパーマーケット 袋井駅南(上野山都市設計)</v>
      </c>
      <c r="E72" s="2753"/>
      <c r="F72" s="2753"/>
      <c r="G72" s="2753"/>
      <c r="H72" s="2753"/>
      <c r="I72" s="2753"/>
      <c r="J72" s="2753"/>
      <c r="K72" s="2753"/>
      <c r="L72" s="2753"/>
      <c r="M72" s="2753"/>
      <c r="N72" s="2753"/>
      <c r="O72" s="2753"/>
      <c r="P72" s="2753"/>
      <c r="Q72" s="2753"/>
      <c r="R72" s="2754"/>
      <c r="S72" s="105"/>
      <c r="T72" s="105"/>
      <c r="U72" s="1125"/>
      <c r="V72" s="105"/>
      <c r="W72" s="1125"/>
      <c r="X72" s="1123"/>
      <c r="Y72" s="105"/>
      <c r="Z72" s="105"/>
      <c r="AA72" s="1125"/>
      <c r="AB72" s="105"/>
      <c r="AC72" s="1125"/>
      <c r="AD72" s="105"/>
      <c r="AE72" s="1124"/>
      <c r="AF72" s="105"/>
      <c r="AG72" s="1125"/>
      <c r="AH72" s="105"/>
      <c r="AI72" s="1125"/>
      <c r="AJ72" s="1123"/>
      <c r="AK72" s="105"/>
      <c r="AL72" s="105"/>
      <c r="AM72" s="1125"/>
      <c r="AN72" s="105"/>
      <c r="AO72" s="1125"/>
      <c r="AP72" s="105"/>
      <c r="AQ72" s="1938"/>
      <c r="AR72" s="105"/>
      <c r="AS72" s="1125"/>
      <c r="AT72" s="105"/>
      <c r="AU72" s="1125"/>
      <c r="AV72" s="1123"/>
      <c r="AW72" s="1124"/>
      <c r="AX72" s="105"/>
      <c r="AY72" s="1125"/>
      <c r="AZ72" s="105"/>
      <c r="BA72" s="1125"/>
      <c r="BB72" s="1123"/>
      <c r="BC72" s="105"/>
      <c r="BD72" s="105"/>
      <c r="BE72" s="1125"/>
      <c r="BF72" s="105"/>
      <c r="BG72" s="1125"/>
      <c r="BH72" s="105"/>
      <c r="BI72" s="1124"/>
      <c r="BJ72" s="105"/>
      <c r="BK72" s="1125"/>
      <c r="BL72" s="105"/>
      <c r="BM72" s="1125"/>
      <c r="BN72" s="1123"/>
      <c r="BO72" s="1124"/>
      <c r="BP72" s="105"/>
      <c r="BQ72" s="1125"/>
      <c r="BR72" s="1939"/>
      <c r="BS72" s="1125"/>
      <c r="BT72" s="1123"/>
      <c r="BU72" s="1124"/>
      <c r="BV72" s="105"/>
      <c r="BW72" s="1125"/>
      <c r="BX72" s="105"/>
      <c r="BY72" s="1125"/>
      <c r="BZ72" s="1123"/>
      <c r="CA72" s="1124"/>
      <c r="CB72" s="105"/>
      <c r="CC72" s="1125"/>
      <c r="CD72" s="105"/>
      <c r="CE72" s="1125"/>
      <c r="CF72" s="1123"/>
      <c r="CG72" s="1124"/>
      <c r="CH72" s="105"/>
      <c r="CI72" s="1125"/>
      <c r="CJ72" s="105"/>
      <c r="CK72" s="1125"/>
      <c r="CL72" s="1123"/>
      <c r="CM72" s="1124"/>
      <c r="CN72" s="105"/>
      <c r="CO72" s="1125"/>
      <c r="CP72" s="1940"/>
      <c r="CQ72" s="1125"/>
      <c r="CR72" s="1123"/>
      <c r="CS72" s="1124"/>
      <c r="CT72" s="105"/>
      <c r="CU72" s="1125"/>
      <c r="CV72" s="105"/>
      <c r="CW72" s="1125"/>
      <c r="CX72" s="1123"/>
      <c r="CY72" s="227"/>
      <c r="CZ72" s="228"/>
      <c r="DA72" s="229"/>
      <c r="DB72" s="228"/>
      <c r="DC72" s="229"/>
      <c r="DD72" s="226"/>
      <c r="DE72" s="227"/>
      <c r="DF72" s="228"/>
      <c r="DG72" s="229"/>
      <c r="DH72" s="228"/>
      <c r="DI72" s="229"/>
      <c r="DJ72" s="226"/>
      <c r="DK72" s="227"/>
      <c r="DL72" s="228"/>
      <c r="DM72" s="229"/>
      <c r="DN72" s="228"/>
      <c r="DO72" s="229"/>
      <c r="DP72" s="226"/>
      <c r="DQ72" s="227"/>
      <c r="DR72" s="228"/>
      <c r="DS72" s="229"/>
      <c r="DT72" s="228"/>
      <c r="DU72" s="229"/>
      <c r="DV72" s="230"/>
      <c r="DW72" s="227"/>
      <c r="DX72" s="228"/>
      <c r="DY72" s="229"/>
      <c r="DZ72" s="228"/>
      <c r="EA72" s="229"/>
      <c r="EB72" s="226"/>
      <c r="EC72" s="227"/>
      <c r="ED72" s="228"/>
      <c r="EE72" s="229"/>
      <c r="EF72" s="228"/>
      <c r="EG72" s="229"/>
      <c r="EH72" s="230"/>
      <c r="EI72" s="227"/>
      <c r="EJ72" s="228"/>
      <c r="EK72" s="229" t="s">
        <v>16909</v>
      </c>
      <c r="EL72" s="228"/>
      <c r="EM72" s="229"/>
      <c r="EN72" s="226"/>
      <c r="EO72" s="227"/>
      <c r="EP72" s="228"/>
      <c r="EQ72" s="229"/>
      <c r="ER72" s="228"/>
      <c r="ES72" s="229"/>
      <c r="ET72" s="230"/>
      <c r="EU72" s="227"/>
      <c r="EV72" s="228"/>
      <c r="EW72" s="229"/>
      <c r="EX72" s="228"/>
      <c r="EY72" s="229"/>
      <c r="EZ72" s="230"/>
      <c r="FA72" s="227"/>
      <c r="FB72" s="228"/>
      <c r="FC72" s="229"/>
      <c r="FD72" s="228"/>
      <c r="FE72" s="229"/>
      <c r="FF72" s="230"/>
      <c r="FG72" s="227"/>
      <c r="FH72" s="228"/>
      <c r="FI72" s="229"/>
      <c r="FJ72" s="228"/>
      <c r="FK72" s="229"/>
      <c r="FL72" s="230"/>
      <c r="FM72" s="227"/>
      <c r="FN72" s="228"/>
      <c r="FO72" s="229"/>
      <c r="FP72" s="228"/>
      <c r="FQ72" s="229"/>
      <c r="FR72" s="230"/>
      <c r="FS72" s="227"/>
      <c r="FT72" s="228"/>
      <c r="FU72" s="229"/>
      <c r="FV72" s="228"/>
      <c r="FW72" s="229"/>
      <c r="FX72" s="230"/>
      <c r="FY72" s="227"/>
      <c r="FZ72" s="228"/>
      <c r="GA72" s="229"/>
      <c r="GB72" s="228"/>
      <c r="GC72" s="229"/>
      <c r="GD72" s="230"/>
      <c r="GE72" s="227"/>
      <c r="GF72" s="228"/>
      <c r="GG72" s="229"/>
      <c r="GH72" s="228"/>
      <c r="GI72" s="229"/>
      <c r="GJ72" s="230"/>
      <c r="GK72" s="227"/>
      <c r="GL72" s="228"/>
      <c r="GM72" s="229"/>
      <c r="GN72" s="228"/>
      <c r="GO72" s="229"/>
      <c r="GP72" s="230"/>
    </row>
    <row r="73" spans="1:198" ht="20.100000000000001" hidden="1" customHeight="1" outlineLevel="1">
      <c r="A73" s="2708" t="s">
        <v>8143</v>
      </c>
      <c r="B73" s="2611" t="s">
        <v>9812</v>
      </c>
      <c r="C73" s="1845"/>
      <c r="D73" s="2629" t="str">
        <f>実績!C1121&amp;"("&amp;SUBSTITUTE(実績!R1121&amp;")","一級建築士事務所","")</f>
        <v>㈱川健川村商店倉庫(株式会社 川島隆太郎建築事務所)</v>
      </c>
      <c r="E73" s="2630"/>
      <c r="F73" s="2630"/>
      <c r="G73" s="2630"/>
      <c r="H73" s="2630"/>
      <c r="I73" s="2630"/>
      <c r="J73" s="2630"/>
      <c r="K73" s="2630"/>
      <c r="L73" s="2630"/>
      <c r="M73" s="2630"/>
      <c r="N73" s="2630"/>
      <c r="O73" s="2630"/>
      <c r="P73" s="2630"/>
      <c r="Q73" s="2631"/>
      <c r="R73" s="1926"/>
      <c r="S73" s="1846"/>
      <c r="T73" s="1846"/>
      <c r="U73" s="1847"/>
      <c r="V73" s="1846"/>
      <c r="W73" s="1847"/>
      <c r="X73" s="1848"/>
      <c r="Y73" s="1846"/>
      <c r="Z73" s="1846"/>
      <c r="AA73" s="1847"/>
      <c r="AB73" s="1846"/>
      <c r="AC73" s="1846" t="s">
        <v>8246</v>
      </c>
      <c r="AD73" s="1846"/>
      <c r="AE73" s="1846"/>
      <c r="AF73" s="1846"/>
      <c r="AG73" s="1847"/>
      <c r="AH73" s="1846"/>
      <c r="AI73" s="1847"/>
      <c r="AJ73" s="1848"/>
      <c r="AK73" s="1846"/>
      <c r="AL73" s="1846"/>
      <c r="AM73" s="1847" t="s">
        <v>8145</v>
      </c>
      <c r="AN73" s="1846"/>
      <c r="AO73" s="1847"/>
      <c r="AP73" s="1846"/>
      <c r="AQ73" s="1850"/>
      <c r="AR73" s="1852"/>
      <c r="AS73" s="1847"/>
      <c r="AT73" s="1846"/>
      <c r="AU73" s="1847"/>
      <c r="AV73" s="1848"/>
      <c r="AW73" s="1849"/>
      <c r="AX73" s="1846"/>
      <c r="AY73" s="1847"/>
      <c r="AZ73" s="1846"/>
      <c r="BA73" s="1847"/>
      <c r="BB73" s="1848"/>
      <c r="BC73" s="1846"/>
      <c r="BD73" s="1846"/>
      <c r="BE73" s="1847"/>
      <c r="BF73" s="1846"/>
      <c r="BG73" s="1847"/>
      <c r="BH73" s="1846"/>
      <c r="BI73" s="1849"/>
      <c r="BJ73" s="1846"/>
      <c r="BK73" s="1847"/>
      <c r="BL73" s="1846"/>
      <c r="BM73" s="1847"/>
      <c r="BN73" s="1848"/>
      <c r="BO73" s="1849"/>
      <c r="BP73" s="1846"/>
      <c r="BQ73" s="1847"/>
      <c r="BR73" s="1846"/>
      <c r="BS73" s="1847"/>
      <c r="BT73" s="1848"/>
      <c r="BU73" s="1849"/>
      <c r="BV73" s="1846"/>
      <c r="BW73" s="1847"/>
      <c r="BX73" s="1846"/>
      <c r="BY73" s="1847"/>
      <c r="BZ73" s="1848"/>
      <c r="CA73" s="1849"/>
      <c r="CB73" s="1846"/>
      <c r="CC73" s="1847"/>
      <c r="CD73" s="1846"/>
      <c r="CE73" s="1847"/>
      <c r="CF73" s="1848"/>
      <c r="CG73" s="1849"/>
      <c r="CH73" s="1846"/>
      <c r="CI73" s="1847"/>
      <c r="CJ73" s="1846"/>
      <c r="CK73" s="1847"/>
      <c r="CL73" s="1848"/>
      <c r="CM73" s="1849"/>
      <c r="CN73" s="1846"/>
      <c r="CO73" s="1847"/>
      <c r="CP73" s="1846"/>
      <c r="CQ73" s="1847"/>
      <c r="CR73" s="1848"/>
      <c r="CS73" s="1849"/>
      <c r="CT73" s="1846"/>
      <c r="CU73" s="1847"/>
      <c r="CV73" s="1846"/>
      <c r="CW73" s="1847"/>
      <c r="CX73" s="1848"/>
      <c r="CY73" s="1849"/>
      <c r="CZ73" s="1846"/>
      <c r="DA73" s="1847"/>
      <c r="DB73" s="1846"/>
      <c r="DC73" s="1847"/>
      <c r="DD73" s="1848"/>
      <c r="DE73" s="1849"/>
      <c r="DF73" s="1846"/>
      <c r="DG73" s="1847"/>
      <c r="DH73" s="1846"/>
      <c r="DI73" s="1847"/>
      <c r="DJ73" s="1848"/>
      <c r="DK73" s="1849"/>
      <c r="DL73" s="1846"/>
      <c r="DM73" s="1847"/>
      <c r="DN73" s="1846"/>
      <c r="DO73" s="1847"/>
      <c r="DP73" s="1846"/>
      <c r="DQ73" s="1851"/>
      <c r="DR73" s="1846"/>
      <c r="DS73" s="1847"/>
      <c r="DT73" s="1852"/>
      <c r="DU73" s="1846"/>
      <c r="DV73" s="1848"/>
      <c r="DW73" s="1849"/>
      <c r="DX73" s="1846"/>
      <c r="DY73" s="1847"/>
      <c r="DZ73" s="1846"/>
      <c r="EA73" s="1847"/>
      <c r="EB73" s="1848"/>
      <c r="EC73" s="1849"/>
      <c r="ED73" s="1846"/>
      <c r="EE73" s="1847"/>
      <c r="EF73" s="1846"/>
      <c r="EG73" s="1847"/>
      <c r="EH73" s="1848"/>
      <c r="EI73" s="1849"/>
      <c r="EJ73" s="1846"/>
      <c r="EK73" s="1847"/>
      <c r="EL73" s="1846"/>
      <c r="EM73" s="1847"/>
      <c r="EN73" s="1848"/>
      <c r="EO73" s="1849"/>
      <c r="EP73" s="1846"/>
      <c r="EQ73" s="1847"/>
      <c r="ER73" s="1846"/>
      <c r="ES73" s="1847"/>
      <c r="ET73" s="1848"/>
      <c r="EU73" s="1849"/>
      <c r="EV73" s="1846"/>
      <c r="EW73" s="1847"/>
      <c r="EX73" s="1846"/>
      <c r="EY73" s="1847"/>
      <c r="EZ73" s="1848"/>
      <c r="FA73" s="1849"/>
      <c r="FB73" s="1846"/>
      <c r="FC73" s="1847"/>
      <c r="FD73" s="1846"/>
      <c r="FE73" s="1847"/>
      <c r="FF73" s="1848"/>
      <c r="FG73" s="1849"/>
      <c r="FH73" s="1846"/>
      <c r="FI73" s="1847"/>
      <c r="FJ73" s="1846"/>
      <c r="FK73" s="1847"/>
      <c r="FL73" s="1848"/>
      <c r="FM73" s="1849"/>
      <c r="FN73" s="1846"/>
      <c r="FO73" s="1847"/>
      <c r="FP73" s="1846"/>
      <c r="FQ73" s="1847"/>
      <c r="FR73" s="1848"/>
      <c r="FS73" s="1849"/>
      <c r="FT73" s="1846"/>
      <c r="FU73" s="1847"/>
      <c r="FV73" s="1846"/>
      <c r="FW73" s="1847"/>
      <c r="FX73" s="1848"/>
      <c r="FY73" s="1849"/>
      <c r="FZ73" s="1846"/>
      <c r="GA73" s="1847"/>
      <c r="GB73" s="1846"/>
      <c r="GC73" s="1847"/>
      <c r="GD73" s="1848"/>
      <c r="GE73" s="1849"/>
      <c r="GF73" s="1846"/>
      <c r="GG73" s="1847"/>
      <c r="GH73" s="1846"/>
      <c r="GI73" s="1847"/>
      <c r="GJ73" s="1848"/>
      <c r="GK73" s="1849"/>
      <c r="GL73" s="1846"/>
      <c r="GM73" s="1847"/>
      <c r="GN73" s="1846"/>
      <c r="GO73" s="1847"/>
      <c r="GP73" s="1848"/>
    </row>
    <row r="74" spans="1:198" ht="20.100000000000001" hidden="1" customHeight="1" outlineLevel="1">
      <c r="A74" s="2709"/>
      <c r="B74" s="2612"/>
      <c r="C74" s="1836"/>
      <c r="D74" s="2614" t="str">
        <f>実績!C1130&amp;"("&amp;SUBSTITUTE(実績!R1130&amp;")","株式会社 ","")</f>
        <v>ドラッグセイムス上尾井戸木(アーツ建築)</v>
      </c>
      <c r="E74" s="2615"/>
      <c r="F74" s="2615"/>
      <c r="G74" s="2615"/>
      <c r="H74" s="2615"/>
      <c r="I74" s="2615"/>
      <c r="J74" s="2615"/>
      <c r="K74" s="2615"/>
      <c r="L74" s="2615"/>
      <c r="M74" s="2615"/>
      <c r="N74" s="2615"/>
      <c r="O74" s="2615"/>
      <c r="P74" s="2615"/>
      <c r="Q74" s="2616"/>
      <c r="R74" s="1969"/>
      <c r="S74" s="1837"/>
      <c r="T74" s="1837"/>
      <c r="U74" s="1838"/>
      <c r="V74" s="1837"/>
      <c r="W74" s="1837"/>
      <c r="X74" s="1839"/>
      <c r="Y74" s="1837"/>
      <c r="Z74" s="1837"/>
      <c r="AA74" s="1838"/>
      <c r="AB74" s="1837" t="s">
        <v>8273</v>
      </c>
      <c r="AC74" s="1838"/>
      <c r="AD74" s="1837"/>
      <c r="AE74" s="1840"/>
      <c r="AF74" s="1837"/>
      <c r="AG74" s="1838"/>
      <c r="AH74" s="1837"/>
      <c r="AI74" s="1838"/>
      <c r="AJ74" s="1839"/>
      <c r="AK74" s="1837"/>
      <c r="AL74" s="1837"/>
      <c r="AM74" s="1838"/>
      <c r="AN74" s="1837"/>
      <c r="AO74" s="1838"/>
      <c r="AP74" s="1837"/>
      <c r="AQ74" s="1841"/>
      <c r="AR74" s="1842"/>
      <c r="AS74" s="1838"/>
      <c r="AT74" s="1837"/>
      <c r="AU74" s="1838"/>
      <c r="AV74" s="1839"/>
      <c r="AW74" s="1840"/>
      <c r="AX74" s="1837"/>
      <c r="AY74" s="1838"/>
      <c r="AZ74" s="1837"/>
      <c r="BA74" s="1838"/>
      <c r="BB74" s="1839"/>
      <c r="BC74" s="1837"/>
      <c r="BD74" s="1837"/>
      <c r="BE74" s="1838"/>
      <c r="BF74" s="1837"/>
      <c r="BG74" s="1838"/>
      <c r="BH74" s="1837"/>
      <c r="BI74" s="1840"/>
      <c r="BJ74" s="1837"/>
      <c r="BK74" s="1838"/>
      <c r="BL74" s="1837"/>
      <c r="BM74" s="1838"/>
      <c r="BN74" s="1839"/>
      <c r="BO74" s="1840"/>
      <c r="BP74" s="1837"/>
      <c r="BQ74" s="1838"/>
      <c r="BR74" s="1837"/>
      <c r="BS74" s="1838"/>
      <c r="BT74" s="1839"/>
      <c r="BU74" s="1840"/>
      <c r="BV74" s="1837"/>
      <c r="BW74" s="1838"/>
      <c r="BX74" s="1837"/>
      <c r="BY74" s="1838"/>
      <c r="BZ74" s="1839"/>
      <c r="CA74" s="1840"/>
      <c r="CB74" s="1837"/>
      <c r="CC74" s="1838"/>
      <c r="CD74" s="1837"/>
      <c r="CE74" s="1838"/>
      <c r="CF74" s="1839"/>
      <c r="CG74" s="1840"/>
      <c r="CH74" s="1837"/>
      <c r="CI74" s="1838"/>
      <c r="CJ74" s="1837"/>
      <c r="CK74" s="1838"/>
      <c r="CL74" s="1839"/>
      <c r="CM74" s="1840"/>
      <c r="CN74" s="1837"/>
      <c r="CO74" s="1838"/>
      <c r="CP74" s="1837"/>
      <c r="CQ74" s="1838"/>
      <c r="CR74" s="1839"/>
      <c r="CS74" s="1840"/>
      <c r="CT74" s="1837"/>
      <c r="CU74" s="1838"/>
      <c r="CV74" s="1837"/>
      <c r="CW74" s="1838"/>
      <c r="CX74" s="1839"/>
      <c r="CY74" s="1840"/>
      <c r="CZ74" s="1837"/>
      <c r="DA74" s="1838"/>
      <c r="DB74" s="1837"/>
      <c r="DC74" s="1838"/>
      <c r="DD74" s="1839"/>
      <c r="DE74" s="1840"/>
      <c r="DF74" s="1837"/>
      <c r="DG74" s="1838"/>
      <c r="DH74" s="1837"/>
      <c r="DI74" s="1838"/>
      <c r="DJ74" s="1839"/>
      <c r="DK74" s="1840"/>
      <c r="DL74" s="1837"/>
      <c r="DM74" s="1838"/>
      <c r="DN74" s="1837"/>
      <c r="DO74" s="1838"/>
      <c r="DP74" s="1837"/>
      <c r="DQ74" s="1853"/>
      <c r="DR74" s="1837"/>
      <c r="DS74" s="1838"/>
      <c r="DT74" s="1842"/>
      <c r="DU74" s="1837"/>
      <c r="DV74" s="1839"/>
      <c r="DW74" s="1840"/>
      <c r="DX74" s="1837"/>
      <c r="DY74" s="1838"/>
      <c r="DZ74" s="1837"/>
      <c r="EA74" s="1838"/>
      <c r="EB74" s="1839"/>
      <c r="EC74" s="1840"/>
      <c r="ED74" s="1837"/>
      <c r="EE74" s="1838"/>
      <c r="EF74" s="1837"/>
      <c r="EG74" s="1838"/>
      <c r="EH74" s="1839"/>
      <c r="EI74" s="1840"/>
      <c r="EJ74" s="1837"/>
      <c r="EK74" s="1838"/>
      <c r="EL74" s="1837"/>
      <c r="EM74" s="1838"/>
      <c r="EN74" s="1839"/>
      <c r="EO74" s="1840"/>
      <c r="EP74" s="1837"/>
      <c r="EQ74" s="1838"/>
      <c r="ER74" s="1837"/>
      <c r="ES74" s="1838"/>
      <c r="ET74" s="1839"/>
      <c r="EU74" s="1840"/>
      <c r="EV74" s="1837"/>
      <c r="EW74" s="1838"/>
      <c r="EX74" s="1837"/>
      <c r="EY74" s="1838"/>
      <c r="EZ74" s="1839"/>
      <c r="FA74" s="1840"/>
      <c r="FB74" s="1837"/>
      <c r="FC74" s="1838"/>
      <c r="FD74" s="1837"/>
      <c r="FE74" s="1838"/>
      <c r="FF74" s="1839"/>
      <c r="FG74" s="1840"/>
      <c r="FH74" s="1837"/>
      <c r="FI74" s="1838"/>
      <c r="FJ74" s="1837"/>
      <c r="FK74" s="1838"/>
      <c r="FL74" s="1839"/>
      <c r="FM74" s="1840"/>
      <c r="FN74" s="1837"/>
      <c r="FO74" s="1838"/>
      <c r="FP74" s="1837"/>
      <c r="FQ74" s="1838"/>
      <c r="FR74" s="1839"/>
      <c r="FS74" s="1840"/>
      <c r="FT74" s="1837"/>
      <c r="FU74" s="1838"/>
      <c r="FV74" s="1837"/>
      <c r="FW74" s="1838"/>
      <c r="FX74" s="1839"/>
      <c r="FY74" s="1840"/>
      <c r="FZ74" s="1837"/>
      <c r="GA74" s="1838"/>
      <c r="GB74" s="1837"/>
      <c r="GC74" s="1838"/>
      <c r="GD74" s="1839"/>
      <c r="GE74" s="1840"/>
      <c r="GF74" s="1837"/>
      <c r="GG74" s="1838"/>
      <c r="GH74" s="1837"/>
      <c r="GI74" s="1838"/>
      <c r="GJ74" s="1839"/>
      <c r="GK74" s="1840"/>
      <c r="GL74" s="1837"/>
      <c r="GM74" s="1838"/>
      <c r="GN74" s="1837"/>
      <c r="GO74" s="1838"/>
      <c r="GP74" s="1839"/>
    </row>
    <row r="75" spans="1:198" ht="20.100000000000001" hidden="1" customHeight="1" outlineLevel="1">
      <c r="A75" s="2709"/>
      <c r="B75" s="2612"/>
      <c r="C75" s="1836"/>
      <c r="D75" s="2614" t="str">
        <f>実績!C1124&amp;"("&amp;SUBSTITUTE(実績!W1124&amp;")","株式会社 ","")</f>
        <v>CFC茂原(ユープラン一級建築士事務所)</v>
      </c>
      <c r="E75" s="2615"/>
      <c r="F75" s="2615"/>
      <c r="G75" s="2615"/>
      <c r="H75" s="2615"/>
      <c r="I75" s="2615"/>
      <c r="J75" s="2615"/>
      <c r="K75" s="2615"/>
      <c r="L75" s="2615"/>
      <c r="M75" s="2615"/>
      <c r="N75" s="2615"/>
      <c r="O75" s="2615"/>
      <c r="P75" s="2615"/>
      <c r="Q75" s="2616"/>
      <c r="R75" s="1969"/>
      <c r="S75" s="1837"/>
      <c r="T75" s="1837"/>
      <c r="U75" s="1838"/>
      <c r="V75" s="1837" t="s">
        <v>8202</v>
      </c>
      <c r="W75" s="1838"/>
      <c r="X75" s="1839"/>
      <c r="Y75" s="1837"/>
      <c r="Z75" s="1837"/>
      <c r="AA75" s="1838"/>
      <c r="AB75" s="1837"/>
      <c r="AC75" s="1838" t="s">
        <v>8308</v>
      </c>
      <c r="AD75" s="1837"/>
      <c r="AE75" s="1840"/>
      <c r="AF75" s="1837"/>
      <c r="AG75" s="1838"/>
      <c r="AH75" s="1837"/>
      <c r="AI75" s="1838"/>
      <c r="AJ75" s="1839"/>
      <c r="AK75" s="1837"/>
      <c r="AL75" s="1837"/>
      <c r="AM75" s="1838"/>
      <c r="AN75" s="1837"/>
      <c r="AO75" s="1838"/>
      <c r="AP75" s="1837"/>
      <c r="AQ75" s="1841"/>
      <c r="AR75" s="1842"/>
      <c r="AS75" s="1838"/>
      <c r="AT75" s="1837"/>
      <c r="AU75" s="1838"/>
      <c r="AV75" s="1839"/>
      <c r="AW75" s="1840"/>
      <c r="AX75" s="1837"/>
      <c r="AY75" s="1838"/>
      <c r="AZ75" s="1837"/>
      <c r="BA75" s="1838"/>
      <c r="BB75" s="1839"/>
      <c r="BC75" s="1837"/>
      <c r="BD75" s="1837"/>
      <c r="BE75" s="1838"/>
      <c r="BF75" s="1837"/>
      <c r="BG75" s="1838"/>
      <c r="BH75" s="1837"/>
      <c r="BI75" s="1840"/>
      <c r="BJ75" s="1837"/>
      <c r="BK75" s="1838"/>
      <c r="BL75" s="1837"/>
      <c r="BM75" s="1838"/>
      <c r="BN75" s="1839"/>
      <c r="BO75" s="1840"/>
      <c r="BP75" s="1837"/>
      <c r="BQ75" s="1838"/>
      <c r="BR75" s="1837"/>
      <c r="BS75" s="1838"/>
      <c r="BT75" s="1839"/>
      <c r="BU75" s="1840"/>
      <c r="BV75" s="1837"/>
      <c r="BW75" s="1838"/>
      <c r="BX75" s="1837"/>
      <c r="BY75" s="1838"/>
      <c r="BZ75" s="1839"/>
      <c r="CA75" s="1840"/>
      <c r="CB75" s="1837"/>
      <c r="CC75" s="1838"/>
      <c r="CD75" s="1837"/>
      <c r="CE75" s="1838"/>
      <c r="CF75" s="1839"/>
      <c r="CG75" s="1840"/>
      <c r="CH75" s="1837"/>
      <c r="CI75" s="1838"/>
      <c r="CJ75" s="1837"/>
      <c r="CK75" s="1838"/>
      <c r="CL75" s="1839"/>
      <c r="CM75" s="1840"/>
      <c r="CN75" s="1837"/>
      <c r="CO75" s="1838"/>
      <c r="CP75" s="1837"/>
      <c r="CQ75" s="1838"/>
      <c r="CR75" s="1839"/>
      <c r="CS75" s="1840"/>
      <c r="CT75" s="1837"/>
      <c r="CU75" s="1838"/>
      <c r="CV75" s="1837"/>
      <c r="CW75" s="1838"/>
      <c r="CX75" s="1839"/>
      <c r="CY75" s="1840"/>
      <c r="CZ75" s="1837"/>
      <c r="DA75" s="1838"/>
      <c r="DB75" s="1837"/>
      <c r="DC75" s="1838"/>
      <c r="DD75" s="1839"/>
      <c r="DE75" s="1840"/>
      <c r="DF75" s="1837"/>
      <c r="DG75" s="1838"/>
      <c r="DH75" s="1837"/>
      <c r="DI75" s="1838"/>
      <c r="DJ75" s="1839"/>
      <c r="DK75" s="1840"/>
      <c r="DL75" s="1837"/>
      <c r="DM75" s="1838"/>
      <c r="DN75" s="1837"/>
      <c r="DO75" s="1838"/>
      <c r="DP75" s="1837"/>
      <c r="DQ75" s="1853"/>
      <c r="DR75" s="1837"/>
      <c r="DS75" s="1838"/>
      <c r="DT75" s="1842"/>
      <c r="DU75" s="1837"/>
      <c r="DV75" s="1839"/>
      <c r="DW75" s="1840"/>
      <c r="DX75" s="1837"/>
      <c r="DY75" s="1838"/>
      <c r="DZ75" s="1837"/>
      <c r="EA75" s="1838"/>
      <c r="EB75" s="1839"/>
      <c r="EC75" s="1840"/>
      <c r="ED75" s="1837"/>
      <c r="EE75" s="1838"/>
      <c r="EF75" s="1837"/>
      <c r="EG75" s="1838"/>
      <c r="EH75" s="1839"/>
      <c r="EI75" s="1840"/>
      <c r="EJ75" s="1837"/>
      <c r="EK75" s="1838"/>
      <c r="EL75" s="1837"/>
      <c r="EM75" s="1838"/>
      <c r="EN75" s="1839"/>
      <c r="EO75" s="1840"/>
      <c r="EP75" s="1837"/>
      <c r="EQ75" s="1838"/>
      <c r="ER75" s="1837"/>
      <c r="ES75" s="1838"/>
      <c r="ET75" s="1839"/>
      <c r="EU75" s="1840"/>
      <c r="EV75" s="1837"/>
      <c r="EW75" s="1838"/>
      <c r="EX75" s="1837"/>
      <c r="EY75" s="1838"/>
      <c r="EZ75" s="1839"/>
      <c r="FA75" s="1840"/>
      <c r="FB75" s="1837"/>
      <c r="FC75" s="1838"/>
      <c r="FD75" s="1837"/>
      <c r="FE75" s="1838"/>
      <c r="FF75" s="1839"/>
      <c r="FG75" s="1840"/>
      <c r="FH75" s="1837"/>
      <c r="FI75" s="1838"/>
      <c r="FJ75" s="1837"/>
      <c r="FK75" s="1838"/>
      <c r="FL75" s="1839"/>
      <c r="FM75" s="1840"/>
      <c r="FN75" s="1837"/>
      <c r="FO75" s="1838"/>
      <c r="FP75" s="1837"/>
      <c r="FQ75" s="1838"/>
      <c r="FR75" s="1839"/>
      <c r="FS75" s="1840"/>
      <c r="FT75" s="1837"/>
      <c r="FU75" s="1838"/>
      <c r="FV75" s="1837"/>
      <c r="FW75" s="1838"/>
      <c r="FX75" s="1839"/>
      <c r="FY75" s="1840"/>
      <c r="FZ75" s="1837"/>
      <c r="GA75" s="1838"/>
      <c r="GB75" s="1837"/>
      <c r="GC75" s="1838"/>
      <c r="GD75" s="1839"/>
      <c r="GE75" s="1840"/>
      <c r="GF75" s="1837"/>
      <c r="GG75" s="1838"/>
      <c r="GH75" s="1837"/>
      <c r="GI75" s="1838"/>
      <c r="GJ75" s="1839"/>
      <c r="GK75" s="1840"/>
      <c r="GL75" s="1837"/>
      <c r="GM75" s="1838"/>
      <c r="GN75" s="1837"/>
      <c r="GO75" s="1838"/>
      <c r="GP75" s="1839"/>
    </row>
    <row r="76" spans="1:198" ht="20.100000000000001" hidden="1" customHeight="1" outlineLevel="1">
      <c r="A76" s="2709"/>
      <c r="B76" s="2612"/>
      <c r="C76" s="1836"/>
      <c r="D76" s="2614" t="str">
        <f>実績!C1135&amp;"("&amp;SUBSTITUTE(実績!W1135&amp;")","株式会社 ","")</f>
        <v>BPS/MINI NEXT加古川(ﾃｨｰｱﾝﾄﾞﾋﾟｨｰ設計事務所)</v>
      </c>
      <c r="E76" s="2615"/>
      <c r="F76" s="2615"/>
      <c r="G76" s="2615"/>
      <c r="H76" s="2615"/>
      <c r="I76" s="2615"/>
      <c r="J76" s="2615"/>
      <c r="K76" s="2615"/>
      <c r="L76" s="2615"/>
      <c r="M76" s="2615"/>
      <c r="N76" s="2615"/>
      <c r="O76" s="2615"/>
      <c r="P76" s="2615"/>
      <c r="Q76" s="2616"/>
      <c r="R76" s="1969"/>
      <c r="S76" s="1837"/>
      <c r="T76" s="1837"/>
      <c r="U76" s="1838"/>
      <c r="V76" s="1837"/>
      <c r="W76" s="1838"/>
      <c r="X76" s="1839"/>
      <c r="Y76" s="1837"/>
      <c r="Z76" s="1837"/>
      <c r="AA76" s="1838"/>
      <c r="AB76" s="1837"/>
      <c r="AC76" s="1838"/>
      <c r="AD76" s="1837" t="s">
        <v>8310</v>
      </c>
      <c r="AE76" s="1840"/>
      <c r="AF76" s="1837"/>
      <c r="AG76" s="1838"/>
      <c r="AH76" s="1837"/>
      <c r="AI76" s="1838"/>
      <c r="AJ76" s="1839"/>
      <c r="AK76" s="1837"/>
      <c r="AL76" s="1837"/>
      <c r="AM76" s="1838"/>
      <c r="AN76" s="1837"/>
      <c r="AO76" s="1838"/>
      <c r="AP76" s="1837"/>
      <c r="AQ76" s="1841"/>
      <c r="AR76" s="1842"/>
      <c r="AS76" s="1838"/>
      <c r="AT76" s="1837"/>
      <c r="AU76" s="1838"/>
      <c r="AV76" s="1839"/>
      <c r="AW76" s="1840" t="s">
        <v>8145</v>
      </c>
      <c r="AX76" s="1837"/>
      <c r="AY76" s="1838"/>
      <c r="AZ76" s="1837"/>
      <c r="BA76" s="1838"/>
      <c r="BB76" s="1839"/>
      <c r="BC76" s="1837"/>
      <c r="BD76" s="1837"/>
      <c r="BE76" s="1838"/>
      <c r="BF76" s="1837"/>
      <c r="BG76" s="1838"/>
      <c r="BH76" s="1837"/>
      <c r="BI76" s="1840"/>
      <c r="BJ76" s="1837"/>
      <c r="BK76" s="1838"/>
      <c r="BL76" s="1837"/>
      <c r="BM76" s="1838"/>
      <c r="BN76" s="1839"/>
      <c r="BO76" s="1840"/>
      <c r="BP76" s="1837"/>
      <c r="BQ76" s="1838"/>
      <c r="BR76" s="1837"/>
      <c r="BS76" s="1838"/>
      <c r="BT76" s="1839"/>
      <c r="BU76" s="1840"/>
      <c r="BV76" s="1837"/>
      <c r="BW76" s="1838"/>
      <c r="BX76" s="1837"/>
      <c r="BY76" s="1838"/>
      <c r="BZ76" s="1839"/>
      <c r="CA76" s="1840"/>
      <c r="CB76" s="1837"/>
      <c r="CC76" s="1838"/>
      <c r="CD76" s="1837"/>
      <c r="CE76" s="1838"/>
      <c r="CF76" s="1839"/>
      <c r="CG76" s="1840"/>
      <c r="CH76" s="1837"/>
      <c r="CI76" s="1838"/>
      <c r="CJ76" s="1837"/>
      <c r="CK76" s="1838"/>
      <c r="CL76" s="1839"/>
      <c r="CM76" s="1840"/>
      <c r="CN76" s="1837"/>
      <c r="CO76" s="1838"/>
      <c r="CP76" s="1837"/>
      <c r="CQ76" s="1838"/>
      <c r="CR76" s="1839"/>
      <c r="CS76" s="1840"/>
      <c r="CT76" s="1837"/>
      <c r="CU76" s="1838"/>
      <c r="CV76" s="1837"/>
      <c r="CW76" s="1838"/>
      <c r="CX76" s="1839"/>
      <c r="CY76" s="1840"/>
      <c r="CZ76" s="1837"/>
      <c r="DA76" s="1838"/>
      <c r="DB76" s="1837"/>
      <c r="DC76" s="1838"/>
      <c r="DD76" s="1839"/>
      <c r="DE76" s="1840"/>
      <c r="DF76" s="1837"/>
      <c r="DG76" s="1838"/>
      <c r="DH76" s="1837"/>
      <c r="DI76" s="1838"/>
      <c r="DJ76" s="1839"/>
      <c r="DK76" s="1840"/>
      <c r="DL76" s="1837"/>
      <c r="DM76" s="1838"/>
      <c r="DN76" s="1837"/>
      <c r="DO76" s="1838"/>
      <c r="DP76" s="1837"/>
      <c r="DQ76" s="1853"/>
      <c r="DR76" s="1837"/>
      <c r="DS76" s="1838"/>
      <c r="DT76" s="1842"/>
      <c r="DU76" s="1837"/>
      <c r="DV76" s="1839"/>
      <c r="DW76" s="1840"/>
      <c r="DX76" s="1837"/>
      <c r="DY76" s="1838"/>
      <c r="DZ76" s="1837"/>
      <c r="EA76" s="1838"/>
      <c r="EB76" s="1839"/>
      <c r="EC76" s="1840"/>
      <c r="ED76" s="1837"/>
      <c r="EE76" s="1838"/>
      <c r="EF76" s="1837"/>
      <c r="EG76" s="1838"/>
      <c r="EH76" s="1839"/>
      <c r="EI76" s="1840"/>
      <c r="EJ76" s="1837"/>
      <c r="EK76" s="1838"/>
      <c r="EL76" s="1837"/>
      <c r="EM76" s="1838"/>
      <c r="EN76" s="1839"/>
      <c r="EO76" s="1840"/>
      <c r="EP76" s="1837"/>
      <c r="EQ76" s="1838"/>
      <c r="ER76" s="1837"/>
      <c r="ES76" s="1838"/>
      <c r="ET76" s="1839"/>
      <c r="EU76" s="1840"/>
      <c r="EV76" s="1837"/>
      <c r="EW76" s="1838"/>
      <c r="EX76" s="1837"/>
      <c r="EY76" s="1838"/>
      <c r="EZ76" s="1839"/>
      <c r="FA76" s="1840"/>
      <c r="FB76" s="1837"/>
      <c r="FC76" s="1838"/>
      <c r="FD76" s="1837"/>
      <c r="FE76" s="1838"/>
      <c r="FF76" s="1839"/>
      <c r="FG76" s="1840"/>
      <c r="FH76" s="1837"/>
      <c r="FI76" s="1838"/>
      <c r="FJ76" s="1837"/>
      <c r="FK76" s="1838"/>
      <c r="FL76" s="1839"/>
      <c r="FM76" s="1840"/>
      <c r="FN76" s="1837"/>
      <c r="FO76" s="1838"/>
      <c r="FP76" s="1837"/>
      <c r="FQ76" s="1838"/>
      <c r="FR76" s="1839"/>
      <c r="FS76" s="1840"/>
      <c r="FT76" s="1837"/>
      <c r="FU76" s="1838"/>
      <c r="FV76" s="1837"/>
      <c r="FW76" s="1838"/>
      <c r="FX76" s="1839"/>
      <c r="FY76" s="1840"/>
      <c r="FZ76" s="1837"/>
      <c r="GA76" s="1838"/>
      <c r="GB76" s="1837"/>
      <c r="GC76" s="1838"/>
      <c r="GD76" s="1839"/>
      <c r="GE76" s="1840"/>
      <c r="GF76" s="1837"/>
      <c r="GG76" s="1838"/>
      <c r="GH76" s="1837"/>
      <c r="GI76" s="1838"/>
      <c r="GJ76" s="1839"/>
      <c r="GK76" s="1840"/>
      <c r="GL76" s="1837"/>
      <c r="GM76" s="1838"/>
      <c r="GN76" s="1837"/>
      <c r="GO76" s="1838"/>
      <c r="GP76" s="1839"/>
    </row>
    <row r="77" spans="1:198" ht="20.100000000000001" hidden="1" customHeight="1" outlineLevel="1">
      <c r="A77" s="2709"/>
      <c r="B77" s="2612"/>
      <c r="C77" s="1836"/>
      <c r="D77" s="2614" t="str">
        <f>実績!C1148&amp;"("&amp;SUBSTITUTE(実績!W1148&amp;")","有限会社 ","")</f>
        <v>ホクガン冷凍立体駐車場(建築構造研究所)</v>
      </c>
      <c r="E77" s="2615"/>
      <c r="F77" s="2615"/>
      <c r="G77" s="2615"/>
      <c r="H77" s="2615"/>
      <c r="I77" s="2615"/>
      <c r="J77" s="2615"/>
      <c r="K77" s="2615"/>
      <c r="L77" s="2615"/>
      <c r="M77" s="2615"/>
      <c r="N77" s="2615"/>
      <c r="O77" s="2615"/>
      <c r="P77" s="2615"/>
      <c r="Q77" s="2616"/>
      <c r="R77" s="1969"/>
      <c r="S77" s="1837"/>
      <c r="T77" s="1837"/>
      <c r="U77" s="1838"/>
      <c r="V77" s="1837"/>
      <c r="W77" s="1838"/>
      <c r="X77" s="1839"/>
      <c r="Y77" s="1837"/>
      <c r="Z77" s="1837"/>
      <c r="AA77" s="1838"/>
      <c r="AB77" s="1837"/>
      <c r="AC77" s="1838"/>
      <c r="AD77" s="1837"/>
      <c r="AE77" s="1840"/>
      <c r="AF77" s="1837"/>
      <c r="AG77" s="1838"/>
      <c r="AH77" s="1837"/>
      <c r="AI77" s="1838"/>
      <c r="AJ77" s="1839"/>
      <c r="AK77" s="1837"/>
      <c r="AL77" s="1837"/>
      <c r="AM77" s="1838"/>
      <c r="AN77" s="1837"/>
      <c r="AO77" s="1838"/>
      <c r="AP77" s="1837"/>
      <c r="AQ77" s="1841"/>
      <c r="AR77" s="1837"/>
      <c r="AS77" s="1838"/>
      <c r="AT77" s="1837"/>
      <c r="AU77" s="1838"/>
      <c r="AV77" s="1839"/>
      <c r="AW77" s="1840"/>
      <c r="AX77" s="1837"/>
      <c r="AY77" s="1838"/>
      <c r="AZ77" s="1837"/>
      <c r="BA77" s="1838"/>
      <c r="BB77" s="1839"/>
      <c r="BC77" s="1837"/>
      <c r="BD77" s="1837"/>
      <c r="BE77" s="1838"/>
      <c r="BF77" s="1837"/>
      <c r="BG77" s="1838"/>
      <c r="BH77" s="1837"/>
      <c r="BI77" s="1840"/>
      <c r="BJ77" s="1837"/>
      <c r="BK77" s="1838"/>
      <c r="BL77" s="1837"/>
      <c r="BM77" s="1838"/>
      <c r="BN77" s="1839"/>
      <c r="BO77" s="1840"/>
      <c r="BP77" s="1837"/>
      <c r="BQ77" s="1838"/>
      <c r="BR77" s="1837"/>
      <c r="BS77" s="1838"/>
      <c r="BT77" s="1839"/>
      <c r="BU77" s="1840"/>
      <c r="BV77" s="1837"/>
      <c r="BW77" s="1838"/>
      <c r="BX77" s="1837"/>
      <c r="BY77" s="1838"/>
      <c r="BZ77" s="1839"/>
      <c r="CA77" s="1840"/>
      <c r="CB77" s="1837"/>
      <c r="CC77" s="1838"/>
      <c r="CD77" s="1837"/>
      <c r="CE77" s="1838"/>
      <c r="CF77" s="1839"/>
      <c r="CG77" s="1840"/>
      <c r="CH77" s="1837"/>
      <c r="CI77" s="1838"/>
      <c r="CJ77" s="1837"/>
      <c r="CK77" s="1838"/>
      <c r="CL77" s="1839"/>
      <c r="CM77" s="1840"/>
      <c r="CN77" s="1837"/>
      <c r="CO77" s="1838"/>
      <c r="CP77" s="1837"/>
      <c r="CQ77" s="1838"/>
      <c r="CR77" s="1839"/>
      <c r="CS77" s="1840"/>
      <c r="CT77" s="1837"/>
      <c r="CU77" s="1838"/>
      <c r="CV77" s="1837"/>
      <c r="CW77" s="1838"/>
      <c r="CX77" s="1839"/>
      <c r="CY77" s="1840"/>
      <c r="CZ77" s="1837"/>
      <c r="DA77" s="1838"/>
      <c r="DB77" s="1837"/>
      <c r="DC77" s="1838"/>
      <c r="DD77" s="1839"/>
      <c r="DE77" s="1840"/>
      <c r="DF77" s="1837"/>
      <c r="DG77" s="1838"/>
      <c r="DH77" s="1837"/>
      <c r="DI77" s="1838"/>
      <c r="DJ77" s="1839"/>
      <c r="DK77" s="1840"/>
      <c r="DL77" s="1837"/>
      <c r="DM77" s="1838"/>
      <c r="DN77" s="1837"/>
      <c r="DO77" s="1838"/>
      <c r="DP77" s="1837"/>
      <c r="DQ77" s="1853"/>
      <c r="DR77" s="1837"/>
      <c r="DS77" s="1838"/>
      <c r="DT77" s="1842"/>
      <c r="DU77" s="1837"/>
      <c r="DV77" s="1839"/>
      <c r="DW77" s="1840"/>
      <c r="DX77" s="1837"/>
      <c r="DY77" s="1838"/>
      <c r="DZ77" s="1837"/>
      <c r="EA77" s="1838"/>
      <c r="EB77" s="1839"/>
      <c r="EC77" s="1840"/>
      <c r="ED77" s="1837"/>
      <c r="EE77" s="1838"/>
      <c r="EF77" s="1837"/>
      <c r="EG77" s="1838"/>
      <c r="EH77" s="1839"/>
      <c r="EI77" s="1840"/>
      <c r="EJ77" s="1837"/>
      <c r="EK77" s="1838"/>
      <c r="EL77" s="1837"/>
      <c r="EM77" s="1838"/>
      <c r="EN77" s="1839"/>
      <c r="EO77" s="1840"/>
      <c r="EP77" s="1837"/>
      <c r="EQ77" s="1838"/>
      <c r="ER77" s="1837"/>
      <c r="ES77" s="1838"/>
      <c r="ET77" s="1839"/>
      <c r="EU77" s="1840"/>
      <c r="EV77" s="1837"/>
      <c r="EW77" s="1838"/>
      <c r="EX77" s="1837"/>
      <c r="EY77" s="1838"/>
      <c r="EZ77" s="1839"/>
      <c r="FA77" s="1840"/>
      <c r="FB77" s="1837"/>
      <c r="FC77" s="1838"/>
      <c r="FD77" s="1837"/>
      <c r="FE77" s="1838"/>
      <c r="FF77" s="1839"/>
      <c r="FG77" s="1840"/>
      <c r="FH77" s="1837"/>
      <c r="FI77" s="1838"/>
      <c r="FJ77" s="1837"/>
      <c r="FK77" s="1838"/>
      <c r="FL77" s="1839"/>
      <c r="FM77" s="1840"/>
      <c r="FN77" s="1837"/>
      <c r="FO77" s="1838"/>
      <c r="FP77" s="1837"/>
      <c r="FQ77" s="1838"/>
      <c r="FR77" s="1839"/>
      <c r="FS77" s="1840"/>
      <c r="FT77" s="1837"/>
      <c r="FU77" s="1838"/>
      <c r="FV77" s="1837"/>
      <c r="FW77" s="1838"/>
      <c r="FX77" s="1839"/>
      <c r="FY77" s="1840"/>
      <c r="FZ77" s="1837"/>
      <c r="GA77" s="1838"/>
      <c r="GB77" s="1837"/>
      <c r="GC77" s="1838"/>
      <c r="GD77" s="1839"/>
      <c r="GE77" s="1840"/>
      <c r="GF77" s="1837"/>
      <c r="GG77" s="1838"/>
      <c r="GH77" s="1837"/>
      <c r="GI77" s="1838"/>
      <c r="GJ77" s="1839"/>
      <c r="GK77" s="1840"/>
      <c r="GL77" s="1837"/>
      <c r="GM77" s="1838"/>
      <c r="GN77" s="1837"/>
      <c r="GO77" s="1838"/>
      <c r="GP77" s="1839"/>
    </row>
    <row r="78" spans="1:198" ht="20.100000000000001" hidden="1" customHeight="1" outlineLevel="1">
      <c r="A78" s="2709"/>
      <c r="B78" s="2612"/>
      <c r="C78" s="1836"/>
      <c r="D78" s="1854" t="str">
        <f>実績!C1153&amp;"("&amp;SUBSTITUTE(実績!R1153&amp;")","株式会社 ","")</f>
        <v>東北臨海興業㈱事務所(橋本設計)</v>
      </c>
      <c r="E78" s="1855"/>
      <c r="F78" s="1855"/>
      <c r="G78" s="1855"/>
      <c r="H78" s="1855"/>
      <c r="I78" s="1855"/>
      <c r="J78" s="1855"/>
      <c r="K78" s="1855"/>
      <c r="L78" s="1855"/>
      <c r="M78" s="1855"/>
      <c r="N78" s="1855"/>
      <c r="O78" s="1855"/>
      <c r="P78" s="1855"/>
      <c r="Q78" s="1856"/>
      <c r="R78" s="1857"/>
      <c r="S78" s="1837"/>
      <c r="T78" s="1837"/>
      <c r="U78" s="1838"/>
      <c r="V78" s="1837"/>
      <c r="W78" s="1838"/>
      <c r="X78" s="1839"/>
      <c r="Y78" s="1837"/>
      <c r="Z78" s="1837"/>
      <c r="AA78" s="1838"/>
      <c r="AB78" s="1837"/>
      <c r="AC78" s="1838"/>
      <c r="AD78" s="1837"/>
      <c r="AE78" s="1840"/>
      <c r="AF78" s="1837"/>
      <c r="AG78" s="1838"/>
      <c r="AH78" s="1837"/>
      <c r="AI78" s="1838"/>
      <c r="AJ78" s="1839"/>
      <c r="AK78" s="1837" t="s">
        <v>8250</v>
      </c>
      <c r="AL78" s="1837"/>
      <c r="AM78" s="1838"/>
      <c r="AN78" s="1837"/>
      <c r="AO78" s="1838"/>
      <c r="AP78" s="1837"/>
      <c r="AQ78" s="1841" t="s">
        <v>8424</v>
      </c>
      <c r="AR78" s="1837"/>
      <c r="AS78" s="1838"/>
      <c r="AT78" s="1837"/>
      <c r="AU78" s="1838"/>
      <c r="AV78" s="1839"/>
      <c r="AW78" s="1840"/>
      <c r="AX78" s="1837"/>
      <c r="AY78" s="1838"/>
      <c r="AZ78" s="1837"/>
      <c r="BA78" s="1838"/>
      <c r="BB78" s="1839"/>
      <c r="BC78" s="1837"/>
      <c r="BD78" s="1837"/>
      <c r="BE78" s="1838"/>
      <c r="BF78" s="1837"/>
      <c r="BG78" s="1838"/>
      <c r="BH78" s="1837"/>
      <c r="BI78" s="1840"/>
      <c r="BJ78" s="1837"/>
      <c r="BK78" s="1838"/>
      <c r="BL78" s="1837"/>
      <c r="BM78" s="1838"/>
      <c r="BN78" s="1839"/>
      <c r="BO78" s="1840"/>
      <c r="BP78" s="1837"/>
      <c r="BQ78" s="1838"/>
      <c r="BR78" s="1837"/>
      <c r="BS78" s="1838"/>
      <c r="BT78" s="1839"/>
      <c r="BU78" s="1840"/>
      <c r="BV78" s="1837"/>
      <c r="BW78" s="1838"/>
      <c r="BX78" s="1837"/>
      <c r="BY78" s="1838"/>
      <c r="BZ78" s="1839"/>
      <c r="CA78" s="1840"/>
      <c r="CB78" s="1837"/>
      <c r="CC78" s="1838"/>
      <c r="CD78" s="1837"/>
      <c r="CE78" s="1838"/>
      <c r="CF78" s="1839"/>
      <c r="CG78" s="1840"/>
      <c r="CH78" s="1837"/>
      <c r="CI78" s="1838"/>
      <c r="CJ78" s="1837"/>
      <c r="CK78" s="1838"/>
      <c r="CL78" s="1839"/>
      <c r="CM78" s="1840"/>
      <c r="CN78" s="1837"/>
      <c r="CO78" s="1838"/>
      <c r="CP78" s="1837"/>
      <c r="CQ78" s="1838"/>
      <c r="CR78" s="1839"/>
      <c r="CS78" s="1840"/>
      <c r="CT78" s="1837"/>
      <c r="CU78" s="1838"/>
      <c r="CV78" s="1837"/>
      <c r="CW78" s="1838"/>
      <c r="CX78" s="1839"/>
      <c r="CY78" s="1840"/>
      <c r="CZ78" s="1837"/>
      <c r="DA78" s="1838"/>
      <c r="DB78" s="1837"/>
      <c r="DC78" s="1838"/>
      <c r="DD78" s="1839"/>
      <c r="DE78" s="1840"/>
      <c r="DF78" s="1837"/>
      <c r="DG78" s="1838"/>
      <c r="DH78" s="1837"/>
      <c r="DI78" s="1838"/>
      <c r="DJ78" s="1839"/>
      <c r="DK78" s="1840"/>
      <c r="DL78" s="1837"/>
      <c r="DM78" s="1838"/>
      <c r="DN78" s="1837"/>
      <c r="DO78" s="1838"/>
      <c r="DP78" s="1837"/>
      <c r="DQ78" s="1853"/>
      <c r="DR78" s="1837"/>
      <c r="DS78" s="1838"/>
      <c r="DT78" s="1842"/>
      <c r="DU78" s="1837"/>
      <c r="DV78" s="1839"/>
      <c r="DW78" s="1840"/>
      <c r="DX78" s="1837"/>
      <c r="DY78" s="1838"/>
      <c r="DZ78" s="1837"/>
      <c r="EA78" s="1838"/>
      <c r="EB78" s="1839"/>
      <c r="EC78" s="1840"/>
      <c r="ED78" s="1837"/>
      <c r="EE78" s="1838"/>
      <c r="EF78" s="1837"/>
      <c r="EG78" s="1838"/>
      <c r="EH78" s="1839"/>
      <c r="EI78" s="1840"/>
      <c r="EJ78" s="1837"/>
      <c r="EK78" s="1838"/>
      <c r="EL78" s="1837"/>
      <c r="EM78" s="1838"/>
      <c r="EN78" s="1839"/>
      <c r="EO78" s="1840"/>
      <c r="EP78" s="1837"/>
      <c r="EQ78" s="1838"/>
      <c r="ER78" s="1837"/>
      <c r="ES78" s="1838"/>
      <c r="ET78" s="1839"/>
      <c r="EU78" s="1840"/>
      <c r="EV78" s="1837"/>
      <c r="EW78" s="1838"/>
      <c r="EX78" s="1837"/>
      <c r="EY78" s="1838"/>
      <c r="EZ78" s="1839"/>
      <c r="FA78" s="1840"/>
      <c r="FB78" s="1837"/>
      <c r="FC78" s="1838"/>
      <c r="FD78" s="1837"/>
      <c r="FE78" s="1838"/>
      <c r="FF78" s="1839"/>
      <c r="FG78" s="1840"/>
      <c r="FH78" s="1837"/>
      <c r="FI78" s="1838"/>
      <c r="FJ78" s="1837"/>
      <c r="FK78" s="1838"/>
      <c r="FL78" s="1839"/>
      <c r="FM78" s="1840"/>
      <c r="FN78" s="1837"/>
      <c r="FO78" s="1838"/>
      <c r="FP78" s="1837"/>
      <c r="FQ78" s="1838"/>
      <c r="FR78" s="1839"/>
      <c r="FS78" s="1840"/>
      <c r="FT78" s="1837"/>
      <c r="FU78" s="1838"/>
      <c r="FV78" s="1837"/>
      <c r="FW78" s="1838"/>
      <c r="FX78" s="1839"/>
      <c r="FY78" s="1840"/>
      <c r="FZ78" s="1837"/>
      <c r="GA78" s="1838"/>
      <c r="GB78" s="1837"/>
      <c r="GC78" s="1838"/>
      <c r="GD78" s="1839"/>
      <c r="GE78" s="1840"/>
      <c r="GF78" s="1837"/>
      <c r="GG78" s="1838"/>
      <c r="GH78" s="1837"/>
      <c r="GI78" s="1838"/>
      <c r="GJ78" s="1839"/>
      <c r="GK78" s="1840"/>
      <c r="GL78" s="1837"/>
      <c r="GM78" s="1838"/>
      <c r="GN78" s="1837"/>
      <c r="GO78" s="1838"/>
      <c r="GP78" s="1839"/>
    </row>
    <row r="79" spans="1:198" ht="20.100000000000001" hidden="1" customHeight="1" outlineLevel="1">
      <c r="A79" s="2709"/>
      <c r="B79" s="2612"/>
      <c r="C79" s="1836"/>
      <c r="D79" s="2614" t="str">
        <f>実績!C1146&amp;"("&amp;SUBSTITUTE(実績!R1146&amp;")"," 株式会社","")</f>
        <v>小林精機 新工場(東野建設工業)</v>
      </c>
      <c r="E79" s="2615"/>
      <c r="F79" s="2615"/>
      <c r="G79" s="2615"/>
      <c r="H79" s="2615"/>
      <c r="I79" s="2615"/>
      <c r="J79" s="2615"/>
      <c r="K79" s="2615"/>
      <c r="L79" s="2615"/>
      <c r="M79" s="2615"/>
      <c r="N79" s="2615"/>
      <c r="O79" s="2615"/>
      <c r="P79" s="2615"/>
      <c r="Q79" s="2616"/>
      <c r="R79" s="1969"/>
      <c r="S79" s="1837"/>
      <c r="T79" s="1837"/>
      <c r="U79" s="1838"/>
      <c r="V79" s="1837"/>
      <c r="W79" s="1838"/>
      <c r="X79" s="1839"/>
      <c r="Y79" s="1837"/>
      <c r="Z79" s="1837"/>
      <c r="AA79" s="1838"/>
      <c r="AB79" s="1837"/>
      <c r="AC79" s="1838"/>
      <c r="AD79" s="1837"/>
      <c r="AE79" s="1840"/>
      <c r="AF79" s="1837"/>
      <c r="AG79" s="1838"/>
      <c r="AH79" s="1837"/>
      <c r="AI79" s="1838"/>
      <c r="AJ79" s="1839"/>
      <c r="AK79" s="1837"/>
      <c r="AL79" s="1837"/>
      <c r="AM79" s="1838"/>
      <c r="AN79" s="1837"/>
      <c r="AO79" s="1838"/>
      <c r="AP79" s="1837"/>
      <c r="AQ79" s="1841" t="s">
        <v>8145</v>
      </c>
      <c r="AR79" s="1837"/>
      <c r="AS79" s="1838"/>
      <c r="AT79" s="1837"/>
      <c r="AU79" s="1838"/>
      <c r="AV79" s="1839"/>
      <c r="AW79" s="1840"/>
      <c r="AX79" s="1837"/>
      <c r="AY79" s="1838"/>
      <c r="AZ79" s="1837"/>
      <c r="BA79" s="1838"/>
      <c r="BB79" s="1839"/>
      <c r="BC79" s="1837"/>
      <c r="BD79" s="1837"/>
      <c r="BE79" s="1838"/>
      <c r="BF79" s="1837"/>
      <c r="BG79" s="1838"/>
      <c r="BH79" s="1837"/>
      <c r="BI79" s="1840"/>
      <c r="BJ79" s="1837"/>
      <c r="BK79" s="1838"/>
      <c r="BL79" s="1837"/>
      <c r="BM79" s="1838"/>
      <c r="BN79" s="1839"/>
      <c r="BO79" s="1840"/>
      <c r="BP79" s="1837"/>
      <c r="BQ79" s="1838"/>
      <c r="BR79" s="1837"/>
      <c r="BS79" s="1838"/>
      <c r="BT79" s="1839"/>
      <c r="BU79" s="1840"/>
      <c r="BV79" s="1837"/>
      <c r="BW79" s="1838"/>
      <c r="BX79" s="1837"/>
      <c r="BY79" s="1838"/>
      <c r="BZ79" s="1839"/>
      <c r="CA79" s="1840"/>
      <c r="CB79" s="1837"/>
      <c r="CC79" s="1838"/>
      <c r="CD79" s="1837"/>
      <c r="CE79" s="1838"/>
      <c r="CF79" s="1839"/>
      <c r="CG79" s="1840"/>
      <c r="CH79" s="1837"/>
      <c r="CI79" s="1838"/>
      <c r="CJ79" s="1837"/>
      <c r="CK79" s="1838"/>
      <c r="CL79" s="1839"/>
      <c r="CM79" s="1840"/>
      <c r="CN79" s="1837"/>
      <c r="CO79" s="1838"/>
      <c r="CP79" s="1837"/>
      <c r="CQ79" s="1838"/>
      <c r="CR79" s="1839"/>
      <c r="CS79" s="1840"/>
      <c r="CT79" s="1837"/>
      <c r="CU79" s="1838"/>
      <c r="CV79" s="1837"/>
      <c r="CW79" s="1838"/>
      <c r="CX79" s="1839"/>
      <c r="CY79" s="1840"/>
      <c r="CZ79" s="1837"/>
      <c r="DA79" s="1838"/>
      <c r="DB79" s="1837"/>
      <c r="DC79" s="1838"/>
      <c r="DD79" s="1839"/>
      <c r="DE79" s="1840"/>
      <c r="DF79" s="1837"/>
      <c r="DG79" s="1838"/>
      <c r="DH79" s="1837"/>
      <c r="DI79" s="1838"/>
      <c r="DJ79" s="1839"/>
      <c r="DK79" s="1840"/>
      <c r="DL79" s="1837"/>
      <c r="DM79" s="1838"/>
      <c r="DN79" s="1837"/>
      <c r="DO79" s="1838"/>
      <c r="DP79" s="1837"/>
      <c r="DQ79" s="1853"/>
      <c r="DR79" s="1837"/>
      <c r="DS79" s="1838"/>
      <c r="DT79" s="1842"/>
      <c r="DU79" s="1837"/>
      <c r="DV79" s="1839"/>
      <c r="DW79" s="1840"/>
      <c r="DX79" s="1837"/>
      <c r="DY79" s="1838"/>
      <c r="DZ79" s="1837"/>
      <c r="EA79" s="1838"/>
      <c r="EB79" s="1839"/>
      <c r="EC79" s="1840"/>
      <c r="ED79" s="1837"/>
      <c r="EE79" s="1838"/>
      <c r="EF79" s="1837"/>
      <c r="EG79" s="1838"/>
      <c r="EH79" s="1839"/>
      <c r="EI79" s="1840"/>
      <c r="EJ79" s="1837"/>
      <c r="EK79" s="1838"/>
      <c r="EL79" s="1837"/>
      <c r="EM79" s="1838"/>
      <c r="EN79" s="1839"/>
      <c r="EO79" s="1840"/>
      <c r="EP79" s="1837"/>
      <c r="EQ79" s="1838"/>
      <c r="ER79" s="1837"/>
      <c r="ES79" s="1838"/>
      <c r="ET79" s="1839"/>
      <c r="EU79" s="1840"/>
      <c r="EV79" s="1837"/>
      <c r="EW79" s="1838"/>
      <c r="EX79" s="1837"/>
      <c r="EY79" s="1838"/>
      <c r="EZ79" s="1839"/>
      <c r="FA79" s="1840"/>
      <c r="FB79" s="1837"/>
      <c r="FC79" s="1838"/>
      <c r="FD79" s="1837"/>
      <c r="FE79" s="1838"/>
      <c r="FF79" s="1839"/>
      <c r="FG79" s="1840"/>
      <c r="FH79" s="1837"/>
      <c r="FI79" s="1838"/>
      <c r="FJ79" s="1837"/>
      <c r="FK79" s="1838"/>
      <c r="FL79" s="1839"/>
      <c r="FM79" s="1840"/>
      <c r="FN79" s="1837"/>
      <c r="FO79" s="1838"/>
      <c r="FP79" s="1837"/>
      <c r="FQ79" s="1838"/>
      <c r="FR79" s="1839"/>
      <c r="FS79" s="1840"/>
      <c r="FT79" s="1837"/>
      <c r="FU79" s="1838"/>
      <c r="FV79" s="1837"/>
      <c r="FW79" s="1838"/>
      <c r="FX79" s="1839"/>
      <c r="FY79" s="1840"/>
      <c r="FZ79" s="1837"/>
      <c r="GA79" s="1838"/>
      <c r="GB79" s="1837"/>
      <c r="GC79" s="1838"/>
      <c r="GD79" s="1839"/>
      <c r="GE79" s="1840"/>
      <c r="GF79" s="1837"/>
      <c r="GG79" s="1838"/>
      <c r="GH79" s="1837"/>
      <c r="GI79" s="1838"/>
      <c r="GJ79" s="1839"/>
      <c r="GK79" s="1840"/>
      <c r="GL79" s="1837"/>
      <c r="GM79" s="1838"/>
      <c r="GN79" s="1837"/>
      <c r="GO79" s="1838"/>
      <c r="GP79" s="1839"/>
    </row>
    <row r="80" spans="1:198" ht="20.100000000000001" hidden="1" customHeight="1" outlineLevel="1">
      <c r="A80" s="2709"/>
      <c r="B80" s="2612"/>
      <c r="C80" s="1836"/>
      <c r="D80" s="2614" t="str">
        <f>実績!C1150&amp;"("&amp;SUBSTITUTE(実績!W1150&amp;")","株式会社 ","")</f>
        <v>佐々木酒造店 工場及び店舗(タカヤ)</v>
      </c>
      <c r="E80" s="2615"/>
      <c r="F80" s="2615"/>
      <c r="G80" s="2615"/>
      <c r="H80" s="2615"/>
      <c r="I80" s="2615"/>
      <c r="J80" s="2615"/>
      <c r="K80" s="2615"/>
      <c r="L80" s="2615"/>
      <c r="M80" s="2615"/>
      <c r="N80" s="2615"/>
      <c r="O80" s="2615"/>
      <c r="P80" s="2615"/>
      <c r="Q80" s="2616"/>
      <c r="R80" s="1969"/>
      <c r="S80" s="1837"/>
      <c r="T80" s="1837"/>
      <c r="U80" s="1838"/>
      <c r="V80" s="1837"/>
      <c r="W80" s="1838"/>
      <c r="X80" s="1839"/>
      <c r="Y80" s="1837"/>
      <c r="Z80" s="1837"/>
      <c r="AA80" s="1838"/>
      <c r="AB80" s="1837"/>
      <c r="AC80" s="1838"/>
      <c r="AD80" s="1837"/>
      <c r="AE80" s="1840"/>
      <c r="AF80" s="1837"/>
      <c r="AG80" s="1838"/>
      <c r="AH80" s="1837"/>
      <c r="AI80" s="1838"/>
      <c r="AJ80" s="1839"/>
      <c r="AK80" s="1837"/>
      <c r="AL80" s="1837"/>
      <c r="AM80" s="1838"/>
      <c r="AN80" s="1837"/>
      <c r="AO80" s="1838" t="s">
        <v>8145</v>
      </c>
      <c r="AP80" s="1837"/>
      <c r="AQ80" s="1841"/>
      <c r="AR80" s="1837"/>
      <c r="AS80" s="1838"/>
      <c r="AT80" s="1837"/>
      <c r="AU80" s="1838"/>
      <c r="AV80" s="1839"/>
      <c r="AW80" s="1840"/>
      <c r="AX80" s="1837"/>
      <c r="AY80" s="1838"/>
      <c r="AZ80" s="1837"/>
      <c r="BA80" s="1838"/>
      <c r="BB80" s="1839"/>
      <c r="BC80" s="1837"/>
      <c r="BD80" s="1837"/>
      <c r="BE80" s="1838"/>
      <c r="BF80" s="1837"/>
      <c r="BG80" s="1838"/>
      <c r="BH80" s="1837"/>
      <c r="BI80" s="1840"/>
      <c r="BJ80" s="1837"/>
      <c r="BK80" s="1838"/>
      <c r="BL80" s="1837"/>
      <c r="BM80" s="1838"/>
      <c r="BN80" s="1839"/>
      <c r="BO80" s="1840"/>
      <c r="BP80" s="1837"/>
      <c r="BQ80" s="1838"/>
      <c r="BR80" s="1837"/>
      <c r="BS80" s="1838"/>
      <c r="BT80" s="1839"/>
      <c r="BU80" s="1840"/>
      <c r="BV80" s="1837"/>
      <c r="BW80" s="1838"/>
      <c r="BX80" s="1837"/>
      <c r="BY80" s="1838"/>
      <c r="BZ80" s="1839"/>
      <c r="CA80" s="1840"/>
      <c r="CB80" s="1837"/>
      <c r="CC80" s="1838"/>
      <c r="CD80" s="1837"/>
      <c r="CE80" s="1838"/>
      <c r="CF80" s="1839"/>
      <c r="CG80" s="1840"/>
      <c r="CH80" s="1837"/>
      <c r="CI80" s="1838"/>
      <c r="CJ80" s="1837"/>
      <c r="CK80" s="1838"/>
      <c r="CL80" s="1839"/>
      <c r="CM80" s="1840"/>
      <c r="CN80" s="1837"/>
      <c r="CO80" s="1838"/>
      <c r="CP80" s="1837"/>
      <c r="CQ80" s="1838"/>
      <c r="CR80" s="1839"/>
      <c r="CS80" s="1840"/>
      <c r="CT80" s="1837"/>
      <c r="CU80" s="1838"/>
      <c r="CV80" s="1837"/>
      <c r="CW80" s="1838"/>
      <c r="CX80" s="1839"/>
      <c r="CY80" s="1840"/>
      <c r="CZ80" s="1837"/>
      <c r="DA80" s="1838"/>
      <c r="DB80" s="1837"/>
      <c r="DC80" s="1838"/>
      <c r="DD80" s="1839"/>
      <c r="DE80" s="1840"/>
      <c r="DF80" s="1837"/>
      <c r="DG80" s="1838"/>
      <c r="DH80" s="1837"/>
      <c r="DI80" s="1838"/>
      <c r="DJ80" s="1839"/>
      <c r="DK80" s="1840"/>
      <c r="DL80" s="1837"/>
      <c r="DM80" s="1838"/>
      <c r="DN80" s="1837"/>
      <c r="DO80" s="1838"/>
      <c r="DP80" s="1837"/>
      <c r="DQ80" s="1853"/>
      <c r="DR80" s="1837"/>
      <c r="DS80" s="1838"/>
      <c r="DT80" s="1842"/>
      <c r="DU80" s="1837"/>
      <c r="DV80" s="1839"/>
      <c r="DW80" s="1840"/>
      <c r="DX80" s="1837"/>
      <c r="DY80" s="1838"/>
      <c r="DZ80" s="1837"/>
      <c r="EA80" s="1838"/>
      <c r="EB80" s="1839"/>
      <c r="EC80" s="1840"/>
      <c r="ED80" s="1837"/>
      <c r="EE80" s="1838"/>
      <c r="EF80" s="1837"/>
      <c r="EG80" s="1838"/>
      <c r="EH80" s="1839"/>
      <c r="EI80" s="1840"/>
      <c r="EJ80" s="1837"/>
      <c r="EK80" s="1838"/>
      <c r="EL80" s="1837"/>
      <c r="EM80" s="1838"/>
      <c r="EN80" s="1839"/>
      <c r="EO80" s="1840"/>
      <c r="EP80" s="1837"/>
      <c r="EQ80" s="1838"/>
      <c r="ER80" s="1837"/>
      <c r="ES80" s="1838"/>
      <c r="ET80" s="1839"/>
      <c r="EU80" s="1840"/>
      <c r="EV80" s="1837"/>
      <c r="EW80" s="1838"/>
      <c r="EX80" s="1837"/>
      <c r="EY80" s="1838"/>
      <c r="EZ80" s="1839"/>
      <c r="FA80" s="1840"/>
      <c r="FB80" s="1837"/>
      <c r="FC80" s="1838"/>
      <c r="FD80" s="1837"/>
      <c r="FE80" s="1838"/>
      <c r="FF80" s="1839"/>
      <c r="FG80" s="1840"/>
      <c r="FH80" s="1837"/>
      <c r="FI80" s="1838"/>
      <c r="FJ80" s="1837"/>
      <c r="FK80" s="1838"/>
      <c r="FL80" s="1839"/>
      <c r="FM80" s="1840"/>
      <c r="FN80" s="1837"/>
      <c r="FO80" s="1838"/>
      <c r="FP80" s="1837"/>
      <c r="FQ80" s="1838"/>
      <c r="FR80" s="1839"/>
      <c r="FS80" s="1840"/>
      <c r="FT80" s="1837"/>
      <c r="FU80" s="1838"/>
      <c r="FV80" s="1837"/>
      <c r="FW80" s="1838"/>
      <c r="FX80" s="1839"/>
      <c r="FY80" s="1840"/>
      <c r="FZ80" s="1837"/>
      <c r="GA80" s="1838"/>
      <c r="GB80" s="1837"/>
      <c r="GC80" s="1838"/>
      <c r="GD80" s="1839"/>
      <c r="GE80" s="1840"/>
      <c r="GF80" s="1837"/>
      <c r="GG80" s="1838"/>
      <c r="GH80" s="1837"/>
      <c r="GI80" s="1838"/>
      <c r="GJ80" s="1839"/>
      <c r="GK80" s="1840"/>
      <c r="GL80" s="1837"/>
      <c r="GM80" s="1838"/>
      <c r="GN80" s="1837"/>
      <c r="GO80" s="1838"/>
      <c r="GP80" s="1839"/>
    </row>
    <row r="81" spans="1:198" ht="20.100000000000001" hidden="1" customHeight="1" outlineLevel="1">
      <c r="A81" s="2709"/>
      <c r="B81" s="2612"/>
      <c r="C81" s="1836"/>
      <c r="D81" s="2614" t="str">
        <f>実績!C1152&amp;"("&amp;SUBSTITUTE(実績!R1152&amp;")","株式会社 ","")</f>
        <v>薬王堂にかほ象潟(樹設計工房)</v>
      </c>
      <c r="E81" s="2615"/>
      <c r="F81" s="2615"/>
      <c r="G81" s="2615"/>
      <c r="H81" s="2615"/>
      <c r="I81" s="2615"/>
      <c r="J81" s="2615"/>
      <c r="K81" s="2615"/>
      <c r="L81" s="2615"/>
      <c r="M81" s="2615"/>
      <c r="N81" s="2615"/>
      <c r="O81" s="2615"/>
      <c r="P81" s="2615"/>
      <c r="Q81" s="2616"/>
      <c r="R81" s="1969"/>
      <c r="S81" s="1837"/>
      <c r="T81" s="1837"/>
      <c r="U81" s="1838"/>
      <c r="V81" s="1837"/>
      <c r="W81" s="1838"/>
      <c r="X81" s="1839"/>
      <c r="Y81" s="1837"/>
      <c r="Z81" s="1837"/>
      <c r="AA81" s="1838"/>
      <c r="AB81" s="1837"/>
      <c r="AC81" s="1838"/>
      <c r="AD81" s="1837"/>
      <c r="AE81" s="1840"/>
      <c r="AF81" s="1837"/>
      <c r="AG81" s="1838"/>
      <c r="AH81" s="1837" t="s">
        <v>8250</v>
      </c>
      <c r="AI81" s="1838"/>
      <c r="AJ81" s="1839"/>
      <c r="AK81" s="1837"/>
      <c r="AL81" s="1837"/>
      <c r="AM81" s="1838" t="s">
        <v>8145</v>
      </c>
      <c r="AN81" s="1837"/>
      <c r="AO81" s="1838"/>
      <c r="AP81" s="1837"/>
      <c r="AQ81" s="1841"/>
      <c r="AR81" s="1837"/>
      <c r="AS81" s="1838"/>
      <c r="AT81" s="1837"/>
      <c r="AU81" s="1838"/>
      <c r="AV81" s="1839"/>
      <c r="AW81" s="1840"/>
      <c r="AX81" s="1837"/>
      <c r="AY81" s="1838"/>
      <c r="AZ81" s="1837"/>
      <c r="BA81" s="1838"/>
      <c r="BB81" s="1839"/>
      <c r="BC81" s="1837"/>
      <c r="BD81" s="1837"/>
      <c r="BE81" s="1838"/>
      <c r="BF81" s="1837"/>
      <c r="BG81" s="1838"/>
      <c r="BH81" s="1837"/>
      <c r="BI81" s="1840"/>
      <c r="BJ81" s="1837"/>
      <c r="BK81" s="1838"/>
      <c r="BL81" s="1837"/>
      <c r="BM81" s="1838"/>
      <c r="BN81" s="1839"/>
      <c r="BO81" s="1840"/>
      <c r="BP81" s="1837"/>
      <c r="BQ81" s="1838"/>
      <c r="BR81" s="1837"/>
      <c r="BS81" s="1838"/>
      <c r="BT81" s="1839"/>
      <c r="BU81" s="1840"/>
      <c r="BV81" s="1837"/>
      <c r="BW81" s="1838"/>
      <c r="BX81" s="1837"/>
      <c r="BY81" s="1838"/>
      <c r="BZ81" s="1839"/>
      <c r="CA81" s="1840"/>
      <c r="CB81" s="1837"/>
      <c r="CC81" s="1838"/>
      <c r="CD81" s="1837"/>
      <c r="CE81" s="1838"/>
      <c r="CF81" s="1839"/>
      <c r="CG81" s="1840"/>
      <c r="CH81" s="1837"/>
      <c r="CI81" s="1838"/>
      <c r="CJ81" s="1837"/>
      <c r="CK81" s="1838"/>
      <c r="CL81" s="1839"/>
      <c r="CM81" s="1840"/>
      <c r="CN81" s="1837"/>
      <c r="CO81" s="1838"/>
      <c r="CP81" s="1837"/>
      <c r="CQ81" s="1838"/>
      <c r="CR81" s="1839"/>
      <c r="CS81" s="1840"/>
      <c r="CT81" s="1837"/>
      <c r="CU81" s="1838"/>
      <c r="CV81" s="1837"/>
      <c r="CW81" s="1838"/>
      <c r="CX81" s="1839"/>
      <c r="CY81" s="1840"/>
      <c r="CZ81" s="1837"/>
      <c r="DA81" s="1838"/>
      <c r="DB81" s="1837"/>
      <c r="DC81" s="1838"/>
      <c r="DD81" s="1839"/>
      <c r="DE81" s="1840"/>
      <c r="DF81" s="1837"/>
      <c r="DG81" s="1838"/>
      <c r="DH81" s="1837"/>
      <c r="DI81" s="1838"/>
      <c r="DJ81" s="1839"/>
      <c r="DK81" s="1840"/>
      <c r="DL81" s="1837"/>
      <c r="DM81" s="1838"/>
      <c r="DN81" s="1837"/>
      <c r="DO81" s="1838"/>
      <c r="DP81" s="1837"/>
      <c r="DQ81" s="1853"/>
      <c r="DR81" s="1837"/>
      <c r="DS81" s="1838"/>
      <c r="DT81" s="1842"/>
      <c r="DU81" s="1837"/>
      <c r="DV81" s="1839"/>
      <c r="DW81" s="1840"/>
      <c r="DX81" s="1837"/>
      <c r="DY81" s="1838"/>
      <c r="DZ81" s="1837"/>
      <c r="EA81" s="1838"/>
      <c r="EB81" s="1839"/>
      <c r="EC81" s="1840"/>
      <c r="ED81" s="1837"/>
      <c r="EE81" s="1838"/>
      <c r="EF81" s="1837"/>
      <c r="EG81" s="1838"/>
      <c r="EH81" s="1839"/>
      <c r="EI81" s="1840"/>
      <c r="EJ81" s="1837"/>
      <c r="EK81" s="1838"/>
      <c r="EL81" s="1837"/>
      <c r="EM81" s="1838"/>
      <c r="EN81" s="1839"/>
      <c r="EO81" s="1840"/>
      <c r="EP81" s="1837"/>
      <c r="EQ81" s="1838"/>
      <c r="ER81" s="1837"/>
      <c r="ES81" s="1838"/>
      <c r="ET81" s="1839"/>
      <c r="EU81" s="1840"/>
      <c r="EV81" s="1837"/>
      <c r="EW81" s="1838"/>
      <c r="EX81" s="1837"/>
      <c r="EY81" s="1838"/>
      <c r="EZ81" s="1839"/>
      <c r="FA81" s="1840"/>
      <c r="FB81" s="1837"/>
      <c r="FC81" s="1838"/>
      <c r="FD81" s="1837"/>
      <c r="FE81" s="1838"/>
      <c r="FF81" s="1839"/>
      <c r="FG81" s="1840"/>
      <c r="FH81" s="1837"/>
      <c r="FI81" s="1838"/>
      <c r="FJ81" s="1837"/>
      <c r="FK81" s="1838"/>
      <c r="FL81" s="1839"/>
      <c r="FM81" s="1840"/>
      <c r="FN81" s="1837"/>
      <c r="FO81" s="1838"/>
      <c r="FP81" s="1837"/>
      <c r="FQ81" s="1838"/>
      <c r="FR81" s="1839"/>
      <c r="FS81" s="1840"/>
      <c r="FT81" s="1837"/>
      <c r="FU81" s="1838"/>
      <c r="FV81" s="1837"/>
      <c r="FW81" s="1838"/>
      <c r="FX81" s="1839"/>
      <c r="FY81" s="1840"/>
      <c r="FZ81" s="1837"/>
      <c r="GA81" s="1838"/>
      <c r="GB81" s="1837"/>
      <c r="GC81" s="1838"/>
      <c r="GD81" s="1839"/>
      <c r="GE81" s="1840"/>
      <c r="GF81" s="1837"/>
      <c r="GG81" s="1838"/>
      <c r="GH81" s="1837"/>
      <c r="GI81" s="1838"/>
      <c r="GJ81" s="1839"/>
      <c r="GK81" s="1840"/>
      <c r="GL81" s="1837"/>
      <c r="GM81" s="1838"/>
      <c r="GN81" s="1837"/>
      <c r="GO81" s="1838"/>
      <c r="GP81" s="1839"/>
    </row>
    <row r="82" spans="1:198" ht="20.100000000000001" hidden="1" customHeight="1" outlineLevel="1" collapsed="1">
      <c r="A82" s="2709"/>
      <c r="B82" s="2612"/>
      <c r="C82" s="1836"/>
      <c r="D82" s="2614" t="str">
        <f>実績!C1147&amp;"("&amp;SUBSTITUTE(実績!R1147&amp;")"," 株式会社","")</f>
        <v>房州CCクラブハウス(飛島建設)</v>
      </c>
      <c r="E82" s="2615"/>
      <c r="F82" s="2615"/>
      <c r="G82" s="2615"/>
      <c r="H82" s="2615"/>
      <c r="I82" s="2615"/>
      <c r="J82" s="2615"/>
      <c r="K82" s="2615"/>
      <c r="L82" s="2615"/>
      <c r="M82" s="2615"/>
      <c r="N82" s="2615"/>
      <c r="O82" s="2615"/>
      <c r="P82" s="2615"/>
      <c r="Q82" s="2616"/>
      <c r="R82" s="1969"/>
      <c r="S82" s="1837"/>
      <c r="T82" s="1837"/>
      <c r="U82" s="1838"/>
      <c r="V82" s="1837"/>
      <c r="W82" s="1838"/>
      <c r="X82" s="1839"/>
      <c r="Y82" s="1837"/>
      <c r="Z82" s="1837"/>
      <c r="AA82" s="1838"/>
      <c r="AB82" s="1837"/>
      <c r="AC82" s="1838"/>
      <c r="AD82" s="1837"/>
      <c r="AE82" s="1840" t="s">
        <v>8352</v>
      </c>
      <c r="AF82" s="1837"/>
      <c r="AG82" s="1838"/>
      <c r="AH82" s="1837"/>
      <c r="AI82" s="1838"/>
      <c r="AJ82" s="1839"/>
      <c r="AK82" s="1837"/>
      <c r="AL82" s="1837"/>
      <c r="AM82" s="1838" t="s">
        <v>8250</v>
      </c>
      <c r="AN82" s="1837"/>
      <c r="AO82" s="1838"/>
      <c r="AP82" s="1837"/>
      <c r="AQ82" s="1841"/>
      <c r="AR82" s="1837"/>
      <c r="AS82" s="1838"/>
      <c r="AT82" s="1837"/>
      <c r="AU82" s="1838"/>
      <c r="AV82" s="1839"/>
      <c r="AW82" s="1840"/>
      <c r="AX82" s="1837"/>
      <c r="AY82" s="1838"/>
      <c r="AZ82" s="1837"/>
      <c r="BA82" s="1838"/>
      <c r="BB82" s="1839"/>
      <c r="BC82" s="1837"/>
      <c r="BD82" s="1837"/>
      <c r="BE82" s="1838"/>
      <c r="BF82" s="1837"/>
      <c r="BG82" s="1838"/>
      <c r="BH82" s="1837"/>
      <c r="BI82" s="1840"/>
      <c r="BJ82" s="1837"/>
      <c r="BK82" s="1838"/>
      <c r="BL82" s="1837"/>
      <c r="BM82" s="1838"/>
      <c r="BN82" s="1839"/>
      <c r="BO82" s="1840"/>
      <c r="BP82" s="1837"/>
      <c r="BQ82" s="1838"/>
      <c r="BR82" s="1837"/>
      <c r="BS82" s="1838"/>
      <c r="BT82" s="1839"/>
      <c r="BU82" s="1840"/>
      <c r="BV82" s="1837"/>
      <c r="BW82" s="1838"/>
      <c r="BX82" s="1837"/>
      <c r="BY82" s="1838"/>
      <c r="BZ82" s="1839"/>
      <c r="CA82" s="1840"/>
      <c r="CB82" s="1837"/>
      <c r="CC82" s="1838"/>
      <c r="CD82" s="1837"/>
      <c r="CE82" s="1838"/>
      <c r="CF82" s="1839"/>
      <c r="CG82" s="1840"/>
      <c r="CH82" s="1837"/>
      <c r="CI82" s="1838"/>
      <c r="CJ82" s="1837"/>
      <c r="CK82" s="1838"/>
      <c r="CL82" s="1839"/>
      <c r="CM82" s="1840"/>
      <c r="CN82" s="1837"/>
      <c r="CO82" s="1838"/>
      <c r="CP82" s="1837"/>
      <c r="CQ82" s="1838"/>
      <c r="CR82" s="1839"/>
      <c r="CS82" s="1840"/>
      <c r="CT82" s="1837"/>
      <c r="CU82" s="1838"/>
      <c r="CV82" s="1837"/>
      <c r="CW82" s="1838"/>
      <c r="CX82" s="1839"/>
      <c r="CY82" s="1840"/>
      <c r="CZ82" s="1837"/>
      <c r="DA82" s="1838"/>
      <c r="DB82" s="1837"/>
      <c r="DC82" s="1838"/>
      <c r="DD82" s="1839"/>
      <c r="DE82" s="1840"/>
      <c r="DF82" s="1837"/>
      <c r="DG82" s="1838"/>
      <c r="DH82" s="1837"/>
      <c r="DI82" s="1838"/>
      <c r="DJ82" s="1839"/>
      <c r="DK82" s="1840"/>
      <c r="DL82" s="1837"/>
      <c r="DM82" s="1838"/>
      <c r="DN82" s="1837"/>
      <c r="DO82" s="1838"/>
      <c r="DP82" s="1837"/>
      <c r="DQ82" s="1853"/>
      <c r="DR82" s="1837"/>
      <c r="DS82" s="1838"/>
      <c r="DT82" s="1842"/>
      <c r="DU82" s="1837"/>
      <c r="DV82" s="1839"/>
      <c r="DW82" s="1840"/>
      <c r="DX82" s="1837"/>
      <c r="DY82" s="1838"/>
      <c r="DZ82" s="1837"/>
      <c r="EA82" s="1838"/>
      <c r="EB82" s="1839"/>
      <c r="EC82" s="1840"/>
      <c r="ED82" s="1837"/>
      <c r="EE82" s="1838"/>
      <c r="EF82" s="1837"/>
      <c r="EG82" s="1838"/>
      <c r="EH82" s="1839"/>
      <c r="EI82" s="1840"/>
      <c r="EJ82" s="1837"/>
      <c r="EK82" s="1838"/>
      <c r="EL82" s="1837"/>
      <c r="EM82" s="1838"/>
      <c r="EN82" s="1839"/>
      <c r="EO82" s="1840"/>
      <c r="EP82" s="1837"/>
      <c r="EQ82" s="1838"/>
      <c r="ER82" s="1837"/>
      <c r="ES82" s="1838"/>
      <c r="ET82" s="1839"/>
      <c r="EU82" s="1840"/>
      <c r="EV82" s="1837"/>
      <c r="EW82" s="1838"/>
      <c r="EX82" s="1837"/>
      <c r="EY82" s="1838"/>
      <c r="EZ82" s="1839"/>
      <c r="FA82" s="1840"/>
      <c r="FB82" s="1837"/>
      <c r="FC82" s="1838"/>
      <c r="FD82" s="1837"/>
      <c r="FE82" s="1838"/>
      <c r="FF82" s="1839"/>
      <c r="FG82" s="1840"/>
      <c r="FH82" s="1837"/>
      <c r="FI82" s="1838"/>
      <c r="FJ82" s="1837"/>
      <c r="FK82" s="1838"/>
      <c r="FL82" s="1839"/>
      <c r="FM82" s="1840"/>
      <c r="FN82" s="1837"/>
      <c r="FO82" s="1838"/>
      <c r="FP82" s="1837"/>
      <c r="FQ82" s="1838"/>
      <c r="FR82" s="1839"/>
      <c r="FS82" s="1840"/>
      <c r="FT82" s="1837"/>
      <c r="FU82" s="1838"/>
      <c r="FV82" s="1837"/>
      <c r="FW82" s="1838"/>
      <c r="FX82" s="1839"/>
      <c r="FY82" s="1840"/>
      <c r="FZ82" s="1837"/>
      <c r="GA82" s="1838"/>
      <c r="GB82" s="1837"/>
      <c r="GC82" s="1838"/>
      <c r="GD82" s="1839"/>
      <c r="GE82" s="1840"/>
      <c r="GF82" s="1837"/>
      <c r="GG82" s="1838"/>
      <c r="GH82" s="1837"/>
      <c r="GI82" s="1838"/>
      <c r="GJ82" s="1839"/>
      <c r="GK82" s="1840"/>
      <c r="GL82" s="1837"/>
      <c r="GM82" s="1838"/>
      <c r="GN82" s="1837"/>
      <c r="GO82" s="1838"/>
      <c r="GP82" s="1839"/>
    </row>
    <row r="83" spans="1:198" ht="20.100000000000001" hidden="1" customHeight="1" outlineLevel="1" collapsed="1">
      <c r="A83" s="2709"/>
      <c r="B83" s="2612"/>
      <c r="C83" s="1836"/>
      <c r="D83" s="2614" t="str">
        <f>実績!C1154&amp;"("&amp;SUBSTITUTE(実績!R1154&amp;")"," 株式会社","")</f>
        <v>株式会社 十勝大福本舗 東京工場 事務所棟(JFEコンフォーム)</v>
      </c>
      <c r="E83" s="2615"/>
      <c r="F83" s="2615"/>
      <c r="G83" s="2615"/>
      <c r="H83" s="2615"/>
      <c r="I83" s="2615"/>
      <c r="J83" s="2615"/>
      <c r="K83" s="2615"/>
      <c r="L83" s="2615"/>
      <c r="M83" s="2615"/>
      <c r="N83" s="2615"/>
      <c r="O83" s="2615"/>
      <c r="P83" s="2615"/>
      <c r="Q83" s="2616"/>
      <c r="R83" s="1969"/>
      <c r="S83" s="1837"/>
      <c r="T83" s="1837"/>
      <c r="U83" s="1838"/>
      <c r="V83" s="1837"/>
      <c r="W83" s="1838"/>
      <c r="X83" s="1839"/>
      <c r="Y83" s="1837"/>
      <c r="Z83" s="1837"/>
      <c r="AA83" s="1838"/>
      <c r="AB83" s="1837"/>
      <c r="AC83" s="1838"/>
      <c r="AD83" s="1837"/>
      <c r="AE83" s="1840"/>
      <c r="AF83" s="1837"/>
      <c r="AG83" s="1838"/>
      <c r="AH83" s="1837"/>
      <c r="AI83" s="1837" t="s">
        <v>8250</v>
      </c>
      <c r="AJ83" s="1839"/>
      <c r="AK83" s="1837"/>
      <c r="AL83" s="1837"/>
      <c r="AM83" s="1838"/>
      <c r="AN83" s="1837"/>
      <c r="AO83" s="1838"/>
      <c r="AP83" s="1837"/>
      <c r="AQ83" s="1841"/>
      <c r="AR83" s="1837"/>
      <c r="AS83" s="1838"/>
      <c r="AT83" s="1837"/>
      <c r="AU83" s="1838"/>
      <c r="AV83" s="1839"/>
      <c r="AW83" s="1840"/>
      <c r="AX83" s="1837"/>
      <c r="AY83" s="1838"/>
      <c r="AZ83" s="1837"/>
      <c r="BA83" s="1838"/>
      <c r="BB83" s="1839"/>
      <c r="BC83" s="1837"/>
      <c r="BD83" s="1837"/>
      <c r="BE83" s="1838"/>
      <c r="BF83" s="1837"/>
      <c r="BG83" s="1838"/>
      <c r="BH83" s="1837"/>
      <c r="BI83" s="1840"/>
      <c r="BJ83" s="1837"/>
      <c r="BK83" s="1838"/>
      <c r="BL83" s="1837"/>
      <c r="BM83" s="1838"/>
      <c r="BN83" s="1839"/>
      <c r="BO83" s="1840"/>
      <c r="BP83" s="1837"/>
      <c r="BQ83" s="1838"/>
      <c r="BR83" s="1837"/>
      <c r="BS83" s="1838"/>
      <c r="BT83" s="1839"/>
      <c r="BU83" s="1840"/>
      <c r="BV83" s="1837"/>
      <c r="BW83" s="1838"/>
      <c r="BX83" s="1837"/>
      <c r="BY83" s="1838"/>
      <c r="BZ83" s="1839"/>
      <c r="CA83" s="1840"/>
      <c r="CB83" s="1837"/>
      <c r="CC83" s="1838"/>
      <c r="CD83" s="1837"/>
      <c r="CE83" s="1838"/>
      <c r="CF83" s="1839"/>
      <c r="CG83" s="1840"/>
      <c r="CH83" s="1837"/>
      <c r="CI83" s="1838"/>
      <c r="CJ83" s="1837"/>
      <c r="CK83" s="1838"/>
      <c r="CL83" s="1839"/>
      <c r="CM83" s="1840"/>
      <c r="CN83" s="1837"/>
      <c r="CO83" s="1838"/>
      <c r="CP83" s="1837"/>
      <c r="CQ83" s="1838"/>
      <c r="CR83" s="1839"/>
      <c r="CS83" s="1840"/>
      <c r="CT83" s="1837"/>
      <c r="CU83" s="1838"/>
      <c r="CV83" s="1837"/>
      <c r="CW83" s="1838"/>
      <c r="CX83" s="1839"/>
      <c r="CY83" s="1840"/>
      <c r="CZ83" s="1837"/>
      <c r="DA83" s="1838"/>
      <c r="DB83" s="1837"/>
      <c r="DC83" s="1838"/>
      <c r="DD83" s="1839"/>
      <c r="DE83" s="1840"/>
      <c r="DF83" s="1837"/>
      <c r="DG83" s="1838"/>
      <c r="DH83" s="1837"/>
      <c r="DI83" s="1838"/>
      <c r="DJ83" s="1839"/>
      <c r="DK83" s="1840"/>
      <c r="DL83" s="1837"/>
      <c r="DM83" s="1838"/>
      <c r="DN83" s="1837"/>
      <c r="DO83" s="1838"/>
      <c r="DP83" s="1837"/>
      <c r="DQ83" s="1853"/>
      <c r="DR83" s="1837"/>
      <c r="DS83" s="1838"/>
      <c r="DT83" s="1842"/>
      <c r="DU83" s="1837"/>
      <c r="DV83" s="1839"/>
      <c r="DW83" s="1840"/>
      <c r="DX83" s="1837"/>
      <c r="DY83" s="1838"/>
      <c r="DZ83" s="1837"/>
      <c r="EA83" s="1838"/>
      <c r="EB83" s="1839"/>
      <c r="EC83" s="1840"/>
      <c r="ED83" s="1837"/>
      <c r="EE83" s="1838"/>
      <c r="EF83" s="1837"/>
      <c r="EG83" s="1838"/>
      <c r="EH83" s="1839"/>
      <c r="EI83" s="1840"/>
      <c r="EJ83" s="1837"/>
      <c r="EK83" s="1838"/>
      <c r="EL83" s="1837"/>
      <c r="EM83" s="1838"/>
      <c r="EN83" s="1839"/>
      <c r="EO83" s="1840"/>
      <c r="EP83" s="1837"/>
      <c r="EQ83" s="1838"/>
      <c r="ER83" s="1837"/>
      <c r="ES83" s="1838"/>
      <c r="ET83" s="1839"/>
      <c r="EU83" s="1840"/>
      <c r="EV83" s="1837"/>
      <c r="EW83" s="1838"/>
      <c r="EX83" s="1837"/>
      <c r="EY83" s="1838"/>
      <c r="EZ83" s="1839"/>
      <c r="FA83" s="1840"/>
      <c r="FB83" s="1837"/>
      <c r="FC83" s="1838"/>
      <c r="FD83" s="1837"/>
      <c r="FE83" s="1838"/>
      <c r="FF83" s="1839"/>
      <c r="FG83" s="1840"/>
      <c r="FH83" s="1837"/>
      <c r="FI83" s="1838"/>
      <c r="FJ83" s="1837"/>
      <c r="FK83" s="1838"/>
      <c r="FL83" s="1839"/>
      <c r="FM83" s="1840"/>
      <c r="FN83" s="1837"/>
      <c r="FO83" s="1838"/>
      <c r="FP83" s="1837"/>
      <c r="FQ83" s="1838"/>
      <c r="FR83" s="1839"/>
      <c r="FS83" s="1840"/>
      <c r="FT83" s="1837"/>
      <c r="FU83" s="1838"/>
      <c r="FV83" s="1837"/>
      <c r="FW83" s="1838"/>
      <c r="FX83" s="1839"/>
      <c r="FY83" s="1840"/>
      <c r="FZ83" s="1837"/>
      <c r="GA83" s="1838"/>
      <c r="GB83" s="1837"/>
      <c r="GC83" s="1838"/>
      <c r="GD83" s="1839"/>
      <c r="GE83" s="1840"/>
      <c r="GF83" s="1837"/>
      <c r="GG83" s="1838"/>
      <c r="GH83" s="1837"/>
      <c r="GI83" s="1838"/>
      <c r="GJ83" s="1839"/>
      <c r="GK83" s="1840"/>
      <c r="GL83" s="1837"/>
      <c r="GM83" s="1838"/>
      <c r="GN83" s="1837"/>
      <c r="GO83" s="1838"/>
      <c r="GP83" s="1839"/>
    </row>
    <row r="84" spans="1:198" ht="20.100000000000001" hidden="1" customHeight="1" outlineLevel="1">
      <c r="A84" s="2709"/>
      <c r="B84" s="2612"/>
      <c r="C84" s="1836"/>
      <c r="D84" s="2614" t="str">
        <f>実績!C1144&amp;"("&amp;SUBSTITUTE(実績!R1144&amp;")","有限会社 ","")</f>
        <v>やまみ富士山麓工場(梶原建築設計事務所)</v>
      </c>
      <c r="E84" s="2615"/>
      <c r="F84" s="2615"/>
      <c r="G84" s="2615"/>
      <c r="H84" s="2615"/>
      <c r="I84" s="2615"/>
      <c r="J84" s="2615"/>
      <c r="K84" s="2615"/>
      <c r="L84" s="2615"/>
      <c r="M84" s="2615"/>
      <c r="N84" s="2615"/>
      <c r="O84" s="2615"/>
      <c r="P84" s="2615"/>
      <c r="Q84" s="2616"/>
      <c r="R84" s="1969"/>
      <c r="S84" s="1837"/>
      <c r="T84" s="1837"/>
      <c r="U84" s="1838"/>
      <c r="V84" s="1837"/>
      <c r="W84" s="1838"/>
      <c r="X84" s="1839"/>
      <c r="Y84" s="1837"/>
      <c r="Z84" s="1837"/>
      <c r="AA84" s="1838"/>
      <c r="AB84" s="1837"/>
      <c r="AC84" s="1838"/>
      <c r="AD84" s="1837"/>
      <c r="AE84" s="1840"/>
      <c r="AF84" s="1837"/>
      <c r="AG84" s="1838"/>
      <c r="AH84" s="1837"/>
      <c r="AI84" s="1838"/>
      <c r="AJ84" s="1839"/>
      <c r="AK84" s="1837"/>
      <c r="AL84" s="1837"/>
      <c r="AM84" s="1838"/>
      <c r="AN84" s="1837"/>
      <c r="AO84" s="1838"/>
      <c r="AP84" s="1837"/>
      <c r="AQ84" s="1841" t="s">
        <v>8145</v>
      </c>
      <c r="AR84" s="1837"/>
      <c r="AS84" s="1838"/>
      <c r="AT84" s="1837"/>
      <c r="AU84" s="1838"/>
      <c r="AV84" s="1839"/>
      <c r="AW84" s="1840"/>
      <c r="AX84" s="1837"/>
      <c r="AY84" s="1838"/>
      <c r="AZ84" s="1837"/>
      <c r="BA84" s="1838"/>
      <c r="BB84" s="1839"/>
      <c r="BC84" s="1837"/>
      <c r="BD84" s="1837"/>
      <c r="BE84" s="1838"/>
      <c r="BF84" s="1837"/>
      <c r="BG84" s="1838"/>
      <c r="BH84" s="1837"/>
      <c r="BI84" s="1840"/>
      <c r="BJ84" s="1837"/>
      <c r="BK84" s="1838"/>
      <c r="BL84" s="1837"/>
      <c r="BM84" s="1838"/>
      <c r="BN84" s="1839"/>
      <c r="BO84" s="1840"/>
      <c r="BP84" s="1837"/>
      <c r="BQ84" s="1838"/>
      <c r="BR84" s="1837"/>
      <c r="BS84" s="1838"/>
      <c r="BT84" s="1839"/>
      <c r="BU84" s="1840"/>
      <c r="BV84" s="1837"/>
      <c r="BW84" s="1838"/>
      <c r="BX84" s="1837"/>
      <c r="BY84" s="1838"/>
      <c r="BZ84" s="1839"/>
      <c r="CA84" s="1840"/>
      <c r="CB84" s="1837"/>
      <c r="CC84" s="1838"/>
      <c r="CD84" s="1837"/>
      <c r="CE84" s="1838"/>
      <c r="CF84" s="1839"/>
      <c r="CG84" s="1840"/>
      <c r="CH84" s="1837"/>
      <c r="CI84" s="1838"/>
      <c r="CJ84" s="1837"/>
      <c r="CK84" s="1838"/>
      <c r="CL84" s="1839"/>
      <c r="CM84" s="1840"/>
      <c r="CN84" s="1837"/>
      <c r="CO84" s="1838"/>
      <c r="CP84" s="1837"/>
      <c r="CQ84" s="1838"/>
      <c r="CR84" s="1839"/>
      <c r="CS84" s="1840"/>
      <c r="CT84" s="1837"/>
      <c r="CU84" s="1838"/>
      <c r="CV84" s="1837"/>
      <c r="CW84" s="1838"/>
      <c r="CX84" s="1839"/>
      <c r="CY84" s="1840"/>
      <c r="CZ84" s="1837"/>
      <c r="DA84" s="1838"/>
      <c r="DB84" s="1837"/>
      <c r="DC84" s="1838"/>
      <c r="DD84" s="1839"/>
      <c r="DE84" s="1840"/>
      <c r="DF84" s="1837"/>
      <c r="DG84" s="1838"/>
      <c r="DH84" s="1837"/>
      <c r="DI84" s="1838"/>
      <c r="DJ84" s="1839"/>
      <c r="DK84" s="1840"/>
      <c r="DL84" s="1837"/>
      <c r="DM84" s="1838"/>
      <c r="DN84" s="1837"/>
      <c r="DO84" s="1838"/>
      <c r="DP84" s="1837"/>
      <c r="DQ84" s="1853"/>
      <c r="DR84" s="1837"/>
      <c r="DS84" s="1838"/>
      <c r="DT84" s="1842"/>
      <c r="DU84" s="1837"/>
      <c r="DV84" s="1839"/>
      <c r="DW84" s="1840"/>
      <c r="DX84" s="1837"/>
      <c r="DY84" s="1838"/>
      <c r="DZ84" s="1837"/>
      <c r="EA84" s="1838"/>
      <c r="EB84" s="1839"/>
      <c r="EC84" s="1840"/>
      <c r="ED84" s="1837"/>
      <c r="EE84" s="1838"/>
      <c r="EF84" s="1837"/>
      <c r="EG84" s="1838"/>
      <c r="EH84" s="1839"/>
      <c r="EI84" s="1840"/>
      <c r="EJ84" s="1837"/>
      <c r="EK84" s="1838"/>
      <c r="EL84" s="1837"/>
      <c r="EM84" s="1838"/>
      <c r="EN84" s="1839"/>
      <c r="EO84" s="1840"/>
      <c r="EP84" s="1837"/>
      <c r="EQ84" s="1838"/>
      <c r="ER84" s="1837"/>
      <c r="ES84" s="1838"/>
      <c r="ET84" s="1839"/>
      <c r="EU84" s="1840"/>
      <c r="EV84" s="1837"/>
      <c r="EW84" s="1838"/>
      <c r="EX84" s="1837"/>
      <c r="EY84" s="1838"/>
      <c r="EZ84" s="1839"/>
      <c r="FA84" s="1840"/>
      <c r="FB84" s="1837"/>
      <c r="FC84" s="1838"/>
      <c r="FD84" s="1837"/>
      <c r="FE84" s="1838"/>
      <c r="FF84" s="1839"/>
      <c r="FG84" s="1840"/>
      <c r="FH84" s="1837"/>
      <c r="FI84" s="1838"/>
      <c r="FJ84" s="1837"/>
      <c r="FK84" s="1838"/>
      <c r="FL84" s="1839"/>
      <c r="FM84" s="1840"/>
      <c r="FN84" s="1837"/>
      <c r="FO84" s="1838"/>
      <c r="FP84" s="1837"/>
      <c r="FQ84" s="1838"/>
      <c r="FR84" s="1839"/>
      <c r="FS84" s="1840"/>
      <c r="FT84" s="1837"/>
      <c r="FU84" s="1838"/>
      <c r="FV84" s="1837"/>
      <c r="FW84" s="1838"/>
      <c r="FX84" s="1839"/>
      <c r="FY84" s="1840"/>
      <c r="FZ84" s="1837"/>
      <c r="GA84" s="1838"/>
      <c r="GB84" s="1837"/>
      <c r="GC84" s="1838"/>
      <c r="GD84" s="1839"/>
      <c r="GE84" s="1840"/>
      <c r="GF84" s="1837"/>
      <c r="GG84" s="1838"/>
      <c r="GH84" s="1837"/>
      <c r="GI84" s="1838"/>
      <c r="GJ84" s="1839"/>
      <c r="GK84" s="1840"/>
      <c r="GL84" s="1837"/>
      <c r="GM84" s="1838"/>
      <c r="GN84" s="1837"/>
      <c r="GO84" s="1838"/>
      <c r="GP84" s="1839"/>
    </row>
    <row r="85" spans="1:198" ht="20.100000000000001" hidden="1" customHeight="1" outlineLevel="1">
      <c r="A85" s="2709"/>
      <c r="B85" s="2612"/>
      <c r="C85" s="1836"/>
      <c r="D85" s="2614" t="str">
        <f>実績!C1157&amp;"("&amp;SUBSTITUTE(実績!R1157&amp;")","一級建築士事務所 ","")</f>
        <v>太平洋ｾﾒﾝﾄ和歌山SS倉庫(想建築工房)</v>
      </c>
      <c r="E85" s="2615"/>
      <c r="F85" s="2615"/>
      <c r="G85" s="2615"/>
      <c r="H85" s="2615"/>
      <c r="I85" s="2615"/>
      <c r="J85" s="2615"/>
      <c r="K85" s="2615"/>
      <c r="L85" s="2615"/>
      <c r="M85" s="2615"/>
      <c r="N85" s="2615"/>
      <c r="O85" s="2615"/>
      <c r="P85" s="2615"/>
      <c r="Q85" s="2616"/>
      <c r="R85" s="1969"/>
      <c r="S85" s="1837"/>
      <c r="T85" s="1837"/>
      <c r="U85" s="1838"/>
      <c r="V85" s="1837"/>
      <c r="W85" s="1838"/>
      <c r="X85" s="1839"/>
      <c r="Y85" s="1837"/>
      <c r="Z85" s="1837"/>
      <c r="AA85" s="1838"/>
      <c r="AB85" s="1837"/>
      <c r="AC85" s="1838"/>
      <c r="AD85" s="1837"/>
      <c r="AE85" s="1840"/>
      <c r="AF85" s="1837"/>
      <c r="AG85" s="1838"/>
      <c r="AH85" s="1837"/>
      <c r="AI85" s="1838"/>
      <c r="AJ85" s="1839"/>
      <c r="AK85" s="1837"/>
      <c r="AL85" s="1837"/>
      <c r="AM85" s="1838" t="s">
        <v>8250</v>
      </c>
      <c r="AN85" s="1837"/>
      <c r="AO85" s="1838"/>
      <c r="AP85" s="1837"/>
      <c r="AQ85" s="1841" t="s">
        <v>8283</v>
      </c>
      <c r="AR85" s="1837"/>
      <c r="AS85" s="1838"/>
      <c r="AT85" s="1837"/>
      <c r="AU85" s="1838"/>
      <c r="AV85" s="1839"/>
      <c r="AW85" s="1840"/>
      <c r="AX85" s="1837"/>
      <c r="AY85" s="1838"/>
      <c r="AZ85" s="1837"/>
      <c r="BA85" s="1838"/>
      <c r="BB85" s="1839"/>
      <c r="BC85" s="1837"/>
      <c r="BD85" s="1837"/>
      <c r="BE85" s="1838"/>
      <c r="BF85" s="1837"/>
      <c r="BG85" s="1838"/>
      <c r="BH85" s="1837"/>
      <c r="BI85" s="1840"/>
      <c r="BJ85" s="1837"/>
      <c r="BK85" s="1838"/>
      <c r="BL85" s="1837"/>
      <c r="BM85" s="1838"/>
      <c r="BN85" s="1839"/>
      <c r="BO85" s="1840"/>
      <c r="BP85" s="1837"/>
      <c r="BQ85" s="1838"/>
      <c r="BR85" s="1837"/>
      <c r="BS85" s="1838"/>
      <c r="BT85" s="1839"/>
      <c r="BU85" s="1840"/>
      <c r="BV85" s="1837"/>
      <c r="BW85" s="1838"/>
      <c r="BX85" s="1837"/>
      <c r="BY85" s="1838"/>
      <c r="BZ85" s="1839"/>
      <c r="CA85" s="1840"/>
      <c r="CB85" s="1837"/>
      <c r="CC85" s="1838"/>
      <c r="CD85" s="1837"/>
      <c r="CE85" s="1838"/>
      <c r="CF85" s="1839"/>
      <c r="CG85" s="1840"/>
      <c r="CH85" s="1837"/>
      <c r="CI85" s="1838"/>
      <c r="CJ85" s="1837"/>
      <c r="CK85" s="1838"/>
      <c r="CL85" s="1839"/>
      <c r="CM85" s="1840"/>
      <c r="CN85" s="1837"/>
      <c r="CO85" s="1838"/>
      <c r="CP85" s="1837"/>
      <c r="CQ85" s="1838"/>
      <c r="CR85" s="1839"/>
      <c r="CS85" s="1840"/>
      <c r="CT85" s="1837"/>
      <c r="CU85" s="1838"/>
      <c r="CV85" s="1837"/>
      <c r="CW85" s="1838"/>
      <c r="CX85" s="1839"/>
      <c r="CY85" s="1840"/>
      <c r="CZ85" s="1837"/>
      <c r="DA85" s="1838"/>
      <c r="DB85" s="1837"/>
      <c r="DC85" s="1838"/>
      <c r="DD85" s="1839"/>
      <c r="DE85" s="1840"/>
      <c r="DF85" s="1837"/>
      <c r="DG85" s="1838"/>
      <c r="DH85" s="1837"/>
      <c r="DI85" s="1838"/>
      <c r="DJ85" s="1839"/>
      <c r="DK85" s="1840"/>
      <c r="DL85" s="1837"/>
      <c r="DM85" s="1838"/>
      <c r="DN85" s="1837"/>
      <c r="DO85" s="1838"/>
      <c r="DP85" s="1837"/>
      <c r="DQ85" s="1853"/>
      <c r="DR85" s="1837"/>
      <c r="DS85" s="1838"/>
      <c r="DT85" s="1842"/>
      <c r="DU85" s="1837"/>
      <c r="DV85" s="1839"/>
      <c r="DW85" s="1840"/>
      <c r="DX85" s="1837"/>
      <c r="DY85" s="1838"/>
      <c r="DZ85" s="1837"/>
      <c r="EA85" s="1838"/>
      <c r="EB85" s="1839"/>
      <c r="EC85" s="1840"/>
      <c r="ED85" s="1837"/>
      <c r="EE85" s="1838"/>
      <c r="EF85" s="1837"/>
      <c r="EG85" s="1838"/>
      <c r="EH85" s="1839"/>
      <c r="EI85" s="1840"/>
      <c r="EJ85" s="1837"/>
      <c r="EK85" s="1838"/>
      <c r="EL85" s="1837"/>
      <c r="EM85" s="1838"/>
      <c r="EN85" s="1839"/>
      <c r="EO85" s="1840"/>
      <c r="EP85" s="1837"/>
      <c r="EQ85" s="1838"/>
      <c r="ER85" s="1837"/>
      <c r="ES85" s="1838"/>
      <c r="ET85" s="1839"/>
      <c r="EU85" s="1840"/>
      <c r="EV85" s="1837"/>
      <c r="EW85" s="1838"/>
      <c r="EX85" s="1837"/>
      <c r="EY85" s="1838"/>
      <c r="EZ85" s="1839"/>
      <c r="FA85" s="1840"/>
      <c r="FB85" s="1837"/>
      <c r="FC85" s="1838"/>
      <c r="FD85" s="1837"/>
      <c r="FE85" s="1838"/>
      <c r="FF85" s="1839"/>
      <c r="FG85" s="1840"/>
      <c r="FH85" s="1837"/>
      <c r="FI85" s="1838"/>
      <c r="FJ85" s="1837"/>
      <c r="FK85" s="1838"/>
      <c r="FL85" s="1839"/>
      <c r="FM85" s="1840"/>
      <c r="FN85" s="1837"/>
      <c r="FO85" s="1838"/>
      <c r="FP85" s="1837"/>
      <c r="FQ85" s="1838"/>
      <c r="FR85" s="1839"/>
      <c r="FS85" s="1840"/>
      <c r="FT85" s="1837"/>
      <c r="FU85" s="1838"/>
      <c r="FV85" s="1837"/>
      <c r="FW85" s="1838"/>
      <c r="FX85" s="1839"/>
      <c r="FY85" s="1840"/>
      <c r="FZ85" s="1837"/>
      <c r="GA85" s="1838"/>
      <c r="GB85" s="1837"/>
      <c r="GC85" s="1838"/>
      <c r="GD85" s="1839"/>
      <c r="GE85" s="1840"/>
      <c r="GF85" s="1837"/>
      <c r="GG85" s="1838"/>
      <c r="GH85" s="1837"/>
      <c r="GI85" s="1838"/>
      <c r="GJ85" s="1839"/>
      <c r="GK85" s="1840"/>
      <c r="GL85" s="1837"/>
      <c r="GM85" s="1838"/>
      <c r="GN85" s="1837"/>
      <c r="GO85" s="1838"/>
      <c r="GP85" s="1839"/>
    </row>
    <row r="86" spans="1:198" ht="20.100000000000001" hidden="1" customHeight="1" outlineLevel="1">
      <c r="A86" s="2709"/>
      <c r="B86" s="2612"/>
      <c r="C86" s="1836"/>
      <c r="D86" s="2614" t="str">
        <f>実績!C1155&amp;"("&amp;SUBSTITUTE(実績!R1155&amp;")"," 株式会社","")</f>
        <v>㈱柳川合同 西蒲池センター(空間工房)</v>
      </c>
      <c r="E86" s="2615"/>
      <c r="F86" s="2615"/>
      <c r="G86" s="2615"/>
      <c r="H86" s="2615"/>
      <c r="I86" s="2615"/>
      <c r="J86" s="2615"/>
      <c r="K86" s="2615"/>
      <c r="L86" s="2615"/>
      <c r="M86" s="2615"/>
      <c r="N86" s="2615"/>
      <c r="O86" s="2615"/>
      <c r="P86" s="2615"/>
      <c r="Q86" s="2616"/>
      <c r="R86" s="1969"/>
      <c r="S86" s="1837"/>
      <c r="T86" s="1837"/>
      <c r="U86" s="1838"/>
      <c r="V86" s="1837"/>
      <c r="W86" s="1838"/>
      <c r="X86" s="1839"/>
      <c r="Y86" s="1837"/>
      <c r="Z86" s="1837"/>
      <c r="AA86" s="1838"/>
      <c r="AB86" s="1837"/>
      <c r="AC86" s="1838"/>
      <c r="AD86" s="1837"/>
      <c r="AE86" s="1840"/>
      <c r="AF86" s="1837"/>
      <c r="AG86" s="1838" t="s">
        <v>8403</v>
      </c>
      <c r="AH86" s="1837"/>
      <c r="AI86" s="1837"/>
      <c r="AJ86" s="1839"/>
      <c r="AK86" s="1837"/>
      <c r="AL86" s="1837"/>
      <c r="AM86" s="1838" t="s">
        <v>8250</v>
      </c>
      <c r="AN86" s="1837"/>
      <c r="AO86" s="1838"/>
      <c r="AP86" s="1837"/>
      <c r="AQ86" s="1841"/>
      <c r="AR86" s="1837"/>
      <c r="AS86" s="1838"/>
      <c r="AT86" s="1837"/>
      <c r="AU86" s="1838"/>
      <c r="AV86" s="1839"/>
      <c r="AW86" s="1840"/>
      <c r="AX86" s="1837"/>
      <c r="AY86" s="1838"/>
      <c r="AZ86" s="1837"/>
      <c r="BA86" s="1838"/>
      <c r="BB86" s="1839"/>
      <c r="BC86" s="1837"/>
      <c r="BD86" s="1837"/>
      <c r="BE86" s="1838"/>
      <c r="BF86" s="1837"/>
      <c r="BG86" s="1838"/>
      <c r="BH86" s="1837"/>
      <c r="BI86" s="1840"/>
      <c r="BJ86" s="1837"/>
      <c r="BK86" s="1838"/>
      <c r="BL86" s="1837"/>
      <c r="BM86" s="1838"/>
      <c r="BN86" s="1839"/>
      <c r="BO86" s="1840"/>
      <c r="BP86" s="1837"/>
      <c r="BQ86" s="1838"/>
      <c r="BR86" s="1837"/>
      <c r="BS86" s="1838"/>
      <c r="BT86" s="1839"/>
      <c r="BU86" s="1840"/>
      <c r="BV86" s="1837"/>
      <c r="BW86" s="1838"/>
      <c r="BX86" s="1837"/>
      <c r="BY86" s="1838"/>
      <c r="BZ86" s="1839"/>
      <c r="CA86" s="1840"/>
      <c r="CB86" s="1837"/>
      <c r="CC86" s="1838"/>
      <c r="CD86" s="1837"/>
      <c r="CE86" s="1838"/>
      <c r="CF86" s="1839"/>
      <c r="CG86" s="1840"/>
      <c r="CH86" s="1837"/>
      <c r="CI86" s="1838"/>
      <c r="CJ86" s="1837"/>
      <c r="CK86" s="1838"/>
      <c r="CL86" s="1839"/>
      <c r="CM86" s="1840"/>
      <c r="CN86" s="1837"/>
      <c r="CO86" s="1838"/>
      <c r="CP86" s="1837"/>
      <c r="CQ86" s="1838"/>
      <c r="CR86" s="1839"/>
      <c r="CS86" s="1840"/>
      <c r="CT86" s="1837"/>
      <c r="CU86" s="1838"/>
      <c r="CV86" s="1837"/>
      <c r="CW86" s="1838"/>
      <c r="CX86" s="1839"/>
      <c r="CY86" s="1840"/>
      <c r="CZ86" s="1837"/>
      <c r="DA86" s="1838"/>
      <c r="DB86" s="1837"/>
      <c r="DC86" s="1838"/>
      <c r="DD86" s="1839"/>
      <c r="DE86" s="1840"/>
      <c r="DF86" s="1837"/>
      <c r="DG86" s="1838"/>
      <c r="DH86" s="1837"/>
      <c r="DI86" s="1838"/>
      <c r="DJ86" s="1839"/>
      <c r="DK86" s="1840"/>
      <c r="DL86" s="1837"/>
      <c r="DM86" s="1838"/>
      <c r="DN86" s="1837"/>
      <c r="DO86" s="1838"/>
      <c r="DP86" s="1837"/>
      <c r="DQ86" s="1853"/>
      <c r="DR86" s="1837"/>
      <c r="DS86" s="1838"/>
      <c r="DT86" s="1842"/>
      <c r="DU86" s="1837"/>
      <c r="DV86" s="1839"/>
      <c r="DW86" s="1840"/>
      <c r="DX86" s="1837"/>
      <c r="DY86" s="1838"/>
      <c r="DZ86" s="1837"/>
      <c r="EA86" s="1838"/>
      <c r="EB86" s="1839"/>
      <c r="EC86" s="1840"/>
      <c r="ED86" s="1837"/>
      <c r="EE86" s="1838"/>
      <c r="EF86" s="1837"/>
      <c r="EG86" s="1838"/>
      <c r="EH86" s="1839"/>
      <c r="EI86" s="1840"/>
      <c r="EJ86" s="1837"/>
      <c r="EK86" s="1838"/>
      <c r="EL86" s="1837"/>
      <c r="EM86" s="1838"/>
      <c r="EN86" s="1839"/>
      <c r="EO86" s="1840"/>
      <c r="EP86" s="1837"/>
      <c r="EQ86" s="1838"/>
      <c r="ER86" s="1837"/>
      <c r="ES86" s="1838"/>
      <c r="ET86" s="1839"/>
      <c r="EU86" s="1840"/>
      <c r="EV86" s="1837"/>
      <c r="EW86" s="1838"/>
      <c r="EX86" s="1837"/>
      <c r="EY86" s="1838"/>
      <c r="EZ86" s="1839"/>
      <c r="FA86" s="1840"/>
      <c r="FB86" s="1837"/>
      <c r="FC86" s="1838"/>
      <c r="FD86" s="1837"/>
      <c r="FE86" s="1838"/>
      <c r="FF86" s="1839"/>
      <c r="FG86" s="1840"/>
      <c r="FH86" s="1837"/>
      <c r="FI86" s="1838"/>
      <c r="FJ86" s="1837"/>
      <c r="FK86" s="1838"/>
      <c r="FL86" s="1839"/>
      <c r="FM86" s="1840"/>
      <c r="FN86" s="1837"/>
      <c r="FO86" s="1838"/>
      <c r="FP86" s="1837"/>
      <c r="FQ86" s="1838"/>
      <c r="FR86" s="1839"/>
      <c r="FS86" s="1840"/>
      <c r="FT86" s="1837"/>
      <c r="FU86" s="1838"/>
      <c r="FV86" s="1837"/>
      <c r="FW86" s="1838"/>
      <c r="FX86" s="1839"/>
      <c r="FY86" s="1840"/>
      <c r="FZ86" s="1837"/>
      <c r="GA86" s="1838"/>
      <c r="GB86" s="1837"/>
      <c r="GC86" s="1838"/>
      <c r="GD86" s="1839"/>
      <c r="GE86" s="1840"/>
      <c r="GF86" s="1837"/>
      <c r="GG86" s="1838"/>
      <c r="GH86" s="1837"/>
      <c r="GI86" s="1838"/>
      <c r="GJ86" s="1839"/>
      <c r="GK86" s="1840"/>
      <c r="GL86" s="1837"/>
      <c r="GM86" s="1838"/>
      <c r="GN86" s="1837"/>
      <c r="GO86" s="1838"/>
      <c r="GP86" s="1839"/>
    </row>
    <row r="87" spans="1:198" ht="20.100000000000001" hidden="1" customHeight="1" outlineLevel="1">
      <c r="A87" s="2709"/>
      <c r="B87" s="2612"/>
      <c r="C87" s="1836"/>
      <c r="D87" s="2614" t="str">
        <f>実績!C1160&amp;"("&amp;SUBSTITUTE(実績!AB1160&amp;")"," 株式会社","")</f>
        <v>モダン・プロ 店舗(積水ハウス)</v>
      </c>
      <c r="E87" s="2615"/>
      <c r="F87" s="2615"/>
      <c r="G87" s="2615"/>
      <c r="H87" s="2615"/>
      <c r="I87" s="2615"/>
      <c r="J87" s="2615"/>
      <c r="K87" s="2615"/>
      <c r="L87" s="2615"/>
      <c r="M87" s="2615"/>
      <c r="N87" s="2615"/>
      <c r="O87" s="2615"/>
      <c r="P87" s="2615"/>
      <c r="Q87" s="2616"/>
      <c r="R87" s="1969"/>
      <c r="S87" s="1837"/>
      <c r="T87" s="1837"/>
      <c r="U87" s="1838"/>
      <c r="V87" s="1837"/>
      <c r="W87" s="1838"/>
      <c r="X87" s="1839"/>
      <c r="Y87" s="1837"/>
      <c r="Z87" s="1837"/>
      <c r="AA87" s="1838"/>
      <c r="AB87" s="1837"/>
      <c r="AC87" s="1838"/>
      <c r="AD87" s="1837"/>
      <c r="AE87" s="1840"/>
      <c r="AF87" s="1837"/>
      <c r="AG87" s="1838"/>
      <c r="AH87" s="1837"/>
      <c r="AI87" s="1838"/>
      <c r="AJ87" s="1839"/>
      <c r="AK87" s="1837"/>
      <c r="AL87" s="1837"/>
      <c r="AM87" s="1838" t="s">
        <v>8250</v>
      </c>
      <c r="AN87" s="1837"/>
      <c r="AO87" s="1838"/>
      <c r="AP87" s="1837"/>
      <c r="AQ87" s="1841"/>
      <c r="AR87" s="1837"/>
      <c r="AS87" s="1838"/>
      <c r="AT87" s="1842" t="s">
        <v>8145</v>
      </c>
      <c r="AU87" s="1838"/>
      <c r="AV87" s="1839"/>
      <c r="AW87" s="1840"/>
      <c r="AX87" s="1837"/>
      <c r="AY87" s="1838"/>
      <c r="AZ87" s="1837"/>
      <c r="BA87" s="1838"/>
      <c r="BB87" s="1839"/>
      <c r="BC87" s="1837"/>
      <c r="BD87" s="1837"/>
      <c r="BE87" s="1838"/>
      <c r="BF87" s="1837"/>
      <c r="BG87" s="1838"/>
      <c r="BH87" s="1837"/>
      <c r="BI87" s="1840"/>
      <c r="BJ87" s="1837"/>
      <c r="BK87" s="1838"/>
      <c r="BL87" s="1837"/>
      <c r="BM87" s="1838"/>
      <c r="BN87" s="1839"/>
      <c r="BO87" s="1840"/>
      <c r="BP87" s="1837"/>
      <c r="BQ87" s="1838"/>
      <c r="BR87" s="1837"/>
      <c r="BS87" s="1838"/>
      <c r="BT87" s="1839"/>
      <c r="BU87" s="1840"/>
      <c r="BV87" s="1837"/>
      <c r="BW87" s="1838"/>
      <c r="BX87" s="1837"/>
      <c r="BY87" s="1838"/>
      <c r="BZ87" s="1839"/>
      <c r="CA87" s="1840"/>
      <c r="CB87" s="1837"/>
      <c r="CC87" s="1838"/>
      <c r="CD87" s="1837"/>
      <c r="CE87" s="1838"/>
      <c r="CF87" s="1839"/>
      <c r="CG87" s="1840"/>
      <c r="CH87" s="1837"/>
      <c r="CI87" s="1838"/>
      <c r="CJ87" s="1837"/>
      <c r="CK87" s="1838"/>
      <c r="CL87" s="1839"/>
      <c r="CM87" s="1840"/>
      <c r="CN87" s="1837"/>
      <c r="CO87" s="1838"/>
      <c r="CP87" s="1837"/>
      <c r="CQ87" s="1838"/>
      <c r="CR87" s="1839"/>
      <c r="CS87" s="1840"/>
      <c r="CT87" s="1837"/>
      <c r="CU87" s="1838"/>
      <c r="CV87" s="1837"/>
      <c r="CW87" s="1838"/>
      <c r="CX87" s="1839"/>
      <c r="CY87" s="1840"/>
      <c r="CZ87" s="1837"/>
      <c r="DA87" s="1838"/>
      <c r="DB87" s="1837"/>
      <c r="DC87" s="1838"/>
      <c r="DD87" s="1839"/>
      <c r="DE87" s="1840"/>
      <c r="DF87" s="1837"/>
      <c r="DG87" s="1838"/>
      <c r="DH87" s="1837"/>
      <c r="DI87" s="1838"/>
      <c r="DJ87" s="1839"/>
      <c r="DK87" s="1840"/>
      <c r="DL87" s="1837"/>
      <c r="DM87" s="1838"/>
      <c r="DN87" s="1837"/>
      <c r="DO87" s="1838"/>
      <c r="DP87" s="1837"/>
      <c r="DQ87" s="1853"/>
      <c r="DR87" s="1837"/>
      <c r="DS87" s="1838"/>
      <c r="DT87" s="1842"/>
      <c r="DU87" s="1837"/>
      <c r="DV87" s="1839"/>
      <c r="DW87" s="1840"/>
      <c r="DX87" s="1837"/>
      <c r="DY87" s="1838"/>
      <c r="DZ87" s="1837"/>
      <c r="EA87" s="1838"/>
      <c r="EB87" s="1839"/>
      <c r="EC87" s="1840"/>
      <c r="ED87" s="1837"/>
      <c r="EE87" s="1838"/>
      <c r="EF87" s="1837"/>
      <c r="EG87" s="1838"/>
      <c r="EH87" s="1839"/>
      <c r="EI87" s="1840"/>
      <c r="EJ87" s="1837"/>
      <c r="EK87" s="1838"/>
      <c r="EL87" s="1837"/>
      <c r="EM87" s="1838"/>
      <c r="EN87" s="1839"/>
      <c r="EO87" s="1840"/>
      <c r="EP87" s="1837"/>
      <c r="EQ87" s="1838"/>
      <c r="ER87" s="1837"/>
      <c r="ES87" s="1838"/>
      <c r="ET87" s="1839"/>
      <c r="EU87" s="1840"/>
      <c r="EV87" s="1837"/>
      <c r="EW87" s="1838"/>
      <c r="EX87" s="1837"/>
      <c r="EY87" s="1838"/>
      <c r="EZ87" s="1839"/>
      <c r="FA87" s="1840"/>
      <c r="FB87" s="1837"/>
      <c r="FC87" s="1838"/>
      <c r="FD87" s="1837"/>
      <c r="FE87" s="1838"/>
      <c r="FF87" s="1839"/>
      <c r="FG87" s="1840"/>
      <c r="FH87" s="1837"/>
      <c r="FI87" s="1838"/>
      <c r="FJ87" s="1837"/>
      <c r="FK87" s="1838"/>
      <c r="FL87" s="1839"/>
      <c r="FM87" s="1840"/>
      <c r="FN87" s="1837"/>
      <c r="FO87" s="1838"/>
      <c r="FP87" s="1837"/>
      <c r="FQ87" s="1838"/>
      <c r="FR87" s="1839"/>
      <c r="FS87" s="1840"/>
      <c r="FT87" s="1837"/>
      <c r="FU87" s="1838"/>
      <c r="FV87" s="1837"/>
      <c r="FW87" s="1838"/>
      <c r="FX87" s="1839"/>
      <c r="FY87" s="1840"/>
      <c r="FZ87" s="1837"/>
      <c r="GA87" s="1838"/>
      <c r="GB87" s="1837"/>
      <c r="GC87" s="1838"/>
      <c r="GD87" s="1839"/>
      <c r="GE87" s="1840"/>
      <c r="GF87" s="1837"/>
      <c r="GG87" s="1838"/>
      <c r="GH87" s="1837"/>
      <c r="GI87" s="1838"/>
      <c r="GJ87" s="1839"/>
      <c r="GK87" s="1840"/>
      <c r="GL87" s="1837"/>
      <c r="GM87" s="1838"/>
      <c r="GN87" s="1837"/>
      <c r="GO87" s="1838"/>
      <c r="GP87" s="1839"/>
    </row>
    <row r="88" spans="1:198" ht="20.100000000000001" hidden="1" customHeight="1" outlineLevel="1">
      <c r="A88" s="2709"/>
      <c r="B88" s="2612"/>
      <c r="C88" s="1836"/>
      <c r="D88" s="2614" t="str">
        <f>実績!C1161&amp;"("&amp;SUBSTITUTE(実績!R1161&amp;")"," 株式会社","")</f>
        <v>かりや愛知中央生活協同組合新物流センター(日本国土開発)</v>
      </c>
      <c r="E88" s="2615"/>
      <c r="F88" s="2615"/>
      <c r="G88" s="2615"/>
      <c r="H88" s="2615"/>
      <c r="I88" s="2615"/>
      <c r="J88" s="2615"/>
      <c r="K88" s="2615"/>
      <c r="L88" s="2615"/>
      <c r="M88" s="2615"/>
      <c r="N88" s="2615"/>
      <c r="O88" s="2615"/>
      <c r="P88" s="2615"/>
      <c r="Q88" s="2616"/>
      <c r="R88" s="1969"/>
      <c r="S88" s="1837"/>
      <c r="T88" s="1837"/>
      <c r="U88" s="1838"/>
      <c r="V88" s="1837"/>
      <c r="W88" s="1838"/>
      <c r="X88" s="1839"/>
      <c r="Y88" s="1837"/>
      <c r="Z88" s="1837"/>
      <c r="AA88" s="1838"/>
      <c r="AB88" s="1837"/>
      <c r="AC88" s="1838"/>
      <c r="AD88" s="1837"/>
      <c r="AE88" s="1840"/>
      <c r="AF88" s="1837"/>
      <c r="AG88" s="1838"/>
      <c r="AH88" s="1837"/>
      <c r="AI88" s="1838"/>
      <c r="AJ88" s="1839"/>
      <c r="AK88" s="1837"/>
      <c r="AL88" s="1837"/>
      <c r="AM88" s="1838" t="s">
        <v>8250</v>
      </c>
      <c r="AN88" s="1837"/>
      <c r="AO88" s="1838"/>
      <c r="AP88" s="1837"/>
      <c r="AQ88" s="1841"/>
      <c r="AR88" s="1837"/>
      <c r="AS88" s="1838"/>
      <c r="AT88" s="1837"/>
      <c r="AU88" s="1838"/>
      <c r="AV88" s="1839"/>
      <c r="AW88" s="1840"/>
      <c r="AX88" s="1837"/>
      <c r="AY88" s="1838"/>
      <c r="AZ88" s="1837"/>
      <c r="BA88" s="1838"/>
      <c r="BB88" s="1839"/>
      <c r="BC88" s="1837"/>
      <c r="BD88" s="1837"/>
      <c r="BE88" s="1838"/>
      <c r="BF88" s="1837"/>
      <c r="BG88" s="1838"/>
      <c r="BH88" s="1837"/>
      <c r="BI88" s="1840"/>
      <c r="BJ88" s="1837"/>
      <c r="BK88" s="1838"/>
      <c r="BL88" s="1837"/>
      <c r="BM88" s="1838"/>
      <c r="BN88" s="1839"/>
      <c r="BO88" s="1840"/>
      <c r="BP88" s="1837"/>
      <c r="BQ88" s="1838"/>
      <c r="BR88" s="1837"/>
      <c r="BS88" s="1838"/>
      <c r="BT88" s="1839"/>
      <c r="BU88" s="1840"/>
      <c r="BV88" s="1837"/>
      <c r="BW88" s="1838"/>
      <c r="BX88" s="1837"/>
      <c r="BY88" s="1838"/>
      <c r="BZ88" s="1839"/>
      <c r="CA88" s="1840"/>
      <c r="CB88" s="1837"/>
      <c r="CC88" s="1838"/>
      <c r="CD88" s="1837"/>
      <c r="CE88" s="1838"/>
      <c r="CF88" s="1839"/>
      <c r="CG88" s="1840"/>
      <c r="CH88" s="1837"/>
      <c r="CI88" s="1838"/>
      <c r="CJ88" s="1837"/>
      <c r="CK88" s="1838"/>
      <c r="CL88" s="1839"/>
      <c r="CM88" s="1840"/>
      <c r="CN88" s="1837"/>
      <c r="CO88" s="1838"/>
      <c r="CP88" s="1837"/>
      <c r="CQ88" s="1838"/>
      <c r="CR88" s="1839"/>
      <c r="CS88" s="1840"/>
      <c r="CT88" s="1837"/>
      <c r="CU88" s="1838"/>
      <c r="CV88" s="1837"/>
      <c r="CW88" s="1838"/>
      <c r="CX88" s="1839"/>
      <c r="CY88" s="1840"/>
      <c r="CZ88" s="1837"/>
      <c r="DA88" s="1838"/>
      <c r="DB88" s="1837"/>
      <c r="DC88" s="1838"/>
      <c r="DD88" s="1839"/>
      <c r="DE88" s="1840"/>
      <c r="DF88" s="1837"/>
      <c r="DG88" s="1838"/>
      <c r="DH88" s="1837"/>
      <c r="DI88" s="1838"/>
      <c r="DJ88" s="1839"/>
      <c r="DK88" s="1840"/>
      <c r="DL88" s="1837"/>
      <c r="DM88" s="1838"/>
      <c r="DN88" s="1837"/>
      <c r="DO88" s="1838"/>
      <c r="DP88" s="1837"/>
      <c r="DQ88" s="1853"/>
      <c r="DR88" s="1837"/>
      <c r="DS88" s="1838"/>
      <c r="DT88" s="1842"/>
      <c r="DU88" s="1837"/>
      <c r="DV88" s="1839"/>
      <c r="DW88" s="1840"/>
      <c r="DX88" s="1837"/>
      <c r="DY88" s="1838"/>
      <c r="DZ88" s="1837"/>
      <c r="EA88" s="1838"/>
      <c r="EB88" s="1839"/>
      <c r="EC88" s="1840"/>
      <c r="ED88" s="1837"/>
      <c r="EE88" s="1838"/>
      <c r="EF88" s="1837"/>
      <c r="EG88" s="1838"/>
      <c r="EH88" s="1839"/>
      <c r="EI88" s="1840"/>
      <c r="EJ88" s="1837"/>
      <c r="EK88" s="1838"/>
      <c r="EL88" s="1837"/>
      <c r="EM88" s="1838"/>
      <c r="EN88" s="1839"/>
      <c r="EO88" s="1840"/>
      <c r="EP88" s="1837"/>
      <c r="EQ88" s="1838"/>
      <c r="ER88" s="1837"/>
      <c r="ES88" s="1838"/>
      <c r="ET88" s="1839"/>
      <c r="EU88" s="1840"/>
      <c r="EV88" s="1837"/>
      <c r="EW88" s="1838"/>
      <c r="EX88" s="1837"/>
      <c r="EY88" s="1838"/>
      <c r="EZ88" s="1839"/>
      <c r="FA88" s="1840"/>
      <c r="FB88" s="1837"/>
      <c r="FC88" s="1838"/>
      <c r="FD88" s="1837"/>
      <c r="FE88" s="1838"/>
      <c r="FF88" s="1839"/>
      <c r="FG88" s="1840"/>
      <c r="FH88" s="1837"/>
      <c r="FI88" s="1838"/>
      <c r="FJ88" s="1837"/>
      <c r="FK88" s="1838"/>
      <c r="FL88" s="1839"/>
      <c r="FM88" s="1840"/>
      <c r="FN88" s="1837"/>
      <c r="FO88" s="1838"/>
      <c r="FP88" s="1837"/>
      <c r="FQ88" s="1838"/>
      <c r="FR88" s="1839"/>
      <c r="FS88" s="1840"/>
      <c r="FT88" s="1837"/>
      <c r="FU88" s="1838"/>
      <c r="FV88" s="1837"/>
      <c r="FW88" s="1838"/>
      <c r="FX88" s="1839"/>
      <c r="FY88" s="1840"/>
      <c r="FZ88" s="1837"/>
      <c r="GA88" s="1838"/>
      <c r="GB88" s="1837"/>
      <c r="GC88" s="1838"/>
      <c r="GD88" s="1839"/>
      <c r="GE88" s="1840"/>
      <c r="GF88" s="1837"/>
      <c r="GG88" s="1838"/>
      <c r="GH88" s="1837"/>
      <c r="GI88" s="1838"/>
      <c r="GJ88" s="1839"/>
      <c r="GK88" s="1840"/>
      <c r="GL88" s="1837"/>
      <c r="GM88" s="1838"/>
      <c r="GN88" s="1837"/>
      <c r="GO88" s="1838"/>
      <c r="GP88" s="1839"/>
    </row>
    <row r="89" spans="1:198" ht="20.100000000000001" hidden="1" customHeight="1" outlineLevel="1">
      <c r="A89" s="2709"/>
      <c r="B89" s="2612"/>
      <c r="C89" s="1836"/>
      <c r="D89" s="2614" t="str">
        <f>実績!C1163&amp;"("&amp;SUBSTITUTE(実績!R1163&amp;")","株式会社 ","")</f>
        <v>倉岡紙工新工場(建吉組)</v>
      </c>
      <c r="E89" s="2615"/>
      <c r="F89" s="2615"/>
      <c r="G89" s="2615"/>
      <c r="H89" s="2615"/>
      <c r="I89" s="2615"/>
      <c r="J89" s="2615"/>
      <c r="K89" s="2615"/>
      <c r="L89" s="2615"/>
      <c r="M89" s="2615"/>
      <c r="N89" s="2615"/>
      <c r="O89" s="2615"/>
      <c r="P89" s="2615"/>
      <c r="Q89" s="2616"/>
      <c r="R89" s="1969"/>
      <c r="S89" s="1837"/>
      <c r="T89" s="1837"/>
      <c r="U89" s="1838"/>
      <c r="V89" s="1837"/>
      <c r="W89" s="1838"/>
      <c r="X89" s="1839"/>
      <c r="Y89" s="1837"/>
      <c r="Z89" s="1837"/>
      <c r="AA89" s="1838"/>
      <c r="AB89" s="1837"/>
      <c r="AC89" s="1838"/>
      <c r="AD89" s="1837"/>
      <c r="AE89" s="1840"/>
      <c r="AF89" s="1837"/>
      <c r="AG89" s="1838"/>
      <c r="AH89" s="1837"/>
      <c r="AI89" s="1838"/>
      <c r="AJ89" s="1839"/>
      <c r="AK89" s="1837"/>
      <c r="AL89" s="1837"/>
      <c r="AM89" s="1838"/>
      <c r="AN89" s="1837"/>
      <c r="AO89" s="1838" t="s">
        <v>8250</v>
      </c>
      <c r="AP89" s="1837"/>
      <c r="AQ89" s="1841"/>
      <c r="AR89" s="1837"/>
      <c r="AS89" s="1838"/>
      <c r="AT89" s="1837"/>
      <c r="AU89" s="1838"/>
      <c r="AV89" s="1839"/>
      <c r="AW89" s="1840"/>
      <c r="AX89" s="1837"/>
      <c r="AY89" s="1838"/>
      <c r="AZ89" s="1837"/>
      <c r="BA89" s="1838"/>
      <c r="BB89" s="1839"/>
      <c r="BC89" s="1837"/>
      <c r="BD89" s="1837"/>
      <c r="BE89" s="1838"/>
      <c r="BF89" s="1837"/>
      <c r="BG89" s="1838"/>
      <c r="BH89" s="1837"/>
      <c r="BI89" s="1840"/>
      <c r="BJ89" s="1837"/>
      <c r="BK89" s="1838"/>
      <c r="BL89" s="1837"/>
      <c r="BM89" s="1838"/>
      <c r="BN89" s="1839"/>
      <c r="BO89" s="1840"/>
      <c r="BP89" s="1837"/>
      <c r="BQ89" s="1838"/>
      <c r="BR89" s="1837"/>
      <c r="BS89" s="1838"/>
      <c r="BT89" s="1839"/>
      <c r="BU89" s="1840"/>
      <c r="BV89" s="1837"/>
      <c r="BW89" s="1838"/>
      <c r="BX89" s="1837"/>
      <c r="BY89" s="1838"/>
      <c r="BZ89" s="1839"/>
      <c r="CA89" s="1840"/>
      <c r="CB89" s="1837"/>
      <c r="CC89" s="1838"/>
      <c r="CD89" s="1837"/>
      <c r="CE89" s="1838"/>
      <c r="CF89" s="1839"/>
      <c r="CG89" s="1840"/>
      <c r="CH89" s="1837"/>
      <c r="CI89" s="1838"/>
      <c r="CJ89" s="1837"/>
      <c r="CK89" s="1838"/>
      <c r="CL89" s="1839"/>
      <c r="CM89" s="1840"/>
      <c r="CN89" s="1837"/>
      <c r="CO89" s="1838"/>
      <c r="CP89" s="1837"/>
      <c r="CQ89" s="1838"/>
      <c r="CR89" s="1839"/>
      <c r="CS89" s="1840"/>
      <c r="CT89" s="1837"/>
      <c r="CU89" s="1838"/>
      <c r="CV89" s="1837"/>
      <c r="CW89" s="1838"/>
      <c r="CX89" s="1839"/>
      <c r="CY89" s="1840"/>
      <c r="CZ89" s="1837"/>
      <c r="DA89" s="1838"/>
      <c r="DB89" s="1837"/>
      <c r="DC89" s="1838"/>
      <c r="DD89" s="1839"/>
      <c r="DE89" s="1840"/>
      <c r="DF89" s="1837"/>
      <c r="DG89" s="1838"/>
      <c r="DH89" s="1837"/>
      <c r="DI89" s="1838"/>
      <c r="DJ89" s="1839"/>
      <c r="DK89" s="1840"/>
      <c r="DL89" s="1837"/>
      <c r="DM89" s="1838"/>
      <c r="DN89" s="1837"/>
      <c r="DO89" s="1838"/>
      <c r="DP89" s="1837"/>
      <c r="DQ89" s="1853"/>
      <c r="DR89" s="1837"/>
      <c r="DS89" s="1838"/>
      <c r="DT89" s="1842"/>
      <c r="DU89" s="1837"/>
      <c r="DV89" s="1839"/>
      <c r="DW89" s="1840"/>
      <c r="DX89" s="1837"/>
      <c r="DY89" s="1838"/>
      <c r="DZ89" s="1837"/>
      <c r="EA89" s="1838"/>
      <c r="EB89" s="1839"/>
      <c r="EC89" s="1840"/>
      <c r="ED89" s="1837"/>
      <c r="EE89" s="1838"/>
      <c r="EF89" s="1837"/>
      <c r="EG89" s="1838"/>
      <c r="EH89" s="1839"/>
      <c r="EI89" s="1840"/>
      <c r="EJ89" s="1837"/>
      <c r="EK89" s="1838"/>
      <c r="EL89" s="1837"/>
      <c r="EM89" s="1838"/>
      <c r="EN89" s="1839"/>
      <c r="EO89" s="1840"/>
      <c r="EP89" s="1837"/>
      <c r="EQ89" s="1838"/>
      <c r="ER89" s="1837"/>
      <c r="ES89" s="1838"/>
      <c r="ET89" s="1839"/>
      <c r="EU89" s="1840"/>
      <c r="EV89" s="1837"/>
      <c r="EW89" s="1838"/>
      <c r="EX89" s="1837"/>
      <c r="EY89" s="1838"/>
      <c r="EZ89" s="1839"/>
      <c r="FA89" s="1840"/>
      <c r="FB89" s="1837"/>
      <c r="FC89" s="1838"/>
      <c r="FD89" s="1837"/>
      <c r="FE89" s="1838"/>
      <c r="FF89" s="1839"/>
      <c r="FG89" s="1840"/>
      <c r="FH89" s="1837"/>
      <c r="FI89" s="1838"/>
      <c r="FJ89" s="1837"/>
      <c r="FK89" s="1838"/>
      <c r="FL89" s="1839"/>
      <c r="FM89" s="1840"/>
      <c r="FN89" s="1837"/>
      <c r="FO89" s="1838"/>
      <c r="FP89" s="1837"/>
      <c r="FQ89" s="1838"/>
      <c r="FR89" s="1839"/>
      <c r="FS89" s="1840"/>
      <c r="FT89" s="1837"/>
      <c r="FU89" s="1838"/>
      <c r="FV89" s="1837"/>
      <c r="FW89" s="1838"/>
      <c r="FX89" s="1839"/>
      <c r="FY89" s="1840"/>
      <c r="FZ89" s="1837"/>
      <c r="GA89" s="1838"/>
      <c r="GB89" s="1837"/>
      <c r="GC89" s="1838"/>
      <c r="GD89" s="1839"/>
      <c r="GE89" s="1840"/>
      <c r="GF89" s="1837"/>
      <c r="GG89" s="1838"/>
      <c r="GH89" s="1837"/>
      <c r="GI89" s="1838"/>
      <c r="GJ89" s="1839"/>
      <c r="GK89" s="1840"/>
      <c r="GL89" s="1837"/>
      <c r="GM89" s="1838"/>
      <c r="GN89" s="1837"/>
      <c r="GO89" s="1838"/>
      <c r="GP89" s="1839"/>
    </row>
    <row r="90" spans="1:198" ht="20.100000000000001" hidden="1" customHeight="1" outlineLevel="1">
      <c r="A90" s="2709"/>
      <c r="B90" s="2612"/>
      <c r="C90" s="1836"/>
      <c r="D90" s="2614" t="str">
        <f>SUBSTITUTE(実績!C1139&amp;"("&amp;SUBSTITUTE(実績!R1139&amp;")","株式会社 ","")," SM棟","")</f>
        <v>ヤマザワ角田(永井設計(山形))</v>
      </c>
      <c r="E90" s="2615"/>
      <c r="F90" s="2615"/>
      <c r="G90" s="2615"/>
      <c r="H90" s="2615"/>
      <c r="I90" s="2615"/>
      <c r="J90" s="2615"/>
      <c r="K90" s="2615"/>
      <c r="L90" s="2615"/>
      <c r="M90" s="2615"/>
      <c r="N90" s="2615"/>
      <c r="O90" s="2615"/>
      <c r="P90" s="2615"/>
      <c r="Q90" s="2616"/>
      <c r="R90" s="1969"/>
      <c r="S90" s="1837"/>
      <c r="T90" s="1837"/>
      <c r="U90" s="1838"/>
      <c r="V90" s="1837"/>
      <c r="W90" s="1838"/>
      <c r="X90" s="1839"/>
      <c r="Y90" s="1838"/>
      <c r="Z90" s="1837"/>
      <c r="AA90" s="1838"/>
      <c r="AB90" s="1837"/>
      <c r="AC90" s="1838"/>
      <c r="AD90" s="1837"/>
      <c r="AE90" s="1840"/>
      <c r="AF90" s="1837"/>
      <c r="AG90" s="1838"/>
      <c r="AH90" s="1837"/>
      <c r="AI90" s="1838"/>
      <c r="AJ90" s="1839"/>
      <c r="AK90" s="1837"/>
      <c r="AL90" s="1837"/>
      <c r="AM90" s="1838"/>
      <c r="AN90" s="1837"/>
      <c r="AO90" s="1838" t="s">
        <v>8494</v>
      </c>
      <c r="AP90" s="1837"/>
      <c r="AQ90" s="1841"/>
      <c r="AR90" s="1837"/>
      <c r="AS90" s="1838"/>
      <c r="AT90" s="1837"/>
      <c r="AU90" s="1838"/>
      <c r="AV90" s="1839"/>
      <c r="AW90" s="1840"/>
      <c r="AX90" s="1837"/>
      <c r="AY90" s="1838"/>
      <c r="AZ90" s="1837"/>
      <c r="BA90" s="1838"/>
      <c r="BB90" s="1839"/>
      <c r="BC90" s="1837"/>
      <c r="BD90" s="1837"/>
      <c r="BE90" s="1838"/>
      <c r="BF90" s="1837"/>
      <c r="BG90" s="1838"/>
      <c r="BH90" s="1837"/>
      <c r="BI90" s="1840"/>
      <c r="BJ90" s="1837"/>
      <c r="BK90" s="1838"/>
      <c r="BL90" s="1837"/>
      <c r="BM90" s="1838"/>
      <c r="BN90" s="1839"/>
      <c r="BO90" s="1840"/>
      <c r="BP90" s="1837"/>
      <c r="BQ90" s="1838"/>
      <c r="BR90" s="1837"/>
      <c r="BS90" s="1838"/>
      <c r="BT90" s="1839"/>
      <c r="BU90" s="1840"/>
      <c r="BV90" s="1837"/>
      <c r="BW90" s="1838"/>
      <c r="BX90" s="1837"/>
      <c r="BY90" s="1838"/>
      <c r="BZ90" s="1839"/>
      <c r="CA90" s="1840"/>
      <c r="CB90" s="1837"/>
      <c r="CC90" s="1838"/>
      <c r="CD90" s="1837"/>
      <c r="CE90" s="1838"/>
      <c r="CF90" s="1839"/>
      <c r="CG90" s="1840"/>
      <c r="CH90" s="1837"/>
      <c r="CI90" s="1838"/>
      <c r="CJ90" s="1837"/>
      <c r="CK90" s="1838"/>
      <c r="CL90" s="1839"/>
      <c r="CM90" s="1840"/>
      <c r="CN90" s="1837"/>
      <c r="CO90" s="1838"/>
      <c r="CP90" s="1837"/>
      <c r="CQ90" s="1838"/>
      <c r="CR90" s="1839"/>
      <c r="CS90" s="1840"/>
      <c r="CT90" s="1837"/>
      <c r="CU90" s="1838"/>
      <c r="CV90" s="1837"/>
      <c r="CW90" s="1838"/>
      <c r="CX90" s="1839"/>
      <c r="CY90" s="1840"/>
      <c r="CZ90" s="1837"/>
      <c r="DA90" s="1838"/>
      <c r="DB90" s="1837"/>
      <c r="DC90" s="1838"/>
      <c r="DD90" s="1839"/>
      <c r="DE90" s="1840"/>
      <c r="DF90" s="1837"/>
      <c r="DG90" s="1838"/>
      <c r="DH90" s="1837"/>
      <c r="DI90" s="1838"/>
      <c r="DJ90" s="1839"/>
      <c r="DK90" s="1840"/>
      <c r="DL90" s="1837"/>
      <c r="DM90" s="1838"/>
      <c r="DN90" s="1837"/>
      <c r="DO90" s="1838"/>
      <c r="DP90" s="1837"/>
      <c r="DQ90" s="1853"/>
      <c r="DR90" s="1837"/>
      <c r="DS90" s="1838"/>
      <c r="DT90" s="1842"/>
      <c r="DU90" s="1837"/>
      <c r="DV90" s="1839"/>
      <c r="DW90" s="1840"/>
      <c r="DX90" s="1837"/>
      <c r="DY90" s="1838"/>
      <c r="DZ90" s="1837"/>
      <c r="EA90" s="1838"/>
      <c r="EB90" s="1839"/>
      <c r="EC90" s="1840"/>
      <c r="ED90" s="1837"/>
      <c r="EE90" s="1838"/>
      <c r="EF90" s="1837"/>
      <c r="EG90" s="1838"/>
      <c r="EH90" s="1839"/>
      <c r="EI90" s="1840"/>
      <c r="EJ90" s="1837"/>
      <c r="EK90" s="1838"/>
      <c r="EL90" s="1837"/>
      <c r="EM90" s="1838"/>
      <c r="EN90" s="1839"/>
      <c r="EO90" s="1840"/>
      <c r="EP90" s="1837"/>
      <c r="EQ90" s="1838"/>
      <c r="ER90" s="1837"/>
      <c r="ES90" s="1838"/>
      <c r="ET90" s="1839"/>
      <c r="EU90" s="1840"/>
      <c r="EV90" s="1837"/>
      <c r="EW90" s="1838"/>
      <c r="EX90" s="1837"/>
      <c r="EY90" s="1838"/>
      <c r="EZ90" s="1839"/>
      <c r="FA90" s="1840"/>
      <c r="FB90" s="1837"/>
      <c r="FC90" s="1838"/>
      <c r="FD90" s="1837"/>
      <c r="FE90" s="1838"/>
      <c r="FF90" s="1839"/>
      <c r="FG90" s="1840"/>
      <c r="FH90" s="1837"/>
      <c r="FI90" s="1838"/>
      <c r="FJ90" s="1837"/>
      <c r="FK90" s="1838"/>
      <c r="FL90" s="1839"/>
      <c r="FM90" s="1840"/>
      <c r="FN90" s="1837"/>
      <c r="FO90" s="1838"/>
      <c r="FP90" s="1837"/>
      <c r="FQ90" s="1838"/>
      <c r="FR90" s="1839"/>
      <c r="FS90" s="1840"/>
      <c r="FT90" s="1837"/>
      <c r="FU90" s="1838"/>
      <c r="FV90" s="1837"/>
      <c r="FW90" s="1838"/>
      <c r="FX90" s="1839"/>
      <c r="FY90" s="1840"/>
      <c r="FZ90" s="1837"/>
      <c r="GA90" s="1838"/>
      <c r="GB90" s="1837"/>
      <c r="GC90" s="1838"/>
      <c r="GD90" s="1839"/>
      <c r="GE90" s="1840"/>
      <c r="GF90" s="1837"/>
      <c r="GG90" s="1838"/>
      <c r="GH90" s="1837"/>
      <c r="GI90" s="1838"/>
      <c r="GJ90" s="1839"/>
      <c r="GK90" s="1840"/>
      <c r="GL90" s="1837"/>
      <c r="GM90" s="1838"/>
      <c r="GN90" s="1837"/>
      <c r="GO90" s="1838"/>
      <c r="GP90" s="1839"/>
    </row>
    <row r="91" spans="1:198" ht="20.100000000000001" hidden="1" customHeight="1" outlineLevel="1">
      <c r="A91" s="2709"/>
      <c r="B91" s="2612"/>
      <c r="C91" s="1836"/>
      <c r="D91" s="2614" t="str">
        <f>実績!C1165&amp;"("&amp;SUBSTITUTE(実績!R1165&amp;")","株式会社 ","")</f>
        <v>コナズ珈琲幕張(えふ設計室)</v>
      </c>
      <c r="E91" s="2615"/>
      <c r="F91" s="2615"/>
      <c r="G91" s="2615"/>
      <c r="H91" s="2615"/>
      <c r="I91" s="2615"/>
      <c r="J91" s="2615"/>
      <c r="K91" s="2615"/>
      <c r="L91" s="2615"/>
      <c r="M91" s="2615"/>
      <c r="N91" s="2615"/>
      <c r="O91" s="2615"/>
      <c r="P91" s="2615"/>
      <c r="Q91" s="2616"/>
      <c r="R91" s="1969"/>
      <c r="S91" s="1837"/>
      <c r="T91" s="1837"/>
      <c r="U91" s="1838"/>
      <c r="V91" s="1837"/>
      <c r="W91" s="1838"/>
      <c r="X91" s="1839"/>
      <c r="Y91" s="1837"/>
      <c r="Z91" s="1837"/>
      <c r="AA91" s="1838"/>
      <c r="AB91" s="1837"/>
      <c r="AC91" s="1838"/>
      <c r="AD91" s="1837"/>
      <c r="AE91" s="1840"/>
      <c r="AF91" s="1837"/>
      <c r="AG91" s="1838"/>
      <c r="AH91" s="1837"/>
      <c r="AI91" s="1838"/>
      <c r="AJ91" s="1839"/>
      <c r="AK91" s="1837"/>
      <c r="AL91" s="1837"/>
      <c r="AM91" s="1838"/>
      <c r="AN91" s="1837"/>
      <c r="AO91" s="1838" t="s">
        <v>8250</v>
      </c>
      <c r="AP91" s="1837"/>
      <c r="AQ91" s="1841"/>
      <c r="AR91" s="1837"/>
      <c r="AS91" s="1838"/>
      <c r="AT91" s="1837"/>
      <c r="AU91" s="1838"/>
      <c r="AV91" s="1839"/>
      <c r="AW91" s="1840"/>
      <c r="AX91" s="1837"/>
      <c r="AY91" s="1838"/>
      <c r="AZ91" s="1837"/>
      <c r="BA91" s="1838"/>
      <c r="BB91" s="1839"/>
      <c r="BC91" s="1837"/>
      <c r="BD91" s="1837"/>
      <c r="BE91" s="1838"/>
      <c r="BF91" s="1837"/>
      <c r="BG91" s="1838"/>
      <c r="BH91" s="1837"/>
      <c r="BI91" s="1840"/>
      <c r="BJ91" s="1837"/>
      <c r="BK91" s="1838"/>
      <c r="BL91" s="1837"/>
      <c r="BM91" s="1838"/>
      <c r="BN91" s="1839"/>
      <c r="BO91" s="1840"/>
      <c r="BP91" s="1837"/>
      <c r="BQ91" s="1838"/>
      <c r="BR91" s="1837"/>
      <c r="BS91" s="1838"/>
      <c r="BT91" s="1839"/>
      <c r="BU91" s="1840"/>
      <c r="BV91" s="1837"/>
      <c r="BW91" s="1838"/>
      <c r="BX91" s="1837"/>
      <c r="BY91" s="1838"/>
      <c r="BZ91" s="1839"/>
      <c r="CA91" s="1840"/>
      <c r="CB91" s="1837"/>
      <c r="CC91" s="1838"/>
      <c r="CD91" s="1837"/>
      <c r="CE91" s="1838"/>
      <c r="CF91" s="1839"/>
      <c r="CG91" s="1840"/>
      <c r="CH91" s="1837"/>
      <c r="CI91" s="1838"/>
      <c r="CJ91" s="1837"/>
      <c r="CK91" s="1838"/>
      <c r="CL91" s="1839"/>
      <c r="CM91" s="1840"/>
      <c r="CN91" s="1837"/>
      <c r="CO91" s="1838"/>
      <c r="CP91" s="1837"/>
      <c r="CQ91" s="1838"/>
      <c r="CR91" s="1839"/>
      <c r="CS91" s="1840"/>
      <c r="CT91" s="1837"/>
      <c r="CU91" s="1838"/>
      <c r="CV91" s="1837"/>
      <c r="CW91" s="1838"/>
      <c r="CX91" s="1839"/>
      <c r="CY91" s="1840"/>
      <c r="CZ91" s="1837"/>
      <c r="DA91" s="1838"/>
      <c r="DB91" s="1837"/>
      <c r="DC91" s="1838"/>
      <c r="DD91" s="1839"/>
      <c r="DE91" s="1840"/>
      <c r="DF91" s="1837"/>
      <c r="DG91" s="1838"/>
      <c r="DH91" s="1837"/>
      <c r="DI91" s="1838"/>
      <c r="DJ91" s="1839"/>
      <c r="DK91" s="1840"/>
      <c r="DL91" s="1837"/>
      <c r="DM91" s="1838"/>
      <c r="DN91" s="1837"/>
      <c r="DO91" s="1838"/>
      <c r="DP91" s="1837"/>
      <c r="DQ91" s="1853"/>
      <c r="DR91" s="1837"/>
      <c r="DS91" s="1838"/>
      <c r="DT91" s="1842"/>
      <c r="DU91" s="1837"/>
      <c r="DV91" s="1839"/>
      <c r="DW91" s="1840"/>
      <c r="DX91" s="1837"/>
      <c r="DY91" s="1838"/>
      <c r="DZ91" s="1837"/>
      <c r="EA91" s="1838"/>
      <c r="EB91" s="1839"/>
      <c r="EC91" s="1840"/>
      <c r="ED91" s="1837"/>
      <c r="EE91" s="1838"/>
      <c r="EF91" s="1837"/>
      <c r="EG91" s="1838"/>
      <c r="EH91" s="1839"/>
      <c r="EI91" s="1840"/>
      <c r="EJ91" s="1837"/>
      <c r="EK91" s="1838"/>
      <c r="EL91" s="1837"/>
      <c r="EM91" s="1838"/>
      <c r="EN91" s="1839"/>
      <c r="EO91" s="1840"/>
      <c r="EP91" s="1837"/>
      <c r="EQ91" s="1838"/>
      <c r="ER91" s="1837"/>
      <c r="ES91" s="1838"/>
      <c r="ET91" s="1839"/>
      <c r="EU91" s="1840"/>
      <c r="EV91" s="1837"/>
      <c r="EW91" s="1838"/>
      <c r="EX91" s="1837"/>
      <c r="EY91" s="1838"/>
      <c r="EZ91" s="1839"/>
      <c r="FA91" s="1840"/>
      <c r="FB91" s="1837"/>
      <c r="FC91" s="1838"/>
      <c r="FD91" s="1837"/>
      <c r="FE91" s="1838"/>
      <c r="FF91" s="1839"/>
      <c r="FG91" s="1840"/>
      <c r="FH91" s="1837"/>
      <c r="FI91" s="1838"/>
      <c r="FJ91" s="1837"/>
      <c r="FK91" s="1838"/>
      <c r="FL91" s="1839"/>
      <c r="FM91" s="1840"/>
      <c r="FN91" s="1837"/>
      <c r="FO91" s="1838"/>
      <c r="FP91" s="1837"/>
      <c r="FQ91" s="1838"/>
      <c r="FR91" s="1839"/>
      <c r="FS91" s="1840"/>
      <c r="FT91" s="1837"/>
      <c r="FU91" s="1838"/>
      <c r="FV91" s="1837"/>
      <c r="FW91" s="1838"/>
      <c r="FX91" s="1839"/>
      <c r="FY91" s="1840"/>
      <c r="FZ91" s="1837"/>
      <c r="GA91" s="1838"/>
      <c r="GB91" s="1837"/>
      <c r="GC91" s="1838"/>
      <c r="GD91" s="1839"/>
      <c r="GE91" s="1840"/>
      <c r="GF91" s="1837"/>
      <c r="GG91" s="1838"/>
      <c r="GH91" s="1837"/>
      <c r="GI91" s="1838"/>
      <c r="GJ91" s="1839"/>
      <c r="GK91" s="1840"/>
      <c r="GL91" s="1837"/>
      <c r="GM91" s="1838"/>
      <c r="GN91" s="1837"/>
      <c r="GO91" s="1838"/>
      <c r="GP91" s="1839"/>
    </row>
    <row r="92" spans="1:198" ht="20.100000000000001" hidden="1" customHeight="1" outlineLevel="1">
      <c r="A92" s="2709"/>
      <c r="B92" s="2612"/>
      <c r="C92" s="1836"/>
      <c r="D92" s="2614" t="str">
        <f>実績!C1164&amp;"("&amp;SUBSTITUTE(実績!W1164&amp;")","株式会社 ","")</f>
        <v>デンソー山形Ⅱ期工事(市場建築構造設計事務所)</v>
      </c>
      <c r="E92" s="2615"/>
      <c r="F92" s="2615"/>
      <c r="G92" s="2615"/>
      <c r="H92" s="2615"/>
      <c r="I92" s="2615"/>
      <c r="J92" s="2615"/>
      <c r="K92" s="2615"/>
      <c r="L92" s="2615"/>
      <c r="M92" s="2615"/>
      <c r="N92" s="2615"/>
      <c r="O92" s="2615"/>
      <c r="P92" s="2615"/>
      <c r="Q92" s="2616"/>
      <c r="R92" s="1969"/>
      <c r="S92" s="1837"/>
      <c r="T92" s="1837"/>
      <c r="U92" s="1838"/>
      <c r="V92" s="1837"/>
      <c r="W92" s="1838"/>
      <c r="X92" s="1839"/>
      <c r="Y92" s="1837"/>
      <c r="Z92" s="1837"/>
      <c r="AA92" s="1838"/>
      <c r="AB92" s="1837"/>
      <c r="AC92" s="1838"/>
      <c r="AD92" s="1837"/>
      <c r="AE92" s="1840"/>
      <c r="AF92" s="1837"/>
      <c r="AG92" s="1838"/>
      <c r="AH92" s="1837"/>
      <c r="AI92" s="1838"/>
      <c r="AJ92" s="1839"/>
      <c r="AK92" s="1837"/>
      <c r="AL92" s="1837"/>
      <c r="AM92" s="1838"/>
      <c r="AN92" s="1837"/>
      <c r="AO92" s="1838"/>
      <c r="AP92" s="1837" t="s">
        <v>8250</v>
      </c>
      <c r="AQ92" s="1841"/>
      <c r="AR92" s="1837"/>
      <c r="AS92" s="1838"/>
      <c r="AT92" s="1837"/>
      <c r="AU92" s="1838"/>
      <c r="AV92" s="1839"/>
      <c r="AW92" s="1840"/>
      <c r="AX92" s="1837"/>
      <c r="AY92" s="1838"/>
      <c r="AZ92" s="1837"/>
      <c r="BA92" s="1838"/>
      <c r="BB92" s="1839"/>
      <c r="BC92" s="1837"/>
      <c r="BD92" s="1837"/>
      <c r="BE92" s="1838"/>
      <c r="BF92" s="1837"/>
      <c r="BG92" s="1838"/>
      <c r="BH92" s="1837"/>
      <c r="BI92" s="1840"/>
      <c r="BJ92" s="1837"/>
      <c r="BK92" s="1838"/>
      <c r="BL92" s="1837"/>
      <c r="BM92" s="1838"/>
      <c r="BN92" s="1839"/>
      <c r="BO92" s="1840"/>
      <c r="BP92" s="1837"/>
      <c r="BQ92" s="1838"/>
      <c r="BR92" s="1837"/>
      <c r="BS92" s="1838"/>
      <c r="BT92" s="1839"/>
      <c r="BU92" s="1840"/>
      <c r="BV92" s="1837"/>
      <c r="BW92" s="1838"/>
      <c r="BX92" s="1837"/>
      <c r="BY92" s="1838"/>
      <c r="BZ92" s="1839"/>
      <c r="CA92" s="1840"/>
      <c r="CB92" s="1837"/>
      <c r="CC92" s="1838"/>
      <c r="CD92" s="1837"/>
      <c r="CE92" s="1838"/>
      <c r="CF92" s="1839"/>
      <c r="CG92" s="1840"/>
      <c r="CH92" s="1837"/>
      <c r="CI92" s="1838"/>
      <c r="CJ92" s="1837"/>
      <c r="CK92" s="1838"/>
      <c r="CL92" s="1839"/>
      <c r="CM92" s="1840"/>
      <c r="CN92" s="1837"/>
      <c r="CO92" s="1838"/>
      <c r="CP92" s="1837"/>
      <c r="CQ92" s="1838"/>
      <c r="CR92" s="1839"/>
      <c r="CS92" s="1840"/>
      <c r="CT92" s="1837"/>
      <c r="CU92" s="1838"/>
      <c r="CV92" s="1837"/>
      <c r="CW92" s="1838"/>
      <c r="CX92" s="1839"/>
      <c r="CY92" s="1840"/>
      <c r="CZ92" s="1837"/>
      <c r="DA92" s="1838"/>
      <c r="DB92" s="1837"/>
      <c r="DC92" s="1838"/>
      <c r="DD92" s="1839"/>
      <c r="DE92" s="1840"/>
      <c r="DF92" s="1837"/>
      <c r="DG92" s="1838"/>
      <c r="DH92" s="1837"/>
      <c r="DI92" s="1838"/>
      <c r="DJ92" s="1839"/>
      <c r="DK92" s="1840"/>
      <c r="DL92" s="1837"/>
      <c r="DM92" s="1838"/>
      <c r="DN92" s="1837"/>
      <c r="DO92" s="1838"/>
      <c r="DP92" s="1837"/>
      <c r="DQ92" s="1853"/>
      <c r="DR92" s="1837"/>
      <c r="DS92" s="1838"/>
      <c r="DT92" s="1842"/>
      <c r="DU92" s="1837"/>
      <c r="DV92" s="1839"/>
      <c r="DW92" s="1840"/>
      <c r="DX92" s="1837"/>
      <c r="DY92" s="1838"/>
      <c r="DZ92" s="1837"/>
      <c r="EA92" s="1838"/>
      <c r="EB92" s="1839"/>
      <c r="EC92" s="1840"/>
      <c r="ED92" s="1837"/>
      <c r="EE92" s="1838"/>
      <c r="EF92" s="1837"/>
      <c r="EG92" s="1838"/>
      <c r="EH92" s="1839"/>
      <c r="EI92" s="1840"/>
      <c r="EJ92" s="1837"/>
      <c r="EK92" s="1838"/>
      <c r="EL92" s="1837"/>
      <c r="EM92" s="1838"/>
      <c r="EN92" s="1839"/>
      <c r="EO92" s="1840"/>
      <c r="EP92" s="1837"/>
      <c r="EQ92" s="1838"/>
      <c r="ER92" s="1837"/>
      <c r="ES92" s="1838"/>
      <c r="ET92" s="1839"/>
      <c r="EU92" s="1840"/>
      <c r="EV92" s="1837"/>
      <c r="EW92" s="1838"/>
      <c r="EX92" s="1837"/>
      <c r="EY92" s="1838"/>
      <c r="EZ92" s="1839"/>
      <c r="FA92" s="1840"/>
      <c r="FB92" s="1837"/>
      <c r="FC92" s="1838"/>
      <c r="FD92" s="1837"/>
      <c r="FE92" s="1838"/>
      <c r="FF92" s="1839"/>
      <c r="FG92" s="1840"/>
      <c r="FH92" s="1837"/>
      <c r="FI92" s="1838"/>
      <c r="FJ92" s="1837"/>
      <c r="FK92" s="1838"/>
      <c r="FL92" s="1839"/>
      <c r="FM92" s="1840"/>
      <c r="FN92" s="1837"/>
      <c r="FO92" s="1838"/>
      <c r="FP92" s="1837"/>
      <c r="FQ92" s="1838"/>
      <c r="FR92" s="1839"/>
      <c r="FS92" s="1840"/>
      <c r="FT92" s="1837"/>
      <c r="FU92" s="1838"/>
      <c r="FV92" s="1837"/>
      <c r="FW92" s="1838"/>
      <c r="FX92" s="1839"/>
      <c r="FY92" s="1840"/>
      <c r="FZ92" s="1837"/>
      <c r="GA92" s="1838"/>
      <c r="GB92" s="1837"/>
      <c r="GC92" s="1838"/>
      <c r="GD92" s="1839"/>
      <c r="GE92" s="1840"/>
      <c r="GF92" s="1837"/>
      <c r="GG92" s="1838"/>
      <c r="GH92" s="1837"/>
      <c r="GI92" s="1838"/>
      <c r="GJ92" s="1839"/>
      <c r="GK92" s="1840"/>
      <c r="GL92" s="1837"/>
      <c r="GM92" s="1838"/>
      <c r="GN92" s="1837"/>
      <c r="GO92" s="1838"/>
      <c r="GP92" s="1839"/>
    </row>
    <row r="93" spans="1:198" ht="20.100000000000001" hidden="1" customHeight="1" outlineLevel="1">
      <c r="A93" s="2709"/>
      <c r="B93" s="2612"/>
      <c r="C93" s="1836"/>
      <c r="D93" s="2614" t="str">
        <f>実績!C1167&amp;"("&amp;SUBSTITUTE(実績!R1167&amp;")","株式会社 ","")</f>
        <v>米山電導機 社屋 増築(塩野建築設計事務所)</v>
      </c>
      <c r="E93" s="2615"/>
      <c r="F93" s="2615"/>
      <c r="G93" s="2615"/>
      <c r="H93" s="2615"/>
      <c r="I93" s="2615"/>
      <c r="J93" s="2615"/>
      <c r="K93" s="2615"/>
      <c r="L93" s="2615"/>
      <c r="M93" s="2615"/>
      <c r="N93" s="2615"/>
      <c r="O93" s="2615"/>
      <c r="P93" s="2615"/>
      <c r="Q93" s="2616"/>
      <c r="R93" s="1969"/>
      <c r="S93" s="1837"/>
      <c r="T93" s="1837"/>
      <c r="U93" s="1838"/>
      <c r="V93" s="1837"/>
      <c r="W93" s="1838"/>
      <c r="X93" s="1839"/>
      <c r="Y93" s="1837"/>
      <c r="Z93" s="1837"/>
      <c r="AA93" s="1838"/>
      <c r="AB93" s="1837"/>
      <c r="AC93" s="1838"/>
      <c r="AD93" s="1837"/>
      <c r="AE93" s="1840"/>
      <c r="AF93" s="1837"/>
      <c r="AG93" s="1838"/>
      <c r="AH93" s="1837"/>
      <c r="AI93" s="1838"/>
      <c r="AJ93" s="1839"/>
      <c r="AK93" s="1837"/>
      <c r="AL93" s="1837"/>
      <c r="AM93" s="1838"/>
      <c r="AN93" s="1837"/>
      <c r="AO93" s="1838" t="s">
        <v>8586</v>
      </c>
      <c r="AP93" s="1837"/>
      <c r="AQ93" s="1841" t="s">
        <v>8587</v>
      </c>
      <c r="AR93" s="1837"/>
      <c r="AS93" s="1838"/>
      <c r="AT93" s="1837"/>
      <c r="AU93" s="1838"/>
      <c r="AV93" s="1839"/>
      <c r="AW93" s="1840"/>
      <c r="AX93" s="1837"/>
      <c r="AY93" s="1838"/>
      <c r="AZ93" s="1837"/>
      <c r="BA93" s="1838"/>
      <c r="BB93" s="1839"/>
      <c r="BC93" s="1837"/>
      <c r="BD93" s="1837"/>
      <c r="BE93" s="1838"/>
      <c r="BF93" s="1837"/>
      <c r="BG93" s="1838"/>
      <c r="BH93" s="1837"/>
      <c r="BI93" s="1840"/>
      <c r="BJ93" s="1837"/>
      <c r="BK93" s="1838"/>
      <c r="BL93" s="1837"/>
      <c r="BM93" s="1838"/>
      <c r="BN93" s="1839"/>
      <c r="BO93" s="1840"/>
      <c r="BP93" s="1837"/>
      <c r="BQ93" s="1838"/>
      <c r="BR93" s="1837"/>
      <c r="BS93" s="1838"/>
      <c r="BT93" s="1839"/>
      <c r="BU93" s="1840"/>
      <c r="BV93" s="1837"/>
      <c r="BW93" s="1838"/>
      <c r="BX93" s="1837"/>
      <c r="BY93" s="1838"/>
      <c r="BZ93" s="1839"/>
      <c r="CA93" s="1840"/>
      <c r="CB93" s="1837"/>
      <c r="CC93" s="1838"/>
      <c r="CD93" s="1837"/>
      <c r="CE93" s="1838"/>
      <c r="CF93" s="1839"/>
      <c r="CG93" s="1840"/>
      <c r="CH93" s="1837"/>
      <c r="CI93" s="1838"/>
      <c r="CJ93" s="1837"/>
      <c r="CK93" s="1838"/>
      <c r="CL93" s="1839"/>
      <c r="CM93" s="1840"/>
      <c r="CN93" s="1837"/>
      <c r="CO93" s="1838"/>
      <c r="CP93" s="1837"/>
      <c r="CQ93" s="1838"/>
      <c r="CR93" s="1839"/>
      <c r="CS93" s="1840"/>
      <c r="CT93" s="1837"/>
      <c r="CU93" s="1838"/>
      <c r="CV93" s="1837"/>
      <c r="CW93" s="1838"/>
      <c r="CX93" s="1839"/>
      <c r="CY93" s="1840"/>
      <c r="CZ93" s="1837"/>
      <c r="DA93" s="1838"/>
      <c r="DB93" s="1837"/>
      <c r="DC93" s="1838"/>
      <c r="DD93" s="1839"/>
      <c r="DE93" s="1840"/>
      <c r="DF93" s="1837"/>
      <c r="DG93" s="1838"/>
      <c r="DH93" s="1837"/>
      <c r="DI93" s="1838"/>
      <c r="DJ93" s="1839"/>
      <c r="DK93" s="1840"/>
      <c r="DL93" s="1837"/>
      <c r="DM93" s="1838"/>
      <c r="DN93" s="1837"/>
      <c r="DO93" s="1838"/>
      <c r="DP93" s="1837"/>
      <c r="DQ93" s="1853"/>
      <c r="DR93" s="1837"/>
      <c r="DS93" s="1838"/>
      <c r="DT93" s="1842"/>
      <c r="DU93" s="1837"/>
      <c r="DV93" s="1839"/>
      <c r="DW93" s="1840"/>
      <c r="DX93" s="1837"/>
      <c r="DY93" s="1838"/>
      <c r="DZ93" s="1837"/>
      <c r="EA93" s="1838"/>
      <c r="EB93" s="1839"/>
      <c r="EC93" s="1840"/>
      <c r="ED93" s="1837"/>
      <c r="EE93" s="1838"/>
      <c r="EF93" s="1837"/>
      <c r="EG93" s="1838"/>
      <c r="EH93" s="1839"/>
      <c r="EI93" s="1840"/>
      <c r="EJ93" s="1837"/>
      <c r="EK93" s="1838"/>
      <c r="EL93" s="1837"/>
      <c r="EM93" s="1838"/>
      <c r="EN93" s="1839"/>
      <c r="EO93" s="1840"/>
      <c r="EP93" s="1837"/>
      <c r="EQ93" s="1838"/>
      <c r="ER93" s="1837"/>
      <c r="ES93" s="1838"/>
      <c r="ET93" s="1839"/>
      <c r="EU93" s="1840"/>
      <c r="EV93" s="1837"/>
      <c r="EW93" s="1838"/>
      <c r="EX93" s="1837"/>
      <c r="EY93" s="1838"/>
      <c r="EZ93" s="1839"/>
      <c r="FA93" s="1840"/>
      <c r="FB93" s="1837"/>
      <c r="FC93" s="1838"/>
      <c r="FD93" s="1837"/>
      <c r="FE93" s="1838"/>
      <c r="FF93" s="1839"/>
      <c r="FG93" s="1840"/>
      <c r="FH93" s="1837"/>
      <c r="FI93" s="1838"/>
      <c r="FJ93" s="1837"/>
      <c r="FK93" s="1838"/>
      <c r="FL93" s="1839"/>
      <c r="FM93" s="1840"/>
      <c r="FN93" s="1837"/>
      <c r="FO93" s="1838"/>
      <c r="FP93" s="1837"/>
      <c r="FQ93" s="1838"/>
      <c r="FR93" s="1839"/>
      <c r="FS93" s="1840"/>
      <c r="FT93" s="1837"/>
      <c r="FU93" s="1838"/>
      <c r="FV93" s="1837"/>
      <c r="FW93" s="1838"/>
      <c r="FX93" s="1839"/>
      <c r="FY93" s="1840"/>
      <c r="FZ93" s="1837"/>
      <c r="GA93" s="1838"/>
      <c r="GB93" s="1837"/>
      <c r="GC93" s="1838"/>
      <c r="GD93" s="1839"/>
      <c r="GE93" s="1840"/>
      <c r="GF93" s="1837"/>
      <c r="GG93" s="1838"/>
      <c r="GH93" s="1837"/>
      <c r="GI93" s="1838"/>
      <c r="GJ93" s="1839"/>
      <c r="GK93" s="1840"/>
      <c r="GL93" s="1837"/>
      <c r="GM93" s="1838"/>
      <c r="GN93" s="1837"/>
      <c r="GO93" s="1838"/>
      <c r="GP93" s="1839"/>
    </row>
    <row r="94" spans="1:198" ht="20.100000000000001" hidden="1" customHeight="1" outlineLevel="1">
      <c r="A94" s="2709"/>
      <c r="B94" s="2612"/>
      <c r="C94" s="1836"/>
      <c r="D94" s="2614" t="str">
        <f>実績!C1166&amp;"("&amp;SUBSTITUTE(実績!W1166&amp;")","株式会社 ","")</f>
        <v>マルエーミニ金石(中島建築事務所)</v>
      </c>
      <c r="E94" s="2615"/>
      <c r="F94" s="2615"/>
      <c r="G94" s="2615"/>
      <c r="H94" s="2615"/>
      <c r="I94" s="2615"/>
      <c r="J94" s="2615"/>
      <c r="K94" s="2615"/>
      <c r="L94" s="2615"/>
      <c r="M94" s="2615"/>
      <c r="N94" s="2615"/>
      <c r="O94" s="2615"/>
      <c r="P94" s="2615"/>
      <c r="Q94" s="2616"/>
      <c r="R94" s="1969"/>
      <c r="S94" s="1837"/>
      <c r="T94" s="1837"/>
      <c r="U94" s="1838"/>
      <c r="V94" s="1837"/>
      <c r="W94" s="1838"/>
      <c r="X94" s="1839"/>
      <c r="Y94" s="1837"/>
      <c r="Z94" s="1837"/>
      <c r="AA94" s="1838"/>
      <c r="AB94" s="1837"/>
      <c r="AC94" s="1838"/>
      <c r="AD94" s="1837"/>
      <c r="AE94" s="1840"/>
      <c r="AF94" s="1837"/>
      <c r="AG94" s="1838"/>
      <c r="AH94" s="1837"/>
      <c r="AI94" s="1838"/>
      <c r="AJ94" s="1839"/>
      <c r="AK94" s="1837"/>
      <c r="AL94" s="1837"/>
      <c r="AM94" s="1838"/>
      <c r="AN94" s="1842"/>
      <c r="AO94" s="1838"/>
      <c r="AP94" s="1837"/>
      <c r="AQ94" s="1841" t="s">
        <v>8250</v>
      </c>
      <c r="AR94" s="1837"/>
      <c r="AS94" s="1838"/>
      <c r="AT94" s="1837"/>
      <c r="AU94" s="1838"/>
      <c r="AV94" s="1839"/>
      <c r="AW94" s="1840"/>
      <c r="AX94" s="1837"/>
      <c r="AY94" s="1838"/>
      <c r="AZ94" s="1837"/>
      <c r="BA94" s="1838"/>
      <c r="BB94" s="1839"/>
      <c r="BC94" s="1837" t="s">
        <v>8145</v>
      </c>
      <c r="BD94" s="1837"/>
      <c r="BE94" s="1838"/>
      <c r="BF94" s="1837"/>
      <c r="BG94" s="1838"/>
      <c r="BH94" s="1837"/>
      <c r="BI94" s="1840"/>
      <c r="BJ94" s="1837"/>
      <c r="BK94" s="1838"/>
      <c r="BL94" s="1837"/>
      <c r="BM94" s="1838"/>
      <c r="BN94" s="1839"/>
      <c r="BO94" s="1840"/>
      <c r="BP94" s="1837"/>
      <c r="BQ94" s="1838"/>
      <c r="BR94" s="1837"/>
      <c r="BS94" s="1838"/>
      <c r="BT94" s="1839"/>
      <c r="BU94" s="1840"/>
      <c r="BV94" s="1837"/>
      <c r="BW94" s="1838"/>
      <c r="BX94" s="1837"/>
      <c r="BY94" s="1838"/>
      <c r="BZ94" s="1839"/>
      <c r="CA94" s="1840"/>
      <c r="CB94" s="1837"/>
      <c r="CC94" s="1838"/>
      <c r="CD94" s="1837"/>
      <c r="CE94" s="1838"/>
      <c r="CF94" s="1839"/>
      <c r="CG94" s="1840"/>
      <c r="CH94" s="1837"/>
      <c r="CI94" s="1838"/>
      <c r="CJ94" s="1837"/>
      <c r="CK94" s="1838"/>
      <c r="CL94" s="1839"/>
      <c r="CM94" s="1840"/>
      <c r="CN94" s="1837"/>
      <c r="CO94" s="1838"/>
      <c r="CP94" s="1837"/>
      <c r="CQ94" s="1838"/>
      <c r="CR94" s="1839"/>
      <c r="CS94" s="1840"/>
      <c r="CT94" s="1837"/>
      <c r="CU94" s="1838"/>
      <c r="CV94" s="1837"/>
      <c r="CW94" s="1838"/>
      <c r="CX94" s="1839"/>
      <c r="CY94" s="1840"/>
      <c r="CZ94" s="1837"/>
      <c r="DA94" s="1838"/>
      <c r="DB94" s="1837"/>
      <c r="DC94" s="1838"/>
      <c r="DD94" s="1839"/>
      <c r="DE94" s="1840"/>
      <c r="DF94" s="1837"/>
      <c r="DG94" s="1838"/>
      <c r="DH94" s="1837"/>
      <c r="DI94" s="1838"/>
      <c r="DJ94" s="1839"/>
      <c r="DK94" s="1840"/>
      <c r="DL94" s="1837"/>
      <c r="DM94" s="1838"/>
      <c r="DN94" s="1837"/>
      <c r="DO94" s="1838"/>
      <c r="DP94" s="1837"/>
      <c r="DQ94" s="1853"/>
      <c r="DR94" s="1837"/>
      <c r="DS94" s="1838"/>
      <c r="DT94" s="1842"/>
      <c r="DU94" s="1837"/>
      <c r="DV94" s="1839"/>
      <c r="DW94" s="1840"/>
      <c r="DX94" s="1837"/>
      <c r="DY94" s="1838"/>
      <c r="DZ94" s="1837"/>
      <c r="EA94" s="1838"/>
      <c r="EB94" s="1839"/>
      <c r="EC94" s="1840"/>
      <c r="ED94" s="1837"/>
      <c r="EE94" s="1838"/>
      <c r="EF94" s="1837"/>
      <c r="EG94" s="1838"/>
      <c r="EH94" s="1839"/>
      <c r="EI94" s="1840"/>
      <c r="EJ94" s="1837"/>
      <c r="EK94" s="1838"/>
      <c r="EL94" s="1837"/>
      <c r="EM94" s="1838"/>
      <c r="EN94" s="1839"/>
      <c r="EO94" s="1840"/>
      <c r="EP94" s="1837"/>
      <c r="EQ94" s="1838"/>
      <c r="ER94" s="1837"/>
      <c r="ES94" s="1838"/>
      <c r="ET94" s="1839"/>
      <c r="EU94" s="1840"/>
      <c r="EV94" s="1837"/>
      <c r="EW94" s="1838"/>
      <c r="EX94" s="1837"/>
      <c r="EY94" s="1838"/>
      <c r="EZ94" s="1839"/>
      <c r="FA94" s="1840"/>
      <c r="FB94" s="1837"/>
      <c r="FC94" s="1838"/>
      <c r="FD94" s="1837"/>
      <c r="FE94" s="1838"/>
      <c r="FF94" s="1839"/>
      <c r="FG94" s="1840"/>
      <c r="FH94" s="1837"/>
      <c r="FI94" s="1838"/>
      <c r="FJ94" s="1837"/>
      <c r="FK94" s="1838"/>
      <c r="FL94" s="1839"/>
      <c r="FM94" s="1840"/>
      <c r="FN94" s="1837"/>
      <c r="FO94" s="1838"/>
      <c r="FP94" s="1837"/>
      <c r="FQ94" s="1838"/>
      <c r="FR94" s="1839"/>
      <c r="FS94" s="1840"/>
      <c r="FT94" s="1837"/>
      <c r="FU94" s="1838"/>
      <c r="FV94" s="1837"/>
      <c r="FW94" s="1838"/>
      <c r="FX94" s="1839"/>
      <c r="FY94" s="1840"/>
      <c r="FZ94" s="1837"/>
      <c r="GA94" s="1838"/>
      <c r="GB94" s="1837"/>
      <c r="GC94" s="1838"/>
      <c r="GD94" s="1839"/>
      <c r="GE94" s="1840"/>
      <c r="GF94" s="1837"/>
      <c r="GG94" s="1838"/>
      <c r="GH94" s="1837"/>
      <c r="GI94" s="1838"/>
      <c r="GJ94" s="1839"/>
      <c r="GK94" s="1840"/>
      <c r="GL94" s="1837"/>
      <c r="GM94" s="1838"/>
      <c r="GN94" s="1837"/>
      <c r="GO94" s="1838"/>
      <c r="GP94" s="1839"/>
    </row>
    <row r="95" spans="1:198" ht="20.100000000000001" hidden="1" customHeight="1" outlineLevel="1">
      <c r="A95" s="2709"/>
      <c r="B95" s="2612"/>
      <c r="C95" s="1836"/>
      <c r="D95" s="2614" t="str">
        <f>実績!C1170&amp;"("&amp;SUBSTITUTE(実績!W1170&amp;")","株式会社 ","")</f>
        <v>イエローハット利府(構造プランニング)</v>
      </c>
      <c r="E95" s="2615"/>
      <c r="F95" s="2615"/>
      <c r="G95" s="2615"/>
      <c r="H95" s="2615"/>
      <c r="I95" s="2615"/>
      <c r="J95" s="2615"/>
      <c r="K95" s="2615"/>
      <c r="L95" s="2615"/>
      <c r="M95" s="2615"/>
      <c r="N95" s="2615"/>
      <c r="O95" s="2615"/>
      <c r="P95" s="2615"/>
      <c r="Q95" s="2616"/>
      <c r="R95" s="1969"/>
      <c r="S95" s="1837"/>
      <c r="T95" s="1837"/>
      <c r="U95" s="1838"/>
      <c r="V95" s="1837"/>
      <c r="W95" s="1838"/>
      <c r="X95" s="1839"/>
      <c r="Y95" s="1837"/>
      <c r="Z95" s="1837"/>
      <c r="AA95" s="1838"/>
      <c r="AB95" s="1837"/>
      <c r="AC95" s="1838"/>
      <c r="AD95" s="1837"/>
      <c r="AE95" s="1840"/>
      <c r="AF95" s="1837"/>
      <c r="AG95" s="1838"/>
      <c r="AH95" s="1837"/>
      <c r="AI95" s="1838"/>
      <c r="AJ95" s="1839"/>
      <c r="AK95" s="1837"/>
      <c r="AL95" s="1837"/>
      <c r="AM95" s="1838"/>
      <c r="AN95" s="1842"/>
      <c r="AO95" s="1838"/>
      <c r="AP95" s="1837"/>
      <c r="AQ95" s="1841" t="s">
        <v>8250</v>
      </c>
      <c r="AR95" s="1837"/>
      <c r="AS95" s="1838"/>
      <c r="AT95" s="1837"/>
      <c r="AU95" s="1838"/>
      <c r="AV95" s="1839"/>
      <c r="AW95" s="1840"/>
      <c r="AX95" s="1837"/>
      <c r="AY95" s="1838"/>
      <c r="AZ95" s="1837"/>
      <c r="BA95" s="1838"/>
      <c r="BB95" s="1839"/>
      <c r="BC95" s="1837"/>
      <c r="BD95" s="1837"/>
      <c r="BE95" s="1838"/>
      <c r="BF95" s="1837"/>
      <c r="BG95" s="1838"/>
      <c r="BH95" s="1837"/>
      <c r="BI95" s="1840"/>
      <c r="BJ95" s="1837"/>
      <c r="BK95" s="1838"/>
      <c r="BL95" s="1837"/>
      <c r="BM95" s="1838"/>
      <c r="BN95" s="1839"/>
      <c r="BO95" s="1840"/>
      <c r="BP95" s="1837"/>
      <c r="BQ95" s="1838"/>
      <c r="BR95" s="1837"/>
      <c r="BS95" s="1838"/>
      <c r="BT95" s="1839"/>
      <c r="BU95" s="1840"/>
      <c r="BV95" s="1837"/>
      <c r="BW95" s="1838"/>
      <c r="BX95" s="1837"/>
      <c r="BY95" s="1838"/>
      <c r="BZ95" s="1839"/>
      <c r="CA95" s="1840"/>
      <c r="CB95" s="1837"/>
      <c r="CC95" s="1838"/>
      <c r="CD95" s="1837"/>
      <c r="CE95" s="1838"/>
      <c r="CF95" s="1839"/>
      <c r="CG95" s="1840"/>
      <c r="CH95" s="1837"/>
      <c r="CI95" s="1838"/>
      <c r="CJ95" s="1837"/>
      <c r="CK95" s="1838"/>
      <c r="CL95" s="1839"/>
      <c r="CM95" s="1840"/>
      <c r="CN95" s="1837"/>
      <c r="CO95" s="1838"/>
      <c r="CP95" s="1837"/>
      <c r="CQ95" s="1838"/>
      <c r="CR95" s="1839"/>
      <c r="CS95" s="1840"/>
      <c r="CT95" s="1837"/>
      <c r="CU95" s="1838"/>
      <c r="CV95" s="1837"/>
      <c r="CW95" s="1838"/>
      <c r="CX95" s="1839"/>
      <c r="CY95" s="1840"/>
      <c r="CZ95" s="1837"/>
      <c r="DA95" s="1838"/>
      <c r="DB95" s="1837"/>
      <c r="DC95" s="1838"/>
      <c r="DD95" s="1839"/>
      <c r="DE95" s="1840"/>
      <c r="DF95" s="1837"/>
      <c r="DG95" s="1838"/>
      <c r="DH95" s="1837"/>
      <c r="DI95" s="1838"/>
      <c r="DJ95" s="1839"/>
      <c r="DK95" s="1840"/>
      <c r="DL95" s="1837"/>
      <c r="DM95" s="1838"/>
      <c r="DN95" s="1837"/>
      <c r="DO95" s="1838"/>
      <c r="DP95" s="1837"/>
      <c r="DQ95" s="1853"/>
      <c r="DR95" s="1837"/>
      <c r="DS95" s="1838"/>
      <c r="DT95" s="1842"/>
      <c r="DU95" s="1837"/>
      <c r="DV95" s="1839"/>
      <c r="DW95" s="1840"/>
      <c r="DX95" s="1837"/>
      <c r="DY95" s="1838"/>
      <c r="DZ95" s="1837"/>
      <c r="EA95" s="1838"/>
      <c r="EB95" s="1839"/>
      <c r="EC95" s="1840"/>
      <c r="ED95" s="1837"/>
      <c r="EE95" s="1838"/>
      <c r="EF95" s="1837"/>
      <c r="EG95" s="1838"/>
      <c r="EH95" s="1839"/>
      <c r="EI95" s="1840"/>
      <c r="EJ95" s="1837"/>
      <c r="EK95" s="1838"/>
      <c r="EL95" s="1837"/>
      <c r="EM95" s="1838"/>
      <c r="EN95" s="1839"/>
      <c r="EO95" s="1840"/>
      <c r="EP95" s="1837"/>
      <c r="EQ95" s="1838"/>
      <c r="ER95" s="1837"/>
      <c r="ES95" s="1838"/>
      <c r="ET95" s="1839"/>
      <c r="EU95" s="1840"/>
      <c r="EV95" s="1837"/>
      <c r="EW95" s="1838"/>
      <c r="EX95" s="1837"/>
      <c r="EY95" s="1838"/>
      <c r="EZ95" s="1839"/>
      <c r="FA95" s="1840"/>
      <c r="FB95" s="1837"/>
      <c r="FC95" s="1838"/>
      <c r="FD95" s="1837"/>
      <c r="FE95" s="1838"/>
      <c r="FF95" s="1839"/>
      <c r="FG95" s="1840"/>
      <c r="FH95" s="1837"/>
      <c r="FI95" s="1838"/>
      <c r="FJ95" s="1837"/>
      <c r="FK95" s="1838"/>
      <c r="FL95" s="1839"/>
      <c r="FM95" s="1840"/>
      <c r="FN95" s="1837"/>
      <c r="FO95" s="1838"/>
      <c r="FP95" s="1837"/>
      <c r="FQ95" s="1838"/>
      <c r="FR95" s="1839"/>
      <c r="FS95" s="1840"/>
      <c r="FT95" s="1837"/>
      <c r="FU95" s="1838"/>
      <c r="FV95" s="1837"/>
      <c r="FW95" s="1838"/>
      <c r="FX95" s="1839"/>
      <c r="FY95" s="1840"/>
      <c r="FZ95" s="1837"/>
      <c r="GA95" s="1838"/>
      <c r="GB95" s="1837"/>
      <c r="GC95" s="1838"/>
      <c r="GD95" s="1839"/>
      <c r="GE95" s="1840"/>
      <c r="GF95" s="1837"/>
      <c r="GG95" s="1838"/>
      <c r="GH95" s="1837"/>
      <c r="GI95" s="1838"/>
      <c r="GJ95" s="1839"/>
      <c r="GK95" s="1840"/>
      <c r="GL95" s="1837"/>
      <c r="GM95" s="1838"/>
      <c r="GN95" s="1837"/>
      <c r="GO95" s="1838"/>
      <c r="GP95" s="1839"/>
    </row>
    <row r="96" spans="1:198" ht="20.100000000000001" hidden="1" customHeight="1" outlineLevel="1">
      <c r="A96" s="2709"/>
      <c r="B96" s="2612"/>
      <c r="C96" s="1836"/>
      <c r="D96" s="2614" t="str">
        <f>実績!C1171&amp;"("&amp;SUBSTITUTE(実績!W1171&amp;")","株式会社 ","")</f>
        <v>TSUTAYA利府(構造プランニング)</v>
      </c>
      <c r="E96" s="2615"/>
      <c r="F96" s="2615"/>
      <c r="G96" s="2615"/>
      <c r="H96" s="2615"/>
      <c r="I96" s="2615"/>
      <c r="J96" s="2615"/>
      <c r="K96" s="2615"/>
      <c r="L96" s="2615"/>
      <c r="M96" s="2615"/>
      <c r="N96" s="2615"/>
      <c r="O96" s="2615"/>
      <c r="P96" s="2615"/>
      <c r="Q96" s="2616"/>
      <c r="R96" s="1969"/>
      <c r="S96" s="1837"/>
      <c r="T96" s="1837"/>
      <c r="U96" s="1838"/>
      <c r="V96" s="1837"/>
      <c r="W96" s="1838"/>
      <c r="X96" s="1839"/>
      <c r="Y96" s="1837"/>
      <c r="Z96" s="1837"/>
      <c r="AA96" s="1838"/>
      <c r="AB96" s="1837"/>
      <c r="AC96" s="1838"/>
      <c r="AD96" s="1837"/>
      <c r="AE96" s="1840"/>
      <c r="AF96" s="1837"/>
      <c r="AG96" s="1838"/>
      <c r="AH96" s="1837"/>
      <c r="AI96" s="1838"/>
      <c r="AJ96" s="1839"/>
      <c r="AK96" s="1837"/>
      <c r="AL96" s="1837"/>
      <c r="AM96" s="1838"/>
      <c r="AN96" s="1842"/>
      <c r="AO96" s="1838"/>
      <c r="AP96" s="1837"/>
      <c r="AQ96" s="1841" t="s">
        <v>8250</v>
      </c>
      <c r="AR96" s="1837"/>
      <c r="AS96" s="1838"/>
      <c r="AT96" s="1837"/>
      <c r="AU96" s="1838"/>
      <c r="AV96" s="1839"/>
      <c r="AW96" s="1840"/>
      <c r="AX96" s="1837"/>
      <c r="AY96" s="1838"/>
      <c r="AZ96" s="1837"/>
      <c r="BA96" s="1838"/>
      <c r="BB96" s="1839"/>
      <c r="BC96" s="1837"/>
      <c r="BD96" s="1837"/>
      <c r="BE96" s="1838"/>
      <c r="BF96" s="1837"/>
      <c r="BG96" s="1838"/>
      <c r="BH96" s="1837"/>
      <c r="BI96" s="1840"/>
      <c r="BJ96" s="1837"/>
      <c r="BK96" s="1838"/>
      <c r="BL96" s="1837"/>
      <c r="BM96" s="1838"/>
      <c r="BN96" s="1839"/>
      <c r="BO96" s="1840"/>
      <c r="BP96" s="1837"/>
      <c r="BQ96" s="1838"/>
      <c r="BR96" s="1837"/>
      <c r="BS96" s="1838"/>
      <c r="BT96" s="1839"/>
      <c r="BU96" s="1840"/>
      <c r="BV96" s="1837"/>
      <c r="BW96" s="1838"/>
      <c r="BX96" s="1837"/>
      <c r="BY96" s="1838"/>
      <c r="BZ96" s="1839"/>
      <c r="CA96" s="1840"/>
      <c r="CB96" s="1837"/>
      <c r="CC96" s="1838"/>
      <c r="CD96" s="1837"/>
      <c r="CE96" s="1838"/>
      <c r="CF96" s="1839"/>
      <c r="CG96" s="1840"/>
      <c r="CH96" s="1837"/>
      <c r="CI96" s="1838"/>
      <c r="CJ96" s="1837"/>
      <c r="CK96" s="1838"/>
      <c r="CL96" s="1839"/>
      <c r="CM96" s="1840"/>
      <c r="CN96" s="1837"/>
      <c r="CO96" s="1838"/>
      <c r="CP96" s="1837"/>
      <c r="CQ96" s="1838"/>
      <c r="CR96" s="1839"/>
      <c r="CS96" s="1840"/>
      <c r="CT96" s="1837"/>
      <c r="CU96" s="1838"/>
      <c r="CV96" s="1837"/>
      <c r="CW96" s="1838"/>
      <c r="CX96" s="1839"/>
      <c r="CY96" s="1840"/>
      <c r="CZ96" s="1837"/>
      <c r="DA96" s="1838"/>
      <c r="DB96" s="1837"/>
      <c r="DC96" s="1838"/>
      <c r="DD96" s="1839"/>
      <c r="DE96" s="1840"/>
      <c r="DF96" s="1837"/>
      <c r="DG96" s="1838"/>
      <c r="DH96" s="1837"/>
      <c r="DI96" s="1838"/>
      <c r="DJ96" s="1839"/>
      <c r="DK96" s="1840"/>
      <c r="DL96" s="1837"/>
      <c r="DM96" s="1838"/>
      <c r="DN96" s="1837"/>
      <c r="DO96" s="1838"/>
      <c r="DP96" s="1837"/>
      <c r="DQ96" s="1853"/>
      <c r="DR96" s="1837"/>
      <c r="DS96" s="1838"/>
      <c r="DT96" s="1842"/>
      <c r="DU96" s="1837"/>
      <c r="DV96" s="1839"/>
      <c r="DW96" s="1840"/>
      <c r="DX96" s="1837"/>
      <c r="DY96" s="1838"/>
      <c r="DZ96" s="1837"/>
      <c r="EA96" s="1838"/>
      <c r="EB96" s="1839"/>
      <c r="EC96" s="1840"/>
      <c r="ED96" s="1837"/>
      <c r="EE96" s="1838"/>
      <c r="EF96" s="1837"/>
      <c r="EG96" s="1838"/>
      <c r="EH96" s="1839"/>
      <c r="EI96" s="1840"/>
      <c r="EJ96" s="1837"/>
      <c r="EK96" s="1838"/>
      <c r="EL96" s="1837"/>
      <c r="EM96" s="1838"/>
      <c r="EN96" s="1839"/>
      <c r="EO96" s="1840"/>
      <c r="EP96" s="1837"/>
      <c r="EQ96" s="1838"/>
      <c r="ER96" s="1837"/>
      <c r="ES96" s="1838"/>
      <c r="ET96" s="1839"/>
      <c r="EU96" s="1840"/>
      <c r="EV96" s="1837"/>
      <c r="EW96" s="1838"/>
      <c r="EX96" s="1837"/>
      <c r="EY96" s="1838"/>
      <c r="EZ96" s="1839"/>
      <c r="FA96" s="1840"/>
      <c r="FB96" s="1837"/>
      <c r="FC96" s="1838"/>
      <c r="FD96" s="1837"/>
      <c r="FE96" s="1838"/>
      <c r="FF96" s="1839"/>
      <c r="FG96" s="1840"/>
      <c r="FH96" s="1837"/>
      <c r="FI96" s="1838"/>
      <c r="FJ96" s="1837"/>
      <c r="FK96" s="1838"/>
      <c r="FL96" s="1839"/>
      <c r="FM96" s="1840"/>
      <c r="FN96" s="1837"/>
      <c r="FO96" s="1838"/>
      <c r="FP96" s="1837"/>
      <c r="FQ96" s="1838"/>
      <c r="FR96" s="1839"/>
      <c r="FS96" s="1840"/>
      <c r="FT96" s="1837"/>
      <c r="FU96" s="1838"/>
      <c r="FV96" s="1837"/>
      <c r="FW96" s="1838"/>
      <c r="FX96" s="1839"/>
      <c r="FY96" s="1840"/>
      <c r="FZ96" s="1837"/>
      <c r="GA96" s="1838"/>
      <c r="GB96" s="1837"/>
      <c r="GC96" s="1838"/>
      <c r="GD96" s="1839"/>
      <c r="GE96" s="1840"/>
      <c r="GF96" s="1837"/>
      <c r="GG96" s="1838"/>
      <c r="GH96" s="1837"/>
      <c r="GI96" s="1838"/>
      <c r="GJ96" s="1839"/>
      <c r="GK96" s="1840"/>
      <c r="GL96" s="1837"/>
      <c r="GM96" s="1838"/>
      <c r="GN96" s="1837"/>
      <c r="GO96" s="1838"/>
      <c r="GP96" s="1839"/>
    </row>
    <row r="97" spans="1:198" ht="20.100000000000001" hidden="1" customHeight="1" outlineLevel="1">
      <c r="A97" s="2709"/>
      <c r="B97" s="2612"/>
      <c r="C97" s="1836"/>
      <c r="D97" s="2614" t="str">
        <f>実績!C1172&amp;"("&amp;SUBSTITUTE(実績!W1172&amp;")","株式会社 ","")</f>
        <v>ツルハドラック大河原小島(アスコ建築構造室)</v>
      </c>
      <c r="E97" s="2615"/>
      <c r="F97" s="2615"/>
      <c r="G97" s="2615"/>
      <c r="H97" s="2615"/>
      <c r="I97" s="2615"/>
      <c r="J97" s="2615"/>
      <c r="K97" s="2615"/>
      <c r="L97" s="2615"/>
      <c r="M97" s="2615"/>
      <c r="N97" s="2615"/>
      <c r="O97" s="2615"/>
      <c r="P97" s="2615"/>
      <c r="Q97" s="2616"/>
      <c r="R97" s="1969"/>
      <c r="S97" s="1837"/>
      <c r="T97" s="1837"/>
      <c r="U97" s="1838"/>
      <c r="V97" s="1837"/>
      <c r="W97" s="1838"/>
      <c r="X97" s="1839"/>
      <c r="Y97" s="1837"/>
      <c r="Z97" s="1837"/>
      <c r="AA97" s="1838"/>
      <c r="AB97" s="1837"/>
      <c r="AC97" s="1838"/>
      <c r="AD97" s="1837"/>
      <c r="AE97" s="1840"/>
      <c r="AF97" s="1837"/>
      <c r="AG97" s="1838"/>
      <c r="AH97" s="1837"/>
      <c r="AI97" s="1838"/>
      <c r="AJ97" s="1839"/>
      <c r="AK97" s="1837"/>
      <c r="AL97" s="1837"/>
      <c r="AM97" s="1838"/>
      <c r="AN97" s="1842"/>
      <c r="AO97" s="1838"/>
      <c r="AP97" s="1837"/>
      <c r="AQ97" s="1841" t="s">
        <v>8626</v>
      </c>
      <c r="AR97" s="1837"/>
      <c r="AS97" s="1838"/>
      <c r="AT97" s="1837"/>
      <c r="AU97" s="1838"/>
      <c r="AV97" s="1839"/>
      <c r="AW97" s="1840"/>
      <c r="AX97" s="1837"/>
      <c r="AY97" s="1838"/>
      <c r="AZ97" s="1837"/>
      <c r="BA97" s="1838"/>
      <c r="BB97" s="1839"/>
      <c r="BC97" s="1837"/>
      <c r="BD97" s="1837"/>
      <c r="BE97" s="1838"/>
      <c r="BF97" s="1837"/>
      <c r="BG97" s="1838"/>
      <c r="BH97" s="1837"/>
      <c r="BI97" s="1840"/>
      <c r="BJ97" s="1837"/>
      <c r="BK97" s="1838"/>
      <c r="BL97" s="1837"/>
      <c r="BM97" s="1838"/>
      <c r="BN97" s="1839"/>
      <c r="BO97" s="1840"/>
      <c r="BP97" s="1837"/>
      <c r="BQ97" s="1838"/>
      <c r="BR97" s="1837"/>
      <c r="BS97" s="1838"/>
      <c r="BT97" s="1839"/>
      <c r="BU97" s="1840"/>
      <c r="BV97" s="1837"/>
      <c r="BW97" s="1838"/>
      <c r="BX97" s="1837"/>
      <c r="BY97" s="1838"/>
      <c r="BZ97" s="1839"/>
      <c r="CA97" s="1840"/>
      <c r="CB97" s="1837"/>
      <c r="CC97" s="1838"/>
      <c r="CD97" s="1837"/>
      <c r="CE97" s="1838"/>
      <c r="CF97" s="1839"/>
      <c r="CG97" s="1840"/>
      <c r="CH97" s="1837"/>
      <c r="CI97" s="1838"/>
      <c r="CJ97" s="1837"/>
      <c r="CK97" s="1838"/>
      <c r="CL97" s="1839"/>
      <c r="CM97" s="1840"/>
      <c r="CN97" s="1837"/>
      <c r="CO97" s="1838"/>
      <c r="CP97" s="1837"/>
      <c r="CQ97" s="1838"/>
      <c r="CR97" s="1839"/>
      <c r="CS97" s="1840"/>
      <c r="CT97" s="1837"/>
      <c r="CU97" s="1838"/>
      <c r="CV97" s="1837"/>
      <c r="CW97" s="1838"/>
      <c r="CX97" s="1839"/>
      <c r="CY97" s="1840"/>
      <c r="CZ97" s="1837"/>
      <c r="DA97" s="1838"/>
      <c r="DB97" s="1837"/>
      <c r="DC97" s="1838"/>
      <c r="DD97" s="1839"/>
      <c r="DE97" s="1840"/>
      <c r="DF97" s="1837"/>
      <c r="DG97" s="1838"/>
      <c r="DH97" s="1837"/>
      <c r="DI97" s="1838"/>
      <c r="DJ97" s="1839"/>
      <c r="DK97" s="1840"/>
      <c r="DL97" s="1837"/>
      <c r="DM97" s="1838"/>
      <c r="DN97" s="1837"/>
      <c r="DO97" s="1838"/>
      <c r="DP97" s="1837"/>
      <c r="DQ97" s="1853"/>
      <c r="DR97" s="1837"/>
      <c r="DS97" s="1838"/>
      <c r="DT97" s="1842"/>
      <c r="DU97" s="1837"/>
      <c r="DV97" s="1839"/>
      <c r="DW97" s="1840"/>
      <c r="DX97" s="1837"/>
      <c r="DY97" s="1838"/>
      <c r="DZ97" s="1837"/>
      <c r="EA97" s="1838"/>
      <c r="EB97" s="1839"/>
      <c r="EC97" s="1840"/>
      <c r="ED97" s="1837"/>
      <c r="EE97" s="1838"/>
      <c r="EF97" s="1837"/>
      <c r="EG97" s="1838"/>
      <c r="EH97" s="1839"/>
      <c r="EI97" s="1840"/>
      <c r="EJ97" s="1837"/>
      <c r="EK97" s="1838"/>
      <c r="EL97" s="1837"/>
      <c r="EM97" s="1838"/>
      <c r="EN97" s="1839"/>
      <c r="EO97" s="1840"/>
      <c r="EP97" s="1837"/>
      <c r="EQ97" s="1838"/>
      <c r="ER97" s="1837"/>
      <c r="ES97" s="1838"/>
      <c r="ET97" s="1839"/>
      <c r="EU97" s="1840"/>
      <c r="EV97" s="1837"/>
      <c r="EW97" s="1838"/>
      <c r="EX97" s="1837"/>
      <c r="EY97" s="1838"/>
      <c r="EZ97" s="1839"/>
      <c r="FA97" s="1840"/>
      <c r="FB97" s="1837"/>
      <c r="FC97" s="1838"/>
      <c r="FD97" s="1837"/>
      <c r="FE97" s="1838"/>
      <c r="FF97" s="1839"/>
      <c r="FG97" s="1840"/>
      <c r="FH97" s="1837"/>
      <c r="FI97" s="1838"/>
      <c r="FJ97" s="1837"/>
      <c r="FK97" s="1838"/>
      <c r="FL97" s="1839"/>
      <c r="FM97" s="1840"/>
      <c r="FN97" s="1837"/>
      <c r="FO97" s="1838"/>
      <c r="FP97" s="1837"/>
      <c r="FQ97" s="1838"/>
      <c r="FR97" s="1839"/>
      <c r="FS97" s="1840"/>
      <c r="FT97" s="1837"/>
      <c r="FU97" s="1838"/>
      <c r="FV97" s="1837"/>
      <c r="FW97" s="1838"/>
      <c r="FX97" s="1839"/>
      <c r="FY97" s="1840"/>
      <c r="FZ97" s="1837"/>
      <c r="GA97" s="1838"/>
      <c r="GB97" s="1837"/>
      <c r="GC97" s="1838"/>
      <c r="GD97" s="1839"/>
      <c r="GE97" s="1840"/>
      <c r="GF97" s="1837"/>
      <c r="GG97" s="1838"/>
      <c r="GH97" s="1837"/>
      <c r="GI97" s="1838"/>
      <c r="GJ97" s="1839"/>
      <c r="GK97" s="1840"/>
      <c r="GL97" s="1837"/>
      <c r="GM97" s="1838"/>
      <c r="GN97" s="1837"/>
      <c r="GO97" s="1838"/>
      <c r="GP97" s="1839"/>
    </row>
    <row r="98" spans="1:198" ht="20.100000000000001" hidden="1" customHeight="1" outlineLevel="1">
      <c r="A98" s="2709"/>
      <c r="B98" s="2612"/>
      <c r="C98" s="1836"/>
      <c r="D98" s="2614" t="str">
        <f>実績!C1149&amp;"("&amp;SUBSTITUTE(実績!W1149&amp;")","有限会社 ","")</f>
        <v>一柳運送倉庫(K-eins)</v>
      </c>
      <c r="E98" s="2615"/>
      <c r="F98" s="2615"/>
      <c r="G98" s="2615"/>
      <c r="H98" s="2615"/>
      <c r="I98" s="2615"/>
      <c r="J98" s="2615"/>
      <c r="K98" s="2615"/>
      <c r="L98" s="2615"/>
      <c r="M98" s="2615"/>
      <c r="N98" s="2615"/>
      <c r="O98" s="2615"/>
      <c r="P98" s="2615"/>
      <c r="Q98" s="2616"/>
      <c r="R98" s="1969"/>
      <c r="S98" s="1837"/>
      <c r="T98" s="1837"/>
      <c r="U98" s="1838"/>
      <c r="V98" s="1837"/>
      <c r="W98" s="1838"/>
      <c r="X98" s="1839"/>
      <c r="Y98" s="1837"/>
      <c r="Z98" s="1837"/>
      <c r="AA98" s="1838"/>
      <c r="AB98" s="1837"/>
      <c r="AC98" s="1838"/>
      <c r="AD98" s="1837"/>
      <c r="AE98" s="1840"/>
      <c r="AF98" s="1837"/>
      <c r="AG98" s="1838"/>
      <c r="AH98" s="1837"/>
      <c r="AI98" s="1838"/>
      <c r="AJ98" s="1839"/>
      <c r="AK98" s="1837"/>
      <c r="AL98" s="1837"/>
      <c r="AM98" s="1838"/>
      <c r="AN98" s="1842"/>
      <c r="AO98" s="1838"/>
      <c r="AP98" s="1837"/>
      <c r="AQ98" s="1841" t="s">
        <v>8653</v>
      </c>
      <c r="AR98" s="1837"/>
      <c r="AS98" s="1838"/>
      <c r="AT98" s="1837"/>
      <c r="AU98" s="1838"/>
      <c r="AV98" s="1839"/>
      <c r="AW98" s="1840"/>
      <c r="AX98" s="1837"/>
      <c r="AY98" s="1838"/>
      <c r="AZ98" s="1837"/>
      <c r="BA98" s="1838"/>
      <c r="BB98" s="1839"/>
      <c r="BC98" s="1837"/>
      <c r="BD98" s="1837"/>
      <c r="BE98" s="1838"/>
      <c r="BF98" s="1837"/>
      <c r="BG98" s="1838"/>
      <c r="BH98" s="1837"/>
      <c r="BI98" s="1840"/>
      <c r="BJ98" s="1837"/>
      <c r="BK98" s="1838"/>
      <c r="BL98" s="1837"/>
      <c r="BM98" s="1838"/>
      <c r="BN98" s="1839"/>
      <c r="BO98" s="1840"/>
      <c r="BP98" s="1837"/>
      <c r="BQ98" s="1838"/>
      <c r="BR98" s="1837"/>
      <c r="BS98" s="1838"/>
      <c r="BT98" s="1839"/>
      <c r="BU98" s="1840"/>
      <c r="BV98" s="1837"/>
      <c r="BW98" s="1838"/>
      <c r="BX98" s="1837"/>
      <c r="BY98" s="1838"/>
      <c r="BZ98" s="1839"/>
      <c r="CA98" s="1840"/>
      <c r="CB98" s="1837"/>
      <c r="CC98" s="1838"/>
      <c r="CD98" s="1837"/>
      <c r="CE98" s="1838"/>
      <c r="CF98" s="1839"/>
      <c r="CG98" s="1840"/>
      <c r="CH98" s="1837"/>
      <c r="CI98" s="1838"/>
      <c r="CJ98" s="1837"/>
      <c r="CK98" s="1838"/>
      <c r="CL98" s="1839"/>
      <c r="CM98" s="1840"/>
      <c r="CN98" s="1837"/>
      <c r="CO98" s="1838"/>
      <c r="CP98" s="1837"/>
      <c r="CQ98" s="1838"/>
      <c r="CR98" s="1839"/>
      <c r="CS98" s="1840"/>
      <c r="CT98" s="1837"/>
      <c r="CU98" s="1838"/>
      <c r="CV98" s="1837"/>
      <c r="CW98" s="1838"/>
      <c r="CX98" s="1839"/>
      <c r="CY98" s="1840"/>
      <c r="CZ98" s="1837"/>
      <c r="DA98" s="1838"/>
      <c r="DB98" s="1837"/>
      <c r="DC98" s="1838"/>
      <c r="DD98" s="1839"/>
      <c r="DE98" s="1840"/>
      <c r="DF98" s="1837"/>
      <c r="DG98" s="1838"/>
      <c r="DH98" s="1837"/>
      <c r="DI98" s="1838"/>
      <c r="DJ98" s="1839"/>
      <c r="DK98" s="1840"/>
      <c r="DL98" s="1837"/>
      <c r="DM98" s="1838"/>
      <c r="DN98" s="1837"/>
      <c r="DO98" s="1838"/>
      <c r="DP98" s="1837"/>
      <c r="DQ98" s="1853"/>
      <c r="DR98" s="1837"/>
      <c r="DS98" s="1838"/>
      <c r="DT98" s="1842"/>
      <c r="DU98" s="1837"/>
      <c r="DV98" s="1839"/>
      <c r="DW98" s="1840"/>
      <c r="DX98" s="1837"/>
      <c r="DY98" s="1838"/>
      <c r="DZ98" s="1837"/>
      <c r="EA98" s="1838"/>
      <c r="EB98" s="1839"/>
      <c r="EC98" s="1840"/>
      <c r="ED98" s="1837"/>
      <c r="EE98" s="1838"/>
      <c r="EF98" s="1837"/>
      <c r="EG98" s="1838"/>
      <c r="EH98" s="1839"/>
      <c r="EI98" s="1840"/>
      <c r="EJ98" s="1837"/>
      <c r="EK98" s="1838"/>
      <c r="EL98" s="1837"/>
      <c r="EM98" s="1838"/>
      <c r="EN98" s="1839"/>
      <c r="EO98" s="1840"/>
      <c r="EP98" s="1837"/>
      <c r="EQ98" s="1838"/>
      <c r="ER98" s="1837"/>
      <c r="ES98" s="1838"/>
      <c r="ET98" s="1839"/>
      <c r="EU98" s="1840"/>
      <c r="EV98" s="1837"/>
      <c r="EW98" s="1838"/>
      <c r="EX98" s="1837"/>
      <c r="EY98" s="1838"/>
      <c r="EZ98" s="1839"/>
      <c r="FA98" s="1840"/>
      <c r="FB98" s="1837"/>
      <c r="FC98" s="1838"/>
      <c r="FD98" s="1837"/>
      <c r="FE98" s="1838"/>
      <c r="FF98" s="1839"/>
      <c r="FG98" s="1840"/>
      <c r="FH98" s="1837"/>
      <c r="FI98" s="1838"/>
      <c r="FJ98" s="1837"/>
      <c r="FK98" s="1838"/>
      <c r="FL98" s="1839"/>
      <c r="FM98" s="1840"/>
      <c r="FN98" s="1837"/>
      <c r="FO98" s="1838"/>
      <c r="FP98" s="1837"/>
      <c r="FQ98" s="1838"/>
      <c r="FR98" s="1839"/>
      <c r="FS98" s="1840"/>
      <c r="FT98" s="1837"/>
      <c r="FU98" s="1838"/>
      <c r="FV98" s="1837"/>
      <c r="FW98" s="1838"/>
      <c r="FX98" s="1839"/>
      <c r="FY98" s="1840"/>
      <c r="FZ98" s="1837"/>
      <c r="GA98" s="1838"/>
      <c r="GB98" s="1837"/>
      <c r="GC98" s="1838"/>
      <c r="GD98" s="1839"/>
      <c r="GE98" s="1840"/>
      <c r="GF98" s="1837"/>
      <c r="GG98" s="1838"/>
      <c r="GH98" s="1837"/>
      <c r="GI98" s="1838"/>
      <c r="GJ98" s="1839"/>
      <c r="GK98" s="1840"/>
      <c r="GL98" s="1837"/>
      <c r="GM98" s="1838"/>
      <c r="GN98" s="1837"/>
      <c r="GO98" s="1838"/>
      <c r="GP98" s="1839"/>
    </row>
    <row r="99" spans="1:198" ht="20.100000000000001" hidden="1" customHeight="1" outlineLevel="1">
      <c r="A99" s="2709"/>
      <c r="B99" s="2612"/>
      <c r="C99" s="1836"/>
      <c r="D99" s="2614" t="str">
        <f>実績!C1159&amp;"("&amp;SUBSTITUTE(実績!W1159&amp;")","有限会社 ","")</f>
        <v>つり具センター手稲富丘(旧 アイビック富丘)(原・大野建築設計事務所)</v>
      </c>
      <c r="E99" s="2615"/>
      <c r="F99" s="2615"/>
      <c r="G99" s="2615"/>
      <c r="H99" s="2615"/>
      <c r="I99" s="2615"/>
      <c r="J99" s="2615"/>
      <c r="K99" s="2615"/>
      <c r="L99" s="2615"/>
      <c r="M99" s="2615"/>
      <c r="N99" s="2615"/>
      <c r="O99" s="2615"/>
      <c r="P99" s="2615"/>
      <c r="Q99" s="2616"/>
      <c r="R99" s="1969"/>
      <c r="S99" s="1837"/>
      <c r="T99" s="1837"/>
      <c r="U99" s="1838"/>
      <c r="V99" s="1837"/>
      <c r="W99" s="1838"/>
      <c r="X99" s="1839"/>
      <c r="Y99" s="1837"/>
      <c r="Z99" s="1837"/>
      <c r="AA99" s="1838"/>
      <c r="AB99" s="1837"/>
      <c r="AC99" s="1838"/>
      <c r="AD99" s="1837"/>
      <c r="AE99" s="1840"/>
      <c r="AF99" s="1837"/>
      <c r="AG99" s="1838"/>
      <c r="AH99" s="1837"/>
      <c r="AI99" s="1838"/>
      <c r="AJ99" s="1839"/>
      <c r="AK99" s="1837" t="s">
        <v>8352</v>
      </c>
      <c r="AL99" s="1837"/>
      <c r="AM99" s="1838"/>
      <c r="AN99" s="1837"/>
      <c r="AO99" s="1838"/>
      <c r="AP99" s="1837"/>
      <c r="AQ99" s="1841" t="s">
        <v>8626</v>
      </c>
      <c r="AR99" s="1837"/>
      <c r="AS99" s="1838"/>
      <c r="AT99" s="1837"/>
      <c r="AU99" s="1838"/>
      <c r="AV99" s="1839"/>
      <c r="AW99" s="1840"/>
      <c r="AX99" s="1837"/>
      <c r="AY99" s="1838"/>
      <c r="AZ99" s="1837"/>
      <c r="BA99" s="1838"/>
      <c r="BB99" s="1839"/>
      <c r="BC99" s="1837"/>
      <c r="BD99" s="1837"/>
      <c r="BE99" s="1838"/>
      <c r="BF99" s="1837"/>
      <c r="BG99" s="1838"/>
      <c r="BH99" s="1837"/>
      <c r="BI99" s="1840" t="s">
        <v>8145</v>
      </c>
      <c r="BJ99" s="1837"/>
      <c r="BK99" s="1838"/>
      <c r="BL99" s="1837"/>
      <c r="BM99" s="1838"/>
      <c r="BN99" s="1839"/>
      <c r="BO99" s="1840"/>
      <c r="BP99" s="1837"/>
      <c r="BQ99" s="1838"/>
      <c r="BR99" s="1837"/>
      <c r="BS99" s="1838"/>
      <c r="BT99" s="1839"/>
      <c r="BU99" s="1840"/>
      <c r="BV99" s="1837"/>
      <c r="BW99" s="1838"/>
      <c r="BX99" s="1837"/>
      <c r="BY99" s="1838"/>
      <c r="BZ99" s="1839"/>
      <c r="CA99" s="1840"/>
      <c r="CB99" s="1837"/>
      <c r="CC99" s="1838"/>
      <c r="CD99" s="1837"/>
      <c r="CE99" s="1838"/>
      <c r="CF99" s="1839"/>
      <c r="CG99" s="1840"/>
      <c r="CH99" s="1837"/>
      <c r="CI99" s="1838"/>
      <c r="CJ99" s="1837"/>
      <c r="CK99" s="1838"/>
      <c r="CL99" s="1839"/>
      <c r="CM99" s="1840"/>
      <c r="CN99" s="1837"/>
      <c r="CO99" s="1838"/>
      <c r="CP99" s="1837"/>
      <c r="CQ99" s="1838"/>
      <c r="CR99" s="1839"/>
      <c r="CS99" s="1840"/>
      <c r="CT99" s="1837"/>
      <c r="CU99" s="1838"/>
      <c r="CV99" s="1837"/>
      <c r="CW99" s="1838"/>
      <c r="CX99" s="1839"/>
      <c r="CY99" s="1840"/>
      <c r="CZ99" s="1837"/>
      <c r="DA99" s="1838"/>
      <c r="DB99" s="1837"/>
      <c r="DC99" s="1838"/>
      <c r="DD99" s="1839"/>
      <c r="DE99" s="1840"/>
      <c r="DF99" s="1837"/>
      <c r="DG99" s="1838"/>
      <c r="DH99" s="1837"/>
      <c r="DI99" s="1838"/>
      <c r="DJ99" s="1839"/>
      <c r="DK99" s="1840"/>
      <c r="DL99" s="1837"/>
      <c r="DM99" s="1838"/>
      <c r="DN99" s="1837"/>
      <c r="DO99" s="1838"/>
      <c r="DP99" s="1837"/>
      <c r="DQ99" s="1853"/>
      <c r="DR99" s="1837"/>
      <c r="DS99" s="1838"/>
      <c r="DT99" s="1842"/>
      <c r="DU99" s="1837"/>
      <c r="DV99" s="1839"/>
      <c r="DW99" s="1840"/>
      <c r="DX99" s="1837"/>
      <c r="DY99" s="1838"/>
      <c r="DZ99" s="1837"/>
      <c r="EA99" s="1838"/>
      <c r="EB99" s="1839"/>
      <c r="EC99" s="1840"/>
      <c r="ED99" s="1837"/>
      <c r="EE99" s="1838"/>
      <c r="EF99" s="1837"/>
      <c r="EG99" s="1838"/>
      <c r="EH99" s="1839"/>
      <c r="EI99" s="1840"/>
      <c r="EJ99" s="1837"/>
      <c r="EK99" s="1838"/>
      <c r="EL99" s="1837"/>
      <c r="EM99" s="1838"/>
      <c r="EN99" s="1839"/>
      <c r="EO99" s="1840"/>
      <c r="EP99" s="1837"/>
      <c r="EQ99" s="1838"/>
      <c r="ER99" s="1837"/>
      <c r="ES99" s="1838"/>
      <c r="ET99" s="1839"/>
      <c r="EU99" s="1840"/>
      <c r="EV99" s="1837"/>
      <c r="EW99" s="1838"/>
      <c r="EX99" s="1837"/>
      <c r="EY99" s="1838"/>
      <c r="EZ99" s="1839"/>
      <c r="FA99" s="1840"/>
      <c r="FB99" s="1837"/>
      <c r="FC99" s="1838"/>
      <c r="FD99" s="1837"/>
      <c r="FE99" s="1838"/>
      <c r="FF99" s="1839"/>
      <c r="FG99" s="1840"/>
      <c r="FH99" s="1837"/>
      <c r="FI99" s="1838"/>
      <c r="FJ99" s="1837"/>
      <c r="FK99" s="1838"/>
      <c r="FL99" s="1839"/>
      <c r="FM99" s="1840"/>
      <c r="FN99" s="1837"/>
      <c r="FO99" s="1838"/>
      <c r="FP99" s="1837"/>
      <c r="FQ99" s="1838"/>
      <c r="FR99" s="1839"/>
      <c r="FS99" s="1840"/>
      <c r="FT99" s="1837"/>
      <c r="FU99" s="1838"/>
      <c r="FV99" s="1837"/>
      <c r="FW99" s="1838"/>
      <c r="FX99" s="1839"/>
      <c r="FY99" s="1840"/>
      <c r="FZ99" s="1837"/>
      <c r="GA99" s="1838"/>
      <c r="GB99" s="1837"/>
      <c r="GC99" s="1838"/>
      <c r="GD99" s="1839"/>
      <c r="GE99" s="1840"/>
      <c r="GF99" s="1837"/>
      <c r="GG99" s="1838"/>
      <c r="GH99" s="1837"/>
      <c r="GI99" s="1838"/>
      <c r="GJ99" s="1839"/>
      <c r="GK99" s="1840"/>
      <c r="GL99" s="1837"/>
      <c r="GM99" s="1838"/>
      <c r="GN99" s="1837"/>
      <c r="GO99" s="1838"/>
      <c r="GP99" s="1839"/>
    </row>
    <row r="100" spans="1:198" ht="20.100000000000001" hidden="1" customHeight="1" outlineLevel="1">
      <c r="A100" s="2709"/>
      <c r="B100" s="2612"/>
      <c r="C100" s="1836"/>
      <c r="D100" s="2614" t="str">
        <f>実績!C1151&amp;"("&amp;SUBSTITUTE(実績!R1151&amp;")","株式会社 ","")</f>
        <v>七蔵複合商業施設 ｽｰﾊﾟｰﾏｰｹｯﾄ棟(公正屋下九沢)(上野山都市設計)</v>
      </c>
      <c r="E100" s="2615"/>
      <c r="F100" s="2615"/>
      <c r="G100" s="2615"/>
      <c r="H100" s="2615"/>
      <c r="I100" s="2615"/>
      <c r="J100" s="2615"/>
      <c r="K100" s="2615"/>
      <c r="L100" s="2615"/>
      <c r="M100" s="2615"/>
      <c r="N100" s="2615"/>
      <c r="O100" s="2615"/>
      <c r="P100" s="2615"/>
      <c r="Q100" s="2616"/>
      <c r="R100" s="1969"/>
      <c r="S100" s="1837"/>
      <c r="T100" s="1837"/>
      <c r="U100" s="1838"/>
      <c r="V100" s="1837"/>
      <c r="W100" s="1838"/>
      <c r="X100" s="1839"/>
      <c r="Y100" s="1837"/>
      <c r="Z100" s="1837"/>
      <c r="AA100" s="1838"/>
      <c r="AB100" s="1837"/>
      <c r="AC100" s="1838"/>
      <c r="AD100" s="1837"/>
      <c r="AE100" s="1840"/>
      <c r="AF100" s="1837" t="s">
        <v>8403</v>
      </c>
      <c r="AG100" s="1838"/>
      <c r="AH100" s="1837"/>
      <c r="AI100" s="1838"/>
      <c r="AJ100" s="1839"/>
      <c r="AK100" s="1837"/>
      <c r="AL100" s="1837"/>
      <c r="AM100" s="1838"/>
      <c r="AN100" s="1837"/>
      <c r="AO100" s="1838"/>
      <c r="AP100" s="1837"/>
      <c r="AQ100" s="1841" t="s">
        <v>8653</v>
      </c>
      <c r="AR100" s="1837"/>
      <c r="AS100" s="1838"/>
      <c r="AT100" s="1837"/>
      <c r="AU100" s="1838"/>
      <c r="AV100" s="1839"/>
      <c r="AW100" s="1840"/>
      <c r="AX100" s="1837"/>
      <c r="AY100" s="1838"/>
      <c r="AZ100" s="1837"/>
      <c r="BA100" s="1838"/>
      <c r="BB100" s="1839"/>
      <c r="BC100" s="1837"/>
      <c r="BD100" s="1837"/>
      <c r="BE100" s="1838"/>
      <c r="BF100" s="1837"/>
      <c r="BG100" s="1838"/>
      <c r="BH100" s="1837"/>
      <c r="BI100" s="1840"/>
      <c r="BJ100" s="1837"/>
      <c r="BK100" s="1838"/>
      <c r="BL100" s="1837"/>
      <c r="BM100" s="1838"/>
      <c r="BN100" s="1839"/>
      <c r="BO100" s="1840"/>
      <c r="BP100" s="1837"/>
      <c r="BQ100" s="1838"/>
      <c r="BR100" s="1837"/>
      <c r="BS100" s="1838"/>
      <c r="BT100" s="1839"/>
      <c r="BU100" s="1840"/>
      <c r="BV100" s="1837"/>
      <c r="BW100" s="1838"/>
      <c r="BX100" s="1837"/>
      <c r="BY100" s="1838"/>
      <c r="BZ100" s="1839"/>
      <c r="CA100" s="1840"/>
      <c r="CB100" s="1837"/>
      <c r="CC100" s="1838"/>
      <c r="CD100" s="1837"/>
      <c r="CE100" s="1838"/>
      <c r="CF100" s="1839"/>
      <c r="CG100" s="1840"/>
      <c r="CH100" s="1837"/>
      <c r="CI100" s="1838"/>
      <c r="CJ100" s="1837"/>
      <c r="CK100" s="1838"/>
      <c r="CL100" s="1839"/>
      <c r="CM100" s="1840"/>
      <c r="CN100" s="1837"/>
      <c r="CO100" s="1838"/>
      <c r="CP100" s="1837"/>
      <c r="CQ100" s="1838"/>
      <c r="CR100" s="1839"/>
      <c r="CS100" s="1840"/>
      <c r="CT100" s="1837"/>
      <c r="CU100" s="1838"/>
      <c r="CV100" s="1837"/>
      <c r="CW100" s="1838"/>
      <c r="CX100" s="1839"/>
      <c r="CY100" s="1840"/>
      <c r="CZ100" s="1837"/>
      <c r="DA100" s="1838"/>
      <c r="DB100" s="1837"/>
      <c r="DC100" s="1838"/>
      <c r="DD100" s="1839"/>
      <c r="DE100" s="1840"/>
      <c r="DF100" s="1837"/>
      <c r="DG100" s="1838"/>
      <c r="DH100" s="1837"/>
      <c r="DI100" s="1838"/>
      <c r="DJ100" s="1839"/>
      <c r="DK100" s="1840"/>
      <c r="DL100" s="1837"/>
      <c r="DM100" s="1838"/>
      <c r="DN100" s="1837"/>
      <c r="DO100" s="1838"/>
      <c r="DP100" s="1837"/>
      <c r="DQ100" s="1853"/>
      <c r="DR100" s="1837"/>
      <c r="DS100" s="1838"/>
      <c r="DT100" s="1842"/>
      <c r="DU100" s="1837"/>
      <c r="DV100" s="1839"/>
      <c r="DW100" s="1840"/>
      <c r="DX100" s="1837"/>
      <c r="DY100" s="1838"/>
      <c r="DZ100" s="1837"/>
      <c r="EA100" s="1838"/>
      <c r="EB100" s="1839"/>
      <c r="EC100" s="1840"/>
      <c r="ED100" s="1837"/>
      <c r="EE100" s="1838"/>
      <c r="EF100" s="1837"/>
      <c r="EG100" s="1838"/>
      <c r="EH100" s="1839"/>
      <c r="EI100" s="1840"/>
      <c r="EJ100" s="1837"/>
      <c r="EK100" s="1838"/>
      <c r="EL100" s="1837"/>
      <c r="EM100" s="1838"/>
      <c r="EN100" s="1839"/>
      <c r="EO100" s="1840"/>
      <c r="EP100" s="1837"/>
      <c r="EQ100" s="1838"/>
      <c r="ER100" s="1837"/>
      <c r="ES100" s="1838"/>
      <c r="ET100" s="1839"/>
      <c r="EU100" s="1840"/>
      <c r="EV100" s="1837"/>
      <c r="EW100" s="1838"/>
      <c r="EX100" s="1837"/>
      <c r="EY100" s="1838"/>
      <c r="EZ100" s="1839"/>
      <c r="FA100" s="1840"/>
      <c r="FB100" s="1837"/>
      <c r="FC100" s="1838"/>
      <c r="FD100" s="1837"/>
      <c r="FE100" s="1838"/>
      <c r="FF100" s="1839"/>
      <c r="FG100" s="1840"/>
      <c r="FH100" s="1837"/>
      <c r="FI100" s="1838"/>
      <c r="FJ100" s="1837"/>
      <c r="FK100" s="1838"/>
      <c r="FL100" s="1839"/>
      <c r="FM100" s="1840"/>
      <c r="FN100" s="1837"/>
      <c r="FO100" s="1838"/>
      <c r="FP100" s="1837"/>
      <c r="FQ100" s="1838"/>
      <c r="FR100" s="1839"/>
      <c r="FS100" s="1840"/>
      <c r="FT100" s="1837"/>
      <c r="FU100" s="1838"/>
      <c r="FV100" s="1837"/>
      <c r="FW100" s="1838"/>
      <c r="FX100" s="1839"/>
      <c r="FY100" s="1840"/>
      <c r="FZ100" s="1837"/>
      <c r="GA100" s="1838"/>
      <c r="GB100" s="1837"/>
      <c r="GC100" s="1838"/>
      <c r="GD100" s="1839"/>
      <c r="GE100" s="1840"/>
      <c r="GF100" s="1837"/>
      <c r="GG100" s="1838"/>
      <c r="GH100" s="1837"/>
      <c r="GI100" s="1838"/>
      <c r="GJ100" s="1839"/>
      <c r="GK100" s="1840"/>
      <c r="GL100" s="1837"/>
      <c r="GM100" s="1838"/>
      <c r="GN100" s="1837"/>
      <c r="GO100" s="1838"/>
      <c r="GP100" s="1839"/>
    </row>
    <row r="101" spans="1:198" ht="20.100000000000001" hidden="1" customHeight="1" outlineLevel="1">
      <c r="A101" s="2709"/>
      <c r="B101" s="2612"/>
      <c r="C101" s="1836"/>
      <c r="D101" s="2614" t="str">
        <f>実績!C1173&amp;"("&amp;SUBSTITUTE(実績!R1173&amp;")"," 株式会社","")</f>
        <v>大丸防音㈱茨城機材ｾﾝﾀｰ倉庫(若築建設)</v>
      </c>
      <c r="E101" s="2615"/>
      <c r="F101" s="2615"/>
      <c r="G101" s="2615"/>
      <c r="H101" s="2615"/>
      <c r="I101" s="2615"/>
      <c r="J101" s="2615"/>
      <c r="K101" s="2615"/>
      <c r="L101" s="2615"/>
      <c r="M101" s="2615"/>
      <c r="N101" s="2615"/>
      <c r="O101" s="2615"/>
      <c r="P101" s="2615"/>
      <c r="Q101" s="2616"/>
      <c r="R101" s="1969"/>
      <c r="S101" s="1837"/>
      <c r="T101" s="1837"/>
      <c r="U101" s="1838"/>
      <c r="V101" s="1837"/>
      <c r="W101" s="1838"/>
      <c r="X101" s="1839"/>
      <c r="Y101" s="1837"/>
      <c r="Z101" s="1837"/>
      <c r="AA101" s="1838"/>
      <c r="AB101" s="1837"/>
      <c r="AC101" s="1838"/>
      <c r="AD101" s="1837"/>
      <c r="AE101" s="1840"/>
      <c r="AF101" s="1837"/>
      <c r="AG101" s="1838"/>
      <c r="AH101" s="1837"/>
      <c r="AI101" s="1838"/>
      <c r="AJ101" s="1839"/>
      <c r="AK101" s="1837"/>
      <c r="AL101" s="1837"/>
      <c r="AM101" s="1838"/>
      <c r="AN101" s="1837"/>
      <c r="AO101" s="1838"/>
      <c r="AP101" s="1837"/>
      <c r="AQ101" s="1841"/>
      <c r="AR101" s="1837"/>
      <c r="AS101" s="1838" t="s">
        <v>8250</v>
      </c>
      <c r="AT101" s="1837"/>
      <c r="AU101" s="1838"/>
      <c r="AV101" s="1839"/>
      <c r="AW101" s="1840"/>
      <c r="AX101" s="1837"/>
      <c r="AY101" s="1838"/>
      <c r="AZ101" s="1837"/>
      <c r="BA101" s="1838"/>
      <c r="BB101" s="1839"/>
      <c r="BC101" s="1837"/>
      <c r="BD101" s="1837"/>
      <c r="BE101" s="1838"/>
      <c r="BF101" s="1837"/>
      <c r="BG101" s="1838"/>
      <c r="BH101" s="1837"/>
      <c r="BI101" s="1840"/>
      <c r="BJ101" s="1837"/>
      <c r="BK101" s="1838"/>
      <c r="BL101" s="1837"/>
      <c r="BM101" s="1838"/>
      <c r="BN101" s="1839"/>
      <c r="BO101" s="1840"/>
      <c r="BP101" s="1837"/>
      <c r="BQ101" s="1838"/>
      <c r="BR101" s="1837"/>
      <c r="BS101" s="1838"/>
      <c r="BT101" s="1839"/>
      <c r="BU101" s="1840"/>
      <c r="BV101" s="1837"/>
      <c r="BW101" s="1838"/>
      <c r="BX101" s="1837"/>
      <c r="BY101" s="1838"/>
      <c r="BZ101" s="1839"/>
      <c r="CA101" s="1840"/>
      <c r="CB101" s="1837"/>
      <c r="CC101" s="1838"/>
      <c r="CD101" s="1837"/>
      <c r="CE101" s="1838"/>
      <c r="CF101" s="1839"/>
      <c r="CG101" s="1840"/>
      <c r="CH101" s="1837"/>
      <c r="CI101" s="1838"/>
      <c r="CJ101" s="1837"/>
      <c r="CK101" s="1838"/>
      <c r="CL101" s="1839"/>
      <c r="CM101" s="1840"/>
      <c r="CN101" s="1837"/>
      <c r="CO101" s="1838"/>
      <c r="CP101" s="1837"/>
      <c r="CQ101" s="1838"/>
      <c r="CR101" s="1839"/>
      <c r="CS101" s="1840"/>
      <c r="CT101" s="1837"/>
      <c r="CU101" s="1838"/>
      <c r="CV101" s="1837"/>
      <c r="CW101" s="1838"/>
      <c r="CX101" s="1839"/>
      <c r="CY101" s="1840"/>
      <c r="CZ101" s="1837"/>
      <c r="DA101" s="1838"/>
      <c r="DB101" s="1837"/>
      <c r="DC101" s="1838"/>
      <c r="DD101" s="1839"/>
      <c r="DE101" s="1840"/>
      <c r="DF101" s="1837"/>
      <c r="DG101" s="1838"/>
      <c r="DH101" s="1837"/>
      <c r="DI101" s="1838"/>
      <c r="DJ101" s="1839"/>
      <c r="DK101" s="1840"/>
      <c r="DL101" s="1837"/>
      <c r="DM101" s="1838"/>
      <c r="DN101" s="1837"/>
      <c r="DO101" s="1838"/>
      <c r="DP101" s="1837"/>
      <c r="DQ101" s="1853"/>
      <c r="DR101" s="1837"/>
      <c r="DS101" s="1838"/>
      <c r="DT101" s="1842"/>
      <c r="DU101" s="1837"/>
      <c r="DV101" s="1839"/>
      <c r="DW101" s="1840"/>
      <c r="DX101" s="1837"/>
      <c r="DY101" s="1838"/>
      <c r="DZ101" s="1837"/>
      <c r="EA101" s="1838"/>
      <c r="EB101" s="1839"/>
      <c r="EC101" s="1840"/>
      <c r="ED101" s="1837"/>
      <c r="EE101" s="1838"/>
      <c r="EF101" s="1837"/>
      <c r="EG101" s="1838"/>
      <c r="EH101" s="1839"/>
      <c r="EI101" s="1840"/>
      <c r="EJ101" s="1837"/>
      <c r="EK101" s="1838"/>
      <c r="EL101" s="1837"/>
      <c r="EM101" s="1838"/>
      <c r="EN101" s="1839"/>
      <c r="EO101" s="1840"/>
      <c r="EP101" s="1837"/>
      <c r="EQ101" s="1838"/>
      <c r="ER101" s="1837"/>
      <c r="ES101" s="1838"/>
      <c r="ET101" s="1839"/>
      <c r="EU101" s="1840"/>
      <c r="EV101" s="1837"/>
      <c r="EW101" s="1838"/>
      <c r="EX101" s="1837"/>
      <c r="EY101" s="1838"/>
      <c r="EZ101" s="1839"/>
      <c r="FA101" s="1840"/>
      <c r="FB101" s="1837"/>
      <c r="FC101" s="1838"/>
      <c r="FD101" s="1837"/>
      <c r="FE101" s="1838"/>
      <c r="FF101" s="1839"/>
      <c r="FG101" s="1840"/>
      <c r="FH101" s="1837"/>
      <c r="FI101" s="1838"/>
      <c r="FJ101" s="1837"/>
      <c r="FK101" s="1838"/>
      <c r="FL101" s="1839"/>
      <c r="FM101" s="1840"/>
      <c r="FN101" s="1837"/>
      <c r="FO101" s="1838"/>
      <c r="FP101" s="1837"/>
      <c r="FQ101" s="1838"/>
      <c r="FR101" s="1839"/>
      <c r="FS101" s="1840"/>
      <c r="FT101" s="1837"/>
      <c r="FU101" s="1838"/>
      <c r="FV101" s="1837"/>
      <c r="FW101" s="1838"/>
      <c r="FX101" s="1839"/>
      <c r="FY101" s="1840"/>
      <c r="FZ101" s="1837"/>
      <c r="GA101" s="1838"/>
      <c r="GB101" s="1837"/>
      <c r="GC101" s="1838"/>
      <c r="GD101" s="1839"/>
      <c r="GE101" s="1840"/>
      <c r="GF101" s="1837"/>
      <c r="GG101" s="1838"/>
      <c r="GH101" s="1837"/>
      <c r="GI101" s="1838"/>
      <c r="GJ101" s="1839"/>
      <c r="GK101" s="1840"/>
      <c r="GL101" s="1837"/>
      <c r="GM101" s="1838"/>
      <c r="GN101" s="1837"/>
      <c r="GO101" s="1838"/>
      <c r="GP101" s="1839"/>
    </row>
    <row r="102" spans="1:198" ht="20.100000000000001" hidden="1" customHeight="1" outlineLevel="1">
      <c r="A102" s="2709"/>
      <c r="B102" s="2612"/>
      <c r="C102" s="1836"/>
      <c r="D102" s="2614" t="str">
        <f>実績!C1169&amp;"("&amp;SUBSTITUTE(実績!R1169&amp;")","株式会社 ","")</f>
        <v>アルビス笠舞(新建築設計事務所)</v>
      </c>
      <c r="E102" s="2615"/>
      <c r="F102" s="2615"/>
      <c r="G102" s="2615"/>
      <c r="H102" s="2615"/>
      <c r="I102" s="2615"/>
      <c r="J102" s="2615"/>
      <c r="K102" s="2615"/>
      <c r="L102" s="2615"/>
      <c r="M102" s="2615"/>
      <c r="N102" s="2615"/>
      <c r="O102" s="2615"/>
      <c r="P102" s="2615"/>
      <c r="Q102" s="2616"/>
      <c r="R102" s="1969"/>
      <c r="S102" s="1837"/>
      <c r="T102" s="1837"/>
      <c r="U102" s="1838"/>
      <c r="V102" s="1837"/>
      <c r="W102" s="1838"/>
      <c r="X102" s="1839"/>
      <c r="Y102" s="1837"/>
      <c r="Z102" s="1837"/>
      <c r="AA102" s="1838"/>
      <c r="AB102" s="1837"/>
      <c r="AC102" s="1838"/>
      <c r="AD102" s="1837"/>
      <c r="AE102" s="1840"/>
      <c r="AF102" s="1837"/>
      <c r="AG102" s="1838"/>
      <c r="AH102" s="1837"/>
      <c r="AI102" s="1838"/>
      <c r="AJ102" s="1839"/>
      <c r="AK102" s="1837"/>
      <c r="AL102" s="1837"/>
      <c r="AM102" s="1838"/>
      <c r="AN102" s="1842"/>
      <c r="AO102" s="1838"/>
      <c r="AP102" s="1837"/>
      <c r="AQ102" s="1841"/>
      <c r="AR102" s="1837"/>
      <c r="AS102" s="1838"/>
      <c r="AT102" s="1842" t="s">
        <v>8609</v>
      </c>
      <c r="AU102" s="1838"/>
      <c r="AV102" s="1839"/>
      <c r="AW102" s="1840" t="s">
        <v>5246</v>
      </c>
      <c r="AX102" s="1837"/>
      <c r="AY102" s="1838"/>
      <c r="AZ102" s="1837"/>
      <c r="BA102" s="1838"/>
      <c r="BB102" s="1839"/>
      <c r="BC102" s="1837" t="s">
        <v>8145</v>
      </c>
      <c r="BD102" s="1837"/>
      <c r="BE102" s="1838"/>
      <c r="BF102" s="1837"/>
      <c r="BG102" s="1838"/>
      <c r="BH102" s="1837"/>
      <c r="BI102" s="1840"/>
      <c r="BJ102" s="1837"/>
      <c r="BK102" s="1838"/>
      <c r="BL102" s="1837"/>
      <c r="BM102" s="1838"/>
      <c r="BN102" s="1839"/>
      <c r="BO102" s="1840"/>
      <c r="BP102" s="1837"/>
      <c r="BQ102" s="1838"/>
      <c r="BR102" s="1837"/>
      <c r="BS102" s="1838"/>
      <c r="BT102" s="1839"/>
      <c r="BU102" s="1840"/>
      <c r="BV102" s="1837"/>
      <c r="BW102" s="1838"/>
      <c r="BX102" s="1837"/>
      <c r="BY102" s="1838"/>
      <c r="BZ102" s="1839"/>
      <c r="CA102" s="1840"/>
      <c r="CB102" s="1837"/>
      <c r="CC102" s="1838"/>
      <c r="CD102" s="1837"/>
      <c r="CE102" s="1838"/>
      <c r="CF102" s="1839"/>
      <c r="CG102" s="1840"/>
      <c r="CH102" s="1837"/>
      <c r="CI102" s="1838"/>
      <c r="CJ102" s="1837"/>
      <c r="CK102" s="1838"/>
      <c r="CL102" s="1839"/>
      <c r="CM102" s="1840"/>
      <c r="CN102" s="1837"/>
      <c r="CO102" s="1838"/>
      <c r="CP102" s="1837"/>
      <c r="CQ102" s="1838"/>
      <c r="CR102" s="1839"/>
      <c r="CS102" s="1840"/>
      <c r="CT102" s="1837"/>
      <c r="CU102" s="1838"/>
      <c r="CV102" s="1837"/>
      <c r="CW102" s="1838"/>
      <c r="CX102" s="1839"/>
      <c r="CY102" s="1840"/>
      <c r="CZ102" s="1837"/>
      <c r="DA102" s="1838"/>
      <c r="DB102" s="1837"/>
      <c r="DC102" s="1838"/>
      <c r="DD102" s="1839"/>
      <c r="DE102" s="1840"/>
      <c r="DF102" s="1837"/>
      <c r="DG102" s="1838"/>
      <c r="DH102" s="1837"/>
      <c r="DI102" s="1838"/>
      <c r="DJ102" s="1839"/>
      <c r="DK102" s="1840"/>
      <c r="DL102" s="1837"/>
      <c r="DM102" s="1838"/>
      <c r="DN102" s="1837"/>
      <c r="DO102" s="1838"/>
      <c r="DP102" s="1837"/>
      <c r="DQ102" s="1853"/>
      <c r="DR102" s="1837"/>
      <c r="DS102" s="1838"/>
      <c r="DT102" s="1842"/>
      <c r="DU102" s="1837"/>
      <c r="DV102" s="1839"/>
      <c r="DW102" s="1840"/>
      <c r="DX102" s="1837"/>
      <c r="DY102" s="1838"/>
      <c r="DZ102" s="1837"/>
      <c r="EA102" s="1838"/>
      <c r="EB102" s="1839"/>
      <c r="EC102" s="1840"/>
      <c r="ED102" s="1837"/>
      <c r="EE102" s="1838"/>
      <c r="EF102" s="1837"/>
      <c r="EG102" s="1838"/>
      <c r="EH102" s="1839"/>
      <c r="EI102" s="1840"/>
      <c r="EJ102" s="1837"/>
      <c r="EK102" s="1838"/>
      <c r="EL102" s="1837"/>
      <c r="EM102" s="1838"/>
      <c r="EN102" s="1839"/>
      <c r="EO102" s="1840"/>
      <c r="EP102" s="1837"/>
      <c r="EQ102" s="1838"/>
      <c r="ER102" s="1837"/>
      <c r="ES102" s="1838"/>
      <c r="ET102" s="1839"/>
      <c r="EU102" s="1840"/>
      <c r="EV102" s="1837"/>
      <c r="EW102" s="1838"/>
      <c r="EX102" s="1837"/>
      <c r="EY102" s="1838"/>
      <c r="EZ102" s="1839"/>
      <c r="FA102" s="1840"/>
      <c r="FB102" s="1837"/>
      <c r="FC102" s="1838"/>
      <c r="FD102" s="1837"/>
      <c r="FE102" s="1838"/>
      <c r="FF102" s="1839"/>
      <c r="FG102" s="1840"/>
      <c r="FH102" s="1837"/>
      <c r="FI102" s="1838"/>
      <c r="FJ102" s="1837"/>
      <c r="FK102" s="1838"/>
      <c r="FL102" s="1839"/>
      <c r="FM102" s="1840"/>
      <c r="FN102" s="1837"/>
      <c r="FO102" s="1838"/>
      <c r="FP102" s="1837"/>
      <c r="FQ102" s="1838"/>
      <c r="FR102" s="1839"/>
      <c r="FS102" s="1840"/>
      <c r="FT102" s="1837"/>
      <c r="FU102" s="1838"/>
      <c r="FV102" s="1837"/>
      <c r="FW102" s="1838"/>
      <c r="FX102" s="1839"/>
      <c r="FY102" s="1840"/>
      <c r="FZ102" s="1837"/>
      <c r="GA102" s="1838"/>
      <c r="GB102" s="1837"/>
      <c r="GC102" s="1838"/>
      <c r="GD102" s="1839"/>
      <c r="GE102" s="1840"/>
      <c r="GF102" s="1837"/>
      <c r="GG102" s="1838"/>
      <c r="GH102" s="1837"/>
      <c r="GI102" s="1838"/>
      <c r="GJ102" s="1839"/>
      <c r="GK102" s="1840"/>
      <c r="GL102" s="1837"/>
      <c r="GM102" s="1838"/>
      <c r="GN102" s="1837"/>
      <c r="GO102" s="1838"/>
      <c r="GP102" s="1839"/>
    </row>
    <row r="103" spans="1:198" ht="20.100000000000001" hidden="1" customHeight="1" outlineLevel="1">
      <c r="A103" s="2709"/>
      <c r="B103" s="2612"/>
      <c r="C103" s="1836"/>
      <c r="D103" s="2614" t="str">
        <f>実績!C1181&amp;"("&amp;SUBSTITUTE(実績!R1181&amp;")","株式会社 ","")</f>
        <v>クレタ北広島 事務所棟、工場棟(北工房)</v>
      </c>
      <c r="E103" s="2615"/>
      <c r="F103" s="2615"/>
      <c r="G103" s="2615"/>
      <c r="H103" s="2615"/>
      <c r="I103" s="2615"/>
      <c r="J103" s="2615"/>
      <c r="K103" s="2615"/>
      <c r="L103" s="2615"/>
      <c r="M103" s="2615"/>
      <c r="N103" s="2615"/>
      <c r="O103" s="2615"/>
      <c r="P103" s="2615"/>
      <c r="Q103" s="2616"/>
      <c r="R103" s="1969"/>
      <c r="S103" s="1837"/>
      <c r="T103" s="1837"/>
      <c r="U103" s="1838"/>
      <c r="V103" s="1837"/>
      <c r="W103" s="1838"/>
      <c r="X103" s="1839"/>
      <c r="Y103" s="1837"/>
      <c r="Z103" s="1837"/>
      <c r="AA103" s="1838"/>
      <c r="AB103" s="1837"/>
      <c r="AC103" s="1838"/>
      <c r="AD103" s="1837"/>
      <c r="AE103" s="1840"/>
      <c r="AF103" s="1837"/>
      <c r="AG103" s="1838"/>
      <c r="AH103" s="1837"/>
      <c r="AI103" s="1838"/>
      <c r="AJ103" s="1839"/>
      <c r="AK103" s="1837"/>
      <c r="AL103" s="1837"/>
      <c r="AM103" s="1838"/>
      <c r="AN103" s="1837"/>
      <c r="AO103" s="1838"/>
      <c r="AP103" s="1837"/>
      <c r="AQ103" s="1841"/>
      <c r="AR103" s="1837" t="s">
        <v>8718</v>
      </c>
      <c r="AS103" s="1838"/>
      <c r="AT103" s="1837" t="s">
        <v>8250</v>
      </c>
      <c r="AU103" s="1838"/>
      <c r="AV103" s="1839"/>
      <c r="AW103" s="1840"/>
      <c r="AX103" s="1837"/>
      <c r="AY103" s="1838"/>
      <c r="AZ103" s="1837"/>
      <c r="BA103" s="1838"/>
      <c r="BB103" s="1839"/>
      <c r="BC103" s="1837"/>
      <c r="BD103" s="1837"/>
      <c r="BE103" s="1838"/>
      <c r="BF103" s="1837"/>
      <c r="BG103" s="1838"/>
      <c r="BH103" s="1837"/>
      <c r="BI103" s="1840"/>
      <c r="BJ103" s="1837"/>
      <c r="BK103" s="1838"/>
      <c r="BL103" s="1837"/>
      <c r="BM103" s="1838"/>
      <c r="BN103" s="1839"/>
      <c r="BO103" s="1840"/>
      <c r="BP103" s="1837"/>
      <c r="BQ103" s="1838"/>
      <c r="BR103" s="1837"/>
      <c r="BS103" s="1838"/>
      <c r="BT103" s="1839"/>
      <c r="BU103" s="1840"/>
      <c r="BV103" s="1837"/>
      <c r="BW103" s="1838"/>
      <c r="BX103" s="1837"/>
      <c r="BY103" s="1838"/>
      <c r="BZ103" s="1839"/>
      <c r="CA103" s="1840"/>
      <c r="CB103" s="1837"/>
      <c r="CC103" s="1838"/>
      <c r="CD103" s="1837"/>
      <c r="CE103" s="1838"/>
      <c r="CF103" s="1839"/>
      <c r="CG103" s="1840"/>
      <c r="CH103" s="1837"/>
      <c r="CI103" s="1838"/>
      <c r="CJ103" s="1837"/>
      <c r="CK103" s="1838"/>
      <c r="CL103" s="1839"/>
      <c r="CM103" s="1840"/>
      <c r="CN103" s="1837"/>
      <c r="CO103" s="1838"/>
      <c r="CP103" s="1837"/>
      <c r="CQ103" s="1838"/>
      <c r="CR103" s="1839"/>
      <c r="CS103" s="1840"/>
      <c r="CT103" s="1837"/>
      <c r="CU103" s="1838"/>
      <c r="CV103" s="1837"/>
      <c r="CW103" s="1838"/>
      <c r="CX103" s="1839"/>
      <c r="CY103" s="1840"/>
      <c r="CZ103" s="1837"/>
      <c r="DA103" s="1838"/>
      <c r="DB103" s="1837"/>
      <c r="DC103" s="1838"/>
      <c r="DD103" s="1839"/>
      <c r="DE103" s="1840"/>
      <c r="DF103" s="1837"/>
      <c r="DG103" s="1838"/>
      <c r="DH103" s="1837"/>
      <c r="DI103" s="1838"/>
      <c r="DJ103" s="1839"/>
      <c r="DK103" s="1840"/>
      <c r="DL103" s="1837"/>
      <c r="DM103" s="1838"/>
      <c r="DN103" s="1837"/>
      <c r="DO103" s="1838"/>
      <c r="DP103" s="1837"/>
      <c r="DQ103" s="1853"/>
      <c r="DR103" s="1837"/>
      <c r="DS103" s="1838"/>
      <c r="DT103" s="1842"/>
      <c r="DU103" s="1837"/>
      <c r="DV103" s="1839"/>
      <c r="DW103" s="1840"/>
      <c r="DX103" s="1837"/>
      <c r="DY103" s="1838"/>
      <c r="DZ103" s="1837"/>
      <c r="EA103" s="1838"/>
      <c r="EB103" s="1839"/>
      <c r="EC103" s="1840"/>
      <c r="ED103" s="1837"/>
      <c r="EE103" s="1838"/>
      <c r="EF103" s="1837"/>
      <c r="EG103" s="1838"/>
      <c r="EH103" s="1839"/>
      <c r="EI103" s="1840"/>
      <c r="EJ103" s="1837"/>
      <c r="EK103" s="1838"/>
      <c r="EL103" s="1837"/>
      <c r="EM103" s="1838"/>
      <c r="EN103" s="1839"/>
      <c r="EO103" s="1840"/>
      <c r="EP103" s="1837"/>
      <c r="EQ103" s="1838"/>
      <c r="ER103" s="1837"/>
      <c r="ES103" s="1838"/>
      <c r="ET103" s="1839"/>
      <c r="EU103" s="1840"/>
      <c r="EV103" s="1837"/>
      <c r="EW103" s="1838"/>
      <c r="EX103" s="1837"/>
      <c r="EY103" s="1838"/>
      <c r="EZ103" s="1839"/>
      <c r="FA103" s="1840"/>
      <c r="FB103" s="1837"/>
      <c r="FC103" s="1838"/>
      <c r="FD103" s="1837"/>
      <c r="FE103" s="1838"/>
      <c r="FF103" s="1839"/>
      <c r="FG103" s="1840"/>
      <c r="FH103" s="1837"/>
      <c r="FI103" s="1838"/>
      <c r="FJ103" s="1837"/>
      <c r="FK103" s="1838"/>
      <c r="FL103" s="1839"/>
      <c r="FM103" s="1840"/>
      <c r="FN103" s="1837"/>
      <c r="FO103" s="1838"/>
      <c r="FP103" s="1837"/>
      <c r="FQ103" s="1838"/>
      <c r="FR103" s="1839"/>
      <c r="FS103" s="1840"/>
      <c r="FT103" s="1837"/>
      <c r="FU103" s="1838"/>
      <c r="FV103" s="1837"/>
      <c r="FW103" s="1838"/>
      <c r="FX103" s="1839"/>
      <c r="FY103" s="1840"/>
      <c r="FZ103" s="1837"/>
      <c r="GA103" s="1838"/>
      <c r="GB103" s="1837"/>
      <c r="GC103" s="1838"/>
      <c r="GD103" s="1839"/>
      <c r="GE103" s="1840"/>
      <c r="GF103" s="1837"/>
      <c r="GG103" s="1838"/>
      <c r="GH103" s="1837"/>
      <c r="GI103" s="1838"/>
      <c r="GJ103" s="1839"/>
      <c r="GK103" s="1840"/>
      <c r="GL103" s="1837"/>
      <c r="GM103" s="1838"/>
      <c r="GN103" s="1837"/>
      <c r="GO103" s="1838"/>
      <c r="GP103" s="1839"/>
    </row>
    <row r="104" spans="1:198" ht="20.100000000000001" hidden="1" customHeight="1" outlineLevel="1">
      <c r="A104" s="2709"/>
      <c r="B104" s="2612"/>
      <c r="C104" s="1836"/>
      <c r="D104" s="2614" t="str">
        <f>実績!C1180&amp;"("&amp;SUBSTITUTE(実績!R1180&amp;")"," 株式会社","")</f>
        <v>与那原商業施設(ｽｰﾊﾟｰ棟)(金秀建設)</v>
      </c>
      <c r="E104" s="2615"/>
      <c r="F104" s="2615"/>
      <c r="G104" s="2615"/>
      <c r="H104" s="2615"/>
      <c r="I104" s="2615"/>
      <c r="J104" s="2615"/>
      <c r="K104" s="2615"/>
      <c r="L104" s="2615"/>
      <c r="M104" s="2615"/>
      <c r="N104" s="2615"/>
      <c r="O104" s="2615"/>
      <c r="P104" s="2615"/>
      <c r="Q104" s="2616"/>
      <c r="R104" s="1969"/>
      <c r="S104" s="1837"/>
      <c r="T104" s="1837"/>
      <c r="U104" s="1838"/>
      <c r="V104" s="1837"/>
      <c r="W104" s="1838"/>
      <c r="X104" s="1839"/>
      <c r="Y104" s="1837"/>
      <c r="Z104" s="1837"/>
      <c r="AA104" s="1838"/>
      <c r="AB104" s="1837"/>
      <c r="AC104" s="1838"/>
      <c r="AD104" s="1837"/>
      <c r="AE104" s="1840"/>
      <c r="AF104" s="1837"/>
      <c r="AG104" s="1838"/>
      <c r="AH104" s="1837"/>
      <c r="AI104" s="1838"/>
      <c r="AJ104" s="1839"/>
      <c r="AK104" s="1837"/>
      <c r="AL104" s="1837"/>
      <c r="AM104" s="1838"/>
      <c r="AN104" s="1837"/>
      <c r="AO104" s="1838"/>
      <c r="AP104" s="1837"/>
      <c r="AQ104" s="1841"/>
      <c r="AR104" s="1837"/>
      <c r="AS104" s="1838"/>
      <c r="AT104" s="1837" t="s">
        <v>8727</v>
      </c>
      <c r="AU104" s="1838"/>
      <c r="AV104" s="1839"/>
      <c r="AW104" s="1840"/>
      <c r="AX104" s="1837"/>
      <c r="AY104" s="1838"/>
      <c r="AZ104" s="1837"/>
      <c r="BA104" s="1838"/>
      <c r="BB104" s="1839"/>
      <c r="BC104" s="1837"/>
      <c r="BD104" s="1837"/>
      <c r="BE104" s="1838"/>
      <c r="BF104" s="1837"/>
      <c r="BG104" s="1838"/>
      <c r="BH104" s="1837"/>
      <c r="BI104" s="1840"/>
      <c r="BJ104" s="1837"/>
      <c r="BK104" s="1838"/>
      <c r="BL104" s="1837"/>
      <c r="BM104" s="1838"/>
      <c r="BN104" s="1839"/>
      <c r="BO104" s="1840"/>
      <c r="BP104" s="1837"/>
      <c r="BQ104" s="1838"/>
      <c r="BR104" s="1837"/>
      <c r="BS104" s="1838"/>
      <c r="BT104" s="1839"/>
      <c r="BU104" s="1840"/>
      <c r="BV104" s="1837"/>
      <c r="BW104" s="1838"/>
      <c r="BX104" s="1837"/>
      <c r="BY104" s="1838"/>
      <c r="BZ104" s="1839"/>
      <c r="CA104" s="1840"/>
      <c r="CB104" s="1837"/>
      <c r="CC104" s="1838"/>
      <c r="CD104" s="1837"/>
      <c r="CE104" s="1838"/>
      <c r="CF104" s="1839"/>
      <c r="CG104" s="1840"/>
      <c r="CH104" s="1837"/>
      <c r="CI104" s="1838"/>
      <c r="CJ104" s="1837"/>
      <c r="CK104" s="1838"/>
      <c r="CL104" s="1839"/>
      <c r="CM104" s="1840"/>
      <c r="CN104" s="1837"/>
      <c r="CO104" s="1838"/>
      <c r="CP104" s="1837"/>
      <c r="CQ104" s="1838"/>
      <c r="CR104" s="1839"/>
      <c r="CS104" s="1840"/>
      <c r="CT104" s="1837"/>
      <c r="CU104" s="1838"/>
      <c r="CV104" s="1837"/>
      <c r="CW104" s="1838"/>
      <c r="CX104" s="1839"/>
      <c r="CY104" s="1840"/>
      <c r="CZ104" s="1837"/>
      <c r="DA104" s="1838"/>
      <c r="DB104" s="1837"/>
      <c r="DC104" s="1838"/>
      <c r="DD104" s="1839"/>
      <c r="DE104" s="1840"/>
      <c r="DF104" s="1837"/>
      <c r="DG104" s="1838"/>
      <c r="DH104" s="1837"/>
      <c r="DI104" s="1838"/>
      <c r="DJ104" s="1839"/>
      <c r="DK104" s="1840"/>
      <c r="DL104" s="1837"/>
      <c r="DM104" s="1838"/>
      <c r="DN104" s="1837"/>
      <c r="DO104" s="1838"/>
      <c r="DP104" s="1837"/>
      <c r="DQ104" s="1853"/>
      <c r="DR104" s="1837"/>
      <c r="DS104" s="1838"/>
      <c r="DT104" s="1842"/>
      <c r="DU104" s="1837"/>
      <c r="DV104" s="1839"/>
      <c r="DW104" s="1840"/>
      <c r="DX104" s="1837"/>
      <c r="DY104" s="1838"/>
      <c r="DZ104" s="1837"/>
      <c r="EA104" s="1838"/>
      <c r="EB104" s="1839"/>
      <c r="EC104" s="1840"/>
      <c r="ED104" s="1837"/>
      <c r="EE104" s="1838"/>
      <c r="EF104" s="1837"/>
      <c r="EG104" s="1838"/>
      <c r="EH104" s="1839"/>
      <c r="EI104" s="1840"/>
      <c r="EJ104" s="1837"/>
      <c r="EK104" s="1838"/>
      <c r="EL104" s="1837"/>
      <c r="EM104" s="1838"/>
      <c r="EN104" s="1839"/>
      <c r="EO104" s="1840"/>
      <c r="EP104" s="1837"/>
      <c r="EQ104" s="1838"/>
      <c r="ER104" s="1837"/>
      <c r="ES104" s="1838"/>
      <c r="ET104" s="1839"/>
      <c r="EU104" s="1840"/>
      <c r="EV104" s="1837"/>
      <c r="EW104" s="1838"/>
      <c r="EX104" s="1837"/>
      <c r="EY104" s="1838"/>
      <c r="EZ104" s="1839"/>
      <c r="FA104" s="1840"/>
      <c r="FB104" s="1837"/>
      <c r="FC104" s="1838"/>
      <c r="FD104" s="1837"/>
      <c r="FE104" s="1838"/>
      <c r="FF104" s="1839"/>
      <c r="FG104" s="1840"/>
      <c r="FH104" s="1837"/>
      <c r="FI104" s="1838"/>
      <c r="FJ104" s="1837"/>
      <c r="FK104" s="1838"/>
      <c r="FL104" s="1839"/>
      <c r="FM104" s="1840"/>
      <c r="FN104" s="1837"/>
      <c r="FO104" s="1838"/>
      <c r="FP104" s="1837"/>
      <c r="FQ104" s="1838"/>
      <c r="FR104" s="1839"/>
      <c r="FS104" s="1840"/>
      <c r="FT104" s="1837"/>
      <c r="FU104" s="1838"/>
      <c r="FV104" s="1837"/>
      <c r="FW104" s="1838"/>
      <c r="FX104" s="1839"/>
      <c r="FY104" s="1840"/>
      <c r="FZ104" s="1837"/>
      <c r="GA104" s="1838"/>
      <c r="GB104" s="1837"/>
      <c r="GC104" s="1838"/>
      <c r="GD104" s="1839"/>
      <c r="GE104" s="1840"/>
      <c r="GF104" s="1837"/>
      <c r="GG104" s="1838"/>
      <c r="GH104" s="1837"/>
      <c r="GI104" s="1838"/>
      <c r="GJ104" s="1839"/>
      <c r="GK104" s="1840"/>
      <c r="GL104" s="1837"/>
      <c r="GM104" s="1838"/>
      <c r="GN104" s="1837"/>
      <c r="GO104" s="1838"/>
      <c r="GP104" s="1839"/>
    </row>
    <row r="105" spans="1:198" ht="20.100000000000001" hidden="1" customHeight="1" outlineLevel="1">
      <c r="A105" s="2709"/>
      <c r="B105" s="2612"/>
      <c r="C105" s="1836"/>
      <c r="D105" s="2614" t="str">
        <f>実績!C1177&amp;"("&amp;SUBSTITUTE(実績!W1177&amp;")","株式会社 ","")</f>
        <v>東京精密器具製作所(大建設計)</v>
      </c>
      <c r="E105" s="2615"/>
      <c r="F105" s="2615"/>
      <c r="G105" s="2615"/>
      <c r="H105" s="2615"/>
      <c r="I105" s="2615"/>
      <c r="J105" s="2615"/>
      <c r="K105" s="2615"/>
      <c r="L105" s="2615"/>
      <c r="M105" s="2615"/>
      <c r="N105" s="2615"/>
      <c r="O105" s="2615"/>
      <c r="P105" s="2615"/>
      <c r="Q105" s="2616"/>
      <c r="R105" s="1969"/>
      <c r="S105" s="1837"/>
      <c r="T105" s="1837"/>
      <c r="U105" s="1838"/>
      <c r="V105" s="1837"/>
      <c r="W105" s="1838"/>
      <c r="X105" s="1839"/>
      <c r="Y105" s="1837"/>
      <c r="Z105" s="1837"/>
      <c r="AA105" s="1838"/>
      <c r="AB105" s="1837"/>
      <c r="AC105" s="1838"/>
      <c r="AD105" s="1837"/>
      <c r="AE105" s="1840"/>
      <c r="AF105" s="1837"/>
      <c r="AG105" s="1838"/>
      <c r="AH105" s="1837"/>
      <c r="AI105" s="1838"/>
      <c r="AJ105" s="1839"/>
      <c r="AK105" s="1837"/>
      <c r="AL105" s="1837"/>
      <c r="AM105" s="1838"/>
      <c r="AN105" s="1842"/>
      <c r="AO105" s="1838"/>
      <c r="AP105" s="1837"/>
      <c r="AQ105" s="1841" t="s">
        <v>8403</v>
      </c>
      <c r="AR105" s="1837"/>
      <c r="AS105" s="1838"/>
      <c r="AT105" s="1837" t="s">
        <v>8250</v>
      </c>
      <c r="AU105" s="1838"/>
      <c r="AV105" s="1839"/>
      <c r="AW105" s="1840"/>
      <c r="AX105" s="1837"/>
      <c r="AY105" s="1838"/>
      <c r="AZ105" s="1837"/>
      <c r="BA105" s="1838"/>
      <c r="BB105" s="1839"/>
      <c r="BC105" s="1837"/>
      <c r="BD105" s="1837"/>
      <c r="BE105" s="1838"/>
      <c r="BF105" s="1837"/>
      <c r="BG105" s="1838"/>
      <c r="BH105" s="1837"/>
      <c r="BI105" s="1840"/>
      <c r="BJ105" s="1837"/>
      <c r="BK105" s="1838"/>
      <c r="BL105" s="1837"/>
      <c r="BM105" s="1838"/>
      <c r="BN105" s="1839"/>
      <c r="BO105" s="1840"/>
      <c r="BP105" s="1837"/>
      <c r="BQ105" s="1838"/>
      <c r="BR105" s="1837"/>
      <c r="BS105" s="1838"/>
      <c r="BT105" s="1839"/>
      <c r="BU105" s="1840"/>
      <c r="BV105" s="1837"/>
      <c r="BW105" s="1838"/>
      <c r="BX105" s="1837"/>
      <c r="BY105" s="1838"/>
      <c r="BZ105" s="1839"/>
      <c r="CA105" s="1840"/>
      <c r="CB105" s="1837"/>
      <c r="CC105" s="1838"/>
      <c r="CD105" s="1837"/>
      <c r="CE105" s="1838"/>
      <c r="CF105" s="1839"/>
      <c r="CG105" s="1840"/>
      <c r="CH105" s="1837"/>
      <c r="CI105" s="1838"/>
      <c r="CJ105" s="1837"/>
      <c r="CK105" s="1838"/>
      <c r="CL105" s="1839"/>
      <c r="CM105" s="1840"/>
      <c r="CN105" s="1837"/>
      <c r="CO105" s="1838"/>
      <c r="CP105" s="1837"/>
      <c r="CQ105" s="1838"/>
      <c r="CR105" s="1839"/>
      <c r="CS105" s="1840"/>
      <c r="CT105" s="1837"/>
      <c r="CU105" s="1838"/>
      <c r="CV105" s="1837"/>
      <c r="CW105" s="1838"/>
      <c r="CX105" s="1839"/>
      <c r="CY105" s="1840"/>
      <c r="CZ105" s="1837"/>
      <c r="DA105" s="1838"/>
      <c r="DB105" s="1837"/>
      <c r="DC105" s="1838"/>
      <c r="DD105" s="1839"/>
      <c r="DE105" s="1840"/>
      <c r="DF105" s="1837"/>
      <c r="DG105" s="1838"/>
      <c r="DH105" s="1837"/>
      <c r="DI105" s="1838"/>
      <c r="DJ105" s="1839"/>
      <c r="DK105" s="1840"/>
      <c r="DL105" s="1837"/>
      <c r="DM105" s="1838"/>
      <c r="DN105" s="1837"/>
      <c r="DO105" s="1838"/>
      <c r="DP105" s="1837"/>
      <c r="DQ105" s="1853"/>
      <c r="DR105" s="1837"/>
      <c r="DS105" s="1838"/>
      <c r="DT105" s="1842"/>
      <c r="DU105" s="1837"/>
      <c r="DV105" s="1839"/>
      <c r="DW105" s="1840"/>
      <c r="DX105" s="1837"/>
      <c r="DY105" s="1838"/>
      <c r="DZ105" s="1837"/>
      <c r="EA105" s="1838"/>
      <c r="EB105" s="1839"/>
      <c r="EC105" s="1840"/>
      <c r="ED105" s="1837"/>
      <c r="EE105" s="1838"/>
      <c r="EF105" s="1837"/>
      <c r="EG105" s="1838"/>
      <c r="EH105" s="1839"/>
      <c r="EI105" s="1840"/>
      <c r="EJ105" s="1837"/>
      <c r="EK105" s="1838"/>
      <c r="EL105" s="1837"/>
      <c r="EM105" s="1838"/>
      <c r="EN105" s="1839"/>
      <c r="EO105" s="1840"/>
      <c r="EP105" s="1837"/>
      <c r="EQ105" s="1838"/>
      <c r="ER105" s="1837"/>
      <c r="ES105" s="1838"/>
      <c r="ET105" s="1839"/>
      <c r="EU105" s="1840"/>
      <c r="EV105" s="1837"/>
      <c r="EW105" s="1838"/>
      <c r="EX105" s="1837"/>
      <c r="EY105" s="1838"/>
      <c r="EZ105" s="1839"/>
      <c r="FA105" s="1840"/>
      <c r="FB105" s="1837"/>
      <c r="FC105" s="1838"/>
      <c r="FD105" s="1837"/>
      <c r="FE105" s="1838"/>
      <c r="FF105" s="1839"/>
      <c r="FG105" s="1840"/>
      <c r="FH105" s="1837"/>
      <c r="FI105" s="1838"/>
      <c r="FJ105" s="1837"/>
      <c r="FK105" s="1838"/>
      <c r="FL105" s="1839"/>
      <c r="FM105" s="1840"/>
      <c r="FN105" s="1837"/>
      <c r="FO105" s="1838"/>
      <c r="FP105" s="1837"/>
      <c r="FQ105" s="1838"/>
      <c r="FR105" s="1839"/>
      <c r="FS105" s="1840"/>
      <c r="FT105" s="1837"/>
      <c r="FU105" s="1838"/>
      <c r="FV105" s="1837"/>
      <c r="FW105" s="1838"/>
      <c r="FX105" s="1839"/>
      <c r="FY105" s="1840"/>
      <c r="FZ105" s="1837"/>
      <c r="GA105" s="1838"/>
      <c r="GB105" s="1837"/>
      <c r="GC105" s="1838"/>
      <c r="GD105" s="1839"/>
      <c r="GE105" s="1840"/>
      <c r="GF105" s="1837"/>
      <c r="GG105" s="1838"/>
      <c r="GH105" s="1837"/>
      <c r="GI105" s="1838"/>
      <c r="GJ105" s="1839"/>
      <c r="GK105" s="1840"/>
      <c r="GL105" s="1837"/>
      <c r="GM105" s="1838"/>
      <c r="GN105" s="1837"/>
      <c r="GO105" s="1838"/>
      <c r="GP105" s="1839"/>
    </row>
    <row r="106" spans="1:198" ht="20.100000000000001" hidden="1" customHeight="1" outlineLevel="1" collapsed="1">
      <c r="A106" s="2709"/>
      <c r="B106" s="2612"/>
      <c r="C106" s="1836"/>
      <c r="D106" s="2614" t="str">
        <f>実績!C1178&amp;"("&amp;SUBSTITUTE(実績!W1178&amp;")","株式会社 ","")</f>
        <v>トラストシステム(K・S・E建築設計)</v>
      </c>
      <c r="E106" s="2615"/>
      <c r="F106" s="2615"/>
      <c r="G106" s="2615"/>
      <c r="H106" s="2615"/>
      <c r="I106" s="2615"/>
      <c r="J106" s="2615"/>
      <c r="K106" s="2615"/>
      <c r="L106" s="2615"/>
      <c r="M106" s="2615"/>
      <c r="N106" s="2615"/>
      <c r="O106" s="2615"/>
      <c r="P106" s="2615"/>
      <c r="Q106" s="2616"/>
      <c r="R106" s="1969"/>
      <c r="S106" s="1837"/>
      <c r="T106" s="1837"/>
      <c r="U106" s="1838"/>
      <c r="V106" s="1837"/>
      <c r="W106" s="1838"/>
      <c r="X106" s="1839"/>
      <c r="Y106" s="1837"/>
      <c r="Z106" s="1837"/>
      <c r="AA106" s="1838"/>
      <c r="AB106" s="1837"/>
      <c r="AC106" s="1838"/>
      <c r="AD106" s="1837"/>
      <c r="AE106" s="1840"/>
      <c r="AF106" s="1837"/>
      <c r="AG106" s="1838"/>
      <c r="AH106" s="1837"/>
      <c r="AI106" s="1838"/>
      <c r="AJ106" s="1839"/>
      <c r="AK106" s="1837"/>
      <c r="AL106" s="1837"/>
      <c r="AM106" s="1838"/>
      <c r="AN106" s="1837"/>
      <c r="AO106" s="1838"/>
      <c r="AP106" s="1837"/>
      <c r="AQ106" s="1841"/>
      <c r="AR106" s="1837"/>
      <c r="AS106" s="1838"/>
      <c r="AT106" s="1837"/>
      <c r="AU106" s="1838"/>
      <c r="AV106" s="1839"/>
      <c r="AW106" s="1840"/>
      <c r="AX106" s="1837"/>
      <c r="AY106" s="1838"/>
      <c r="AZ106" s="1837"/>
      <c r="BA106" s="1838"/>
      <c r="BB106" s="1839"/>
      <c r="BC106" s="1837"/>
      <c r="BD106" s="1837"/>
      <c r="BE106" s="1838"/>
      <c r="BF106" s="1837"/>
      <c r="BG106" s="1838"/>
      <c r="BH106" s="1837"/>
      <c r="BI106" s="1840"/>
      <c r="BJ106" s="1837"/>
      <c r="BK106" s="1838"/>
      <c r="BL106" s="1837"/>
      <c r="BM106" s="1838"/>
      <c r="BN106" s="1839"/>
      <c r="BO106" s="1840"/>
      <c r="BP106" s="1837"/>
      <c r="BQ106" s="1838"/>
      <c r="BR106" s="1837"/>
      <c r="BS106" s="1838"/>
      <c r="BT106" s="1839"/>
      <c r="BU106" s="1840"/>
      <c r="BV106" s="1837"/>
      <c r="BW106" s="1838"/>
      <c r="BX106" s="1837"/>
      <c r="BY106" s="1838"/>
      <c r="BZ106" s="1839"/>
      <c r="CA106" s="1840"/>
      <c r="CB106" s="1837"/>
      <c r="CC106" s="1838"/>
      <c r="CD106" s="1837"/>
      <c r="CE106" s="1838"/>
      <c r="CF106" s="1839"/>
      <c r="CG106" s="1840"/>
      <c r="CH106" s="1837"/>
      <c r="CI106" s="1838"/>
      <c r="CJ106" s="1837"/>
      <c r="CK106" s="1838"/>
      <c r="CL106" s="1839"/>
      <c r="CM106" s="1840"/>
      <c r="CN106" s="1837"/>
      <c r="CO106" s="1838"/>
      <c r="CP106" s="1837"/>
      <c r="CQ106" s="1838"/>
      <c r="CR106" s="1839"/>
      <c r="CS106" s="1840"/>
      <c r="CT106" s="1837"/>
      <c r="CU106" s="1838"/>
      <c r="CV106" s="1837"/>
      <c r="CW106" s="1838"/>
      <c r="CX106" s="1839"/>
      <c r="CY106" s="1840"/>
      <c r="CZ106" s="1837"/>
      <c r="DA106" s="1838"/>
      <c r="DB106" s="1837"/>
      <c r="DC106" s="1838"/>
      <c r="DD106" s="1839"/>
      <c r="DE106" s="1840"/>
      <c r="DF106" s="1837"/>
      <c r="DG106" s="1838"/>
      <c r="DH106" s="1837"/>
      <c r="DI106" s="1838"/>
      <c r="DJ106" s="1839"/>
      <c r="DK106" s="1840"/>
      <c r="DL106" s="1837"/>
      <c r="DM106" s="1838"/>
      <c r="DN106" s="1837"/>
      <c r="DO106" s="1838"/>
      <c r="DP106" s="1837"/>
      <c r="DQ106" s="1853"/>
      <c r="DR106" s="1837"/>
      <c r="DS106" s="1838"/>
      <c r="DT106" s="1842"/>
      <c r="DU106" s="1837"/>
      <c r="DV106" s="1839"/>
      <c r="DW106" s="1840"/>
      <c r="DX106" s="1837"/>
      <c r="DY106" s="1838"/>
      <c r="DZ106" s="1837"/>
      <c r="EA106" s="1838"/>
      <c r="EB106" s="1839"/>
      <c r="EC106" s="1840"/>
      <c r="ED106" s="1837"/>
      <c r="EE106" s="1838"/>
      <c r="EF106" s="1837"/>
      <c r="EG106" s="1838"/>
      <c r="EH106" s="1839"/>
      <c r="EI106" s="1840"/>
      <c r="EJ106" s="1837"/>
      <c r="EK106" s="1838"/>
      <c r="EL106" s="1837"/>
      <c r="EM106" s="1838"/>
      <c r="EN106" s="1839"/>
      <c r="EO106" s="1840"/>
      <c r="EP106" s="1837"/>
      <c r="EQ106" s="1838"/>
      <c r="ER106" s="1837"/>
      <c r="ES106" s="1838"/>
      <c r="ET106" s="1839"/>
      <c r="EU106" s="1840"/>
      <c r="EV106" s="1837"/>
      <c r="EW106" s="1838"/>
      <c r="EX106" s="1837"/>
      <c r="EY106" s="1838"/>
      <c r="EZ106" s="1839"/>
      <c r="FA106" s="1840"/>
      <c r="FB106" s="1837"/>
      <c r="FC106" s="1838"/>
      <c r="FD106" s="1837"/>
      <c r="FE106" s="1838"/>
      <c r="FF106" s="1839"/>
      <c r="FG106" s="1840"/>
      <c r="FH106" s="1837"/>
      <c r="FI106" s="1838"/>
      <c r="FJ106" s="1837"/>
      <c r="FK106" s="1838"/>
      <c r="FL106" s="1839"/>
      <c r="FM106" s="1840"/>
      <c r="FN106" s="1837"/>
      <c r="FO106" s="1838"/>
      <c r="FP106" s="1837"/>
      <c r="FQ106" s="1838"/>
      <c r="FR106" s="1839"/>
      <c r="FS106" s="1840"/>
      <c r="FT106" s="1837"/>
      <c r="FU106" s="1838"/>
      <c r="FV106" s="1837"/>
      <c r="FW106" s="1838"/>
      <c r="FX106" s="1839"/>
      <c r="FY106" s="1840"/>
      <c r="FZ106" s="1837"/>
      <c r="GA106" s="1838"/>
      <c r="GB106" s="1837"/>
      <c r="GC106" s="1838"/>
      <c r="GD106" s="1839"/>
      <c r="GE106" s="1840"/>
      <c r="GF106" s="1837"/>
      <c r="GG106" s="1838"/>
      <c r="GH106" s="1837"/>
      <c r="GI106" s="1838"/>
      <c r="GJ106" s="1839"/>
      <c r="GK106" s="1840"/>
      <c r="GL106" s="1837"/>
      <c r="GM106" s="1838"/>
      <c r="GN106" s="1837"/>
      <c r="GO106" s="1838"/>
      <c r="GP106" s="1839"/>
    </row>
    <row r="107" spans="1:198" ht="20.100000000000001" hidden="1" customHeight="1" outlineLevel="1">
      <c r="A107" s="2709"/>
      <c r="B107" s="2612"/>
      <c r="C107" s="1836"/>
      <c r="D107" s="2614" t="str">
        <f>実績!C1099&amp;"("&amp;SUBSTITUTE(実績!W1099&amp;")","株式会社 ","")</f>
        <v>SP工場(ケイ・ツー設計)</v>
      </c>
      <c r="E107" s="2615"/>
      <c r="F107" s="2615"/>
      <c r="G107" s="2615"/>
      <c r="H107" s="2615"/>
      <c r="I107" s="2615"/>
      <c r="J107" s="2615"/>
      <c r="K107" s="2615"/>
      <c r="L107" s="2615"/>
      <c r="M107" s="2615"/>
      <c r="N107" s="2615"/>
      <c r="O107" s="2615"/>
      <c r="P107" s="2615"/>
      <c r="Q107" s="2616"/>
      <c r="R107" s="1969"/>
      <c r="S107" s="1837"/>
      <c r="T107" s="1837"/>
      <c r="U107" s="1838"/>
      <c r="V107" s="1837"/>
      <c r="W107" s="1838"/>
      <c r="X107" s="1839"/>
      <c r="Y107" s="1837"/>
      <c r="Z107" s="1837"/>
      <c r="AA107" s="1838"/>
      <c r="AB107" s="1837"/>
      <c r="AC107" s="1838"/>
      <c r="AD107" s="1837"/>
      <c r="AE107" s="1840"/>
      <c r="AF107" s="1837"/>
      <c r="AG107" s="1838"/>
      <c r="AH107" s="1837"/>
      <c r="AI107" s="1838"/>
      <c r="AJ107" s="1839"/>
      <c r="AK107" s="1837"/>
      <c r="AL107" s="1837"/>
      <c r="AM107" s="1838"/>
      <c r="AN107" s="1837"/>
      <c r="AO107" s="1838"/>
      <c r="AP107" s="1837"/>
      <c r="AQ107" s="1841"/>
      <c r="AR107" s="1837"/>
      <c r="AS107" s="1838"/>
      <c r="AT107" s="1837"/>
      <c r="AU107" s="1838" t="s">
        <v>8250</v>
      </c>
      <c r="AV107" s="1839"/>
      <c r="AW107" s="1840"/>
      <c r="AX107" s="1837"/>
      <c r="AY107" s="1838"/>
      <c r="AZ107" s="1837"/>
      <c r="BA107" s="1838"/>
      <c r="BB107" s="1839"/>
      <c r="BC107" s="1837"/>
      <c r="BD107" s="1837"/>
      <c r="BE107" s="1838"/>
      <c r="BF107" s="1837"/>
      <c r="BG107" s="1838"/>
      <c r="BH107" s="1837"/>
      <c r="BI107" s="1840"/>
      <c r="BJ107" s="1837"/>
      <c r="BK107" s="1838"/>
      <c r="BL107" s="1837"/>
      <c r="BM107" s="1838"/>
      <c r="BN107" s="1839"/>
      <c r="BO107" s="1840"/>
      <c r="BP107" s="1837"/>
      <c r="BQ107" s="1838"/>
      <c r="BR107" s="1837"/>
      <c r="BS107" s="1838"/>
      <c r="BT107" s="1839"/>
      <c r="BU107" s="1840"/>
      <c r="BV107" s="1837"/>
      <c r="BW107" s="1838"/>
      <c r="BX107" s="1837"/>
      <c r="BY107" s="1838"/>
      <c r="BZ107" s="1839"/>
      <c r="CA107" s="1840"/>
      <c r="CB107" s="1837"/>
      <c r="CC107" s="1838"/>
      <c r="CD107" s="1837"/>
      <c r="CE107" s="1838"/>
      <c r="CF107" s="1839"/>
      <c r="CG107" s="1840"/>
      <c r="CH107" s="1837"/>
      <c r="CI107" s="1838"/>
      <c r="CJ107" s="1837"/>
      <c r="CK107" s="1838"/>
      <c r="CL107" s="1839"/>
      <c r="CM107" s="1840"/>
      <c r="CN107" s="1837"/>
      <c r="CO107" s="1838"/>
      <c r="CP107" s="1837"/>
      <c r="CQ107" s="1838"/>
      <c r="CR107" s="1839"/>
      <c r="CS107" s="1840"/>
      <c r="CT107" s="1837"/>
      <c r="CU107" s="1838"/>
      <c r="CV107" s="1837"/>
      <c r="CW107" s="1838"/>
      <c r="CX107" s="1839"/>
      <c r="CY107" s="1840"/>
      <c r="CZ107" s="1837"/>
      <c r="DA107" s="1838"/>
      <c r="DB107" s="1837"/>
      <c r="DC107" s="1838"/>
      <c r="DD107" s="1839"/>
      <c r="DE107" s="1840"/>
      <c r="DF107" s="1837"/>
      <c r="DG107" s="1838"/>
      <c r="DH107" s="1837"/>
      <c r="DI107" s="1838"/>
      <c r="DJ107" s="1839"/>
      <c r="DK107" s="1840"/>
      <c r="DL107" s="1837"/>
      <c r="DM107" s="1838"/>
      <c r="DN107" s="1837"/>
      <c r="DO107" s="1838"/>
      <c r="DP107" s="1837"/>
      <c r="DQ107" s="1853"/>
      <c r="DR107" s="1837"/>
      <c r="DS107" s="1838"/>
      <c r="DT107" s="1842"/>
      <c r="DU107" s="1837"/>
      <c r="DV107" s="1839"/>
      <c r="DW107" s="1840"/>
      <c r="DX107" s="1837"/>
      <c r="DY107" s="1838"/>
      <c r="DZ107" s="1837"/>
      <c r="EA107" s="1838"/>
      <c r="EB107" s="1839"/>
      <c r="EC107" s="1840"/>
      <c r="ED107" s="1837"/>
      <c r="EE107" s="1838"/>
      <c r="EF107" s="1837"/>
      <c r="EG107" s="1838"/>
      <c r="EH107" s="1839"/>
      <c r="EI107" s="1840"/>
      <c r="EJ107" s="1837"/>
      <c r="EK107" s="1838"/>
      <c r="EL107" s="1837"/>
      <c r="EM107" s="1838"/>
      <c r="EN107" s="1839"/>
      <c r="EO107" s="1840"/>
      <c r="EP107" s="1837"/>
      <c r="EQ107" s="1838"/>
      <c r="ER107" s="1837"/>
      <c r="ES107" s="1838"/>
      <c r="ET107" s="1839"/>
      <c r="EU107" s="1840"/>
      <c r="EV107" s="1837"/>
      <c r="EW107" s="1838"/>
      <c r="EX107" s="1837"/>
      <c r="EY107" s="1838"/>
      <c r="EZ107" s="1839"/>
      <c r="FA107" s="1840"/>
      <c r="FB107" s="1837"/>
      <c r="FC107" s="1838"/>
      <c r="FD107" s="1837"/>
      <c r="FE107" s="1838"/>
      <c r="FF107" s="1839"/>
      <c r="FG107" s="1840"/>
      <c r="FH107" s="1837"/>
      <c r="FI107" s="1838"/>
      <c r="FJ107" s="1837"/>
      <c r="FK107" s="1838"/>
      <c r="FL107" s="1839"/>
      <c r="FM107" s="1840"/>
      <c r="FN107" s="1837"/>
      <c r="FO107" s="1838"/>
      <c r="FP107" s="1837"/>
      <c r="FQ107" s="1838"/>
      <c r="FR107" s="1839"/>
      <c r="FS107" s="1840"/>
      <c r="FT107" s="1837"/>
      <c r="FU107" s="1838"/>
      <c r="FV107" s="1837"/>
      <c r="FW107" s="1838"/>
      <c r="FX107" s="1839"/>
      <c r="FY107" s="1840"/>
      <c r="FZ107" s="1837"/>
      <c r="GA107" s="1838"/>
      <c r="GB107" s="1837"/>
      <c r="GC107" s="1838"/>
      <c r="GD107" s="1839"/>
      <c r="GE107" s="1840"/>
      <c r="GF107" s="1837"/>
      <c r="GG107" s="1838"/>
      <c r="GH107" s="1837"/>
      <c r="GI107" s="1838"/>
      <c r="GJ107" s="1839"/>
      <c r="GK107" s="1840"/>
      <c r="GL107" s="1837"/>
      <c r="GM107" s="1838"/>
      <c r="GN107" s="1837"/>
      <c r="GO107" s="1838"/>
      <c r="GP107" s="1839"/>
    </row>
    <row r="108" spans="1:198" ht="20.100000000000001" hidden="1" customHeight="1" outlineLevel="1">
      <c r="A108" s="2709"/>
      <c r="B108" s="2612"/>
      <c r="C108" s="1836"/>
      <c r="D108" s="2614" t="str">
        <f>実績!C1176&amp;"("&amp;SUBSTITUTE(実績!W1176&amp;")","株式会社 ","")</f>
        <v>ツルハドラッグ百合が原(下風構造設計)</v>
      </c>
      <c r="E108" s="2615"/>
      <c r="F108" s="2615"/>
      <c r="G108" s="2615"/>
      <c r="H108" s="2615"/>
      <c r="I108" s="2615"/>
      <c r="J108" s="2615"/>
      <c r="K108" s="2615"/>
      <c r="L108" s="2615"/>
      <c r="M108" s="2615"/>
      <c r="N108" s="2615"/>
      <c r="O108" s="2615"/>
      <c r="P108" s="2615"/>
      <c r="Q108" s="2616"/>
      <c r="R108" s="1969"/>
      <c r="S108" s="1837"/>
      <c r="T108" s="1837"/>
      <c r="U108" s="1838"/>
      <c r="V108" s="1837"/>
      <c r="W108" s="1838"/>
      <c r="X108" s="1839"/>
      <c r="Y108" s="1837"/>
      <c r="Z108" s="1837"/>
      <c r="AA108" s="1838"/>
      <c r="AB108" s="1837"/>
      <c r="AC108" s="1838"/>
      <c r="AD108" s="1837"/>
      <c r="AE108" s="1840"/>
      <c r="AF108" s="1837"/>
      <c r="AG108" s="1838"/>
      <c r="AH108" s="1837"/>
      <c r="AI108" s="1838"/>
      <c r="AJ108" s="1839"/>
      <c r="AK108" s="1837"/>
      <c r="AL108" s="1837"/>
      <c r="AM108" s="1838"/>
      <c r="AN108" s="1837"/>
      <c r="AO108" s="1838"/>
      <c r="AP108" s="1837"/>
      <c r="AQ108" s="1841"/>
      <c r="AR108" s="1837"/>
      <c r="AS108" s="1838"/>
      <c r="AT108" s="1837"/>
      <c r="AU108" s="1838"/>
      <c r="AV108" s="1839" t="s">
        <v>8653</v>
      </c>
      <c r="AW108" s="1840"/>
      <c r="AX108" s="1837"/>
      <c r="AY108" s="1838"/>
      <c r="AZ108" s="1837"/>
      <c r="BA108" s="1838"/>
      <c r="BB108" s="1839"/>
      <c r="BC108" s="1837" t="s">
        <v>8145</v>
      </c>
      <c r="BD108" s="1837"/>
      <c r="BE108" s="1838"/>
      <c r="BF108" s="1837"/>
      <c r="BG108" s="1838"/>
      <c r="BH108" s="1837"/>
      <c r="BI108" s="1840"/>
      <c r="BJ108" s="1837"/>
      <c r="BK108" s="1838"/>
      <c r="BL108" s="1837"/>
      <c r="BM108" s="1838"/>
      <c r="BN108" s="1839"/>
      <c r="BO108" s="1840"/>
      <c r="BP108" s="1837"/>
      <c r="BQ108" s="1838"/>
      <c r="BR108" s="1837"/>
      <c r="BS108" s="1838"/>
      <c r="BT108" s="1839"/>
      <c r="BU108" s="1840"/>
      <c r="BV108" s="1837"/>
      <c r="BW108" s="1838"/>
      <c r="BX108" s="1837"/>
      <c r="BY108" s="1838"/>
      <c r="BZ108" s="1839"/>
      <c r="CA108" s="1840"/>
      <c r="CB108" s="1837"/>
      <c r="CC108" s="1838"/>
      <c r="CD108" s="1837"/>
      <c r="CE108" s="1838"/>
      <c r="CF108" s="1839"/>
      <c r="CG108" s="1840"/>
      <c r="CH108" s="1837"/>
      <c r="CI108" s="1838"/>
      <c r="CJ108" s="1837"/>
      <c r="CK108" s="1838"/>
      <c r="CL108" s="1839"/>
      <c r="CM108" s="1840"/>
      <c r="CN108" s="1837"/>
      <c r="CO108" s="1838"/>
      <c r="CP108" s="1837"/>
      <c r="CQ108" s="1838"/>
      <c r="CR108" s="1839"/>
      <c r="CS108" s="1840"/>
      <c r="CT108" s="1837"/>
      <c r="CU108" s="1838"/>
      <c r="CV108" s="1837"/>
      <c r="CW108" s="1838"/>
      <c r="CX108" s="1839"/>
      <c r="CY108" s="1840"/>
      <c r="CZ108" s="1837"/>
      <c r="DA108" s="1838"/>
      <c r="DB108" s="1837"/>
      <c r="DC108" s="1838"/>
      <c r="DD108" s="1839"/>
      <c r="DE108" s="1840"/>
      <c r="DF108" s="1837"/>
      <c r="DG108" s="1838"/>
      <c r="DH108" s="1837"/>
      <c r="DI108" s="1838"/>
      <c r="DJ108" s="1839"/>
      <c r="DK108" s="1840"/>
      <c r="DL108" s="1837"/>
      <c r="DM108" s="1838"/>
      <c r="DN108" s="1837"/>
      <c r="DO108" s="1838"/>
      <c r="DP108" s="1837"/>
      <c r="DQ108" s="1853"/>
      <c r="DR108" s="1837"/>
      <c r="DS108" s="1838"/>
      <c r="DT108" s="1842"/>
      <c r="DU108" s="1837"/>
      <c r="DV108" s="1839"/>
      <c r="DW108" s="1840"/>
      <c r="DX108" s="1837"/>
      <c r="DY108" s="1838"/>
      <c r="DZ108" s="1837"/>
      <c r="EA108" s="1838"/>
      <c r="EB108" s="1839"/>
      <c r="EC108" s="1840"/>
      <c r="ED108" s="1837"/>
      <c r="EE108" s="1838"/>
      <c r="EF108" s="1837"/>
      <c r="EG108" s="1838"/>
      <c r="EH108" s="1839"/>
      <c r="EI108" s="1840"/>
      <c r="EJ108" s="1837"/>
      <c r="EK108" s="1838"/>
      <c r="EL108" s="1837"/>
      <c r="EM108" s="1838"/>
      <c r="EN108" s="1839"/>
      <c r="EO108" s="1840"/>
      <c r="EP108" s="1837"/>
      <c r="EQ108" s="1838"/>
      <c r="ER108" s="1837"/>
      <c r="ES108" s="1838"/>
      <c r="ET108" s="1839"/>
      <c r="EU108" s="1840"/>
      <c r="EV108" s="1837"/>
      <c r="EW108" s="1838"/>
      <c r="EX108" s="1837"/>
      <c r="EY108" s="1838"/>
      <c r="EZ108" s="1839"/>
      <c r="FA108" s="1840"/>
      <c r="FB108" s="1837"/>
      <c r="FC108" s="1838"/>
      <c r="FD108" s="1837"/>
      <c r="FE108" s="1838"/>
      <c r="FF108" s="1839"/>
      <c r="FG108" s="1840"/>
      <c r="FH108" s="1837"/>
      <c r="FI108" s="1838"/>
      <c r="FJ108" s="1837"/>
      <c r="FK108" s="1838"/>
      <c r="FL108" s="1839"/>
      <c r="FM108" s="1840"/>
      <c r="FN108" s="1837"/>
      <c r="FO108" s="1838"/>
      <c r="FP108" s="1837"/>
      <c r="FQ108" s="1838"/>
      <c r="FR108" s="1839"/>
      <c r="FS108" s="1840"/>
      <c r="FT108" s="1837"/>
      <c r="FU108" s="1838"/>
      <c r="FV108" s="1837"/>
      <c r="FW108" s="1838"/>
      <c r="FX108" s="1839"/>
      <c r="FY108" s="1840"/>
      <c r="FZ108" s="1837"/>
      <c r="GA108" s="1838"/>
      <c r="GB108" s="1837"/>
      <c r="GC108" s="1838"/>
      <c r="GD108" s="1839"/>
      <c r="GE108" s="1840"/>
      <c r="GF108" s="1837"/>
      <c r="GG108" s="1838"/>
      <c r="GH108" s="1837"/>
      <c r="GI108" s="1838"/>
      <c r="GJ108" s="1839"/>
      <c r="GK108" s="1840"/>
      <c r="GL108" s="1837"/>
      <c r="GM108" s="1838"/>
      <c r="GN108" s="1837"/>
      <c r="GO108" s="1838"/>
      <c r="GP108" s="1839"/>
    </row>
    <row r="109" spans="1:198" ht="20.100000000000001" hidden="1" customHeight="1" outlineLevel="1" collapsed="1">
      <c r="A109" s="2709"/>
      <c r="B109" s="2612"/>
      <c r="C109" s="1836"/>
      <c r="D109" s="2614" t="str">
        <f>実績!C1174&amp;"("&amp;SUBSTITUTE(実績!R1174&amp;")","株式会社 ","")</f>
        <v>日幸産業運輸石狩第二配送センター(ピーエス三菱)</v>
      </c>
      <c r="E109" s="2615"/>
      <c r="F109" s="2615"/>
      <c r="G109" s="2615"/>
      <c r="H109" s="2615"/>
      <c r="I109" s="2615"/>
      <c r="J109" s="2615"/>
      <c r="K109" s="2615"/>
      <c r="L109" s="2615"/>
      <c r="M109" s="2615"/>
      <c r="N109" s="2615"/>
      <c r="O109" s="2615"/>
      <c r="P109" s="2615"/>
      <c r="Q109" s="2616"/>
      <c r="R109" s="1969"/>
      <c r="S109" s="1837"/>
      <c r="T109" s="1837"/>
      <c r="U109" s="1838"/>
      <c r="V109" s="1837"/>
      <c r="W109" s="1838"/>
      <c r="X109" s="1839"/>
      <c r="Y109" s="1837"/>
      <c r="Z109" s="1837"/>
      <c r="AA109" s="1838"/>
      <c r="AB109" s="1837"/>
      <c r="AC109" s="1838"/>
      <c r="AD109" s="1837"/>
      <c r="AE109" s="1840"/>
      <c r="AF109" s="1837"/>
      <c r="AG109" s="1838"/>
      <c r="AH109" s="1837"/>
      <c r="AI109" s="1838"/>
      <c r="AJ109" s="1839"/>
      <c r="AK109" s="1837"/>
      <c r="AL109" s="1837"/>
      <c r="AM109" s="1838"/>
      <c r="AN109" s="1842"/>
      <c r="AO109" s="1838"/>
      <c r="AP109" s="1837"/>
      <c r="AQ109" s="1841" t="s">
        <v>8644</v>
      </c>
      <c r="AR109" s="1837"/>
      <c r="AS109" s="1838"/>
      <c r="AT109" s="1837"/>
      <c r="AU109" s="1838"/>
      <c r="AV109" s="1839"/>
      <c r="AW109" s="1840"/>
      <c r="AX109" s="1837"/>
      <c r="AY109" s="1838"/>
      <c r="AZ109" s="1837"/>
      <c r="BA109" s="1838"/>
      <c r="BB109" s="1839"/>
      <c r="BC109" s="1837"/>
      <c r="BD109" s="1837"/>
      <c r="BE109" s="1838"/>
      <c r="BF109" s="1837"/>
      <c r="BG109" s="1838"/>
      <c r="BH109" s="1837"/>
      <c r="BI109" s="1840" t="s">
        <v>8145</v>
      </c>
      <c r="BJ109" s="1837"/>
      <c r="BK109" s="1838"/>
      <c r="BL109" s="1837"/>
      <c r="BM109" s="1838"/>
      <c r="BN109" s="1839"/>
      <c r="BO109" s="1840"/>
      <c r="BP109" s="1837"/>
      <c r="BQ109" s="1838"/>
      <c r="BR109" s="1837"/>
      <c r="BS109" s="1838"/>
      <c r="BT109" s="1839"/>
      <c r="BU109" s="1840"/>
      <c r="BV109" s="1837"/>
      <c r="BW109" s="1838"/>
      <c r="BX109" s="1837"/>
      <c r="BY109" s="1838"/>
      <c r="BZ109" s="1839"/>
      <c r="CA109" s="1840"/>
      <c r="CB109" s="1837"/>
      <c r="CC109" s="1838"/>
      <c r="CD109" s="1837"/>
      <c r="CE109" s="1838"/>
      <c r="CF109" s="1839"/>
      <c r="CG109" s="1840"/>
      <c r="CH109" s="1837"/>
      <c r="CI109" s="1838"/>
      <c r="CJ109" s="1837"/>
      <c r="CK109" s="1838"/>
      <c r="CL109" s="1839"/>
      <c r="CM109" s="1840"/>
      <c r="CN109" s="1837"/>
      <c r="CO109" s="1838"/>
      <c r="CP109" s="1837"/>
      <c r="CQ109" s="1838"/>
      <c r="CR109" s="1839"/>
      <c r="CS109" s="1840"/>
      <c r="CT109" s="1837"/>
      <c r="CU109" s="1838"/>
      <c r="CV109" s="1837"/>
      <c r="CW109" s="1838"/>
      <c r="CX109" s="1839"/>
      <c r="CY109" s="1840"/>
      <c r="CZ109" s="1837"/>
      <c r="DA109" s="1838"/>
      <c r="DB109" s="1837"/>
      <c r="DC109" s="1838"/>
      <c r="DD109" s="1839"/>
      <c r="DE109" s="1840"/>
      <c r="DF109" s="1837"/>
      <c r="DG109" s="1838"/>
      <c r="DH109" s="1837"/>
      <c r="DI109" s="1838"/>
      <c r="DJ109" s="1839"/>
      <c r="DK109" s="1840"/>
      <c r="DL109" s="1837"/>
      <c r="DM109" s="1838"/>
      <c r="DN109" s="1837"/>
      <c r="DO109" s="1838"/>
      <c r="DP109" s="1837"/>
      <c r="DQ109" s="1853"/>
      <c r="DR109" s="1837"/>
      <c r="DS109" s="1838"/>
      <c r="DT109" s="1842"/>
      <c r="DU109" s="1837"/>
      <c r="DV109" s="1839"/>
      <c r="DW109" s="1840"/>
      <c r="DX109" s="1837"/>
      <c r="DY109" s="1838"/>
      <c r="DZ109" s="1837"/>
      <c r="EA109" s="1838"/>
      <c r="EB109" s="1839"/>
      <c r="EC109" s="1840"/>
      <c r="ED109" s="1837"/>
      <c r="EE109" s="1838"/>
      <c r="EF109" s="1837"/>
      <c r="EG109" s="1838"/>
      <c r="EH109" s="1839"/>
      <c r="EI109" s="1840"/>
      <c r="EJ109" s="1837"/>
      <c r="EK109" s="1838"/>
      <c r="EL109" s="1837"/>
      <c r="EM109" s="1838"/>
      <c r="EN109" s="1839"/>
      <c r="EO109" s="1840"/>
      <c r="EP109" s="1837"/>
      <c r="EQ109" s="1838"/>
      <c r="ER109" s="1837"/>
      <c r="ES109" s="1838"/>
      <c r="ET109" s="1839"/>
      <c r="EU109" s="1840"/>
      <c r="EV109" s="1837"/>
      <c r="EW109" s="1838"/>
      <c r="EX109" s="1837"/>
      <c r="EY109" s="1838"/>
      <c r="EZ109" s="1839"/>
      <c r="FA109" s="1840"/>
      <c r="FB109" s="1837"/>
      <c r="FC109" s="1838"/>
      <c r="FD109" s="1837"/>
      <c r="FE109" s="1838"/>
      <c r="FF109" s="1839"/>
      <c r="FG109" s="1840"/>
      <c r="FH109" s="1837"/>
      <c r="FI109" s="1838"/>
      <c r="FJ109" s="1837"/>
      <c r="FK109" s="1838"/>
      <c r="FL109" s="1839"/>
      <c r="FM109" s="1840"/>
      <c r="FN109" s="1837"/>
      <c r="FO109" s="1838"/>
      <c r="FP109" s="1837"/>
      <c r="FQ109" s="1838"/>
      <c r="FR109" s="1839"/>
      <c r="FS109" s="1840"/>
      <c r="FT109" s="1837"/>
      <c r="FU109" s="1838"/>
      <c r="FV109" s="1837"/>
      <c r="FW109" s="1838"/>
      <c r="FX109" s="1839"/>
      <c r="FY109" s="1840"/>
      <c r="FZ109" s="1837"/>
      <c r="GA109" s="1838"/>
      <c r="GB109" s="1837"/>
      <c r="GC109" s="1838"/>
      <c r="GD109" s="1839"/>
      <c r="GE109" s="1840"/>
      <c r="GF109" s="1837"/>
      <c r="GG109" s="1838"/>
      <c r="GH109" s="1837"/>
      <c r="GI109" s="1838"/>
      <c r="GJ109" s="1839"/>
      <c r="GK109" s="1840"/>
      <c r="GL109" s="1837"/>
      <c r="GM109" s="1838"/>
      <c r="GN109" s="1837"/>
      <c r="GO109" s="1838"/>
      <c r="GP109" s="1839"/>
    </row>
    <row r="110" spans="1:198" ht="20.100000000000001" hidden="1" customHeight="1" outlineLevel="1" collapsed="1">
      <c r="A110" s="2709"/>
      <c r="B110" s="2612"/>
      <c r="C110" s="1836"/>
      <c r="D110" s="2614" t="str">
        <f>実績!C1182&amp;"("&amp;SUBSTITUTE(実績!R1182&amp;")","株式会社 ","")</f>
        <v>丸力運送㈱倉庫(シグマ建築設計事務所)</v>
      </c>
      <c r="E110" s="2615"/>
      <c r="F110" s="2615"/>
      <c r="G110" s="2615"/>
      <c r="H110" s="2615"/>
      <c r="I110" s="2615"/>
      <c r="J110" s="2615"/>
      <c r="K110" s="2615"/>
      <c r="L110" s="2615"/>
      <c r="M110" s="2615"/>
      <c r="N110" s="2615"/>
      <c r="O110" s="2615"/>
      <c r="P110" s="2615"/>
      <c r="Q110" s="2616"/>
      <c r="R110" s="1969"/>
      <c r="S110" s="1837"/>
      <c r="T110" s="1837"/>
      <c r="U110" s="1838"/>
      <c r="V110" s="1837"/>
      <c r="W110" s="1838"/>
      <c r="X110" s="1839"/>
      <c r="Y110" s="1837"/>
      <c r="Z110" s="1837"/>
      <c r="AA110" s="1838"/>
      <c r="AB110" s="1837"/>
      <c r="AC110" s="1838"/>
      <c r="AD110" s="1837"/>
      <c r="AE110" s="1840"/>
      <c r="AF110" s="1837"/>
      <c r="AG110" s="1838"/>
      <c r="AH110" s="1837"/>
      <c r="AI110" s="1838"/>
      <c r="AJ110" s="1839"/>
      <c r="AK110" s="1837"/>
      <c r="AL110" s="1837"/>
      <c r="AM110" s="1838"/>
      <c r="AN110" s="1837"/>
      <c r="AO110" s="1838"/>
      <c r="AP110" s="1837"/>
      <c r="AQ110" s="1841"/>
      <c r="AR110" s="1837"/>
      <c r="AS110" s="1838"/>
      <c r="AT110" s="1837"/>
      <c r="AU110" s="1838"/>
      <c r="AV110" s="1839"/>
      <c r="AW110" s="1840"/>
      <c r="AX110" s="1837"/>
      <c r="AY110" s="1838"/>
      <c r="AZ110" s="1837"/>
      <c r="BA110" s="1838"/>
      <c r="BB110" s="1839"/>
      <c r="BC110" s="1837"/>
      <c r="BD110" s="1837"/>
      <c r="BE110" s="1838"/>
      <c r="BF110" s="1837"/>
      <c r="BG110" s="1838"/>
      <c r="BH110" s="1837"/>
      <c r="BI110" s="1840"/>
      <c r="BJ110" s="1837"/>
      <c r="BK110" s="1838"/>
      <c r="BL110" s="1837"/>
      <c r="BM110" s="1838"/>
      <c r="BN110" s="1839"/>
      <c r="BO110" s="1840"/>
      <c r="BP110" s="1837"/>
      <c r="BQ110" s="1838"/>
      <c r="BR110" s="1837"/>
      <c r="BS110" s="1838"/>
      <c r="BT110" s="1839"/>
      <c r="BU110" s="1840"/>
      <c r="BV110" s="1837"/>
      <c r="BW110" s="1838"/>
      <c r="BX110" s="1837"/>
      <c r="BY110" s="1838"/>
      <c r="BZ110" s="1839"/>
      <c r="CA110" s="1840"/>
      <c r="CB110" s="1837"/>
      <c r="CC110" s="1838"/>
      <c r="CD110" s="1837"/>
      <c r="CE110" s="1838"/>
      <c r="CF110" s="1839"/>
      <c r="CG110" s="1840"/>
      <c r="CH110" s="1837"/>
      <c r="CI110" s="1838"/>
      <c r="CJ110" s="1837"/>
      <c r="CK110" s="1838"/>
      <c r="CL110" s="1839"/>
      <c r="CM110" s="1840"/>
      <c r="CN110" s="1837"/>
      <c r="CO110" s="1838"/>
      <c r="CP110" s="1837"/>
      <c r="CQ110" s="1838"/>
      <c r="CR110" s="1839"/>
      <c r="CS110" s="1840"/>
      <c r="CT110" s="1837"/>
      <c r="CU110" s="1838"/>
      <c r="CV110" s="1837"/>
      <c r="CW110" s="1838"/>
      <c r="CX110" s="1839"/>
      <c r="CY110" s="1840"/>
      <c r="CZ110" s="1837"/>
      <c r="DA110" s="1838"/>
      <c r="DB110" s="1837"/>
      <c r="DC110" s="1838"/>
      <c r="DD110" s="1839"/>
      <c r="DE110" s="1840"/>
      <c r="DF110" s="1837"/>
      <c r="DG110" s="1838"/>
      <c r="DH110" s="1837"/>
      <c r="DI110" s="1838"/>
      <c r="DJ110" s="1839"/>
      <c r="DK110" s="1840"/>
      <c r="DL110" s="1837"/>
      <c r="DM110" s="1838"/>
      <c r="DN110" s="1837"/>
      <c r="DO110" s="1838"/>
      <c r="DP110" s="1837"/>
      <c r="DQ110" s="1853"/>
      <c r="DR110" s="1837"/>
      <c r="DS110" s="1838"/>
      <c r="DT110" s="1842"/>
      <c r="DU110" s="1837"/>
      <c r="DV110" s="1839"/>
      <c r="DW110" s="1840"/>
      <c r="DX110" s="1837"/>
      <c r="DY110" s="1838"/>
      <c r="DZ110" s="1837"/>
      <c r="EA110" s="1838"/>
      <c r="EB110" s="1839"/>
      <c r="EC110" s="1840"/>
      <c r="ED110" s="1837"/>
      <c r="EE110" s="1838"/>
      <c r="EF110" s="1837"/>
      <c r="EG110" s="1838"/>
      <c r="EH110" s="1839"/>
      <c r="EI110" s="1840"/>
      <c r="EJ110" s="1837"/>
      <c r="EK110" s="1838"/>
      <c r="EL110" s="1837"/>
      <c r="EM110" s="1838"/>
      <c r="EN110" s="1839"/>
      <c r="EO110" s="1840"/>
      <c r="EP110" s="1837"/>
      <c r="EQ110" s="1838"/>
      <c r="ER110" s="1837"/>
      <c r="ES110" s="1838"/>
      <c r="ET110" s="1839"/>
      <c r="EU110" s="1840"/>
      <c r="EV110" s="1837"/>
      <c r="EW110" s="1838"/>
      <c r="EX110" s="1837"/>
      <c r="EY110" s="1838"/>
      <c r="EZ110" s="1839"/>
      <c r="FA110" s="1840"/>
      <c r="FB110" s="1837"/>
      <c r="FC110" s="1838"/>
      <c r="FD110" s="1837"/>
      <c r="FE110" s="1838"/>
      <c r="FF110" s="1839"/>
      <c r="FG110" s="1840"/>
      <c r="FH110" s="1837"/>
      <c r="FI110" s="1838"/>
      <c r="FJ110" s="1837"/>
      <c r="FK110" s="1838"/>
      <c r="FL110" s="1839"/>
      <c r="FM110" s="1840"/>
      <c r="FN110" s="1837"/>
      <c r="FO110" s="1838"/>
      <c r="FP110" s="1837"/>
      <c r="FQ110" s="1838"/>
      <c r="FR110" s="1839"/>
      <c r="FS110" s="1840"/>
      <c r="FT110" s="1837"/>
      <c r="FU110" s="1838"/>
      <c r="FV110" s="1837"/>
      <c r="FW110" s="1838"/>
      <c r="FX110" s="1839"/>
      <c r="FY110" s="1840"/>
      <c r="FZ110" s="1837"/>
      <c r="GA110" s="1838"/>
      <c r="GB110" s="1837"/>
      <c r="GC110" s="1838"/>
      <c r="GD110" s="1839"/>
      <c r="GE110" s="1840"/>
      <c r="GF110" s="1837"/>
      <c r="GG110" s="1838"/>
      <c r="GH110" s="1837"/>
      <c r="GI110" s="1838"/>
      <c r="GJ110" s="1839"/>
      <c r="GK110" s="1840"/>
      <c r="GL110" s="1837"/>
      <c r="GM110" s="1838"/>
      <c r="GN110" s="1837"/>
      <c r="GO110" s="1838"/>
      <c r="GP110" s="1839"/>
    </row>
    <row r="111" spans="1:198" ht="20.100000000000001" hidden="1" customHeight="1" outlineLevel="1">
      <c r="A111" s="2709"/>
      <c r="B111" s="2612"/>
      <c r="C111" s="1836"/>
      <c r="D111" s="2614" t="str">
        <f>実績!C1183&amp;"("&amp;SUBSTITUTE(実績!R1183&amp;")","株式会社 ","")</f>
        <v>ハローズ大林(山陽設計)</v>
      </c>
      <c r="E111" s="2615"/>
      <c r="F111" s="2615"/>
      <c r="G111" s="2615"/>
      <c r="H111" s="2615"/>
      <c r="I111" s="2615"/>
      <c r="J111" s="2615"/>
      <c r="K111" s="2615"/>
      <c r="L111" s="2615"/>
      <c r="M111" s="2615"/>
      <c r="N111" s="2615"/>
      <c r="O111" s="2615"/>
      <c r="P111" s="2615"/>
      <c r="Q111" s="2616"/>
      <c r="R111" s="1969"/>
      <c r="S111" s="1837"/>
      <c r="T111" s="1837"/>
      <c r="U111" s="1838"/>
      <c r="V111" s="1837"/>
      <c r="W111" s="1838"/>
      <c r="X111" s="1839"/>
      <c r="Y111" s="1837"/>
      <c r="Z111" s="1837"/>
      <c r="AA111" s="1838"/>
      <c r="AB111" s="1837"/>
      <c r="AC111" s="1838"/>
      <c r="AD111" s="1837"/>
      <c r="AE111" s="1840"/>
      <c r="AF111" s="1837"/>
      <c r="AG111" s="1838"/>
      <c r="AH111" s="1837"/>
      <c r="AI111" s="1838"/>
      <c r="AJ111" s="1839"/>
      <c r="AK111" s="1837"/>
      <c r="AL111" s="1837"/>
      <c r="AM111" s="1838"/>
      <c r="AN111" s="1837"/>
      <c r="AO111" s="1838"/>
      <c r="AP111" s="1837"/>
      <c r="AQ111" s="1841"/>
      <c r="AR111" s="1837"/>
      <c r="AS111" s="1838"/>
      <c r="AT111" s="1837"/>
      <c r="AU111" s="1838"/>
      <c r="AV111" s="1839"/>
      <c r="AW111" s="1840"/>
      <c r="AX111" s="1837"/>
      <c r="AY111" s="1838"/>
      <c r="AZ111" s="1837"/>
      <c r="BA111" s="1838"/>
      <c r="BB111" s="1839"/>
      <c r="BC111" s="1837"/>
      <c r="BD111" s="1837"/>
      <c r="BE111" s="1838"/>
      <c r="BF111" s="1837"/>
      <c r="BG111" s="1838"/>
      <c r="BH111" s="1837"/>
      <c r="BI111" s="1840"/>
      <c r="BJ111" s="1837"/>
      <c r="BK111" s="1838"/>
      <c r="BL111" s="1837"/>
      <c r="BM111" s="1838"/>
      <c r="BN111" s="1839"/>
      <c r="BO111" s="1840"/>
      <c r="BP111" s="1837"/>
      <c r="BQ111" s="1838"/>
      <c r="BR111" s="1837"/>
      <c r="BS111" s="1838"/>
      <c r="BT111" s="1839"/>
      <c r="BU111" s="1840"/>
      <c r="BV111" s="1837"/>
      <c r="BW111" s="1838"/>
      <c r="BX111" s="1837"/>
      <c r="BY111" s="1838"/>
      <c r="BZ111" s="1839"/>
      <c r="CA111" s="1840"/>
      <c r="CB111" s="1837"/>
      <c r="CC111" s="1838"/>
      <c r="CD111" s="1837"/>
      <c r="CE111" s="1838"/>
      <c r="CF111" s="1839"/>
      <c r="CG111" s="1840"/>
      <c r="CH111" s="1837"/>
      <c r="CI111" s="1838"/>
      <c r="CJ111" s="1837"/>
      <c r="CK111" s="1838"/>
      <c r="CL111" s="1839"/>
      <c r="CM111" s="1840"/>
      <c r="CN111" s="1837"/>
      <c r="CO111" s="1838"/>
      <c r="CP111" s="1837"/>
      <c r="CQ111" s="1838"/>
      <c r="CR111" s="1839"/>
      <c r="CS111" s="1840"/>
      <c r="CT111" s="1837"/>
      <c r="CU111" s="1838"/>
      <c r="CV111" s="1837"/>
      <c r="CW111" s="1838"/>
      <c r="CX111" s="1839"/>
      <c r="CY111" s="1840"/>
      <c r="CZ111" s="1837"/>
      <c r="DA111" s="1838"/>
      <c r="DB111" s="1837"/>
      <c r="DC111" s="1838"/>
      <c r="DD111" s="1839"/>
      <c r="DE111" s="1840"/>
      <c r="DF111" s="1837"/>
      <c r="DG111" s="1838"/>
      <c r="DH111" s="1837"/>
      <c r="DI111" s="1838"/>
      <c r="DJ111" s="1839"/>
      <c r="DK111" s="1840"/>
      <c r="DL111" s="1837"/>
      <c r="DM111" s="1838"/>
      <c r="DN111" s="1837"/>
      <c r="DO111" s="1838"/>
      <c r="DP111" s="1837"/>
      <c r="DQ111" s="1853"/>
      <c r="DR111" s="1837"/>
      <c r="DS111" s="1838"/>
      <c r="DT111" s="1842"/>
      <c r="DU111" s="1837"/>
      <c r="DV111" s="1839"/>
      <c r="DW111" s="1840"/>
      <c r="DX111" s="1837"/>
      <c r="DY111" s="1838"/>
      <c r="DZ111" s="1837"/>
      <c r="EA111" s="1838"/>
      <c r="EB111" s="1839"/>
      <c r="EC111" s="1840"/>
      <c r="ED111" s="1837"/>
      <c r="EE111" s="1838"/>
      <c r="EF111" s="1837"/>
      <c r="EG111" s="1838"/>
      <c r="EH111" s="1839"/>
      <c r="EI111" s="1840"/>
      <c r="EJ111" s="1837"/>
      <c r="EK111" s="1838"/>
      <c r="EL111" s="1837"/>
      <c r="EM111" s="1838"/>
      <c r="EN111" s="1839"/>
      <c r="EO111" s="1840"/>
      <c r="EP111" s="1837"/>
      <c r="EQ111" s="1838"/>
      <c r="ER111" s="1837"/>
      <c r="ES111" s="1838"/>
      <c r="ET111" s="1839"/>
      <c r="EU111" s="1840"/>
      <c r="EV111" s="1837"/>
      <c r="EW111" s="1838"/>
      <c r="EX111" s="1837"/>
      <c r="EY111" s="1838"/>
      <c r="EZ111" s="1839"/>
      <c r="FA111" s="1840"/>
      <c r="FB111" s="1837"/>
      <c r="FC111" s="1838"/>
      <c r="FD111" s="1837"/>
      <c r="FE111" s="1838"/>
      <c r="FF111" s="1839"/>
      <c r="FG111" s="1840"/>
      <c r="FH111" s="1837"/>
      <c r="FI111" s="1838"/>
      <c r="FJ111" s="1837"/>
      <c r="FK111" s="1838"/>
      <c r="FL111" s="1839"/>
      <c r="FM111" s="1840"/>
      <c r="FN111" s="1837"/>
      <c r="FO111" s="1838"/>
      <c r="FP111" s="1837"/>
      <c r="FQ111" s="1838"/>
      <c r="FR111" s="1839"/>
      <c r="FS111" s="1840"/>
      <c r="FT111" s="1837"/>
      <c r="FU111" s="1838"/>
      <c r="FV111" s="1837"/>
      <c r="FW111" s="1838"/>
      <c r="FX111" s="1839"/>
      <c r="FY111" s="1840"/>
      <c r="FZ111" s="1837"/>
      <c r="GA111" s="1838"/>
      <c r="GB111" s="1837"/>
      <c r="GC111" s="1838"/>
      <c r="GD111" s="1839"/>
      <c r="GE111" s="1840"/>
      <c r="GF111" s="1837"/>
      <c r="GG111" s="1838"/>
      <c r="GH111" s="1837"/>
      <c r="GI111" s="1838"/>
      <c r="GJ111" s="1839"/>
      <c r="GK111" s="1840"/>
      <c r="GL111" s="1837"/>
      <c r="GM111" s="1838"/>
      <c r="GN111" s="1837"/>
      <c r="GO111" s="1838"/>
      <c r="GP111" s="1839"/>
    </row>
    <row r="112" spans="1:198" ht="20.100000000000001" hidden="1" customHeight="1" outlineLevel="1">
      <c r="A112" s="2709"/>
      <c r="B112" s="2612"/>
      <c r="C112" s="1836"/>
      <c r="D112" s="2614" t="str">
        <f>実績!C1185&amp;"("&amp;SUBSTITUTE(実績!R1185&amp;")","株式会社 ","")</f>
        <v>福祉協同サービス移転(新中央設計東京)</v>
      </c>
      <c r="E112" s="2615"/>
      <c r="F112" s="2615"/>
      <c r="G112" s="2615"/>
      <c r="H112" s="2615"/>
      <c r="I112" s="2615"/>
      <c r="J112" s="2615"/>
      <c r="K112" s="2615"/>
      <c r="L112" s="2615"/>
      <c r="M112" s="2615"/>
      <c r="N112" s="2615"/>
      <c r="O112" s="2615"/>
      <c r="P112" s="2615"/>
      <c r="Q112" s="2616"/>
      <c r="R112" s="1969"/>
      <c r="S112" s="1837"/>
      <c r="T112" s="1837"/>
      <c r="U112" s="1838"/>
      <c r="V112" s="1837"/>
      <c r="W112" s="1838"/>
      <c r="X112" s="1839"/>
      <c r="Y112" s="1837"/>
      <c r="Z112" s="1837"/>
      <c r="AA112" s="1838"/>
      <c r="AB112" s="1837"/>
      <c r="AC112" s="1838"/>
      <c r="AD112" s="1837"/>
      <c r="AE112" s="1840"/>
      <c r="AF112" s="1837"/>
      <c r="AG112" s="1838"/>
      <c r="AH112" s="1837"/>
      <c r="AI112" s="1838"/>
      <c r="AJ112" s="1839"/>
      <c r="AK112" s="1837"/>
      <c r="AL112" s="1837"/>
      <c r="AM112" s="1838"/>
      <c r="AN112" s="1837"/>
      <c r="AO112" s="1838"/>
      <c r="AP112" s="1837"/>
      <c r="AQ112" s="1841"/>
      <c r="AR112" s="1837"/>
      <c r="AS112" s="1838"/>
      <c r="AT112" s="1837"/>
      <c r="AU112" s="1838"/>
      <c r="AV112" s="1839"/>
      <c r="AW112" s="1840"/>
      <c r="AX112" s="1837"/>
      <c r="AY112" s="1838"/>
      <c r="AZ112" s="1837"/>
      <c r="BA112" s="1838"/>
      <c r="BB112" s="1839"/>
      <c r="BC112" s="1837"/>
      <c r="BD112" s="1837"/>
      <c r="BE112" s="1838"/>
      <c r="BF112" s="1837"/>
      <c r="BG112" s="1838"/>
      <c r="BH112" s="1837"/>
      <c r="BI112" s="1840" t="s">
        <v>8145</v>
      </c>
      <c r="BJ112" s="1837"/>
      <c r="BK112" s="1838"/>
      <c r="BL112" s="1837"/>
      <c r="BM112" s="1838"/>
      <c r="BN112" s="1839"/>
      <c r="BO112" s="1840"/>
      <c r="BP112" s="1837"/>
      <c r="BQ112" s="1838"/>
      <c r="BR112" s="1837"/>
      <c r="BS112" s="1838"/>
      <c r="BT112" s="1839"/>
      <c r="BU112" s="1840"/>
      <c r="BV112" s="1837"/>
      <c r="BW112" s="1838"/>
      <c r="BX112" s="1837"/>
      <c r="BY112" s="1838"/>
      <c r="BZ112" s="1839"/>
      <c r="CA112" s="1840"/>
      <c r="CB112" s="1837"/>
      <c r="CC112" s="1838"/>
      <c r="CD112" s="1837"/>
      <c r="CE112" s="1838"/>
      <c r="CF112" s="1839"/>
      <c r="CG112" s="1840"/>
      <c r="CH112" s="1837"/>
      <c r="CI112" s="1838"/>
      <c r="CJ112" s="1837"/>
      <c r="CK112" s="1838"/>
      <c r="CL112" s="1839"/>
      <c r="CM112" s="1840"/>
      <c r="CN112" s="1837"/>
      <c r="CO112" s="1838"/>
      <c r="CP112" s="1837"/>
      <c r="CQ112" s="1838"/>
      <c r="CR112" s="1839"/>
      <c r="CS112" s="1840"/>
      <c r="CT112" s="1837"/>
      <c r="CU112" s="1838"/>
      <c r="CV112" s="1837"/>
      <c r="CW112" s="1838"/>
      <c r="CX112" s="1839"/>
      <c r="CY112" s="1840"/>
      <c r="CZ112" s="1837"/>
      <c r="DA112" s="1838"/>
      <c r="DB112" s="1837"/>
      <c r="DC112" s="1838"/>
      <c r="DD112" s="1839"/>
      <c r="DE112" s="1840"/>
      <c r="DF112" s="1837"/>
      <c r="DG112" s="1838"/>
      <c r="DH112" s="1837"/>
      <c r="DI112" s="1838"/>
      <c r="DJ112" s="1839"/>
      <c r="DK112" s="1840"/>
      <c r="DL112" s="1837"/>
      <c r="DM112" s="1838"/>
      <c r="DN112" s="1837"/>
      <c r="DO112" s="1838"/>
      <c r="DP112" s="1837"/>
      <c r="DQ112" s="1853"/>
      <c r="DR112" s="1837"/>
      <c r="DS112" s="1838"/>
      <c r="DT112" s="1842"/>
      <c r="DU112" s="1837"/>
      <c r="DV112" s="1839"/>
      <c r="DW112" s="1840"/>
      <c r="DX112" s="1837"/>
      <c r="DY112" s="1838"/>
      <c r="DZ112" s="1837"/>
      <c r="EA112" s="1838"/>
      <c r="EB112" s="1839"/>
      <c r="EC112" s="1840"/>
      <c r="ED112" s="1837"/>
      <c r="EE112" s="1838"/>
      <c r="EF112" s="1837"/>
      <c r="EG112" s="1838"/>
      <c r="EH112" s="1839"/>
      <c r="EI112" s="1840"/>
      <c r="EJ112" s="1837"/>
      <c r="EK112" s="1838"/>
      <c r="EL112" s="1837"/>
      <c r="EM112" s="1838"/>
      <c r="EN112" s="1839"/>
      <c r="EO112" s="1840"/>
      <c r="EP112" s="1837"/>
      <c r="EQ112" s="1838"/>
      <c r="ER112" s="1837"/>
      <c r="ES112" s="1838"/>
      <c r="ET112" s="1839"/>
      <c r="EU112" s="1840"/>
      <c r="EV112" s="1837"/>
      <c r="EW112" s="1838"/>
      <c r="EX112" s="1837"/>
      <c r="EY112" s="1838"/>
      <c r="EZ112" s="1839"/>
      <c r="FA112" s="1840"/>
      <c r="FB112" s="1837"/>
      <c r="FC112" s="1838"/>
      <c r="FD112" s="1837"/>
      <c r="FE112" s="1838"/>
      <c r="FF112" s="1839"/>
      <c r="FG112" s="1840"/>
      <c r="FH112" s="1837"/>
      <c r="FI112" s="1838"/>
      <c r="FJ112" s="1837"/>
      <c r="FK112" s="1838"/>
      <c r="FL112" s="1839"/>
      <c r="FM112" s="1840"/>
      <c r="FN112" s="1837"/>
      <c r="FO112" s="1838"/>
      <c r="FP112" s="1837"/>
      <c r="FQ112" s="1838"/>
      <c r="FR112" s="1839"/>
      <c r="FS112" s="1840"/>
      <c r="FT112" s="1837"/>
      <c r="FU112" s="1838"/>
      <c r="FV112" s="1837"/>
      <c r="FW112" s="1838"/>
      <c r="FX112" s="1839"/>
      <c r="FY112" s="1840"/>
      <c r="FZ112" s="1837"/>
      <c r="GA112" s="1838"/>
      <c r="GB112" s="1837"/>
      <c r="GC112" s="1838"/>
      <c r="GD112" s="1839"/>
      <c r="GE112" s="1840"/>
      <c r="GF112" s="1837"/>
      <c r="GG112" s="1838"/>
      <c r="GH112" s="1837"/>
      <c r="GI112" s="1838"/>
      <c r="GJ112" s="1839"/>
      <c r="GK112" s="1840"/>
      <c r="GL112" s="1837"/>
      <c r="GM112" s="1838"/>
      <c r="GN112" s="1837"/>
      <c r="GO112" s="1838"/>
      <c r="GP112" s="1839"/>
    </row>
    <row r="113" spans="1:198" ht="20.100000000000001" hidden="1" customHeight="1" outlineLevel="1">
      <c r="A113" s="2709"/>
      <c r="B113" s="2612"/>
      <c r="C113" s="1836"/>
      <c r="D113" s="2614" t="str">
        <f>実績!C1186&amp;"("&amp;SUBSTITUTE(実績!W1186&amp;")","株式会社 ","")</f>
        <v>北綾瀬高架下店舗(東急設計コンサルタント)</v>
      </c>
      <c r="E113" s="2615"/>
      <c r="F113" s="2615"/>
      <c r="G113" s="2615"/>
      <c r="H113" s="2615"/>
      <c r="I113" s="2615"/>
      <c r="J113" s="2615"/>
      <c r="K113" s="2615"/>
      <c r="L113" s="2615"/>
      <c r="M113" s="2615"/>
      <c r="N113" s="2615"/>
      <c r="O113" s="2615"/>
      <c r="P113" s="2615"/>
      <c r="Q113" s="2616"/>
      <c r="R113" s="1969"/>
      <c r="S113" s="1837"/>
      <c r="T113" s="1837"/>
      <c r="U113" s="1838"/>
      <c r="V113" s="1837"/>
      <c r="W113" s="1838"/>
      <c r="X113" s="1839"/>
      <c r="Y113" s="1837"/>
      <c r="Z113" s="1837"/>
      <c r="AA113" s="1838"/>
      <c r="AB113" s="1837"/>
      <c r="AC113" s="1838"/>
      <c r="AD113" s="1837"/>
      <c r="AE113" s="1840"/>
      <c r="AF113" s="1837"/>
      <c r="AG113" s="1838"/>
      <c r="AH113" s="1837"/>
      <c r="AI113" s="1838"/>
      <c r="AJ113" s="1839"/>
      <c r="AK113" s="1837"/>
      <c r="AL113" s="1837"/>
      <c r="AM113" s="1838"/>
      <c r="AN113" s="1837"/>
      <c r="AO113" s="1838"/>
      <c r="AP113" s="1837"/>
      <c r="AQ113" s="1841"/>
      <c r="AR113" s="1837"/>
      <c r="AS113" s="1838"/>
      <c r="AT113" s="1837"/>
      <c r="AU113" s="1838"/>
      <c r="AV113" s="1839"/>
      <c r="AW113" s="1840"/>
      <c r="AX113" s="1837"/>
      <c r="AY113" s="1838"/>
      <c r="AZ113" s="1837"/>
      <c r="BA113" s="1838"/>
      <c r="BB113" s="1839"/>
      <c r="BC113" s="1837"/>
      <c r="BD113" s="1837"/>
      <c r="BE113" s="1838"/>
      <c r="BF113" s="1837"/>
      <c r="BG113" s="1838"/>
      <c r="BH113" s="1837"/>
      <c r="BI113" s="1840"/>
      <c r="BJ113" s="1837"/>
      <c r="BK113" s="1838"/>
      <c r="BL113" s="1837"/>
      <c r="BM113" s="1838"/>
      <c r="BN113" s="1839"/>
      <c r="BO113" s="1840"/>
      <c r="BP113" s="1837"/>
      <c r="BQ113" s="1838"/>
      <c r="BR113" s="1837"/>
      <c r="BS113" s="1838"/>
      <c r="BT113" s="1839"/>
      <c r="BU113" s="1840"/>
      <c r="BV113" s="1837"/>
      <c r="BW113" s="1838"/>
      <c r="BX113" s="1837"/>
      <c r="BY113" s="1838"/>
      <c r="BZ113" s="1839"/>
      <c r="CA113" s="1840"/>
      <c r="CB113" s="1837"/>
      <c r="CC113" s="1838"/>
      <c r="CD113" s="1837"/>
      <c r="CE113" s="1838"/>
      <c r="CF113" s="1839"/>
      <c r="CG113" s="1840"/>
      <c r="CH113" s="1837"/>
      <c r="CI113" s="1838"/>
      <c r="CJ113" s="1837"/>
      <c r="CK113" s="1838"/>
      <c r="CL113" s="1839"/>
      <c r="CM113" s="1840"/>
      <c r="CN113" s="1837"/>
      <c r="CO113" s="1838"/>
      <c r="CP113" s="1837"/>
      <c r="CQ113" s="1838"/>
      <c r="CR113" s="1839"/>
      <c r="CS113" s="1840"/>
      <c r="CT113" s="1837"/>
      <c r="CU113" s="1838"/>
      <c r="CV113" s="1837"/>
      <c r="CW113" s="1838"/>
      <c r="CX113" s="1839"/>
      <c r="CY113" s="1840"/>
      <c r="CZ113" s="1837"/>
      <c r="DA113" s="1838"/>
      <c r="DB113" s="1837"/>
      <c r="DC113" s="1838"/>
      <c r="DD113" s="1839"/>
      <c r="DE113" s="1840"/>
      <c r="DF113" s="1837"/>
      <c r="DG113" s="1838"/>
      <c r="DH113" s="1837"/>
      <c r="DI113" s="1838"/>
      <c r="DJ113" s="1839"/>
      <c r="DK113" s="1840"/>
      <c r="DL113" s="1837"/>
      <c r="DM113" s="1838"/>
      <c r="DN113" s="1837"/>
      <c r="DO113" s="1838"/>
      <c r="DP113" s="1837"/>
      <c r="DQ113" s="1853"/>
      <c r="DR113" s="1837"/>
      <c r="DS113" s="1838"/>
      <c r="DT113" s="1842"/>
      <c r="DU113" s="1837"/>
      <c r="DV113" s="1839"/>
      <c r="DW113" s="1840"/>
      <c r="DX113" s="1837"/>
      <c r="DY113" s="1838"/>
      <c r="DZ113" s="1837"/>
      <c r="EA113" s="1838"/>
      <c r="EB113" s="1839"/>
      <c r="EC113" s="1840"/>
      <c r="ED113" s="1837"/>
      <c r="EE113" s="1838"/>
      <c r="EF113" s="1837"/>
      <c r="EG113" s="1838"/>
      <c r="EH113" s="1839"/>
      <c r="EI113" s="1840"/>
      <c r="EJ113" s="1837"/>
      <c r="EK113" s="1838"/>
      <c r="EL113" s="1837"/>
      <c r="EM113" s="1838"/>
      <c r="EN113" s="1839"/>
      <c r="EO113" s="1840"/>
      <c r="EP113" s="1837"/>
      <c r="EQ113" s="1838"/>
      <c r="ER113" s="1837"/>
      <c r="ES113" s="1838"/>
      <c r="ET113" s="1839"/>
      <c r="EU113" s="1840"/>
      <c r="EV113" s="1837"/>
      <c r="EW113" s="1838"/>
      <c r="EX113" s="1837"/>
      <c r="EY113" s="1838"/>
      <c r="EZ113" s="1839"/>
      <c r="FA113" s="1840"/>
      <c r="FB113" s="1837"/>
      <c r="FC113" s="1838"/>
      <c r="FD113" s="1837"/>
      <c r="FE113" s="1838"/>
      <c r="FF113" s="1839"/>
      <c r="FG113" s="1840"/>
      <c r="FH113" s="1837"/>
      <c r="FI113" s="1838"/>
      <c r="FJ113" s="1837"/>
      <c r="FK113" s="1838"/>
      <c r="FL113" s="1839"/>
      <c r="FM113" s="1840"/>
      <c r="FN113" s="1837"/>
      <c r="FO113" s="1838"/>
      <c r="FP113" s="1837"/>
      <c r="FQ113" s="1838"/>
      <c r="FR113" s="1839"/>
      <c r="FS113" s="1840"/>
      <c r="FT113" s="1837"/>
      <c r="FU113" s="1838"/>
      <c r="FV113" s="1837"/>
      <c r="FW113" s="1838"/>
      <c r="FX113" s="1839"/>
      <c r="FY113" s="1840"/>
      <c r="FZ113" s="1837"/>
      <c r="GA113" s="1838"/>
      <c r="GB113" s="1837"/>
      <c r="GC113" s="1838"/>
      <c r="GD113" s="1839"/>
      <c r="GE113" s="1840"/>
      <c r="GF113" s="1837"/>
      <c r="GG113" s="1838"/>
      <c r="GH113" s="1837"/>
      <c r="GI113" s="1838"/>
      <c r="GJ113" s="1839"/>
      <c r="GK113" s="1840"/>
      <c r="GL113" s="1837"/>
      <c r="GM113" s="1838"/>
      <c r="GN113" s="1837"/>
      <c r="GO113" s="1838"/>
      <c r="GP113" s="1839"/>
    </row>
    <row r="114" spans="1:198" ht="20.100000000000001" hidden="1" customHeight="1" outlineLevel="1" collapsed="1">
      <c r="A114" s="2709"/>
      <c r="B114" s="2612"/>
      <c r="C114" s="1836"/>
      <c r="D114" s="2614" t="str">
        <f>実績!C1008&amp;"("&amp;SUBSTITUTE(実績!W1008&amp;")","株式会社 ","")</f>
        <v>福岡県警航空隊【増築棟】(志賀設計)</v>
      </c>
      <c r="E114" s="2615"/>
      <c r="F114" s="2615"/>
      <c r="G114" s="2615"/>
      <c r="H114" s="2615"/>
      <c r="I114" s="2615"/>
      <c r="J114" s="2615"/>
      <c r="K114" s="2615"/>
      <c r="L114" s="2615"/>
      <c r="M114" s="2615"/>
      <c r="N114" s="2615"/>
      <c r="O114" s="2615"/>
      <c r="P114" s="2615"/>
      <c r="Q114" s="2616"/>
      <c r="R114" s="1969"/>
      <c r="S114" s="1837"/>
      <c r="T114" s="1837"/>
      <c r="U114" s="1838"/>
      <c r="V114" s="1837"/>
      <c r="W114" s="1838"/>
      <c r="X114" s="1839"/>
      <c r="Y114" s="1837"/>
      <c r="Z114" s="1837"/>
      <c r="AA114" s="1838"/>
      <c r="AB114" s="1837"/>
      <c r="AC114" s="1838"/>
      <c r="AD114" s="1837"/>
      <c r="AE114" s="1837"/>
      <c r="AF114" s="1837"/>
      <c r="AG114" s="1838"/>
      <c r="AH114" s="1837"/>
      <c r="AI114" s="1838"/>
      <c r="AJ114" s="1839"/>
      <c r="AK114" s="1837"/>
      <c r="AL114" s="1837"/>
      <c r="AM114" s="1838"/>
      <c r="AN114" s="1837"/>
      <c r="AO114" s="1838"/>
      <c r="AP114" s="1837"/>
      <c r="AQ114" s="1841"/>
      <c r="AR114" s="1837"/>
      <c r="AS114" s="1838"/>
      <c r="AT114" s="1837"/>
      <c r="AU114" s="1838"/>
      <c r="AV114" s="1839"/>
      <c r="AW114" s="1840"/>
      <c r="AX114" s="1837"/>
      <c r="AY114" s="1838"/>
      <c r="AZ114" s="1837"/>
      <c r="BA114" s="1838"/>
      <c r="BB114" s="1839"/>
      <c r="BC114" s="1837"/>
      <c r="BD114" s="1837"/>
      <c r="BE114" s="1838"/>
      <c r="BF114" s="1837"/>
      <c r="BG114" s="1838"/>
      <c r="BH114" s="1837"/>
      <c r="BI114" s="1840"/>
      <c r="BJ114" s="1837"/>
      <c r="BK114" s="1838"/>
      <c r="BL114" s="1837"/>
      <c r="BM114" s="1838"/>
      <c r="BN114" s="1839"/>
      <c r="BO114" s="1840"/>
      <c r="BP114" s="1837"/>
      <c r="BQ114" s="1838"/>
      <c r="BR114" s="1837"/>
      <c r="BS114" s="1838"/>
      <c r="BT114" s="1839"/>
      <c r="BU114" s="1840"/>
      <c r="BV114" s="1837"/>
      <c r="BW114" s="1838"/>
      <c r="BX114" s="1837"/>
      <c r="BY114" s="1838"/>
      <c r="BZ114" s="1839"/>
      <c r="CA114" s="1840"/>
      <c r="CB114" s="1837"/>
      <c r="CC114" s="1838"/>
      <c r="CD114" s="1837"/>
      <c r="CE114" s="1838"/>
      <c r="CF114" s="1839"/>
      <c r="CG114" s="1840"/>
      <c r="CH114" s="1837"/>
      <c r="CI114" s="1838"/>
      <c r="CJ114" s="1837"/>
      <c r="CK114" s="1838"/>
      <c r="CL114" s="1839"/>
      <c r="CM114" s="1840"/>
      <c r="CN114" s="1837"/>
      <c r="CO114" s="1838"/>
      <c r="CP114" s="1837"/>
      <c r="CQ114" s="1838"/>
      <c r="CR114" s="1839"/>
      <c r="CS114" s="1840"/>
      <c r="CT114" s="1837"/>
      <c r="CU114" s="1838"/>
      <c r="CV114" s="1837"/>
      <c r="CW114" s="1838"/>
      <c r="CX114" s="1839"/>
      <c r="CY114" s="1840"/>
      <c r="CZ114" s="1837"/>
      <c r="DA114" s="1838"/>
      <c r="DB114" s="1837"/>
      <c r="DC114" s="1838"/>
      <c r="DD114" s="1839"/>
      <c r="DE114" s="1840"/>
      <c r="DF114" s="1837"/>
      <c r="DG114" s="1838"/>
      <c r="DH114" s="1837"/>
      <c r="DI114" s="1838"/>
      <c r="DJ114" s="1839"/>
      <c r="DK114" s="1840"/>
      <c r="DL114" s="1837"/>
      <c r="DM114" s="1838"/>
      <c r="DN114" s="1837"/>
      <c r="DO114" s="1838"/>
      <c r="DP114" s="1837"/>
      <c r="DQ114" s="1853"/>
      <c r="DR114" s="1837"/>
      <c r="DS114" s="1838"/>
      <c r="DT114" s="1842"/>
      <c r="DU114" s="1837"/>
      <c r="DV114" s="1839"/>
      <c r="DW114" s="1840"/>
      <c r="DX114" s="1837"/>
      <c r="DY114" s="1838"/>
      <c r="DZ114" s="1837"/>
      <c r="EA114" s="1838"/>
      <c r="EB114" s="1839"/>
      <c r="EC114" s="1840"/>
      <c r="ED114" s="1837"/>
      <c r="EE114" s="1838"/>
      <c r="EF114" s="1837"/>
      <c r="EG114" s="1838"/>
      <c r="EH114" s="1839"/>
      <c r="EI114" s="1840"/>
      <c r="EJ114" s="1837"/>
      <c r="EK114" s="1838"/>
      <c r="EL114" s="1837"/>
      <c r="EM114" s="1838"/>
      <c r="EN114" s="1839"/>
      <c r="EO114" s="1840"/>
      <c r="EP114" s="1837"/>
      <c r="EQ114" s="1838"/>
      <c r="ER114" s="1837"/>
      <c r="ES114" s="1838"/>
      <c r="ET114" s="1839"/>
      <c r="EU114" s="1840"/>
      <c r="EV114" s="1837"/>
      <c r="EW114" s="1838"/>
      <c r="EX114" s="1837"/>
      <c r="EY114" s="1838"/>
      <c r="EZ114" s="1839"/>
      <c r="FA114" s="1840"/>
      <c r="FB114" s="1837"/>
      <c r="FC114" s="1838"/>
      <c r="FD114" s="1837"/>
      <c r="FE114" s="1838"/>
      <c r="FF114" s="1839"/>
      <c r="FG114" s="1840"/>
      <c r="FH114" s="1837"/>
      <c r="FI114" s="1838"/>
      <c r="FJ114" s="1837"/>
      <c r="FK114" s="1838"/>
      <c r="FL114" s="1839"/>
      <c r="FM114" s="1840"/>
      <c r="FN114" s="1837"/>
      <c r="FO114" s="1838"/>
      <c r="FP114" s="1837"/>
      <c r="FQ114" s="1838"/>
      <c r="FR114" s="1839"/>
      <c r="FS114" s="1840"/>
      <c r="FT114" s="1837"/>
      <c r="FU114" s="1838"/>
      <c r="FV114" s="1837"/>
      <c r="FW114" s="1838"/>
      <c r="FX114" s="1839"/>
      <c r="FY114" s="1840"/>
      <c r="FZ114" s="1837"/>
      <c r="GA114" s="1838"/>
      <c r="GB114" s="1837"/>
      <c r="GC114" s="1838"/>
      <c r="GD114" s="1839"/>
      <c r="GE114" s="1840"/>
      <c r="GF114" s="1837"/>
      <c r="GG114" s="1838"/>
      <c r="GH114" s="1837"/>
      <c r="GI114" s="1838"/>
      <c r="GJ114" s="1839"/>
      <c r="GK114" s="1840"/>
      <c r="GL114" s="1837"/>
      <c r="GM114" s="1838"/>
      <c r="GN114" s="1837"/>
      <c r="GO114" s="1838"/>
      <c r="GP114" s="1839"/>
    </row>
    <row r="115" spans="1:198" ht="20.100000000000001" hidden="1" customHeight="1" outlineLevel="1">
      <c r="A115" s="2709"/>
      <c r="B115" s="2612"/>
      <c r="C115" s="1836"/>
      <c r="D115" s="2614" t="str">
        <f>実績!C1188&amp;"("&amp;SUBSTITUTE(実績!R1188&amp;")","株式会社 ","")</f>
        <v>株式会社 かねせん 新社屋(タカヤ)</v>
      </c>
      <c r="E115" s="2615"/>
      <c r="F115" s="2615"/>
      <c r="G115" s="2615"/>
      <c r="H115" s="2615"/>
      <c r="I115" s="2615"/>
      <c r="J115" s="2615"/>
      <c r="K115" s="2615"/>
      <c r="L115" s="2615"/>
      <c r="M115" s="2615"/>
      <c r="N115" s="2615"/>
      <c r="O115" s="2615"/>
      <c r="P115" s="2615"/>
      <c r="Q115" s="2616"/>
      <c r="R115" s="1969"/>
      <c r="S115" s="1837"/>
      <c r="T115" s="1837"/>
      <c r="U115" s="1837"/>
      <c r="V115" s="1837"/>
      <c r="W115" s="1837"/>
      <c r="X115" s="1837"/>
      <c r="Y115" s="1837"/>
      <c r="Z115" s="1837"/>
      <c r="AA115" s="1837"/>
      <c r="AB115" s="1837"/>
      <c r="AC115" s="1837"/>
      <c r="AD115" s="1837"/>
      <c r="AE115" s="1837"/>
      <c r="AF115" s="1837"/>
      <c r="AG115" s="1837"/>
      <c r="AH115" s="1837"/>
      <c r="AI115" s="1837"/>
      <c r="AJ115" s="1837"/>
      <c r="AK115" s="1837"/>
      <c r="AL115" s="1837"/>
      <c r="AM115" s="1837"/>
      <c r="AN115" s="1837"/>
      <c r="AO115" s="1837"/>
      <c r="AP115" s="1837"/>
      <c r="AQ115" s="1837"/>
      <c r="AR115" s="1837"/>
      <c r="AS115" s="1837"/>
      <c r="AT115" s="1837"/>
      <c r="AU115" s="1837"/>
      <c r="AV115" s="1837"/>
      <c r="AW115" s="1840"/>
      <c r="AX115" s="1837"/>
      <c r="AY115" s="1838"/>
      <c r="AZ115" s="1837" t="s">
        <v>8145</v>
      </c>
      <c r="BA115" s="1838"/>
      <c r="BB115" s="1839"/>
      <c r="BC115" s="1837"/>
      <c r="BD115" s="1837"/>
      <c r="BE115" s="1838"/>
      <c r="BF115" s="1837"/>
      <c r="BG115" s="1838"/>
      <c r="BH115" s="1837"/>
      <c r="BI115" s="1840"/>
      <c r="BJ115" s="1837"/>
      <c r="BK115" s="1838"/>
      <c r="BL115" s="1837"/>
      <c r="BM115" s="1838"/>
      <c r="BN115" s="1839"/>
      <c r="BO115" s="1840"/>
      <c r="BP115" s="1837"/>
      <c r="BQ115" s="1838"/>
      <c r="BR115" s="1837"/>
      <c r="BS115" s="1838"/>
      <c r="BT115" s="1839"/>
      <c r="BU115" s="1840"/>
      <c r="BV115" s="1837"/>
      <c r="BW115" s="1838"/>
      <c r="BX115" s="1837"/>
      <c r="BY115" s="1838"/>
      <c r="BZ115" s="1839"/>
      <c r="CA115" s="1840"/>
      <c r="CB115" s="1837"/>
      <c r="CC115" s="1838"/>
      <c r="CD115" s="1837"/>
      <c r="CE115" s="1838"/>
      <c r="CF115" s="1839"/>
      <c r="CG115" s="1840"/>
      <c r="CH115" s="1837"/>
      <c r="CI115" s="1838"/>
      <c r="CJ115" s="1837"/>
      <c r="CK115" s="1838"/>
      <c r="CL115" s="1839"/>
      <c r="CM115" s="1840"/>
      <c r="CN115" s="1837"/>
      <c r="CO115" s="1838"/>
      <c r="CP115" s="1837"/>
      <c r="CQ115" s="1838"/>
      <c r="CR115" s="1839"/>
      <c r="CS115" s="1840"/>
      <c r="CT115" s="1837"/>
      <c r="CU115" s="1838"/>
      <c r="CV115" s="1837"/>
      <c r="CW115" s="1838"/>
      <c r="CX115" s="1839"/>
      <c r="CY115" s="1840"/>
      <c r="CZ115" s="1837"/>
      <c r="DA115" s="1838"/>
      <c r="DB115" s="1837"/>
      <c r="DC115" s="1838"/>
      <c r="DD115" s="1839"/>
      <c r="DE115" s="1840"/>
      <c r="DF115" s="1837"/>
      <c r="DG115" s="1838"/>
      <c r="DH115" s="1837"/>
      <c r="DI115" s="1838"/>
      <c r="DJ115" s="1839"/>
      <c r="DK115" s="1840"/>
      <c r="DL115" s="1837"/>
      <c r="DM115" s="1838"/>
      <c r="DN115" s="1837"/>
      <c r="DO115" s="1838"/>
      <c r="DP115" s="1837"/>
      <c r="DQ115" s="1853"/>
      <c r="DR115" s="1837"/>
      <c r="DS115" s="1838"/>
      <c r="DT115" s="1842"/>
      <c r="DU115" s="1837"/>
      <c r="DV115" s="1839"/>
      <c r="DW115" s="1840"/>
      <c r="DX115" s="1837"/>
      <c r="DY115" s="1838"/>
      <c r="DZ115" s="1837"/>
      <c r="EA115" s="1838"/>
      <c r="EB115" s="1839"/>
      <c r="EC115" s="1840"/>
      <c r="ED115" s="1837"/>
      <c r="EE115" s="1838"/>
      <c r="EF115" s="1837"/>
      <c r="EG115" s="1838"/>
      <c r="EH115" s="1839"/>
      <c r="EI115" s="1840"/>
      <c r="EJ115" s="1837"/>
      <c r="EK115" s="1838"/>
      <c r="EL115" s="1837"/>
      <c r="EM115" s="1838"/>
      <c r="EN115" s="1839"/>
      <c r="EO115" s="1840"/>
      <c r="EP115" s="1837"/>
      <c r="EQ115" s="1838"/>
      <c r="ER115" s="1837"/>
      <c r="ES115" s="1838"/>
      <c r="ET115" s="1839"/>
      <c r="EU115" s="1840"/>
      <c r="EV115" s="1837"/>
      <c r="EW115" s="1838"/>
      <c r="EX115" s="1837"/>
      <c r="EY115" s="1838"/>
      <c r="EZ115" s="1839"/>
      <c r="FA115" s="1840"/>
      <c r="FB115" s="1837"/>
      <c r="FC115" s="1838"/>
      <c r="FD115" s="1837"/>
      <c r="FE115" s="1838"/>
      <c r="FF115" s="1839"/>
      <c r="FG115" s="1840"/>
      <c r="FH115" s="1837"/>
      <c r="FI115" s="1838"/>
      <c r="FJ115" s="1837"/>
      <c r="FK115" s="1838"/>
      <c r="FL115" s="1839"/>
      <c r="FM115" s="1840"/>
      <c r="FN115" s="1837"/>
      <c r="FO115" s="1838"/>
      <c r="FP115" s="1837"/>
      <c r="FQ115" s="1838"/>
      <c r="FR115" s="1839"/>
      <c r="FS115" s="1840"/>
      <c r="FT115" s="1837"/>
      <c r="FU115" s="1838"/>
      <c r="FV115" s="1837"/>
      <c r="FW115" s="1838"/>
      <c r="FX115" s="1839"/>
      <c r="FY115" s="1840"/>
      <c r="FZ115" s="1837"/>
      <c r="GA115" s="1838"/>
      <c r="GB115" s="1837"/>
      <c r="GC115" s="1838"/>
      <c r="GD115" s="1839"/>
      <c r="GE115" s="1840"/>
      <c r="GF115" s="1837"/>
      <c r="GG115" s="1838"/>
      <c r="GH115" s="1837"/>
      <c r="GI115" s="1838"/>
      <c r="GJ115" s="1839"/>
      <c r="GK115" s="1840"/>
      <c r="GL115" s="1837"/>
      <c r="GM115" s="1838"/>
      <c r="GN115" s="1837"/>
      <c r="GO115" s="1838"/>
      <c r="GP115" s="1839"/>
    </row>
    <row r="116" spans="1:198" ht="20.100000000000001" hidden="1" customHeight="1" outlineLevel="1" collapsed="1">
      <c r="A116" s="2709"/>
      <c r="B116" s="2612"/>
      <c r="C116" s="1836"/>
      <c r="D116" s="2614" t="str">
        <f>実績!C1189&amp;"("&amp;SUBSTITUTE(実績!R1189&amp;")","株式会社 ","")</f>
        <v>ネッツトヨタ東都 株式会社 水元(a.s.t atelier)</v>
      </c>
      <c r="E116" s="2615"/>
      <c r="F116" s="2615"/>
      <c r="G116" s="2615"/>
      <c r="H116" s="2615"/>
      <c r="I116" s="2615"/>
      <c r="J116" s="2615"/>
      <c r="K116" s="2615"/>
      <c r="L116" s="2615"/>
      <c r="M116" s="2615"/>
      <c r="N116" s="2615"/>
      <c r="O116" s="2615"/>
      <c r="P116" s="2615"/>
      <c r="Q116" s="2616"/>
      <c r="R116" s="1969"/>
      <c r="S116" s="1837"/>
      <c r="T116" s="1837"/>
      <c r="U116" s="1838"/>
      <c r="V116" s="1837"/>
      <c r="W116" s="1838"/>
      <c r="X116" s="1839"/>
      <c r="Y116" s="1837"/>
      <c r="Z116" s="1837"/>
      <c r="AA116" s="1838"/>
      <c r="AB116" s="1837"/>
      <c r="AC116" s="1838"/>
      <c r="AD116" s="1837"/>
      <c r="AE116" s="1840"/>
      <c r="AF116" s="1837"/>
      <c r="AG116" s="1838"/>
      <c r="AH116" s="1837"/>
      <c r="AI116" s="1838"/>
      <c r="AJ116" s="1839"/>
      <c r="AK116" s="1837"/>
      <c r="AL116" s="1837"/>
      <c r="AM116" s="1838"/>
      <c r="AN116" s="1837"/>
      <c r="AO116" s="1838"/>
      <c r="AP116" s="1837"/>
      <c r="AQ116" s="1841"/>
      <c r="AR116" s="1837"/>
      <c r="AS116" s="1838"/>
      <c r="AT116" s="1837"/>
      <c r="AU116" s="1838"/>
      <c r="AV116" s="1839"/>
      <c r="AW116" s="1840"/>
      <c r="AX116" s="1837"/>
      <c r="AY116" s="1838"/>
      <c r="AZ116" s="1837" t="s">
        <v>8889</v>
      </c>
      <c r="BA116" s="1838"/>
      <c r="BB116" s="1839"/>
      <c r="BC116" s="1837"/>
      <c r="BD116" s="1837"/>
      <c r="BE116" s="1838"/>
      <c r="BF116" s="1837"/>
      <c r="BG116" s="1838"/>
      <c r="BH116" s="1837"/>
      <c r="BI116" s="1840"/>
      <c r="BJ116" s="1837"/>
      <c r="BK116" s="1838"/>
      <c r="BL116" s="1837"/>
      <c r="BM116" s="1838"/>
      <c r="BN116" s="1839"/>
      <c r="BO116" s="1840"/>
      <c r="BP116" s="1837"/>
      <c r="BQ116" s="1838"/>
      <c r="BR116" s="1837"/>
      <c r="BS116" s="1838"/>
      <c r="BT116" s="1839"/>
      <c r="BU116" s="1840"/>
      <c r="BV116" s="1837"/>
      <c r="BW116" s="1838"/>
      <c r="BX116" s="1837"/>
      <c r="BY116" s="1838"/>
      <c r="BZ116" s="1839"/>
      <c r="CA116" s="1840"/>
      <c r="CB116" s="1837"/>
      <c r="CC116" s="1838"/>
      <c r="CD116" s="1837"/>
      <c r="CE116" s="1838"/>
      <c r="CF116" s="1839"/>
      <c r="CG116" s="1840"/>
      <c r="CH116" s="1837"/>
      <c r="CI116" s="1838"/>
      <c r="CJ116" s="1837"/>
      <c r="CK116" s="1838"/>
      <c r="CL116" s="1839"/>
      <c r="CM116" s="1840"/>
      <c r="CN116" s="1837"/>
      <c r="CO116" s="1838"/>
      <c r="CP116" s="1837"/>
      <c r="CQ116" s="1838"/>
      <c r="CR116" s="1839"/>
      <c r="CS116" s="1840"/>
      <c r="CT116" s="1837"/>
      <c r="CU116" s="1838"/>
      <c r="CV116" s="1837"/>
      <c r="CW116" s="1838"/>
      <c r="CX116" s="1839"/>
      <c r="CY116" s="1840"/>
      <c r="CZ116" s="1837"/>
      <c r="DA116" s="1838"/>
      <c r="DB116" s="1837"/>
      <c r="DC116" s="1838"/>
      <c r="DD116" s="1839"/>
      <c r="DE116" s="1840"/>
      <c r="DF116" s="1837"/>
      <c r="DG116" s="1838"/>
      <c r="DH116" s="1837"/>
      <c r="DI116" s="1838"/>
      <c r="DJ116" s="1839"/>
      <c r="DK116" s="1840"/>
      <c r="DL116" s="1837"/>
      <c r="DM116" s="1838"/>
      <c r="DN116" s="1837"/>
      <c r="DO116" s="1838"/>
      <c r="DP116" s="1837"/>
      <c r="DQ116" s="1853"/>
      <c r="DR116" s="1837"/>
      <c r="DS116" s="1838"/>
      <c r="DT116" s="1842"/>
      <c r="DU116" s="1837"/>
      <c r="DV116" s="1839"/>
      <c r="DW116" s="1840"/>
      <c r="DX116" s="1837"/>
      <c r="DY116" s="1838"/>
      <c r="DZ116" s="1837"/>
      <c r="EA116" s="1838"/>
      <c r="EB116" s="1839"/>
      <c r="EC116" s="1840"/>
      <c r="ED116" s="1837"/>
      <c r="EE116" s="1838"/>
      <c r="EF116" s="1837"/>
      <c r="EG116" s="1838"/>
      <c r="EH116" s="1839"/>
      <c r="EI116" s="1840"/>
      <c r="EJ116" s="1837"/>
      <c r="EK116" s="1838"/>
      <c r="EL116" s="1837"/>
      <c r="EM116" s="1838"/>
      <c r="EN116" s="1839"/>
      <c r="EO116" s="1840"/>
      <c r="EP116" s="1837"/>
      <c r="EQ116" s="1838"/>
      <c r="ER116" s="1837"/>
      <c r="ES116" s="1838"/>
      <c r="ET116" s="1839"/>
      <c r="EU116" s="1840"/>
      <c r="EV116" s="1837"/>
      <c r="EW116" s="1838"/>
      <c r="EX116" s="1837"/>
      <c r="EY116" s="1838"/>
      <c r="EZ116" s="1839"/>
      <c r="FA116" s="1840"/>
      <c r="FB116" s="1837"/>
      <c r="FC116" s="1838"/>
      <c r="FD116" s="1837"/>
      <c r="FE116" s="1838"/>
      <c r="FF116" s="1839"/>
      <c r="FG116" s="1840"/>
      <c r="FH116" s="1837"/>
      <c r="FI116" s="1838"/>
      <c r="FJ116" s="1837"/>
      <c r="FK116" s="1838"/>
      <c r="FL116" s="1839"/>
      <c r="FM116" s="1840"/>
      <c r="FN116" s="1837"/>
      <c r="FO116" s="1838"/>
      <c r="FP116" s="1837"/>
      <c r="FQ116" s="1838"/>
      <c r="FR116" s="1839"/>
      <c r="FS116" s="1840"/>
      <c r="FT116" s="1837"/>
      <c r="FU116" s="1838"/>
      <c r="FV116" s="1837"/>
      <c r="FW116" s="1838"/>
      <c r="FX116" s="1839"/>
      <c r="FY116" s="1840"/>
      <c r="FZ116" s="1837"/>
      <c r="GA116" s="1838"/>
      <c r="GB116" s="1837"/>
      <c r="GC116" s="1838"/>
      <c r="GD116" s="1839"/>
      <c r="GE116" s="1840"/>
      <c r="GF116" s="1837"/>
      <c r="GG116" s="1838"/>
      <c r="GH116" s="1837"/>
      <c r="GI116" s="1838"/>
      <c r="GJ116" s="1839"/>
      <c r="GK116" s="1840"/>
      <c r="GL116" s="1837"/>
      <c r="GM116" s="1838"/>
      <c r="GN116" s="1837"/>
      <c r="GO116" s="1838"/>
      <c r="GP116" s="1839"/>
    </row>
    <row r="117" spans="1:198" ht="20.100000000000001" hidden="1" customHeight="1" outlineLevel="1" collapsed="1">
      <c r="A117" s="2709"/>
      <c r="B117" s="2612"/>
      <c r="C117" s="1836"/>
      <c r="D117" s="2614" t="str">
        <f>実績!C1190&amp;"("&amp;SUBSTITUTE(実績!R1190&amp;")","株式会社 ","")</f>
        <v>サテライト八代(オリーブ設計)</v>
      </c>
      <c r="E117" s="2617"/>
      <c r="F117" s="2617"/>
      <c r="G117" s="2617"/>
      <c r="H117" s="2617"/>
      <c r="I117" s="2617"/>
      <c r="J117" s="2617"/>
      <c r="K117" s="2617"/>
      <c r="L117" s="2617"/>
      <c r="M117" s="2617"/>
      <c r="N117" s="2617"/>
      <c r="O117" s="2617"/>
      <c r="P117" s="2617"/>
      <c r="Q117" s="2618"/>
      <c r="R117" s="1970"/>
      <c r="S117" s="1837"/>
      <c r="T117" s="1837"/>
      <c r="U117" s="1838"/>
      <c r="V117" s="1837"/>
      <c r="W117" s="1838"/>
      <c r="X117" s="1839"/>
      <c r="Y117" s="1837"/>
      <c r="Z117" s="1837"/>
      <c r="AA117" s="1838"/>
      <c r="AB117" s="1837"/>
      <c r="AC117" s="1838"/>
      <c r="AD117" s="1837"/>
      <c r="AE117" s="1840"/>
      <c r="AF117" s="1837"/>
      <c r="AG117" s="1838"/>
      <c r="AH117" s="1837"/>
      <c r="AI117" s="1838"/>
      <c r="AJ117" s="1839"/>
      <c r="AK117" s="1837"/>
      <c r="AL117" s="1837"/>
      <c r="AM117" s="1838"/>
      <c r="AN117" s="1837"/>
      <c r="AO117" s="1838"/>
      <c r="AP117" s="1837"/>
      <c r="AQ117" s="1841"/>
      <c r="AR117" s="1837"/>
      <c r="AS117" s="1838"/>
      <c r="AT117" s="1837"/>
      <c r="AU117" s="1838"/>
      <c r="AV117" s="1839"/>
      <c r="AW117" s="1840"/>
      <c r="AX117" s="1837"/>
      <c r="AY117" s="1838"/>
      <c r="AZ117" s="1837"/>
      <c r="BA117" s="1838"/>
      <c r="BB117" s="1839"/>
      <c r="BC117" s="1837"/>
      <c r="BD117" s="1837" t="s">
        <v>8889</v>
      </c>
      <c r="BE117" s="1838"/>
      <c r="BF117" s="1837"/>
      <c r="BG117" s="1838"/>
      <c r="BH117" s="1837"/>
      <c r="BI117" s="1840"/>
      <c r="BJ117" s="1837"/>
      <c r="BK117" s="1838"/>
      <c r="BL117" s="1837"/>
      <c r="BM117" s="1838"/>
      <c r="BN117" s="1839"/>
      <c r="BO117" s="1840"/>
      <c r="BP117" s="1837"/>
      <c r="BQ117" s="1838"/>
      <c r="BR117" s="1837"/>
      <c r="BS117" s="1838"/>
      <c r="BT117" s="1839"/>
      <c r="BU117" s="1840"/>
      <c r="BV117" s="1837"/>
      <c r="BW117" s="1838"/>
      <c r="BX117" s="1837"/>
      <c r="BY117" s="1838"/>
      <c r="BZ117" s="1839"/>
      <c r="CA117" s="1840"/>
      <c r="CB117" s="1837"/>
      <c r="CC117" s="1838"/>
      <c r="CD117" s="1837"/>
      <c r="CE117" s="1838"/>
      <c r="CF117" s="1839"/>
      <c r="CG117" s="1840"/>
      <c r="CH117" s="1837"/>
      <c r="CI117" s="1838"/>
      <c r="CJ117" s="1837"/>
      <c r="CK117" s="1838"/>
      <c r="CL117" s="1839"/>
      <c r="CM117" s="1840"/>
      <c r="CN117" s="1837"/>
      <c r="CO117" s="1838"/>
      <c r="CP117" s="1837"/>
      <c r="CQ117" s="1838"/>
      <c r="CR117" s="1839"/>
      <c r="CS117" s="1840"/>
      <c r="CT117" s="1837"/>
      <c r="CU117" s="1838"/>
      <c r="CV117" s="1837"/>
      <c r="CW117" s="1838"/>
      <c r="CX117" s="1839"/>
      <c r="CY117" s="1840"/>
      <c r="CZ117" s="1837"/>
      <c r="DA117" s="1838"/>
      <c r="DB117" s="1837"/>
      <c r="DC117" s="1838"/>
      <c r="DD117" s="1839"/>
      <c r="DE117" s="1840"/>
      <c r="DF117" s="1837"/>
      <c r="DG117" s="1838"/>
      <c r="DH117" s="1837"/>
      <c r="DI117" s="1838"/>
      <c r="DJ117" s="1839"/>
      <c r="DK117" s="1840"/>
      <c r="DL117" s="1837"/>
      <c r="DM117" s="1838"/>
      <c r="DN117" s="1837"/>
      <c r="DO117" s="1838"/>
      <c r="DP117" s="1837"/>
      <c r="DQ117" s="1853"/>
      <c r="DR117" s="1837"/>
      <c r="DS117" s="1838"/>
      <c r="DT117" s="1842"/>
      <c r="DU117" s="1837"/>
      <c r="DV117" s="1839"/>
      <c r="DW117" s="1840"/>
      <c r="DX117" s="1837"/>
      <c r="DY117" s="1838"/>
      <c r="DZ117" s="1837"/>
      <c r="EA117" s="1838"/>
      <c r="EB117" s="1839"/>
      <c r="EC117" s="1840"/>
      <c r="ED117" s="1837"/>
      <c r="EE117" s="1838"/>
      <c r="EF117" s="1837"/>
      <c r="EG117" s="1838"/>
      <c r="EH117" s="1839"/>
      <c r="EI117" s="1840"/>
      <c r="EJ117" s="1837"/>
      <c r="EK117" s="1838"/>
      <c r="EL117" s="1837"/>
      <c r="EM117" s="1838"/>
      <c r="EN117" s="1839"/>
      <c r="EO117" s="1840"/>
      <c r="EP117" s="1837"/>
      <c r="EQ117" s="1838"/>
      <c r="ER117" s="1837"/>
      <c r="ES117" s="1838"/>
      <c r="ET117" s="1839"/>
      <c r="EU117" s="1840"/>
      <c r="EV117" s="1837"/>
      <c r="EW117" s="1838"/>
      <c r="EX117" s="1837"/>
      <c r="EY117" s="1838"/>
      <c r="EZ117" s="1839"/>
      <c r="FA117" s="1840"/>
      <c r="FB117" s="1837"/>
      <c r="FC117" s="1838"/>
      <c r="FD117" s="1837"/>
      <c r="FE117" s="1838"/>
      <c r="FF117" s="1839"/>
      <c r="FG117" s="1840"/>
      <c r="FH117" s="1837"/>
      <c r="FI117" s="1838"/>
      <c r="FJ117" s="1837"/>
      <c r="FK117" s="1838"/>
      <c r="FL117" s="1839"/>
      <c r="FM117" s="1840"/>
      <c r="FN117" s="1837"/>
      <c r="FO117" s="1838"/>
      <c r="FP117" s="1837"/>
      <c r="FQ117" s="1838"/>
      <c r="FR117" s="1839"/>
      <c r="FS117" s="1840"/>
      <c r="FT117" s="1837"/>
      <c r="FU117" s="1838"/>
      <c r="FV117" s="1837"/>
      <c r="FW117" s="1838"/>
      <c r="FX117" s="1839"/>
      <c r="FY117" s="1840"/>
      <c r="FZ117" s="1837"/>
      <c r="GA117" s="1838"/>
      <c r="GB117" s="1837"/>
      <c r="GC117" s="1838"/>
      <c r="GD117" s="1839"/>
      <c r="GE117" s="1840"/>
      <c r="GF117" s="1837"/>
      <c r="GG117" s="1838"/>
      <c r="GH117" s="1837"/>
      <c r="GI117" s="1838"/>
      <c r="GJ117" s="1839"/>
      <c r="GK117" s="1840"/>
      <c r="GL117" s="1837"/>
      <c r="GM117" s="1838"/>
      <c r="GN117" s="1837"/>
      <c r="GO117" s="1838"/>
      <c r="GP117" s="1839"/>
    </row>
    <row r="118" spans="1:198" ht="20.100000000000001" hidden="1" customHeight="1" outlineLevel="1" collapsed="1">
      <c r="A118" s="2709"/>
      <c r="B118" s="2612"/>
      <c r="C118" s="1858"/>
      <c r="D118" s="2614" t="str">
        <f>実績!C1197&amp;"("&amp;SUBSTITUTE(実績!R1197&amp;")","有限会社 ","")</f>
        <v>薬王堂山形遊佐(商業施設マネジメント)</v>
      </c>
      <c r="E118" s="2617"/>
      <c r="F118" s="2617"/>
      <c r="G118" s="2617"/>
      <c r="H118" s="2617"/>
      <c r="I118" s="2617"/>
      <c r="J118" s="2617"/>
      <c r="K118" s="2617"/>
      <c r="L118" s="2617"/>
      <c r="M118" s="2617"/>
      <c r="N118" s="2617"/>
      <c r="O118" s="2617"/>
      <c r="P118" s="2617"/>
      <c r="Q118" s="2618"/>
      <c r="R118" s="1970"/>
      <c r="S118" s="1837"/>
      <c r="T118" s="1837"/>
      <c r="U118" s="1837"/>
      <c r="V118" s="1837"/>
      <c r="W118" s="1837"/>
      <c r="X118" s="1837"/>
      <c r="Y118" s="1837"/>
      <c r="Z118" s="1837"/>
      <c r="AA118" s="1837"/>
      <c r="AB118" s="1837"/>
      <c r="AC118" s="1837"/>
      <c r="AD118" s="1837"/>
      <c r="AE118" s="1837"/>
      <c r="AF118" s="1837"/>
      <c r="AG118" s="1837"/>
      <c r="AH118" s="1837"/>
      <c r="AI118" s="1837"/>
      <c r="AJ118" s="1837"/>
      <c r="AK118" s="1837"/>
      <c r="AL118" s="1837"/>
      <c r="AM118" s="1837"/>
      <c r="AN118" s="1837"/>
      <c r="AO118" s="1837"/>
      <c r="AP118" s="1837"/>
      <c r="AQ118" s="1837"/>
      <c r="AR118" s="1837"/>
      <c r="AS118" s="1837"/>
      <c r="AT118" s="1837"/>
      <c r="AU118" s="1837"/>
      <c r="AV118" s="1837"/>
      <c r="AW118" s="1840"/>
      <c r="AX118" s="1842" t="s">
        <v>9004</v>
      </c>
      <c r="AY118" s="1838"/>
      <c r="AZ118" s="1837"/>
      <c r="BA118" s="1838"/>
      <c r="BB118" s="1839"/>
      <c r="BC118" s="1837"/>
      <c r="BD118" s="1837"/>
      <c r="BE118" s="1838"/>
      <c r="BF118" s="1837"/>
      <c r="BG118" s="1838"/>
      <c r="BH118" s="1837"/>
      <c r="BI118" s="1840" t="s">
        <v>9006</v>
      </c>
      <c r="BJ118" s="1837"/>
      <c r="BK118" s="1838"/>
      <c r="BL118" s="1837"/>
      <c r="BM118" s="1838"/>
      <c r="BN118" s="1839"/>
      <c r="BO118" s="1840"/>
      <c r="BP118" s="1837"/>
      <c r="BQ118" s="1838"/>
      <c r="BR118" s="1837"/>
      <c r="BS118" s="1838"/>
      <c r="BT118" s="1839"/>
      <c r="BU118" s="1840"/>
      <c r="BV118" s="1837"/>
      <c r="BW118" s="1838"/>
      <c r="BX118" s="1837"/>
      <c r="BY118" s="1838"/>
      <c r="BZ118" s="1839"/>
      <c r="CA118" s="1840"/>
      <c r="CB118" s="1837"/>
      <c r="CC118" s="1838"/>
      <c r="CD118" s="1837"/>
      <c r="CE118" s="1838"/>
      <c r="CF118" s="1839"/>
      <c r="CG118" s="1840"/>
      <c r="CH118" s="1837"/>
      <c r="CI118" s="1838"/>
      <c r="CJ118" s="1837"/>
      <c r="CK118" s="1838"/>
      <c r="CL118" s="1839"/>
      <c r="CM118" s="1840"/>
      <c r="CN118" s="1837"/>
      <c r="CO118" s="1838"/>
      <c r="CP118" s="1837"/>
      <c r="CQ118" s="1838"/>
      <c r="CR118" s="1839"/>
      <c r="CS118" s="1840"/>
      <c r="CT118" s="1837"/>
      <c r="CU118" s="1838"/>
      <c r="CV118" s="1837"/>
      <c r="CW118" s="1838"/>
      <c r="CX118" s="1839"/>
      <c r="CY118" s="1840"/>
      <c r="CZ118" s="1837"/>
      <c r="DA118" s="1838"/>
      <c r="DB118" s="1837"/>
      <c r="DC118" s="1838"/>
      <c r="DD118" s="1839"/>
      <c r="DE118" s="1840"/>
      <c r="DF118" s="1837"/>
      <c r="DG118" s="1838"/>
      <c r="DH118" s="1837"/>
      <c r="DI118" s="1838"/>
      <c r="DJ118" s="1839"/>
      <c r="DK118" s="1840"/>
      <c r="DL118" s="1837"/>
      <c r="DM118" s="1838"/>
      <c r="DN118" s="1837"/>
      <c r="DO118" s="1838"/>
      <c r="DP118" s="1837"/>
      <c r="DQ118" s="1853"/>
      <c r="DR118" s="1837"/>
      <c r="DS118" s="1838"/>
      <c r="DT118" s="1842"/>
      <c r="DU118" s="1837"/>
      <c r="DV118" s="1839"/>
      <c r="DW118" s="1840"/>
      <c r="DX118" s="1837"/>
      <c r="DY118" s="1838"/>
      <c r="DZ118" s="1837"/>
      <c r="EA118" s="1838"/>
      <c r="EB118" s="1839"/>
      <c r="EC118" s="1840"/>
      <c r="ED118" s="1837"/>
      <c r="EE118" s="1838"/>
      <c r="EF118" s="1837"/>
      <c r="EG118" s="1838"/>
      <c r="EH118" s="1839"/>
      <c r="EI118" s="1840"/>
      <c r="EJ118" s="1837"/>
      <c r="EK118" s="1838"/>
      <c r="EL118" s="1837"/>
      <c r="EM118" s="1838"/>
      <c r="EN118" s="1839"/>
      <c r="EO118" s="1840"/>
      <c r="EP118" s="1837"/>
      <c r="EQ118" s="1838"/>
      <c r="ER118" s="1837"/>
      <c r="ES118" s="1838"/>
      <c r="ET118" s="1839"/>
      <c r="EU118" s="1840"/>
      <c r="EV118" s="1837"/>
      <c r="EW118" s="1838"/>
      <c r="EX118" s="1837"/>
      <c r="EY118" s="1838"/>
      <c r="EZ118" s="1839"/>
      <c r="FA118" s="1840"/>
      <c r="FB118" s="1837"/>
      <c r="FC118" s="1838"/>
      <c r="FD118" s="1837"/>
      <c r="FE118" s="1838"/>
      <c r="FF118" s="1839"/>
      <c r="FG118" s="1840"/>
      <c r="FH118" s="1837"/>
      <c r="FI118" s="1838"/>
      <c r="FJ118" s="1837"/>
      <c r="FK118" s="1838"/>
      <c r="FL118" s="1839"/>
      <c r="FM118" s="1840"/>
      <c r="FN118" s="1837"/>
      <c r="FO118" s="1838"/>
      <c r="FP118" s="1837"/>
      <c r="FQ118" s="1838"/>
      <c r="FR118" s="1839"/>
      <c r="FS118" s="1840"/>
      <c r="FT118" s="1837"/>
      <c r="FU118" s="1838"/>
      <c r="FV118" s="1837"/>
      <c r="FW118" s="1838"/>
      <c r="FX118" s="1839"/>
      <c r="FY118" s="1840"/>
      <c r="FZ118" s="1837"/>
      <c r="GA118" s="1838"/>
      <c r="GB118" s="1837"/>
      <c r="GC118" s="1838"/>
      <c r="GD118" s="1839"/>
      <c r="GE118" s="1840"/>
      <c r="GF118" s="1837"/>
      <c r="GG118" s="1838"/>
      <c r="GH118" s="1837"/>
      <c r="GI118" s="1838"/>
      <c r="GJ118" s="1839"/>
      <c r="GK118" s="1840"/>
      <c r="GL118" s="1837"/>
      <c r="GM118" s="1838"/>
      <c r="GN118" s="1837"/>
      <c r="GO118" s="1838"/>
      <c r="GP118" s="1839"/>
    </row>
    <row r="119" spans="1:198" ht="20.100000000000001" hidden="1" customHeight="1" outlineLevel="1">
      <c r="A119" s="2709"/>
      <c r="B119" s="2612"/>
      <c r="C119" s="1858"/>
      <c r="D119" s="2614" t="str">
        <f>実績!C1196&amp;"("&amp;SUBSTITUTE(実績!R1196&amp;")","有限会社 ","")</f>
        <v>ツルハドラッグ五所川原広田(ケイズクリエイツ)</v>
      </c>
      <c r="E119" s="2617"/>
      <c r="F119" s="2617"/>
      <c r="G119" s="2617"/>
      <c r="H119" s="2617"/>
      <c r="I119" s="2617"/>
      <c r="J119" s="2617"/>
      <c r="K119" s="2617"/>
      <c r="L119" s="2617"/>
      <c r="M119" s="2617"/>
      <c r="N119" s="2617"/>
      <c r="O119" s="2617"/>
      <c r="P119" s="2617"/>
      <c r="Q119" s="2618"/>
      <c r="R119" s="1970"/>
      <c r="S119" s="1837"/>
      <c r="T119" s="1837"/>
      <c r="U119" s="1837"/>
      <c r="V119" s="1837"/>
      <c r="W119" s="1837"/>
      <c r="X119" s="1837"/>
      <c r="Y119" s="1837"/>
      <c r="Z119" s="1837"/>
      <c r="AA119" s="1837"/>
      <c r="AB119" s="1837"/>
      <c r="AC119" s="1837"/>
      <c r="AD119" s="1837"/>
      <c r="AE119" s="1837"/>
      <c r="AF119" s="1837"/>
      <c r="AG119" s="1837"/>
      <c r="AH119" s="1837"/>
      <c r="AI119" s="1837"/>
      <c r="AJ119" s="1837"/>
      <c r="AK119" s="1837"/>
      <c r="AL119" s="1837"/>
      <c r="AM119" s="1837"/>
      <c r="AN119" s="1837"/>
      <c r="AO119" s="1837"/>
      <c r="AP119" s="1837"/>
      <c r="AQ119" s="1837"/>
      <c r="AR119" s="1837"/>
      <c r="AS119" s="1837"/>
      <c r="AT119" s="1837"/>
      <c r="AU119" s="1837"/>
      <c r="AV119" s="1837"/>
      <c r="AW119" s="1840"/>
      <c r="AX119" s="1837"/>
      <c r="AY119" s="1838"/>
      <c r="AZ119" s="1837"/>
      <c r="BA119" s="1838"/>
      <c r="BB119" s="1839"/>
      <c r="BC119" s="1837"/>
      <c r="BD119" s="1837"/>
      <c r="BE119" s="1838"/>
      <c r="BF119" s="1837"/>
      <c r="BG119" s="1838"/>
      <c r="BH119" s="1837"/>
      <c r="BI119" s="1840"/>
      <c r="BJ119" s="1837"/>
      <c r="BK119" s="1838"/>
      <c r="BL119" s="1837"/>
      <c r="BM119" s="1838"/>
      <c r="BN119" s="1839"/>
      <c r="BO119" s="1840"/>
      <c r="BP119" s="1837"/>
      <c r="BQ119" s="1838"/>
      <c r="BR119" s="1837"/>
      <c r="BS119" s="1838"/>
      <c r="BT119" s="1839"/>
      <c r="BU119" s="1840"/>
      <c r="BV119" s="1837"/>
      <c r="BW119" s="1838"/>
      <c r="BX119" s="1837"/>
      <c r="BY119" s="1838"/>
      <c r="BZ119" s="1839"/>
      <c r="CA119" s="1840"/>
      <c r="CB119" s="1837"/>
      <c r="CC119" s="1838"/>
      <c r="CD119" s="1837"/>
      <c r="CE119" s="1838"/>
      <c r="CF119" s="1839"/>
      <c r="CG119" s="1840"/>
      <c r="CH119" s="1837"/>
      <c r="CI119" s="1838"/>
      <c r="CJ119" s="1837"/>
      <c r="CK119" s="1838"/>
      <c r="CL119" s="1839"/>
      <c r="CM119" s="1840"/>
      <c r="CN119" s="1837"/>
      <c r="CO119" s="1838"/>
      <c r="CP119" s="1837"/>
      <c r="CQ119" s="1838"/>
      <c r="CR119" s="1839"/>
      <c r="CS119" s="1840"/>
      <c r="CT119" s="1837"/>
      <c r="CU119" s="1838"/>
      <c r="CV119" s="1837"/>
      <c r="CW119" s="1838"/>
      <c r="CX119" s="1839"/>
      <c r="CY119" s="1840"/>
      <c r="CZ119" s="1837"/>
      <c r="DA119" s="1838"/>
      <c r="DB119" s="1837"/>
      <c r="DC119" s="1838"/>
      <c r="DD119" s="1839"/>
      <c r="DE119" s="1840"/>
      <c r="DF119" s="1837"/>
      <c r="DG119" s="1838"/>
      <c r="DH119" s="1837"/>
      <c r="DI119" s="1838"/>
      <c r="DJ119" s="1839"/>
      <c r="DK119" s="1840"/>
      <c r="DL119" s="1837"/>
      <c r="DM119" s="1838"/>
      <c r="DN119" s="1837"/>
      <c r="DO119" s="1838"/>
      <c r="DP119" s="1837"/>
      <c r="DQ119" s="1853"/>
      <c r="DR119" s="1837"/>
      <c r="DS119" s="1838"/>
      <c r="DT119" s="1842"/>
      <c r="DU119" s="1837"/>
      <c r="DV119" s="1839"/>
      <c r="DW119" s="1840"/>
      <c r="DX119" s="1837"/>
      <c r="DY119" s="1838"/>
      <c r="DZ119" s="1837"/>
      <c r="EA119" s="1838"/>
      <c r="EB119" s="1839"/>
      <c r="EC119" s="1840"/>
      <c r="ED119" s="1837"/>
      <c r="EE119" s="1838"/>
      <c r="EF119" s="1837"/>
      <c r="EG119" s="1838"/>
      <c r="EH119" s="1839"/>
      <c r="EI119" s="1840"/>
      <c r="EJ119" s="1837"/>
      <c r="EK119" s="1838"/>
      <c r="EL119" s="1837"/>
      <c r="EM119" s="1838"/>
      <c r="EN119" s="1839"/>
      <c r="EO119" s="1840"/>
      <c r="EP119" s="1837"/>
      <c r="EQ119" s="1838"/>
      <c r="ER119" s="1837"/>
      <c r="ES119" s="1838"/>
      <c r="ET119" s="1839"/>
      <c r="EU119" s="1840"/>
      <c r="EV119" s="1837"/>
      <c r="EW119" s="1838"/>
      <c r="EX119" s="1837"/>
      <c r="EY119" s="1838"/>
      <c r="EZ119" s="1839"/>
      <c r="FA119" s="1840"/>
      <c r="FB119" s="1837"/>
      <c r="FC119" s="1838"/>
      <c r="FD119" s="1837"/>
      <c r="FE119" s="1838"/>
      <c r="FF119" s="1839"/>
      <c r="FG119" s="1840"/>
      <c r="FH119" s="1837"/>
      <c r="FI119" s="1838"/>
      <c r="FJ119" s="1837"/>
      <c r="FK119" s="1838"/>
      <c r="FL119" s="1839"/>
      <c r="FM119" s="1840"/>
      <c r="FN119" s="1837"/>
      <c r="FO119" s="1838"/>
      <c r="FP119" s="1837"/>
      <c r="FQ119" s="1838"/>
      <c r="FR119" s="1839"/>
      <c r="FS119" s="1840"/>
      <c r="FT119" s="1837"/>
      <c r="FU119" s="1838"/>
      <c r="FV119" s="1837"/>
      <c r="FW119" s="1838"/>
      <c r="FX119" s="1839"/>
      <c r="FY119" s="1840"/>
      <c r="FZ119" s="1837"/>
      <c r="GA119" s="1838"/>
      <c r="GB119" s="1837"/>
      <c r="GC119" s="1838"/>
      <c r="GD119" s="1839"/>
      <c r="GE119" s="1840"/>
      <c r="GF119" s="1837"/>
      <c r="GG119" s="1838"/>
      <c r="GH119" s="1837"/>
      <c r="GI119" s="1838"/>
      <c r="GJ119" s="1839"/>
      <c r="GK119" s="1840"/>
      <c r="GL119" s="1837"/>
      <c r="GM119" s="1838"/>
      <c r="GN119" s="1837"/>
      <c r="GO119" s="1838"/>
      <c r="GP119" s="1839"/>
    </row>
    <row r="120" spans="1:198" ht="20.100000000000001" hidden="1" customHeight="1" outlineLevel="1">
      <c r="A120" s="2709"/>
      <c r="B120" s="2612"/>
      <c r="C120" s="1858"/>
      <c r="D120" s="2614" t="str">
        <f>SUBSTITUTE(実績!C1126," 店舗棟","")&amp;"("&amp;SUBSTITUTE(実績!R1126&amp;")","株式会社 ","")</f>
        <v>関東マツダ墨田(MSP)</v>
      </c>
      <c r="E120" s="2615"/>
      <c r="F120" s="2615"/>
      <c r="G120" s="2615"/>
      <c r="H120" s="2615"/>
      <c r="I120" s="2615"/>
      <c r="J120" s="2615"/>
      <c r="K120" s="2615"/>
      <c r="L120" s="2615"/>
      <c r="M120" s="2615"/>
      <c r="N120" s="2615"/>
      <c r="O120" s="2615"/>
      <c r="P120" s="2615"/>
      <c r="Q120" s="2616"/>
      <c r="R120" s="1969"/>
      <c r="S120" s="1837"/>
      <c r="T120" s="1837"/>
      <c r="U120" s="1838"/>
      <c r="V120" s="1837"/>
      <c r="W120" s="1838"/>
      <c r="X120" s="1839"/>
      <c r="Y120" s="1837"/>
      <c r="Z120" s="1837"/>
      <c r="AA120" s="1838"/>
      <c r="AB120" s="1837" t="s">
        <v>8307</v>
      </c>
      <c r="AC120" s="1838"/>
      <c r="AD120" s="1837"/>
      <c r="AE120" s="1840"/>
      <c r="AF120" s="1837"/>
      <c r="AG120" s="1838"/>
      <c r="AH120" s="1837"/>
      <c r="AI120" s="1838"/>
      <c r="AJ120" s="1839"/>
      <c r="AK120" s="1837"/>
      <c r="AL120" s="1837"/>
      <c r="AM120" s="1838"/>
      <c r="AN120" s="1837"/>
      <c r="AO120" s="1838"/>
      <c r="AP120" s="1837"/>
      <c r="AQ120" s="1841"/>
      <c r="AR120" s="1842"/>
      <c r="AS120" s="1838"/>
      <c r="AT120" s="1837"/>
      <c r="AU120" s="1838"/>
      <c r="AV120" s="1839"/>
      <c r="AW120" s="1840"/>
      <c r="AX120" s="1837"/>
      <c r="AY120" s="1838"/>
      <c r="AZ120" s="1837"/>
      <c r="BA120" s="1838"/>
      <c r="BB120" s="1839"/>
      <c r="BC120" s="1837" t="s">
        <v>8943</v>
      </c>
      <c r="BD120" s="1837"/>
      <c r="BE120" s="1838"/>
      <c r="BF120" s="1837"/>
      <c r="BG120" s="1838"/>
      <c r="BH120" s="1837"/>
      <c r="BI120" s="1840"/>
      <c r="BJ120" s="1837"/>
      <c r="BK120" s="1838"/>
      <c r="BL120" s="1837"/>
      <c r="BM120" s="1838"/>
      <c r="BN120" s="1839"/>
      <c r="BO120" s="1840"/>
      <c r="BP120" s="1837"/>
      <c r="BQ120" s="1838"/>
      <c r="BR120" s="1837"/>
      <c r="BS120" s="1838"/>
      <c r="BT120" s="1839"/>
      <c r="BU120" s="1840"/>
      <c r="BV120" s="1837"/>
      <c r="BW120" s="1838"/>
      <c r="BX120" s="1837"/>
      <c r="BY120" s="1838"/>
      <c r="BZ120" s="1839"/>
      <c r="CA120" s="1840"/>
      <c r="CB120" s="1837"/>
      <c r="CC120" s="1838"/>
      <c r="CD120" s="1837"/>
      <c r="CE120" s="1838"/>
      <c r="CF120" s="1839"/>
      <c r="CG120" s="1840"/>
      <c r="CH120" s="1837"/>
      <c r="CI120" s="1838"/>
      <c r="CJ120" s="1837"/>
      <c r="CK120" s="1838"/>
      <c r="CL120" s="1839"/>
      <c r="CM120" s="1840"/>
      <c r="CN120" s="1837"/>
      <c r="CO120" s="1838"/>
      <c r="CP120" s="1837"/>
      <c r="CQ120" s="1838"/>
      <c r="CR120" s="1839"/>
      <c r="CS120" s="1840"/>
      <c r="CT120" s="1837"/>
      <c r="CU120" s="1838"/>
      <c r="CV120" s="1837"/>
      <c r="CW120" s="1838"/>
      <c r="CX120" s="1839"/>
      <c r="CY120" s="1840"/>
      <c r="CZ120" s="1837"/>
      <c r="DA120" s="1838"/>
      <c r="DB120" s="1837"/>
      <c r="DC120" s="1838"/>
      <c r="DD120" s="1839"/>
      <c r="DE120" s="1840"/>
      <c r="DF120" s="1837"/>
      <c r="DG120" s="1838"/>
      <c r="DH120" s="1837"/>
      <c r="DI120" s="1838"/>
      <c r="DJ120" s="1839"/>
      <c r="DK120" s="1840"/>
      <c r="DL120" s="1837"/>
      <c r="DM120" s="1838"/>
      <c r="DN120" s="1837"/>
      <c r="DO120" s="1838"/>
      <c r="DP120" s="1837"/>
      <c r="DQ120" s="1853"/>
      <c r="DR120" s="1837"/>
      <c r="DS120" s="1838"/>
      <c r="DT120" s="1842"/>
      <c r="DU120" s="1837"/>
      <c r="DV120" s="1839"/>
      <c r="DW120" s="1840"/>
      <c r="DX120" s="1837"/>
      <c r="DY120" s="1838"/>
      <c r="DZ120" s="1837"/>
      <c r="EA120" s="1838"/>
      <c r="EB120" s="1839"/>
      <c r="EC120" s="1840"/>
      <c r="ED120" s="1837"/>
      <c r="EE120" s="1838"/>
      <c r="EF120" s="1837"/>
      <c r="EG120" s="1838"/>
      <c r="EH120" s="1839"/>
      <c r="EI120" s="1840"/>
      <c r="EJ120" s="1837"/>
      <c r="EK120" s="1838"/>
      <c r="EL120" s="1837"/>
      <c r="EM120" s="1838"/>
      <c r="EN120" s="1839"/>
      <c r="EO120" s="1840"/>
      <c r="EP120" s="1837"/>
      <c r="EQ120" s="1838"/>
      <c r="ER120" s="1837"/>
      <c r="ES120" s="1838"/>
      <c r="ET120" s="1839"/>
      <c r="EU120" s="1840"/>
      <c r="EV120" s="1837"/>
      <c r="EW120" s="1838"/>
      <c r="EX120" s="1837"/>
      <c r="EY120" s="1838"/>
      <c r="EZ120" s="1839"/>
      <c r="FA120" s="1840"/>
      <c r="FB120" s="1837"/>
      <c r="FC120" s="1838"/>
      <c r="FD120" s="1837"/>
      <c r="FE120" s="1838"/>
      <c r="FF120" s="1839"/>
      <c r="FG120" s="1840"/>
      <c r="FH120" s="1837"/>
      <c r="FI120" s="1838"/>
      <c r="FJ120" s="1837"/>
      <c r="FK120" s="1838"/>
      <c r="FL120" s="1839"/>
      <c r="FM120" s="1840"/>
      <c r="FN120" s="1837"/>
      <c r="FO120" s="1838"/>
      <c r="FP120" s="1837"/>
      <c r="FQ120" s="1838"/>
      <c r="FR120" s="1839"/>
      <c r="FS120" s="1840"/>
      <c r="FT120" s="1837"/>
      <c r="FU120" s="1838"/>
      <c r="FV120" s="1837"/>
      <c r="FW120" s="1838"/>
      <c r="FX120" s="1839"/>
      <c r="FY120" s="1840"/>
      <c r="FZ120" s="1837"/>
      <c r="GA120" s="1838"/>
      <c r="GB120" s="1837"/>
      <c r="GC120" s="1838"/>
      <c r="GD120" s="1839"/>
      <c r="GE120" s="1840"/>
      <c r="GF120" s="1837"/>
      <c r="GG120" s="1838"/>
      <c r="GH120" s="1837"/>
      <c r="GI120" s="1838"/>
      <c r="GJ120" s="1839"/>
      <c r="GK120" s="1840"/>
      <c r="GL120" s="1837"/>
      <c r="GM120" s="1838"/>
      <c r="GN120" s="1837"/>
      <c r="GO120" s="1838"/>
      <c r="GP120" s="1839"/>
    </row>
    <row r="121" spans="1:198" ht="20.100000000000001" hidden="1" customHeight="1" outlineLevel="1">
      <c r="A121" s="2709"/>
      <c r="B121" s="2612"/>
      <c r="C121" s="1858"/>
      <c r="D121" s="2614" t="str">
        <f>実績!C1200&amp;"("&amp;SUBSTITUTE(実績!R1200&amp;")","株式会社 ","")</f>
        <v>Av・Br伊万里(エムティプラン)</v>
      </c>
      <c r="E121" s="2617"/>
      <c r="F121" s="2617"/>
      <c r="G121" s="2617"/>
      <c r="H121" s="2617"/>
      <c r="I121" s="2617"/>
      <c r="J121" s="2617"/>
      <c r="K121" s="2617"/>
      <c r="L121" s="2617"/>
      <c r="M121" s="2617"/>
      <c r="N121" s="2617"/>
      <c r="O121" s="2617"/>
      <c r="P121" s="2617"/>
      <c r="Q121" s="2618"/>
      <c r="R121" s="1970"/>
      <c r="S121" s="1837"/>
      <c r="T121" s="1837"/>
      <c r="U121" s="1837"/>
      <c r="V121" s="1837"/>
      <c r="W121" s="1837"/>
      <c r="X121" s="1837"/>
      <c r="Y121" s="1837"/>
      <c r="Z121" s="1837"/>
      <c r="AA121" s="1837"/>
      <c r="AB121" s="1837"/>
      <c r="AC121" s="1837"/>
      <c r="AD121" s="1837"/>
      <c r="AE121" s="1837"/>
      <c r="AF121" s="1837"/>
      <c r="AG121" s="1837"/>
      <c r="AH121" s="1837"/>
      <c r="AI121" s="1837"/>
      <c r="AJ121" s="1837"/>
      <c r="AK121" s="1837"/>
      <c r="AL121" s="1837"/>
      <c r="AM121" s="1837"/>
      <c r="AN121" s="1837"/>
      <c r="AO121" s="1837"/>
      <c r="AP121" s="1837"/>
      <c r="AQ121" s="1837"/>
      <c r="AR121" s="1837"/>
      <c r="AS121" s="1837"/>
      <c r="AT121" s="1837"/>
      <c r="AU121" s="1837"/>
      <c r="AV121" s="1837"/>
      <c r="AW121" s="1840"/>
      <c r="AX121" s="1842"/>
      <c r="AY121" s="1838" t="s">
        <v>9052</v>
      </c>
      <c r="AZ121" s="1837"/>
      <c r="BA121" s="1838"/>
      <c r="BB121" s="1839"/>
      <c r="BC121" s="1837"/>
      <c r="BD121" s="1837"/>
      <c r="BE121" s="1838"/>
      <c r="BF121" s="1837"/>
      <c r="BG121" s="1838"/>
      <c r="BH121" s="1837"/>
      <c r="BI121" s="1840"/>
      <c r="BJ121" s="1837"/>
      <c r="BK121" s="1838"/>
      <c r="BL121" s="1837"/>
      <c r="BM121" s="1838"/>
      <c r="BN121" s="1839"/>
      <c r="BO121" s="1840"/>
      <c r="BP121" s="1837"/>
      <c r="BQ121" s="1838"/>
      <c r="BR121" s="1837"/>
      <c r="BS121" s="1838"/>
      <c r="BT121" s="1839"/>
      <c r="BU121" s="1840"/>
      <c r="BV121" s="1837"/>
      <c r="BW121" s="1838"/>
      <c r="BX121" s="1837"/>
      <c r="BY121" s="1838"/>
      <c r="BZ121" s="1839"/>
      <c r="CA121" s="1840"/>
      <c r="CB121" s="1837"/>
      <c r="CC121" s="1838"/>
      <c r="CD121" s="1837"/>
      <c r="CE121" s="1838"/>
      <c r="CF121" s="1839"/>
      <c r="CG121" s="1840"/>
      <c r="CH121" s="1837"/>
      <c r="CI121" s="1838"/>
      <c r="CJ121" s="1837"/>
      <c r="CK121" s="1838"/>
      <c r="CL121" s="1839"/>
      <c r="CM121" s="1840"/>
      <c r="CN121" s="1837"/>
      <c r="CO121" s="1838"/>
      <c r="CP121" s="1837"/>
      <c r="CQ121" s="1838"/>
      <c r="CR121" s="1839"/>
      <c r="CS121" s="1840"/>
      <c r="CT121" s="1837"/>
      <c r="CU121" s="1838"/>
      <c r="CV121" s="1837"/>
      <c r="CW121" s="1838"/>
      <c r="CX121" s="1839"/>
      <c r="CY121" s="1840"/>
      <c r="CZ121" s="1837"/>
      <c r="DA121" s="1838"/>
      <c r="DB121" s="1837"/>
      <c r="DC121" s="1838"/>
      <c r="DD121" s="1839"/>
      <c r="DE121" s="1840"/>
      <c r="DF121" s="1837"/>
      <c r="DG121" s="1838"/>
      <c r="DH121" s="1837"/>
      <c r="DI121" s="1838"/>
      <c r="DJ121" s="1839"/>
      <c r="DK121" s="1840"/>
      <c r="DL121" s="1837"/>
      <c r="DM121" s="1838"/>
      <c r="DN121" s="1837"/>
      <c r="DO121" s="1838"/>
      <c r="DP121" s="1837"/>
      <c r="DQ121" s="1853"/>
      <c r="DR121" s="1837"/>
      <c r="DS121" s="1838"/>
      <c r="DT121" s="1842"/>
      <c r="DU121" s="1837"/>
      <c r="DV121" s="1839"/>
      <c r="DW121" s="1840"/>
      <c r="DX121" s="1837"/>
      <c r="DY121" s="1838"/>
      <c r="DZ121" s="1837"/>
      <c r="EA121" s="1838"/>
      <c r="EB121" s="1839"/>
      <c r="EC121" s="1840"/>
      <c r="ED121" s="1837"/>
      <c r="EE121" s="1838"/>
      <c r="EF121" s="1837"/>
      <c r="EG121" s="1838"/>
      <c r="EH121" s="1839"/>
      <c r="EI121" s="1840"/>
      <c r="EJ121" s="1837"/>
      <c r="EK121" s="1838"/>
      <c r="EL121" s="1837"/>
      <c r="EM121" s="1838"/>
      <c r="EN121" s="1839"/>
      <c r="EO121" s="1840"/>
      <c r="EP121" s="1837"/>
      <c r="EQ121" s="1838"/>
      <c r="ER121" s="1837"/>
      <c r="ES121" s="1838"/>
      <c r="ET121" s="1839"/>
      <c r="EU121" s="1840"/>
      <c r="EV121" s="1837"/>
      <c r="EW121" s="1838"/>
      <c r="EX121" s="1837"/>
      <c r="EY121" s="1838"/>
      <c r="EZ121" s="1839"/>
      <c r="FA121" s="1840"/>
      <c r="FB121" s="1837"/>
      <c r="FC121" s="1838"/>
      <c r="FD121" s="1837"/>
      <c r="FE121" s="1838"/>
      <c r="FF121" s="1839"/>
      <c r="FG121" s="1840"/>
      <c r="FH121" s="1837"/>
      <c r="FI121" s="1838"/>
      <c r="FJ121" s="1837"/>
      <c r="FK121" s="1838"/>
      <c r="FL121" s="1839"/>
      <c r="FM121" s="1840"/>
      <c r="FN121" s="1837"/>
      <c r="FO121" s="1838"/>
      <c r="FP121" s="1837"/>
      <c r="FQ121" s="1838"/>
      <c r="FR121" s="1839"/>
      <c r="FS121" s="1840"/>
      <c r="FT121" s="1837"/>
      <c r="FU121" s="1838"/>
      <c r="FV121" s="1837"/>
      <c r="FW121" s="1838"/>
      <c r="FX121" s="1839"/>
      <c r="FY121" s="1840"/>
      <c r="FZ121" s="1837"/>
      <c r="GA121" s="1838"/>
      <c r="GB121" s="1837"/>
      <c r="GC121" s="1838"/>
      <c r="GD121" s="1839"/>
      <c r="GE121" s="1840"/>
      <c r="GF121" s="1837"/>
      <c r="GG121" s="1838"/>
      <c r="GH121" s="1837"/>
      <c r="GI121" s="1838"/>
      <c r="GJ121" s="1839"/>
      <c r="GK121" s="1840"/>
      <c r="GL121" s="1837"/>
      <c r="GM121" s="1838"/>
      <c r="GN121" s="1837"/>
      <c r="GO121" s="1838"/>
      <c r="GP121" s="1839"/>
    </row>
    <row r="122" spans="1:198" ht="20.100000000000001" hidden="1" customHeight="1" outlineLevel="1" collapsed="1">
      <c r="A122" s="2709"/>
      <c r="B122" s="2612"/>
      <c r="C122" s="1858"/>
      <c r="D122" s="2614" t="str">
        <f>実績!C1199&amp;"("&amp;SUBSTITUTE(実績!R1199&amp;")","有限会社 ","")</f>
        <v>宮崎駅東2丁目事務所(松本陽一設計事務所)</v>
      </c>
      <c r="E122" s="2617"/>
      <c r="F122" s="2617"/>
      <c r="G122" s="2617"/>
      <c r="H122" s="2617"/>
      <c r="I122" s="2617"/>
      <c r="J122" s="2617"/>
      <c r="K122" s="2617"/>
      <c r="L122" s="2617"/>
      <c r="M122" s="2617"/>
      <c r="N122" s="2617"/>
      <c r="O122" s="2617"/>
      <c r="P122" s="2617"/>
      <c r="Q122" s="2618"/>
      <c r="R122" s="1970"/>
      <c r="S122" s="1837"/>
      <c r="T122" s="1837"/>
      <c r="U122" s="1837"/>
      <c r="V122" s="1837"/>
      <c r="W122" s="1837"/>
      <c r="X122" s="1837"/>
      <c r="Y122" s="1837"/>
      <c r="Z122" s="1837"/>
      <c r="AA122" s="1837"/>
      <c r="AB122" s="1837"/>
      <c r="AC122" s="1837"/>
      <c r="AD122" s="1837"/>
      <c r="AE122" s="1837"/>
      <c r="AF122" s="1837"/>
      <c r="AG122" s="1837"/>
      <c r="AH122" s="1837"/>
      <c r="AI122" s="1837"/>
      <c r="AJ122" s="1837"/>
      <c r="AK122" s="1837"/>
      <c r="AL122" s="1837"/>
      <c r="AM122" s="1837"/>
      <c r="AN122" s="1837"/>
      <c r="AO122" s="1837"/>
      <c r="AP122" s="1837"/>
      <c r="AQ122" s="1837"/>
      <c r="AR122" s="1837"/>
      <c r="AS122" s="1837"/>
      <c r="AT122" s="1837"/>
      <c r="AU122" s="1837"/>
      <c r="AV122" s="1837"/>
      <c r="AW122" s="1840" t="s">
        <v>9005</v>
      </c>
      <c r="AX122" s="1837"/>
      <c r="AY122" s="1837" t="s">
        <v>9004</v>
      </c>
      <c r="AZ122" s="1837"/>
      <c r="BA122" s="1838"/>
      <c r="BB122" s="1839"/>
      <c r="BC122" s="1837"/>
      <c r="BD122" s="1837"/>
      <c r="BE122" s="1838"/>
      <c r="BF122" s="1837"/>
      <c r="BG122" s="1838"/>
      <c r="BH122" s="1837"/>
      <c r="BI122" s="1840"/>
      <c r="BJ122" s="1837"/>
      <c r="BK122" s="1838"/>
      <c r="BL122" s="1837"/>
      <c r="BM122" s="1838"/>
      <c r="BN122" s="1839"/>
      <c r="BO122" s="1840"/>
      <c r="BP122" s="1837"/>
      <c r="BQ122" s="1838"/>
      <c r="BR122" s="1837"/>
      <c r="BS122" s="1838"/>
      <c r="BT122" s="1839"/>
      <c r="BU122" s="1840"/>
      <c r="BV122" s="1837"/>
      <c r="BW122" s="1838"/>
      <c r="BX122" s="1837"/>
      <c r="BY122" s="1838"/>
      <c r="BZ122" s="1839"/>
      <c r="CA122" s="1840"/>
      <c r="CB122" s="1837"/>
      <c r="CC122" s="1838"/>
      <c r="CD122" s="1837"/>
      <c r="CE122" s="1838"/>
      <c r="CF122" s="1839"/>
      <c r="CG122" s="1840"/>
      <c r="CH122" s="1837"/>
      <c r="CI122" s="1838"/>
      <c r="CJ122" s="1837"/>
      <c r="CK122" s="1838"/>
      <c r="CL122" s="1839"/>
      <c r="CM122" s="1840"/>
      <c r="CN122" s="1837"/>
      <c r="CO122" s="1838"/>
      <c r="CP122" s="1837"/>
      <c r="CQ122" s="1838"/>
      <c r="CR122" s="1839"/>
      <c r="CS122" s="1840"/>
      <c r="CT122" s="1837"/>
      <c r="CU122" s="1838"/>
      <c r="CV122" s="1837"/>
      <c r="CW122" s="1838"/>
      <c r="CX122" s="1839"/>
      <c r="CY122" s="1840"/>
      <c r="CZ122" s="1837"/>
      <c r="DA122" s="1838"/>
      <c r="DB122" s="1837"/>
      <c r="DC122" s="1838"/>
      <c r="DD122" s="1839"/>
      <c r="DE122" s="1840"/>
      <c r="DF122" s="1837"/>
      <c r="DG122" s="1838"/>
      <c r="DH122" s="1837"/>
      <c r="DI122" s="1838"/>
      <c r="DJ122" s="1839"/>
      <c r="DK122" s="1840"/>
      <c r="DL122" s="1837"/>
      <c r="DM122" s="1838"/>
      <c r="DN122" s="1837"/>
      <c r="DO122" s="1838"/>
      <c r="DP122" s="1837"/>
      <c r="DQ122" s="1853"/>
      <c r="DR122" s="1837"/>
      <c r="DS122" s="1838"/>
      <c r="DT122" s="1842"/>
      <c r="DU122" s="1837"/>
      <c r="DV122" s="1839"/>
      <c r="DW122" s="1840"/>
      <c r="DX122" s="1837"/>
      <c r="DY122" s="1838"/>
      <c r="DZ122" s="1837"/>
      <c r="EA122" s="1838"/>
      <c r="EB122" s="1839"/>
      <c r="EC122" s="1840"/>
      <c r="ED122" s="1837"/>
      <c r="EE122" s="1838"/>
      <c r="EF122" s="1837"/>
      <c r="EG122" s="1838"/>
      <c r="EH122" s="1839"/>
      <c r="EI122" s="1840"/>
      <c r="EJ122" s="1837"/>
      <c r="EK122" s="1838"/>
      <c r="EL122" s="1837"/>
      <c r="EM122" s="1838"/>
      <c r="EN122" s="1839"/>
      <c r="EO122" s="1840"/>
      <c r="EP122" s="1837"/>
      <c r="EQ122" s="1838"/>
      <c r="ER122" s="1837"/>
      <c r="ES122" s="1838"/>
      <c r="ET122" s="1839"/>
      <c r="EU122" s="1840"/>
      <c r="EV122" s="1837"/>
      <c r="EW122" s="1838"/>
      <c r="EX122" s="1837"/>
      <c r="EY122" s="1838"/>
      <c r="EZ122" s="1839"/>
      <c r="FA122" s="1840"/>
      <c r="FB122" s="1837"/>
      <c r="FC122" s="1838"/>
      <c r="FD122" s="1837"/>
      <c r="FE122" s="1838"/>
      <c r="FF122" s="1839"/>
      <c r="FG122" s="1840"/>
      <c r="FH122" s="1837"/>
      <c r="FI122" s="1838"/>
      <c r="FJ122" s="1837"/>
      <c r="FK122" s="1838"/>
      <c r="FL122" s="1839"/>
      <c r="FM122" s="1840"/>
      <c r="FN122" s="1837"/>
      <c r="FO122" s="1838"/>
      <c r="FP122" s="1837"/>
      <c r="FQ122" s="1838"/>
      <c r="FR122" s="1839"/>
      <c r="FS122" s="1840"/>
      <c r="FT122" s="1837"/>
      <c r="FU122" s="1838"/>
      <c r="FV122" s="1837"/>
      <c r="FW122" s="1838"/>
      <c r="FX122" s="1839"/>
      <c r="FY122" s="1840"/>
      <c r="FZ122" s="1837"/>
      <c r="GA122" s="1838"/>
      <c r="GB122" s="1837"/>
      <c r="GC122" s="1838"/>
      <c r="GD122" s="1839"/>
      <c r="GE122" s="1840"/>
      <c r="GF122" s="1837"/>
      <c r="GG122" s="1838"/>
      <c r="GH122" s="1837"/>
      <c r="GI122" s="1838"/>
      <c r="GJ122" s="1839"/>
      <c r="GK122" s="1840"/>
      <c r="GL122" s="1837"/>
      <c r="GM122" s="1838"/>
      <c r="GN122" s="1837"/>
      <c r="GO122" s="1838"/>
      <c r="GP122" s="1839"/>
    </row>
    <row r="123" spans="1:198" ht="20.100000000000001" hidden="1" customHeight="1" outlineLevel="1">
      <c r="A123" s="2709"/>
      <c r="B123" s="2612"/>
      <c r="C123" s="1858"/>
      <c r="D123" s="2614" t="str">
        <f>実績!C1202&amp;"("&amp;SUBSTITUTE(実績!R1202&amp;")","有限会社 ","")</f>
        <v>みちのくクボタ稲垣(三和シーエム)</v>
      </c>
      <c r="E123" s="2617"/>
      <c r="F123" s="2617"/>
      <c r="G123" s="2617"/>
      <c r="H123" s="2617"/>
      <c r="I123" s="2617"/>
      <c r="J123" s="2617"/>
      <c r="K123" s="2617"/>
      <c r="L123" s="2617"/>
      <c r="M123" s="2617"/>
      <c r="N123" s="2617"/>
      <c r="O123" s="2617"/>
      <c r="P123" s="2617"/>
      <c r="Q123" s="2618"/>
      <c r="R123" s="1970"/>
      <c r="S123" s="1837"/>
      <c r="T123" s="1837"/>
      <c r="U123" s="1837"/>
      <c r="V123" s="1837"/>
      <c r="W123" s="1837"/>
      <c r="X123" s="1837"/>
      <c r="Y123" s="1837"/>
      <c r="Z123" s="1837"/>
      <c r="AA123" s="1837"/>
      <c r="AB123" s="1837"/>
      <c r="AC123" s="1837"/>
      <c r="AD123" s="1837"/>
      <c r="AE123" s="1837"/>
      <c r="AF123" s="1837"/>
      <c r="AG123" s="1837"/>
      <c r="AH123" s="1837"/>
      <c r="AI123" s="1837"/>
      <c r="AJ123" s="1837"/>
      <c r="AK123" s="1837"/>
      <c r="AL123" s="1837"/>
      <c r="AM123" s="1837"/>
      <c r="AN123" s="1837"/>
      <c r="AO123" s="1837"/>
      <c r="AP123" s="1837"/>
      <c r="AQ123" s="1837"/>
      <c r="AR123" s="1837"/>
      <c r="AS123" s="1837"/>
      <c r="AT123" s="1837"/>
      <c r="AU123" s="1837"/>
      <c r="AV123" s="1837"/>
      <c r="AW123" s="1840"/>
      <c r="AX123" s="1837"/>
      <c r="AY123" s="1838"/>
      <c r="AZ123" s="1837"/>
      <c r="BA123" s="1838"/>
      <c r="BB123" s="1839"/>
      <c r="BC123" s="1837"/>
      <c r="BD123" s="1837"/>
      <c r="BE123" s="1838"/>
      <c r="BF123" s="1837"/>
      <c r="BG123" s="1838"/>
      <c r="BH123" s="1837"/>
      <c r="BI123" s="1840"/>
      <c r="BJ123" s="1837"/>
      <c r="BK123" s="1838"/>
      <c r="BL123" s="1837"/>
      <c r="BM123" s="1838"/>
      <c r="BN123" s="1839"/>
      <c r="BO123" s="1840"/>
      <c r="BP123" s="1837"/>
      <c r="BQ123" s="1838"/>
      <c r="BR123" s="1837"/>
      <c r="BS123" s="1838"/>
      <c r="BT123" s="1839"/>
      <c r="BU123" s="1840"/>
      <c r="BV123" s="1837"/>
      <c r="BW123" s="1838"/>
      <c r="BX123" s="1837"/>
      <c r="BY123" s="1838"/>
      <c r="BZ123" s="1839"/>
      <c r="CA123" s="1840"/>
      <c r="CB123" s="1837"/>
      <c r="CC123" s="1838"/>
      <c r="CD123" s="1837"/>
      <c r="CE123" s="1838"/>
      <c r="CF123" s="1839"/>
      <c r="CG123" s="1840"/>
      <c r="CH123" s="1837"/>
      <c r="CI123" s="1838"/>
      <c r="CJ123" s="1837"/>
      <c r="CK123" s="1838"/>
      <c r="CL123" s="1839"/>
      <c r="CM123" s="1840"/>
      <c r="CN123" s="1837"/>
      <c r="CO123" s="1838"/>
      <c r="CP123" s="1837"/>
      <c r="CQ123" s="1838"/>
      <c r="CR123" s="1839"/>
      <c r="CS123" s="1840"/>
      <c r="CT123" s="1837"/>
      <c r="CU123" s="1838"/>
      <c r="CV123" s="1837"/>
      <c r="CW123" s="1838"/>
      <c r="CX123" s="1839"/>
      <c r="CY123" s="1840"/>
      <c r="CZ123" s="1837"/>
      <c r="DA123" s="1838"/>
      <c r="DB123" s="1837"/>
      <c r="DC123" s="1838"/>
      <c r="DD123" s="1839"/>
      <c r="DE123" s="1840"/>
      <c r="DF123" s="1837"/>
      <c r="DG123" s="1838"/>
      <c r="DH123" s="1837"/>
      <c r="DI123" s="1838"/>
      <c r="DJ123" s="1839"/>
      <c r="DK123" s="1840"/>
      <c r="DL123" s="1837"/>
      <c r="DM123" s="1838"/>
      <c r="DN123" s="1837"/>
      <c r="DO123" s="1838"/>
      <c r="DP123" s="1837"/>
      <c r="DQ123" s="1853"/>
      <c r="DR123" s="1837"/>
      <c r="DS123" s="1838"/>
      <c r="DT123" s="1842"/>
      <c r="DU123" s="1837"/>
      <c r="DV123" s="1839"/>
      <c r="DW123" s="1840"/>
      <c r="DX123" s="1837"/>
      <c r="DY123" s="1838"/>
      <c r="DZ123" s="1837"/>
      <c r="EA123" s="1838"/>
      <c r="EB123" s="1839"/>
      <c r="EC123" s="1840"/>
      <c r="ED123" s="1837"/>
      <c r="EE123" s="1838"/>
      <c r="EF123" s="1837"/>
      <c r="EG123" s="1838"/>
      <c r="EH123" s="1839"/>
      <c r="EI123" s="1840"/>
      <c r="EJ123" s="1837"/>
      <c r="EK123" s="1838"/>
      <c r="EL123" s="1837"/>
      <c r="EM123" s="1838"/>
      <c r="EN123" s="1839"/>
      <c r="EO123" s="1840"/>
      <c r="EP123" s="1837"/>
      <c r="EQ123" s="1838"/>
      <c r="ER123" s="1837"/>
      <c r="ES123" s="1838"/>
      <c r="ET123" s="1839"/>
      <c r="EU123" s="1840"/>
      <c r="EV123" s="1837"/>
      <c r="EW123" s="1838"/>
      <c r="EX123" s="1837"/>
      <c r="EY123" s="1838"/>
      <c r="EZ123" s="1839"/>
      <c r="FA123" s="1840"/>
      <c r="FB123" s="1837"/>
      <c r="FC123" s="1838"/>
      <c r="FD123" s="1837"/>
      <c r="FE123" s="1838"/>
      <c r="FF123" s="1839"/>
      <c r="FG123" s="1840"/>
      <c r="FH123" s="1837"/>
      <c r="FI123" s="1838"/>
      <c r="FJ123" s="1837"/>
      <c r="FK123" s="1838"/>
      <c r="FL123" s="1839"/>
      <c r="FM123" s="1840"/>
      <c r="FN123" s="1837"/>
      <c r="FO123" s="1838"/>
      <c r="FP123" s="1837"/>
      <c r="FQ123" s="1838"/>
      <c r="FR123" s="1839"/>
      <c r="FS123" s="1840"/>
      <c r="FT123" s="1837"/>
      <c r="FU123" s="1838"/>
      <c r="FV123" s="1837"/>
      <c r="FW123" s="1838"/>
      <c r="FX123" s="1839"/>
      <c r="FY123" s="1840"/>
      <c r="FZ123" s="1837"/>
      <c r="GA123" s="1838"/>
      <c r="GB123" s="1837"/>
      <c r="GC123" s="1838"/>
      <c r="GD123" s="1839"/>
      <c r="GE123" s="1840"/>
      <c r="GF123" s="1837"/>
      <c r="GG123" s="1838"/>
      <c r="GH123" s="1837"/>
      <c r="GI123" s="1838"/>
      <c r="GJ123" s="1839"/>
      <c r="GK123" s="1840"/>
      <c r="GL123" s="1837"/>
      <c r="GM123" s="1838"/>
      <c r="GN123" s="1837"/>
      <c r="GO123" s="1838"/>
      <c r="GP123" s="1839"/>
    </row>
    <row r="124" spans="1:198" ht="20.100000000000001" hidden="1" customHeight="1" outlineLevel="1">
      <c r="A124" s="2709"/>
      <c r="B124" s="2612"/>
      <c r="C124" s="1858"/>
      <c r="D124" s="2614" t="str">
        <f>実績!C1162&amp;"("&amp;SUBSTITUTE(実績!W1162&amp;")"," 株式会社","")</f>
        <v>関東マツダ吉野町 リフレッシュセンター(JFEコンフォーム)</v>
      </c>
      <c r="E124" s="2615"/>
      <c r="F124" s="2615"/>
      <c r="G124" s="2615"/>
      <c r="H124" s="2615"/>
      <c r="I124" s="2615"/>
      <c r="J124" s="2615"/>
      <c r="K124" s="2615"/>
      <c r="L124" s="2615"/>
      <c r="M124" s="2615"/>
      <c r="N124" s="2615"/>
      <c r="O124" s="2615"/>
      <c r="P124" s="2615"/>
      <c r="Q124" s="2616"/>
      <c r="R124" s="1969"/>
      <c r="S124" s="1837"/>
      <c r="T124" s="1837"/>
      <c r="U124" s="1838"/>
      <c r="V124" s="1837"/>
      <c r="W124" s="1838"/>
      <c r="X124" s="1839"/>
      <c r="Y124" s="1837"/>
      <c r="Z124" s="1837"/>
      <c r="AA124" s="1838"/>
      <c r="AB124" s="1837"/>
      <c r="AC124" s="1838"/>
      <c r="AD124" s="1837"/>
      <c r="AE124" s="1840"/>
      <c r="AF124" s="1837"/>
      <c r="AG124" s="1838"/>
      <c r="AH124" s="1837"/>
      <c r="AI124" s="1838"/>
      <c r="AJ124" s="1839"/>
      <c r="AK124" s="1837"/>
      <c r="AL124" s="1837"/>
      <c r="AM124" s="1838"/>
      <c r="AN124" s="1837"/>
      <c r="AO124" s="1838" t="s">
        <v>8575</v>
      </c>
      <c r="AP124" s="1837"/>
      <c r="AQ124" s="1841" t="s">
        <v>8403</v>
      </c>
      <c r="AR124" s="1837"/>
      <c r="AS124" s="1838"/>
      <c r="AT124" s="1837"/>
      <c r="AU124" s="1838"/>
      <c r="AV124" s="1839"/>
      <c r="AW124" s="1840"/>
      <c r="AX124" s="1837"/>
      <c r="AY124" s="1838"/>
      <c r="AZ124" s="1837"/>
      <c r="BA124" s="1838"/>
      <c r="BB124" s="1839"/>
      <c r="BC124" s="1837" t="s">
        <v>8250</v>
      </c>
      <c r="BD124" s="1837"/>
      <c r="BE124" s="1838"/>
      <c r="BF124" s="1837"/>
      <c r="BG124" s="1838"/>
      <c r="BH124" s="1837"/>
      <c r="BI124" s="1840" t="s">
        <v>8145</v>
      </c>
      <c r="BJ124" s="1837"/>
      <c r="BK124" s="1838"/>
      <c r="BL124" s="1837"/>
      <c r="BM124" s="1838"/>
      <c r="BN124" s="1839"/>
      <c r="BO124" s="1840"/>
      <c r="BP124" s="1837"/>
      <c r="BQ124" s="1838"/>
      <c r="BR124" s="1837"/>
      <c r="BS124" s="1838"/>
      <c r="BT124" s="1839"/>
      <c r="BU124" s="1840"/>
      <c r="BV124" s="1837"/>
      <c r="BW124" s="1838"/>
      <c r="BX124" s="1837"/>
      <c r="BY124" s="1838"/>
      <c r="BZ124" s="1839"/>
      <c r="CA124" s="1840"/>
      <c r="CB124" s="1837"/>
      <c r="CC124" s="1838"/>
      <c r="CD124" s="1837"/>
      <c r="CE124" s="1838"/>
      <c r="CF124" s="1839"/>
      <c r="CG124" s="1840"/>
      <c r="CH124" s="1837"/>
      <c r="CI124" s="1838"/>
      <c r="CJ124" s="1837"/>
      <c r="CK124" s="1838"/>
      <c r="CL124" s="1839"/>
      <c r="CM124" s="1840"/>
      <c r="CN124" s="1837"/>
      <c r="CO124" s="1838"/>
      <c r="CP124" s="1837"/>
      <c r="CQ124" s="1838"/>
      <c r="CR124" s="1839"/>
      <c r="CS124" s="1840"/>
      <c r="CT124" s="1837"/>
      <c r="CU124" s="1838"/>
      <c r="CV124" s="1837"/>
      <c r="CW124" s="1838"/>
      <c r="CX124" s="1839"/>
      <c r="CY124" s="1840"/>
      <c r="CZ124" s="1837"/>
      <c r="DA124" s="1838"/>
      <c r="DB124" s="1837"/>
      <c r="DC124" s="1838"/>
      <c r="DD124" s="1839"/>
      <c r="DE124" s="1840"/>
      <c r="DF124" s="1837"/>
      <c r="DG124" s="1838"/>
      <c r="DH124" s="1837"/>
      <c r="DI124" s="1838"/>
      <c r="DJ124" s="1839"/>
      <c r="DK124" s="1840"/>
      <c r="DL124" s="1837"/>
      <c r="DM124" s="1838"/>
      <c r="DN124" s="1837"/>
      <c r="DO124" s="1838"/>
      <c r="DP124" s="1837"/>
      <c r="DQ124" s="1853"/>
      <c r="DR124" s="1837"/>
      <c r="DS124" s="1838"/>
      <c r="DT124" s="1842"/>
      <c r="DU124" s="1837"/>
      <c r="DV124" s="1839"/>
      <c r="DW124" s="1840"/>
      <c r="DX124" s="1837"/>
      <c r="DY124" s="1838"/>
      <c r="DZ124" s="1837"/>
      <c r="EA124" s="1838"/>
      <c r="EB124" s="1839"/>
      <c r="EC124" s="1840"/>
      <c r="ED124" s="1837"/>
      <c r="EE124" s="1838"/>
      <c r="EF124" s="1837"/>
      <c r="EG124" s="1838"/>
      <c r="EH124" s="1839"/>
      <c r="EI124" s="1840"/>
      <c r="EJ124" s="1837"/>
      <c r="EK124" s="1838"/>
      <c r="EL124" s="1837"/>
      <c r="EM124" s="1838"/>
      <c r="EN124" s="1839"/>
      <c r="EO124" s="1840"/>
      <c r="EP124" s="1837"/>
      <c r="EQ124" s="1838"/>
      <c r="ER124" s="1837"/>
      <c r="ES124" s="1838"/>
      <c r="ET124" s="1839"/>
      <c r="EU124" s="1840"/>
      <c r="EV124" s="1837"/>
      <c r="EW124" s="1838"/>
      <c r="EX124" s="1837"/>
      <c r="EY124" s="1838"/>
      <c r="EZ124" s="1839"/>
      <c r="FA124" s="1840"/>
      <c r="FB124" s="1837"/>
      <c r="FC124" s="1838"/>
      <c r="FD124" s="1837"/>
      <c r="FE124" s="1838"/>
      <c r="FF124" s="1839"/>
      <c r="FG124" s="1840"/>
      <c r="FH124" s="1837"/>
      <c r="FI124" s="1838"/>
      <c r="FJ124" s="1837"/>
      <c r="FK124" s="1838"/>
      <c r="FL124" s="1839"/>
      <c r="FM124" s="1840"/>
      <c r="FN124" s="1837"/>
      <c r="FO124" s="1838"/>
      <c r="FP124" s="1837"/>
      <c r="FQ124" s="1838"/>
      <c r="FR124" s="1839"/>
      <c r="FS124" s="1840"/>
      <c r="FT124" s="1837"/>
      <c r="FU124" s="1838"/>
      <c r="FV124" s="1837"/>
      <c r="FW124" s="1838"/>
      <c r="FX124" s="1839"/>
      <c r="FY124" s="1840"/>
      <c r="FZ124" s="1837"/>
      <c r="GA124" s="1838"/>
      <c r="GB124" s="1837"/>
      <c r="GC124" s="1838"/>
      <c r="GD124" s="1839"/>
      <c r="GE124" s="1840"/>
      <c r="GF124" s="1837"/>
      <c r="GG124" s="1838"/>
      <c r="GH124" s="1837"/>
      <c r="GI124" s="1838"/>
      <c r="GJ124" s="1839"/>
      <c r="GK124" s="1840"/>
      <c r="GL124" s="1837"/>
      <c r="GM124" s="1838"/>
      <c r="GN124" s="1837"/>
      <c r="GO124" s="1838"/>
      <c r="GP124" s="1839"/>
    </row>
    <row r="125" spans="1:198" ht="20.100000000000001" hidden="1" customHeight="1" outlineLevel="1">
      <c r="A125" s="2709"/>
      <c r="B125" s="2612"/>
      <c r="C125" s="1858"/>
      <c r="D125" s="2614" t="str">
        <f>実績!C1194&amp;"("&amp;SUBSTITUTE(実績!R1194&amp;")"," 株式会社","")</f>
        <v>株式会社 清水製作所工場(株式会社 剛設計事務所)</v>
      </c>
      <c r="E125" s="2615"/>
      <c r="F125" s="2615"/>
      <c r="G125" s="2615"/>
      <c r="H125" s="2615"/>
      <c r="I125" s="2615"/>
      <c r="J125" s="2615"/>
      <c r="K125" s="2615"/>
      <c r="L125" s="2615"/>
      <c r="M125" s="2615"/>
      <c r="N125" s="2615"/>
      <c r="O125" s="2615"/>
      <c r="P125" s="2615"/>
      <c r="Q125" s="2616"/>
      <c r="R125" s="1969"/>
      <c r="S125" s="1837"/>
      <c r="T125" s="1837"/>
      <c r="U125" s="1838"/>
      <c r="V125" s="1837"/>
      <c r="W125" s="1838"/>
      <c r="X125" s="1839"/>
      <c r="Y125" s="1837"/>
      <c r="Z125" s="1837"/>
      <c r="AA125" s="1838"/>
      <c r="AB125" s="1837"/>
      <c r="AC125" s="1838"/>
      <c r="AD125" s="1837"/>
      <c r="AE125" s="1840"/>
      <c r="AF125" s="1837"/>
      <c r="AG125" s="1838"/>
      <c r="AH125" s="1837"/>
      <c r="AI125" s="1838"/>
      <c r="AJ125" s="1839"/>
      <c r="AK125" s="1837"/>
      <c r="AL125" s="1837"/>
      <c r="AM125" s="1838"/>
      <c r="AN125" s="1837"/>
      <c r="AO125" s="1838"/>
      <c r="AP125" s="1837"/>
      <c r="AQ125" s="1841"/>
      <c r="AR125" s="1837"/>
      <c r="AS125" s="1838"/>
      <c r="AT125" s="1837"/>
      <c r="AU125" s="1838"/>
      <c r="AV125" s="1839"/>
      <c r="AW125" s="1840"/>
      <c r="AX125" s="1837"/>
      <c r="AY125" s="1838"/>
      <c r="AZ125" s="1837"/>
      <c r="BA125" s="1838"/>
      <c r="BB125" s="1839"/>
      <c r="BC125" s="1837"/>
      <c r="BD125" s="1837"/>
      <c r="BE125" s="1838"/>
      <c r="BF125" s="1837"/>
      <c r="BG125" s="1838"/>
      <c r="BH125" s="1837"/>
      <c r="BI125" s="1840"/>
      <c r="BJ125" s="1837"/>
      <c r="BK125" s="1838"/>
      <c r="BL125" s="1837"/>
      <c r="BM125" s="1838" t="s">
        <v>9004</v>
      </c>
      <c r="BN125" s="1839"/>
      <c r="BO125" s="1840"/>
      <c r="BP125" s="1837"/>
      <c r="BQ125" s="1838"/>
      <c r="BR125" s="1837"/>
      <c r="BS125" s="1838"/>
      <c r="BT125" s="1839"/>
      <c r="BU125" s="1840"/>
      <c r="BV125" s="1837"/>
      <c r="BW125" s="1838"/>
      <c r="BX125" s="1837"/>
      <c r="BY125" s="1838"/>
      <c r="BZ125" s="1839"/>
      <c r="CA125" s="1840"/>
      <c r="CB125" s="1837"/>
      <c r="CC125" s="1838"/>
      <c r="CD125" s="1837"/>
      <c r="CE125" s="1838"/>
      <c r="CF125" s="1839"/>
      <c r="CG125" s="1840"/>
      <c r="CH125" s="1837"/>
      <c r="CI125" s="1838"/>
      <c r="CJ125" s="1837"/>
      <c r="CK125" s="1838"/>
      <c r="CL125" s="1839"/>
      <c r="CM125" s="1840"/>
      <c r="CN125" s="1837"/>
      <c r="CO125" s="1838"/>
      <c r="CP125" s="1837"/>
      <c r="CQ125" s="1838"/>
      <c r="CR125" s="1839"/>
      <c r="CS125" s="1840"/>
      <c r="CT125" s="1837"/>
      <c r="CU125" s="1838"/>
      <c r="CV125" s="1837"/>
      <c r="CW125" s="1838"/>
      <c r="CX125" s="1839"/>
      <c r="CY125" s="1840"/>
      <c r="CZ125" s="1837"/>
      <c r="DA125" s="1838"/>
      <c r="DB125" s="1837"/>
      <c r="DC125" s="1838"/>
      <c r="DD125" s="1839"/>
      <c r="DE125" s="1840"/>
      <c r="DF125" s="1837"/>
      <c r="DG125" s="1838"/>
      <c r="DH125" s="1837"/>
      <c r="DI125" s="1838"/>
      <c r="DJ125" s="1839"/>
      <c r="DK125" s="1840"/>
      <c r="DL125" s="1837"/>
      <c r="DM125" s="1838"/>
      <c r="DN125" s="1837"/>
      <c r="DO125" s="1838"/>
      <c r="DP125" s="1837"/>
      <c r="DQ125" s="1853"/>
      <c r="DR125" s="1837"/>
      <c r="DS125" s="1838"/>
      <c r="DT125" s="1842"/>
      <c r="DU125" s="1837"/>
      <c r="DV125" s="1839"/>
      <c r="DW125" s="1840"/>
      <c r="DX125" s="1837"/>
      <c r="DY125" s="1838"/>
      <c r="DZ125" s="1837"/>
      <c r="EA125" s="1838"/>
      <c r="EB125" s="1839"/>
      <c r="EC125" s="1840"/>
      <c r="ED125" s="1837"/>
      <c r="EE125" s="1838"/>
      <c r="EF125" s="1837"/>
      <c r="EG125" s="1838"/>
      <c r="EH125" s="1839"/>
      <c r="EI125" s="1840"/>
      <c r="EJ125" s="1837"/>
      <c r="EK125" s="1838"/>
      <c r="EL125" s="1837"/>
      <c r="EM125" s="1838"/>
      <c r="EN125" s="1839"/>
      <c r="EO125" s="1840"/>
      <c r="EP125" s="1837"/>
      <c r="EQ125" s="1838"/>
      <c r="ER125" s="1837"/>
      <c r="ES125" s="1838"/>
      <c r="ET125" s="1839"/>
      <c r="EU125" s="1840"/>
      <c r="EV125" s="1837"/>
      <c r="EW125" s="1838"/>
      <c r="EX125" s="1837"/>
      <c r="EY125" s="1838"/>
      <c r="EZ125" s="1839"/>
      <c r="FA125" s="1840"/>
      <c r="FB125" s="1837"/>
      <c r="FC125" s="1838"/>
      <c r="FD125" s="1837"/>
      <c r="FE125" s="1838"/>
      <c r="FF125" s="1839"/>
      <c r="FG125" s="1840"/>
      <c r="FH125" s="1837"/>
      <c r="FI125" s="1838"/>
      <c r="FJ125" s="1837"/>
      <c r="FK125" s="1838"/>
      <c r="FL125" s="1839"/>
      <c r="FM125" s="1840"/>
      <c r="FN125" s="1837"/>
      <c r="FO125" s="1838"/>
      <c r="FP125" s="1837"/>
      <c r="FQ125" s="1838"/>
      <c r="FR125" s="1839"/>
      <c r="FS125" s="1840"/>
      <c r="FT125" s="1837"/>
      <c r="FU125" s="1838"/>
      <c r="FV125" s="1837"/>
      <c r="FW125" s="1838"/>
      <c r="FX125" s="1839"/>
      <c r="FY125" s="1840"/>
      <c r="FZ125" s="1837"/>
      <c r="GA125" s="1838"/>
      <c r="GB125" s="1837"/>
      <c r="GC125" s="1838"/>
      <c r="GD125" s="1839"/>
      <c r="GE125" s="1840"/>
      <c r="GF125" s="1837"/>
      <c r="GG125" s="1838"/>
      <c r="GH125" s="1837"/>
      <c r="GI125" s="1838"/>
      <c r="GJ125" s="1839"/>
      <c r="GK125" s="1840"/>
      <c r="GL125" s="1837"/>
      <c r="GM125" s="1838"/>
      <c r="GN125" s="1837"/>
      <c r="GO125" s="1838"/>
      <c r="GP125" s="1839"/>
    </row>
    <row r="126" spans="1:198" ht="20.100000000000001" hidden="1" customHeight="1" outlineLevel="1" collapsed="1">
      <c r="A126" s="2709"/>
      <c r="B126" s="2612"/>
      <c r="C126" s="1858"/>
      <c r="D126" s="2614" t="str">
        <f>実績!C1201&amp;"("&amp;SUBSTITUTE(実績!R1201&amp;")","株式会社 ","")</f>
        <v>つくば市学園の森(日本郵便)(染谷工務店)</v>
      </c>
      <c r="E126" s="2617"/>
      <c r="F126" s="2617"/>
      <c r="G126" s="2617"/>
      <c r="H126" s="2617"/>
      <c r="I126" s="2617"/>
      <c r="J126" s="2617"/>
      <c r="K126" s="2617"/>
      <c r="L126" s="2617"/>
      <c r="M126" s="2617"/>
      <c r="N126" s="2617"/>
      <c r="O126" s="2617"/>
      <c r="P126" s="2617"/>
      <c r="Q126" s="2618"/>
      <c r="R126" s="1970"/>
      <c r="S126" s="1837"/>
      <c r="T126" s="1837"/>
      <c r="U126" s="1838"/>
      <c r="V126" s="1837"/>
      <c r="W126" s="1838"/>
      <c r="X126" s="1839"/>
      <c r="Y126" s="1837"/>
      <c r="Z126" s="1837"/>
      <c r="AA126" s="1838"/>
      <c r="AB126" s="1837"/>
      <c r="AC126" s="1838"/>
      <c r="AD126" s="1837"/>
      <c r="AE126" s="1837"/>
      <c r="AF126" s="1837"/>
      <c r="AG126" s="1838"/>
      <c r="AH126" s="1837"/>
      <c r="AI126" s="1838"/>
      <c r="AJ126" s="1839"/>
      <c r="AK126" s="1837"/>
      <c r="AL126" s="1837"/>
      <c r="AM126" s="1838"/>
      <c r="AN126" s="1837"/>
      <c r="AO126" s="1838"/>
      <c r="AP126" s="1837"/>
      <c r="AQ126" s="1841"/>
      <c r="AR126" s="1837"/>
      <c r="AS126" s="1838"/>
      <c r="AT126" s="1837"/>
      <c r="AU126" s="1838"/>
      <c r="AV126" s="1839"/>
      <c r="AW126" s="1840"/>
      <c r="AX126" s="1837"/>
      <c r="AY126" s="1838"/>
      <c r="AZ126" s="1837" t="s">
        <v>8586</v>
      </c>
      <c r="BA126" s="1838"/>
      <c r="BB126" s="1839"/>
      <c r="BC126" s="1837"/>
      <c r="BD126" s="1837"/>
      <c r="BE126" s="1838"/>
      <c r="BF126" s="1837"/>
      <c r="BG126" s="1838"/>
      <c r="BH126" s="1837"/>
      <c r="BI126" s="1840" t="s">
        <v>8933</v>
      </c>
      <c r="BJ126" s="1837"/>
      <c r="BK126" s="1838"/>
      <c r="BL126" s="1837"/>
      <c r="BM126" s="1838"/>
      <c r="BN126" s="1839"/>
      <c r="BO126" s="1840"/>
      <c r="BP126" s="1837"/>
      <c r="BQ126" s="1838"/>
      <c r="BR126" s="1837"/>
      <c r="BS126" s="1838"/>
      <c r="BT126" s="1839"/>
      <c r="BU126" s="1840"/>
      <c r="BV126" s="1837"/>
      <c r="BW126" s="1838"/>
      <c r="BX126" s="1837"/>
      <c r="BY126" s="1838"/>
      <c r="BZ126" s="1839"/>
      <c r="CA126" s="1840"/>
      <c r="CB126" s="1837"/>
      <c r="CC126" s="1838"/>
      <c r="CD126" s="1837"/>
      <c r="CE126" s="1838"/>
      <c r="CF126" s="1839"/>
      <c r="CG126" s="1840"/>
      <c r="CH126" s="1837"/>
      <c r="CI126" s="1838"/>
      <c r="CJ126" s="1837"/>
      <c r="CK126" s="1838"/>
      <c r="CL126" s="1839"/>
      <c r="CM126" s="1840"/>
      <c r="CN126" s="1837"/>
      <c r="CO126" s="1838"/>
      <c r="CP126" s="1837"/>
      <c r="CQ126" s="1838"/>
      <c r="CR126" s="1839"/>
      <c r="CS126" s="1840"/>
      <c r="CT126" s="1837"/>
      <c r="CU126" s="1838"/>
      <c r="CV126" s="1837"/>
      <c r="CW126" s="1838"/>
      <c r="CX126" s="1839"/>
      <c r="CY126" s="1840"/>
      <c r="CZ126" s="1837"/>
      <c r="DA126" s="1838"/>
      <c r="DB126" s="1837"/>
      <c r="DC126" s="1838"/>
      <c r="DD126" s="1839"/>
      <c r="DE126" s="1840"/>
      <c r="DF126" s="1837"/>
      <c r="DG126" s="1838"/>
      <c r="DH126" s="1837"/>
      <c r="DI126" s="1838"/>
      <c r="DJ126" s="1839"/>
      <c r="DK126" s="1840"/>
      <c r="DL126" s="1837"/>
      <c r="DM126" s="1838"/>
      <c r="DN126" s="1837"/>
      <c r="DO126" s="1838"/>
      <c r="DP126" s="1837"/>
      <c r="DQ126" s="1853"/>
      <c r="DR126" s="1837"/>
      <c r="DS126" s="1838"/>
      <c r="DT126" s="1842"/>
      <c r="DU126" s="1837"/>
      <c r="DV126" s="1839"/>
      <c r="DW126" s="1840"/>
      <c r="DX126" s="1837"/>
      <c r="DY126" s="1838"/>
      <c r="DZ126" s="1837"/>
      <c r="EA126" s="1838"/>
      <c r="EB126" s="1839"/>
      <c r="EC126" s="1840"/>
      <c r="ED126" s="1837"/>
      <c r="EE126" s="1838"/>
      <c r="EF126" s="1837"/>
      <c r="EG126" s="1838"/>
      <c r="EH126" s="1839"/>
      <c r="EI126" s="1840"/>
      <c r="EJ126" s="1837"/>
      <c r="EK126" s="1838"/>
      <c r="EL126" s="1837"/>
      <c r="EM126" s="1838"/>
      <c r="EN126" s="1839"/>
      <c r="EO126" s="1840"/>
      <c r="EP126" s="1837"/>
      <c r="EQ126" s="1838"/>
      <c r="ER126" s="1837"/>
      <c r="ES126" s="1838"/>
      <c r="ET126" s="1839"/>
      <c r="EU126" s="1840"/>
      <c r="EV126" s="1837"/>
      <c r="EW126" s="1838"/>
      <c r="EX126" s="1837"/>
      <c r="EY126" s="1838"/>
      <c r="EZ126" s="1839"/>
      <c r="FA126" s="1840"/>
      <c r="FB126" s="1837"/>
      <c r="FC126" s="1838"/>
      <c r="FD126" s="1837"/>
      <c r="FE126" s="1838"/>
      <c r="FF126" s="1839"/>
      <c r="FG126" s="1840"/>
      <c r="FH126" s="1837"/>
      <c r="FI126" s="1838"/>
      <c r="FJ126" s="1837"/>
      <c r="FK126" s="1838"/>
      <c r="FL126" s="1839"/>
      <c r="FM126" s="1840"/>
      <c r="FN126" s="1837"/>
      <c r="FO126" s="1838"/>
      <c r="FP126" s="1837"/>
      <c r="FQ126" s="1838"/>
      <c r="FR126" s="1839"/>
      <c r="FS126" s="1840"/>
      <c r="FT126" s="1837"/>
      <c r="FU126" s="1838"/>
      <c r="FV126" s="1837"/>
      <c r="FW126" s="1838"/>
      <c r="FX126" s="1839"/>
      <c r="FY126" s="1840"/>
      <c r="FZ126" s="1837"/>
      <c r="GA126" s="1838"/>
      <c r="GB126" s="1837"/>
      <c r="GC126" s="1838"/>
      <c r="GD126" s="1839"/>
      <c r="GE126" s="1840"/>
      <c r="GF126" s="1837"/>
      <c r="GG126" s="1838"/>
      <c r="GH126" s="1837"/>
      <c r="GI126" s="1838"/>
      <c r="GJ126" s="1839"/>
      <c r="GK126" s="1840"/>
      <c r="GL126" s="1837"/>
      <c r="GM126" s="1838"/>
      <c r="GN126" s="1837"/>
      <c r="GO126" s="1838"/>
      <c r="GP126" s="1839"/>
    </row>
    <row r="127" spans="1:198" ht="20.100000000000001" hidden="1" customHeight="1" outlineLevel="1">
      <c r="A127" s="2709"/>
      <c r="B127" s="2612"/>
      <c r="C127" s="1858"/>
      <c r="D127" s="2614" t="str">
        <f>実績!C1206&amp;"("&amp;SUBSTITUTE(実績!R1206&amp;")","有限会社 ","")</f>
        <v>浪田商事農産物一時保管倉庫(T工房)</v>
      </c>
      <c r="E127" s="2617"/>
      <c r="F127" s="2617"/>
      <c r="G127" s="2617"/>
      <c r="H127" s="2617"/>
      <c r="I127" s="2617"/>
      <c r="J127" s="2617"/>
      <c r="K127" s="2617"/>
      <c r="L127" s="2617"/>
      <c r="M127" s="2617"/>
      <c r="N127" s="2617"/>
      <c r="O127" s="2617"/>
      <c r="P127" s="2617"/>
      <c r="Q127" s="2618"/>
      <c r="R127" s="1970"/>
      <c r="S127" s="1837"/>
      <c r="T127" s="1837"/>
      <c r="U127" s="1837"/>
      <c r="V127" s="1837"/>
      <c r="W127" s="1837"/>
      <c r="X127" s="1837"/>
      <c r="Y127" s="1837"/>
      <c r="Z127" s="1837"/>
      <c r="AA127" s="1837"/>
      <c r="AB127" s="1837"/>
      <c r="AC127" s="1837"/>
      <c r="AD127" s="1837"/>
      <c r="AE127" s="1837"/>
      <c r="AF127" s="1837"/>
      <c r="AG127" s="1837"/>
      <c r="AH127" s="1837"/>
      <c r="AI127" s="1837"/>
      <c r="AJ127" s="1837"/>
      <c r="AK127" s="1837"/>
      <c r="AL127" s="1837"/>
      <c r="AM127" s="1837"/>
      <c r="AN127" s="1837"/>
      <c r="AO127" s="1837"/>
      <c r="AP127" s="1837"/>
      <c r="AQ127" s="1837"/>
      <c r="AR127" s="1837"/>
      <c r="AS127" s="1837"/>
      <c r="AT127" s="1837"/>
      <c r="AU127" s="1837"/>
      <c r="AV127" s="1837"/>
      <c r="AW127" s="1840"/>
      <c r="AX127" s="1837"/>
      <c r="AY127" s="1838"/>
      <c r="AZ127" s="1837" t="s">
        <v>9160</v>
      </c>
      <c r="BA127" s="1838"/>
      <c r="BB127" s="1839"/>
      <c r="BC127" s="1837"/>
      <c r="BD127" s="1837"/>
      <c r="BE127" s="1838"/>
      <c r="BF127" s="1837"/>
      <c r="BG127" s="1838"/>
      <c r="BH127" s="1837"/>
      <c r="BI127" s="1840" t="s">
        <v>8145</v>
      </c>
      <c r="BJ127" s="1837"/>
      <c r="BK127" s="1838"/>
      <c r="BL127" s="1837"/>
      <c r="BM127" s="1838"/>
      <c r="BN127" s="1839"/>
      <c r="BO127" s="1840"/>
      <c r="BP127" s="1837"/>
      <c r="BQ127" s="1838"/>
      <c r="BR127" s="1837"/>
      <c r="BS127" s="1838"/>
      <c r="BT127" s="1839"/>
      <c r="BU127" s="1840"/>
      <c r="BV127" s="1837"/>
      <c r="BW127" s="1838"/>
      <c r="BX127" s="1837"/>
      <c r="BY127" s="1838"/>
      <c r="BZ127" s="1839"/>
      <c r="CA127" s="1840"/>
      <c r="CB127" s="1837"/>
      <c r="CC127" s="1838"/>
      <c r="CD127" s="1837"/>
      <c r="CE127" s="1838"/>
      <c r="CF127" s="1839"/>
      <c r="CG127" s="1840"/>
      <c r="CH127" s="1837"/>
      <c r="CI127" s="1838"/>
      <c r="CJ127" s="1837"/>
      <c r="CK127" s="1838"/>
      <c r="CL127" s="1839"/>
      <c r="CM127" s="1840"/>
      <c r="CN127" s="1837"/>
      <c r="CO127" s="1838"/>
      <c r="CP127" s="1837"/>
      <c r="CQ127" s="1838"/>
      <c r="CR127" s="1839"/>
      <c r="CS127" s="1840"/>
      <c r="CT127" s="1837"/>
      <c r="CU127" s="1838"/>
      <c r="CV127" s="1837"/>
      <c r="CW127" s="1838"/>
      <c r="CX127" s="1839"/>
      <c r="CY127" s="1840"/>
      <c r="CZ127" s="1837"/>
      <c r="DA127" s="1838"/>
      <c r="DB127" s="1837"/>
      <c r="DC127" s="1838"/>
      <c r="DD127" s="1839"/>
      <c r="DE127" s="1840"/>
      <c r="DF127" s="1837"/>
      <c r="DG127" s="1838"/>
      <c r="DH127" s="1837"/>
      <c r="DI127" s="1838"/>
      <c r="DJ127" s="1839"/>
      <c r="DK127" s="1840"/>
      <c r="DL127" s="1837"/>
      <c r="DM127" s="1838"/>
      <c r="DN127" s="1837"/>
      <c r="DO127" s="1838"/>
      <c r="DP127" s="1837"/>
      <c r="DQ127" s="1853"/>
      <c r="DR127" s="1837"/>
      <c r="DS127" s="1838"/>
      <c r="DT127" s="1842"/>
      <c r="DU127" s="1837"/>
      <c r="DV127" s="1839"/>
      <c r="DW127" s="1840"/>
      <c r="DX127" s="1837"/>
      <c r="DY127" s="1838"/>
      <c r="DZ127" s="1837"/>
      <c r="EA127" s="1838"/>
      <c r="EB127" s="1839"/>
      <c r="EC127" s="1840"/>
      <c r="ED127" s="1837"/>
      <c r="EE127" s="1838"/>
      <c r="EF127" s="1837"/>
      <c r="EG127" s="1838"/>
      <c r="EH127" s="1839"/>
      <c r="EI127" s="1840"/>
      <c r="EJ127" s="1837"/>
      <c r="EK127" s="1838"/>
      <c r="EL127" s="1837"/>
      <c r="EM127" s="1838"/>
      <c r="EN127" s="1839"/>
      <c r="EO127" s="1840"/>
      <c r="EP127" s="1837"/>
      <c r="EQ127" s="1838"/>
      <c r="ER127" s="1837"/>
      <c r="ES127" s="1838"/>
      <c r="ET127" s="1839"/>
      <c r="EU127" s="1840"/>
      <c r="EV127" s="1837"/>
      <c r="EW127" s="1838"/>
      <c r="EX127" s="1837"/>
      <c r="EY127" s="1838"/>
      <c r="EZ127" s="1839"/>
      <c r="FA127" s="1840"/>
      <c r="FB127" s="1837"/>
      <c r="FC127" s="1838"/>
      <c r="FD127" s="1837"/>
      <c r="FE127" s="1838"/>
      <c r="FF127" s="1839"/>
      <c r="FG127" s="1840"/>
      <c r="FH127" s="1837"/>
      <c r="FI127" s="1838"/>
      <c r="FJ127" s="1837"/>
      <c r="FK127" s="1838"/>
      <c r="FL127" s="1839"/>
      <c r="FM127" s="1840"/>
      <c r="FN127" s="1837"/>
      <c r="FO127" s="1838"/>
      <c r="FP127" s="1837"/>
      <c r="FQ127" s="1838"/>
      <c r="FR127" s="1839"/>
      <c r="FS127" s="1840"/>
      <c r="FT127" s="1837"/>
      <c r="FU127" s="1838"/>
      <c r="FV127" s="1837"/>
      <c r="FW127" s="1838"/>
      <c r="FX127" s="1839"/>
      <c r="FY127" s="1840"/>
      <c r="FZ127" s="1837"/>
      <c r="GA127" s="1838"/>
      <c r="GB127" s="1837"/>
      <c r="GC127" s="1838"/>
      <c r="GD127" s="1839"/>
      <c r="GE127" s="1840"/>
      <c r="GF127" s="1837"/>
      <c r="GG127" s="1838"/>
      <c r="GH127" s="1837"/>
      <c r="GI127" s="1838"/>
      <c r="GJ127" s="1839"/>
      <c r="GK127" s="1840"/>
      <c r="GL127" s="1837"/>
      <c r="GM127" s="1838"/>
      <c r="GN127" s="1837"/>
      <c r="GO127" s="1838"/>
      <c r="GP127" s="1839"/>
    </row>
    <row r="128" spans="1:198" ht="20.100000000000001" hidden="1" customHeight="1" outlineLevel="1" collapsed="1">
      <c r="A128" s="2709"/>
      <c r="B128" s="2612"/>
      <c r="C128" s="1858"/>
      <c r="D128" s="2614" t="str">
        <f>実績!C1184&amp;"("&amp;SUBSTITUTE(実績!W1184&amp;")","株式会社 ","")</f>
        <v>レント中京管理センター 倉庫棟(ヒラテ技研)</v>
      </c>
      <c r="E128" s="2615"/>
      <c r="F128" s="2615"/>
      <c r="G128" s="2615"/>
      <c r="H128" s="2615"/>
      <c r="I128" s="2615"/>
      <c r="J128" s="2615"/>
      <c r="K128" s="2615"/>
      <c r="L128" s="2615"/>
      <c r="M128" s="2615"/>
      <c r="N128" s="2615"/>
      <c r="O128" s="2615"/>
      <c r="P128" s="2615"/>
      <c r="Q128" s="2616"/>
      <c r="R128" s="1969"/>
      <c r="S128" s="1837"/>
      <c r="T128" s="1837"/>
      <c r="U128" s="1838"/>
      <c r="V128" s="1837"/>
      <c r="W128" s="1838"/>
      <c r="X128" s="1839"/>
      <c r="Y128" s="1837"/>
      <c r="Z128" s="1837"/>
      <c r="AA128" s="1838"/>
      <c r="AB128" s="1837"/>
      <c r="AC128" s="1838"/>
      <c r="AD128" s="1837"/>
      <c r="AE128" s="1840"/>
      <c r="AF128" s="1837"/>
      <c r="AG128" s="1838"/>
      <c r="AH128" s="1837"/>
      <c r="AI128" s="1838"/>
      <c r="AJ128" s="1839"/>
      <c r="AK128" s="1837"/>
      <c r="AL128" s="1837"/>
      <c r="AM128" s="1838"/>
      <c r="AN128" s="1837"/>
      <c r="AO128" s="1838"/>
      <c r="AP128" s="1837"/>
      <c r="AQ128" s="1841"/>
      <c r="AR128" s="1837"/>
      <c r="AS128" s="1838"/>
      <c r="AT128" s="1837"/>
      <c r="AU128" s="1838"/>
      <c r="AV128" s="1839"/>
      <c r="AW128" s="1840" t="s">
        <v>8575</v>
      </c>
      <c r="AX128" s="1837"/>
      <c r="AY128" s="1838"/>
      <c r="AZ128" s="1837"/>
      <c r="BA128" s="1838"/>
      <c r="BB128" s="1839"/>
      <c r="BC128" s="1837" t="s">
        <v>8250</v>
      </c>
      <c r="BD128" s="1837"/>
      <c r="BE128" s="1838"/>
      <c r="BF128" s="1837"/>
      <c r="BG128" s="1838"/>
      <c r="BH128" s="1837"/>
      <c r="BI128" s="1840"/>
      <c r="BJ128" s="1837"/>
      <c r="BK128" s="1838"/>
      <c r="BL128" s="1837"/>
      <c r="BM128" s="1838"/>
      <c r="BN128" s="1839"/>
      <c r="BO128" s="1840"/>
      <c r="BP128" s="1837"/>
      <c r="BQ128" s="1838"/>
      <c r="BR128" s="1837"/>
      <c r="BS128" s="1838"/>
      <c r="BT128" s="1839"/>
      <c r="BU128" s="1840" t="s">
        <v>8145</v>
      </c>
      <c r="BV128" s="1837"/>
      <c r="BW128" s="1838"/>
      <c r="BX128" s="1837"/>
      <c r="BY128" s="1838"/>
      <c r="BZ128" s="1839"/>
      <c r="CA128" s="1840"/>
      <c r="CB128" s="1837"/>
      <c r="CC128" s="1838"/>
      <c r="CD128" s="1837"/>
      <c r="CE128" s="1838"/>
      <c r="CF128" s="1839"/>
      <c r="CG128" s="1840"/>
      <c r="CH128" s="1837"/>
      <c r="CI128" s="1838"/>
      <c r="CJ128" s="1837"/>
      <c r="CK128" s="1838"/>
      <c r="CL128" s="1839"/>
      <c r="CM128" s="1840"/>
      <c r="CN128" s="1837"/>
      <c r="CO128" s="1838"/>
      <c r="CP128" s="1837"/>
      <c r="CQ128" s="1838"/>
      <c r="CR128" s="1839"/>
      <c r="CS128" s="1840"/>
      <c r="CT128" s="1837"/>
      <c r="CU128" s="1838"/>
      <c r="CV128" s="1837"/>
      <c r="CW128" s="1838"/>
      <c r="CX128" s="1839"/>
      <c r="CY128" s="1840"/>
      <c r="CZ128" s="1837"/>
      <c r="DA128" s="1838"/>
      <c r="DB128" s="1837"/>
      <c r="DC128" s="1838"/>
      <c r="DD128" s="1839"/>
      <c r="DE128" s="1840"/>
      <c r="DF128" s="1837"/>
      <c r="DG128" s="1838"/>
      <c r="DH128" s="1837"/>
      <c r="DI128" s="1838"/>
      <c r="DJ128" s="1839"/>
      <c r="DK128" s="1840"/>
      <c r="DL128" s="1837"/>
      <c r="DM128" s="1838"/>
      <c r="DN128" s="1837"/>
      <c r="DO128" s="1838"/>
      <c r="DP128" s="1837"/>
      <c r="DQ128" s="1853"/>
      <c r="DR128" s="1837"/>
      <c r="DS128" s="1838"/>
      <c r="DT128" s="1842"/>
      <c r="DU128" s="1837"/>
      <c r="DV128" s="1839"/>
      <c r="DW128" s="1840"/>
      <c r="DX128" s="1837"/>
      <c r="DY128" s="1838"/>
      <c r="DZ128" s="1837"/>
      <c r="EA128" s="1838"/>
      <c r="EB128" s="1839"/>
      <c r="EC128" s="1840"/>
      <c r="ED128" s="1837"/>
      <c r="EE128" s="1838"/>
      <c r="EF128" s="1837"/>
      <c r="EG128" s="1838"/>
      <c r="EH128" s="1839"/>
      <c r="EI128" s="1840"/>
      <c r="EJ128" s="1837"/>
      <c r="EK128" s="1838"/>
      <c r="EL128" s="1837"/>
      <c r="EM128" s="1838"/>
      <c r="EN128" s="1839"/>
      <c r="EO128" s="1840"/>
      <c r="EP128" s="1837"/>
      <c r="EQ128" s="1838"/>
      <c r="ER128" s="1837"/>
      <c r="ES128" s="1838"/>
      <c r="ET128" s="1839"/>
      <c r="EU128" s="1840"/>
      <c r="EV128" s="1837"/>
      <c r="EW128" s="1838"/>
      <c r="EX128" s="1837"/>
      <c r="EY128" s="1838"/>
      <c r="EZ128" s="1839"/>
      <c r="FA128" s="1840"/>
      <c r="FB128" s="1837"/>
      <c r="FC128" s="1838"/>
      <c r="FD128" s="1837"/>
      <c r="FE128" s="1838"/>
      <c r="FF128" s="1839"/>
      <c r="FG128" s="1840"/>
      <c r="FH128" s="1837"/>
      <c r="FI128" s="1838"/>
      <c r="FJ128" s="1837"/>
      <c r="FK128" s="1838"/>
      <c r="FL128" s="1839"/>
      <c r="FM128" s="1840"/>
      <c r="FN128" s="1837"/>
      <c r="FO128" s="1838"/>
      <c r="FP128" s="1837"/>
      <c r="FQ128" s="1838"/>
      <c r="FR128" s="1839"/>
      <c r="FS128" s="1840"/>
      <c r="FT128" s="1837"/>
      <c r="FU128" s="1838"/>
      <c r="FV128" s="1837"/>
      <c r="FW128" s="1838"/>
      <c r="FX128" s="1839"/>
      <c r="FY128" s="1840"/>
      <c r="FZ128" s="1837"/>
      <c r="GA128" s="1838"/>
      <c r="GB128" s="1837"/>
      <c r="GC128" s="1838"/>
      <c r="GD128" s="1839"/>
      <c r="GE128" s="1840"/>
      <c r="GF128" s="1837"/>
      <c r="GG128" s="1838"/>
      <c r="GH128" s="1837"/>
      <c r="GI128" s="1838"/>
      <c r="GJ128" s="1839"/>
      <c r="GK128" s="1840"/>
      <c r="GL128" s="1837"/>
      <c r="GM128" s="1838"/>
      <c r="GN128" s="1837"/>
      <c r="GO128" s="1838"/>
      <c r="GP128" s="1839"/>
    </row>
    <row r="129" spans="1:198" ht="20.100000000000001" hidden="1" customHeight="1" outlineLevel="1">
      <c r="A129" s="2709"/>
      <c r="B129" s="2612"/>
      <c r="C129" s="1858"/>
      <c r="D129" s="2614" t="str">
        <f>実績!C1209&amp;"("&amp;SUBSTITUTE(実績!W1209&amp;")"," 株式会社","")</f>
        <v>ハマイ大多喜工場 第7号棟(日鉄物産システム建築)</v>
      </c>
      <c r="E129" s="2615"/>
      <c r="F129" s="2615"/>
      <c r="G129" s="2615"/>
      <c r="H129" s="2615"/>
      <c r="I129" s="2615"/>
      <c r="J129" s="2615"/>
      <c r="K129" s="2615"/>
      <c r="L129" s="2615"/>
      <c r="M129" s="2615"/>
      <c r="N129" s="2615"/>
      <c r="O129" s="2615"/>
      <c r="P129" s="2615"/>
      <c r="Q129" s="2616"/>
      <c r="R129" s="1969"/>
      <c r="S129" s="1837"/>
      <c r="T129" s="1837"/>
      <c r="U129" s="1838"/>
      <c r="V129" s="1837"/>
      <c r="W129" s="1838"/>
      <c r="X129" s="1839"/>
      <c r="Y129" s="1837"/>
      <c r="Z129" s="1837"/>
      <c r="AA129" s="1838"/>
      <c r="AB129" s="1837"/>
      <c r="AC129" s="1838"/>
      <c r="AD129" s="1837"/>
      <c r="AE129" s="1840"/>
      <c r="AF129" s="1837"/>
      <c r="AG129" s="1838"/>
      <c r="AH129" s="1837"/>
      <c r="AI129" s="1838"/>
      <c r="AJ129" s="1839"/>
      <c r="AK129" s="1837"/>
      <c r="AL129" s="1837"/>
      <c r="AM129" s="1838"/>
      <c r="AN129" s="1837"/>
      <c r="AO129" s="1838"/>
      <c r="AP129" s="1837"/>
      <c r="AQ129" s="1841"/>
      <c r="AR129" s="1837"/>
      <c r="AS129" s="1838"/>
      <c r="AT129" s="1837"/>
      <c r="AU129" s="1838" t="s">
        <v>8352</v>
      </c>
      <c r="AV129" s="1839"/>
      <c r="AW129" s="1840"/>
      <c r="AX129" s="1837"/>
      <c r="AY129" s="1838"/>
      <c r="AZ129" s="1837"/>
      <c r="BA129" s="1838"/>
      <c r="BB129" s="1839"/>
      <c r="BC129" s="1837" t="s">
        <v>8250</v>
      </c>
      <c r="BD129" s="1837"/>
      <c r="BE129" s="1838"/>
      <c r="BF129" s="1837"/>
      <c r="BG129" s="1838"/>
      <c r="BH129" s="1837"/>
      <c r="BI129" s="1840"/>
      <c r="BJ129" s="1837"/>
      <c r="BK129" s="1838"/>
      <c r="BL129" s="1837"/>
      <c r="BM129" s="1838"/>
      <c r="BN129" s="1839"/>
      <c r="BO129" s="1840" t="s">
        <v>8145</v>
      </c>
      <c r="BP129" s="1837"/>
      <c r="BQ129" s="1838"/>
      <c r="BR129" s="1837"/>
      <c r="BS129" s="1838"/>
      <c r="BT129" s="1839"/>
      <c r="BU129" s="1840"/>
      <c r="BV129" s="1837"/>
      <c r="BW129" s="1838"/>
      <c r="BX129" s="1837"/>
      <c r="BY129" s="1838"/>
      <c r="BZ129" s="1839"/>
      <c r="CA129" s="1840"/>
      <c r="CB129" s="1837"/>
      <c r="CC129" s="1838"/>
      <c r="CD129" s="1837"/>
      <c r="CE129" s="1838"/>
      <c r="CF129" s="1839"/>
      <c r="CG129" s="1840"/>
      <c r="CH129" s="1837"/>
      <c r="CI129" s="1838"/>
      <c r="CJ129" s="1837"/>
      <c r="CK129" s="1838"/>
      <c r="CL129" s="1839"/>
      <c r="CM129" s="1840"/>
      <c r="CN129" s="1837"/>
      <c r="CO129" s="1838"/>
      <c r="CP129" s="1837"/>
      <c r="CQ129" s="1838"/>
      <c r="CR129" s="1839"/>
      <c r="CS129" s="1840"/>
      <c r="CT129" s="1837"/>
      <c r="CU129" s="1838"/>
      <c r="CV129" s="1837"/>
      <c r="CW129" s="1838"/>
      <c r="CX129" s="1839"/>
      <c r="CY129" s="1840"/>
      <c r="CZ129" s="1837"/>
      <c r="DA129" s="1838"/>
      <c r="DB129" s="1837"/>
      <c r="DC129" s="1838"/>
      <c r="DD129" s="1839"/>
      <c r="DE129" s="1840"/>
      <c r="DF129" s="1837"/>
      <c r="DG129" s="1838"/>
      <c r="DH129" s="1837"/>
      <c r="DI129" s="1838"/>
      <c r="DJ129" s="1839"/>
      <c r="DK129" s="1840"/>
      <c r="DL129" s="1837"/>
      <c r="DM129" s="1838"/>
      <c r="DN129" s="1837"/>
      <c r="DO129" s="1838"/>
      <c r="DP129" s="1837"/>
      <c r="DQ129" s="1853"/>
      <c r="DR129" s="1837"/>
      <c r="DS129" s="1838"/>
      <c r="DT129" s="1842"/>
      <c r="DU129" s="1837"/>
      <c r="DV129" s="1839"/>
      <c r="DW129" s="1840"/>
      <c r="DX129" s="1837"/>
      <c r="DY129" s="1838"/>
      <c r="DZ129" s="1837"/>
      <c r="EA129" s="1838"/>
      <c r="EB129" s="1839"/>
      <c r="EC129" s="1840"/>
      <c r="ED129" s="1837"/>
      <c r="EE129" s="1838"/>
      <c r="EF129" s="1837"/>
      <c r="EG129" s="1838"/>
      <c r="EH129" s="1839"/>
      <c r="EI129" s="1840"/>
      <c r="EJ129" s="1837"/>
      <c r="EK129" s="1838"/>
      <c r="EL129" s="1837"/>
      <c r="EM129" s="1838"/>
      <c r="EN129" s="1839"/>
      <c r="EO129" s="1840"/>
      <c r="EP129" s="1837"/>
      <c r="EQ129" s="1838"/>
      <c r="ER129" s="1837"/>
      <c r="ES129" s="1838"/>
      <c r="ET129" s="1839"/>
      <c r="EU129" s="1840"/>
      <c r="EV129" s="1837"/>
      <c r="EW129" s="1838"/>
      <c r="EX129" s="1837"/>
      <c r="EY129" s="1838"/>
      <c r="EZ129" s="1839"/>
      <c r="FA129" s="1840"/>
      <c r="FB129" s="1837"/>
      <c r="FC129" s="1838"/>
      <c r="FD129" s="1837"/>
      <c r="FE129" s="1838"/>
      <c r="FF129" s="1839"/>
      <c r="FG129" s="1840"/>
      <c r="FH129" s="1837"/>
      <c r="FI129" s="1838"/>
      <c r="FJ129" s="1837"/>
      <c r="FK129" s="1838"/>
      <c r="FL129" s="1839"/>
      <c r="FM129" s="1840"/>
      <c r="FN129" s="1837"/>
      <c r="FO129" s="1838"/>
      <c r="FP129" s="1837"/>
      <c r="FQ129" s="1838"/>
      <c r="FR129" s="1839"/>
      <c r="FS129" s="1840"/>
      <c r="FT129" s="1837"/>
      <c r="FU129" s="1838"/>
      <c r="FV129" s="1837"/>
      <c r="FW129" s="1838"/>
      <c r="FX129" s="1839"/>
      <c r="FY129" s="1840"/>
      <c r="FZ129" s="1837"/>
      <c r="GA129" s="1838"/>
      <c r="GB129" s="1837"/>
      <c r="GC129" s="1838"/>
      <c r="GD129" s="1839"/>
      <c r="GE129" s="1840"/>
      <c r="GF129" s="1837"/>
      <c r="GG129" s="1838"/>
      <c r="GH129" s="1837"/>
      <c r="GI129" s="1838"/>
      <c r="GJ129" s="1839"/>
      <c r="GK129" s="1840"/>
      <c r="GL129" s="1837"/>
      <c r="GM129" s="1838"/>
      <c r="GN129" s="1837"/>
      <c r="GO129" s="1838"/>
      <c r="GP129" s="1839"/>
    </row>
    <row r="130" spans="1:198" ht="20.100000000000001" hidden="1" customHeight="1" outlineLevel="1" collapsed="1">
      <c r="A130" s="2709"/>
      <c r="B130" s="2612"/>
      <c r="C130" s="1858"/>
      <c r="D130" s="2614" t="str">
        <f>実績!C1210&amp;"("&amp;SUBSTITUTE(実績!R1210&amp;")","株式会社 ","")</f>
        <v>ハローズ佐古(山陽設計)</v>
      </c>
      <c r="E130" s="2615"/>
      <c r="F130" s="2615"/>
      <c r="G130" s="2615"/>
      <c r="H130" s="2615"/>
      <c r="I130" s="2615"/>
      <c r="J130" s="2615"/>
      <c r="K130" s="2615"/>
      <c r="L130" s="2615"/>
      <c r="M130" s="2615"/>
      <c r="N130" s="2615"/>
      <c r="O130" s="2615"/>
      <c r="P130" s="2615"/>
      <c r="Q130" s="2616"/>
      <c r="R130" s="1969"/>
      <c r="S130" s="1837"/>
      <c r="T130" s="1837"/>
      <c r="U130" s="1838"/>
      <c r="V130" s="1837"/>
      <c r="W130" s="1838"/>
      <c r="X130" s="1839"/>
      <c r="Y130" s="1837"/>
      <c r="Z130" s="1837"/>
      <c r="AA130" s="1838"/>
      <c r="AB130" s="1837"/>
      <c r="AC130" s="1838"/>
      <c r="AD130" s="1837"/>
      <c r="AE130" s="1837"/>
      <c r="AF130" s="1837"/>
      <c r="AG130" s="1838"/>
      <c r="AH130" s="1837"/>
      <c r="AI130" s="1838"/>
      <c r="AJ130" s="1839"/>
      <c r="AK130" s="1837"/>
      <c r="AL130" s="1837"/>
      <c r="AM130" s="1838"/>
      <c r="AN130" s="1837"/>
      <c r="AO130" s="1838"/>
      <c r="AP130" s="1837"/>
      <c r="AQ130" s="1841"/>
      <c r="AR130" s="1837"/>
      <c r="AS130" s="1838"/>
      <c r="AT130" s="1837"/>
      <c r="AU130" s="1838"/>
      <c r="AV130" s="1839"/>
      <c r="AW130" s="1840"/>
      <c r="AX130" s="1837"/>
      <c r="AY130" s="1838"/>
      <c r="AZ130" s="1837"/>
      <c r="BA130" s="1838"/>
      <c r="BB130" s="1839"/>
      <c r="BC130" s="1837"/>
      <c r="BD130" s="1837"/>
      <c r="BE130" s="1838" t="s">
        <v>9018</v>
      </c>
      <c r="BF130" s="1837"/>
      <c r="BG130" s="1838"/>
      <c r="BH130" s="1837"/>
      <c r="BI130" s="1840"/>
      <c r="BJ130" s="1837"/>
      <c r="BK130" s="1838"/>
      <c r="BL130" s="1837" t="s">
        <v>9019</v>
      </c>
      <c r="BM130" s="1838"/>
      <c r="BN130" s="1839"/>
      <c r="BO130" s="1840"/>
      <c r="BP130" s="1837"/>
      <c r="BQ130" s="1838"/>
      <c r="BR130" s="1837"/>
      <c r="BS130" s="1838"/>
      <c r="BT130" s="1839"/>
      <c r="BU130" s="1840"/>
      <c r="BV130" s="1837"/>
      <c r="BW130" s="1838"/>
      <c r="BX130" s="1837"/>
      <c r="BY130" s="1838"/>
      <c r="BZ130" s="1839"/>
      <c r="CA130" s="1840"/>
      <c r="CB130" s="1837"/>
      <c r="CC130" s="1838"/>
      <c r="CD130" s="1837"/>
      <c r="CE130" s="1838"/>
      <c r="CF130" s="1839"/>
      <c r="CG130" s="1840"/>
      <c r="CH130" s="1837"/>
      <c r="CI130" s="1838"/>
      <c r="CJ130" s="1837"/>
      <c r="CK130" s="1838"/>
      <c r="CL130" s="1839"/>
      <c r="CM130" s="1840"/>
      <c r="CN130" s="1837"/>
      <c r="CO130" s="1838"/>
      <c r="CP130" s="1837"/>
      <c r="CQ130" s="1838"/>
      <c r="CR130" s="1839"/>
      <c r="CS130" s="1840"/>
      <c r="CT130" s="1837"/>
      <c r="CU130" s="1838"/>
      <c r="CV130" s="1837"/>
      <c r="CW130" s="1838"/>
      <c r="CX130" s="1839"/>
      <c r="CY130" s="1840"/>
      <c r="CZ130" s="1837"/>
      <c r="DA130" s="1838"/>
      <c r="DB130" s="1837"/>
      <c r="DC130" s="1838"/>
      <c r="DD130" s="1839"/>
      <c r="DE130" s="1840"/>
      <c r="DF130" s="1837"/>
      <c r="DG130" s="1838"/>
      <c r="DH130" s="1837"/>
      <c r="DI130" s="1838"/>
      <c r="DJ130" s="1839"/>
      <c r="DK130" s="1840"/>
      <c r="DL130" s="1837"/>
      <c r="DM130" s="1838"/>
      <c r="DN130" s="1837"/>
      <c r="DO130" s="1838"/>
      <c r="DP130" s="1837"/>
      <c r="DQ130" s="1853"/>
      <c r="DR130" s="1837"/>
      <c r="DS130" s="1838"/>
      <c r="DT130" s="1842"/>
      <c r="DU130" s="1837"/>
      <c r="DV130" s="1839"/>
      <c r="DW130" s="1840"/>
      <c r="DX130" s="1837"/>
      <c r="DY130" s="1838"/>
      <c r="DZ130" s="1837"/>
      <c r="EA130" s="1838"/>
      <c r="EB130" s="1839"/>
      <c r="EC130" s="1840"/>
      <c r="ED130" s="1837"/>
      <c r="EE130" s="1838"/>
      <c r="EF130" s="1837"/>
      <c r="EG130" s="1838"/>
      <c r="EH130" s="1839"/>
      <c r="EI130" s="1840"/>
      <c r="EJ130" s="1837"/>
      <c r="EK130" s="1838"/>
      <c r="EL130" s="1837"/>
      <c r="EM130" s="1838"/>
      <c r="EN130" s="1839"/>
      <c r="EO130" s="1840"/>
      <c r="EP130" s="1837"/>
      <c r="EQ130" s="1838"/>
      <c r="ER130" s="1837"/>
      <c r="ES130" s="1838"/>
      <c r="ET130" s="1839"/>
      <c r="EU130" s="1840"/>
      <c r="EV130" s="1837"/>
      <c r="EW130" s="1838"/>
      <c r="EX130" s="1837"/>
      <c r="EY130" s="1838"/>
      <c r="EZ130" s="1839"/>
      <c r="FA130" s="1840"/>
      <c r="FB130" s="1837"/>
      <c r="FC130" s="1838"/>
      <c r="FD130" s="1837"/>
      <c r="FE130" s="1838"/>
      <c r="FF130" s="1839"/>
      <c r="FG130" s="1840"/>
      <c r="FH130" s="1837"/>
      <c r="FI130" s="1838"/>
      <c r="FJ130" s="1837"/>
      <c r="FK130" s="1838"/>
      <c r="FL130" s="1839"/>
      <c r="FM130" s="1840"/>
      <c r="FN130" s="1837"/>
      <c r="FO130" s="1838"/>
      <c r="FP130" s="1837"/>
      <c r="FQ130" s="1838"/>
      <c r="FR130" s="1839"/>
      <c r="FS130" s="1840"/>
      <c r="FT130" s="1837"/>
      <c r="FU130" s="1838"/>
      <c r="FV130" s="1837"/>
      <c r="FW130" s="1838"/>
      <c r="FX130" s="1839"/>
      <c r="FY130" s="1840"/>
      <c r="FZ130" s="1837"/>
      <c r="GA130" s="1838"/>
      <c r="GB130" s="1837"/>
      <c r="GC130" s="1838"/>
      <c r="GD130" s="1839"/>
      <c r="GE130" s="1840"/>
      <c r="GF130" s="1837"/>
      <c r="GG130" s="1838"/>
      <c r="GH130" s="1837"/>
      <c r="GI130" s="1838"/>
      <c r="GJ130" s="1839"/>
      <c r="GK130" s="1840"/>
      <c r="GL130" s="1837"/>
      <c r="GM130" s="1838"/>
      <c r="GN130" s="1837"/>
      <c r="GO130" s="1838"/>
      <c r="GP130" s="1839"/>
    </row>
    <row r="131" spans="1:198" ht="20.100000000000001" hidden="1" customHeight="1" outlineLevel="1">
      <c r="A131" s="2709"/>
      <c r="B131" s="2612"/>
      <c r="C131" s="1858"/>
      <c r="D131" s="2614" t="s">
        <v>9166</v>
      </c>
      <c r="E131" s="2615"/>
      <c r="F131" s="2615"/>
      <c r="G131" s="2615"/>
      <c r="H131" s="2615"/>
      <c r="I131" s="2615"/>
      <c r="J131" s="2615"/>
      <c r="K131" s="2615"/>
      <c r="L131" s="2615"/>
      <c r="M131" s="2615"/>
      <c r="N131" s="2615"/>
      <c r="O131" s="2615"/>
      <c r="P131" s="2615"/>
      <c r="Q131" s="2616"/>
      <c r="R131" s="1969"/>
      <c r="S131" s="1837"/>
      <c r="T131" s="1837"/>
      <c r="U131" s="1838"/>
      <c r="V131" s="1837"/>
      <c r="W131" s="1838"/>
      <c r="X131" s="1839"/>
      <c r="Y131" s="1837"/>
      <c r="Z131" s="1837"/>
      <c r="AA131" s="1838"/>
      <c r="AB131" s="1837"/>
      <c r="AC131" s="1838"/>
      <c r="AD131" s="1837"/>
      <c r="AE131" s="1840"/>
      <c r="AF131" s="1837"/>
      <c r="AG131" s="1838"/>
      <c r="AH131" s="1837"/>
      <c r="AI131" s="1838"/>
      <c r="AJ131" s="1839"/>
      <c r="AK131" s="1837"/>
      <c r="AL131" s="1837"/>
      <c r="AM131" s="1838"/>
      <c r="AN131" s="1837"/>
      <c r="AO131" s="1838"/>
      <c r="AP131" s="1837"/>
      <c r="AQ131" s="1841"/>
      <c r="AR131" s="1837"/>
      <c r="AS131" s="1838"/>
      <c r="AT131" s="1837"/>
      <c r="AU131" s="1838" t="s">
        <v>8352</v>
      </c>
      <c r="AV131" s="1839"/>
      <c r="AW131" s="1840"/>
      <c r="AX131" s="1837"/>
      <c r="AY131" s="1838"/>
      <c r="AZ131" s="1837"/>
      <c r="BA131" s="1838"/>
      <c r="BB131" s="1839"/>
      <c r="BC131" s="1837"/>
      <c r="BD131" s="1837"/>
      <c r="BE131" s="1838" t="s">
        <v>8250</v>
      </c>
      <c r="BF131" s="1837"/>
      <c r="BG131" s="1838"/>
      <c r="BH131" s="1837"/>
      <c r="BI131" s="1840"/>
      <c r="BJ131" s="1837"/>
      <c r="BK131" s="1838"/>
      <c r="BL131" s="1837" t="s">
        <v>9206</v>
      </c>
      <c r="BM131" s="1838"/>
      <c r="BN131" s="1839"/>
      <c r="BO131" s="1840"/>
      <c r="BP131" s="1837"/>
      <c r="BQ131" s="1838"/>
      <c r="BR131" s="1837"/>
      <c r="BS131" s="1838"/>
      <c r="BT131" s="1839"/>
      <c r="BU131" s="1840"/>
      <c r="BV131" s="1837"/>
      <c r="BW131" s="1838"/>
      <c r="BX131" s="1837"/>
      <c r="BY131" s="1838"/>
      <c r="BZ131" s="1839"/>
      <c r="CA131" s="1840"/>
      <c r="CB131" s="1837"/>
      <c r="CC131" s="1838"/>
      <c r="CD131" s="1837"/>
      <c r="CE131" s="1838"/>
      <c r="CF131" s="1839"/>
      <c r="CG131" s="1840"/>
      <c r="CH131" s="1837"/>
      <c r="CI131" s="1838"/>
      <c r="CJ131" s="1837"/>
      <c r="CK131" s="1838"/>
      <c r="CL131" s="1839"/>
      <c r="CM131" s="1840"/>
      <c r="CN131" s="1837"/>
      <c r="CO131" s="1838"/>
      <c r="CP131" s="1837"/>
      <c r="CQ131" s="1838"/>
      <c r="CR131" s="1839"/>
      <c r="CS131" s="1840"/>
      <c r="CT131" s="1837"/>
      <c r="CU131" s="1838"/>
      <c r="CV131" s="1837"/>
      <c r="CW131" s="1838"/>
      <c r="CX131" s="1839"/>
      <c r="CY131" s="1840"/>
      <c r="CZ131" s="1837"/>
      <c r="DA131" s="1838"/>
      <c r="DB131" s="1837"/>
      <c r="DC131" s="1838"/>
      <c r="DD131" s="1839"/>
      <c r="DE131" s="1840"/>
      <c r="DF131" s="1837"/>
      <c r="DG131" s="1838"/>
      <c r="DH131" s="1837"/>
      <c r="DI131" s="1838"/>
      <c r="DJ131" s="1839"/>
      <c r="DK131" s="1840"/>
      <c r="DL131" s="1837"/>
      <c r="DM131" s="1838"/>
      <c r="DN131" s="1837"/>
      <c r="DO131" s="1838"/>
      <c r="DP131" s="1837"/>
      <c r="DQ131" s="1853"/>
      <c r="DR131" s="1837"/>
      <c r="DS131" s="1838"/>
      <c r="DT131" s="1842"/>
      <c r="DU131" s="1837"/>
      <c r="DV131" s="1839"/>
      <c r="DW131" s="1840"/>
      <c r="DX131" s="1837"/>
      <c r="DY131" s="1838"/>
      <c r="DZ131" s="1837"/>
      <c r="EA131" s="1838"/>
      <c r="EB131" s="1839"/>
      <c r="EC131" s="1840"/>
      <c r="ED131" s="1837"/>
      <c r="EE131" s="1838"/>
      <c r="EF131" s="1837"/>
      <c r="EG131" s="1838"/>
      <c r="EH131" s="1839"/>
      <c r="EI131" s="1840"/>
      <c r="EJ131" s="1837"/>
      <c r="EK131" s="1838"/>
      <c r="EL131" s="1837"/>
      <c r="EM131" s="1838"/>
      <c r="EN131" s="1839"/>
      <c r="EO131" s="1840"/>
      <c r="EP131" s="1837"/>
      <c r="EQ131" s="1838"/>
      <c r="ER131" s="1837"/>
      <c r="ES131" s="1838"/>
      <c r="ET131" s="1839"/>
      <c r="EU131" s="1840"/>
      <c r="EV131" s="1837"/>
      <c r="EW131" s="1838"/>
      <c r="EX131" s="1837"/>
      <c r="EY131" s="1838"/>
      <c r="EZ131" s="1839"/>
      <c r="FA131" s="1840"/>
      <c r="FB131" s="1837"/>
      <c r="FC131" s="1838"/>
      <c r="FD131" s="1837"/>
      <c r="FE131" s="1838"/>
      <c r="FF131" s="1839"/>
      <c r="FG131" s="1840"/>
      <c r="FH131" s="1837"/>
      <c r="FI131" s="1838"/>
      <c r="FJ131" s="1837"/>
      <c r="FK131" s="1838"/>
      <c r="FL131" s="1839"/>
      <c r="FM131" s="1840"/>
      <c r="FN131" s="1837"/>
      <c r="FO131" s="1838"/>
      <c r="FP131" s="1837"/>
      <c r="FQ131" s="1838"/>
      <c r="FR131" s="1839"/>
      <c r="FS131" s="1840"/>
      <c r="FT131" s="1837"/>
      <c r="FU131" s="1838"/>
      <c r="FV131" s="1837"/>
      <c r="FW131" s="1838"/>
      <c r="FX131" s="1839"/>
      <c r="FY131" s="1840"/>
      <c r="FZ131" s="1837"/>
      <c r="GA131" s="1838"/>
      <c r="GB131" s="1837"/>
      <c r="GC131" s="1838"/>
      <c r="GD131" s="1839"/>
      <c r="GE131" s="1840"/>
      <c r="GF131" s="1837"/>
      <c r="GG131" s="1838"/>
      <c r="GH131" s="1837"/>
      <c r="GI131" s="1838"/>
      <c r="GJ131" s="1839"/>
      <c r="GK131" s="1840"/>
      <c r="GL131" s="1837"/>
      <c r="GM131" s="1838"/>
      <c r="GN131" s="1837"/>
      <c r="GO131" s="1838"/>
      <c r="GP131" s="1839"/>
    </row>
    <row r="132" spans="1:198" ht="20.100000000000001" hidden="1" customHeight="1" outlineLevel="1">
      <c r="A132" s="2709"/>
      <c r="B132" s="2612"/>
      <c r="C132" s="1858"/>
      <c r="D132" s="2614" t="str">
        <f>実績!C1203&amp;"("&amp;SUBSTITUTE(実績!R1203&amp;")"," 株式会社","")</f>
        <v>ドラッグコスモス西浜(Liebe建築設計)</v>
      </c>
      <c r="E132" s="2615"/>
      <c r="F132" s="2615"/>
      <c r="G132" s="2615"/>
      <c r="H132" s="2615"/>
      <c r="I132" s="2615"/>
      <c r="J132" s="2615"/>
      <c r="K132" s="2615"/>
      <c r="L132" s="2615"/>
      <c r="M132" s="2615"/>
      <c r="N132" s="2615"/>
      <c r="O132" s="2615"/>
      <c r="P132" s="2615"/>
      <c r="Q132" s="2616"/>
      <c r="R132" s="1969"/>
      <c r="S132" s="1837"/>
      <c r="T132" s="1837"/>
      <c r="U132" s="1838"/>
      <c r="V132" s="1837"/>
      <c r="W132" s="1838"/>
      <c r="X132" s="1839"/>
      <c r="Y132" s="1837"/>
      <c r="Z132" s="1837"/>
      <c r="AA132" s="1838"/>
      <c r="AB132" s="1837"/>
      <c r="AC132" s="1838"/>
      <c r="AD132" s="1837"/>
      <c r="AE132" s="1840"/>
      <c r="AF132" s="1837"/>
      <c r="AG132" s="1838"/>
      <c r="AH132" s="1837"/>
      <c r="AI132" s="1838"/>
      <c r="AJ132" s="1839"/>
      <c r="AK132" s="1837"/>
      <c r="AL132" s="1837"/>
      <c r="AM132" s="1838"/>
      <c r="AN132" s="1837"/>
      <c r="AO132" s="1838"/>
      <c r="AP132" s="1837"/>
      <c r="AQ132" s="1841"/>
      <c r="AR132" s="1837"/>
      <c r="AS132" s="1838"/>
      <c r="AT132" s="1837"/>
      <c r="AU132" s="1838"/>
      <c r="AV132" s="1839"/>
      <c r="AW132" s="1840"/>
      <c r="AX132" s="1837"/>
      <c r="AY132" s="1838"/>
      <c r="AZ132" s="1837"/>
      <c r="BA132" s="1838"/>
      <c r="BB132" s="1839"/>
      <c r="BC132" s="1837"/>
      <c r="BD132" s="1837"/>
      <c r="BE132" s="1838"/>
      <c r="BF132" s="1837" t="s">
        <v>9159</v>
      </c>
      <c r="BG132" s="1838"/>
      <c r="BH132" s="1837"/>
      <c r="BI132" s="1840"/>
      <c r="BJ132" s="1837"/>
      <c r="BK132" s="1838"/>
      <c r="BL132" s="1837" t="s">
        <v>8145</v>
      </c>
      <c r="BM132" s="1838"/>
      <c r="BN132" s="1839"/>
      <c r="BO132" s="1840"/>
      <c r="BP132" s="1837"/>
      <c r="BQ132" s="1838"/>
      <c r="BR132" s="1837"/>
      <c r="BS132" s="1838"/>
      <c r="BT132" s="1839"/>
      <c r="BU132" s="1840"/>
      <c r="BV132" s="1837"/>
      <c r="BW132" s="1838"/>
      <c r="BX132" s="1837"/>
      <c r="BY132" s="1838"/>
      <c r="BZ132" s="1839"/>
      <c r="CA132" s="1840"/>
      <c r="CB132" s="1837"/>
      <c r="CC132" s="1838"/>
      <c r="CD132" s="1837"/>
      <c r="CE132" s="1838"/>
      <c r="CF132" s="1839"/>
      <c r="CG132" s="1840"/>
      <c r="CH132" s="1837"/>
      <c r="CI132" s="1838"/>
      <c r="CJ132" s="1837"/>
      <c r="CK132" s="1838"/>
      <c r="CL132" s="1839"/>
      <c r="CM132" s="1840"/>
      <c r="CN132" s="1837"/>
      <c r="CO132" s="1838"/>
      <c r="CP132" s="1837"/>
      <c r="CQ132" s="1838"/>
      <c r="CR132" s="1839"/>
      <c r="CS132" s="1840"/>
      <c r="CT132" s="1837"/>
      <c r="CU132" s="1838"/>
      <c r="CV132" s="1837"/>
      <c r="CW132" s="1838"/>
      <c r="CX132" s="1839"/>
      <c r="CY132" s="1840"/>
      <c r="CZ132" s="1837"/>
      <c r="DA132" s="1838"/>
      <c r="DB132" s="1837"/>
      <c r="DC132" s="1838"/>
      <c r="DD132" s="1839"/>
      <c r="DE132" s="1840"/>
      <c r="DF132" s="1837"/>
      <c r="DG132" s="1838"/>
      <c r="DH132" s="1837"/>
      <c r="DI132" s="1838"/>
      <c r="DJ132" s="1839"/>
      <c r="DK132" s="1840"/>
      <c r="DL132" s="1837"/>
      <c r="DM132" s="1838"/>
      <c r="DN132" s="1837"/>
      <c r="DO132" s="1838"/>
      <c r="DP132" s="1837"/>
      <c r="DQ132" s="1853"/>
      <c r="DR132" s="1837"/>
      <c r="DS132" s="1838"/>
      <c r="DT132" s="1842"/>
      <c r="DU132" s="1837"/>
      <c r="DV132" s="1839"/>
      <c r="DW132" s="1840"/>
      <c r="DX132" s="1837"/>
      <c r="DY132" s="1838"/>
      <c r="DZ132" s="1837"/>
      <c r="EA132" s="1838"/>
      <c r="EB132" s="1839"/>
      <c r="EC132" s="1840"/>
      <c r="ED132" s="1837"/>
      <c r="EE132" s="1838"/>
      <c r="EF132" s="1837"/>
      <c r="EG132" s="1838"/>
      <c r="EH132" s="1839"/>
      <c r="EI132" s="1840"/>
      <c r="EJ132" s="1837"/>
      <c r="EK132" s="1838"/>
      <c r="EL132" s="1837"/>
      <c r="EM132" s="1838"/>
      <c r="EN132" s="1839"/>
      <c r="EO132" s="1840"/>
      <c r="EP132" s="1837"/>
      <c r="EQ132" s="1838"/>
      <c r="ER132" s="1837"/>
      <c r="ES132" s="1838"/>
      <c r="ET132" s="1839"/>
      <c r="EU132" s="1840"/>
      <c r="EV132" s="1837"/>
      <c r="EW132" s="1838"/>
      <c r="EX132" s="1837"/>
      <c r="EY132" s="1838"/>
      <c r="EZ132" s="1839"/>
      <c r="FA132" s="1840"/>
      <c r="FB132" s="1837"/>
      <c r="FC132" s="1838"/>
      <c r="FD132" s="1837"/>
      <c r="FE132" s="1838"/>
      <c r="FF132" s="1839"/>
      <c r="FG132" s="1840"/>
      <c r="FH132" s="1837"/>
      <c r="FI132" s="1838"/>
      <c r="FJ132" s="1837"/>
      <c r="FK132" s="1838"/>
      <c r="FL132" s="1839"/>
      <c r="FM132" s="1840"/>
      <c r="FN132" s="1837"/>
      <c r="FO132" s="1838"/>
      <c r="FP132" s="1837"/>
      <c r="FQ132" s="1838"/>
      <c r="FR132" s="1839"/>
      <c r="FS132" s="1840"/>
      <c r="FT132" s="1837"/>
      <c r="FU132" s="1838"/>
      <c r="FV132" s="1837"/>
      <c r="FW132" s="1838"/>
      <c r="FX132" s="1839"/>
      <c r="FY132" s="1840"/>
      <c r="FZ132" s="1837"/>
      <c r="GA132" s="1838"/>
      <c r="GB132" s="1837"/>
      <c r="GC132" s="1838"/>
      <c r="GD132" s="1839"/>
      <c r="GE132" s="1840"/>
      <c r="GF132" s="1837"/>
      <c r="GG132" s="1838"/>
      <c r="GH132" s="1837"/>
      <c r="GI132" s="1838"/>
      <c r="GJ132" s="1839"/>
      <c r="GK132" s="1840"/>
      <c r="GL132" s="1837"/>
      <c r="GM132" s="1838"/>
      <c r="GN132" s="1837"/>
      <c r="GO132" s="1838"/>
      <c r="GP132" s="1839"/>
    </row>
    <row r="133" spans="1:198" ht="20.100000000000001" hidden="1" customHeight="1" outlineLevel="1" collapsed="1">
      <c r="A133" s="2709"/>
      <c r="B133" s="2612"/>
      <c r="C133" s="1858"/>
      <c r="D133" s="2614" t="str">
        <f>実績!C1212&amp;"("&amp;SUBSTITUTE(実績!W1212&amp;")"," 株式会社","")</f>
        <v>関根様 自動車整備工場(エーピーエヌ設計)</v>
      </c>
      <c r="E133" s="2617"/>
      <c r="F133" s="2617"/>
      <c r="G133" s="2617"/>
      <c r="H133" s="2617"/>
      <c r="I133" s="2617"/>
      <c r="J133" s="2617"/>
      <c r="K133" s="2617"/>
      <c r="L133" s="2617"/>
      <c r="M133" s="2617"/>
      <c r="N133" s="2617"/>
      <c r="O133" s="2617"/>
      <c r="P133" s="2617"/>
      <c r="Q133" s="2618"/>
      <c r="R133" s="1970"/>
      <c r="S133" s="1837"/>
      <c r="T133" s="1837"/>
      <c r="U133" s="1837"/>
      <c r="V133" s="1837"/>
      <c r="W133" s="1837"/>
      <c r="X133" s="1837"/>
      <c r="Y133" s="1837"/>
      <c r="Z133" s="1837"/>
      <c r="AA133" s="1837"/>
      <c r="AB133" s="1837"/>
      <c r="AC133" s="1837"/>
      <c r="AD133" s="1837"/>
      <c r="AE133" s="1837"/>
      <c r="AF133" s="1837"/>
      <c r="AG133" s="1837"/>
      <c r="AH133" s="1837"/>
      <c r="AI133" s="1837"/>
      <c r="AJ133" s="1837"/>
      <c r="AK133" s="1837"/>
      <c r="AL133" s="1837"/>
      <c r="AM133" s="1837"/>
      <c r="AN133" s="1837"/>
      <c r="AO133" s="1837"/>
      <c r="AP133" s="1837"/>
      <c r="AQ133" s="1837"/>
      <c r="AR133" s="1837"/>
      <c r="AS133" s="1837"/>
      <c r="AT133" s="1837"/>
      <c r="AU133" s="1837"/>
      <c r="AV133" s="1837"/>
      <c r="AW133" s="1840"/>
      <c r="AX133" s="1837"/>
      <c r="AY133" s="1838"/>
      <c r="AZ133" s="1837"/>
      <c r="BA133" s="1838"/>
      <c r="BB133" s="1839"/>
      <c r="BC133" s="1837"/>
      <c r="BD133" s="1837"/>
      <c r="BE133" s="1838"/>
      <c r="BF133" s="1837" t="s">
        <v>9242</v>
      </c>
      <c r="BG133" s="1838"/>
      <c r="BH133" s="1837"/>
      <c r="BI133" s="1840"/>
      <c r="BJ133" s="1837"/>
      <c r="BK133" s="1838"/>
      <c r="BL133" s="1837"/>
      <c r="BM133" s="1838"/>
      <c r="BN133" s="1839"/>
      <c r="BO133" s="1840" t="s">
        <v>9292</v>
      </c>
      <c r="BP133" s="1837"/>
      <c r="BQ133" s="1838"/>
      <c r="BR133" s="1837"/>
      <c r="BS133" s="1838"/>
      <c r="BT133" s="1839"/>
      <c r="BU133" s="1840"/>
      <c r="BV133" s="1837"/>
      <c r="BW133" s="1838"/>
      <c r="BX133" s="1837"/>
      <c r="BY133" s="1838"/>
      <c r="BZ133" s="1839"/>
      <c r="CA133" s="1840"/>
      <c r="CB133" s="1837"/>
      <c r="CC133" s="1838"/>
      <c r="CD133" s="1837"/>
      <c r="CE133" s="1838"/>
      <c r="CF133" s="1839"/>
      <c r="CG133" s="1840"/>
      <c r="CH133" s="1837"/>
      <c r="CI133" s="1838"/>
      <c r="CJ133" s="1837"/>
      <c r="CK133" s="1838"/>
      <c r="CL133" s="1839"/>
      <c r="CM133" s="1840"/>
      <c r="CN133" s="1837"/>
      <c r="CO133" s="1838"/>
      <c r="CP133" s="1837"/>
      <c r="CQ133" s="1838"/>
      <c r="CR133" s="1839"/>
      <c r="CS133" s="1840"/>
      <c r="CT133" s="1837"/>
      <c r="CU133" s="1838"/>
      <c r="CV133" s="1837"/>
      <c r="CW133" s="1838"/>
      <c r="CX133" s="1839"/>
      <c r="CY133" s="1840"/>
      <c r="CZ133" s="1837"/>
      <c r="DA133" s="1838"/>
      <c r="DB133" s="1837"/>
      <c r="DC133" s="1838"/>
      <c r="DD133" s="1839"/>
      <c r="DE133" s="1840"/>
      <c r="DF133" s="1837"/>
      <c r="DG133" s="1838"/>
      <c r="DH133" s="1837"/>
      <c r="DI133" s="1838"/>
      <c r="DJ133" s="1839"/>
      <c r="DK133" s="1840"/>
      <c r="DL133" s="1837"/>
      <c r="DM133" s="1838"/>
      <c r="DN133" s="1837"/>
      <c r="DO133" s="1838"/>
      <c r="DP133" s="1837"/>
      <c r="DQ133" s="1853"/>
      <c r="DR133" s="1837"/>
      <c r="DS133" s="1838"/>
      <c r="DT133" s="1842"/>
      <c r="DU133" s="1837"/>
      <c r="DV133" s="1839"/>
      <c r="DW133" s="1840"/>
      <c r="DX133" s="1837"/>
      <c r="DY133" s="1838"/>
      <c r="DZ133" s="1837"/>
      <c r="EA133" s="1838"/>
      <c r="EB133" s="1839"/>
      <c r="EC133" s="1840"/>
      <c r="ED133" s="1837"/>
      <c r="EE133" s="1838"/>
      <c r="EF133" s="1837"/>
      <c r="EG133" s="1838"/>
      <c r="EH133" s="1839"/>
      <c r="EI133" s="1840"/>
      <c r="EJ133" s="1837"/>
      <c r="EK133" s="1838"/>
      <c r="EL133" s="1837"/>
      <c r="EM133" s="1838"/>
      <c r="EN133" s="1839"/>
      <c r="EO133" s="1840"/>
      <c r="EP133" s="1837"/>
      <c r="EQ133" s="1838"/>
      <c r="ER133" s="1837"/>
      <c r="ES133" s="1838"/>
      <c r="ET133" s="1839"/>
      <c r="EU133" s="1840"/>
      <c r="EV133" s="1837"/>
      <c r="EW133" s="1838"/>
      <c r="EX133" s="1837"/>
      <c r="EY133" s="1838"/>
      <c r="EZ133" s="1839"/>
      <c r="FA133" s="1840"/>
      <c r="FB133" s="1837"/>
      <c r="FC133" s="1838"/>
      <c r="FD133" s="1837"/>
      <c r="FE133" s="1838"/>
      <c r="FF133" s="1839"/>
      <c r="FG133" s="1840"/>
      <c r="FH133" s="1837"/>
      <c r="FI133" s="1838"/>
      <c r="FJ133" s="1837"/>
      <c r="FK133" s="1838"/>
      <c r="FL133" s="1839"/>
      <c r="FM133" s="1840"/>
      <c r="FN133" s="1837"/>
      <c r="FO133" s="1838"/>
      <c r="FP133" s="1837"/>
      <c r="FQ133" s="1838"/>
      <c r="FR133" s="1839"/>
      <c r="FS133" s="1840"/>
      <c r="FT133" s="1837"/>
      <c r="FU133" s="1838"/>
      <c r="FV133" s="1837"/>
      <c r="FW133" s="1838"/>
      <c r="FX133" s="1839"/>
      <c r="FY133" s="1840"/>
      <c r="FZ133" s="1837"/>
      <c r="GA133" s="1838"/>
      <c r="GB133" s="1837"/>
      <c r="GC133" s="1838"/>
      <c r="GD133" s="1839"/>
      <c r="GE133" s="1840"/>
      <c r="GF133" s="1837"/>
      <c r="GG133" s="1838"/>
      <c r="GH133" s="1837"/>
      <c r="GI133" s="1838"/>
      <c r="GJ133" s="1839"/>
      <c r="GK133" s="1840"/>
      <c r="GL133" s="1837"/>
      <c r="GM133" s="1838"/>
      <c r="GN133" s="1837"/>
      <c r="GO133" s="1838"/>
      <c r="GP133" s="1839"/>
    </row>
    <row r="134" spans="1:198" ht="20.100000000000001" hidden="1" customHeight="1" outlineLevel="1">
      <c r="A134" s="2709"/>
      <c r="B134" s="2612"/>
      <c r="C134" s="1858"/>
      <c r="D134" s="2614" t="str">
        <f>実績!C1208&amp;"("&amp;SUBSTITUTE(実績!AB1208&amp;")","株式会社 ","")</f>
        <v>株式会社 右門 第二工場(タカヤ)</v>
      </c>
      <c r="E134" s="2615"/>
      <c r="F134" s="2615"/>
      <c r="G134" s="2615"/>
      <c r="H134" s="2615"/>
      <c r="I134" s="2615"/>
      <c r="J134" s="2615"/>
      <c r="K134" s="2615"/>
      <c r="L134" s="2615"/>
      <c r="M134" s="2615"/>
      <c r="N134" s="2615"/>
      <c r="O134" s="2615"/>
      <c r="P134" s="2615"/>
      <c r="Q134" s="2616"/>
      <c r="R134" s="1969"/>
      <c r="S134" s="1837"/>
      <c r="T134" s="1837"/>
      <c r="U134" s="1838"/>
      <c r="V134" s="1837"/>
      <c r="W134" s="1838"/>
      <c r="X134" s="1839"/>
      <c r="Y134" s="1837"/>
      <c r="Z134" s="1837"/>
      <c r="AA134" s="1838"/>
      <c r="AB134" s="1837"/>
      <c r="AC134" s="1838"/>
      <c r="AD134" s="1837"/>
      <c r="AE134" s="1840"/>
      <c r="AF134" s="1837"/>
      <c r="AG134" s="1838"/>
      <c r="AH134" s="1837"/>
      <c r="AI134" s="1838"/>
      <c r="AJ134" s="1839"/>
      <c r="AK134" s="1837"/>
      <c r="AL134" s="1837"/>
      <c r="AM134" s="1838"/>
      <c r="AN134" s="1837"/>
      <c r="AO134" s="1838"/>
      <c r="AP134" s="1837"/>
      <c r="AQ134" s="1841"/>
      <c r="AR134" s="1837"/>
      <c r="AS134" s="1838"/>
      <c r="AT134" s="1837"/>
      <c r="AU134" s="1838" t="s">
        <v>8352</v>
      </c>
      <c r="AV134" s="1839"/>
      <c r="AW134" s="1840"/>
      <c r="AX134" s="1837"/>
      <c r="AY134" s="1838"/>
      <c r="AZ134" s="1837"/>
      <c r="BA134" s="1838"/>
      <c r="BB134" s="1839"/>
      <c r="BC134" s="1837"/>
      <c r="BD134" s="1837"/>
      <c r="BE134" s="1838"/>
      <c r="BF134" s="1837" t="s">
        <v>9156</v>
      </c>
      <c r="BG134" s="1838"/>
      <c r="BH134" s="1837"/>
      <c r="BI134" s="1840"/>
      <c r="BJ134" s="1837"/>
      <c r="BK134" s="1838"/>
      <c r="BL134" s="1837"/>
      <c r="BM134" s="1838"/>
      <c r="BN134" s="1839"/>
      <c r="BO134" s="1840" t="s">
        <v>9065</v>
      </c>
      <c r="BP134" s="1837"/>
      <c r="BQ134" s="1838"/>
      <c r="BR134" s="1837"/>
      <c r="BS134" s="1838"/>
      <c r="BT134" s="1839"/>
      <c r="BU134" s="1840"/>
      <c r="BV134" s="1837"/>
      <c r="BW134" s="1838"/>
      <c r="BX134" s="1837"/>
      <c r="BY134" s="1838"/>
      <c r="BZ134" s="1839"/>
      <c r="CA134" s="1840"/>
      <c r="CB134" s="1837"/>
      <c r="CC134" s="1838"/>
      <c r="CD134" s="1837"/>
      <c r="CE134" s="1838"/>
      <c r="CF134" s="1839"/>
      <c r="CG134" s="1840"/>
      <c r="CH134" s="1837"/>
      <c r="CI134" s="1838"/>
      <c r="CJ134" s="1837"/>
      <c r="CK134" s="1838"/>
      <c r="CL134" s="1839"/>
      <c r="CM134" s="1840"/>
      <c r="CN134" s="1837"/>
      <c r="CO134" s="1838"/>
      <c r="CP134" s="1837"/>
      <c r="CQ134" s="1838"/>
      <c r="CR134" s="1839"/>
      <c r="CS134" s="1840"/>
      <c r="CT134" s="1837"/>
      <c r="CU134" s="1838"/>
      <c r="CV134" s="1837"/>
      <c r="CW134" s="1838"/>
      <c r="CX134" s="1839"/>
      <c r="CY134" s="1840"/>
      <c r="CZ134" s="1837"/>
      <c r="DA134" s="1838"/>
      <c r="DB134" s="1837"/>
      <c r="DC134" s="1838"/>
      <c r="DD134" s="1839"/>
      <c r="DE134" s="1840"/>
      <c r="DF134" s="1837"/>
      <c r="DG134" s="1838"/>
      <c r="DH134" s="1837"/>
      <c r="DI134" s="1838"/>
      <c r="DJ134" s="1839"/>
      <c r="DK134" s="1840"/>
      <c r="DL134" s="1837"/>
      <c r="DM134" s="1838"/>
      <c r="DN134" s="1837"/>
      <c r="DO134" s="1838"/>
      <c r="DP134" s="1837"/>
      <c r="DQ134" s="1853"/>
      <c r="DR134" s="1837"/>
      <c r="DS134" s="1838"/>
      <c r="DT134" s="1842"/>
      <c r="DU134" s="1837"/>
      <c r="DV134" s="1839"/>
      <c r="DW134" s="1840"/>
      <c r="DX134" s="1837"/>
      <c r="DY134" s="1838"/>
      <c r="DZ134" s="1837"/>
      <c r="EA134" s="1838"/>
      <c r="EB134" s="1839"/>
      <c r="EC134" s="1840"/>
      <c r="ED134" s="1837"/>
      <c r="EE134" s="1838"/>
      <c r="EF134" s="1837"/>
      <c r="EG134" s="1838"/>
      <c r="EH134" s="1839"/>
      <c r="EI134" s="1840"/>
      <c r="EJ134" s="1837"/>
      <c r="EK134" s="1838"/>
      <c r="EL134" s="1837"/>
      <c r="EM134" s="1838"/>
      <c r="EN134" s="1839"/>
      <c r="EO134" s="1840"/>
      <c r="EP134" s="1837"/>
      <c r="EQ134" s="1838"/>
      <c r="ER134" s="1837"/>
      <c r="ES134" s="1838"/>
      <c r="ET134" s="1839"/>
      <c r="EU134" s="1840"/>
      <c r="EV134" s="1837"/>
      <c r="EW134" s="1838"/>
      <c r="EX134" s="1837"/>
      <c r="EY134" s="1838"/>
      <c r="EZ134" s="1839"/>
      <c r="FA134" s="1840"/>
      <c r="FB134" s="1837"/>
      <c r="FC134" s="1838"/>
      <c r="FD134" s="1837"/>
      <c r="FE134" s="1838"/>
      <c r="FF134" s="1839"/>
      <c r="FG134" s="1840"/>
      <c r="FH134" s="1837"/>
      <c r="FI134" s="1838"/>
      <c r="FJ134" s="1837"/>
      <c r="FK134" s="1838"/>
      <c r="FL134" s="1839"/>
      <c r="FM134" s="1840"/>
      <c r="FN134" s="1837"/>
      <c r="FO134" s="1838"/>
      <c r="FP134" s="1837"/>
      <c r="FQ134" s="1838"/>
      <c r="FR134" s="1839"/>
      <c r="FS134" s="1840"/>
      <c r="FT134" s="1837"/>
      <c r="FU134" s="1838"/>
      <c r="FV134" s="1837"/>
      <c r="FW134" s="1838"/>
      <c r="FX134" s="1839"/>
      <c r="FY134" s="1840"/>
      <c r="FZ134" s="1837"/>
      <c r="GA134" s="1838"/>
      <c r="GB134" s="1837"/>
      <c r="GC134" s="1838"/>
      <c r="GD134" s="1839"/>
      <c r="GE134" s="1840"/>
      <c r="GF134" s="1837"/>
      <c r="GG134" s="1838"/>
      <c r="GH134" s="1837"/>
      <c r="GI134" s="1838"/>
      <c r="GJ134" s="1839"/>
      <c r="GK134" s="1840"/>
      <c r="GL134" s="1837"/>
      <c r="GM134" s="1838"/>
      <c r="GN134" s="1837"/>
      <c r="GO134" s="1838"/>
      <c r="GP134" s="1839"/>
    </row>
    <row r="135" spans="1:198" ht="20.100000000000001" hidden="1" customHeight="1" outlineLevel="1">
      <c r="A135" s="2709"/>
      <c r="B135" s="2612"/>
      <c r="C135" s="1858"/>
      <c r="D135" s="2614" t="str">
        <f>実績!C1213&amp;"("&amp;SUBSTITUTE(実績!W1213&amp;")","株式会社 ","")</f>
        <v>フェイス田川(田中構造設計事務所)</v>
      </c>
      <c r="E135" s="2617"/>
      <c r="F135" s="2617"/>
      <c r="G135" s="2617"/>
      <c r="H135" s="2617"/>
      <c r="I135" s="2617"/>
      <c r="J135" s="2617"/>
      <c r="K135" s="2617"/>
      <c r="L135" s="2617"/>
      <c r="M135" s="2617"/>
      <c r="N135" s="2617"/>
      <c r="O135" s="2617"/>
      <c r="P135" s="2617"/>
      <c r="Q135" s="2618"/>
      <c r="R135" s="1970"/>
      <c r="S135" s="1837"/>
      <c r="T135" s="1837"/>
      <c r="U135" s="1838"/>
      <c r="V135" s="1837"/>
      <c r="W135" s="1838"/>
      <c r="X135" s="1839"/>
      <c r="Y135" s="1837"/>
      <c r="Z135" s="1837"/>
      <c r="AA135" s="1838"/>
      <c r="AB135" s="1837"/>
      <c r="AC135" s="1838"/>
      <c r="AD135" s="1837"/>
      <c r="AE135" s="1840"/>
      <c r="AF135" s="1837"/>
      <c r="AG135" s="1838"/>
      <c r="AH135" s="1837"/>
      <c r="AI135" s="1838"/>
      <c r="AJ135" s="1839"/>
      <c r="AK135" s="1837"/>
      <c r="AL135" s="1837"/>
      <c r="AM135" s="1838"/>
      <c r="AN135" s="1837"/>
      <c r="AO135" s="1838"/>
      <c r="AP135" s="1837"/>
      <c r="AQ135" s="1841"/>
      <c r="AR135" s="1837"/>
      <c r="AS135" s="1838"/>
      <c r="AT135" s="1837"/>
      <c r="AU135" s="1838"/>
      <c r="AV135" s="1839"/>
      <c r="AW135" s="1840"/>
      <c r="AX135" s="1837"/>
      <c r="AY135" s="1838"/>
      <c r="AZ135" s="1837"/>
      <c r="BA135" s="1838"/>
      <c r="BB135" s="1839"/>
      <c r="BC135" s="1837"/>
      <c r="BD135" s="1837"/>
      <c r="BE135" s="1838"/>
      <c r="BF135" s="1837" t="s">
        <v>9212</v>
      </c>
      <c r="BG135" s="1838"/>
      <c r="BH135" s="1837"/>
      <c r="BI135" s="1840"/>
      <c r="BJ135" s="1837"/>
      <c r="BK135" s="1838"/>
      <c r="BL135" s="1837"/>
      <c r="BM135" s="1838" t="s">
        <v>8992</v>
      </c>
      <c r="BN135" s="1839"/>
      <c r="BO135" s="1840"/>
      <c r="BP135" s="1837"/>
      <c r="BQ135" s="1838"/>
      <c r="BR135" s="1837"/>
      <c r="BS135" s="1838"/>
      <c r="BT135" s="1839"/>
      <c r="BU135" s="1840"/>
      <c r="BV135" s="1837"/>
      <c r="BW135" s="1838"/>
      <c r="BX135" s="1837"/>
      <c r="BY135" s="1838"/>
      <c r="BZ135" s="1839"/>
      <c r="CA135" s="1840"/>
      <c r="CB135" s="1837"/>
      <c r="CC135" s="1838"/>
      <c r="CD135" s="1837"/>
      <c r="CE135" s="1838"/>
      <c r="CF135" s="1839"/>
      <c r="CG135" s="1840"/>
      <c r="CH135" s="1837"/>
      <c r="CI135" s="1838"/>
      <c r="CJ135" s="1837"/>
      <c r="CK135" s="1838"/>
      <c r="CL135" s="1839"/>
      <c r="CM135" s="1840"/>
      <c r="CN135" s="1837"/>
      <c r="CO135" s="1838"/>
      <c r="CP135" s="1837"/>
      <c r="CQ135" s="1838"/>
      <c r="CR135" s="1839"/>
      <c r="CS135" s="1840"/>
      <c r="CT135" s="1837"/>
      <c r="CU135" s="1838"/>
      <c r="CV135" s="1837"/>
      <c r="CW135" s="1838"/>
      <c r="CX135" s="1839"/>
      <c r="CY135" s="1840"/>
      <c r="CZ135" s="1837"/>
      <c r="DA135" s="1838"/>
      <c r="DB135" s="1837"/>
      <c r="DC135" s="1838"/>
      <c r="DD135" s="1839"/>
      <c r="DE135" s="1840"/>
      <c r="DF135" s="1837"/>
      <c r="DG135" s="1838"/>
      <c r="DH135" s="1837"/>
      <c r="DI135" s="1838"/>
      <c r="DJ135" s="1839"/>
      <c r="DK135" s="1840"/>
      <c r="DL135" s="1837"/>
      <c r="DM135" s="1838"/>
      <c r="DN135" s="1837"/>
      <c r="DO135" s="1838"/>
      <c r="DP135" s="1837"/>
      <c r="DQ135" s="1853"/>
      <c r="DR135" s="1837"/>
      <c r="DS135" s="1838"/>
      <c r="DT135" s="1842"/>
      <c r="DU135" s="1837"/>
      <c r="DV135" s="1839"/>
      <c r="DW135" s="1840"/>
      <c r="DX135" s="1837"/>
      <c r="DY135" s="1838"/>
      <c r="DZ135" s="1837"/>
      <c r="EA135" s="1838"/>
      <c r="EB135" s="1839"/>
      <c r="EC135" s="1840"/>
      <c r="ED135" s="1837"/>
      <c r="EE135" s="1838"/>
      <c r="EF135" s="1837"/>
      <c r="EG135" s="1838"/>
      <c r="EH135" s="1839"/>
      <c r="EI135" s="1840"/>
      <c r="EJ135" s="1837"/>
      <c r="EK135" s="1838"/>
      <c r="EL135" s="1837"/>
      <c r="EM135" s="1838"/>
      <c r="EN135" s="1839"/>
      <c r="EO135" s="1840"/>
      <c r="EP135" s="1837"/>
      <c r="EQ135" s="1838"/>
      <c r="ER135" s="1837"/>
      <c r="ES135" s="1838"/>
      <c r="ET135" s="1839"/>
      <c r="EU135" s="1840"/>
      <c r="EV135" s="1837"/>
      <c r="EW135" s="1838"/>
      <c r="EX135" s="1837"/>
      <c r="EY135" s="1838"/>
      <c r="EZ135" s="1839"/>
      <c r="FA135" s="1840"/>
      <c r="FB135" s="1837"/>
      <c r="FC135" s="1838"/>
      <c r="FD135" s="1837"/>
      <c r="FE135" s="1838"/>
      <c r="FF135" s="1839"/>
      <c r="FG135" s="1840"/>
      <c r="FH135" s="1837"/>
      <c r="FI135" s="1838"/>
      <c r="FJ135" s="1837"/>
      <c r="FK135" s="1838"/>
      <c r="FL135" s="1839"/>
      <c r="FM135" s="1840"/>
      <c r="FN135" s="1837"/>
      <c r="FO135" s="1838"/>
      <c r="FP135" s="1837"/>
      <c r="FQ135" s="1838"/>
      <c r="FR135" s="1839"/>
      <c r="FS135" s="1840"/>
      <c r="FT135" s="1837"/>
      <c r="FU135" s="1838"/>
      <c r="FV135" s="1837"/>
      <c r="FW135" s="1838"/>
      <c r="FX135" s="1839"/>
      <c r="FY135" s="1840"/>
      <c r="FZ135" s="1837"/>
      <c r="GA135" s="1838"/>
      <c r="GB135" s="1837"/>
      <c r="GC135" s="1838"/>
      <c r="GD135" s="1839"/>
      <c r="GE135" s="1840"/>
      <c r="GF135" s="1837"/>
      <c r="GG135" s="1838"/>
      <c r="GH135" s="1837"/>
      <c r="GI135" s="1838"/>
      <c r="GJ135" s="1839"/>
      <c r="GK135" s="1840"/>
      <c r="GL135" s="1837"/>
      <c r="GM135" s="1838"/>
      <c r="GN135" s="1837"/>
      <c r="GO135" s="1838"/>
      <c r="GP135" s="1839"/>
    </row>
    <row r="136" spans="1:198" ht="20.100000000000001" hidden="1" customHeight="1" outlineLevel="1">
      <c r="A136" s="2709"/>
      <c r="B136" s="2612"/>
      <c r="C136" s="1858"/>
      <c r="D136" s="2614" t="s">
        <v>9243</v>
      </c>
      <c r="E136" s="2617"/>
      <c r="F136" s="2617"/>
      <c r="G136" s="2617"/>
      <c r="H136" s="2617"/>
      <c r="I136" s="2617"/>
      <c r="J136" s="2617"/>
      <c r="K136" s="2617"/>
      <c r="L136" s="2617"/>
      <c r="M136" s="2617"/>
      <c r="N136" s="2617"/>
      <c r="O136" s="2617"/>
      <c r="P136" s="2617"/>
      <c r="Q136" s="2618"/>
      <c r="R136" s="1970"/>
      <c r="S136" s="1837"/>
      <c r="T136" s="1837"/>
      <c r="U136" s="1838"/>
      <c r="V136" s="1837"/>
      <c r="W136" s="1838"/>
      <c r="X136" s="1839"/>
      <c r="Y136" s="1837"/>
      <c r="Z136" s="1837"/>
      <c r="AA136" s="1838"/>
      <c r="AB136" s="1837"/>
      <c r="AC136" s="1838"/>
      <c r="AD136" s="1837"/>
      <c r="AE136" s="1837"/>
      <c r="AF136" s="1837"/>
      <c r="AG136" s="1838"/>
      <c r="AH136" s="1837"/>
      <c r="AI136" s="1838"/>
      <c r="AJ136" s="1839"/>
      <c r="AK136" s="1837"/>
      <c r="AL136" s="1837"/>
      <c r="AM136" s="1838"/>
      <c r="AN136" s="1837"/>
      <c r="AO136" s="1838"/>
      <c r="AP136" s="1837"/>
      <c r="AQ136" s="1841"/>
      <c r="AR136" s="1837"/>
      <c r="AS136" s="1838"/>
      <c r="AT136" s="1837"/>
      <c r="AU136" s="1838"/>
      <c r="AV136" s="1839"/>
      <c r="AW136" s="1840"/>
      <c r="AX136" s="1837"/>
      <c r="AY136" s="1838"/>
      <c r="AZ136" s="1837"/>
      <c r="BA136" s="1838"/>
      <c r="BB136" s="1839"/>
      <c r="BC136" s="1837"/>
      <c r="BD136" s="1837"/>
      <c r="BE136" s="1838"/>
      <c r="BF136" s="1837"/>
      <c r="BG136" s="1838" t="s">
        <v>9242</v>
      </c>
      <c r="BH136" s="1839"/>
      <c r="BI136" s="1840"/>
      <c r="BJ136" s="1837"/>
      <c r="BK136" s="1838"/>
      <c r="BL136" s="1837"/>
      <c r="BM136" s="1838"/>
      <c r="BN136" s="1839"/>
      <c r="BO136" s="1840" t="s">
        <v>8145</v>
      </c>
      <c r="BP136" s="1837"/>
      <c r="BQ136" s="1838"/>
      <c r="BR136" s="1837"/>
      <c r="BS136" s="1838"/>
      <c r="BT136" s="1839"/>
      <c r="BU136" s="1840"/>
      <c r="BV136" s="1837"/>
      <c r="BW136" s="1838"/>
      <c r="BX136" s="1837"/>
      <c r="BY136" s="1838"/>
      <c r="BZ136" s="1839"/>
      <c r="CA136" s="1840"/>
      <c r="CB136" s="1837"/>
      <c r="CC136" s="1838"/>
      <c r="CD136" s="1837"/>
      <c r="CE136" s="1838"/>
      <c r="CF136" s="1839"/>
      <c r="CG136" s="1840"/>
      <c r="CH136" s="1837"/>
      <c r="CI136" s="1838"/>
      <c r="CJ136" s="1837"/>
      <c r="CK136" s="1838"/>
      <c r="CL136" s="1839"/>
      <c r="CM136" s="1840"/>
      <c r="CN136" s="1837"/>
      <c r="CO136" s="1838"/>
      <c r="CP136" s="1837"/>
      <c r="CQ136" s="1838"/>
      <c r="CR136" s="1839"/>
      <c r="CS136" s="1840"/>
      <c r="CT136" s="1837"/>
      <c r="CU136" s="1838"/>
      <c r="CV136" s="1837"/>
      <c r="CW136" s="1838"/>
      <c r="CX136" s="1839"/>
      <c r="CY136" s="1840"/>
      <c r="CZ136" s="1837"/>
      <c r="DA136" s="1838"/>
      <c r="DB136" s="1837"/>
      <c r="DC136" s="1838"/>
      <c r="DD136" s="1839"/>
      <c r="DE136" s="1840"/>
      <c r="DF136" s="1837"/>
      <c r="DG136" s="1838"/>
      <c r="DH136" s="1837"/>
      <c r="DI136" s="1838"/>
      <c r="DJ136" s="1839"/>
      <c r="DK136" s="1840"/>
      <c r="DL136" s="1837"/>
      <c r="DM136" s="1838"/>
      <c r="DN136" s="1837"/>
      <c r="DO136" s="1838"/>
      <c r="DP136" s="1837"/>
      <c r="DQ136" s="1853"/>
      <c r="DR136" s="1837"/>
      <c r="DS136" s="1838"/>
      <c r="DT136" s="1842"/>
      <c r="DU136" s="1837"/>
      <c r="DV136" s="1839"/>
      <c r="DW136" s="1840"/>
      <c r="DX136" s="1837"/>
      <c r="DY136" s="1838"/>
      <c r="DZ136" s="1837"/>
      <c r="EA136" s="1838"/>
      <c r="EB136" s="1839"/>
      <c r="EC136" s="1840"/>
      <c r="ED136" s="1837"/>
      <c r="EE136" s="1838"/>
      <c r="EF136" s="1837"/>
      <c r="EG136" s="1838"/>
      <c r="EH136" s="1839"/>
      <c r="EI136" s="1840"/>
      <c r="EJ136" s="1837"/>
      <c r="EK136" s="1838"/>
      <c r="EL136" s="1837"/>
      <c r="EM136" s="1838"/>
      <c r="EN136" s="1839"/>
      <c r="EO136" s="1840"/>
      <c r="EP136" s="1837"/>
      <c r="EQ136" s="1838"/>
      <c r="ER136" s="1837"/>
      <c r="ES136" s="1838"/>
      <c r="ET136" s="1839"/>
      <c r="EU136" s="1840"/>
      <c r="EV136" s="1837"/>
      <c r="EW136" s="1838"/>
      <c r="EX136" s="1837"/>
      <c r="EY136" s="1838"/>
      <c r="EZ136" s="1839"/>
      <c r="FA136" s="1840"/>
      <c r="FB136" s="1837"/>
      <c r="FC136" s="1838"/>
      <c r="FD136" s="1837"/>
      <c r="FE136" s="1838"/>
      <c r="FF136" s="1839"/>
      <c r="FG136" s="1840"/>
      <c r="FH136" s="1837"/>
      <c r="FI136" s="1838"/>
      <c r="FJ136" s="1837"/>
      <c r="FK136" s="1838"/>
      <c r="FL136" s="1839"/>
      <c r="FM136" s="1840"/>
      <c r="FN136" s="1837"/>
      <c r="FO136" s="1838"/>
      <c r="FP136" s="1837"/>
      <c r="FQ136" s="1838"/>
      <c r="FR136" s="1839"/>
      <c r="FS136" s="1840"/>
      <c r="FT136" s="1837"/>
      <c r="FU136" s="1838"/>
      <c r="FV136" s="1837"/>
      <c r="FW136" s="1838"/>
      <c r="FX136" s="1839"/>
      <c r="FY136" s="1840"/>
      <c r="FZ136" s="1837"/>
      <c r="GA136" s="1838"/>
      <c r="GB136" s="1837"/>
      <c r="GC136" s="1838"/>
      <c r="GD136" s="1839"/>
      <c r="GE136" s="1840"/>
      <c r="GF136" s="1837"/>
      <c r="GG136" s="1838"/>
      <c r="GH136" s="1837"/>
      <c r="GI136" s="1838"/>
      <c r="GJ136" s="1839"/>
      <c r="GK136" s="1840"/>
      <c r="GL136" s="1837"/>
      <c r="GM136" s="1838"/>
      <c r="GN136" s="1837"/>
      <c r="GO136" s="1838"/>
      <c r="GP136" s="1839"/>
    </row>
    <row r="137" spans="1:198" ht="20.100000000000001" hidden="1" customHeight="1" outlineLevel="1">
      <c r="A137" s="2709"/>
      <c r="B137" s="2612"/>
      <c r="C137" s="1858"/>
      <c r="D137" s="2614" t="str">
        <f>実績!C1216&amp;"("&amp;SUBSTITUTE(実績!W1216&amp;")","株式会社 ","")</f>
        <v>アルバック東北㈱加工部事務所(構創建築事務所)</v>
      </c>
      <c r="E137" s="2617"/>
      <c r="F137" s="2617"/>
      <c r="G137" s="2617"/>
      <c r="H137" s="2617"/>
      <c r="I137" s="2617"/>
      <c r="J137" s="2617"/>
      <c r="K137" s="2617"/>
      <c r="L137" s="2617"/>
      <c r="M137" s="2617"/>
      <c r="N137" s="2617"/>
      <c r="O137" s="2617"/>
      <c r="P137" s="2617"/>
      <c r="Q137" s="2618"/>
      <c r="R137" s="1970"/>
      <c r="S137" s="1837"/>
      <c r="T137" s="1837"/>
      <c r="U137" s="1837"/>
      <c r="V137" s="1837"/>
      <c r="W137" s="1837"/>
      <c r="X137" s="1837"/>
      <c r="Y137" s="1837"/>
      <c r="Z137" s="1837"/>
      <c r="AA137" s="1837"/>
      <c r="AB137" s="1837"/>
      <c r="AC137" s="1837"/>
      <c r="AD137" s="1837"/>
      <c r="AE137" s="1837"/>
      <c r="AF137" s="1837"/>
      <c r="AG137" s="1837"/>
      <c r="AH137" s="1837"/>
      <c r="AI137" s="1837"/>
      <c r="AJ137" s="1837"/>
      <c r="AK137" s="1837"/>
      <c r="AL137" s="1837"/>
      <c r="AM137" s="1837"/>
      <c r="AN137" s="1837"/>
      <c r="AO137" s="1837"/>
      <c r="AP137" s="1837"/>
      <c r="AQ137" s="1837"/>
      <c r="AR137" s="1837"/>
      <c r="AS137" s="1837"/>
      <c r="AT137" s="1837"/>
      <c r="AU137" s="1837"/>
      <c r="AV137" s="1837"/>
      <c r="AW137" s="1840"/>
      <c r="AX137" s="1837"/>
      <c r="AY137" s="1838"/>
      <c r="AZ137" s="1837"/>
      <c r="BA137" s="1838"/>
      <c r="BB137" s="1839"/>
      <c r="BC137" s="1837"/>
      <c r="BD137" s="1837"/>
      <c r="BE137" s="1838"/>
      <c r="BF137" s="1837"/>
      <c r="BG137" s="1838" t="s">
        <v>9291</v>
      </c>
      <c r="BH137" s="1837"/>
      <c r="BI137" s="1840"/>
      <c r="BJ137" s="1837"/>
      <c r="BK137" s="1838"/>
      <c r="BL137" s="1837"/>
      <c r="BM137" s="1838"/>
      <c r="BN137" s="1839"/>
      <c r="BO137" s="1840" t="s">
        <v>8145</v>
      </c>
      <c r="BP137" s="1837"/>
      <c r="BQ137" s="1838"/>
      <c r="BR137" s="1837"/>
      <c r="BS137" s="1838"/>
      <c r="BT137" s="1839"/>
      <c r="BU137" s="1840"/>
      <c r="BV137" s="1837"/>
      <c r="BW137" s="1838"/>
      <c r="BX137" s="1837"/>
      <c r="BY137" s="1838"/>
      <c r="BZ137" s="1839"/>
      <c r="CA137" s="1840"/>
      <c r="CB137" s="1837"/>
      <c r="CC137" s="1838"/>
      <c r="CD137" s="1837"/>
      <c r="CE137" s="1838"/>
      <c r="CF137" s="1839"/>
      <c r="CG137" s="1840"/>
      <c r="CH137" s="1837"/>
      <c r="CI137" s="1838"/>
      <c r="CJ137" s="1837"/>
      <c r="CK137" s="1838"/>
      <c r="CL137" s="1839"/>
      <c r="CM137" s="1840"/>
      <c r="CN137" s="1837"/>
      <c r="CO137" s="1838"/>
      <c r="CP137" s="1837"/>
      <c r="CQ137" s="1838"/>
      <c r="CR137" s="1839"/>
      <c r="CS137" s="1840"/>
      <c r="CT137" s="1837"/>
      <c r="CU137" s="1838"/>
      <c r="CV137" s="1837"/>
      <c r="CW137" s="1838"/>
      <c r="CX137" s="1839"/>
      <c r="CY137" s="1840"/>
      <c r="CZ137" s="1837"/>
      <c r="DA137" s="1838"/>
      <c r="DB137" s="1837"/>
      <c r="DC137" s="1838"/>
      <c r="DD137" s="1839"/>
      <c r="DE137" s="1840"/>
      <c r="DF137" s="1837"/>
      <c r="DG137" s="1838"/>
      <c r="DH137" s="1837"/>
      <c r="DI137" s="1838"/>
      <c r="DJ137" s="1839"/>
      <c r="DK137" s="1840"/>
      <c r="DL137" s="1837"/>
      <c r="DM137" s="1838"/>
      <c r="DN137" s="1837"/>
      <c r="DO137" s="1838"/>
      <c r="DP137" s="1837"/>
      <c r="DQ137" s="1853"/>
      <c r="DR137" s="1837"/>
      <c r="DS137" s="1838"/>
      <c r="DT137" s="1842"/>
      <c r="DU137" s="1837"/>
      <c r="DV137" s="1839"/>
      <c r="DW137" s="1840"/>
      <c r="DX137" s="1837"/>
      <c r="DY137" s="1838"/>
      <c r="DZ137" s="1837"/>
      <c r="EA137" s="1838"/>
      <c r="EB137" s="1839"/>
      <c r="EC137" s="1840"/>
      <c r="ED137" s="1837"/>
      <c r="EE137" s="1838"/>
      <c r="EF137" s="1837"/>
      <c r="EG137" s="1838"/>
      <c r="EH137" s="1839"/>
      <c r="EI137" s="1840"/>
      <c r="EJ137" s="1837"/>
      <c r="EK137" s="1838"/>
      <c r="EL137" s="1837"/>
      <c r="EM137" s="1838"/>
      <c r="EN137" s="1839"/>
      <c r="EO137" s="1840"/>
      <c r="EP137" s="1837"/>
      <c r="EQ137" s="1838"/>
      <c r="ER137" s="1837"/>
      <c r="ES137" s="1838"/>
      <c r="ET137" s="1839"/>
      <c r="EU137" s="1840"/>
      <c r="EV137" s="1837"/>
      <c r="EW137" s="1838"/>
      <c r="EX137" s="1837"/>
      <c r="EY137" s="1838"/>
      <c r="EZ137" s="1839"/>
      <c r="FA137" s="1840"/>
      <c r="FB137" s="1837"/>
      <c r="FC137" s="1838"/>
      <c r="FD137" s="1837"/>
      <c r="FE137" s="1838"/>
      <c r="FF137" s="1839"/>
      <c r="FG137" s="1840"/>
      <c r="FH137" s="1837"/>
      <c r="FI137" s="1838"/>
      <c r="FJ137" s="1837"/>
      <c r="FK137" s="1838"/>
      <c r="FL137" s="1839"/>
      <c r="FM137" s="1840"/>
      <c r="FN137" s="1837"/>
      <c r="FO137" s="1838"/>
      <c r="FP137" s="1837"/>
      <c r="FQ137" s="1838"/>
      <c r="FR137" s="1839"/>
      <c r="FS137" s="1840"/>
      <c r="FT137" s="1837"/>
      <c r="FU137" s="1838"/>
      <c r="FV137" s="1837"/>
      <c r="FW137" s="1838"/>
      <c r="FX137" s="1839"/>
      <c r="FY137" s="1840"/>
      <c r="FZ137" s="1837"/>
      <c r="GA137" s="1838"/>
      <c r="GB137" s="1837"/>
      <c r="GC137" s="1838"/>
      <c r="GD137" s="1839"/>
      <c r="GE137" s="1840"/>
      <c r="GF137" s="1837"/>
      <c r="GG137" s="1838"/>
      <c r="GH137" s="1837"/>
      <c r="GI137" s="1838"/>
      <c r="GJ137" s="1839"/>
      <c r="GK137" s="1840"/>
      <c r="GL137" s="1837"/>
      <c r="GM137" s="1838"/>
      <c r="GN137" s="1837"/>
      <c r="GO137" s="1838"/>
      <c r="GP137" s="1839"/>
    </row>
    <row r="138" spans="1:198" ht="20.100000000000001" hidden="1" customHeight="1" outlineLevel="1">
      <c r="A138" s="2709"/>
      <c r="B138" s="2612"/>
      <c r="C138" s="1858"/>
      <c r="D138" s="2614" t="str">
        <f>実績!C1192&amp;"("&amp;SUBSTITUTE(実績!R1192&amp;")","有限会社 ","")</f>
        <v>薬王堂多賀城(商業施設マネジメント)</v>
      </c>
      <c r="E138" s="2617"/>
      <c r="F138" s="2617"/>
      <c r="G138" s="2617"/>
      <c r="H138" s="2617"/>
      <c r="I138" s="2617"/>
      <c r="J138" s="2617"/>
      <c r="K138" s="2617"/>
      <c r="L138" s="2617"/>
      <c r="M138" s="2617"/>
      <c r="N138" s="2617"/>
      <c r="O138" s="2617"/>
      <c r="P138" s="2617"/>
      <c r="Q138" s="2618"/>
      <c r="R138" s="1970"/>
      <c r="S138" s="1837"/>
      <c r="T138" s="1837"/>
      <c r="U138" s="1837"/>
      <c r="V138" s="1837"/>
      <c r="W138" s="1837"/>
      <c r="X138" s="1837"/>
      <c r="Y138" s="1837"/>
      <c r="Z138" s="1837"/>
      <c r="AA138" s="1837"/>
      <c r="AB138" s="1837"/>
      <c r="AC138" s="1837"/>
      <c r="AD138" s="1837"/>
      <c r="AE138" s="1837"/>
      <c r="AF138" s="1837"/>
      <c r="AG138" s="1837"/>
      <c r="AH138" s="1837"/>
      <c r="AI138" s="1837"/>
      <c r="AJ138" s="1837"/>
      <c r="AK138" s="1837"/>
      <c r="AL138" s="1837"/>
      <c r="AM138" s="1837"/>
      <c r="AN138" s="1837"/>
      <c r="AO138" s="1837"/>
      <c r="AP138" s="1837"/>
      <c r="AQ138" s="1837"/>
      <c r="AR138" s="1837"/>
      <c r="AS138" s="1837"/>
      <c r="AT138" s="1837"/>
      <c r="AU138" s="1837"/>
      <c r="AV138" s="1837"/>
      <c r="AW138" s="1840" t="s">
        <v>8644</v>
      </c>
      <c r="AX138" s="1837"/>
      <c r="AY138" s="1838"/>
      <c r="AZ138" s="1837"/>
      <c r="BA138" s="1838"/>
      <c r="BB138" s="1839"/>
      <c r="BC138" s="1837"/>
      <c r="BD138" s="1837"/>
      <c r="BE138" s="1838"/>
      <c r="BF138" s="1837"/>
      <c r="BG138" s="1838" t="s">
        <v>9291</v>
      </c>
      <c r="BH138" s="1837"/>
      <c r="BI138" s="1840"/>
      <c r="BJ138" s="1837"/>
      <c r="BK138" s="1838"/>
      <c r="BL138" s="1837"/>
      <c r="BM138" s="1838"/>
      <c r="BN138" s="1839"/>
      <c r="BO138" s="1840"/>
      <c r="BP138" s="1837"/>
      <c r="BQ138" s="1838"/>
      <c r="BR138" s="1837" t="s">
        <v>8145</v>
      </c>
      <c r="BS138" s="1838"/>
      <c r="BT138" s="1839"/>
      <c r="BU138" s="1840"/>
      <c r="BV138" s="1837"/>
      <c r="BW138" s="1838"/>
      <c r="BX138" s="1837"/>
      <c r="BY138" s="1838"/>
      <c r="BZ138" s="1839"/>
      <c r="CA138" s="1840"/>
      <c r="CB138" s="1837"/>
      <c r="CC138" s="1838"/>
      <c r="CD138" s="1837"/>
      <c r="CE138" s="1838"/>
      <c r="CF138" s="1839"/>
      <c r="CG138" s="1840"/>
      <c r="CH138" s="1837"/>
      <c r="CI138" s="1838"/>
      <c r="CJ138" s="1837"/>
      <c r="CK138" s="1838"/>
      <c r="CL138" s="1839"/>
      <c r="CM138" s="1840"/>
      <c r="CN138" s="1837"/>
      <c r="CO138" s="1838"/>
      <c r="CP138" s="1837"/>
      <c r="CQ138" s="1838"/>
      <c r="CR138" s="1839"/>
      <c r="CS138" s="1840"/>
      <c r="CT138" s="1837"/>
      <c r="CU138" s="1838"/>
      <c r="CV138" s="1837"/>
      <c r="CW138" s="1838"/>
      <c r="CX138" s="1839"/>
      <c r="CY138" s="1840"/>
      <c r="CZ138" s="1837"/>
      <c r="DA138" s="1838"/>
      <c r="DB138" s="1837"/>
      <c r="DC138" s="1838"/>
      <c r="DD138" s="1839"/>
      <c r="DE138" s="1840"/>
      <c r="DF138" s="1837"/>
      <c r="DG138" s="1838"/>
      <c r="DH138" s="1837"/>
      <c r="DI138" s="1838"/>
      <c r="DJ138" s="1839"/>
      <c r="DK138" s="1840"/>
      <c r="DL138" s="1837"/>
      <c r="DM138" s="1838"/>
      <c r="DN138" s="1837"/>
      <c r="DO138" s="1838"/>
      <c r="DP138" s="1837"/>
      <c r="DQ138" s="1853"/>
      <c r="DR138" s="1837"/>
      <c r="DS138" s="1838"/>
      <c r="DT138" s="1842"/>
      <c r="DU138" s="1837"/>
      <c r="DV138" s="1839"/>
      <c r="DW138" s="1840"/>
      <c r="DX138" s="1837"/>
      <c r="DY138" s="1838"/>
      <c r="DZ138" s="1837"/>
      <c r="EA138" s="1838"/>
      <c r="EB138" s="1839"/>
      <c r="EC138" s="1840"/>
      <c r="ED138" s="1837"/>
      <c r="EE138" s="1838"/>
      <c r="EF138" s="1837"/>
      <c r="EG138" s="1838"/>
      <c r="EH138" s="1839"/>
      <c r="EI138" s="1840"/>
      <c r="EJ138" s="1837"/>
      <c r="EK138" s="1838"/>
      <c r="EL138" s="1837"/>
      <c r="EM138" s="1838"/>
      <c r="EN138" s="1839"/>
      <c r="EO138" s="1840"/>
      <c r="EP138" s="1837"/>
      <c r="EQ138" s="1838"/>
      <c r="ER138" s="1837"/>
      <c r="ES138" s="1838"/>
      <c r="ET138" s="1839"/>
      <c r="EU138" s="1840"/>
      <c r="EV138" s="1837"/>
      <c r="EW138" s="1838"/>
      <c r="EX138" s="1837"/>
      <c r="EY138" s="1838"/>
      <c r="EZ138" s="1839"/>
      <c r="FA138" s="1840"/>
      <c r="FB138" s="1837"/>
      <c r="FC138" s="1838"/>
      <c r="FD138" s="1837"/>
      <c r="FE138" s="1838"/>
      <c r="FF138" s="1839"/>
      <c r="FG138" s="1840"/>
      <c r="FH138" s="1837"/>
      <c r="FI138" s="1838"/>
      <c r="FJ138" s="1837"/>
      <c r="FK138" s="1838"/>
      <c r="FL138" s="1839"/>
      <c r="FM138" s="1840"/>
      <c r="FN138" s="1837"/>
      <c r="FO138" s="1838"/>
      <c r="FP138" s="1837"/>
      <c r="FQ138" s="1838"/>
      <c r="FR138" s="1839"/>
      <c r="FS138" s="1840"/>
      <c r="FT138" s="1837"/>
      <c r="FU138" s="1838"/>
      <c r="FV138" s="1837"/>
      <c r="FW138" s="1838"/>
      <c r="FX138" s="1839"/>
      <c r="FY138" s="1840"/>
      <c r="FZ138" s="1837"/>
      <c r="GA138" s="1838"/>
      <c r="GB138" s="1837"/>
      <c r="GC138" s="1838"/>
      <c r="GD138" s="1839"/>
      <c r="GE138" s="1840"/>
      <c r="GF138" s="1837"/>
      <c r="GG138" s="1838"/>
      <c r="GH138" s="1837"/>
      <c r="GI138" s="1838"/>
      <c r="GJ138" s="1839"/>
      <c r="GK138" s="1840"/>
      <c r="GL138" s="1837"/>
      <c r="GM138" s="1838"/>
      <c r="GN138" s="1837"/>
      <c r="GO138" s="1838"/>
      <c r="GP138" s="1839"/>
    </row>
    <row r="139" spans="1:198" ht="20.100000000000001" hidden="1" customHeight="1" outlineLevel="1" collapsed="1">
      <c r="A139" s="2709"/>
      <c r="B139" s="2612"/>
      <c r="C139" s="1858"/>
      <c r="D139" s="2614" t="str">
        <f>実績!C1219&amp;"("&amp;SUBSTITUTE(実績!W1219&amp;")"," 株式会社","")</f>
        <v>JA全農中四国広域物流センター農薬危険物貯蔵施設(株式会社 唐澤建築設計事務所)</v>
      </c>
      <c r="E139" s="2617"/>
      <c r="F139" s="2617"/>
      <c r="G139" s="2617"/>
      <c r="H139" s="2617"/>
      <c r="I139" s="2617"/>
      <c r="J139" s="2617"/>
      <c r="K139" s="2617"/>
      <c r="L139" s="2617"/>
      <c r="M139" s="2617"/>
      <c r="N139" s="2617"/>
      <c r="O139" s="2617"/>
      <c r="P139" s="2617"/>
      <c r="Q139" s="2618"/>
      <c r="R139" s="1970"/>
      <c r="S139" s="1837"/>
      <c r="T139" s="1837"/>
      <c r="U139" s="1837"/>
      <c r="V139" s="1837"/>
      <c r="W139" s="1837"/>
      <c r="X139" s="1837"/>
      <c r="Y139" s="1837"/>
      <c r="Z139" s="1837"/>
      <c r="AA139" s="1837"/>
      <c r="AB139" s="1837"/>
      <c r="AC139" s="1837"/>
      <c r="AD139" s="1837"/>
      <c r="AE139" s="1837"/>
      <c r="AF139" s="1837"/>
      <c r="AG139" s="1837"/>
      <c r="AH139" s="1837"/>
      <c r="AI139" s="1837"/>
      <c r="AJ139" s="1837"/>
      <c r="AK139" s="1837"/>
      <c r="AL139" s="1837"/>
      <c r="AM139" s="1837"/>
      <c r="AN139" s="1837"/>
      <c r="AO139" s="1837"/>
      <c r="AP139" s="1837"/>
      <c r="AQ139" s="1837"/>
      <c r="AR139" s="1837"/>
      <c r="AS139" s="1837"/>
      <c r="AT139" s="1837"/>
      <c r="AU139" s="1837"/>
      <c r="AV139" s="1837"/>
      <c r="AW139" s="1837"/>
      <c r="AX139" s="1837"/>
      <c r="AY139" s="1837"/>
      <c r="AZ139" s="1837"/>
      <c r="BA139" s="1837"/>
      <c r="BB139" s="1837"/>
      <c r="BC139" s="1837"/>
      <c r="BD139" s="1837"/>
      <c r="BE139" s="1838"/>
      <c r="BF139" s="1842"/>
      <c r="BG139" s="1838" t="s">
        <v>9291</v>
      </c>
      <c r="BH139" s="1839"/>
      <c r="BI139" s="1840"/>
      <c r="BJ139" s="1837"/>
      <c r="BK139" s="1838"/>
      <c r="BL139" s="1837"/>
      <c r="BM139" s="1838"/>
      <c r="BN139" s="1839"/>
      <c r="BO139" s="1840"/>
      <c r="BP139" s="1837"/>
      <c r="BQ139" s="1838"/>
      <c r="BR139" s="1837"/>
      <c r="BS139" s="1838"/>
      <c r="BT139" s="1839"/>
      <c r="BU139" s="1840" t="s">
        <v>8145</v>
      </c>
      <c r="BV139" s="1837"/>
      <c r="BW139" s="1838"/>
      <c r="BX139" s="1837"/>
      <c r="BY139" s="1838"/>
      <c r="BZ139" s="1839"/>
      <c r="CA139" s="1840"/>
      <c r="CB139" s="1837"/>
      <c r="CC139" s="1838"/>
      <c r="CD139" s="1837"/>
      <c r="CE139" s="1838"/>
      <c r="CF139" s="1839"/>
      <c r="CG139" s="1840"/>
      <c r="CH139" s="1837"/>
      <c r="CI139" s="1838"/>
      <c r="CJ139" s="1837"/>
      <c r="CK139" s="1838"/>
      <c r="CL139" s="1839"/>
      <c r="CM139" s="1840"/>
      <c r="CN139" s="1837"/>
      <c r="CO139" s="1838"/>
      <c r="CP139" s="1837"/>
      <c r="CQ139" s="1838"/>
      <c r="CR139" s="1839"/>
      <c r="CS139" s="1840"/>
      <c r="CT139" s="1837"/>
      <c r="CU139" s="1838"/>
      <c r="CV139" s="1837"/>
      <c r="CW139" s="1838"/>
      <c r="CX139" s="1839"/>
      <c r="CY139" s="1840"/>
      <c r="CZ139" s="1837"/>
      <c r="DA139" s="1838"/>
      <c r="DB139" s="1837"/>
      <c r="DC139" s="1838"/>
      <c r="DD139" s="1839"/>
      <c r="DE139" s="1840"/>
      <c r="DF139" s="1837"/>
      <c r="DG139" s="1838"/>
      <c r="DH139" s="1837"/>
      <c r="DI139" s="1838"/>
      <c r="DJ139" s="1839"/>
      <c r="DK139" s="1840"/>
      <c r="DL139" s="1837"/>
      <c r="DM139" s="1838"/>
      <c r="DN139" s="1837"/>
      <c r="DO139" s="1838"/>
      <c r="DP139" s="1837"/>
      <c r="DQ139" s="1853"/>
      <c r="DR139" s="1837"/>
      <c r="DS139" s="1838"/>
      <c r="DT139" s="1842"/>
      <c r="DU139" s="1837"/>
      <c r="DV139" s="1839"/>
      <c r="DW139" s="1840"/>
      <c r="DX139" s="1837"/>
      <c r="DY139" s="1838"/>
      <c r="DZ139" s="1837"/>
      <c r="EA139" s="1838"/>
      <c r="EB139" s="1839"/>
      <c r="EC139" s="1840"/>
      <c r="ED139" s="1837"/>
      <c r="EE139" s="1838"/>
      <c r="EF139" s="1837"/>
      <c r="EG139" s="1838"/>
      <c r="EH139" s="1839"/>
      <c r="EI139" s="1840"/>
      <c r="EJ139" s="1837"/>
      <c r="EK139" s="1838"/>
      <c r="EL139" s="1837"/>
      <c r="EM139" s="1838"/>
      <c r="EN139" s="1839"/>
      <c r="EO139" s="1840"/>
      <c r="EP139" s="1837"/>
      <c r="EQ139" s="1838"/>
      <c r="ER139" s="1837"/>
      <c r="ES139" s="1838"/>
      <c r="ET139" s="1839"/>
      <c r="EU139" s="1840"/>
      <c r="EV139" s="1837"/>
      <c r="EW139" s="1838"/>
      <c r="EX139" s="1837"/>
      <c r="EY139" s="1838"/>
      <c r="EZ139" s="1839"/>
      <c r="FA139" s="1840"/>
      <c r="FB139" s="1837"/>
      <c r="FC139" s="1838"/>
      <c r="FD139" s="1837"/>
      <c r="FE139" s="1838"/>
      <c r="FF139" s="1839"/>
      <c r="FG139" s="1840"/>
      <c r="FH139" s="1837"/>
      <c r="FI139" s="1838"/>
      <c r="FJ139" s="1837"/>
      <c r="FK139" s="1838"/>
      <c r="FL139" s="1839"/>
      <c r="FM139" s="1840"/>
      <c r="FN139" s="1837"/>
      <c r="FO139" s="1838"/>
      <c r="FP139" s="1837"/>
      <c r="FQ139" s="1838"/>
      <c r="FR139" s="1839"/>
      <c r="FS139" s="1840"/>
      <c r="FT139" s="1837"/>
      <c r="FU139" s="1838"/>
      <c r="FV139" s="1837"/>
      <c r="FW139" s="1838"/>
      <c r="FX139" s="1839"/>
      <c r="FY139" s="1840"/>
      <c r="FZ139" s="1837"/>
      <c r="GA139" s="1838"/>
      <c r="GB139" s="1837"/>
      <c r="GC139" s="1838"/>
      <c r="GD139" s="1839"/>
      <c r="GE139" s="1840"/>
      <c r="GF139" s="1837"/>
      <c r="GG139" s="1838"/>
      <c r="GH139" s="1837"/>
      <c r="GI139" s="1838"/>
      <c r="GJ139" s="1839"/>
      <c r="GK139" s="1840"/>
      <c r="GL139" s="1837"/>
      <c r="GM139" s="1838"/>
      <c r="GN139" s="1837"/>
      <c r="GO139" s="1838"/>
      <c r="GP139" s="1839"/>
    </row>
    <row r="140" spans="1:198" ht="20.100000000000001" hidden="1" customHeight="1" outlineLevel="1">
      <c r="A140" s="2709"/>
      <c r="B140" s="2612"/>
      <c r="C140" s="1858"/>
      <c r="D140" s="2614" t="str">
        <f>実績!C1215&amp;"("&amp;SUBSTITUTE(実績!W1215&amp;")","株式会社 ","")</f>
        <v>日照電機製作所(横河システム建築)</v>
      </c>
      <c r="E140" s="2617"/>
      <c r="F140" s="2617"/>
      <c r="G140" s="2617"/>
      <c r="H140" s="2617"/>
      <c r="I140" s="2617"/>
      <c r="J140" s="2617"/>
      <c r="K140" s="2617"/>
      <c r="L140" s="2617"/>
      <c r="M140" s="2617"/>
      <c r="N140" s="2617"/>
      <c r="O140" s="2617"/>
      <c r="P140" s="2617"/>
      <c r="Q140" s="2618"/>
      <c r="R140" s="1970"/>
      <c r="S140" s="1837"/>
      <c r="T140" s="1837"/>
      <c r="U140" s="1838"/>
      <c r="V140" s="1837"/>
      <c r="W140" s="1838"/>
      <c r="X140" s="1839"/>
      <c r="Y140" s="1837"/>
      <c r="Z140" s="1837"/>
      <c r="AA140" s="1838"/>
      <c r="AB140" s="1837"/>
      <c r="AC140" s="1838"/>
      <c r="AD140" s="1837"/>
      <c r="AE140" s="1837"/>
      <c r="AF140" s="1837"/>
      <c r="AG140" s="1838"/>
      <c r="AH140" s="1837"/>
      <c r="AI140" s="1838"/>
      <c r="AJ140" s="1839"/>
      <c r="AK140" s="1837"/>
      <c r="AL140" s="1837"/>
      <c r="AM140" s="1838"/>
      <c r="AN140" s="1837"/>
      <c r="AO140" s="1838"/>
      <c r="AP140" s="1837"/>
      <c r="AQ140" s="1841"/>
      <c r="AR140" s="1837"/>
      <c r="AS140" s="1838"/>
      <c r="AT140" s="1837"/>
      <c r="AU140" s="1838"/>
      <c r="AV140" s="1839"/>
      <c r="AW140" s="1840"/>
      <c r="AX140" s="1837"/>
      <c r="AY140" s="1838"/>
      <c r="AZ140" s="1837"/>
      <c r="BA140" s="1838"/>
      <c r="BB140" s="1839"/>
      <c r="BC140" s="1837"/>
      <c r="BD140" s="1837"/>
      <c r="BE140" s="1838"/>
      <c r="BF140" s="1842"/>
      <c r="BG140" s="1838"/>
      <c r="BH140" s="1839" t="s">
        <v>9353</v>
      </c>
      <c r="BI140" s="1840"/>
      <c r="BJ140" s="1837"/>
      <c r="BK140" s="1838"/>
      <c r="BL140" s="1837"/>
      <c r="BM140" s="1838"/>
      <c r="BN140" s="1839"/>
      <c r="BO140" s="1840"/>
      <c r="BP140" s="1837"/>
      <c r="BQ140" s="1838"/>
      <c r="BR140" s="1837"/>
      <c r="BS140" s="1838"/>
      <c r="BT140" s="1839"/>
      <c r="BU140" s="1840" t="s">
        <v>9032</v>
      </c>
      <c r="BV140" s="1837"/>
      <c r="BW140" s="1838"/>
      <c r="BX140" s="1837"/>
      <c r="BY140" s="1838"/>
      <c r="BZ140" s="1839"/>
      <c r="CA140" s="1840"/>
      <c r="CB140" s="1837"/>
      <c r="CC140" s="1838"/>
      <c r="CD140" s="1837"/>
      <c r="CE140" s="1838"/>
      <c r="CF140" s="1839"/>
      <c r="CG140" s="1840"/>
      <c r="CH140" s="1837"/>
      <c r="CI140" s="1838"/>
      <c r="CJ140" s="1837"/>
      <c r="CK140" s="1838"/>
      <c r="CL140" s="1839"/>
      <c r="CM140" s="1840"/>
      <c r="CN140" s="1837"/>
      <c r="CO140" s="1838"/>
      <c r="CP140" s="1837"/>
      <c r="CQ140" s="1838"/>
      <c r="CR140" s="1839"/>
      <c r="CS140" s="1840"/>
      <c r="CT140" s="1837"/>
      <c r="CU140" s="1838"/>
      <c r="CV140" s="1837"/>
      <c r="CW140" s="1838"/>
      <c r="CX140" s="1839"/>
      <c r="CY140" s="1840"/>
      <c r="CZ140" s="1837"/>
      <c r="DA140" s="1838"/>
      <c r="DB140" s="1837"/>
      <c r="DC140" s="1838"/>
      <c r="DD140" s="1839"/>
      <c r="DE140" s="1840"/>
      <c r="DF140" s="1837"/>
      <c r="DG140" s="1838"/>
      <c r="DH140" s="1837"/>
      <c r="DI140" s="1838"/>
      <c r="DJ140" s="1839"/>
      <c r="DK140" s="1840"/>
      <c r="DL140" s="1837"/>
      <c r="DM140" s="1838"/>
      <c r="DN140" s="1837"/>
      <c r="DO140" s="1838"/>
      <c r="DP140" s="1837"/>
      <c r="DQ140" s="1853"/>
      <c r="DR140" s="1837"/>
      <c r="DS140" s="1838"/>
      <c r="DT140" s="1842"/>
      <c r="DU140" s="1837"/>
      <c r="DV140" s="1839"/>
      <c r="DW140" s="1840"/>
      <c r="DX140" s="1837"/>
      <c r="DY140" s="1838"/>
      <c r="DZ140" s="1837"/>
      <c r="EA140" s="1838"/>
      <c r="EB140" s="1839"/>
      <c r="EC140" s="1840"/>
      <c r="ED140" s="1837"/>
      <c r="EE140" s="1838"/>
      <c r="EF140" s="1837"/>
      <c r="EG140" s="1838"/>
      <c r="EH140" s="1839"/>
      <c r="EI140" s="1840"/>
      <c r="EJ140" s="1837"/>
      <c r="EK140" s="1838"/>
      <c r="EL140" s="1837"/>
      <c r="EM140" s="1838"/>
      <c r="EN140" s="1839"/>
      <c r="EO140" s="1840"/>
      <c r="EP140" s="1837"/>
      <c r="EQ140" s="1838"/>
      <c r="ER140" s="1837"/>
      <c r="ES140" s="1838"/>
      <c r="ET140" s="1839"/>
      <c r="EU140" s="1840"/>
      <c r="EV140" s="1837"/>
      <c r="EW140" s="1838"/>
      <c r="EX140" s="1837"/>
      <c r="EY140" s="1838"/>
      <c r="EZ140" s="1839"/>
      <c r="FA140" s="1840"/>
      <c r="FB140" s="1837"/>
      <c r="FC140" s="1838"/>
      <c r="FD140" s="1837"/>
      <c r="FE140" s="1838"/>
      <c r="FF140" s="1839"/>
      <c r="FG140" s="1840"/>
      <c r="FH140" s="1837"/>
      <c r="FI140" s="1838"/>
      <c r="FJ140" s="1837"/>
      <c r="FK140" s="1838"/>
      <c r="FL140" s="1839"/>
      <c r="FM140" s="1840"/>
      <c r="FN140" s="1837"/>
      <c r="FO140" s="1838"/>
      <c r="FP140" s="1837"/>
      <c r="FQ140" s="1838"/>
      <c r="FR140" s="1839"/>
      <c r="FS140" s="1840"/>
      <c r="FT140" s="1837"/>
      <c r="FU140" s="1838"/>
      <c r="FV140" s="1837"/>
      <c r="FW140" s="1838"/>
      <c r="FX140" s="1839"/>
      <c r="FY140" s="1840"/>
      <c r="FZ140" s="1837"/>
      <c r="GA140" s="1838"/>
      <c r="GB140" s="1837"/>
      <c r="GC140" s="1838"/>
      <c r="GD140" s="1839"/>
      <c r="GE140" s="1840"/>
      <c r="GF140" s="1837"/>
      <c r="GG140" s="1838"/>
      <c r="GH140" s="1837"/>
      <c r="GI140" s="1838"/>
      <c r="GJ140" s="1839"/>
      <c r="GK140" s="1840"/>
      <c r="GL140" s="1837"/>
      <c r="GM140" s="1838"/>
      <c r="GN140" s="1837"/>
      <c r="GO140" s="1838"/>
      <c r="GP140" s="1839"/>
    </row>
    <row r="141" spans="1:198" ht="20.100000000000001" hidden="1" customHeight="1" outlineLevel="1">
      <c r="A141" s="2709"/>
      <c r="B141" s="2612"/>
      <c r="C141" s="1858"/>
      <c r="D141" s="2614" t="str">
        <f>実績!C1214&amp;"("&amp;SUBSTITUTE(実績!W1214&amp;")","株式会社 ","")</f>
        <v>岩田産業(株)北九州支店(横河システム建築)</v>
      </c>
      <c r="E141" s="2617"/>
      <c r="F141" s="2617"/>
      <c r="G141" s="2617"/>
      <c r="H141" s="2617"/>
      <c r="I141" s="2617"/>
      <c r="J141" s="2617"/>
      <c r="K141" s="2617"/>
      <c r="L141" s="2617"/>
      <c r="M141" s="2617"/>
      <c r="N141" s="2617"/>
      <c r="O141" s="2617"/>
      <c r="P141" s="2617"/>
      <c r="Q141" s="2618"/>
      <c r="R141" s="1970"/>
      <c r="S141" s="1837"/>
      <c r="T141" s="1837"/>
      <c r="U141" s="1837"/>
      <c r="V141" s="1837"/>
      <c r="W141" s="1837"/>
      <c r="X141" s="1837"/>
      <c r="Y141" s="1837"/>
      <c r="Z141" s="1837"/>
      <c r="AA141" s="1837"/>
      <c r="AB141" s="1837"/>
      <c r="AC141" s="1837"/>
      <c r="AD141" s="1837"/>
      <c r="AE141" s="1837"/>
      <c r="AF141" s="1837"/>
      <c r="AG141" s="1837"/>
      <c r="AH141" s="1837"/>
      <c r="AI141" s="1837"/>
      <c r="AJ141" s="1837"/>
      <c r="AK141" s="1837"/>
      <c r="AL141" s="1837"/>
      <c r="AM141" s="1837"/>
      <c r="AN141" s="1837"/>
      <c r="AO141" s="1837"/>
      <c r="AP141" s="1837"/>
      <c r="AQ141" s="1837"/>
      <c r="AR141" s="1837"/>
      <c r="AS141" s="1837"/>
      <c r="AT141" s="1837"/>
      <c r="AU141" s="1837"/>
      <c r="AV141" s="1837"/>
      <c r="AW141" s="1840"/>
      <c r="AX141" s="1837"/>
      <c r="AY141" s="1838"/>
      <c r="AZ141" s="1837"/>
      <c r="BA141" s="1838"/>
      <c r="BB141" s="1839"/>
      <c r="BC141" s="1837"/>
      <c r="BD141" s="1837"/>
      <c r="BE141" s="1838"/>
      <c r="BF141" s="1842"/>
      <c r="BG141" s="1838"/>
      <c r="BH141" s="1837" t="s">
        <v>9353</v>
      </c>
      <c r="BI141" s="1853"/>
      <c r="BJ141" s="1837"/>
      <c r="BK141" s="1838"/>
      <c r="BL141" s="1837"/>
      <c r="BM141" s="1838"/>
      <c r="BN141" s="1839"/>
      <c r="BO141" s="1840"/>
      <c r="BP141" s="1837"/>
      <c r="BQ141" s="1838"/>
      <c r="BR141" s="1837"/>
      <c r="BS141" s="1838"/>
      <c r="BT141" s="1839"/>
      <c r="BU141" s="1840"/>
      <c r="BV141" s="1837"/>
      <c r="BW141" s="1838"/>
      <c r="BX141" s="1837"/>
      <c r="BY141" s="1838"/>
      <c r="BZ141" s="1839"/>
      <c r="CA141" s="1840"/>
      <c r="CB141" s="1837"/>
      <c r="CC141" s="1838"/>
      <c r="CD141" s="1837"/>
      <c r="CE141" s="1838"/>
      <c r="CF141" s="1839"/>
      <c r="CG141" s="1840"/>
      <c r="CH141" s="1837"/>
      <c r="CI141" s="1838"/>
      <c r="CJ141" s="1837"/>
      <c r="CK141" s="1838"/>
      <c r="CL141" s="1839"/>
      <c r="CM141" s="1840"/>
      <c r="CN141" s="1837"/>
      <c r="CO141" s="1838"/>
      <c r="CP141" s="1837"/>
      <c r="CQ141" s="1838"/>
      <c r="CR141" s="1839"/>
      <c r="CS141" s="1840"/>
      <c r="CT141" s="1837"/>
      <c r="CU141" s="1838"/>
      <c r="CV141" s="1837"/>
      <c r="CW141" s="1838"/>
      <c r="CX141" s="1839"/>
      <c r="CY141" s="1840"/>
      <c r="CZ141" s="1837"/>
      <c r="DA141" s="1838"/>
      <c r="DB141" s="1837"/>
      <c r="DC141" s="1838"/>
      <c r="DD141" s="1839"/>
      <c r="DE141" s="1840"/>
      <c r="DF141" s="1837"/>
      <c r="DG141" s="1838"/>
      <c r="DH141" s="1837"/>
      <c r="DI141" s="1838"/>
      <c r="DJ141" s="1839"/>
      <c r="DK141" s="1840"/>
      <c r="DL141" s="1837"/>
      <c r="DM141" s="1838"/>
      <c r="DN141" s="1837"/>
      <c r="DO141" s="1838"/>
      <c r="DP141" s="1837"/>
      <c r="DQ141" s="1853"/>
      <c r="DR141" s="1837"/>
      <c r="DS141" s="1838"/>
      <c r="DT141" s="1842"/>
      <c r="DU141" s="1837"/>
      <c r="DV141" s="1839"/>
      <c r="DW141" s="1840"/>
      <c r="DX141" s="1837"/>
      <c r="DY141" s="1838"/>
      <c r="DZ141" s="1837"/>
      <c r="EA141" s="1838"/>
      <c r="EB141" s="1839"/>
      <c r="EC141" s="1840"/>
      <c r="ED141" s="1837"/>
      <c r="EE141" s="1838"/>
      <c r="EF141" s="1837"/>
      <c r="EG141" s="1838"/>
      <c r="EH141" s="1839"/>
      <c r="EI141" s="1840"/>
      <c r="EJ141" s="1837"/>
      <c r="EK141" s="1838"/>
      <c r="EL141" s="1837"/>
      <c r="EM141" s="1838"/>
      <c r="EN141" s="1839"/>
      <c r="EO141" s="1840"/>
      <c r="EP141" s="1837"/>
      <c r="EQ141" s="1838"/>
      <c r="ER141" s="1837"/>
      <c r="ES141" s="1838"/>
      <c r="ET141" s="1839"/>
      <c r="EU141" s="1840"/>
      <c r="EV141" s="1837"/>
      <c r="EW141" s="1838"/>
      <c r="EX141" s="1837"/>
      <c r="EY141" s="1838"/>
      <c r="EZ141" s="1839"/>
      <c r="FA141" s="1840"/>
      <c r="FB141" s="1837"/>
      <c r="FC141" s="1838"/>
      <c r="FD141" s="1837"/>
      <c r="FE141" s="1838"/>
      <c r="FF141" s="1839"/>
      <c r="FG141" s="1840"/>
      <c r="FH141" s="1837"/>
      <c r="FI141" s="1838"/>
      <c r="FJ141" s="1837"/>
      <c r="FK141" s="1838"/>
      <c r="FL141" s="1839"/>
      <c r="FM141" s="1840"/>
      <c r="FN141" s="1837"/>
      <c r="FO141" s="1838"/>
      <c r="FP141" s="1837"/>
      <c r="FQ141" s="1838"/>
      <c r="FR141" s="1839"/>
      <c r="FS141" s="1840"/>
      <c r="FT141" s="1837"/>
      <c r="FU141" s="1838"/>
      <c r="FV141" s="1837"/>
      <c r="FW141" s="1838"/>
      <c r="FX141" s="1839"/>
      <c r="FY141" s="1840"/>
      <c r="FZ141" s="1837"/>
      <c r="GA141" s="1838"/>
      <c r="GB141" s="1837"/>
      <c r="GC141" s="1838"/>
      <c r="GD141" s="1839"/>
      <c r="GE141" s="1840"/>
      <c r="GF141" s="1837"/>
      <c r="GG141" s="1838"/>
      <c r="GH141" s="1837"/>
      <c r="GI141" s="1838"/>
      <c r="GJ141" s="1839"/>
      <c r="GK141" s="1840"/>
      <c r="GL141" s="1837"/>
      <c r="GM141" s="1838"/>
      <c r="GN141" s="1837"/>
      <c r="GO141" s="1838"/>
      <c r="GP141" s="1839"/>
    </row>
    <row r="142" spans="1:198" ht="20.100000000000001" hidden="1" customHeight="1" outlineLevel="1" collapsed="1">
      <c r="A142" s="2709"/>
      <c r="B142" s="2612"/>
      <c r="C142" s="1858"/>
      <c r="D142" s="2614" t="str">
        <f>実績!C1222&amp;"("&amp;SUBSTITUTE(実績!R1222&amp;")","株式会社 ","")</f>
        <v>ツルハドラッグ高知若松(横山建築設計事務所)</v>
      </c>
      <c r="E142" s="2617"/>
      <c r="F142" s="2617"/>
      <c r="G142" s="2617"/>
      <c r="H142" s="2617"/>
      <c r="I142" s="2617"/>
      <c r="J142" s="2617"/>
      <c r="K142" s="2617"/>
      <c r="L142" s="2617"/>
      <c r="M142" s="2617"/>
      <c r="N142" s="2617"/>
      <c r="O142" s="2617"/>
      <c r="P142" s="2617"/>
      <c r="Q142" s="2618"/>
      <c r="R142" s="1970"/>
      <c r="S142" s="1837"/>
      <c r="T142" s="1837"/>
      <c r="U142" s="1837"/>
      <c r="V142" s="1837"/>
      <c r="W142" s="1837"/>
      <c r="X142" s="1837"/>
      <c r="Y142" s="1837"/>
      <c r="Z142" s="1837"/>
      <c r="AA142" s="1837"/>
      <c r="AB142" s="1837"/>
      <c r="AC142" s="1837"/>
      <c r="AD142" s="1837"/>
      <c r="AE142" s="1837"/>
      <c r="AF142" s="1837"/>
      <c r="AG142" s="1837"/>
      <c r="AH142" s="1837"/>
      <c r="AI142" s="1837"/>
      <c r="AJ142" s="1837"/>
      <c r="AK142" s="1837"/>
      <c r="AL142" s="1837"/>
      <c r="AM142" s="1837"/>
      <c r="AN142" s="1837"/>
      <c r="AO142" s="1837"/>
      <c r="AP142" s="1837"/>
      <c r="AQ142" s="1837"/>
      <c r="AR142" s="1837"/>
      <c r="AS142" s="1837"/>
      <c r="AT142" s="1837"/>
      <c r="AU142" s="1837"/>
      <c r="AV142" s="1837"/>
      <c r="AW142" s="1840"/>
      <c r="AX142" s="1837"/>
      <c r="AY142" s="1838"/>
      <c r="AZ142" s="1837"/>
      <c r="BA142" s="1838"/>
      <c r="BB142" s="1839"/>
      <c r="BC142" s="1837"/>
      <c r="BD142" s="1837"/>
      <c r="BE142" s="1838"/>
      <c r="BF142" s="1842"/>
      <c r="BG142" s="1838"/>
      <c r="BH142" s="1837"/>
      <c r="BI142" s="1853" t="s">
        <v>9355</v>
      </c>
      <c r="BJ142" s="1837"/>
      <c r="BK142" s="1838"/>
      <c r="BL142" s="1837"/>
      <c r="BM142" s="1838"/>
      <c r="BN142" s="1839"/>
      <c r="BO142" s="1840"/>
      <c r="BP142" s="1837"/>
      <c r="BQ142" s="1838"/>
      <c r="BR142" s="1837" t="s">
        <v>9440</v>
      </c>
      <c r="BS142" s="1838"/>
      <c r="BT142" s="1839"/>
      <c r="BU142" s="1840"/>
      <c r="BV142" s="1837"/>
      <c r="BW142" s="1838"/>
      <c r="BX142" s="1837"/>
      <c r="BY142" s="1838"/>
      <c r="BZ142" s="1839"/>
      <c r="CA142" s="1840"/>
      <c r="CB142" s="1837"/>
      <c r="CC142" s="1838"/>
      <c r="CD142" s="1837"/>
      <c r="CE142" s="1838"/>
      <c r="CF142" s="1839"/>
      <c r="CG142" s="1840"/>
      <c r="CH142" s="1837"/>
      <c r="CI142" s="1838"/>
      <c r="CJ142" s="1837"/>
      <c r="CK142" s="1838"/>
      <c r="CL142" s="1839"/>
      <c r="CM142" s="1840"/>
      <c r="CN142" s="1837"/>
      <c r="CO142" s="1838"/>
      <c r="CP142" s="1837"/>
      <c r="CQ142" s="1838"/>
      <c r="CR142" s="1839"/>
      <c r="CS142" s="1840"/>
      <c r="CT142" s="1837"/>
      <c r="CU142" s="1838"/>
      <c r="CV142" s="1837"/>
      <c r="CW142" s="1838"/>
      <c r="CX142" s="1839"/>
      <c r="CY142" s="1840"/>
      <c r="CZ142" s="1837"/>
      <c r="DA142" s="1838"/>
      <c r="DB142" s="1837"/>
      <c r="DC142" s="1838"/>
      <c r="DD142" s="1839"/>
      <c r="DE142" s="1840"/>
      <c r="DF142" s="1837"/>
      <c r="DG142" s="1838"/>
      <c r="DH142" s="1837"/>
      <c r="DI142" s="1838"/>
      <c r="DJ142" s="1839"/>
      <c r="DK142" s="1840"/>
      <c r="DL142" s="1837"/>
      <c r="DM142" s="1838"/>
      <c r="DN142" s="1837"/>
      <c r="DO142" s="1838"/>
      <c r="DP142" s="1837"/>
      <c r="DQ142" s="1853"/>
      <c r="DR142" s="1837"/>
      <c r="DS142" s="1838"/>
      <c r="DT142" s="1842"/>
      <c r="DU142" s="1837"/>
      <c r="DV142" s="1839"/>
      <c r="DW142" s="1840"/>
      <c r="DX142" s="1837"/>
      <c r="DY142" s="1838"/>
      <c r="DZ142" s="1837"/>
      <c r="EA142" s="1838"/>
      <c r="EB142" s="1839"/>
      <c r="EC142" s="1840"/>
      <c r="ED142" s="1837"/>
      <c r="EE142" s="1838"/>
      <c r="EF142" s="1837"/>
      <c r="EG142" s="1838"/>
      <c r="EH142" s="1839"/>
      <c r="EI142" s="1840"/>
      <c r="EJ142" s="1837"/>
      <c r="EK142" s="1838"/>
      <c r="EL142" s="1837"/>
      <c r="EM142" s="1838"/>
      <c r="EN142" s="1839"/>
      <c r="EO142" s="1840"/>
      <c r="EP142" s="1837"/>
      <c r="EQ142" s="1838"/>
      <c r="ER142" s="1837"/>
      <c r="ES142" s="1838"/>
      <c r="ET142" s="1839"/>
      <c r="EU142" s="1840"/>
      <c r="EV142" s="1837"/>
      <c r="EW142" s="1838"/>
      <c r="EX142" s="1837"/>
      <c r="EY142" s="1838"/>
      <c r="EZ142" s="1839"/>
      <c r="FA142" s="1840"/>
      <c r="FB142" s="1837"/>
      <c r="FC142" s="1838"/>
      <c r="FD142" s="1837"/>
      <c r="FE142" s="1838"/>
      <c r="FF142" s="1839"/>
      <c r="FG142" s="1840"/>
      <c r="FH142" s="1837"/>
      <c r="FI142" s="1838"/>
      <c r="FJ142" s="1837"/>
      <c r="FK142" s="1838"/>
      <c r="FL142" s="1839"/>
      <c r="FM142" s="1840"/>
      <c r="FN142" s="1837"/>
      <c r="FO142" s="1838"/>
      <c r="FP142" s="1837"/>
      <c r="FQ142" s="1838"/>
      <c r="FR142" s="1839"/>
      <c r="FS142" s="1840"/>
      <c r="FT142" s="1837"/>
      <c r="FU142" s="1838"/>
      <c r="FV142" s="1837"/>
      <c r="FW142" s="1838"/>
      <c r="FX142" s="1839"/>
      <c r="FY142" s="1840"/>
      <c r="FZ142" s="1837"/>
      <c r="GA142" s="1838"/>
      <c r="GB142" s="1837"/>
      <c r="GC142" s="1838"/>
      <c r="GD142" s="1839"/>
      <c r="GE142" s="1840"/>
      <c r="GF142" s="1837"/>
      <c r="GG142" s="1838"/>
      <c r="GH142" s="1837"/>
      <c r="GI142" s="1838"/>
      <c r="GJ142" s="1839"/>
      <c r="GK142" s="1840"/>
      <c r="GL142" s="1837"/>
      <c r="GM142" s="1838"/>
      <c r="GN142" s="1837"/>
      <c r="GO142" s="1838"/>
      <c r="GP142" s="1839"/>
    </row>
    <row r="143" spans="1:198" ht="20.100000000000001" hidden="1" customHeight="1" outlineLevel="1" collapsed="1">
      <c r="A143" s="2709"/>
      <c r="B143" s="2612"/>
      <c r="C143" s="1858"/>
      <c r="D143" s="2614" t="str">
        <f>実績!C1226&amp;"("&amp;SUBSTITUTE(実績!W1226&amp;")","株式会社 ","")</f>
        <v>元気市場たかはし元木(I.N設計室)</v>
      </c>
      <c r="E143" s="2617"/>
      <c r="F143" s="2617"/>
      <c r="G143" s="2617"/>
      <c r="H143" s="2617"/>
      <c r="I143" s="2617"/>
      <c r="J143" s="2617"/>
      <c r="K143" s="2617"/>
      <c r="L143" s="2617"/>
      <c r="M143" s="2617"/>
      <c r="N143" s="2617"/>
      <c r="O143" s="2617"/>
      <c r="P143" s="2617"/>
      <c r="Q143" s="2618"/>
      <c r="R143" s="1970"/>
      <c r="S143" s="1837"/>
      <c r="T143" s="1837"/>
      <c r="U143" s="1837"/>
      <c r="V143" s="1837"/>
      <c r="W143" s="1837"/>
      <c r="X143" s="1837"/>
      <c r="Y143" s="1837"/>
      <c r="Z143" s="1837"/>
      <c r="AA143" s="1837"/>
      <c r="AB143" s="1837"/>
      <c r="AC143" s="1837"/>
      <c r="AD143" s="1837"/>
      <c r="AE143" s="1837"/>
      <c r="AF143" s="1837"/>
      <c r="AG143" s="1837"/>
      <c r="AH143" s="1837"/>
      <c r="AI143" s="1837"/>
      <c r="AJ143" s="1837"/>
      <c r="AK143" s="1837"/>
      <c r="AL143" s="1837"/>
      <c r="AM143" s="1837"/>
      <c r="AN143" s="1837"/>
      <c r="AO143" s="1837"/>
      <c r="AP143" s="1837"/>
      <c r="AQ143" s="1837"/>
      <c r="AR143" s="1837"/>
      <c r="AS143" s="1837"/>
      <c r="AT143" s="1837"/>
      <c r="AU143" s="1837"/>
      <c r="AV143" s="1837"/>
      <c r="AW143" s="1840"/>
      <c r="AX143" s="1837"/>
      <c r="AY143" s="1838"/>
      <c r="AZ143" s="1837"/>
      <c r="BA143" s="1838"/>
      <c r="BB143" s="1839"/>
      <c r="BC143" s="1837"/>
      <c r="BD143" s="1837"/>
      <c r="BE143" s="1838"/>
      <c r="BF143" s="1842"/>
      <c r="BG143" s="1838"/>
      <c r="BH143" s="1837"/>
      <c r="BI143" s="1853" t="s">
        <v>9472</v>
      </c>
      <c r="BJ143" s="1837"/>
      <c r="BK143" s="1838"/>
      <c r="BL143" s="1837"/>
      <c r="BM143" s="1838"/>
      <c r="BN143" s="1839"/>
      <c r="BO143" s="1840"/>
      <c r="BP143" s="1837"/>
      <c r="BQ143" s="1838"/>
      <c r="BR143" s="1837"/>
      <c r="BS143" s="1838"/>
      <c r="BT143" s="1839" t="s">
        <v>9473</v>
      </c>
      <c r="BU143" s="1840"/>
      <c r="BV143" s="1837"/>
      <c r="BW143" s="1838"/>
      <c r="BX143" s="1837"/>
      <c r="BY143" s="1838"/>
      <c r="BZ143" s="1839"/>
      <c r="CA143" s="1840"/>
      <c r="CB143" s="1837"/>
      <c r="CC143" s="1838"/>
      <c r="CD143" s="1837"/>
      <c r="CE143" s="1838"/>
      <c r="CF143" s="1839"/>
      <c r="CG143" s="1840"/>
      <c r="CH143" s="1837"/>
      <c r="CI143" s="1838"/>
      <c r="CJ143" s="1837"/>
      <c r="CK143" s="1838"/>
      <c r="CL143" s="1839"/>
      <c r="CM143" s="1840"/>
      <c r="CN143" s="1837"/>
      <c r="CO143" s="1838"/>
      <c r="CP143" s="1837"/>
      <c r="CQ143" s="1838"/>
      <c r="CR143" s="1839"/>
      <c r="CS143" s="1840"/>
      <c r="CT143" s="1837"/>
      <c r="CU143" s="1838"/>
      <c r="CV143" s="1837"/>
      <c r="CW143" s="1838"/>
      <c r="CX143" s="1839"/>
      <c r="CY143" s="1840"/>
      <c r="CZ143" s="1837"/>
      <c r="DA143" s="1838"/>
      <c r="DB143" s="1837"/>
      <c r="DC143" s="1838"/>
      <c r="DD143" s="1839"/>
      <c r="DE143" s="1840"/>
      <c r="DF143" s="1837"/>
      <c r="DG143" s="1838"/>
      <c r="DH143" s="1837"/>
      <c r="DI143" s="1838"/>
      <c r="DJ143" s="1839"/>
      <c r="DK143" s="1840"/>
      <c r="DL143" s="1837"/>
      <c r="DM143" s="1838"/>
      <c r="DN143" s="1837"/>
      <c r="DO143" s="1838"/>
      <c r="DP143" s="1837"/>
      <c r="DQ143" s="1853"/>
      <c r="DR143" s="1837"/>
      <c r="DS143" s="1838"/>
      <c r="DT143" s="1842"/>
      <c r="DU143" s="1837"/>
      <c r="DV143" s="1839"/>
      <c r="DW143" s="1840"/>
      <c r="DX143" s="1837"/>
      <c r="DY143" s="1838"/>
      <c r="DZ143" s="1837"/>
      <c r="EA143" s="1838"/>
      <c r="EB143" s="1839"/>
      <c r="EC143" s="1840"/>
      <c r="ED143" s="1837"/>
      <c r="EE143" s="1838"/>
      <c r="EF143" s="1837"/>
      <c r="EG143" s="1838"/>
      <c r="EH143" s="1839"/>
      <c r="EI143" s="1840"/>
      <c r="EJ143" s="1837"/>
      <c r="EK143" s="1838"/>
      <c r="EL143" s="1837"/>
      <c r="EM143" s="1838"/>
      <c r="EN143" s="1839"/>
      <c r="EO143" s="1840"/>
      <c r="EP143" s="1837"/>
      <c r="EQ143" s="1838"/>
      <c r="ER143" s="1837"/>
      <c r="ES143" s="1838"/>
      <c r="ET143" s="1839"/>
      <c r="EU143" s="1840"/>
      <c r="EV143" s="1837"/>
      <c r="EW143" s="1838"/>
      <c r="EX143" s="1837"/>
      <c r="EY143" s="1838"/>
      <c r="EZ143" s="1839"/>
      <c r="FA143" s="1840"/>
      <c r="FB143" s="1837"/>
      <c r="FC143" s="1838"/>
      <c r="FD143" s="1837"/>
      <c r="FE143" s="1838"/>
      <c r="FF143" s="1839"/>
      <c r="FG143" s="1840"/>
      <c r="FH143" s="1837"/>
      <c r="FI143" s="1838"/>
      <c r="FJ143" s="1837"/>
      <c r="FK143" s="1838"/>
      <c r="FL143" s="1839"/>
      <c r="FM143" s="1840"/>
      <c r="FN143" s="1837"/>
      <c r="FO143" s="1838"/>
      <c r="FP143" s="1837"/>
      <c r="FQ143" s="1838"/>
      <c r="FR143" s="1839"/>
      <c r="FS143" s="1840"/>
      <c r="FT143" s="1837"/>
      <c r="FU143" s="1838"/>
      <c r="FV143" s="1837"/>
      <c r="FW143" s="1838"/>
      <c r="FX143" s="1839"/>
      <c r="FY143" s="1840"/>
      <c r="FZ143" s="1837"/>
      <c r="GA143" s="1838"/>
      <c r="GB143" s="1837"/>
      <c r="GC143" s="1838"/>
      <c r="GD143" s="1839"/>
      <c r="GE143" s="1840"/>
      <c r="GF143" s="1837"/>
      <c r="GG143" s="1838"/>
      <c r="GH143" s="1837"/>
      <c r="GI143" s="1838"/>
      <c r="GJ143" s="1839"/>
      <c r="GK143" s="1840"/>
      <c r="GL143" s="1837"/>
      <c r="GM143" s="1838"/>
      <c r="GN143" s="1837"/>
      <c r="GO143" s="1838"/>
      <c r="GP143" s="1839"/>
    </row>
    <row r="144" spans="1:198" ht="20.100000000000001" hidden="1" customHeight="1" outlineLevel="1">
      <c r="A144" s="2709"/>
      <c r="B144" s="2612"/>
      <c r="C144" s="1858"/>
      <c r="D144" s="2614" t="str">
        <f>実績!C1224&amp;"("&amp;SUBSTITUTE(実績!R1224&amp;")","株式会社 ","")</f>
        <v>スギ薬局 八王子別所(三宅建築設計事務所)</v>
      </c>
      <c r="E144" s="2617"/>
      <c r="F144" s="2617"/>
      <c r="G144" s="2617"/>
      <c r="H144" s="2617"/>
      <c r="I144" s="2617"/>
      <c r="J144" s="2617"/>
      <c r="K144" s="2617"/>
      <c r="L144" s="2617"/>
      <c r="M144" s="2617"/>
      <c r="N144" s="2617"/>
      <c r="O144" s="2617"/>
      <c r="P144" s="2617"/>
      <c r="Q144" s="2618"/>
      <c r="R144" s="1970"/>
      <c r="S144" s="1837"/>
      <c r="T144" s="1837"/>
      <c r="U144" s="1837"/>
      <c r="V144" s="1837"/>
      <c r="W144" s="1837"/>
      <c r="X144" s="1837"/>
      <c r="Y144" s="1837"/>
      <c r="Z144" s="1837"/>
      <c r="AA144" s="1837"/>
      <c r="AB144" s="1837"/>
      <c r="AC144" s="1837"/>
      <c r="AD144" s="1837"/>
      <c r="AE144" s="1837"/>
      <c r="AF144" s="1837"/>
      <c r="AG144" s="1837"/>
      <c r="AH144" s="1837"/>
      <c r="AI144" s="1837"/>
      <c r="AJ144" s="1837"/>
      <c r="AK144" s="1837"/>
      <c r="AL144" s="1837"/>
      <c r="AM144" s="1837"/>
      <c r="AN144" s="1837"/>
      <c r="AO144" s="1837"/>
      <c r="AP144" s="1837"/>
      <c r="AQ144" s="1837"/>
      <c r="AR144" s="1837"/>
      <c r="AS144" s="1837"/>
      <c r="AT144" s="1837"/>
      <c r="AU144" s="1837"/>
      <c r="AV144" s="1837"/>
      <c r="AW144" s="1840"/>
      <c r="AX144" s="1837"/>
      <c r="AY144" s="1838"/>
      <c r="AZ144" s="1837"/>
      <c r="BA144" s="1838"/>
      <c r="BB144" s="1839"/>
      <c r="BC144" s="1837"/>
      <c r="BD144" s="1837"/>
      <c r="BE144" s="1838"/>
      <c r="BF144" s="1842"/>
      <c r="BG144" s="1838"/>
      <c r="BH144" s="1837"/>
      <c r="BI144" s="1853"/>
      <c r="BJ144" s="1837" t="s">
        <v>9466</v>
      </c>
      <c r="BK144" s="1838"/>
      <c r="BL144" s="1837"/>
      <c r="BM144" s="1838"/>
      <c r="BN144" s="1839"/>
      <c r="BO144" s="1840"/>
      <c r="BP144" s="1837"/>
      <c r="BQ144" s="1838"/>
      <c r="BR144" s="1837"/>
      <c r="BS144" s="1838"/>
      <c r="BT144" s="1839"/>
      <c r="BU144" s="1840" t="s">
        <v>8145</v>
      </c>
      <c r="BV144" s="1837"/>
      <c r="BW144" s="1838"/>
      <c r="BX144" s="1837"/>
      <c r="BY144" s="1838"/>
      <c r="BZ144" s="1839"/>
      <c r="CA144" s="1840"/>
      <c r="CB144" s="1837"/>
      <c r="CC144" s="1838"/>
      <c r="CD144" s="1837"/>
      <c r="CE144" s="1838"/>
      <c r="CF144" s="1839"/>
      <c r="CG144" s="1840"/>
      <c r="CH144" s="1837"/>
      <c r="CI144" s="1838"/>
      <c r="CJ144" s="1837"/>
      <c r="CK144" s="1838"/>
      <c r="CL144" s="1839"/>
      <c r="CM144" s="1840"/>
      <c r="CN144" s="1837"/>
      <c r="CO144" s="1838"/>
      <c r="CP144" s="1837"/>
      <c r="CQ144" s="1838"/>
      <c r="CR144" s="1839"/>
      <c r="CS144" s="1840"/>
      <c r="CT144" s="1837"/>
      <c r="CU144" s="1838"/>
      <c r="CV144" s="1837"/>
      <c r="CW144" s="1838"/>
      <c r="CX144" s="1839"/>
      <c r="CY144" s="1840"/>
      <c r="CZ144" s="1837"/>
      <c r="DA144" s="1838"/>
      <c r="DB144" s="1837"/>
      <c r="DC144" s="1838"/>
      <c r="DD144" s="1839"/>
      <c r="DE144" s="1840"/>
      <c r="DF144" s="1837"/>
      <c r="DG144" s="1838"/>
      <c r="DH144" s="1837"/>
      <c r="DI144" s="1838"/>
      <c r="DJ144" s="1839"/>
      <c r="DK144" s="1840"/>
      <c r="DL144" s="1837"/>
      <c r="DM144" s="1838"/>
      <c r="DN144" s="1837"/>
      <c r="DO144" s="1838"/>
      <c r="DP144" s="1837"/>
      <c r="DQ144" s="1853"/>
      <c r="DR144" s="1837"/>
      <c r="DS144" s="1838"/>
      <c r="DT144" s="1842"/>
      <c r="DU144" s="1837"/>
      <c r="DV144" s="1839"/>
      <c r="DW144" s="1840"/>
      <c r="DX144" s="1837"/>
      <c r="DY144" s="1838"/>
      <c r="DZ144" s="1837"/>
      <c r="EA144" s="1838"/>
      <c r="EB144" s="1839"/>
      <c r="EC144" s="1840"/>
      <c r="ED144" s="1837"/>
      <c r="EE144" s="1838"/>
      <c r="EF144" s="1837"/>
      <c r="EG144" s="1838"/>
      <c r="EH144" s="1839"/>
      <c r="EI144" s="1840"/>
      <c r="EJ144" s="1837"/>
      <c r="EK144" s="1838"/>
      <c r="EL144" s="1837"/>
      <c r="EM144" s="1838"/>
      <c r="EN144" s="1839"/>
      <c r="EO144" s="1840"/>
      <c r="EP144" s="1837"/>
      <c r="EQ144" s="1838"/>
      <c r="ER144" s="1837"/>
      <c r="ES144" s="1838"/>
      <c r="ET144" s="1839"/>
      <c r="EU144" s="1840"/>
      <c r="EV144" s="1837"/>
      <c r="EW144" s="1838"/>
      <c r="EX144" s="1837"/>
      <c r="EY144" s="1838"/>
      <c r="EZ144" s="1839"/>
      <c r="FA144" s="1840"/>
      <c r="FB144" s="1837"/>
      <c r="FC144" s="1838"/>
      <c r="FD144" s="1837"/>
      <c r="FE144" s="1838"/>
      <c r="FF144" s="1839"/>
      <c r="FG144" s="1840"/>
      <c r="FH144" s="1837"/>
      <c r="FI144" s="1838"/>
      <c r="FJ144" s="1837"/>
      <c r="FK144" s="1838"/>
      <c r="FL144" s="1839"/>
      <c r="FM144" s="1840"/>
      <c r="FN144" s="1837"/>
      <c r="FO144" s="1838"/>
      <c r="FP144" s="1837"/>
      <c r="FQ144" s="1838"/>
      <c r="FR144" s="1839"/>
      <c r="FS144" s="1840"/>
      <c r="FT144" s="1837"/>
      <c r="FU144" s="1838"/>
      <c r="FV144" s="1837"/>
      <c r="FW144" s="1838"/>
      <c r="FX144" s="1839"/>
      <c r="FY144" s="1840"/>
      <c r="FZ144" s="1837"/>
      <c r="GA144" s="1838"/>
      <c r="GB144" s="1837"/>
      <c r="GC144" s="1838"/>
      <c r="GD144" s="1839"/>
      <c r="GE144" s="1840"/>
      <c r="GF144" s="1837"/>
      <c r="GG144" s="1838"/>
      <c r="GH144" s="1837"/>
      <c r="GI144" s="1838"/>
      <c r="GJ144" s="1839"/>
      <c r="GK144" s="1840"/>
      <c r="GL144" s="1837"/>
      <c r="GM144" s="1838"/>
      <c r="GN144" s="1837"/>
      <c r="GO144" s="1838"/>
      <c r="GP144" s="1839"/>
    </row>
    <row r="145" spans="1:198" ht="20.100000000000001" hidden="1" customHeight="1" outlineLevel="1">
      <c r="A145" s="2709"/>
      <c r="B145" s="2612"/>
      <c r="C145" s="1858"/>
      <c r="D145" s="2614" t="str">
        <f>実績!C1221&amp;"("&amp;SUBSTITUTE(実績!R1221&amp;")","株式会社 ","")</f>
        <v>ネッツトヨタ東都㈱おおたかの森(a.s.t atelier)</v>
      </c>
      <c r="E145" s="2617"/>
      <c r="F145" s="2617"/>
      <c r="G145" s="2617"/>
      <c r="H145" s="2617"/>
      <c r="I145" s="2617"/>
      <c r="J145" s="2617"/>
      <c r="K145" s="2617"/>
      <c r="L145" s="2617"/>
      <c r="M145" s="2617"/>
      <c r="N145" s="2617"/>
      <c r="O145" s="2617"/>
      <c r="P145" s="2617"/>
      <c r="Q145" s="2618"/>
      <c r="R145" s="1970"/>
      <c r="S145" s="1837"/>
      <c r="T145" s="1837"/>
      <c r="U145" s="1837"/>
      <c r="V145" s="1837"/>
      <c r="W145" s="1837"/>
      <c r="X145" s="1837"/>
      <c r="Y145" s="1837"/>
      <c r="Z145" s="1837"/>
      <c r="AA145" s="1837"/>
      <c r="AB145" s="1837"/>
      <c r="AC145" s="1837"/>
      <c r="AD145" s="1837"/>
      <c r="AE145" s="1837"/>
      <c r="AF145" s="1837"/>
      <c r="AG145" s="1837"/>
      <c r="AH145" s="1837"/>
      <c r="AI145" s="1837"/>
      <c r="AJ145" s="1837"/>
      <c r="AK145" s="1837"/>
      <c r="AL145" s="1837"/>
      <c r="AM145" s="1837"/>
      <c r="AN145" s="1837"/>
      <c r="AO145" s="1837"/>
      <c r="AP145" s="1837"/>
      <c r="AQ145" s="1837"/>
      <c r="AR145" s="1837"/>
      <c r="AS145" s="1837"/>
      <c r="AT145" s="1837"/>
      <c r="AU145" s="1837"/>
      <c r="AV145" s="1837"/>
      <c r="AW145" s="1840"/>
      <c r="AX145" s="1837"/>
      <c r="AY145" s="1838"/>
      <c r="AZ145" s="1837"/>
      <c r="BA145" s="1838"/>
      <c r="BB145" s="1839"/>
      <c r="BC145" s="1837"/>
      <c r="BD145" s="1837"/>
      <c r="BE145" s="1838"/>
      <c r="BF145" s="1842"/>
      <c r="BG145" s="1838"/>
      <c r="BH145" s="1837"/>
      <c r="BI145" s="1853"/>
      <c r="BJ145" s="1842" t="s">
        <v>9466</v>
      </c>
      <c r="BK145" s="1838"/>
      <c r="BL145" s="1837"/>
      <c r="BM145" s="1838"/>
      <c r="BN145" s="1839"/>
      <c r="BO145" s="1840"/>
      <c r="BP145" s="1837"/>
      <c r="BQ145" s="1838"/>
      <c r="BR145" s="1837"/>
      <c r="BS145" s="1838"/>
      <c r="BT145" s="1839"/>
      <c r="BU145" s="1840" t="s">
        <v>9356</v>
      </c>
      <c r="BV145" s="1837"/>
      <c r="BW145" s="1838"/>
      <c r="BX145" s="1837"/>
      <c r="BY145" s="1838"/>
      <c r="BZ145" s="1839"/>
      <c r="CA145" s="1840"/>
      <c r="CB145" s="1837"/>
      <c r="CC145" s="1838"/>
      <c r="CD145" s="1837"/>
      <c r="CE145" s="1838"/>
      <c r="CF145" s="1839"/>
      <c r="CG145" s="1840"/>
      <c r="CH145" s="1837"/>
      <c r="CI145" s="1838"/>
      <c r="CJ145" s="1837"/>
      <c r="CK145" s="1838"/>
      <c r="CL145" s="1839"/>
      <c r="CM145" s="1840"/>
      <c r="CN145" s="1837"/>
      <c r="CO145" s="1838"/>
      <c r="CP145" s="1837"/>
      <c r="CQ145" s="1838"/>
      <c r="CR145" s="1839"/>
      <c r="CS145" s="1840"/>
      <c r="CT145" s="1837"/>
      <c r="CU145" s="1838"/>
      <c r="CV145" s="1837"/>
      <c r="CW145" s="1838"/>
      <c r="CX145" s="1839"/>
      <c r="CY145" s="1840"/>
      <c r="CZ145" s="1837"/>
      <c r="DA145" s="1838"/>
      <c r="DB145" s="1837"/>
      <c r="DC145" s="1838"/>
      <c r="DD145" s="1839"/>
      <c r="DE145" s="1840"/>
      <c r="DF145" s="1837"/>
      <c r="DG145" s="1838"/>
      <c r="DH145" s="1837"/>
      <c r="DI145" s="1838"/>
      <c r="DJ145" s="1839"/>
      <c r="DK145" s="1840"/>
      <c r="DL145" s="1837"/>
      <c r="DM145" s="1838"/>
      <c r="DN145" s="1837"/>
      <c r="DO145" s="1838"/>
      <c r="DP145" s="1837"/>
      <c r="DQ145" s="1853"/>
      <c r="DR145" s="1837"/>
      <c r="DS145" s="1838"/>
      <c r="DT145" s="1842"/>
      <c r="DU145" s="1837"/>
      <c r="DV145" s="1839"/>
      <c r="DW145" s="1840"/>
      <c r="DX145" s="1837"/>
      <c r="DY145" s="1838"/>
      <c r="DZ145" s="1837"/>
      <c r="EA145" s="1838"/>
      <c r="EB145" s="1839"/>
      <c r="EC145" s="1840"/>
      <c r="ED145" s="1837"/>
      <c r="EE145" s="1838"/>
      <c r="EF145" s="1837"/>
      <c r="EG145" s="1838"/>
      <c r="EH145" s="1839"/>
      <c r="EI145" s="1840"/>
      <c r="EJ145" s="1837"/>
      <c r="EK145" s="1838"/>
      <c r="EL145" s="1837"/>
      <c r="EM145" s="1838"/>
      <c r="EN145" s="1839"/>
      <c r="EO145" s="1840"/>
      <c r="EP145" s="1837"/>
      <c r="EQ145" s="1838"/>
      <c r="ER145" s="1837"/>
      <c r="ES145" s="1838"/>
      <c r="ET145" s="1839"/>
      <c r="EU145" s="1840"/>
      <c r="EV145" s="1837"/>
      <c r="EW145" s="1838"/>
      <c r="EX145" s="1837"/>
      <c r="EY145" s="1838"/>
      <c r="EZ145" s="1839"/>
      <c r="FA145" s="1840"/>
      <c r="FB145" s="1837"/>
      <c r="FC145" s="1838"/>
      <c r="FD145" s="1837"/>
      <c r="FE145" s="1838"/>
      <c r="FF145" s="1839"/>
      <c r="FG145" s="1840"/>
      <c r="FH145" s="1837"/>
      <c r="FI145" s="1838"/>
      <c r="FJ145" s="1837"/>
      <c r="FK145" s="1838"/>
      <c r="FL145" s="1839"/>
      <c r="FM145" s="1840"/>
      <c r="FN145" s="1837"/>
      <c r="FO145" s="1838"/>
      <c r="FP145" s="1837"/>
      <c r="FQ145" s="1838"/>
      <c r="FR145" s="1839"/>
      <c r="FS145" s="1840"/>
      <c r="FT145" s="1837"/>
      <c r="FU145" s="1838"/>
      <c r="FV145" s="1837"/>
      <c r="FW145" s="1838"/>
      <c r="FX145" s="1839"/>
      <c r="FY145" s="1840"/>
      <c r="FZ145" s="1837"/>
      <c r="GA145" s="1838"/>
      <c r="GB145" s="1837"/>
      <c r="GC145" s="1838"/>
      <c r="GD145" s="1839"/>
      <c r="GE145" s="1840"/>
      <c r="GF145" s="1837"/>
      <c r="GG145" s="1838"/>
      <c r="GH145" s="1837"/>
      <c r="GI145" s="1838"/>
      <c r="GJ145" s="1839"/>
      <c r="GK145" s="1840"/>
      <c r="GL145" s="1837"/>
      <c r="GM145" s="1838"/>
      <c r="GN145" s="1837"/>
      <c r="GO145" s="1838"/>
      <c r="GP145" s="1839"/>
    </row>
    <row r="146" spans="1:198" ht="20.100000000000001" hidden="1" customHeight="1" outlineLevel="1" collapsed="1">
      <c r="A146" s="2709"/>
      <c r="B146" s="2612"/>
      <c r="C146" s="1858"/>
      <c r="D146" s="2614" t="str">
        <f>実績!C1223&amp;"("&amp;SUBSTITUTE(実績!R1223&amp;")","株式会社 ","")</f>
        <v>大京新工場従業員宿舎(吉光組)</v>
      </c>
      <c r="E146" s="2617"/>
      <c r="F146" s="2617"/>
      <c r="G146" s="2617"/>
      <c r="H146" s="2617"/>
      <c r="I146" s="2617"/>
      <c r="J146" s="2617"/>
      <c r="K146" s="2617"/>
      <c r="L146" s="2617"/>
      <c r="M146" s="2617"/>
      <c r="N146" s="2617"/>
      <c r="O146" s="2617"/>
      <c r="P146" s="2617"/>
      <c r="Q146" s="2618"/>
      <c r="R146" s="1970"/>
      <c r="S146" s="1837"/>
      <c r="T146" s="1837"/>
      <c r="U146" s="1837"/>
      <c r="V146" s="1837"/>
      <c r="W146" s="1837"/>
      <c r="X146" s="1837"/>
      <c r="Y146" s="1837"/>
      <c r="Z146" s="1837"/>
      <c r="AA146" s="1837"/>
      <c r="AB146" s="1837"/>
      <c r="AC146" s="1837"/>
      <c r="AD146" s="1837"/>
      <c r="AE146" s="1837"/>
      <c r="AF146" s="1837"/>
      <c r="AG146" s="1837"/>
      <c r="AH146" s="1837"/>
      <c r="AI146" s="1837"/>
      <c r="AJ146" s="1837"/>
      <c r="AK146" s="1837"/>
      <c r="AL146" s="1837"/>
      <c r="AM146" s="1837"/>
      <c r="AN146" s="1837"/>
      <c r="AO146" s="1837"/>
      <c r="AP146" s="1837"/>
      <c r="AQ146" s="1837"/>
      <c r="AR146" s="1837"/>
      <c r="AS146" s="1837"/>
      <c r="AT146" s="1837"/>
      <c r="AU146" s="1837"/>
      <c r="AV146" s="1837"/>
      <c r="AW146" s="1840"/>
      <c r="AX146" s="1837"/>
      <c r="AY146" s="1838"/>
      <c r="AZ146" s="1837"/>
      <c r="BA146" s="1838"/>
      <c r="BB146" s="1839"/>
      <c r="BC146" s="1837"/>
      <c r="BD146" s="1837"/>
      <c r="BE146" s="1838"/>
      <c r="BF146" s="1842"/>
      <c r="BG146" s="1838"/>
      <c r="BH146" s="1837"/>
      <c r="BI146" s="1853"/>
      <c r="BJ146" s="1837"/>
      <c r="BK146" s="1838" t="s">
        <v>9513</v>
      </c>
      <c r="BL146" s="1837"/>
      <c r="BM146" s="1838"/>
      <c r="BN146" s="1839"/>
      <c r="BO146" s="1840" t="s">
        <v>8145</v>
      </c>
      <c r="BP146" s="1837"/>
      <c r="BQ146" s="1838"/>
      <c r="BR146" s="1837"/>
      <c r="BS146" s="1838"/>
      <c r="BT146" s="1839"/>
      <c r="BU146" s="1840"/>
      <c r="BV146" s="1837"/>
      <c r="BW146" s="1838"/>
      <c r="BX146" s="1837"/>
      <c r="BY146" s="1838"/>
      <c r="BZ146" s="1839"/>
      <c r="CA146" s="1840"/>
      <c r="CB146" s="1837"/>
      <c r="CC146" s="1838"/>
      <c r="CD146" s="1837"/>
      <c r="CE146" s="1838"/>
      <c r="CF146" s="1839"/>
      <c r="CG146" s="1840"/>
      <c r="CH146" s="1837"/>
      <c r="CI146" s="1838"/>
      <c r="CJ146" s="1837"/>
      <c r="CK146" s="1838"/>
      <c r="CL146" s="1839"/>
      <c r="CM146" s="1840"/>
      <c r="CN146" s="1837"/>
      <c r="CO146" s="1838"/>
      <c r="CP146" s="1837"/>
      <c r="CQ146" s="1838"/>
      <c r="CR146" s="1839"/>
      <c r="CS146" s="1840"/>
      <c r="CT146" s="1837"/>
      <c r="CU146" s="1838"/>
      <c r="CV146" s="1837"/>
      <c r="CW146" s="1838"/>
      <c r="CX146" s="1839"/>
      <c r="CY146" s="1840"/>
      <c r="CZ146" s="1837"/>
      <c r="DA146" s="1838"/>
      <c r="DB146" s="1837"/>
      <c r="DC146" s="1838"/>
      <c r="DD146" s="1839"/>
      <c r="DE146" s="1840"/>
      <c r="DF146" s="1837"/>
      <c r="DG146" s="1838"/>
      <c r="DH146" s="1837"/>
      <c r="DI146" s="1838"/>
      <c r="DJ146" s="1839"/>
      <c r="DK146" s="1840"/>
      <c r="DL146" s="1837"/>
      <c r="DM146" s="1838"/>
      <c r="DN146" s="1837"/>
      <c r="DO146" s="1838"/>
      <c r="DP146" s="1837"/>
      <c r="DQ146" s="1853"/>
      <c r="DR146" s="1837"/>
      <c r="DS146" s="1838"/>
      <c r="DT146" s="1842"/>
      <c r="DU146" s="1837"/>
      <c r="DV146" s="1839"/>
      <c r="DW146" s="1840"/>
      <c r="DX146" s="1837"/>
      <c r="DY146" s="1838"/>
      <c r="DZ146" s="1837"/>
      <c r="EA146" s="1838"/>
      <c r="EB146" s="1839"/>
      <c r="EC146" s="1840"/>
      <c r="ED146" s="1837"/>
      <c r="EE146" s="1838"/>
      <c r="EF146" s="1837"/>
      <c r="EG146" s="1838"/>
      <c r="EH146" s="1839"/>
      <c r="EI146" s="1840"/>
      <c r="EJ146" s="1837"/>
      <c r="EK146" s="1838"/>
      <c r="EL146" s="1837"/>
      <c r="EM146" s="1838"/>
      <c r="EN146" s="1839"/>
      <c r="EO146" s="1840"/>
      <c r="EP146" s="1837"/>
      <c r="EQ146" s="1838"/>
      <c r="ER146" s="1837"/>
      <c r="ES146" s="1838"/>
      <c r="ET146" s="1839"/>
      <c r="EU146" s="1840"/>
      <c r="EV146" s="1837"/>
      <c r="EW146" s="1838"/>
      <c r="EX146" s="1837"/>
      <c r="EY146" s="1838"/>
      <c r="EZ146" s="1839"/>
      <c r="FA146" s="1840"/>
      <c r="FB146" s="1837"/>
      <c r="FC146" s="1838"/>
      <c r="FD146" s="1837"/>
      <c r="FE146" s="1838"/>
      <c r="FF146" s="1839"/>
      <c r="FG146" s="1840"/>
      <c r="FH146" s="1837"/>
      <c r="FI146" s="1838"/>
      <c r="FJ146" s="1837"/>
      <c r="FK146" s="1838"/>
      <c r="FL146" s="1839"/>
      <c r="FM146" s="1840"/>
      <c r="FN146" s="1837"/>
      <c r="FO146" s="1838"/>
      <c r="FP146" s="1837"/>
      <c r="FQ146" s="1838"/>
      <c r="FR146" s="1839"/>
      <c r="FS146" s="1840"/>
      <c r="FT146" s="1837"/>
      <c r="FU146" s="1838"/>
      <c r="FV146" s="1837"/>
      <c r="FW146" s="1838"/>
      <c r="FX146" s="1839"/>
      <c r="FY146" s="1840"/>
      <c r="FZ146" s="1837"/>
      <c r="GA146" s="1838"/>
      <c r="GB146" s="1837"/>
      <c r="GC146" s="1838"/>
      <c r="GD146" s="1839"/>
      <c r="GE146" s="1840"/>
      <c r="GF146" s="1837"/>
      <c r="GG146" s="1838"/>
      <c r="GH146" s="1837"/>
      <c r="GI146" s="1838"/>
      <c r="GJ146" s="1839"/>
      <c r="GK146" s="1840"/>
      <c r="GL146" s="1837"/>
      <c r="GM146" s="1838"/>
      <c r="GN146" s="1837"/>
      <c r="GO146" s="1838"/>
      <c r="GP146" s="1839"/>
    </row>
    <row r="147" spans="1:198" ht="20.100000000000001" hidden="1" customHeight="1" outlineLevel="1">
      <c r="A147" s="2709"/>
      <c r="B147" s="2612"/>
      <c r="C147" s="1858"/>
      <c r="D147" s="2614" t="str">
        <f>実績!C1218&amp;"("&amp;SUBSTITUTE(実績!W1218&amp;")","株式会社 ","")</f>
        <v>日本海冷凍魚 冷蔵庫(平設計)</v>
      </c>
      <c r="E147" s="2617"/>
      <c r="F147" s="2617"/>
      <c r="G147" s="2617"/>
      <c r="H147" s="2617"/>
      <c r="I147" s="2617"/>
      <c r="J147" s="2617"/>
      <c r="K147" s="2617"/>
      <c r="L147" s="2617"/>
      <c r="M147" s="2617"/>
      <c r="N147" s="2617"/>
      <c r="O147" s="2617"/>
      <c r="P147" s="2617"/>
      <c r="Q147" s="2618"/>
      <c r="R147" s="1970"/>
      <c r="S147" s="1837"/>
      <c r="T147" s="1837"/>
      <c r="U147" s="1837"/>
      <c r="V147" s="1837"/>
      <c r="W147" s="1837"/>
      <c r="X147" s="1837"/>
      <c r="Y147" s="1837"/>
      <c r="Z147" s="1837"/>
      <c r="AA147" s="1837"/>
      <c r="AB147" s="1837"/>
      <c r="AC147" s="1837"/>
      <c r="AD147" s="1837"/>
      <c r="AE147" s="1837"/>
      <c r="AF147" s="1837"/>
      <c r="AG147" s="1837"/>
      <c r="AH147" s="1837"/>
      <c r="AI147" s="1837"/>
      <c r="AJ147" s="1837"/>
      <c r="AK147" s="1837"/>
      <c r="AL147" s="1837"/>
      <c r="AM147" s="1837"/>
      <c r="AN147" s="1837"/>
      <c r="AO147" s="1837"/>
      <c r="AP147" s="1837"/>
      <c r="AQ147" s="1837"/>
      <c r="AR147" s="1837"/>
      <c r="AS147" s="1837"/>
      <c r="AT147" s="1837"/>
      <c r="AU147" s="1837"/>
      <c r="AV147" s="1837"/>
      <c r="AW147" s="1837"/>
      <c r="AX147" s="1837"/>
      <c r="AY147" s="1837"/>
      <c r="AZ147" s="1837"/>
      <c r="BA147" s="1837"/>
      <c r="BB147" s="1837"/>
      <c r="BC147" s="1837"/>
      <c r="BD147" s="1837"/>
      <c r="BE147" s="1838"/>
      <c r="BF147" s="1837"/>
      <c r="BG147" s="1838"/>
      <c r="BH147" s="1837"/>
      <c r="BI147" s="1853"/>
      <c r="BJ147" s="1837"/>
      <c r="BK147" s="1838" t="s">
        <v>9513</v>
      </c>
      <c r="BL147" s="1837"/>
      <c r="BM147" s="1838"/>
      <c r="BN147" s="1839"/>
      <c r="BO147" s="1840"/>
      <c r="BP147" s="1837"/>
      <c r="BQ147" s="1838"/>
      <c r="BR147" s="1837"/>
      <c r="BS147" s="1838"/>
      <c r="BT147" s="1839"/>
      <c r="BU147" s="1840" t="s">
        <v>8145</v>
      </c>
      <c r="BV147" s="1837"/>
      <c r="BW147" s="1838"/>
      <c r="BX147" s="1837"/>
      <c r="BY147" s="1838"/>
      <c r="BZ147" s="1839"/>
      <c r="CA147" s="1840"/>
      <c r="CB147" s="1837"/>
      <c r="CC147" s="1838"/>
      <c r="CD147" s="1837"/>
      <c r="CE147" s="1838"/>
      <c r="CF147" s="1839"/>
      <c r="CG147" s="1840"/>
      <c r="CH147" s="1837"/>
      <c r="CI147" s="1838"/>
      <c r="CJ147" s="1837"/>
      <c r="CK147" s="1838"/>
      <c r="CL147" s="1839"/>
      <c r="CM147" s="1840"/>
      <c r="CN147" s="1837"/>
      <c r="CO147" s="1838"/>
      <c r="CP147" s="1837"/>
      <c r="CQ147" s="1838"/>
      <c r="CR147" s="1839"/>
      <c r="CS147" s="1840"/>
      <c r="CT147" s="1837"/>
      <c r="CU147" s="1838"/>
      <c r="CV147" s="1837"/>
      <c r="CW147" s="1838"/>
      <c r="CX147" s="1839"/>
      <c r="CY147" s="1840"/>
      <c r="CZ147" s="1837"/>
      <c r="DA147" s="1838"/>
      <c r="DB147" s="1837"/>
      <c r="DC147" s="1838"/>
      <c r="DD147" s="1839"/>
      <c r="DE147" s="1840"/>
      <c r="DF147" s="1837"/>
      <c r="DG147" s="1838"/>
      <c r="DH147" s="1837"/>
      <c r="DI147" s="1838"/>
      <c r="DJ147" s="1839"/>
      <c r="DK147" s="1840"/>
      <c r="DL147" s="1837"/>
      <c r="DM147" s="1838"/>
      <c r="DN147" s="1837"/>
      <c r="DO147" s="1838"/>
      <c r="DP147" s="1837"/>
      <c r="DQ147" s="1853"/>
      <c r="DR147" s="1837"/>
      <c r="DS147" s="1838"/>
      <c r="DT147" s="1842"/>
      <c r="DU147" s="1837"/>
      <c r="DV147" s="1839"/>
      <c r="DW147" s="1840"/>
      <c r="DX147" s="1837"/>
      <c r="DY147" s="1838"/>
      <c r="DZ147" s="1837"/>
      <c r="EA147" s="1838"/>
      <c r="EB147" s="1839"/>
      <c r="EC147" s="1840"/>
      <c r="ED147" s="1837"/>
      <c r="EE147" s="1838"/>
      <c r="EF147" s="1837"/>
      <c r="EG147" s="1838"/>
      <c r="EH147" s="1839"/>
      <c r="EI147" s="1840"/>
      <c r="EJ147" s="1837"/>
      <c r="EK147" s="1838"/>
      <c r="EL147" s="1837"/>
      <c r="EM147" s="1838"/>
      <c r="EN147" s="1839"/>
      <c r="EO147" s="1840"/>
      <c r="EP147" s="1837"/>
      <c r="EQ147" s="1838"/>
      <c r="ER147" s="1837"/>
      <c r="ES147" s="1838"/>
      <c r="ET147" s="1839"/>
      <c r="EU147" s="1840"/>
      <c r="EV147" s="1837"/>
      <c r="EW147" s="1838"/>
      <c r="EX147" s="1837"/>
      <c r="EY147" s="1838"/>
      <c r="EZ147" s="1839"/>
      <c r="FA147" s="1840"/>
      <c r="FB147" s="1837"/>
      <c r="FC147" s="1838"/>
      <c r="FD147" s="1837"/>
      <c r="FE147" s="1838"/>
      <c r="FF147" s="1839"/>
      <c r="FG147" s="1840"/>
      <c r="FH147" s="1837"/>
      <c r="FI147" s="1838"/>
      <c r="FJ147" s="1837"/>
      <c r="FK147" s="1838"/>
      <c r="FL147" s="1839"/>
      <c r="FM147" s="1840"/>
      <c r="FN147" s="1837"/>
      <c r="FO147" s="1838"/>
      <c r="FP147" s="1837"/>
      <c r="FQ147" s="1838"/>
      <c r="FR147" s="1839"/>
      <c r="FS147" s="1840"/>
      <c r="FT147" s="1837"/>
      <c r="FU147" s="1838"/>
      <c r="FV147" s="1837"/>
      <c r="FW147" s="1838"/>
      <c r="FX147" s="1839"/>
      <c r="FY147" s="1840"/>
      <c r="FZ147" s="1837"/>
      <c r="GA147" s="1838"/>
      <c r="GB147" s="1837"/>
      <c r="GC147" s="1838"/>
      <c r="GD147" s="1839"/>
      <c r="GE147" s="1840"/>
      <c r="GF147" s="1837"/>
      <c r="GG147" s="1838"/>
      <c r="GH147" s="1837"/>
      <c r="GI147" s="1838"/>
      <c r="GJ147" s="1839"/>
      <c r="GK147" s="1840"/>
      <c r="GL147" s="1837"/>
      <c r="GM147" s="1838"/>
      <c r="GN147" s="1837"/>
      <c r="GO147" s="1838"/>
      <c r="GP147" s="1839"/>
    </row>
    <row r="148" spans="1:198" ht="20.100000000000001" hidden="1" customHeight="1" outlineLevel="1">
      <c r="A148" s="2709"/>
      <c r="B148" s="2612"/>
      <c r="C148" s="1858"/>
      <c r="D148" s="2614" t="str">
        <f>実績!C1229&amp;"("&amp;SUBSTITUTE(実績!W1229&amp;")","株式会社 ","")</f>
        <v>Audi青森ショールーム(一級建築士事務所 Mkozo)</v>
      </c>
      <c r="E148" s="2617"/>
      <c r="F148" s="2617"/>
      <c r="G148" s="2617"/>
      <c r="H148" s="2617"/>
      <c r="I148" s="2617"/>
      <c r="J148" s="2617"/>
      <c r="K148" s="2617"/>
      <c r="L148" s="2617"/>
      <c r="M148" s="2617"/>
      <c r="N148" s="2617"/>
      <c r="O148" s="2617"/>
      <c r="P148" s="2617"/>
      <c r="Q148" s="2618"/>
      <c r="R148" s="1970"/>
      <c r="S148" s="1837"/>
      <c r="T148" s="1837"/>
      <c r="U148" s="1837"/>
      <c r="V148" s="1837"/>
      <c r="W148" s="1837"/>
      <c r="X148" s="1837"/>
      <c r="Y148" s="1837"/>
      <c r="Z148" s="1837"/>
      <c r="AA148" s="1837"/>
      <c r="AB148" s="1837"/>
      <c r="AC148" s="1837"/>
      <c r="AD148" s="1837"/>
      <c r="AE148" s="1837"/>
      <c r="AF148" s="1837"/>
      <c r="AG148" s="1837"/>
      <c r="AH148" s="1837"/>
      <c r="AI148" s="1837"/>
      <c r="AJ148" s="1837"/>
      <c r="AK148" s="1837"/>
      <c r="AL148" s="1837"/>
      <c r="AM148" s="1837"/>
      <c r="AN148" s="1837"/>
      <c r="AO148" s="1837"/>
      <c r="AP148" s="1837"/>
      <c r="AQ148" s="1837"/>
      <c r="AR148" s="1837"/>
      <c r="AS148" s="1837"/>
      <c r="AT148" s="1837"/>
      <c r="AU148" s="1837"/>
      <c r="AV148" s="1837"/>
      <c r="AW148" s="1840"/>
      <c r="AX148" s="1837"/>
      <c r="AY148" s="1838"/>
      <c r="AZ148" s="1837"/>
      <c r="BA148" s="1838"/>
      <c r="BB148" s="1839"/>
      <c r="BC148" s="1837"/>
      <c r="BD148" s="1837"/>
      <c r="BE148" s="1838"/>
      <c r="BF148" s="1842"/>
      <c r="BG148" s="1838"/>
      <c r="BH148" s="1837"/>
      <c r="BI148" s="1853"/>
      <c r="BJ148" s="1837"/>
      <c r="BK148" s="1838"/>
      <c r="BL148" s="1837" t="s">
        <v>9466</v>
      </c>
      <c r="BM148" s="1838"/>
      <c r="BN148" s="1839"/>
      <c r="BO148" s="1840"/>
      <c r="BP148" s="1837"/>
      <c r="BQ148" s="1838"/>
      <c r="BR148" s="1837"/>
      <c r="BS148" s="1838"/>
      <c r="BT148" s="1839"/>
      <c r="BU148" s="1840" t="s">
        <v>8145</v>
      </c>
      <c r="BV148" s="1837"/>
      <c r="BW148" s="1838"/>
      <c r="BX148" s="1837"/>
      <c r="BY148" s="1838"/>
      <c r="BZ148" s="1839"/>
      <c r="CA148" s="1840"/>
      <c r="CB148" s="1837"/>
      <c r="CC148" s="1838"/>
      <c r="CD148" s="1837"/>
      <c r="CE148" s="1838"/>
      <c r="CF148" s="1839"/>
      <c r="CG148" s="1840"/>
      <c r="CH148" s="1837"/>
      <c r="CI148" s="1838"/>
      <c r="CJ148" s="1837"/>
      <c r="CK148" s="1838"/>
      <c r="CL148" s="1839"/>
      <c r="CM148" s="1840"/>
      <c r="CN148" s="1837"/>
      <c r="CO148" s="1838"/>
      <c r="CP148" s="1837"/>
      <c r="CQ148" s="1838"/>
      <c r="CR148" s="1839"/>
      <c r="CS148" s="1840"/>
      <c r="CT148" s="1837"/>
      <c r="CU148" s="1838"/>
      <c r="CV148" s="1837"/>
      <c r="CW148" s="1838"/>
      <c r="CX148" s="1839"/>
      <c r="CY148" s="1840"/>
      <c r="CZ148" s="1837"/>
      <c r="DA148" s="1838"/>
      <c r="DB148" s="1837"/>
      <c r="DC148" s="1838"/>
      <c r="DD148" s="1839"/>
      <c r="DE148" s="1840"/>
      <c r="DF148" s="1837"/>
      <c r="DG148" s="1838"/>
      <c r="DH148" s="1837"/>
      <c r="DI148" s="1838"/>
      <c r="DJ148" s="1839"/>
      <c r="DK148" s="1840"/>
      <c r="DL148" s="1837"/>
      <c r="DM148" s="1838"/>
      <c r="DN148" s="1837"/>
      <c r="DO148" s="1838"/>
      <c r="DP148" s="1837"/>
      <c r="DQ148" s="1853"/>
      <c r="DR148" s="1837"/>
      <c r="DS148" s="1838"/>
      <c r="DT148" s="1842"/>
      <c r="DU148" s="1837"/>
      <c r="DV148" s="1839"/>
      <c r="DW148" s="1840"/>
      <c r="DX148" s="1837"/>
      <c r="DY148" s="1838"/>
      <c r="DZ148" s="1837"/>
      <c r="EA148" s="1838"/>
      <c r="EB148" s="1839"/>
      <c r="EC148" s="1840"/>
      <c r="ED148" s="1837"/>
      <c r="EE148" s="1838"/>
      <c r="EF148" s="1837"/>
      <c r="EG148" s="1838"/>
      <c r="EH148" s="1839"/>
      <c r="EI148" s="1840"/>
      <c r="EJ148" s="1837"/>
      <c r="EK148" s="1838"/>
      <c r="EL148" s="1837"/>
      <c r="EM148" s="1838"/>
      <c r="EN148" s="1839"/>
      <c r="EO148" s="1840"/>
      <c r="EP148" s="1837"/>
      <c r="EQ148" s="1838"/>
      <c r="ER148" s="1837"/>
      <c r="ES148" s="1838"/>
      <c r="ET148" s="1839"/>
      <c r="EU148" s="1840"/>
      <c r="EV148" s="1837"/>
      <c r="EW148" s="1838"/>
      <c r="EX148" s="1837"/>
      <c r="EY148" s="1838"/>
      <c r="EZ148" s="1839"/>
      <c r="FA148" s="1840"/>
      <c r="FB148" s="1837"/>
      <c r="FC148" s="1838"/>
      <c r="FD148" s="1837"/>
      <c r="FE148" s="1838"/>
      <c r="FF148" s="1839"/>
      <c r="FG148" s="1840"/>
      <c r="FH148" s="1837"/>
      <c r="FI148" s="1838"/>
      <c r="FJ148" s="1837"/>
      <c r="FK148" s="1838"/>
      <c r="FL148" s="1839"/>
      <c r="FM148" s="1840"/>
      <c r="FN148" s="1837"/>
      <c r="FO148" s="1838"/>
      <c r="FP148" s="1837"/>
      <c r="FQ148" s="1838"/>
      <c r="FR148" s="1839"/>
      <c r="FS148" s="1840"/>
      <c r="FT148" s="1837"/>
      <c r="FU148" s="1838"/>
      <c r="FV148" s="1837"/>
      <c r="FW148" s="1838"/>
      <c r="FX148" s="1839"/>
      <c r="FY148" s="1840"/>
      <c r="FZ148" s="1837"/>
      <c r="GA148" s="1838"/>
      <c r="GB148" s="1837"/>
      <c r="GC148" s="1838"/>
      <c r="GD148" s="1839"/>
      <c r="GE148" s="1840"/>
      <c r="GF148" s="1837"/>
      <c r="GG148" s="1838"/>
      <c r="GH148" s="1837"/>
      <c r="GI148" s="1838"/>
      <c r="GJ148" s="1839"/>
      <c r="GK148" s="1840"/>
      <c r="GL148" s="1837"/>
      <c r="GM148" s="1838"/>
      <c r="GN148" s="1837"/>
      <c r="GO148" s="1838"/>
      <c r="GP148" s="1839"/>
    </row>
    <row r="149" spans="1:198" ht="20.100000000000001" hidden="1" customHeight="1" outlineLevel="1">
      <c r="A149" s="2709"/>
      <c r="B149" s="2612"/>
      <c r="C149" s="1858"/>
      <c r="D149" s="2614" t="str">
        <f>実績!C1234&amp;"("&amp;SUBSTITUTE(実績!W1234&amp;")","株式会社 ","")</f>
        <v>朝日ヶ丘産業株式会社本地物流センター(横河システム建築)</v>
      </c>
      <c r="E149" s="2617"/>
      <c r="F149" s="2617"/>
      <c r="G149" s="2617"/>
      <c r="H149" s="2617"/>
      <c r="I149" s="2617"/>
      <c r="J149" s="2617"/>
      <c r="K149" s="2617"/>
      <c r="L149" s="2617"/>
      <c r="M149" s="2617"/>
      <c r="N149" s="2617"/>
      <c r="O149" s="2617"/>
      <c r="P149" s="2617"/>
      <c r="Q149" s="2618"/>
      <c r="R149" s="1970"/>
      <c r="S149" s="1837"/>
      <c r="T149" s="1837"/>
      <c r="U149" s="1838"/>
      <c r="V149" s="1837"/>
      <c r="W149" s="1838"/>
      <c r="X149" s="1839"/>
      <c r="Y149" s="1837"/>
      <c r="Z149" s="1837"/>
      <c r="AA149" s="1838"/>
      <c r="AB149" s="1837"/>
      <c r="AC149" s="1838"/>
      <c r="AD149" s="1837"/>
      <c r="AE149" s="1840"/>
      <c r="AF149" s="1837"/>
      <c r="AG149" s="1838"/>
      <c r="AH149" s="1837"/>
      <c r="AI149" s="1838"/>
      <c r="AJ149" s="1839"/>
      <c r="AK149" s="1837"/>
      <c r="AL149" s="1837"/>
      <c r="AM149" s="1838"/>
      <c r="AN149" s="1837"/>
      <c r="AO149" s="1838"/>
      <c r="AP149" s="1837"/>
      <c r="AQ149" s="1841"/>
      <c r="AR149" s="1837"/>
      <c r="AS149" s="1838"/>
      <c r="AT149" s="1837"/>
      <c r="AU149" s="1838" t="s">
        <v>8352</v>
      </c>
      <c r="AV149" s="1839"/>
      <c r="AW149" s="1840"/>
      <c r="AX149" s="1837"/>
      <c r="AY149" s="1838"/>
      <c r="AZ149" s="1837"/>
      <c r="BA149" s="1838"/>
      <c r="BB149" s="1839"/>
      <c r="BC149" s="1837"/>
      <c r="BD149" s="1837"/>
      <c r="BE149" s="1838"/>
      <c r="BF149" s="1837"/>
      <c r="BG149" s="1838"/>
      <c r="BH149" s="1837"/>
      <c r="BI149" s="1840"/>
      <c r="BJ149" s="1837"/>
      <c r="BK149" s="1838"/>
      <c r="BL149" s="1837"/>
      <c r="BM149" s="1838" t="s">
        <v>9513</v>
      </c>
      <c r="BN149" s="1839"/>
      <c r="BO149" s="1840" t="s">
        <v>9516</v>
      </c>
      <c r="BP149" s="1837"/>
      <c r="BQ149" s="1838"/>
      <c r="BR149" s="1837"/>
      <c r="BS149" s="1838"/>
      <c r="BT149" s="1839"/>
      <c r="BU149" s="1840"/>
      <c r="BV149" s="1837"/>
      <c r="BW149" s="1838"/>
      <c r="BX149" s="1837"/>
      <c r="BY149" s="1838"/>
      <c r="BZ149" s="1839"/>
      <c r="CA149" s="1840"/>
      <c r="CB149" s="1837"/>
      <c r="CC149" s="1838"/>
      <c r="CD149" s="1837"/>
      <c r="CE149" s="1838"/>
      <c r="CF149" s="1839"/>
      <c r="CG149" s="1840"/>
      <c r="CH149" s="1837"/>
      <c r="CI149" s="1838"/>
      <c r="CJ149" s="1837"/>
      <c r="CK149" s="1838"/>
      <c r="CL149" s="1839"/>
      <c r="CM149" s="1840"/>
      <c r="CN149" s="1837"/>
      <c r="CO149" s="1838"/>
      <c r="CP149" s="1837"/>
      <c r="CQ149" s="1838"/>
      <c r="CR149" s="1839"/>
      <c r="CS149" s="1840"/>
      <c r="CT149" s="1837"/>
      <c r="CU149" s="1838"/>
      <c r="CV149" s="1837"/>
      <c r="CW149" s="1838"/>
      <c r="CX149" s="1839"/>
      <c r="CY149" s="1840"/>
      <c r="CZ149" s="1837"/>
      <c r="DA149" s="1838"/>
      <c r="DB149" s="1837"/>
      <c r="DC149" s="1838"/>
      <c r="DD149" s="1839"/>
      <c r="DE149" s="1840"/>
      <c r="DF149" s="1837"/>
      <c r="DG149" s="1838"/>
      <c r="DH149" s="1837"/>
      <c r="DI149" s="1838"/>
      <c r="DJ149" s="1839"/>
      <c r="DK149" s="1840"/>
      <c r="DL149" s="1837"/>
      <c r="DM149" s="1838"/>
      <c r="DN149" s="1837"/>
      <c r="DO149" s="1838"/>
      <c r="DP149" s="1837"/>
      <c r="DQ149" s="1853"/>
      <c r="DR149" s="1837"/>
      <c r="DS149" s="1838"/>
      <c r="DT149" s="1842"/>
      <c r="DU149" s="1837"/>
      <c r="DV149" s="1839"/>
      <c r="DW149" s="1840"/>
      <c r="DX149" s="1837"/>
      <c r="DY149" s="1838"/>
      <c r="DZ149" s="1837"/>
      <c r="EA149" s="1838"/>
      <c r="EB149" s="1839"/>
      <c r="EC149" s="1840"/>
      <c r="ED149" s="1837"/>
      <c r="EE149" s="1838"/>
      <c r="EF149" s="1837"/>
      <c r="EG149" s="1838"/>
      <c r="EH149" s="1839"/>
      <c r="EI149" s="1840"/>
      <c r="EJ149" s="1837"/>
      <c r="EK149" s="1838"/>
      <c r="EL149" s="1837"/>
      <c r="EM149" s="1838"/>
      <c r="EN149" s="1839"/>
      <c r="EO149" s="1840"/>
      <c r="EP149" s="1837"/>
      <c r="EQ149" s="1838"/>
      <c r="ER149" s="1837"/>
      <c r="ES149" s="1838"/>
      <c r="ET149" s="1839"/>
      <c r="EU149" s="1840"/>
      <c r="EV149" s="1837"/>
      <c r="EW149" s="1838"/>
      <c r="EX149" s="1837"/>
      <c r="EY149" s="1838"/>
      <c r="EZ149" s="1839"/>
      <c r="FA149" s="1840"/>
      <c r="FB149" s="1837"/>
      <c r="FC149" s="1838"/>
      <c r="FD149" s="1837"/>
      <c r="FE149" s="1838"/>
      <c r="FF149" s="1839"/>
      <c r="FG149" s="1840"/>
      <c r="FH149" s="1837"/>
      <c r="FI149" s="1838"/>
      <c r="FJ149" s="1837"/>
      <c r="FK149" s="1838"/>
      <c r="FL149" s="1839"/>
      <c r="FM149" s="1840"/>
      <c r="FN149" s="1837"/>
      <c r="FO149" s="1838"/>
      <c r="FP149" s="1837"/>
      <c r="FQ149" s="1838"/>
      <c r="FR149" s="1839"/>
      <c r="FS149" s="1840"/>
      <c r="FT149" s="1837"/>
      <c r="FU149" s="1838"/>
      <c r="FV149" s="1837"/>
      <c r="FW149" s="1838"/>
      <c r="FX149" s="1839"/>
      <c r="FY149" s="1840"/>
      <c r="FZ149" s="1837"/>
      <c r="GA149" s="1838"/>
      <c r="GB149" s="1837"/>
      <c r="GC149" s="1838"/>
      <c r="GD149" s="1839"/>
      <c r="GE149" s="1840"/>
      <c r="GF149" s="1837"/>
      <c r="GG149" s="1838"/>
      <c r="GH149" s="1837"/>
      <c r="GI149" s="1838"/>
      <c r="GJ149" s="1839"/>
      <c r="GK149" s="1840"/>
      <c r="GL149" s="1837"/>
      <c r="GM149" s="1838"/>
      <c r="GN149" s="1837"/>
      <c r="GO149" s="1838"/>
      <c r="GP149" s="1839"/>
    </row>
    <row r="150" spans="1:198" ht="20.100000000000001" hidden="1" customHeight="1" outlineLevel="1" collapsed="1">
      <c r="A150" s="2709"/>
      <c r="B150" s="2612"/>
      <c r="C150" s="1858"/>
      <c r="D150" s="2614" t="str">
        <f>実績!C1239&amp;"("&amp;SUBSTITUTE(実績!R1239&amp;")","株式会社 ","")</f>
        <v>ゲンキー羽昨大田(有限会社 オオハタ建築研究所)</v>
      </c>
      <c r="E150" s="2617"/>
      <c r="F150" s="2617"/>
      <c r="G150" s="2617"/>
      <c r="H150" s="2617"/>
      <c r="I150" s="2617"/>
      <c r="J150" s="2617"/>
      <c r="K150" s="2617"/>
      <c r="L150" s="2617"/>
      <c r="M150" s="2617"/>
      <c r="N150" s="2617"/>
      <c r="O150" s="2617"/>
      <c r="P150" s="2617"/>
      <c r="Q150" s="2618"/>
      <c r="R150" s="1970"/>
      <c r="S150" s="1837"/>
      <c r="T150" s="1837"/>
      <c r="U150" s="1837"/>
      <c r="V150" s="1837"/>
      <c r="W150" s="1837"/>
      <c r="X150" s="1837"/>
      <c r="Y150" s="1837"/>
      <c r="Z150" s="1837"/>
      <c r="AA150" s="1837"/>
      <c r="AB150" s="1837"/>
      <c r="AC150" s="1837"/>
      <c r="AD150" s="1837"/>
      <c r="AE150" s="1837"/>
      <c r="AF150" s="1837"/>
      <c r="AG150" s="1837"/>
      <c r="AH150" s="1837"/>
      <c r="AI150" s="1837"/>
      <c r="AJ150" s="1837"/>
      <c r="AK150" s="1837"/>
      <c r="AL150" s="1837"/>
      <c r="AM150" s="1837"/>
      <c r="AN150" s="1837"/>
      <c r="AO150" s="1837"/>
      <c r="AP150" s="1837"/>
      <c r="AQ150" s="1837"/>
      <c r="AR150" s="1837"/>
      <c r="AS150" s="1837"/>
      <c r="AT150" s="1837"/>
      <c r="AU150" s="1837"/>
      <c r="AV150" s="1837"/>
      <c r="AW150" s="1840"/>
      <c r="AX150" s="1837"/>
      <c r="AY150" s="1838"/>
      <c r="AZ150" s="1837"/>
      <c r="BA150" s="1838"/>
      <c r="BB150" s="1839"/>
      <c r="BC150" s="1837"/>
      <c r="BD150" s="1837"/>
      <c r="BE150" s="1838"/>
      <c r="BF150" s="1837"/>
      <c r="BG150" s="1838"/>
      <c r="BH150" s="1837"/>
      <c r="BI150" s="1837"/>
      <c r="BJ150" s="1837"/>
      <c r="BK150" s="1838"/>
      <c r="BL150" s="1837"/>
      <c r="BM150" s="1838"/>
      <c r="BN150" s="1839" t="s">
        <v>9574</v>
      </c>
      <c r="BO150" s="1840"/>
      <c r="BP150" s="1837"/>
      <c r="BQ150" s="1838"/>
      <c r="BR150" s="1837"/>
      <c r="BS150" s="1838"/>
      <c r="BT150" s="1839" t="s">
        <v>9575</v>
      </c>
      <c r="BU150" s="1840"/>
      <c r="BV150" s="1837"/>
      <c r="BW150" s="1838"/>
      <c r="BX150" s="1837"/>
      <c r="BY150" s="1838"/>
      <c r="BZ150" s="1839"/>
      <c r="CA150" s="1840"/>
      <c r="CB150" s="1837"/>
      <c r="CC150" s="1838"/>
      <c r="CD150" s="1837"/>
      <c r="CE150" s="1838"/>
      <c r="CF150" s="1839"/>
      <c r="CG150" s="1840"/>
      <c r="CH150" s="1837"/>
      <c r="CI150" s="1838"/>
      <c r="CJ150" s="1837"/>
      <c r="CK150" s="1838"/>
      <c r="CL150" s="1839"/>
      <c r="CM150" s="1840"/>
      <c r="CN150" s="1837"/>
      <c r="CO150" s="1838"/>
      <c r="CP150" s="1837"/>
      <c r="CQ150" s="1838"/>
      <c r="CR150" s="1839"/>
      <c r="CS150" s="1840"/>
      <c r="CT150" s="1837"/>
      <c r="CU150" s="1838"/>
      <c r="CV150" s="1837"/>
      <c r="CW150" s="1838"/>
      <c r="CX150" s="1839"/>
      <c r="CY150" s="1840"/>
      <c r="CZ150" s="1837"/>
      <c r="DA150" s="1838"/>
      <c r="DB150" s="1837"/>
      <c r="DC150" s="1838"/>
      <c r="DD150" s="1839"/>
      <c r="DE150" s="1840"/>
      <c r="DF150" s="1837"/>
      <c r="DG150" s="1838"/>
      <c r="DH150" s="1837"/>
      <c r="DI150" s="1838"/>
      <c r="DJ150" s="1839"/>
      <c r="DK150" s="1840"/>
      <c r="DL150" s="1837"/>
      <c r="DM150" s="1838"/>
      <c r="DN150" s="1837"/>
      <c r="DO150" s="1838"/>
      <c r="DP150" s="1837"/>
      <c r="DQ150" s="1853"/>
      <c r="DR150" s="1837"/>
      <c r="DS150" s="1838"/>
      <c r="DT150" s="1842"/>
      <c r="DU150" s="1837"/>
      <c r="DV150" s="1839"/>
      <c r="DW150" s="1840"/>
      <c r="DX150" s="1837"/>
      <c r="DY150" s="1838"/>
      <c r="DZ150" s="1837"/>
      <c r="EA150" s="1838"/>
      <c r="EB150" s="1839"/>
      <c r="EC150" s="1840"/>
      <c r="ED150" s="1837"/>
      <c r="EE150" s="1838"/>
      <c r="EF150" s="1837"/>
      <c r="EG150" s="1838"/>
      <c r="EH150" s="1839"/>
      <c r="EI150" s="1840"/>
      <c r="EJ150" s="1837"/>
      <c r="EK150" s="1838"/>
      <c r="EL150" s="1837"/>
      <c r="EM150" s="1838"/>
      <c r="EN150" s="1839"/>
      <c r="EO150" s="1840"/>
      <c r="EP150" s="1837"/>
      <c r="EQ150" s="1838"/>
      <c r="ER150" s="1837"/>
      <c r="ES150" s="1838"/>
      <c r="ET150" s="1839"/>
      <c r="EU150" s="1840"/>
      <c r="EV150" s="1837"/>
      <c r="EW150" s="1838"/>
      <c r="EX150" s="1837"/>
      <c r="EY150" s="1838"/>
      <c r="EZ150" s="1839"/>
      <c r="FA150" s="1840"/>
      <c r="FB150" s="1837"/>
      <c r="FC150" s="1838"/>
      <c r="FD150" s="1837"/>
      <c r="FE150" s="1838"/>
      <c r="FF150" s="1839"/>
      <c r="FG150" s="1840"/>
      <c r="FH150" s="1837"/>
      <c r="FI150" s="1838"/>
      <c r="FJ150" s="1837"/>
      <c r="FK150" s="1838"/>
      <c r="FL150" s="1839"/>
      <c r="FM150" s="1840"/>
      <c r="FN150" s="1837"/>
      <c r="FO150" s="1838"/>
      <c r="FP150" s="1837"/>
      <c r="FQ150" s="1838"/>
      <c r="FR150" s="1839"/>
      <c r="FS150" s="1840"/>
      <c r="FT150" s="1837"/>
      <c r="FU150" s="1838"/>
      <c r="FV150" s="1837"/>
      <c r="FW150" s="1838"/>
      <c r="FX150" s="1839"/>
      <c r="FY150" s="1840"/>
      <c r="FZ150" s="1837"/>
      <c r="GA150" s="1838"/>
      <c r="GB150" s="1837"/>
      <c r="GC150" s="1838"/>
      <c r="GD150" s="1839"/>
      <c r="GE150" s="1840"/>
      <c r="GF150" s="1837"/>
      <c r="GG150" s="1838"/>
      <c r="GH150" s="1837"/>
      <c r="GI150" s="1838"/>
      <c r="GJ150" s="1839"/>
      <c r="GK150" s="1840"/>
      <c r="GL150" s="1837"/>
      <c r="GM150" s="1838"/>
      <c r="GN150" s="1837"/>
      <c r="GO150" s="1838"/>
      <c r="GP150" s="1839"/>
    </row>
    <row r="151" spans="1:198" ht="20.100000000000001" hidden="1" customHeight="1" outlineLevel="1">
      <c r="A151" s="2709"/>
      <c r="B151" s="2612"/>
      <c r="C151" s="1858"/>
      <c r="D151" s="2614" t="str">
        <f>実績!C1237&amp;"("&amp;SUBSTITUTE(実績!R1237&amp;")","株式会社 ","")</f>
        <v>協栄倉庫㈱F棟 危険物倉庫(蔵建築設計事務所)</v>
      </c>
      <c r="E151" s="2617"/>
      <c r="F151" s="2617"/>
      <c r="G151" s="2617"/>
      <c r="H151" s="2617"/>
      <c r="I151" s="2617"/>
      <c r="J151" s="2617"/>
      <c r="K151" s="2617"/>
      <c r="L151" s="2617"/>
      <c r="M151" s="2617"/>
      <c r="N151" s="2617"/>
      <c r="O151" s="2617"/>
      <c r="P151" s="2617"/>
      <c r="Q151" s="2618"/>
      <c r="R151" s="1970"/>
      <c r="S151" s="1837"/>
      <c r="T151" s="1837"/>
      <c r="U151" s="1837"/>
      <c r="V151" s="1837"/>
      <c r="W151" s="1837"/>
      <c r="X151" s="1837"/>
      <c r="Y151" s="1837"/>
      <c r="Z151" s="1837"/>
      <c r="AA151" s="1837"/>
      <c r="AB151" s="1837"/>
      <c r="AC151" s="1837"/>
      <c r="AD151" s="1837"/>
      <c r="AE151" s="1837"/>
      <c r="AF151" s="1837"/>
      <c r="AG151" s="1837"/>
      <c r="AH151" s="1837"/>
      <c r="AI151" s="1837"/>
      <c r="AJ151" s="1837"/>
      <c r="AK151" s="1837"/>
      <c r="AL151" s="1837"/>
      <c r="AM151" s="1837"/>
      <c r="AN151" s="1837"/>
      <c r="AO151" s="1837"/>
      <c r="AP151" s="1837"/>
      <c r="AQ151" s="1837"/>
      <c r="AR151" s="1837"/>
      <c r="AS151" s="1837"/>
      <c r="AT151" s="1837"/>
      <c r="AU151" s="1837"/>
      <c r="AV151" s="1837"/>
      <c r="AW151" s="1840"/>
      <c r="AX151" s="1837"/>
      <c r="AY151" s="1838"/>
      <c r="AZ151" s="1837"/>
      <c r="BA151" s="1838"/>
      <c r="BB151" s="1839"/>
      <c r="BC151" s="1837"/>
      <c r="BD151" s="1837"/>
      <c r="BE151" s="1838"/>
      <c r="BF151" s="1837"/>
      <c r="BG151" s="1838"/>
      <c r="BH151" s="1837"/>
      <c r="BI151" s="1837"/>
      <c r="BJ151" s="1837"/>
      <c r="BK151" s="1838"/>
      <c r="BL151" s="1837"/>
      <c r="BM151" s="1838"/>
      <c r="BN151" s="1839" t="s">
        <v>9574</v>
      </c>
      <c r="BO151" s="1840"/>
      <c r="BP151" s="1837"/>
      <c r="BQ151" s="1838"/>
      <c r="BR151" s="1837"/>
      <c r="BS151" s="1838"/>
      <c r="BT151" s="1839"/>
      <c r="BU151" s="1840"/>
      <c r="BV151" s="1837"/>
      <c r="BW151" s="1838"/>
      <c r="BX151" s="1837"/>
      <c r="BY151" s="1838"/>
      <c r="BZ151" s="1839"/>
      <c r="CA151" s="1840"/>
      <c r="CB151" s="1837"/>
      <c r="CC151" s="1838"/>
      <c r="CD151" s="1837"/>
      <c r="CE151" s="1838"/>
      <c r="CF151" s="1839"/>
      <c r="CG151" s="1840"/>
      <c r="CH151" s="1837"/>
      <c r="CI151" s="1838"/>
      <c r="CJ151" s="1837"/>
      <c r="CK151" s="1838"/>
      <c r="CL151" s="1839"/>
      <c r="CM151" s="1840"/>
      <c r="CN151" s="1837"/>
      <c r="CO151" s="1838"/>
      <c r="CP151" s="1837"/>
      <c r="CQ151" s="1838"/>
      <c r="CR151" s="1839"/>
      <c r="CS151" s="1840"/>
      <c r="CT151" s="1837"/>
      <c r="CU151" s="1838"/>
      <c r="CV151" s="1837"/>
      <c r="CW151" s="1838"/>
      <c r="CX151" s="1839"/>
      <c r="CY151" s="1840"/>
      <c r="CZ151" s="1837"/>
      <c r="DA151" s="1838"/>
      <c r="DB151" s="1837"/>
      <c r="DC151" s="1838"/>
      <c r="DD151" s="1839"/>
      <c r="DE151" s="1840"/>
      <c r="DF151" s="1837"/>
      <c r="DG151" s="1838"/>
      <c r="DH151" s="1837"/>
      <c r="DI151" s="1838"/>
      <c r="DJ151" s="1839"/>
      <c r="DK151" s="1840"/>
      <c r="DL151" s="1837"/>
      <c r="DM151" s="1838"/>
      <c r="DN151" s="1837"/>
      <c r="DO151" s="1838"/>
      <c r="DP151" s="1837"/>
      <c r="DQ151" s="1853"/>
      <c r="DR151" s="1837"/>
      <c r="DS151" s="1838"/>
      <c r="DT151" s="1842"/>
      <c r="DU151" s="1837"/>
      <c r="DV151" s="1839"/>
      <c r="DW151" s="1840"/>
      <c r="DX151" s="1837"/>
      <c r="DY151" s="1838"/>
      <c r="DZ151" s="1837"/>
      <c r="EA151" s="1838"/>
      <c r="EB151" s="1839"/>
      <c r="EC151" s="1840"/>
      <c r="ED151" s="1837"/>
      <c r="EE151" s="1838"/>
      <c r="EF151" s="1837"/>
      <c r="EG151" s="1838"/>
      <c r="EH151" s="1839"/>
      <c r="EI151" s="1840"/>
      <c r="EJ151" s="1837"/>
      <c r="EK151" s="1838"/>
      <c r="EL151" s="1837"/>
      <c r="EM151" s="1838"/>
      <c r="EN151" s="1839"/>
      <c r="EO151" s="1840"/>
      <c r="EP151" s="1837"/>
      <c r="EQ151" s="1838"/>
      <c r="ER151" s="1837"/>
      <c r="ES151" s="1838"/>
      <c r="ET151" s="1839"/>
      <c r="EU151" s="1840"/>
      <c r="EV151" s="1837"/>
      <c r="EW151" s="1838"/>
      <c r="EX151" s="1837"/>
      <c r="EY151" s="1838"/>
      <c r="EZ151" s="1839"/>
      <c r="FA151" s="1840"/>
      <c r="FB151" s="1837"/>
      <c r="FC151" s="1838"/>
      <c r="FD151" s="1837"/>
      <c r="FE151" s="1838"/>
      <c r="FF151" s="1839"/>
      <c r="FG151" s="1840"/>
      <c r="FH151" s="1837"/>
      <c r="FI151" s="1838"/>
      <c r="FJ151" s="1837"/>
      <c r="FK151" s="1838"/>
      <c r="FL151" s="1839"/>
      <c r="FM151" s="1840"/>
      <c r="FN151" s="1837"/>
      <c r="FO151" s="1838"/>
      <c r="FP151" s="1837"/>
      <c r="FQ151" s="1838"/>
      <c r="FR151" s="1839"/>
      <c r="FS151" s="1840"/>
      <c r="FT151" s="1837"/>
      <c r="FU151" s="1838"/>
      <c r="FV151" s="1837"/>
      <c r="FW151" s="1838"/>
      <c r="FX151" s="1839"/>
      <c r="FY151" s="1840"/>
      <c r="FZ151" s="1837"/>
      <c r="GA151" s="1838"/>
      <c r="GB151" s="1837"/>
      <c r="GC151" s="1838"/>
      <c r="GD151" s="1839"/>
      <c r="GE151" s="1840"/>
      <c r="GF151" s="1837"/>
      <c r="GG151" s="1838"/>
      <c r="GH151" s="1837"/>
      <c r="GI151" s="1838"/>
      <c r="GJ151" s="1839"/>
      <c r="GK151" s="1840"/>
      <c r="GL151" s="1837"/>
      <c r="GM151" s="1838"/>
      <c r="GN151" s="1837"/>
      <c r="GO151" s="1838"/>
      <c r="GP151" s="1839"/>
    </row>
    <row r="152" spans="1:198" ht="20.100000000000001" hidden="1" customHeight="1" outlineLevel="1">
      <c r="A152" s="2709"/>
      <c r="B152" s="2612"/>
      <c r="C152" s="1858"/>
      <c r="D152" s="2614" t="str">
        <f>実績!C1240&amp;"("&amp;SUBSTITUTE(実績!R1240&amp;")","株式会社 ","")</f>
        <v>神田橋工業 工場(沢建工業 株式会社)</v>
      </c>
      <c r="E152" s="2617"/>
      <c r="F152" s="2617"/>
      <c r="G152" s="2617"/>
      <c r="H152" s="2617"/>
      <c r="I152" s="2617"/>
      <c r="J152" s="2617"/>
      <c r="K152" s="2617"/>
      <c r="L152" s="2617"/>
      <c r="M152" s="2617"/>
      <c r="N152" s="2617"/>
      <c r="O152" s="2617"/>
      <c r="P152" s="2617"/>
      <c r="Q152" s="2618"/>
      <c r="R152" s="1970"/>
      <c r="S152" s="1837"/>
      <c r="T152" s="1837"/>
      <c r="U152" s="1837"/>
      <c r="V152" s="1837"/>
      <c r="W152" s="1837"/>
      <c r="X152" s="1837"/>
      <c r="Y152" s="1837"/>
      <c r="Z152" s="1837"/>
      <c r="AA152" s="1837"/>
      <c r="AB152" s="1837"/>
      <c r="AC152" s="1837"/>
      <c r="AD152" s="1837"/>
      <c r="AE152" s="1837"/>
      <c r="AF152" s="1837"/>
      <c r="AG152" s="1837"/>
      <c r="AH152" s="1837"/>
      <c r="AI152" s="1837"/>
      <c r="AJ152" s="1837"/>
      <c r="AK152" s="1837"/>
      <c r="AL152" s="1837"/>
      <c r="AM152" s="1837"/>
      <c r="AN152" s="1837"/>
      <c r="AO152" s="1837"/>
      <c r="AP152" s="1837"/>
      <c r="AQ152" s="1837"/>
      <c r="AR152" s="1837"/>
      <c r="AS152" s="1837"/>
      <c r="AT152" s="1837"/>
      <c r="AU152" s="1837"/>
      <c r="AV152" s="1837"/>
      <c r="AW152" s="1840"/>
      <c r="AX152" s="1837"/>
      <c r="AY152" s="1838"/>
      <c r="AZ152" s="1837"/>
      <c r="BA152" s="1838"/>
      <c r="BB152" s="1839"/>
      <c r="BC152" s="1837"/>
      <c r="BD152" s="1837"/>
      <c r="BE152" s="1838"/>
      <c r="BF152" s="1837"/>
      <c r="BG152" s="1838"/>
      <c r="BH152" s="1837"/>
      <c r="BI152" s="1840"/>
      <c r="BJ152" s="1837"/>
      <c r="BK152" s="1838"/>
      <c r="BL152" s="1837"/>
      <c r="BM152" s="1838"/>
      <c r="BN152" s="1839"/>
      <c r="BO152" s="1840" t="s">
        <v>8250</v>
      </c>
      <c r="BP152" s="1837"/>
      <c r="BQ152" s="1838"/>
      <c r="BR152" s="1837"/>
      <c r="BS152" s="1838"/>
      <c r="BT152" s="1839"/>
      <c r="BU152" s="1840"/>
      <c r="BV152" s="1837"/>
      <c r="BW152" s="1838"/>
      <c r="BX152" s="1837"/>
      <c r="BY152" s="1838"/>
      <c r="BZ152" s="1839"/>
      <c r="CA152" s="1840"/>
      <c r="CB152" s="1837"/>
      <c r="CC152" s="1838"/>
      <c r="CD152" s="1837"/>
      <c r="CE152" s="1838"/>
      <c r="CF152" s="1839"/>
      <c r="CG152" s="1840"/>
      <c r="CH152" s="1837"/>
      <c r="CI152" s="1838"/>
      <c r="CJ152" s="1837"/>
      <c r="CK152" s="1838"/>
      <c r="CL152" s="1839"/>
      <c r="CM152" s="1840"/>
      <c r="CN152" s="1837"/>
      <c r="CO152" s="1838"/>
      <c r="CP152" s="1837"/>
      <c r="CQ152" s="1838"/>
      <c r="CR152" s="1839"/>
      <c r="CS152" s="1840"/>
      <c r="CT152" s="1837"/>
      <c r="CU152" s="1838"/>
      <c r="CV152" s="1837"/>
      <c r="CW152" s="1838"/>
      <c r="CX152" s="1839"/>
      <c r="CY152" s="1840"/>
      <c r="CZ152" s="1837"/>
      <c r="DA152" s="1838"/>
      <c r="DB152" s="1837"/>
      <c r="DC152" s="1838"/>
      <c r="DD152" s="1839"/>
      <c r="DE152" s="1840"/>
      <c r="DF152" s="1837"/>
      <c r="DG152" s="1838"/>
      <c r="DH152" s="1837"/>
      <c r="DI152" s="1838"/>
      <c r="DJ152" s="1839"/>
      <c r="DK152" s="1840"/>
      <c r="DL152" s="1837"/>
      <c r="DM152" s="1838"/>
      <c r="DN152" s="1837"/>
      <c r="DO152" s="1838"/>
      <c r="DP152" s="1837"/>
      <c r="DQ152" s="1853"/>
      <c r="DR152" s="1837"/>
      <c r="DS152" s="1838"/>
      <c r="DT152" s="1842"/>
      <c r="DU152" s="1837"/>
      <c r="DV152" s="1839"/>
      <c r="DW152" s="1840"/>
      <c r="DX152" s="1837"/>
      <c r="DY152" s="1838"/>
      <c r="DZ152" s="1837"/>
      <c r="EA152" s="1838"/>
      <c r="EB152" s="1839"/>
      <c r="EC152" s="1840"/>
      <c r="ED152" s="1837"/>
      <c r="EE152" s="1838"/>
      <c r="EF152" s="1837"/>
      <c r="EG152" s="1838"/>
      <c r="EH152" s="1839"/>
      <c r="EI152" s="1840"/>
      <c r="EJ152" s="1837"/>
      <c r="EK152" s="1838"/>
      <c r="EL152" s="1837"/>
      <c r="EM152" s="1838"/>
      <c r="EN152" s="1839"/>
      <c r="EO152" s="1840"/>
      <c r="EP152" s="1837"/>
      <c r="EQ152" s="1838"/>
      <c r="ER152" s="1837"/>
      <c r="ES152" s="1838"/>
      <c r="ET152" s="1839"/>
      <c r="EU152" s="1840"/>
      <c r="EV152" s="1837"/>
      <c r="EW152" s="1838"/>
      <c r="EX152" s="1837"/>
      <c r="EY152" s="1838"/>
      <c r="EZ152" s="1839"/>
      <c r="FA152" s="1840"/>
      <c r="FB152" s="1837"/>
      <c r="FC152" s="1838"/>
      <c r="FD152" s="1837"/>
      <c r="FE152" s="1838"/>
      <c r="FF152" s="1839"/>
      <c r="FG152" s="1840"/>
      <c r="FH152" s="1837"/>
      <c r="FI152" s="1838"/>
      <c r="FJ152" s="1837"/>
      <c r="FK152" s="1838"/>
      <c r="FL152" s="1839"/>
      <c r="FM152" s="1840"/>
      <c r="FN152" s="1837"/>
      <c r="FO152" s="1838"/>
      <c r="FP152" s="1837"/>
      <c r="FQ152" s="1838"/>
      <c r="FR152" s="1839"/>
      <c r="FS152" s="1840"/>
      <c r="FT152" s="1837"/>
      <c r="FU152" s="1838"/>
      <c r="FV152" s="1837"/>
      <c r="FW152" s="1838"/>
      <c r="FX152" s="1839"/>
      <c r="FY152" s="1840"/>
      <c r="FZ152" s="1837"/>
      <c r="GA152" s="1838"/>
      <c r="GB152" s="1837"/>
      <c r="GC152" s="1838"/>
      <c r="GD152" s="1839"/>
      <c r="GE152" s="1840"/>
      <c r="GF152" s="1837"/>
      <c r="GG152" s="1838"/>
      <c r="GH152" s="1837"/>
      <c r="GI152" s="1838"/>
      <c r="GJ152" s="1839"/>
      <c r="GK152" s="1840"/>
      <c r="GL152" s="1837"/>
      <c r="GM152" s="1838"/>
      <c r="GN152" s="1837"/>
      <c r="GO152" s="1838"/>
      <c r="GP152" s="1839"/>
    </row>
    <row r="153" spans="1:198" ht="20.100000000000001" hidden="1" customHeight="1" outlineLevel="1">
      <c r="A153" s="2709"/>
      <c r="B153" s="2612"/>
      <c r="C153" s="1858"/>
      <c r="D153" s="2614" t="str">
        <f>実績!C1241&amp;"("&amp;SUBSTITUTE(実績!R1241&amp;")","株式会社 ","")</f>
        <v>旗艦長門(あい設計)</v>
      </c>
      <c r="E153" s="2617"/>
      <c r="F153" s="2617"/>
      <c r="G153" s="2617"/>
      <c r="H153" s="2617"/>
      <c r="I153" s="2617"/>
      <c r="J153" s="2617"/>
      <c r="K153" s="2617"/>
      <c r="L153" s="2617"/>
      <c r="M153" s="2617"/>
      <c r="N153" s="2617"/>
      <c r="O153" s="2617"/>
      <c r="P153" s="2617"/>
      <c r="Q153" s="2618"/>
      <c r="R153" s="1970"/>
      <c r="S153" s="1837"/>
      <c r="T153" s="1837"/>
      <c r="U153" s="1837"/>
      <c r="V153" s="1837"/>
      <c r="W153" s="1837"/>
      <c r="X153" s="1837"/>
      <c r="Y153" s="1837"/>
      <c r="Z153" s="1837"/>
      <c r="AA153" s="1837"/>
      <c r="AB153" s="1837"/>
      <c r="AC153" s="1837"/>
      <c r="AD153" s="1837"/>
      <c r="AE153" s="1837"/>
      <c r="AF153" s="1837"/>
      <c r="AG153" s="1837"/>
      <c r="AH153" s="1837"/>
      <c r="AI153" s="1837"/>
      <c r="AJ153" s="1837"/>
      <c r="AK153" s="1837"/>
      <c r="AL153" s="1837"/>
      <c r="AM153" s="1837"/>
      <c r="AN153" s="1837"/>
      <c r="AO153" s="1837"/>
      <c r="AP153" s="1837"/>
      <c r="AQ153" s="1837"/>
      <c r="AR153" s="1837"/>
      <c r="AS153" s="1837"/>
      <c r="AT153" s="1837"/>
      <c r="AU153" s="1837"/>
      <c r="AV153" s="1837"/>
      <c r="AW153" s="1840"/>
      <c r="AX153" s="1837"/>
      <c r="AY153" s="1838"/>
      <c r="AZ153" s="1837"/>
      <c r="BA153" s="1838"/>
      <c r="BB153" s="1839"/>
      <c r="BC153" s="1837"/>
      <c r="BD153" s="1837"/>
      <c r="BE153" s="1838"/>
      <c r="BF153" s="1837"/>
      <c r="BG153" s="1838"/>
      <c r="BH153" s="1837"/>
      <c r="BI153" s="1840"/>
      <c r="BJ153" s="1837"/>
      <c r="BK153" s="1838"/>
      <c r="BL153" s="1837"/>
      <c r="BM153" s="1838"/>
      <c r="BN153" s="1839"/>
      <c r="BO153" s="1840" t="s">
        <v>8250</v>
      </c>
      <c r="BP153" s="1837"/>
      <c r="BQ153" s="1838"/>
      <c r="BR153" s="1837"/>
      <c r="BS153" s="1838"/>
      <c r="BT153" s="1839"/>
      <c r="BU153" s="1840"/>
      <c r="BV153" s="1837"/>
      <c r="BW153" s="1838"/>
      <c r="BX153" s="1837"/>
      <c r="BY153" s="1838"/>
      <c r="BZ153" s="1839"/>
      <c r="CA153" s="1840"/>
      <c r="CB153" s="1837"/>
      <c r="CC153" s="1838"/>
      <c r="CD153" s="1837"/>
      <c r="CE153" s="1838"/>
      <c r="CF153" s="1839"/>
      <c r="CG153" s="1840"/>
      <c r="CH153" s="1837"/>
      <c r="CI153" s="1838"/>
      <c r="CJ153" s="1837"/>
      <c r="CK153" s="1838"/>
      <c r="CL153" s="1839"/>
      <c r="CM153" s="1840"/>
      <c r="CN153" s="1837"/>
      <c r="CO153" s="1838"/>
      <c r="CP153" s="1837"/>
      <c r="CQ153" s="1838"/>
      <c r="CR153" s="1839"/>
      <c r="CS153" s="1840"/>
      <c r="CT153" s="1837"/>
      <c r="CU153" s="1838"/>
      <c r="CV153" s="1837"/>
      <c r="CW153" s="1838"/>
      <c r="CX153" s="1839"/>
      <c r="CY153" s="1840"/>
      <c r="CZ153" s="1837"/>
      <c r="DA153" s="1838"/>
      <c r="DB153" s="1837"/>
      <c r="DC153" s="1838"/>
      <c r="DD153" s="1839"/>
      <c r="DE153" s="1840"/>
      <c r="DF153" s="1837"/>
      <c r="DG153" s="1838"/>
      <c r="DH153" s="1837"/>
      <c r="DI153" s="1838"/>
      <c r="DJ153" s="1839"/>
      <c r="DK153" s="1840"/>
      <c r="DL153" s="1837"/>
      <c r="DM153" s="1838"/>
      <c r="DN153" s="1837"/>
      <c r="DO153" s="1838"/>
      <c r="DP153" s="1837"/>
      <c r="DQ153" s="1853"/>
      <c r="DR153" s="1837"/>
      <c r="DS153" s="1838"/>
      <c r="DT153" s="1842"/>
      <c r="DU153" s="1837"/>
      <c r="DV153" s="1839"/>
      <c r="DW153" s="1840"/>
      <c r="DX153" s="1837"/>
      <c r="DY153" s="1838"/>
      <c r="DZ153" s="1837"/>
      <c r="EA153" s="1838"/>
      <c r="EB153" s="1839"/>
      <c r="EC153" s="1840"/>
      <c r="ED153" s="1837"/>
      <c r="EE153" s="1838"/>
      <c r="EF153" s="1837"/>
      <c r="EG153" s="1838"/>
      <c r="EH153" s="1839"/>
      <c r="EI153" s="1840"/>
      <c r="EJ153" s="1837"/>
      <c r="EK153" s="1838"/>
      <c r="EL153" s="1837"/>
      <c r="EM153" s="1838"/>
      <c r="EN153" s="1839"/>
      <c r="EO153" s="1840"/>
      <c r="EP153" s="1837"/>
      <c r="EQ153" s="1838"/>
      <c r="ER153" s="1837"/>
      <c r="ES153" s="1838"/>
      <c r="ET153" s="1839"/>
      <c r="EU153" s="1840"/>
      <c r="EV153" s="1837"/>
      <c r="EW153" s="1838"/>
      <c r="EX153" s="1837"/>
      <c r="EY153" s="1838"/>
      <c r="EZ153" s="1839"/>
      <c r="FA153" s="1840"/>
      <c r="FB153" s="1837"/>
      <c r="FC153" s="1838"/>
      <c r="FD153" s="1837"/>
      <c r="FE153" s="1838"/>
      <c r="FF153" s="1839"/>
      <c r="FG153" s="1840"/>
      <c r="FH153" s="1837"/>
      <c r="FI153" s="1838"/>
      <c r="FJ153" s="1837"/>
      <c r="FK153" s="1838"/>
      <c r="FL153" s="1839"/>
      <c r="FM153" s="1840"/>
      <c r="FN153" s="1837"/>
      <c r="FO153" s="1838"/>
      <c r="FP153" s="1837"/>
      <c r="FQ153" s="1838"/>
      <c r="FR153" s="1839"/>
      <c r="FS153" s="1840"/>
      <c r="FT153" s="1837"/>
      <c r="FU153" s="1838"/>
      <c r="FV153" s="1837"/>
      <c r="FW153" s="1838"/>
      <c r="FX153" s="1839"/>
      <c r="FY153" s="1840"/>
      <c r="FZ153" s="1837"/>
      <c r="GA153" s="1838"/>
      <c r="GB153" s="1837"/>
      <c r="GC153" s="1838"/>
      <c r="GD153" s="1839"/>
      <c r="GE153" s="1840"/>
      <c r="GF153" s="1837"/>
      <c r="GG153" s="1838"/>
      <c r="GH153" s="1837"/>
      <c r="GI153" s="1838"/>
      <c r="GJ153" s="1839"/>
      <c r="GK153" s="1840"/>
      <c r="GL153" s="1837"/>
      <c r="GM153" s="1838"/>
      <c r="GN153" s="1837"/>
      <c r="GO153" s="1838"/>
      <c r="GP153" s="1839"/>
    </row>
    <row r="154" spans="1:198" ht="20.100000000000001" hidden="1" customHeight="1" outlineLevel="1">
      <c r="A154" s="2709"/>
      <c r="B154" s="2612"/>
      <c r="C154" s="1858"/>
      <c r="D154" s="2614" t="str">
        <f>実績!C1242&amp;"("&amp;SUBSTITUTE(実績!R1242&amp;")","株式会社 ","")</f>
        <v>イーグルアクアパーク稚内(坂井田建築設計事務所)</v>
      </c>
      <c r="E154" s="2617"/>
      <c r="F154" s="2617"/>
      <c r="G154" s="2617"/>
      <c r="H154" s="2617"/>
      <c r="I154" s="2617"/>
      <c r="J154" s="2617"/>
      <c r="K154" s="2617"/>
      <c r="L154" s="2617"/>
      <c r="M154" s="2617"/>
      <c r="N154" s="2617"/>
      <c r="O154" s="2617"/>
      <c r="P154" s="2617"/>
      <c r="Q154" s="2618"/>
      <c r="R154" s="1970"/>
      <c r="S154" s="1837"/>
      <c r="T154" s="1837"/>
      <c r="U154" s="1837"/>
      <c r="V154" s="1837"/>
      <c r="W154" s="1837"/>
      <c r="X154" s="1837"/>
      <c r="Y154" s="1837"/>
      <c r="Z154" s="1837"/>
      <c r="AA154" s="1837"/>
      <c r="AB154" s="1837"/>
      <c r="AC154" s="1837"/>
      <c r="AD154" s="1837"/>
      <c r="AE154" s="1837"/>
      <c r="AF154" s="1837"/>
      <c r="AG154" s="1837"/>
      <c r="AH154" s="1837"/>
      <c r="AI154" s="1837"/>
      <c r="AJ154" s="1837"/>
      <c r="AK154" s="1837"/>
      <c r="AL154" s="1837"/>
      <c r="AM154" s="1837"/>
      <c r="AN154" s="1837"/>
      <c r="AO154" s="1837"/>
      <c r="AP154" s="1837"/>
      <c r="AQ154" s="1837"/>
      <c r="AR154" s="1837"/>
      <c r="AS154" s="1837"/>
      <c r="AT154" s="1837"/>
      <c r="AU154" s="1837"/>
      <c r="AV154" s="1837"/>
      <c r="AW154" s="1837"/>
      <c r="AX154" s="1837"/>
      <c r="AY154" s="1837"/>
      <c r="AZ154" s="1837"/>
      <c r="BA154" s="1837"/>
      <c r="BB154" s="1837"/>
      <c r="BC154" s="1837"/>
      <c r="BD154" s="1837"/>
      <c r="BE154" s="1837"/>
      <c r="BF154" s="1837"/>
      <c r="BG154" s="1837"/>
      <c r="BH154" s="1837"/>
      <c r="BI154" s="1840"/>
      <c r="BJ154" s="1837"/>
      <c r="BK154" s="1838"/>
      <c r="BL154" s="1837"/>
      <c r="BM154" s="1838"/>
      <c r="BN154" s="1839"/>
      <c r="BO154" s="1840" t="s">
        <v>8250</v>
      </c>
      <c r="BP154" s="1837"/>
      <c r="BQ154" s="1838"/>
      <c r="BR154" s="1837"/>
      <c r="BS154" s="1838"/>
      <c r="BT154" s="1839"/>
      <c r="BU154" s="1840"/>
      <c r="BV154" s="1837"/>
      <c r="BW154" s="1838"/>
      <c r="BX154" s="1837"/>
      <c r="BY154" s="1838"/>
      <c r="BZ154" s="1839"/>
      <c r="CA154" s="1840"/>
      <c r="CB154" s="1837"/>
      <c r="CC154" s="1838"/>
      <c r="CD154" s="1837"/>
      <c r="CE154" s="1838"/>
      <c r="CF154" s="1839"/>
      <c r="CG154" s="1840"/>
      <c r="CH154" s="1837"/>
      <c r="CI154" s="1838"/>
      <c r="CJ154" s="1837"/>
      <c r="CK154" s="1838"/>
      <c r="CL154" s="1839"/>
      <c r="CM154" s="1840"/>
      <c r="CN154" s="1837"/>
      <c r="CO154" s="1838"/>
      <c r="CP154" s="1837"/>
      <c r="CQ154" s="1838"/>
      <c r="CR154" s="1839"/>
      <c r="CS154" s="1840"/>
      <c r="CT154" s="1837"/>
      <c r="CU154" s="1838"/>
      <c r="CV154" s="1837"/>
      <c r="CW154" s="1838"/>
      <c r="CX154" s="1839"/>
      <c r="CY154" s="1840"/>
      <c r="CZ154" s="1837"/>
      <c r="DA154" s="1838"/>
      <c r="DB154" s="1837"/>
      <c r="DC154" s="1838"/>
      <c r="DD154" s="1839"/>
      <c r="DE154" s="1840"/>
      <c r="DF154" s="1837"/>
      <c r="DG154" s="1838"/>
      <c r="DH154" s="1837"/>
      <c r="DI154" s="1838"/>
      <c r="DJ154" s="1839"/>
      <c r="DK154" s="1840"/>
      <c r="DL154" s="1837"/>
      <c r="DM154" s="1838"/>
      <c r="DN154" s="1837"/>
      <c r="DO154" s="1838"/>
      <c r="DP154" s="1837"/>
      <c r="DQ154" s="1853"/>
      <c r="DR154" s="1837"/>
      <c r="DS154" s="1838"/>
      <c r="DT154" s="1842"/>
      <c r="DU154" s="1837"/>
      <c r="DV154" s="1839"/>
      <c r="DW154" s="1840"/>
      <c r="DX154" s="1837"/>
      <c r="DY154" s="1838"/>
      <c r="DZ154" s="1837"/>
      <c r="EA154" s="1838"/>
      <c r="EB154" s="1839"/>
      <c r="EC154" s="1840"/>
      <c r="ED154" s="1837"/>
      <c r="EE154" s="1838"/>
      <c r="EF154" s="1837"/>
      <c r="EG154" s="1838"/>
      <c r="EH154" s="1839"/>
      <c r="EI154" s="1840"/>
      <c r="EJ154" s="1837"/>
      <c r="EK154" s="1838"/>
      <c r="EL154" s="1837"/>
      <c r="EM154" s="1838"/>
      <c r="EN154" s="1839"/>
      <c r="EO154" s="1840"/>
      <c r="EP154" s="1837"/>
      <c r="EQ154" s="1838"/>
      <c r="ER154" s="1837"/>
      <c r="ES154" s="1838"/>
      <c r="ET154" s="1839"/>
      <c r="EU154" s="1840"/>
      <c r="EV154" s="1837"/>
      <c r="EW154" s="1838"/>
      <c r="EX154" s="1837"/>
      <c r="EY154" s="1838"/>
      <c r="EZ154" s="1839"/>
      <c r="FA154" s="1840"/>
      <c r="FB154" s="1837"/>
      <c r="FC154" s="1838"/>
      <c r="FD154" s="1837"/>
      <c r="FE154" s="1838"/>
      <c r="FF154" s="1839"/>
      <c r="FG154" s="1840"/>
      <c r="FH154" s="1837"/>
      <c r="FI154" s="1838"/>
      <c r="FJ154" s="1837"/>
      <c r="FK154" s="1838"/>
      <c r="FL154" s="1839"/>
      <c r="FM154" s="1840"/>
      <c r="FN154" s="1837"/>
      <c r="FO154" s="1838"/>
      <c r="FP154" s="1837"/>
      <c r="FQ154" s="1838"/>
      <c r="FR154" s="1839"/>
      <c r="FS154" s="1840"/>
      <c r="FT154" s="1837"/>
      <c r="FU154" s="1838"/>
      <c r="FV154" s="1837"/>
      <c r="FW154" s="1838"/>
      <c r="FX154" s="1839"/>
      <c r="FY154" s="1840"/>
      <c r="FZ154" s="1837"/>
      <c r="GA154" s="1838"/>
      <c r="GB154" s="1837"/>
      <c r="GC154" s="1838"/>
      <c r="GD154" s="1839"/>
      <c r="GE154" s="1840"/>
      <c r="GF154" s="1837"/>
      <c r="GG154" s="1838"/>
      <c r="GH154" s="1837"/>
      <c r="GI154" s="1838"/>
      <c r="GJ154" s="1839"/>
      <c r="GK154" s="1840"/>
      <c r="GL154" s="1837"/>
      <c r="GM154" s="1838"/>
      <c r="GN154" s="1837"/>
      <c r="GO154" s="1838"/>
      <c r="GP154" s="1839"/>
    </row>
    <row r="155" spans="1:198" ht="20.100000000000001" hidden="1" customHeight="1" outlineLevel="1">
      <c r="A155" s="2709"/>
      <c r="B155" s="2612"/>
      <c r="C155" s="1858"/>
      <c r="D155" s="2614" t="str">
        <f>実績!C1230&amp;"("&amp;SUBSTITUTE(実績!R1230&amp;")","株式会社 ","")</f>
        <v>TPかねひで東江市場(金秀建設 株式会社)</v>
      </c>
      <c r="E155" s="2617"/>
      <c r="F155" s="2617"/>
      <c r="G155" s="2617"/>
      <c r="H155" s="2617"/>
      <c r="I155" s="2617"/>
      <c r="J155" s="2617"/>
      <c r="K155" s="2617"/>
      <c r="L155" s="2617"/>
      <c r="M155" s="2617"/>
      <c r="N155" s="2617"/>
      <c r="O155" s="2617"/>
      <c r="P155" s="2617"/>
      <c r="Q155" s="2618"/>
      <c r="R155" s="1970"/>
      <c r="S155" s="1837"/>
      <c r="T155" s="1837"/>
      <c r="U155" s="1838"/>
      <c r="V155" s="1837"/>
      <c r="W155" s="1838"/>
      <c r="X155" s="1839"/>
      <c r="Y155" s="1837"/>
      <c r="Z155" s="1837"/>
      <c r="AA155" s="1838"/>
      <c r="AB155" s="1837"/>
      <c r="AC155" s="1838"/>
      <c r="AD155" s="1837"/>
      <c r="AE155" s="1837"/>
      <c r="AF155" s="1837"/>
      <c r="AG155" s="1838"/>
      <c r="AH155" s="1837"/>
      <c r="AI155" s="1838"/>
      <c r="AJ155" s="1839"/>
      <c r="AK155" s="1837"/>
      <c r="AL155" s="1837"/>
      <c r="AM155" s="1838"/>
      <c r="AN155" s="1837"/>
      <c r="AO155" s="1838"/>
      <c r="AP155" s="1837"/>
      <c r="AQ155" s="1841"/>
      <c r="AR155" s="1837"/>
      <c r="AS155" s="1838"/>
      <c r="AT155" s="1837"/>
      <c r="AU155" s="1838"/>
      <c r="AV155" s="1839"/>
      <c r="AW155" s="1840"/>
      <c r="AX155" s="1837"/>
      <c r="AY155" s="1838"/>
      <c r="AZ155" s="1837"/>
      <c r="BA155" s="1838"/>
      <c r="BB155" s="1839"/>
      <c r="BC155" s="1837"/>
      <c r="BD155" s="1837"/>
      <c r="BE155" s="1838"/>
      <c r="BF155" s="1837"/>
      <c r="BG155" s="1838"/>
      <c r="BH155" s="1837"/>
      <c r="BI155" s="1840"/>
      <c r="BJ155" s="1837"/>
      <c r="BK155" s="1838"/>
      <c r="BL155" s="1837"/>
      <c r="BM155" s="1838"/>
      <c r="BN155" s="1839"/>
      <c r="BO155" s="1840" t="s">
        <v>9471</v>
      </c>
      <c r="BP155" s="1837"/>
      <c r="BQ155" s="1838"/>
      <c r="BR155" s="1837"/>
      <c r="BS155" s="1838"/>
      <c r="BT155" s="1839"/>
      <c r="BU155" s="1840"/>
      <c r="BV155" s="1837"/>
      <c r="BW155" s="1838"/>
      <c r="BX155" s="1837"/>
      <c r="BY155" s="1838"/>
      <c r="BZ155" s="1839"/>
      <c r="CA155" s="1840"/>
      <c r="CB155" s="1837"/>
      <c r="CC155" s="1838"/>
      <c r="CD155" s="1837"/>
      <c r="CE155" s="1838"/>
      <c r="CF155" s="1839"/>
      <c r="CG155" s="1840"/>
      <c r="CH155" s="1837"/>
      <c r="CI155" s="1838"/>
      <c r="CJ155" s="1837"/>
      <c r="CK155" s="1838"/>
      <c r="CL155" s="1839"/>
      <c r="CM155" s="1840"/>
      <c r="CN155" s="1837"/>
      <c r="CO155" s="1838"/>
      <c r="CP155" s="1837"/>
      <c r="CQ155" s="1838"/>
      <c r="CR155" s="1839"/>
      <c r="CS155" s="1840"/>
      <c r="CT155" s="1837"/>
      <c r="CU155" s="1838"/>
      <c r="CV155" s="1837"/>
      <c r="CW155" s="1838"/>
      <c r="CX155" s="1839"/>
      <c r="CY155" s="1840"/>
      <c r="CZ155" s="1837"/>
      <c r="DA155" s="1838"/>
      <c r="DB155" s="1837"/>
      <c r="DC155" s="1838"/>
      <c r="DD155" s="1839"/>
      <c r="DE155" s="1840"/>
      <c r="DF155" s="1837"/>
      <c r="DG155" s="1838"/>
      <c r="DH155" s="1837"/>
      <c r="DI155" s="1838"/>
      <c r="DJ155" s="1839"/>
      <c r="DK155" s="1840"/>
      <c r="DL155" s="1837"/>
      <c r="DM155" s="1838"/>
      <c r="DN155" s="1837"/>
      <c r="DO155" s="1838"/>
      <c r="DP155" s="1837"/>
      <c r="DQ155" s="1853"/>
      <c r="DR155" s="1837"/>
      <c r="DS155" s="1838"/>
      <c r="DT155" s="1842"/>
      <c r="DU155" s="1837"/>
      <c r="DV155" s="1839"/>
      <c r="DW155" s="1840"/>
      <c r="DX155" s="1837"/>
      <c r="DY155" s="1838"/>
      <c r="DZ155" s="1837"/>
      <c r="EA155" s="1838"/>
      <c r="EB155" s="1839"/>
      <c r="EC155" s="1840"/>
      <c r="ED155" s="1837"/>
      <c r="EE155" s="1838"/>
      <c r="EF155" s="1837"/>
      <c r="EG155" s="1838"/>
      <c r="EH155" s="1839"/>
      <c r="EI155" s="1840"/>
      <c r="EJ155" s="1837"/>
      <c r="EK155" s="1838"/>
      <c r="EL155" s="1837"/>
      <c r="EM155" s="1838"/>
      <c r="EN155" s="1839"/>
      <c r="EO155" s="1840"/>
      <c r="EP155" s="1837"/>
      <c r="EQ155" s="1838"/>
      <c r="ER155" s="1837"/>
      <c r="ES155" s="1838"/>
      <c r="ET155" s="1839"/>
      <c r="EU155" s="1840"/>
      <c r="EV155" s="1837"/>
      <c r="EW155" s="1838"/>
      <c r="EX155" s="1837"/>
      <c r="EY155" s="1838"/>
      <c r="EZ155" s="1839"/>
      <c r="FA155" s="1840"/>
      <c r="FB155" s="1837"/>
      <c r="FC155" s="1838"/>
      <c r="FD155" s="1837"/>
      <c r="FE155" s="1838"/>
      <c r="FF155" s="1839"/>
      <c r="FG155" s="1840"/>
      <c r="FH155" s="1837"/>
      <c r="FI155" s="1838"/>
      <c r="FJ155" s="1837"/>
      <c r="FK155" s="1838"/>
      <c r="FL155" s="1839"/>
      <c r="FM155" s="1840"/>
      <c r="FN155" s="1837"/>
      <c r="FO155" s="1838"/>
      <c r="FP155" s="1837"/>
      <c r="FQ155" s="1838"/>
      <c r="FR155" s="1839"/>
      <c r="FS155" s="1840"/>
      <c r="FT155" s="1837"/>
      <c r="FU155" s="1838"/>
      <c r="FV155" s="1837"/>
      <c r="FW155" s="1838"/>
      <c r="FX155" s="1839"/>
      <c r="FY155" s="1840"/>
      <c r="FZ155" s="1837"/>
      <c r="GA155" s="1838"/>
      <c r="GB155" s="1837"/>
      <c r="GC155" s="1838"/>
      <c r="GD155" s="1839"/>
      <c r="GE155" s="1840"/>
      <c r="GF155" s="1837"/>
      <c r="GG155" s="1838"/>
      <c r="GH155" s="1837"/>
      <c r="GI155" s="1838"/>
      <c r="GJ155" s="1839"/>
      <c r="GK155" s="1840"/>
      <c r="GL155" s="1837"/>
      <c r="GM155" s="1838"/>
      <c r="GN155" s="1837"/>
      <c r="GO155" s="1838"/>
      <c r="GP155" s="1839"/>
    </row>
    <row r="156" spans="1:198" ht="20.100000000000001" hidden="1" customHeight="1" outlineLevel="1">
      <c r="A156" s="2709"/>
      <c r="B156" s="2612"/>
      <c r="C156" s="1858"/>
      <c r="D156" s="2614" t="str">
        <f>実績!C1235&amp;"("&amp;SUBSTITUTE(実績!R1235&amp;")","株式会社 ","")</f>
        <v>アピア静岡 店舗棟(河野設計東京)</v>
      </c>
      <c r="E156" s="2617"/>
      <c r="F156" s="2617"/>
      <c r="G156" s="2617"/>
      <c r="H156" s="2617"/>
      <c r="I156" s="2617"/>
      <c r="J156" s="2617"/>
      <c r="K156" s="2617"/>
      <c r="L156" s="2617"/>
      <c r="M156" s="2617"/>
      <c r="N156" s="2617"/>
      <c r="O156" s="2617"/>
      <c r="P156" s="2617"/>
      <c r="Q156" s="2618"/>
      <c r="R156" s="1970"/>
      <c r="S156" s="1837"/>
      <c r="T156" s="1837"/>
      <c r="U156" s="1837"/>
      <c r="V156" s="1837"/>
      <c r="W156" s="1837"/>
      <c r="X156" s="1837"/>
      <c r="Y156" s="1837"/>
      <c r="Z156" s="1837"/>
      <c r="AA156" s="1837"/>
      <c r="AB156" s="1837"/>
      <c r="AC156" s="1837"/>
      <c r="AD156" s="1837"/>
      <c r="AE156" s="1837"/>
      <c r="AF156" s="1837"/>
      <c r="AG156" s="1837"/>
      <c r="AH156" s="1837"/>
      <c r="AI156" s="1837"/>
      <c r="AJ156" s="1837"/>
      <c r="AK156" s="1837"/>
      <c r="AL156" s="1837"/>
      <c r="AM156" s="1837"/>
      <c r="AN156" s="1837"/>
      <c r="AO156" s="1837"/>
      <c r="AP156" s="1837"/>
      <c r="AQ156" s="1837"/>
      <c r="AR156" s="1837"/>
      <c r="AS156" s="1837"/>
      <c r="AT156" s="1837"/>
      <c r="AU156" s="1837"/>
      <c r="AV156" s="1837"/>
      <c r="AW156" s="1840"/>
      <c r="AX156" s="1837"/>
      <c r="AY156" s="1838"/>
      <c r="AZ156" s="1837"/>
      <c r="BA156" s="1838"/>
      <c r="BB156" s="1839"/>
      <c r="BC156" s="1837"/>
      <c r="BD156" s="1837"/>
      <c r="BE156" s="1838"/>
      <c r="BF156" s="1837"/>
      <c r="BG156" s="1838"/>
      <c r="BH156" s="1837"/>
      <c r="BI156" s="1837"/>
      <c r="BJ156" s="1837"/>
      <c r="BK156" s="1838"/>
      <c r="BL156" s="1837"/>
      <c r="BM156" s="1838"/>
      <c r="BN156" s="1839"/>
      <c r="BO156" s="1840"/>
      <c r="BP156" s="1837" t="s">
        <v>9766</v>
      </c>
      <c r="BQ156" s="1838"/>
      <c r="BR156" s="1837"/>
      <c r="BS156" s="1838"/>
      <c r="BT156" s="1839"/>
      <c r="BU156" s="1840"/>
      <c r="BV156" s="1837"/>
      <c r="BW156" s="1838"/>
      <c r="BX156" s="1837"/>
      <c r="BY156" s="1838"/>
      <c r="BZ156" s="1839"/>
      <c r="CA156" s="1840"/>
      <c r="CB156" s="1837"/>
      <c r="CC156" s="1838"/>
      <c r="CD156" s="1837"/>
      <c r="CE156" s="1838"/>
      <c r="CF156" s="1839"/>
      <c r="CG156" s="1840"/>
      <c r="CH156" s="1837"/>
      <c r="CI156" s="1838"/>
      <c r="CJ156" s="1837"/>
      <c r="CK156" s="1838"/>
      <c r="CL156" s="1839"/>
      <c r="CM156" s="1840"/>
      <c r="CN156" s="1837"/>
      <c r="CO156" s="1838"/>
      <c r="CP156" s="1837"/>
      <c r="CQ156" s="1838"/>
      <c r="CR156" s="1839"/>
      <c r="CS156" s="1840"/>
      <c r="CT156" s="1837"/>
      <c r="CU156" s="1838"/>
      <c r="CV156" s="1837"/>
      <c r="CW156" s="1838"/>
      <c r="CX156" s="1839"/>
      <c r="CY156" s="1840"/>
      <c r="CZ156" s="1837"/>
      <c r="DA156" s="1838"/>
      <c r="DB156" s="1837"/>
      <c r="DC156" s="1838"/>
      <c r="DD156" s="1839"/>
      <c r="DE156" s="1840"/>
      <c r="DF156" s="1837"/>
      <c r="DG156" s="1838"/>
      <c r="DH156" s="1837"/>
      <c r="DI156" s="1838"/>
      <c r="DJ156" s="1839"/>
      <c r="DK156" s="1840"/>
      <c r="DL156" s="1837"/>
      <c r="DM156" s="1838"/>
      <c r="DN156" s="1837"/>
      <c r="DO156" s="1838"/>
      <c r="DP156" s="1837"/>
      <c r="DQ156" s="1853"/>
      <c r="DR156" s="1837"/>
      <c r="DS156" s="1838"/>
      <c r="DT156" s="1842"/>
      <c r="DU156" s="1837"/>
      <c r="DV156" s="1839"/>
      <c r="DW156" s="1840"/>
      <c r="DX156" s="1837"/>
      <c r="DY156" s="1838"/>
      <c r="DZ156" s="1837"/>
      <c r="EA156" s="1838"/>
      <c r="EB156" s="1839"/>
      <c r="EC156" s="1840"/>
      <c r="ED156" s="1837"/>
      <c r="EE156" s="1838"/>
      <c r="EF156" s="1837"/>
      <c r="EG156" s="1838"/>
      <c r="EH156" s="1839"/>
      <c r="EI156" s="1840"/>
      <c r="EJ156" s="1837"/>
      <c r="EK156" s="1838"/>
      <c r="EL156" s="1837"/>
      <c r="EM156" s="1838"/>
      <c r="EN156" s="1839"/>
      <c r="EO156" s="1840"/>
      <c r="EP156" s="1837"/>
      <c r="EQ156" s="1838"/>
      <c r="ER156" s="1837"/>
      <c r="ES156" s="1838"/>
      <c r="ET156" s="1839"/>
      <c r="EU156" s="1840"/>
      <c r="EV156" s="1837"/>
      <c r="EW156" s="1838"/>
      <c r="EX156" s="1837"/>
      <c r="EY156" s="1838"/>
      <c r="EZ156" s="1839"/>
      <c r="FA156" s="1840"/>
      <c r="FB156" s="1837"/>
      <c r="FC156" s="1838"/>
      <c r="FD156" s="1837"/>
      <c r="FE156" s="1838"/>
      <c r="FF156" s="1839"/>
      <c r="FG156" s="1840"/>
      <c r="FH156" s="1837"/>
      <c r="FI156" s="1838"/>
      <c r="FJ156" s="1837"/>
      <c r="FK156" s="1838"/>
      <c r="FL156" s="1839"/>
      <c r="FM156" s="1840"/>
      <c r="FN156" s="1837"/>
      <c r="FO156" s="1838"/>
      <c r="FP156" s="1837"/>
      <c r="FQ156" s="1838"/>
      <c r="FR156" s="1839"/>
      <c r="FS156" s="1840"/>
      <c r="FT156" s="1837"/>
      <c r="FU156" s="1838"/>
      <c r="FV156" s="1837"/>
      <c r="FW156" s="1838"/>
      <c r="FX156" s="1839"/>
      <c r="FY156" s="1840"/>
      <c r="FZ156" s="1837"/>
      <c r="GA156" s="1838"/>
      <c r="GB156" s="1837"/>
      <c r="GC156" s="1838"/>
      <c r="GD156" s="1839"/>
      <c r="GE156" s="1840"/>
      <c r="GF156" s="1837"/>
      <c r="GG156" s="1838"/>
      <c r="GH156" s="1837"/>
      <c r="GI156" s="1838"/>
      <c r="GJ156" s="1839"/>
      <c r="GK156" s="1840"/>
      <c r="GL156" s="1837"/>
      <c r="GM156" s="1838"/>
      <c r="GN156" s="1837"/>
      <c r="GO156" s="1838"/>
      <c r="GP156" s="1839"/>
    </row>
    <row r="157" spans="1:198" ht="20.100000000000001" hidden="1" customHeight="1" outlineLevel="1">
      <c r="A157" s="2709"/>
      <c r="B157" s="2612"/>
      <c r="C157" s="1858"/>
      <c r="D157" s="2614" t="str">
        <f>実績!C1225&amp;"("&amp;SUBSTITUTE(実績!W1225&amp;")","株式会社 ","")</f>
        <v>スギ薬局 練馬豊玉(三宅建築設計事務所)</v>
      </c>
      <c r="E157" s="2617"/>
      <c r="F157" s="2617"/>
      <c r="G157" s="2617"/>
      <c r="H157" s="2617"/>
      <c r="I157" s="2617"/>
      <c r="J157" s="2617"/>
      <c r="K157" s="2617"/>
      <c r="L157" s="2617"/>
      <c r="M157" s="2617"/>
      <c r="N157" s="2617"/>
      <c r="O157" s="2617"/>
      <c r="P157" s="2617"/>
      <c r="Q157" s="2618"/>
      <c r="R157" s="1970"/>
      <c r="S157" s="1837"/>
      <c r="T157" s="1837"/>
      <c r="U157" s="1837"/>
      <c r="V157" s="1837"/>
      <c r="W157" s="1837"/>
      <c r="X157" s="1837"/>
      <c r="Y157" s="1837"/>
      <c r="Z157" s="1837"/>
      <c r="AA157" s="1837"/>
      <c r="AB157" s="1837"/>
      <c r="AC157" s="1837"/>
      <c r="AD157" s="1837"/>
      <c r="AE157" s="1837"/>
      <c r="AF157" s="1837"/>
      <c r="AG157" s="1837"/>
      <c r="AH157" s="1837"/>
      <c r="AI157" s="1837"/>
      <c r="AJ157" s="1837"/>
      <c r="AK157" s="1837"/>
      <c r="AL157" s="1837"/>
      <c r="AM157" s="1837"/>
      <c r="AN157" s="1837"/>
      <c r="AO157" s="1837"/>
      <c r="AP157" s="1837"/>
      <c r="AQ157" s="1837"/>
      <c r="AR157" s="1837"/>
      <c r="AS157" s="1837"/>
      <c r="AT157" s="1837"/>
      <c r="AU157" s="1837"/>
      <c r="AV157" s="1837"/>
      <c r="AW157" s="1840"/>
      <c r="AX157" s="1837"/>
      <c r="AY157" s="1838"/>
      <c r="AZ157" s="1837"/>
      <c r="BA157" s="1838"/>
      <c r="BB157" s="1839"/>
      <c r="BC157" s="1837"/>
      <c r="BD157" s="1837"/>
      <c r="BE157" s="1838"/>
      <c r="BF157" s="1842"/>
      <c r="BG157" s="1838"/>
      <c r="BH157" s="1837"/>
      <c r="BI157" s="1853"/>
      <c r="BJ157" s="1837"/>
      <c r="BK157" s="1838"/>
      <c r="BL157" s="1837"/>
      <c r="BM157" s="1838"/>
      <c r="BN157" s="1839"/>
      <c r="BO157" s="1840"/>
      <c r="BP157" s="1837"/>
      <c r="BQ157" s="1838"/>
      <c r="BR157" s="1837"/>
      <c r="BS157" s="1838"/>
      <c r="BT157" s="1839"/>
      <c r="BU157" s="1840"/>
      <c r="BV157" s="1837"/>
      <c r="BW157" s="1838"/>
      <c r="BX157" s="1837"/>
      <c r="BY157" s="1838"/>
      <c r="BZ157" s="1839"/>
      <c r="CA157" s="1840"/>
      <c r="CB157" s="1837"/>
      <c r="CC157" s="1838"/>
      <c r="CD157" s="1837"/>
      <c r="CE157" s="1838"/>
      <c r="CF157" s="1839"/>
      <c r="CG157" s="1840" t="s">
        <v>9810</v>
      </c>
      <c r="CH157" s="1837"/>
      <c r="CI157" s="1838"/>
      <c r="CJ157" s="1837"/>
      <c r="CK157" s="1838"/>
      <c r="CL157" s="1839"/>
      <c r="CM157" s="1840"/>
      <c r="CN157" s="1837"/>
      <c r="CO157" s="1838"/>
      <c r="CP157" s="1837"/>
      <c r="CQ157" s="1838"/>
      <c r="CR157" s="1839"/>
      <c r="CS157" s="1840"/>
      <c r="CT157" s="1837"/>
      <c r="CU157" s="1838"/>
      <c r="CV157" s="1837"/>
      <c r="CW157" s="1838"/>
      <c r="CX157" s="1839"/>
      <c r="CY157" s="1840"/>
      <c r="CZ157" s="1837"/>
      <c r="DA157" s="1838"/>
      <c r="DB157" s="1837"/>
      <c r="DC157" s="1838"/>
      <c r="DD157" s="1839"/>
      <c r="DE157" s="1840"/>
      <c r="DF157" s="1837"/>
      <c r="DG157" s="1838"/>
      <c r="DH157" s="1837"/>
      <c r="DI157" s="1838"/>
      <c r="DJ157" s="1839"/>
      <c r="DK157" s="1840"/>
      <c r="DL157" s="1837"/>
      <c r="DM157" s="1838"/>
      <c r="DN157" s="1837"/>
      <c r="DO157" s="1838"/>
      <c r="DP157" s="1837"/>
      <c r="DQ157" s="1853"/>
      <c r="DR157" s="1837"/>
      <c r="DS157" s="1838"/>
      <c r="DT157" s="1842"/>
      <c r="DU157" s="1837"/>
      <c r="DV157" s="1839"/>
      <c r="DW157" s="1840"/>
      <c r="DX157" s="1837"/>
      <c r="DY157" s="1838"/>
      <c r="DZ157" s="1837"/>
      <c r="EA157" s="1838"/>
      <c r="EB157" s="1839"/>
      <c r="EC157" s="1840"/>
      <c r="ED157" s="1837"/>
      <c r="EE157" s="1838"/>
      <c r="EF157" s="1837"/>
      <c r="EG157" s="1838"/>
      <c r="EH157" s="1839"/>
      <c r="EI157" s="1840"/>
      <c r="EJ157" s="1837"/>
      <c r="EK157" s="1838"/>
      <c r="EL157" s="1837"/>
      <c r="EM157" s="1838"/>
      <c r="EN157" s="1839"/>
      <c r="EO157" s="1840"/>
      <c r="EP157" s="1837"/>
      <c r="EQ157" s="1838"/>
      <c r="ER157" s="1837"/>
      <c r="ES157" s="1838"/>
      <c r="ET157" s="1839"/>
      <c r="EU157" s="1840"/>
      <c r="EV157" s="1837"/>
      <c r="EW157" s="1838"/>
      <c r="EX157" s="1837"/>
      <c r="EY157" s="1838"/>
      <c r="EZ157" s="1839"/>
      <c r="FA157" s="1840"/>
      <c r="FB157" s="1837"/>
      <c r="FC157" s="1838"/>
      <c r="FD157" s="1837"/>
      <c r="FE157" s="1838"/>
      <c r="FF157" s="1839"/>
      <c r="FG157" s="1840"/>
      <c r="FH157" s="1837"/>
      <c r="FI157" s="1838"/>
      <c r="FJ157" s="1837"/>
      <c r="FK157" s="1838"/>
      <c r="FL157" s="1839"/>
      <c r="FM157" s="1840"/>
      <c r="FN157" s="1837"/>
      <c r="FO157" s="1838"/>
      <c r="FP157" s="1837"/>
      <c r="FQ157" s="1838"/>
      <c r="FR157" s="1839"/>
      <c r="FS157" s="1840"/>
      <c r="FT157" s="1837"/>
      <c r="FU157" s="1838"/>
      <c r="FV157" s="1837"/>
      <c r="FW157" s="1838"/>
      <c r="FX157" s="1839"/>
      <c r="FY157" s="1840"/>
      <c r="FZ157" s="1837"/>
      <c r="GA157" s="1838"/>
      <c r="GB157" s="1837"/>
      <c r="GC157" s="1838"/>
      <c r="GD157" s="1839"/>
      <c r="GE157" s="1840"/>
      <c r="GF157" s="1837"/>
      <c r="GG157" s="1838"/>
      <c r="GH157" s="1837"/>
      <c r="GI157" s="1838"/>
      <c r="GJ157" s="1839"/>
      <c r="GK157" s="1840"/>
      <c r="GL157" s="1837"/>
      <c r="GM157" s="1838"/>
      <c r="GN157" s="1837"/>
      <c r="GO157" s="1838"/>
      <c r="GP157" s="1839"/>
    </row>
    <row r="158" spans="1:198" ht="20.100000000000001" hidden="1" customHeight="1" outlineLevel="1" collapsed="1">
      <c r="A158" s="2709"/>
      <c r="B158" s="2612"/>
      <c r="C158" s="1858"/>
      <c r="D158" s="2614" t="str">
        <f>実績!C1238&amp;"("&amp;SUBSTITUTE(実績!R1238&amp;")","株式会社 ","")</f>
        <v>無添くら寿司 戸田駅前(アトリエA&amp;J)</v>
      </c>
      <c r="E158" s="2617"/>
      <c r="F158" s="2617"/>
      <c r="G158" s="2617"/>
      <c r="H158" s="2617"/>
      <c r="I158" s="2617"/>
      <c r="J158" s="2617"/>
      <c r="K158" s="2617"/>
      <c r="L158" s="2617"/>
      <c r="M158" s="2617"/>
      <c r="N158" s="2617"/>
      <c r="O158" s="2617"/>
      <c r="P158" s="2617"/>
      <c r="Q158" s="2618"/>
      <c r="R158" s="1970"/>
      <c r="S158" s="1837"/>
      <c r="T158" s="1837"/>
      <c r="U158" s="1837"/>
      <c r="V158" s="1837"/>
      <c r="W158" s="1837"/>
      <c r="X158" s="1837"/>
      <c r="Y158" s="1837"/>
      <c r="Z158" s="1837"/>
      <c r="AA158" s="1837"/>
      <c r="AB158" s="1837"/>
      <c r="AC158" s="1837"/>
      <c r="AD158" s="1837"/>
      <c r="AE158" s="1837"/>
      <c r="AF158" s="1837"/>
      <c r="AG158" s="1837"/>
      <c r="AH158" s="1837"/>
      <c r="AI158" s="1837"/>
      <c r="AJ158" s="1837"/>
      <c r="AK158" s="1837"/>
      <c r="AL158" s="1837"/>
      <c r="AM158" s="1837"/>
      <c r="AN158" s="1837"/>
      <c r="AO158" s="1837"/>
      <c r="AP158" s="1837"/>
      <c r="AQ158" s="1837"/>
      <c r="AR158" s="1837"/>
      <c r="AS158" s="1837"/>
      <c r="AT158" s="1837"/>
      <c r="AU158" s="1837"/>
      <c r="AV158" s="1837"/>
      <c r="AW158" s="1840"/>
      <c r="AX158" s="1837"/>
      <c r="AY158" s="1838"/>
      <c r="AZ158" s="1837"/>
      <c r="BA158" s="1838"/>
      <c r="BB158" s="1839"/>
      <c r="BC158" s="1837"/>
      <c r="BD158" s="1837"/>
      <c r="BE158" s="1838"/>
      <c r="BF158" s="1837"/>
      <c r="BG158" s="1838"/>
      <c r="BH158" s="1837"/>
      <c r="BI158" s="1837"/>
      <c r="BJ158" s="1837"/>
      <c r="BK158" s="1838"/>
      <c r="BL158" s="1837"/>
      <c r="BM158" s="1838"/>
      <c r="BN158" s="1839"/>
      <c r="BO158" s="1840"/>
      <c r="BP158" s="1837" t="s">
        <v>9767</v>
      </c>
      <c r="BQ158" s="1838"/>
      <c r="BR158" s="1837"/>
      <c r="BS158" s="1838"/>
      <c r="BT158" s="1839"/>
      <c r="BU158" s="1840"/>
      <c r="BV158" s="1837"/>
      <c r="BW158" s="1838"/>
      <c r="BX158" s="1837"/>
      <c r="BY158" s="1838"/>
      <c r="BZ158" s="1839"/>
      <c r="CA158" s="1840"/>
      <c r="CB158" s="1837"/>
      <c r="CC158" s="1838"/>
      <c r="CD158" s="1837"/>
      <c r="CE158" s="1838"/>
      <c r="CF158" s="1839"/>
      <c r="CG158" s="1840"/>
      <c r="CH158" s="1837"/>
      <c r="CI158" s="1838"/>
      <c r="CJ158" s="1837"/>
      <c r="CK158" s="1838"/>
      <c r="CL158" s="1839"/>
      <c r="CM158" s="1840"/>
      <c r="CN158" s="1837"/>
      <c r="CO158" s="1838"/>
      <c r="CP158" s="1837"/>
      <c r="CQ158" s="1838"/>
      <c r="CR158" s="1839"/>
      <c r="CS158" s="1840"/>
      <c r="CT158" s="1837"/>
      <c r="CU158" s="1838"/>
      <c r="CV158" s="1837"/>
      <c r="CW158" s="1838"/>
      <c r="CX158" s="1839"/>
      <c r="CY158" s="1840"/>
      <c r="CZ158" s="1837"/>
      <c r="DA158" s="1838"/>
      <c r="DB158" s="1837"/>
      <c r="DC158" s="1838"/>
      <c r="DD158" s="1839"/>
      <c r="DE158" s="1840"/>
      <c r="DF158" s="1837"/>
      <c r="DG158" s="1838"/>
      <c r="DH158" s="1837"/>
      <c r="DI158" s="1838"/>
      <c r="DJ158" s="1839"/>
      <c r="DK158" s="1840"/>
      <c r="DL158" s="1837"/>
      <c r="DM158" s="1838"/>
      <c r="DN158" s="1837"/>
      <c r="DO158" s="1838"/>
      <c r="DP158" s="1837"/>
      <c r="DQ158" s="1853"/>
      <c r="DR158" s="1837"/>
      <c r="DS158" s="1838"/>
      <c r="DT158" s="1842"/>
      <c r="DU158" s="1837"/>
      <c r="DV158" s="1839"/>
      <c r="DW158" s="1840"/>
      <c r="DX158" s="1837"/>
      <c r="DY158" s="1838"/>
      <c r="DZ158" s="1837"/>
      <c r="EA158" s="1838"/>
      <c r="EB158" s="1839"/>
      <c r="EC158" s="1840"/>
      <c r="ED158" s="1837"/>
      <c r="EE158" s="1838"/>
      <c r="EF158" s="1837"/>
      <c r="EG158" s="1838"/>
      <c r="EH158" s="1839"/>
      <c r="EI158" s="1840"/>
      <c r="EJ158" s="1837"/>
      <c r="EK158" s="1838"/>
      <c r="EL158" s="1837"/>
      <c r="EM158" s="1838"/>
      <c r="EN158" s="1839"/>
      <c r="EO158" s="1840"/>
      <c r="EP158" s="1837"/>
      <c r="EQ158" s="1838"/>
      <c r="ER158" s="1837"/>
      <c r="ES158" s="1838"/>
      <c r="ET158" s="1839"/>
      <c r="EU158" s="1840"/>
      <c r="EV158" s="1837"/>
      <c r="EW158" s="1838"/>
      <c r="EX158" s="1837"/>
      <c r="EY158" s="1838"/>
      <c r="EZ158" s="1839"/>
      <c r="FA158" s="1840"/>
      <c r="FB158" s="1837"/>
      <c r="FC158" s="1838"/>
      <c r="FD158" s="1837"/>
      <c r="FE158" s="1838"/>
      <c r="FF158" s="1839"/>
      <c r="FG158" s="1840"/>
      <c r="FH158" s="1837"/>
      <c r="FI158" s="1838"/>
      <c r="FJ158" s="1837"/>
      <c r="FK158" s="1838"/>
      <c r="FL158" s="1839"/>
      <c r="FM158" s="1840"/>
      <c r="FN158" s="1837"/>
      <c r="FO158" s="1838"/>
      <c r="FP158" s="1837"/>
      <c r="FQ158" s="1838"/>
      <c r="FR158" s="1839"/>
      <c r="FS158" s="1840"/>
      <c r="FT158" s="1837"/>
      <c r="FU158" s="1838"/>
      <c r="FV158" s="1837"/>
      <c r="FW158" s="1838"/>
      <c r="FX158" s="1839"/>
      <c r="FY158" s="1840"/>
      <c r="FZ158" s="1837"/>
      <c r="GA158" s="1838"/>
      <c r="GB158" s="1837"/>
      <c r="GC158" s="1838"/>
      <c r="GD158" s="1839"/>
      <c r="GE158" s="1840"/>
      <c r="GF158" s="1837"/>
      <c r="GG158" s="1838"/>
      <c r="GH158" s="1837"/>
      <c r="GI158" s="1838"/>
      <c r="GJ158" s="1839"/>
      <c r="GK158" s="1840"/>
      <c r="GL158" s="1837"/>
      <c r="GM158" s="1838"/>
      <c r="GN158" s="1837"/>
      <c r="GO158" s="1838"/>
      <c r="GP158" s="1839"/>
    </row>
    <row r="159" spans="1:198" ht="20.100000000000001" hidden="1" customHeight="1" outlineLevel="1">
      <c r="A159" s="2709"/>
      <c r="B159" s="2612"/>
      <c r="C159" s="1858"/>
      <c r="D159" s="2614" t="str">
        <f>実績!C1175&amp;"("&amp;SUBSTITUTE(実績!R1175&amp;")","株式会社 ","")</f>
        <v>コープながのｺｰﾌﾟﾃﾞﾘ諏訪ｾﾝﾀｰ(エーシーエ設計)</v>
      </c>
      <c r="E159" s="2615"/>
      <c r="F159" s="2615"/>
      <c r="G159" s="2615"/>
      <c r="H159" s="2615"/>
      <c r="I159" s="2615"/>
      <c r="J159" s="2615"/>
      <c r="K159" s="2615"/>
      <c r="L159" s="2615"/>
      <c r="M159" s="2615"/>
      <c r="N159" s="2615"/>
      <c r="O159" s="2615"/>
      <c r="P159" s="2615"/>
      <c r="Q159" s="2616"/>
      <c r="R159" s="1969"/>
      <c r="S159" s="1837"/>
      <c r="T159" s="1837"/>
      <c r="U159" s="1838"/>
      <c r="V159" s="1837"/>
      <c r="W159" s="1838"/>
      <c r="X159" s="1839"/>
      <c r="Y159" s="1837"/>
      <c r="Z159" s="1837"/>
      <c r="AA159" s="1838"/>
      <c r="AB159" s="1837"/>
      <c r="AC159" s="1838"/>
      <c r="AD159" s="1837"/>
      <c r="AE159" s="1840"/>
      <c r="AF159" s="1837"/>
      <c r="AG159" s="1838"/>
      <c r="AH159" s="1837"/>
      <c r="AI159" s="1838"/>
      <c r="AJ159" s="1839"/>
      <c r="AK159" s="1837"/>
      <c r="AL159" s="1837"/>
      <c r="AM159" s="1838"/>
      <c r="AN159" s="1837"/>
      <c r="AO159" s="1838"/>
      <c r="AP159" s="1837"/>
      <c r="AQ159" s="1841" t="s">
        <v>8352</v>
      </c>
      <c r="AR159" s="1837"/>
      <c r="AS159" s="1838"/>
      <c r="AT159" s="1837" t="s">
        <v>8645</v>
      </c>
      <c r="AU159" s="1838"/>
      <c r="AV159" s="1839"/>
      <c r="AW159" s="1840" t="s">
        <v>8646</v>
      </c>
      <c r="AX159" s="1837"/>
      <c r="AY159" s="1838"/>
      <c r="AZ159" s="1837"/>
      <c r="BA159" s="1838"/>
      <c r="BB159" s="1839"/>
      <c r="BC159" s="1837"/>
      <c r="BD159" s="1837"/>
      <c r="BE159" s="1838"/>
      <c r="BF159" s="1842"/>
      <c r="BG159" s="1838"/>
      <c r="BH159" s="1837"/>
      <c r="BI159" s="1859" t="s">
        <v>9354</v>
      </c>
      <c r="BJ159" s="1837"/>
      <c r="BK159" s="1838"/>
      <c r="BL159" s="1837"/>
      <c r="BM159" s="1838"/>
      <c r="BN159" s="1839"/>
      <c r="BO159" s="1318" t="s">
        <v>9791</v>
      </c>
      <c r="BP159" s="1837"/>
      <c r="BQ159" s="1838"/>
      <c r="BR159" s="1837"/>
      <c r="BS159" s="1838"/>
      <c r="BT159" s="1839"/>
      <c r="BU159" s="1840"/>
      <c r="BV159" s="1837"/>
      <c r="BW159" s="1838"/>
      <c r="BX159" s="1837"/>
      <c r="BY159" s="1838"/>
      <c r="BZ159" s="1839"/>
      <c r="CA159" s="1840"/>
      <c r="CB159" s="1837"/>
      <c r="CC159" s="1838"/>
      <c r="CD159" s="1837"/>
      <c r="CE159" s="1838"/>
      <c r="CF159" s="1839"/>
      <c r="CG159" s="1840"/>
      <c r="CH159" s="1837"/>
      <c r="CI159" s="1838"/>
      <c r="CJ159" s="1837"/>
      <c r="CK159" s="1838"/>
      <c r="CL159" s="1839"/>
      <c r="CM159" s="1840"/>
      <c r="CN159" s="1837"/>
      <c r="CO159" s="1838"/>
      <c r="CP159" s="1837"/>
      <c r="CQ159" s="1838"/>
      <c r="CR159" s="1839"/>
      <c r="CS159" s="1840"/>
      <c r="CT159" s="1837"/>
      <c r="CU159" s="1838"/>
      <c r="CV159" s="1837"/>
      <c r="CW159" s="1838"/>
      <c r="CX159" s="1839"/>
      <c r="CY159" s="1840"/>
      <c r="CZ159" s="1837"/>
      <c r="DA159" s="1838"/>
      <c r="DB159" s="1837"/>
      <c r="DC159" s="1838"/>
      <c r="DD159" s="1839"/>
      <c r="DE159" s="1840"/>
      <c r="DF159" s="1837"/>
      <c r="DG159" s="1838"/>
      <c r="DH159" s="1837"/>
      <c r="DI159" s="1838"/>
      <c r="DJ159" s="1839"/>
      <c r="DK159" s="1840"/>
      <c r="DL159" s="1837"/>
      <c r="DM159" s="1838"/>
      <c r="DN159" s="1837"/>
      <c r="DO159" s="1838"/>
      <c r="DP159" s="1837"/>
      <c r="DQ159" s="1853"/>
      <c r="DR159" s="1837"/>
      <c r="DS159" s="1838"/>
      <c r="DT159" s="1842"/>
      <c r="DU159" s="1837"/>
      <c r="DV159" s="1839"/>
      <c r="DW159" s="1840"/>
      <c r="DX159" s="1837"/>
      <c r="DY159" s="1838"/>
      <c r="DZ159" s="1837"/>
      <c r="EA159" s="1838"/>
      <c r="EB159" s="1839"/>
      <c r="EC159" s="1840"/>
      <c r="ED159" s="1837"/>
      <c r="EE159" s="1838"/>
      <c r="EF159" s="1837"/>
      <c r="EG159" s="1838"/>
      <c r="EH159" s="1839"/>
      <c r="EI159" s="1840"/>
      <c r="EJ159" s="1837"/>
      <c r="EK159" s="1838"/>
      <c r="EL159" s="1837"/>
      <c r="EM159" s="1838"/>
      <c r="EN159" s="1839"/>
      <c r="EO159" s="1840"/>
      <c r="EP159" s="1837"/>
      <c r="EQ159" s="1838"/>
      <c r="ER159" s="1837"/>
      <c r="ES159" s="1838"/>
      <c r="ET159" s="1839"/>
      <c r="EU159" s="1840"/>
      <c r="EV159" s="1837"/>
      <c r="EW159" s="1838"/>
      <c r="EX159" s="1837"/>
      <c r="EY159" s="1838"/>
      <c r="EZ159" s="1839"/>
      <c r="FA159" s="1840"/>
      <c r="FB159" s="1837"/>
      <c r="FC159" s="1838"/>
      <c r="FD159" s="1837"/>
      <c r="FE159" s="1838"/>
      <c r="FF159" s="1839"/>
      <c r="FG159" s="1840"/>
      <c r="FH159" s="1837"/>
      <c r="FI159" s="1838"/>
      <c r="FJ159" s="1837"/>
      <c r="FK159" s="1838"/>
      <c r="FL159" s="1839"/>
      <c r="FM159" s="1840"/>
      <c r="FN159" s="1837"/>
      <c r="FO159" s="1838"/>
      <c r="FP159" s="1837"/>
      <c r="FQ159" s="1838"/>
      <c r="FR159" s="1839"/>
      <c r="FS159" s="1840"/>
      <c r="FT159" s="1837"/>
      <c r="FU159" s="1838"/>
      <c r="FV159" s="1837"/>
      <c r="FW159" s="1838"/>
      <c r="FX159" s="1839"/>
      <c r="FY159" s="1840"/>
      <c r="FZ159" s="1837"/>
      <c r="GA159" s="1838"/>
      <c r="GB159" s="1837"/>
      <c r="GC159" s="1838"/>
      <c r="GD159" s="1839"/>
      <c r="GE159" s="1840"/>
      <c r="GF159" s="1837"/>
      <c r="GG159" s="1838"/>
      <c r="GH159" s="1837"/>
      <c r="GI159" s="1838"/>
      <c r="GJ159" s="1839"/>
      <c r="GK159" s="1840"/>
      <c r="GL159" s="1837"/>
      <c r="GM159" s="1838"/>
      <c r="GN159" s="1837"/>
      <c r="GO159" s="1838"/>
      <c r="GP159" s="1839"/>
    </row>
    <row r="160" spans="1:198" ht="20.100000000000001" hidden="1" customHeight="1" outlineLevel="1" collapsed="1">
      <c r="A160" s="2709"/>
      <c r="B160" s="2612"/>
      <c r="C160" s="1858"/>
      <c r="D160" s="2614" t="str">
        <f>実績!C1248&amp;"("&amp;SUBSTITUTE(実績!W1248&amp;")","株式会社 ","")</f>
        <v>はやま農場田村若雌農場 事務所棟(日成ビルド工業 株式会社)</v>
      </c>
      <c r="E160" s="2617"/>
      <c r="F160" s="2617"/>
      <c r="G160" s="2617"/>
      <c r="H160" s="2617"/>
      <c r="I160" s="2617"/>
      <c r="J160" s="2617"/>
      <c r="K160" s="2617"/>
      <c r="L160" s="2617"/>
      <c r="M160" s="2617"/>
      <c r="N160" s="2617"/>
      <c r="O160" s="2617"/>
      <c r="P160" s="2617"/>
      <c r="Q160" s="2618"/>
      <c r="R160" s="1970"/>
      <c r="S160" s="1837"/>
      <c r="T160" s="1837"/>
      <c r="U160" s="1838"/>
      <c r="V160" s="1837"/>
      <c r="W160" s="1838"/>
      <c r="X160" s="1839"/>
      <c r="Y160" s="1837"/>
      <c r="Z160" s="1837"/>
      <c r="AA160" s="1838"/>
      <c r="AB160" s="1837"/>
      <c r="AC160" s="1838"/>
      <c r="AD160" s="1837"/>
      <c r="AE160" s="1840"/>
      <c r="AF160" s="1837"/>
      <c r="AG160" s="1838"/>
      <c r="AH160" s="1837"/>
      <c r="AI160" s="1838"/>
      <c r="AJ160" s="1839"/>
      <c r="AK160" s="1837"/>
      <c r="AL160" s="1837"/>
      <c r="AM160" s="1838"/>
      <c r="AN160" s="1837"/>
      <c r="AO160" s="1838"/>
      <c r="AP160" s="1837"/>
      <c r="AQ160" s="1841"/>
      <c r="AR160" s="1837"/>
      <c r="AS160" s="1838"/>
      <c r="AT160" s="1837"/>
      <c r="AU160" s="1838" t="s">
        <v>8352</v>
      </c>
      <c r="AV160" s="1839"/>
      <c r="AW160" s="1840"/>
      <c r="AX160" s="1837"/>
      <c r="AY160" s="1838"/>
      <c r="AZ160" s="1837"/>
      <c r="BA160" s="1838"/>
      <c r="BB160" s="1839"/>
      <c r="BC160" s="1837"/>
      <c r="BD160" s="1837"/>
      <c r="BE160" s="1838"/>
      <c r="BF160" s="1837"/>
      <c r="BG160" s="1838"/>
      <c r="BH160" s="1837"/>
      <c r="BI160" s="1840"/>
      <c r="BJ160" s="1837"/>
      <c r="BK160" s="1838"/>
      <c r="BL160" s="1837"/>
      <c r="BM160" s="1838"/>
      <c r="BN160" s="1839"/>
      <c r="BO160" s="1840"/>
      <c r="BP160" s="1837"/>
      <c r="BQ160" s="1838"/>
      <c r="BR160" s="1842" t="s">
        <v>9871</v>
      </c>
      <c r="BS160" s="1838"/>
      <c r="BT160" s="1839"/>
      <c r="BU160" s="1840"/>
      <c r="BV160" s="1837"/>
      <c r="BW160" s="1838"/>
      <c r="BX160" s="1837"/>
      <c r="BY160" s="1838"/>
      <c r="BZ160" s="1839"/>
      <c r="CA160" s="1840"/>
      <c r="CB160" s="1837"/>
      <c r="CC160" s="1838"/>
      <c r="CD160" s="1837"/>
      <c r="CE160" s="1838"/>
      <c r="CF160" s="1839"/>
      <c r="CG160" s="1840"/>
      <c r="CH160" s="1837"/>
      <c r="CI160" s="1838"/>
      <c r="CJ160" s="1837"/>
      <c r="CK160" s="1838"/>
      <c r="CL160" s="1839"/>
      <c r="CM160" s="1840"/>
      <c r="CN160" s="1837"/>
      <c r="CO160" s="1838"/>
      <c r="CP160" s="1837"/>
      <c r="CQ160" s="1838"/>
      <c r="CR160" s="1839"/>
      <c r="CS160" s="1840"/>
      <c r="CT160" s="1837"/>
      <c r="CU160" s="1838"/>
      <c r="CV160" s="1837"/>
      <c r="CW160" s="1838"/>
      <c r="CX160" s="1839"/>
      <c r="CY160" s="1840"/>
      <c r="CZ160" s="1837"/>
      <c r="DA160" s="1838"/>
      <c r="DB160" s="1837"/>
      <c r="DC160" s="1838"/>
      <c r="DD160" s="1839"/>
      <c r="DE160" s="1840"/>
      <c r="DF160" s="1837"/>
      <c r="DG160" s="1838"/>
      <c r="DH160" s="1837"/>
      <c r="DI160" s="1838"/>
      <c r="DJ160" s="1839"/>
      <c r="DK160" s="1840"/>
      <c r="DL160" s="1837"/>
      <c r="DM160" s="1838"/>
      <c r="DN160" s="1837"/>
      <c r="DO160" s="1838"/>
      <c r="DP160" s="1837"/>
      <c r="DQ160" s="1853"/>
      <c r="DR160" s="1837"/>
      <c r="DS160" s="1838"/>
      <c r="DT160" s="1842"/>
      <c r="DU160" s="1837"/>
      <c r="DV160" s="1839"/>
      <c r="DW160" s="1840"/>
      <c r="DX160" s="1837"/>
      <c r="DY160" s="1838"/>
      <c r="DZ160" s="1837"/>
      <c r="EA160" s="1838"/>
      <c r="EB160" s="1839"/>
      <c r="EC160" s="1840"/>
      <c r="ED160" s="1837"/>
      <c r="EE160" s="1838"/>
      <c r="EF160" s="1837"/>
      <c r="EG160" s="1838"/>
      <c r="EH160" s="1839"/>
      <c r="EI160" s="1840"/>
      <c r="EJ160" s="1837"/>
      <c r="EK160" s="1838"/>
      <c r="EL160" s="1837"/>
      <c r="EM160" s="1838"/>
      <c r="EN160" s="1839"/>
      <c r="EO160" s="1840"/>
      <c r="EP160" s="1837"/>
      <c r="EQ160" s="1838"/>
      <c r="ER160" s="1837"/>
      <c r="ES160" s="1838"/>
      <c r="ET160" s="1839"/>
      <c r="EU160" s="1840"/>
      <c r="EV160" s="1837"/>
      <c r="EW160" s="1838"/>
      <c r="EX160" s="1837"/>
      <c r="EY160" s="1838"/>
      <c r="EZ160" s="1839"/>
      <c r="FA160" s="1840"/>
      <c r="FB160" s="1837"/>
      <c r="FC160" s="1838"/>
      <c r="FD160" s="1837"/>
      <c r="FE160" s="1838"/>
      <c r="FF160" s="1839"/>
      <c r="FG160" s="1840"/>
      <c r="FH160" s="1837"/>
      <c r="FI160" s="1838"/>
      <c r="FJ160" s="1837"/>
      <c r="FK160" s="1838"/>
      <c r="FL160" s="1839"/>
      <c r="FM160" s="1840"/>
      <c r="FN160" s="1837"/>
      <c r="FO160" s="1838"/>
      <c r="FP160" s="1837"/>
      <c r="FQ160" s="1838"/>
      <c r="FR160" s="1839"/>
      <c r="FS160" s="1840"/>
      <c r="FT160" s="1837"/>
      <c r="FU160" s="1838"/>
      <c r="FV160" s="1837"/>
      <c r="FW160" s="1838"/>
      <c r="FX160" s="1839"/>
      <c r="FY160" s="1840"/>
      <c r="FZ160" s="1837"/>
      <c r="GA160" s="1838"/>
      <c r="GB160" s="1837"/>
      <c r="GC160" s="1838"/>
      <c r="GD160" s="1839"/>
      <c r="GE160" s="1840"/>
      <c r="GF160" s="1837"/>
      <c r="GG160" s="1838"/>
      <c r="GH160" s="1837"/>
      <c r="GI160" s="1838"/>
      <c r="GJ160" s="1839"/>
      <c r="GK160" s="1840"/>
      <c r="GL160" s="1837"/>
      <c r="GM160" s="1838"/>
      <c r="GN160" s="1837"/>
      <c r="GO160" s="1838"/>
      <c r="GP160" s="1839"/>
    </row>
    <row r="161" spans="1:198" ht="20.100000000000001" hidden="1" customHeight="1" outlineLevel="1" collapsed="1">
      <c r="A161" s="2709"/>
      <c r="B161" s="2612"/>
      <c r="C161" s="1858"/>
      <c r="D161" s="2614" t="str">
        <f>実績!C1247&amp;"("&amp;SUBSTITUTE(実績!W1247&amp;")","株式会社 ","")</f>
        <v>ｼﾞｬﾑﾌﾚﾝﾄﾞｸﾗﾌﾞAむつ十二林(コウダヤ建築設計事務所)</v>
      </c>
      <c r="E161" s="2617"/>
      <c r="F161" s="2617"/>
      <c r="G161" s="2617"/>
      <c r="H161" s="2617"/>
      <c r="I161" s="2617"/>
      <c r="J161" s="2617"/>
      <c r="K161" s="2617"/>
      <c r="L161" s="2617"/>
      <c r="M161" s="2617"/>
      <c r="N161" s="2617"/>
      <c r="O161" s="2617"/>
      <c r="P161" s="2617"/>
      <c r="Q161" s="2618"/>
      <c r="R161" s="1970"/>
      <c r="S161" s="1837"/>
      <c r="T161" s="1837"/>
      <c r="U161" s="1838"/>
      <c r="V161" s="1837"/>
      <c r="W161" s="1838"/>
      <c r="X161" s="1839"/>
      <c r="Y161" s="1837"/>
      <c r="Z161" s="1837"/>
      <c r="AA161" s="1838"/>
      <c r="AB161" s="1837"/>
      <c r="AC161" s="1838"/>
      <c r="AD161" s="1837"/>
      <c r="AE161" s="1840"/>
      <c r="AF161" s="1837"/>
      <c r="AG161" s="1838"/>
      <c r="AH161" s="1837"/>
      <c r="AI161" s="1838"/>
      <c r="AJ161" s="1839"/>
      <c r="AK161" s="1837"/>
      <c r="AL161" s="1837"/>
      <c r="AM161" s="1838"/>
      <c r="AN161" s="1837"/>
      <c r="AO161" s="1838"/>
      <c r="AP161" s="1837"/>
      <c r="AQ161" s="1841"/>
      <c r="AR161" s="1837"/>
      <c r="AS161" s="1838"/>
      <c r="AT161" s="1837"/>
      <c r="AU161" s="1838" t="s">
        <v>8352</v>
      </c>
      <c r="AV161" s="1839"/>
      <c r="AW161" s="1840"/>
      <c r="AX161" s="1837"/>
      <c r="AY161" s="1838"/>
      <c r="AZ161" s="1837"/>
      <c r="BA161" s="1838"/>
      <c r="BB161" s="1839"/>
      <c r="BC161" s="1837"/>
      <c r="BD161" s="1837"/>
      <c r="BE161" s="1838"/>
      <c r="BF161" s="1837"/>
      <c r="BG161" s="1838"/>
      <c r="BH161" s="1837"/>
      <c r="BI161" s="1840"/>
      <c r="BJ161" s="1837"/>
      <c r="BK161" s="1838"/>
      <c r="BL161" s="1837"/>
      <c r="BM161" s="1838"/>
      <c r="BN161" s="1839"/>
      <c r="BO161" s="1840"/>
      <c r="BP161" s="1860"/>
      <c r="BQ161" s="1838"/>
      <c r="BR161" s="1842" t="s">
        <v>9834</v>
      </c>
      <c r="BS161" s="1838"/>
      <c r="BT161" s="1839"/>
      <c r="BU161" s="1840"/>
      <c r="BV161" s="1837"/>
      <c r="BW161" s="1838"/>
      <c r="BX161" s="1837"/>
      <c r="BY161" s="1838"/>
      <c r="BZ161" s="1839"/>
      <c r="CA161" s="1840"/>
      <c r="CB161" s="1837"/>
      <c r="CC161" s="1838"/>
      <c r="CD161" s="1837"/>
      <c r="CE161" s="1838"/>
      <c r="CF161" s="1839"/>
      <c r="CG161" s="1840" t="s">
        <v>9823</v>
      </c>
      <c r="CH161" s="1837"/>
      <c r="CI161" s="1838"/>
      <c r="CJ161" s="1837"/>
      <c r="CK161" s="1838"/>
      <c r="CL161" s="1839"/>
      <c r="CM161" s="1840"/>
      <c r="CN161" s="1837"/>
      <c r="CO161" s="1838"/>
      <c r="CP161" s="1837"/>
      <c r="CQ161" s="1838"/>
      <c r="CR161" s="1839"/>
      <c r="CS161" s="1840"/>
      <c r="CT161" s="1837"/>
      <c r="CU161" s="1838"/>
      <c r="CV161" s="1837"/>
      <c r="CW161" s="1838"/>
      <c r="CX161" s="1839"/>
      <c r="CY161" s="1840"/>
      <c r="CZ161" s="1837"/>
      <c r="DA161" s="1838"/>
      <c r="DB161" s="1837"/>
      <c r="DC161" s="1838"/>
      <c r="DD161" s="1839"/>
      <c r="DE161" s="1840"/>
      <c r="DF161" s="1837"/>
      <c r="DG161" s="1838"/>
      <c r="DH161" s="1837"/>
      <c r="DI161" s="1838"/>
      <c r="DJ161" s="1839"/>
      <c r="DK161" s="1840"/>
      <c r="DL161" s="1837"/>
      <c r="DM161" s="1838"/>
      <c r="DN161" s="1837"/>
      <c r="DO161" s="1838"/>
      <c r="DP161" s="1837"/>
      <c r="DQ161" s="1853"/>
      <c r="DR161" s="1837"/>
      <c r="DS161" s="1838"/>
      <c r="DT161" s="1842"/>
      <c r="DU161" s="1837"/>
      <c r="DV161" s="1839"/>
      <c r="DW161" s="1840"/>
      <c r="DX161" s="1837"/>
      <c r="DY161" s="1838"/>
      <c r="DZ161" s="1837"/>
      <c r="EA161" s="1838"/>
      <c r="EB161" s="1839"/>
      <c r="EC161" s="1840"/>
      <c r="ED161" s="1837"/>
      <c r="EE161" s="1838"/>
      <c r="EF161" s="1837"/>
      <c r="EG161" s="1838"/>
      <c r="EH161" s="1839"/>
      <c r="EI161" s="1840"/>
      <c r="EJ161" s="1837"/>
      <c r="EK161" s="1838"/>
      <c r="EL161" s="1837"/>
      <c r="EM161" s="1838"/>
      <c r="EN161" s="1839"/>
      <c r="EO161" s="1840"/>
      <c r="EP161" s="1837"/>
      <c r="EQ161" s="1838"/>
      <c r="ER161" s="1837"/>
      <c r="ES161" s="1838"/>
      <c r="ET161" s="1839"/>
      <c r="EU161" s="1840"/>
      <c r="EV161" s="1837"/>
      <c r="EW161" s="1838"/>
      <c r="EX161" s="1837"/>
      <c r="EY161" s="1838"/>
      <c r="EZ161" s="1839"/>
      <c r="FA161" s="1840"/>
      <c r="FB161" s="1837"/>
      <c r="FC161" s="1838"/>
      <c r="FD161" s="1837"/>
      <c r="FE161" s="1838"/>
      <c r="FF161" s="1839"/>
      <c r="FG161" s="1840"/>
      <c r="FH161" s="1837"/>
      <c r="FI161" s="1838"/>
      <c r="FJ161" s="1837"/>
      <c r="FK161" s="1838"/>
      <c r="FL161" s="1839"/>
      <c r="FM161" s="1840"/>
      <c r="FN161" s="1837"/>
      <c r="FO161" s="1838"/>
      <c r="FP161" s="1837"/>
      <c r="FQ161" s="1838"/>
      <c r="FR161" s="1839"/>
      <c r="FS161" s="1840"/>
      <c r="FT161" s="1837"/>
      <c r="FU161" s="1838"/>
      <c r="FV161" s="1837"/>
      <c r="FW161" s="1838"/>
      <c r="FX161" s="1839"/>
      <c r="FY161" s="1840"/>
      <c r="FZ161" s="1837"/>
      <c r="GA161" s="1838"/>
      <c r="GB161" s="1837"/>
      <c r="GC161" s="1838"/>
      <c r="GD161" s="1839"/>
      <c r="GE161" s="1840"/>
      <c r="GF161" s="1837"/>
      <c r="GG161" s="1838"/>
      <c r="GH161" s="1837"/>
      <c r="GI161" s="1838"/>
      <c r="GJ161" s="1839"/>
      <c r="GK161" s="1840"/>
      <c r="GL161" s="1837"/>
      <c r="GM161" s="1838"/>
      <c r="GN161" s="1837"/>
      <c r="GO161" s="1838"/>
      <c r="GP161" s="1839"/>
    </row>
    <row r="162" spans="1:198" ht="20.100000000000001" hidden="1" customHeight="1" outlineLevel="1">
      <c r="A162" s="2709"/>
      <c r="B162" s="2612"/>
      <c r="C162" s="1858"/>
      <c r="D162" s="2614" t="str">
        <f>実績!C1252&amp;"("&amp;SUBSTITUTE(実績!R1252&amp;")","株式会社 ","")</f>
        <v>伊方町観光交流拠点施設(カイトアーキテクツ)</v>
      </c>
      <c r="E162" s="2617"/>
      <c r="F162" s="2617"/>
      <c r="G162" s="2617"/>
      <c r="H162" s="2617"/>
      <c r="I162" s="2617"/>
      <c r="J162" s="2617"/>
      <c r="K162" s="2617"/>
      <c r="L162" s="2617"/>
      <c r="M162" s="2617"/>
      <c r="N162" s="2617"/>
      <c r="O162" s="2617"/>
      <c r="P162" s="2617"/>
      <c r="Q162" s="2618"/>
      <c r="R162" s="1970"/>
      <c r="S162" s="1837"/>
      <c r="T162" s="1837"/>
      <c r="U162" s="1837"/>
      <c r="V162" s="1837"/>
      <c r="W162" s="1837"/>
      <c r="X162" s="1837"/>
      <c r="Y162" s="1837"/>
      <c r="Z162" s="1837"/>
      <c r="AA162" s="1837"/>
      <c r="AB162" s="1837"/>
      <c r="AC162" s="1837"/>
      <c r="AD162" s="1837"/>
      <c r="AE162" s="1837"/>
      <c r="AF162" s="1837"/>
      <c r="AG162" s="1837"/>
      <c r="AH162" s="1837"/>
      <c r="AI162" s="1837"/>
      <c r="AJ162" s="1837"/>
      <c r="AK162" s="1837"/>
      <c r="AL162" s="1837"/>
      <c r="AM162" s="1837"/>
      <c r="AN162" s="1837"/>
      <c r="AO162" s="1837"/>
      <c r="AP162" s="1837"/>
      <c r="AQ162" s="1837"/>
      <c r="AR162" s="1837"/>
      <c r="AS162" s="1837"/>
      <c r="AT162" s="1837"/>
      <c r="AU162" s="1837"/>
      <c r="AV162" s="1837"/>
      <c r="AW162" s="1837"/>
      <c r="AX162" s="1837"/>
      <c r="AY162" s="1837"/>
      <c r="AZ162" s="1837"/>
      <c r="BA162" s="1837"/>
      <c r="BB162" s="1837"/>
      <c r="BC162" s="1837"/>
      <c r="BD162" s="1837"/>
      <c r="BE162" s="1837"/>
      <c r="BF162" s="1837"/>
      <c r="BG162" s="1837"/>
      <c r="BH162" s="1837"/>
      <c r="BI162" s="1840"/>
      <c r="BJ162" s="1837"/>
      <c r="BK162" s="1838"/>
      <c r="BL162" s="1837"/>
      <c r="BM162" s="1838"/>
      <c r="BN162" s="1839"/>
      <c r="BO162" s="1840"/>
      <c r="BP162" s="1837"/>
      <c r="BQ162" s="1838"/>
      <c r="BR162" s="1842" t="s">
        <v>9894</v>
      </c>
      <c r="BS162" s="1838"/>
      <c r="BT162" s="1839"/>
      <c r="BU162" s="1840"/>
      <c r="BV162" s="1837"/>
      <c r="BW162" s="1838"/>
      <c r="BX162" s="1837"/>
      <c r="BY162" s="1838"/>
      <c r="BZ162" s="1839"/>
      <c r="CA162" s="1840"/>
      <c r="CB162" s="1837"/>
      <c r="CC162" s="1838"/>
      <c r="CD162" s="1837"/>
      <c r="CE162" s="1838"/>
      <c r="CF162" s="1839"/>
      <c r="CG162" s="1840"/>
      <c r="CH162" s="1837"/>
      <c r="CI162" s="1838"/>
      <c r="CJ162" s="1837"/>
      <c r="CK162" s="1838" t="s">
        <v>8145</v>
      </c>
      <c r="CL162" s="1839"/>
      <c r="CM162" s="1840"/>
      <c r="CN162" s="1837"/>
      <c r="CO162" s="1838"/>
      <c r="CP162" s="1837"/>
      <c r="CQ162" s="1838"/>
      <c r="CR162" s="1839"/>
      <c r="CS162" s="1840"/>
      <c r="CT162" s="1837"/>
      <c r="CU162" s="1838"/>
      <c r="CV162" s="1837"/>
      <c r="CW162" s="1838"/>
      <c r="CX162" s="1839"/>
      <c r="CY162" s="1840"/>
      <c r="CZ162" s="1837"/>
      <c r="DA162" s="1838"/>
      <c r="DB162" s="1837"/>
      <c r="DC162" s="1838"/>
      <c r="DD162" s="1839"/>
      <c r="DE162" s="1840"/>
      <c r="DF162" s="1837"/>
      <c r="DG162" s="1838"/>
      <c r="DH162" s="1837"/>
      <c r="DI162" s="1838"/>
      <c r="DJ162" s="1839"/>
      <c r="DK162" s="1840"/>
      <c r="DL162" s="1837"/>
      <c r="DM162" s="1838"/>
      <c r="DN162" s="1837"/>
      <c r="DO162" s="1838"/>
      <c r="DP162" s="1837"/>
      <c r="DQ162" s="1853"/>
      <c r="DR162" s="1837"/>
      <c r="DS162" s="1838"/>
      <c r="DT162" s="1842"/>
      <c r="DU162" s="1837"/>
      <c r="DV162" s="1839"/>
      <c r="DW162" s="1840"/>
      <c r="DX162" s="1837"/>
      <c r="DY162" s="1838"/>
      <c r="DZ162" s="1837"/>
      <c r="EA162" s="1838"/>
      <c r="EB162" s="1839"/>
      <c r="EC162" s="1840"/>
      <c r="ED162" s="1837"/>
      <c r="EE162" s="1838"/>
      <c r="EF162" s="1837"/>
      <c r="EG162" s="1838"/>
      <c r="EH162" s="1839"/>
      <c r="EI162" s="1840"/>
      <c r="EJ162" s="1837"/>
      <c r="EK162" s="1838"/>
      <c r="EL162" s="1837"/>
      <c r="EM162" s="1838"/>
      <c r="EN162" s="1839"/>
      <c r="EO162" s="1840"/>
      <c r="EP162" s="1837"/>
      <c r="EQ162" s="1838"/>
      <c r="ER162" s="1837"/>
      <c r="ES162" s="1838"/>
      <c r="ET162" s="1839"/>
      <c r="EU162" s="1840"/>
      <c r="EV162" s="1837"/>
      <c r="EW162" s="1838"/>
      <c r="EX162" s="1837"/>
      <c r="EY162" s="1838"/>
      <c r="EZ162" s="1839"/>
      <c r="FA162" s="1840"/>
      <c r="FB162" s="1837"/>
      <c r="FC162" s="1838"/>
      <c r="FD162" s="1837"/>
      <c r="FE162" s="1838"/>
      <c r="FF162" s="1839"/>
      <c r="FG162" s="1840"/>
      <c r="FH162" s="1837"/>
      <c r="FI162" s="1838"/>
      <c r="FJ162" s="1837"/>
      <c r="FK162" s="1838"/>
      <c r="FL162" s="1839"/>
      <c r="FM162" s="1840"/>
      <c r="FN162" s="1837"/>
      <c r="FO162" s="1838"/>
      <c r="FP162" s="1837"/>
      <c r="FQ162" s="1838"/>
      <c r="FR162" s="1839"/>
      <c r="FS162" s="1840"/>
      <c r="FT162" s="1837"/>
      <c r="FU162" s="1838"/>
      <c r="FV162" s="1837"/>
      <c r="FW162" s="1838"/>
      <c r="FX162" s="1839"/>
      <c r="FY162" s="1840"/>
      <c r="FZ162" s="1837"/>
      <c r="GA162" s="1838"/>
      <c r="GB162" s="1837"/>
      <c r="GC162" s="1838"/>
      <c r="GD162" s="1839"/>
      <c r="GE162" s="1840"/>
      <c r="GF162" s="1837"/>
      <c r="GG162" s="1838"/>
      <c r="GH162" s="1837"/>
      <c r="GI162" s="1838"/>
      <c r="GJ162" s="1839"/>
      <c r="GK162" s="1840"/>
      <c r="GL162" s="1837"/>
      <c r="GM162" s="1838"/>
      <c r="GN162" s="1837"/>
      <c r="GO162" s="1838"/>
      <c r="GP162" s="1839"/>
    </row>
    <row r="163" spans="1:198" ht="20.100000000000001" hidden="1" customHeight="1" outlineLevel="1" collapsed="1">
      <c r="A163" s="2709"/>
      <c r="B163" s="2612"/>
      <c r="C163" s="1858"/>
      <c r="D163" s="2614" t="str">
        <f>実績!C1245&amp;"("&amp;SUBSTITUTE(実績!R1245&amp;")","株式会社 ","")</f>
        <v>新琴似1条12丁目商業施設 保育所・学童保育所(スカイ・サイト)</v>
      </c>
      <c r="E163" s="2617"/>
      <c r="F163" s="2617"/>
      <c r="G163" s="2617"/>
      <c r="H163" s="2617"/>
      <c r="I163" s="2617"/>
      <c r="J163" s="2617"/>
      <c r="K163" s="2617"/>
      <c r="L163" s="2617"/>
      <c r="M163" s="2617"/>
      <c r="N163" s="2617"/>
      <c r="O163" s="2617"/>
      <c r="P163" s="2617"/>
      <c r="Q163" s="2618"/>
      <c r="R163" s="1970"/>
      <c r="S163" s="1837"/>
      <c r="T163" s="1837"/>
      <c r="U163" s="1837"/>
      <c r="V163" s="1837"/>
      <c r="W163" s="1837"/>
      <c r="X163" s="1837"/>
      <c r="Y163" s="1837"/>
      <c r="Z163" s="1837"/>
      <c r="AA163" s="1837"/>
      <c r="AB163" s="1837"/>
      <c r="AC163" s="1837"/>
      <c r="AD163" s="1837"/>
      <c r="AE163" s="1837"/>
      <c r="AF163" s="1837"/>
      <c r="AG163" s="1837"/>
      <c r="AH163" s="1837"/>
      <c r="AI163" s="1837"/>
      <c r="AJ163" s="1837"/>
      <c r="AK163" s="1837"/>
      <c r="AL163" s="1837"/>
      <c r="AM163" s="1837"/>
      <c r="AN163" s="1837"/>
      <c r="AO163" s="1837"/>
      <c r="AP163" s="1837"/>
      <c r="AQ163" s="1837"/>
      <c r="AR163" s="1837"/>
      <c r="AS163" s="1837"/>
      <c r="AT163" s="1837"/>
      <c r="AU163" s="1837"/>
      <c r="AV163" s="1837"/>
      <c r="AW163" s="1837"/>
      <c r="AX163" s="1837"/>
      <c r="AY163" s="1837"/>
      <c r="AZ163" s="1837"/>
      <c r="BA163" s="1837"/>
      <c r="BB163" s="1837"/>
      <c r="BC163" s="1837"/>
      <c r="BD163" s="1837"/>
      <c r="BE163" s="1837"/>
      <c r="BF163" s="1837"/>
      <c r="BG163" s="1837"/>
      <c r="BH163" s="1837"/>
      <c r="BI163" s="1840"/>
      <c r="BJ163" s="1837"/>
      <c r="BK163" s="1838"/>
      <c r="BL163" s="1837"/>
      <c r="BM163" s="1838"/>
      <c r="BN163" s="1839"/>
      <c r="BO163" s="1840"/>
      <c r="BP163" s="1837"/>
      <c r="BQ163" s="1838"/>
      <c r="BR163" s="1842"/>
      <c r="BS163" s="1838" t="s">
        <v>9472</v>
      </c>
      <c r="BT163" s="1839"/>
      <c r="BU163" s="1840"/>
      <c r="BV163" s="1837"/>
      <c r="BW163" s="1838"/>
      <c r="BX163" s="1837"/>
      <c r="BY163" s="1838"/>
      <c r="BZ163" s="1839"/>
      <c r="CA163" s="1840"/>
      <c r="CB163" s="1837"/>
      <c r="CC163" s="1838"/>
      <c r="CD163" s="1837"/>
      <c r="CE163" s="1838"/>
      <c r="CF163" s="1839"/>
      <c r="CG163" s="1840"/>
      <c r="CH163" s="1837"/>
      <c r="CI163" s="1838"/>
      <c r="CJ163" s="1837"/>
      <c r="CK163" s="1838" t="s">
        <v>9765</v>
      </c>
      <c r="CL163" s="1839"/>
      <c r="CM163" s="1840"/>
      <c r="CN163" s="1837"/>
      <c r="CO163" s="1838"/>
      <c r="CP163" s="1837"/>
      <c r="CQ163" s="1838"/>
      <c r="CR163" s="1839"/>
      <c r="CS163" s="1840"/>
      <c r="CT163" s="1837"/>
      <c r="CU163" s="1838"/>
      <c r="CV163" s="1837"/>
      <c r="CW163" s="1838"/>
      <c r="CX163" s="1839"/>
      <c r="CY163" s="1840"/>
      <c r="CZ163" s="1837"/>
      <c r="DA163" s="1838"/>
      <c r="DB163" s="1837"/>
      <c r="DC163" s="1838"/>
      <c r="DD163" s="1839"/>
      <c r="DE163" s="1840"/>
      <c r="DF163" s="1837"/>
      <c r="DG163" s="1838"/>
      <c r="DH163" s="1837"/>
      <c r="DI163" s="1838"/>
      <c r="DJ163" s="1839"/>
      <c r="DK163" s="1840"/>
      <c r="DL163" s="1837"/>
      <c r="DM163" s="1838"/>
      <c r="DN163" s="1837"/>
      <c r="DO163" s="1838"/>
      <c r="DP163" s="1837"/>
      <c r="DQ163" s="1853"/>
      <c r="DR163" s="1837"/>
      <c r="DS163" s="1838"/>
      <c r="DT163" s="1842"/>
      <c r="DU163" s="1837"/>
      <c r="DV163" s="1839"/>
      <c r="DW163" s="1840"/>
      <c r="DX163" s="1837"/>
      <c r="DY163" s="1838"/>
      <c r="DZ163" s="1837"/>
      <c r="EA163" s="1838"/>
      <c r="EB163" s="1839"/>
      <c r="EC163" s="1840"/>
      <c r="ED163" s="1837"/>
      <c r="EE163" s="1838"/>
      <c r="EF163" s="1837"/>
      <c r="EG163" s="1838"/>
      <c r="EH163" s="1839"/>
      <c r="EI163" s="1840"/>
      <c r="EJ163" s="1837"/>
      <c r="EK163" s="1838"/>
      <c r="EL163" s="1837"/>
      <c r="EM163" s="1838"/>
      <c r="EN163" s="1839"/>
      <c r="EO163" s="1840"/>
      <c r="EP163" s="1837"/>
      <c r="EQ163" s="1838"/>
      <c r="ER163" s="1837"/>
      <c r="ES163" s="1838"/>
      <c r="ET163" s="1839"/>
      <c r="EU163" s="1840"/>
      <c r="EV163" s="1837"/>
      <c r="EW163" s="1838"/>
      <c r="EX163" s="1837"/>
      <c r="EY163" s="1838"/>
      <c r="EZ163" s="1839"/>
      <c r="FA163" s="1840"/>
      <c r="FB163" s="1837"/>
      <c r="FC163" s="1838"/>
      <c r="FD163" s="1837"/>
      <c r="FE163" s="1838"/>
      <c r="FF163" s="1839"/>
      <c r="FG163" s="1840"/>
      <c r="FH163" s="1837"/>
      <c r="FI163" s="1838"/>
      <c r="FJ163" s="1837"/>
      <c r="FK163" s="1838"/>
      <c r="FL163" s="1839"/>
      <c r="FM163" s="1840"/>
      <c r="FN163" s="1837"/>
      <c r="FO163" s="1838"/>
      <c r="FP163" s="1837"/>
      <c r="FQ163" s="1838"/>
      <c r="FR163" s="1839"/>
      <c r="FS163" s="1840"/>
      <c r="FT163" s="1837"/>
      <c r="FU163" s="1838"/>
      <c r="FV163" s="1837"/>
      <c r="FW163" s="1838"/>
      <c r="FX163" s="1839"/>
      <c r="FY163" s="1840"/>
      <c r="FZ163" s="1837"/>
      <c r="GA163" s="1838"/>
      <c r="GB163" s="1837"/>
      <c r="GC163" s="1838"/>
      <c r="GD163" s="1839"/>
      <c r="GE163" s="1840"/>
      <c r="GF163" s="1837"/>
      <c r="GG163" s="1838"/>
      <c r="GH163" s="1837"/>
      <c r="GI163" s="1838"/>
      <c r="GJ163" s="1839"/>
      <c r="GK163" s="1840"/>
      <c r="GL163" s="1837"/>
      <c r="GM163" s="1838"/>
      <c r="GN163" s="1837"/>
      <c r="GO163" s="1838"/>
      <c r="GP163" s="1839"/>
    </row>
    <row r="164" spans="1:198" ht="20.100000000000001" hidden="1" customHeight="1" outlineLevel="1">
      <c r="A164" s="2709"/>
      <c r="B164" s="2612"/>
      <c r="C164" s="1858"/>
      <c r="D164" s="2614" t="str">
        <f>実績!C1249&amp;"("&amp;SUBSTITUTE(実績!W1249&amp;")","株式会社 ","")</f>
        <v>日本ペイント防食コーティングス(株)(向後構造設計事務所)</v>
      </c>
      <c r="E164" s="2617"/>
      <c r="F164" s="2617"/>
      <c r="G164" s="2617"/>
      <c r="H164" s="2617"/>
      <c r="I164" s="2617"/>
      <c r="J164" s="2617"/>
      <c r="K164" s="2617"/>
      <c r="L164" s="2617"/>
      <c r="M164" s="2617"/>
      <c r="N164" s="2617"/>
      <c r="O164" s="2617"/>
      <c r="P164" s="2617"/>
      <c r="Q164" s="2618"/>
      <c r="R164" s="1970"/>
      <c r="S164" s="1837"/>
      <c r="T164" s="1837"/>
      <c r="U164" s="1838"/>
      <c r="V164" s="1837"/>
      <c r="W164" s="1838"/>
      <c r="X164" s="1839"/>
      <c r="Y164" s="1837"/>
      <c r="Z164" s="1837"/>
      <c r="AA164" s="1838"/>
      <c r="AB164" s="1837"/>
      <c r="AC164" s="1838"/>
      <c r="AD164" s="1837"/>
      <c r="AE164" s="1840"/>
      <c r="AF164" s="1837"/>
      <c r="AG164" s="1838"/>
      <c r="AH164" s="1837"/>
      <c r="AI164" s="1838"/>
      <c r="AJ164" s="1839"/>
      <c r="AK164" s="1837"/>
      <c r="AL164" s="1837"/>
      <c r="AM164" s="1838"/>
      <c r="AN164" s="1837"/>
      <c r="AO164" s="1838"/>
      <c r="AP164" s="1837"/>
      <c r="AQ164" s="1841"/>
      <c r="AR164" s="1837"/>
      <c r="AS164" s="1838"/>
      <c r="AT164" s="1837"/>
      <c r="AU164" s="1838" t="s">
        <v>8352</v>
      </c>
      <c r="AV164" s="1839"/>
      <c r="AW164" s="1840"/>
      <c r="AX164" s="1837"/>
      <c r="AY164" s="1838"/>
      <c r="AZ164" s="1837"/>
      <c r="BA164" s="1838"/>
      <c r="BB164" s="1839"/>
      <c r="BC164" s="1837"/>
      <c r="BD164" s="1837"/>
      <c r="BE164" s="1838"/>
      <c r="BF164" s="1837"/>
      <c r="BG164" s="1838"/>
      <c r="BH164" s="1837"/>
      <c r="BI164" s="1840"/>
      <c r="BJ164" s="1837"/>
      <c r="BK164" s="1838"/>
      <c r="BL164" s="1837"/>
      <c r="BM164" s="1838"/>
      <c r="BN164" s="1839"/>
      <c r="BO164" s="1840"/>
      <c r="BP164" s="1837"/>
      <c r="BQ164" s="1838"/>
      <c r="BR164" s="1837"/>
      <c r="BS164" s="1838" t="s">
        <v>9819</v>
      </c>
      <c r="BT164" s="1839"/>
      <c r="BU164" s="1840"/>
      <c r="BV164" s="1837"/>
      <c r="BW164" s="1838"/>
      <c r="BX164" s="1837"/>
      <c r="BY164" s="1838"/>
      <c r="BZ164" s="1839"/>
      <c r="CA164" s="1840" t="s">
        <v>8145</v>
      </c>
      <c r="CB164" s="1837"/>
      <c r="CC164" s="1838"/>
      <c r="CD164" s="1837"/>
      <c r="CE164" s="1838"/>
      <c r="CF164" s="1839"/>
      <c r="CG164" s="1840"/>
      <c r="CH164" s="1837"/>
      <c r="CI164" s="1838"/>
      <c r="CJ164" s="1837"/>
      <c r="CK164" s="1838"/>
      <c r="CL164" s="1839"/>
      <c r="CM164" s="1840"/>
      <c r="CN164" s="1837"/>
      <c r="CO164" s="1838"/>
      <c r="CP164" s="1837"/>
      <c r="CQ164" s="1838"/>
      <c r="CR164" s="1839"/>
      <c r="CS164" s="1840"/>
      <c r="CT164" s="1837"/>
      <c r="CU164" s="1838"/>
      <c r="CV164" s="1837"/>
      <c r="CW164" s="1838"/>
      <c r="CX164" s="1839"/>
      <c r="CY164" s="1840"/>
      <c r="CZ164" s="1837"/>
      <c r="DA164" s="1838"/>
      <c r="DB164" s="1837"/>
      <c r="DC164" s="1838"/>
      <c r="DD164" s="1839"/>
      <c r="DE164" s="1840"/>
      <c r="DF164" s="1837"/>
      <c r="DG164" s="1838"/>
      <c r="DH164" s="1837"/>
      <c r="DI164" s="1838"/>
      <c r="DJ164" s="1839"/>
      <c r="DK164" s="1840"/>
      <c r="DL164" s="1837"/>
      <c r="DM164" s="1838"/>
      <c r="DN164" s="1837"/>
      <c r="DO164" s="1838"/>
      <c r="DP164" s="1837"/>
      <c r="DQ164" s="1853"/>
      <c r="DR164" s="1837"/>
      <c r="DS164" s="1838"/>
      <c r="DT164" s="1842"/>
      <c r="DU164" s="1837"/>
      <c r="DV164" s="1839"/>
      <c r="DW164" s="1840"/>
      <c r="DX164" s="1837"/>
      <c r="DY164" s="1838"/>
      <c r="DZ164" s="1837"/>
      <c r="EA164" s="1838"/>
      <c r="EB164" s="1839"/>
      <c r="EC164" s="1840"/>
      <c r="ED164" s="1837"/>
      <c r="EE164" s="1838"/>
      <c r="EF164" s="1837"/>
      <c r="EG164" s="1838"/>
      <c r="EH164" s="1839"/>
      <c r="EI164" s="1840"/>
      <c r="EJ164" s="1837"/>
      <c r="EK164" s="1838"/>
      <c r="EL164" s="1837"/>
      <c r="EM164" s="1838"/>
      <c r="EN164" s="1839"/>
      <c r="EO164" s="1840"/>
      <c r="EP164" s="1837"/>
      <c r="EQ164" s="1838"/>
      <c r="ER164" s="1837"/>
      <c r="ES164" s="1838"/>
      <c r="ET164" s="1839"/>
      <c r="EU164" s="1840"/>
      <c r="EV164" s="1837"/>
      <c r="EW164" s="1838"/>
      <c r="EX164" s="1837"/>
      <c r="EY164" s="1838"/>
      <c r="EZ164" s="1839"/>
      <c r="FA164" s="1840"/>
      <c r="FB164" s="1837"/>
      <c r="FC164" s="1838"/>
      <c r="FD164" s="1837"/>
      <c r="FE164" s="1838"/>
      <c r="FF164" s="1839"/>
      <c r="FG164" s="1840"/>
      <c r="FH164" s="1837"/>
      <c r="FI164" s="1838"/>
      <c r="FJ164" s="1837"/>
      <c r="FK164" s="1838"/>
      <c r="FL164" s="1839"/>
      <c r="FM164" s="1840"/>
      <c r="FN164" s="1837"/>
      <c r="FO164" s="1838"/>
      <c r="FP164" s="1837"/>
      <c r="FQ164" s="1838"/>
      <c r="FR164" s="1839"/>
      <c r="FS164" s="1840"/>
      <c r="FT164" s="1837"/>
      <c r="FU164" s="1838"/>
      <c r="FV164" s="1837"/>
      <c r="FW164" s="1838"/>
      <c r="FX164" s="1839"/>
      <c r="FY164" s="1840"/>
      <c r="FZ164" s="1837"/>
      <c r="GA164" s="1838"/>
      <c r="GB164" s="1837"/>
      <c r="GC164" s="1838"/>
      <c r="GD164" s="1839"/>
      <c r="GE164" s="1840"/>
      <c r="GF164" s="1837"/>
      <c r="GG164" s="1838"/>
      <c r="GH164" s="1837"/>
      <c r="GI164" s="1838"/>
      <c r="GJ164" s="1839"/>
      <c r="GK164" s="1840"/>
      <c r="GL164" s="1837"/>
      <c r="GM164" s="1838"/>
      <c r="GN164" s="1837"/>
      <c r="GO164" s="1838"/>
      <c r="GP164" s="1839"/>
    </row>
    <row r="165" spans="1:198" ht="20.100000000000001" hidden="1" customHeight="1" outlineLevel="1" collapsed="1">
      <c r="A165" s="2709"/>
      <c r="B165" s="2612"/>
      <c r="C165" s="1858"/>
      <c r="D165" s="2614" t="str">
        <f>実績!C1243&amp;"("&amp;SUBSTITUTE(実績!R1243&amp;")"," 株式会社","")</f>
        <v>東方町倉庫(田中土建工業)</v>
      </c>
      <c r="E165" s="2617"/>
      <c r="F165" s="2617"/>
      <c r="G165" s="2617"/>
      <c r="H165" s="2617"/>
      <c r="I165" s="2617"/>
      <c r="J165" s="2617"/>
      <c r="K165" s="2617"/>
      <c r="L165" s="2617"/>
      <c r="M165" s="2617"/>
      <c r="N165" s="2617"/>
      <c r="O165" s="2617"/>
      <c r="P165" s="2617"/>
      <c r="Q165" s="2618"/>
      <c r="R165" s="1970"/>
      <c r="S165" s="1837"/>
      <c r="T165" s="1837"/>
      <c r="U165" s="1837"/>
      <c r="V165" s="1837"/>
      <c r="W165" s="1837"/>
      <c r="X165" s="1837"/>
      <c r="Y165" s="1837"/>
      <c r="Z165" s="1837"/>
      <c r="AA165" s="1837"/>
      <c r="AB165" s="1837"/>
      <c r="AC165" s="1837"/>
      <c r="AD165" s="1837"/>
      <c r="AE165" s="1837"/>
      <c r="AF165" s="1837"/>
      <c r="AG165" s="1837"/>
      <c r="AH165" s="1837"/>
      <c r="AI165" s="1837"/>
      <c r="AJ165" s="1837"/>
      <c r="AK165" s="1837"/>
      <c r="AL165" s="1837"/>
      <c r="AM165" s="1837"/>
      <c r="AN165" s="1837"/>
      <c r="AO165" s="1837"/>
      <c r="AP165" s="1837"/>
      <c r="AQ165" s="1837"/>
      <c r="AR165" s="1837"/>
      <c r="AS165" s="1837"/>
      <c r="AT165" s="1837"/>
      <c r="AU165" s="1837"/>
      <c r="AV165" s="1837"/>
      <c r="AW165" s="1837"/>
      <c r="AX165" s="1837"/>
      <c r="AY165" s="1837"/>
      <c r="AZ165" s="1837"/>
      <c r="BA165" s="1837"/>
      <c r="BB165" s="1837"/>
      <c r="BC165" s="1837"/>
      <c r="BD165" s="1837"/>
      <c r="BE165" s="1837"/>
      <c r="BF165" s="1837"/>
      <c r="BG165" s="1837"/>
      <c r="BH165" s="1837"/>
      <c r="BI165" s="1840"/>
      <c r="BJ165" s="1837"/>
      <c r="BK165" s="1838"/>
      <c r="BL165" s="1837"/>
      <c r="BM165" s="1838"/>
      <c r="BN165" s="1839"/>
      <c r="BO165" s="1840"/>
      <c r="BP165" s="1837"/>
      <c r="BQ165" s="1838"/>
      <c r="BR165" s="1842"/>
      <c r="BS165" s="1838"/>
      <c r="BT165" s="1839"/>
      <c r="BU165" s="1840" t="s">
        <v>9766</v>
      </c>
      <c r="BV165" s="1837"/>
      <c r="BW165" s="1838"/>
      <c r="BX165" s="1837"/>
      <c r="BY165" s="1838"/>
      <c r="BZ165" s="1839"/>
      <c r="CA165" s="1840"/>
      <c r="CB165" s="1837"/>
      <c r="CC165" s="1838"/>
      <c r="CD165" s="1837"/>
      <c r="CE165" s="1838"/>
      <c r="CF165" s="1839"/>
      <c r="CG165" s="1840"/>
      <c r="CH165" s="1837"/>
      <c r="CI165" s="1838"/>
      <c r="CJ165" s="1837"/>
      <c r="CK165" s="1838"/>
      <c r="CL165" s="1839"/>
      <c r="CM165" s="1840"/>
      <c r="CN165" s="1837"/>
      <c r="CO165" s="1838"/>
      <c r="CP165" s="1837"/>
      <c r="CQ165" s="1838"/>
      <c r="CR165" s="1839"/>
      <c r="CS165" s="1840"/>
      <c r="CT165" s="1837"/>
      <c r="CU165" s="1838"/>
      <c r="CV165" s="1837"/>
      <c r="CW165" s="1838"/>
      <c r="CX165" s="1839"/>
      <c r="CY165" s="1840"/>
      <c r="CZ165" s="1837"/>
      <c r="DA165" s="1838"/>
      <c r="DB165" s="1837"/>
      <c r="DC165" s="1838"/>
      <c r="DD165" s="1839"/>
      <c r="DE165" s="1840"/>
      <c r="DF165" s="1837"/>
      <c r="DG165" s="1838"/>
      <c r="DH165" s="1837"/>
      <c r="DI165" s="1838"/>
      <c r="DJ165" s="1839"/>
      <c r="DK165" s="1840"/>
      <c r="DL165" s="1837"/>
      <c r="DM165" s="1838"/>
      <c r="DN165" s="1837"/>
      <c r="DO165" s="1838"/>
      <c r="DP165" s="1837"/>
      <c r="DQ165" s="1853"/>
      <c r="DR165" s="1837"/>
      <c r="DS165" s="1838"/>
      <c r="DT165" s="1842"/>
      <c r="DU165" s="1837"/>
      <c r="DV165" s="1839"/>
      <c r="DW165" s="1840"/>
      <c r="DX165" s="1837"/>
      <c r="DY165" s="1838"/>
      <c r="DZ165" s="1837"/>
      <c r="EA165" s="1838"/>
      <c r="EB165" s="1839"/>
      <c r="EC165" s="1840"/>
      <c r="ED165" s="1837"/>
      <c r="EE165" s="1838"/>
      <c r="EF165" s="1837"/>
      <c r="EG165" s="1838"/>
      <c r="EH165" s="1839"/>
      <c r="EI165" s="1840"/>
      <c r="EJ165" s="1837"/>
      <c r="EK165" s="1838"/>
      <c r="EL165" s="1837"/>
      <c r="EM165" s="1838"/>
      <c r="EN165" s="1839"/>
      <c r="EO165" s="1840"/>
      <c r="EP165" s="1837"/>
      <c r="EQ165" s="1838"/>
      <c r="ER165" s="1837"/>
      <c r="ES165" s="1838"/>
      <c r="ET165" s="1839"/>
      <c r="EU165" s="1840"/>
      <c r="EV165" s="1837"/>
      <c r="EW165" s="1838"/>
      <c r="EX165" s="1837"/>
      <c r="EY165" s="1838"/>
      <c r="EZ165" s="1839"/>
      <c r="FA165" s="1840"/>
      <c r="FB165" s="1837"/>
      <c r="FC165" s="1838"/>
      <c r="FD165" s="1837"/>
      <c r="FE165" s="1838"/>
      <c r="FF165" s="1839"/>
      <c r="FG165" s="1840"/>
      <c r="FH165" s="1837"/>
      <c r="FI165" s="1838"/>
      <c r="FJ165" s="1837"/>
      <c r="FK165" s="1838"/>
      <c r="FL165" s="1839"/>
      <c r="FM165" s="1840"/>
      <c r="FN165" s="1837"/>
      <c r="FO165" s="1838"/>
      <c r="FP165" s="1837"/>
      <c r="FQ165" s="1838"/>
      <c r="FR165" s="1839"/>
      <c r="FS165" s="1840"/>
      <c r="FT165" s="1837"/>
      <c r="FU165" s="1838"/>
      <c r="FV165" s="1837"/>
      <c r="FW165" s="1838"/>
      <c r="FX165" s="1839"/>
      <c r="FY165" s="1840"/>
      <c r="FZ165" s="1837"/>
      <c r="GA165" s="1838"/>
      <c r="GB165" s="1837"/>
      <c r="GC165" s="1838"/>
      <c r="GD165" s="1839"/>
      <c r="GE165" s="1840"/>
      <c r="GF165" s="1837"/>
      <c r="GG165" s="1838"/>
      <c r="GH165" s="1837"/>
      <c r="GI165" s="1838"/>
      <c r="GJ165" s="1839"/>
      <c r="GK165" s="1840"/>
      <c r="GL165" s="1837"/>
      <c r="GM165" s="1838"/>
      <c r="GN165" s="1837"/>
      <c r="GO165" s="1838"/>
      <c r="GP165" s="1839"/>
    </row>
    <row r="166" spans="1:198" ht="20.100000000000001" hidden="1" customHeight="1" outlineLevel="1" collapsed="1">
      <c r="A166" s="2709"/>
      <c r="B166" s="2612"/>
      <c r="C166" s="1319" t="s">
        <v>10067</v>
      </c>
      <c r="D166" s="2614" t="str">
        <f>実績!C1246&amp;"("&amp;SUBSTITUTE(実績!R1246&amp;")","株式会社 ","")</f>
        <v>ハローズ大林 ﾃﾅﾝﾄF棟(山陽設計)</v>
      </c>
      <c r="E166" s="2617"/>
      <c r="F166" s="2617"/>
      <c r="G166" s="2617"/>
      <c r="H166" s="2617"/>
      <c r="I166" s="2617"/>
      <c r="J166" s="2617"/>
      <c r="K166" s="2617"/>
      <c r="L166" s="2617"/>
      <c r="M166" s="2617"/>
      <c r="N166" s="2617"/>
      <c r="O166" s="2617"/>
      <c r="P166" s="2617"/>
      <c r="Q166" s="2618"/>
      <c r="R166" s="1970"/>
      <c r="S166" s="1837"/>
      <c r="T166" s="1837"/>
      <c r="U166" s="1838"/>
      <c r="V166" s="1837"/>
      <c r="W166" s="1838"/>
      <c r="X166" s="1839"/>
      <c r="Y166" s="1837"/>
      <c r="Z166" s="1837"/>
      <c r="AA166" s="1838"/>
      <c r="AB166" s="1837"/>
      <c r="AC166" s="1838"/>
      <c r="AD166" s="1837"/>
      <c r="AE166" s="1840"/>
      <c r="AF166" s="1837"/>
      <c r="AG166" s="1838"/>
      <c r="AH166" s="1837"/>
      <c r="AI166" s="1838"/>
      <c r="AJ166" s="1839"/>
      <c r="AK166" s="1837"/>
      <c r="AL166" s="1837"/>
      <c r="AM166" s="1838"/>
      <c r="AN166" s="1837"/>
      <c r="AO166" s="1838"/>
      <c r="AP166" s="1837"/>
      <c r="AQ166" s="1841"/>
      <c r="AR166" s="1837"/>
      <c r="AS166" s="1838"/>
      <c r="AT166" s="1837"/>
      <c r="AU166" s="1838" t="s">
        <v>8352</v>
      </c>
      <c r="AV166" s="1839"/>
      <c r="AW166" s="1840"/>
      <c r="AX166" s="1837"/>
      <c r="AY166" s="1838"/>
      <c r="AZ166" s="1837"/>
      <c r="BA166" s="1838"/>
      <c r="BB166" s="1839"/>
      <c r="BC166" s="1837"/>
      <c r="BD166" s="1837"/>
      <c r="BE166" s="1838"/>
      <c r="BF166" s="1837"/>
      <c r="BG166" s="1838"/>
      <c r="BH166" s="1837"/>
      <c r="BI166" s="1840"/>
      <c r="BJ166" s="1837"/>
      <c r="BK166" s="1838"/>
      <c r="BL166" s="1837"/>
      <c r="BM166" s="1838"/>
      <c r="BN166" s="1839"/>
      <c r="BO166" s="1318"/>
      <c r="BP166" s="1837"/>
      <c r="BQ166" s="1838"/>
      <c r="BR166" s="1837"/>
      <c r="BS166" s="1838"/>
      <c r="BT166" s="1839"/>
      <c r="BU166" s="1840"/>
      <c r="BV166" s="1837"/>
      <c r="BW166" s="1838"/>
      <c r="BX166" s="1837"/>
      <c r="BY166" s="1838"/>
      <c r="BZ166" s="1839"/>
      <c r="CA166" s="1840"/>
      <c r="CB166" s="1837"/>
      <c r="CC166" s="1838"/>
      <c r="CD166" s="1837"/>
      <c r="CE166" s="1838"/>
      <c r="CF166" s="1839"/>
      <c r="CG166" s="1840"/>
      <c r="CH166" s="1837"/>
      <c r="CI166" s="1838"/>
      <c r="CJ166" s="1837"/>
      <c r="CK166" s="1838"/>
      <c r="CL166" s="1839"/>
      <c r="CM166" s="1840"/>
      <c r="CN166" s="1837"/>
      <c r="CO166" s="1838"/>
      <c r="CP166" s="1837"/>
      <c r="CQ166" s="1838"/>
      <c r="CR166" s="1839"/>
      <c r="CS166" s="1840"/>
      <c r="CT166" s="1837"/>
      <c r="CU166" s="1838"/>
      <c r="CV166" s="1837"/>
      <c r="CW166" s="1838"/>
      <c r="CX166" s="1839"/>
      <c r="CY166" s="1840"/>
      <c r="CZ166" s="1837"/>
      <c r="DA166" s="1838"/>
      <c r="DB166" s="1837"/>
      <c r="DC166" s="1838"/>
      <c r="DD166" s="1839"/>
      <c r="DE166" s="1840"/>
      <c r="DF166" s="1837"/>
      <c r="DG166" s="1838"/>
      <c r="DH166" s="1837"/>
      <c r="DI166" s="1838"/>
      <c r="DJ166" s="1839"/>
      <c r="DK166" s="1840"/>
      <c r="DL166" s="1837"/>
      <c r="DM166" s="1838"/>
      <c r="DN166" s="1837"/>
      <c r="DO166" s="1838"/>
      <c r="DP166" s="1837"/>
      <c r="DQ166" s="1853"/>
      <c r="DR166" s="1837"/>
      <c r="DS166" s="1838"/>
      <c r="DT166" s="1842"/>
      <c r="DU166" s="1837"/>
      <c r="DV166" s="1839"/>
      <c r="DW166" s="1840"/>
      <c r="DX166" s="1837"/>
      <c r="DY166" s="1838"/>
      <c r="DZ166" s="1837"/>
      <c r="EA166" s="1838"/>
      <c r="EB166" s="1839"/>
      <c r="EC166" s="1840"/>
      <c r="ED166" s="1837"/>
      <c r="EE166" s="1838"/>
      <c r="EF166" s="1837"/>
      <c r="EG166" s="1838"/>
      <c r="EH166" s="1839"/>
      <c r="EI166" s="1840"/>
      <c r="EJ166" s="1837"/>
      <c r="EK166" s="1838"/>
      <c r="EL166" s="1837"/>
      <c r="EM166" s="1838"/>
      <c r="EN166" s="1839"/>
      <c r="EO166" s="1840"/>
      <c r="EP166" s="1837"/>
      <c r="EQ166" s="1838"/>
      <c r="ER166" s="1837"/>
      <c r="ES166" s="1838"/>
      <c r="ET166" s="1839"/>
      <c r="EU166" s="1840"/>
      <c r="EV166" s="1837"/>
      <c r="EW166" s="1838"/>
      <c r="EX166" s="1837"/>
      <c r="EY166" s="1838"/>
      <c r="EZ166" s="1839"/>
      <c r="FA166" s="1840"/>
      <c r="FB166" s="1837"/>
      <c r="FC166" s="1838"/>
      <c r="FD166" s="1837"/>
      <c r="FE166" s="1838"/>
      <c r="FF166" s="1839"/>
      <c r="FG166" s="1840"/>
      <c r="FH166" s="1837"/>
      <c r="FI166" s="1838"/>
      <c r="FJ166" s="1837"/>
      <c r="FK166" s="1838"/>
      <c r="FL166" s="1839"/>
      <c r="FM166" s="1840"/>
      <c r="FN166" s="1837"/>
      <c r="FO166" s="1838"/>
      <c r="FP166" s="1837"/>
      <c r="FQ166" s="1838"/>
      <c r="FR166" s="1839"/>
      <c r="FS166" s="1840"/>
      <c r="FT166" s="1837"/>
      <c r="FU166" s="1838"/>
      <c r="FV166" s="1837"/>
      <c r="FW166" s="1838"/>
      <c r="FX166" s="1839"/>
      <c r="FY166" s="1840"/>
      <c r="FZ166" s="1837"/>
      <c r="GA166" s="1838"/>
      <c r="GB166" s="1837"/>
      <c r="GC166" s="1838"/>
      <c r="GD166" s="1839"/>
      <c r="GE166" s="1840"/>
      <c r="GF166" s="1837"/>
      <c r="GG166" s="1838"/>
      <c r="GH166" s="1837"/>
      <c r="GI166" s="1838"/>
      <c r="GJ166" s="1839"/>
      <c r="GK166" s="1840"/>
      <c r="GL166" s="1837"/>
      <c r="GM166" s="1838"/>
      <c r="GN166" s="1837"/>
      <c r="GO166" s="1838"/>
      <c r="GP166" s="1839"/>
    </row>
    <row r="167" spans="1:198" ht="20.100000000000001" hidden="1" customHeight="1" outlineLevel="1">
      <c r="A167" s="2709"/>
      <c r="B167" s="2612"/>
      <c r="C167" s="1858"/>
      <c r="D167" s="2614" t="str">
        <f>実績!C1232&amp;"("&amp;SUBSTITUTE(実績!W1232&amp;")","株式会社 ","")</f>
        <v>中越エコプロダクツ MAPKA製造工場(植木組)</v>
      </c>
      <c r="E167" s="2617"/>
      <c r="F167" s="2617"/>
      <c r="G167" s="2617"/>
      <c r="H167" s="2617"/>
      <c r="I167" s="2617"/>
      <c r="J167" s="2617"/>
      <c r="K167" s="2617"/>
      <c r="L167" s="2617"/>
      <c r="M167" s="2617"/>
      <c r="N167" s="2617"/>
      <c r="O167" s="2617"/>
      <c r="P167" s="2617"/>
      <c r="Q167" s="2618"/>
      <c r="R167" s="1970"/>
      <c r="S167" s="1837"/>
      <c r="T167" s="1837"/>
      <c r="U167" s="1838"/>
      <c r="V167" s="1837"/>
      <c r="W167" s="1838"/>
      <c r="X167" s="1839"/>
      <c r="Y167" s="1837"/>
      <c r="Z167" s="1837"/>
      <c r="AA167" s="1838"/>
      <c r="AB167" s="1837"/>
      <c r="AC167" s="1838"/>
      <c r="AD167" s="1837"/>
      <c r="AE167" s="1840"/>
      <c r="AF167" s="1837"/>
      <c r="AG167" s="1838"/>
      <c r="AH167" s="1837"/>
      <c r="AI167" s="1838"/>
      <c r="AJ167" s="1839"/>
      <c r="AK167" s="1837"/>
      <c r="AL167" s="1837"/>
      <c r="AM167" s="1838"/>
      <c r="AN167" s="1837"/>
      <c r="AO167" s="1838"/>
      <c r="AP167" s="1837"/>
      <c r="AQ167" s="1841"/>
      <c r="AR167" s="1837"/>
      <c r="AS167" s="1838"/>
      <c r="AT167" s="1837"/>
      <c r="AU167" s="1838" t="s">
        <v>8352</v>
      </c>
      <c r="AV167" s="1839"/>
      <c r="AW167" s="1840"/>
      <c r="AX167" s="1837"/>
      <c r="AY167" s="1838"/>
      <c r="AZ167" s="1837"/>
      <c r="BA167" s="1838"/>
      <c r="BB167" s="1839"/>
      <c r="BC167" s="1837"/>
      <c r="BD167" s="1837"/>
      <c r="BE167" s="1838"/>
      <c r="BF167" s="1837"/>
      <c r="BG167" s="1838"/>
      <c r="BH167" s="1837"/>
      <c r="BI167" s="1840"/>
      <c r="BJ167" s="1837"/>
      <c r="BK167" s="1838"/>
      <c r="BL167" s="1837" t="s">
        <v>9515</v>
      </c>
      <c r="BM167" s="1838"/>
      <c r="BN167" s="1839"/>
      <c r="BO167" s="1840"/>
      <c r="BP167" s="1837"/>
      <c r="BQ167" s="1838"/>
      <c r="BR167" s="1842"/>
      <c r="BS167" s="1838"/>
      <c r="BT167" s="1839"/>
      <c r="BU167" s="1840"/>
      <c r="BV167" s="1837" t="s">
        <v>10005</v>
      </c>
      <c r="BW167" s="1838"/>
      <c r="BX167" s="1837"/>
      <c r="BY167" s="1838"/>
      <c r="BZ167" s="1839"/>
      <c r="CA167" s="1840"/>
      <c r="CB167" s="1837"/>
      <c r="CC167" s="1838"/>
      <c r="CD167" s="1837"/>
      <c r="CE167" s="1838"/>
      <c r="CF167" s="1839"/>
      <c r="CG167" s="1840"/>
      <c r="CH167" s="1837"/>
      <c r="CI167" s="1838"/>
      <c r="CJ167" s="1837"/>
      <c r="CK167" s="1838"/>
      <c r="CL167" s="1839"/>
      <c r="CM167" s="1840"/>
      <c r="CN167" s="1837"/>
      <c r="CO167" s="1838"/>
      <c r="CP167" s="1837"/>
      <c r="CQ167" s="1838"/>
      <c r="CR167" s="1839"/>
      <c r="CS167" s="1840"/>
      <c r="CT167" s="1837"/>
      <c r="CU167" s="1838"/>
      <c r="CV167" s="1837"/>
      <c r="CW167" s="1838"/>
      <c r="CX167" s="1839"/>
      <c r="CY167" s="1840"/>
      <c r="CZ167" s="1837"/>
      <c r="DA167" s="1838"/>
      <c r="DB167" s="1837"/>
      <c r="DC167" s="1838"/>
      <c r="DD167" s="1839"/>
      <c r="DE167" s="1840"/>
      <c r="DF167" s="1837"/>
      <c r="DG167" s="1838"/>
      <c r="DH167" s="1837"/>
      <c r="DI167" s="1838"/>
      <c r="DJ167" s="1839"/>
      <c r="DK167" s="1840"/>
      <c r="DL167" s="1837"/>
      <c r="DM167" s="1838"/>
      <c r="DN167" s="1837"/>
      <c r="DO167" s="1838"/>
      <c r="DP167" s="1837"/>
      <c r="DQ167" s="1853"/>
      <c r="DR167" s="1837"/>
      <c r="DS167" s="1838"/>
      <c r="DT167" s="1842"/>
      <c r="DU167" s="1837"/>
      <c r="DV167" s="1839"/>
      <c r="DW167" s="1840"/>
      <c r="DX167" s="1837"/>
      <c r="DY167" s="1838"/>
      <c r="DZ167" s="1837"/>
      <c r="EA167" s="1838"/>
      <c r="EB167" s="1839"/>
      <c r="EC167" s="1840"/>
      <c r="ED167" s="1837"/>
      <c r="EE167" s="1838"/>
      <c r="EF167" s="1837"/>
      <c r="EG167" s="1838"/>
      <c r="EH167" s="1839"/>
      <c r="EI167" s="1840"/>
      <c r="EJ167" s="1837"/>
      <c r="EK167" s="1838"/>
      <c r="EL167" s="1837"/>
      <c r="EM167" s="1838"/>
      <c r="EN167" s="1839"/>
      <c r="EO167" s="1840"/>
      <c r="EP167" s="1837"/>
      <c r="EQ167" s="1838"/>
      <c r="ER167" s="1837"/>
      <c r="ES167" s="1838"/>
      <c r="ET167" s="1839"/>
      <c r="EU167" s="1840"/>
      <c r="EV167" s="1837"/>
      <c r="EW167" s="1838"/>
      <c r="EX167" s="1837"/>
      <c r="EY167" s="1838"/>
      <c r="EZ167" s="1839"/>
      <c r="FA167" s="1840"/>
      <c r="FB167" s="1837"/>
      <c r="FC167" s="1838"/>
      <c r="FD167" s="1837"/>
      <c r="FE167" s="1838"/>
      <c r="FF167" s="1839"/>
      <c r="FG167" s="1840"/>
      <c r="FH167" s="1837"/>
      <c r="FI167" s="1838"/>
      <c r="FJ167" s="1837"/>
      <c r="FK167" s="1838"/>
      <c r="FL167" s="1839"/>
      <c r="FM167" s="1840"/>
      <c r="FN167" s="1837"/>
      <c r="FO167" s="1838"/>
      <c r="FP167" s="1837"/>
      <c r="FQ167" s="1838"/>
      <c r="FR167" s="1839"/>
      <c r="FS167" s="1840"/>
      <c r="FT167" s="1837"/>
      <c r="FU167" s="1838"/>
      <c r="FV167" s="1837"/>
      <c r="FW167" s="1838"/>
      <c r="FX167" s="1839"/>
      <c r="FY167" s="1840"/>
      <c r="FZ167" s="1837"/>
      <c r="GA167" s="1838"/>
      <c r="GB167" s="1837"/>
      <c r="GC167" s="1838"/>
      <c r="GD167" s="1839"/>
      <c r="GE167" s="1840"/>
      <c r="GF167" s="1837"/>
      <c r="GG167" s="1838"/>
      <c r="GH167" s="1837"/>
      <c r="GI167" s="1838"/>
      <c r="GJ167" s="1839"/>
      <c r="GK167" s="1840"/>
      <c r="GL167" s="1837"/>
      <c r="GM167" s="1838"/>
      <c r="GN167" s="1837"/>
      <c r="GO167" s="1838"/>
      <c r="GP167" s="1839"/>
    </row>
    <row r="168" spans="1:198" ht="20.100000000000001" hidden="1" customHeight="1" outlineLevel="1">
      <c r="A168" s="2709"/>
      <c r="B168" s="2612"/>
      <c r="C168" s="1858"/>
      <c r="D168" s="2614" t="str">
        <f>実績!C1254&amp;"("&amp;SUBSTITUTE(実績!W1254&amp;")","株式会社 ","")</f>
        <v>岩田醸造株式会社 千歳工場(横河システム建築)</v>
      </c>
      <c r="E168" s="2617"/>
      <c r="F168" s="2617"/>
      <c r="G168" s="2617"/>
      <c r="H168" s="2617"/>
      <c r="I168" s="2617"/>
      <c r="J168" s="2617"/>
      <c r="K168" s="2617"/>
      <c r="L168" s="2617"/>
      <c r="M168" s="2617"/>
      <c r="N168" s="2617"/>
      <c r="O168" s="2617"/>
      <c r="P168" s="2617"/>
      <c r="Q168" s="2618"/>
      <c r="R168" s="1970"/>
      <c r="S168" s="1837"/>
      <c r="T168" s="1837"/>
      <c r="U168" s="1838"/>
      <c r="V168" s="1837"/>
      <c r="W168" s="1838"/>
      <c r="X168" s="1839"/>
      <c r="Y168" s="1837"/>
      <c r="Z168" s="1837"/>
      <c r="AA168" s="1838"/>
      <c r="AB168" s="1837"/>
      <c r="AC168" s="1838"/>
      <c r="AD168" s="1837"/>
      <c r="AE168" s="1840"/>
      <c r="AF168" s="1837"/>
      <c r="AG168" s="1838"/>
      <c r="AH168" s="1837"/>
      <c r="AI168" s="1838"/>
      <c r="AJ168" s="1839"/>
      <c r="AK168" s="1837"/>
      <c r="AL168" s="1837"/>
      <c r="AM168" s="1838"/>
      <c r="AN168" s="1837"/>
      <c r="AO168" s="1838"/>
      <c r="AP168" s="1837"/>
      <c r="AQ168" s="1841"/>
      <c r="AR168" s="1837"/>
      <c r="AS168" s="1838"/>
      <c r="AT168" s="1837"/>
      <c r="AU168" s="1838"/>
      <c r="AV168" s="1839"/>
      <c r="AW168" s="1840"/>
      <c r="AX168" s="1837"/>
      <c r="AY168" s="1838"/>
      <c r="AZ168" s="1837"/>
      <c r="BA168" s="1838"/>
      <c r="BB168" s="1839"/>
      <c r="BC168" s="1837"/>
      <c r="BD168" s="1837"/>
      <c r="BE168" s="1838"/>
      <c r="BF168" s="1837"/>
      <c r="BG168" s="1838"/>
      <c r="BH168" s="1837"/>
      <c r="BI168" s="1840"/>
      <c r="BJ168" s="1837"/>
      <c r="BK168" s="1838"/>
      <c r="BL168" s="1837"/>
      <c r="BM168" s="1838"/>
      <c r="BN168" s="1839"/>
      <c r="BO168" s="1840"/>
      <c r="BP168" s="1837"/>
      <c r="BQ168" s="1838"/>
      <c r="BR168" s="1842"/>
      <c r="BS168" s="1838"/>
      <c r="BT168" s="1839"/>
      <c r="BU168" s="1840"/>
      <c r="BV168" s="1837" t="s">
        <v>10005</v>
      </c>
      <c r="BW168" s="1838"/>
      <c r="BX168" s="1837"/>
      <c r="BY168" s="1838"/>
      <c r="BZ168" s="1839"/>
      <c r="CA168" s="1840"/>
      <c r="CB168" s="1837"/>
      <c r="CC168" s="1838"/>
      <c r="CD168" s="1837"/>
      <c r="CE168" s="1838"/>
      <c r="CF168" s="1839"/>
      <c r="CG168" s="1840"/>
      <c r="CH168" s="1837"/>
      <c r="CI168" s="1838"/>
      <c r="CJ168" s="1837"/>
      <c r="CK168" s="1838"/>
      <c r="CL168" s="1839"/>
      <c r="CM168" s="1840"/>
      <c r="CN168" s="1837"/>
      <c r="CO168" s="1838"/>
      <c r="CP168" s="1837"/>
      <c r="CQ168" s="1838"/>
      <c r="CR168" s="1839"/>
      <c r="CS168" s="1840"/>
      <c r="CT168" s="1837"/>
      <c r="CU168" s="1838"/>
      <c r="CV168" s="1837"/>
      <c r="CW168" s="1838"/>
      <c r="CX168" s="1839"/>
      <c r="CY168" s="1840"/>
      <c r="CZ168" s="1837"/>
      <c r="DA168" s="1838"/>
      <c r="DB168" s="1837"/>
      <c r="DC168" s="1838"/>
      <c r="DD168" s="1839"/>
      <c r="DE168" s="1840"/>
      <c r="DF168" s="1837"/>
      <c r="DG168" s="1838"/>
      <c r="DH168" s="1837"/>
      <c r="DI168" s="1838"/>
      <c r="DJ168" s="1839"/>
      <c r="DK168" s="1840"/>
      <c r="DL168" s="1837"/>
      <c r="DM168" s="1838"/>
      <c r="DN168" s="1837"/>
      <c r="DO168" s="1838"/>
      <c r="DP168" s="1837"/>
      <c r="DQ168" s="1853"/>
      <c r="DR168" s="1837"/>
      <c r="DS168" s="1838"/>
      <c r="DT168" s="1842"/>
      <c r="DU168" s="1837"/>
      <c r="DV168" s="1839"/>
      <c r="DW168" s="1840"/>
      <c r="DX168" s="1837"/>
      <c r="DY168" s="1838"/>
      <c r="DZ168" s="1837"/>
      <c r="EA168" s="1838"/>
      <c r="EB168" s="1839"/>
      <c r="EC168" s="1840"/>
      <c r="ED168" s="1837"/>
      <c r="EE168" s="1838"/>
      <c r="EF168" s="1837"/>
      <c r="EG168" s="1838"/>
      <c r="EH168" s="1839"/>
      <c r="EI168" s="1840"/>
      <c r="EJ168" s="1837"/>
      <c r="EK168" s="1838"/>
      <c r="EL168" s="1837"/>
      <c r="EM168" s="1838"/>
      <c r="EN168" s="1839"/>
      <c r="EO168" s="1840"/>
      <c r="EP168" s="1837"/>
      <c r="EQ168" s="1838"/>
      <c r="ER168" s="1837"/>
      <c r="ES168" s="1838"/>
      <c r="ET168" s="1839"/>
      <c r="EU168" s="1840"/>
      <c r="EV168" s="1837"/>
      <c r="EW168" s="1838"/>
      <c r="EX168" s="1837"/>
      <c r="EY168" s="1838"/>
      <c r="EZ168" s="1839"/>
      <c r="FA168" s="1840"/>
      <c r="FB168" s="1837"/>
      <c r="FC168" s="1838"/>
      <c r="FD168" s="1837"/>
      <c r="FE168" s="1838"/>
      <c r="FF168" s="1839"/>
      <c r="FG168" s="1840"/>
      <c r="FH168" s="1837"/>
      <c r="FI168" s="1838"/>
      <c r="FJ168" s="1837"/>
      <c r="FK168" s="1838"/>
      <c r="FL168" s="1839"/>
      <c r="FM168" s="1840"/>
      <c r="FN168" s="1837"/>
      <c r="FO168" s="1838"/>
      <c r="FP168" s="1837"/>
      <c r="FQ168" s="1838"/>
      <c r="FR168" s="1839"/>
      <c r="FS168" s="1840"/>
      <c r="FT168" s="1837"/>
      <c r="FU168" s="1838"/>
      <c r="FV168" s="1837"/>
      <c r="FW168" s="1838"/>
      <c r="FX168" s="1839"/>
      <c r="FY168" s="1840"/>
      <c r="FZ168" s="1837"/>
      <c r="GA168" s="1838"/>
      <c r="GB168" s="1837"/>
      <c r="GC168" s="1838"/>
      <c r="GD168" s="1839"/>
      <c r="GE168" s="1840"/>
      <c r="GF168" s="1837"/>
      <c r="GG168" s="1838"/>
      <c r="GH168" s="1837"/>
      <c r="GI168" s="1838"/>
      <c r="GJ168" s="1839"/>
      <c r="GK168" s="1840"/>
      <c r="GL168" s="1837"/>
      <c r="GM168" s="1838"/>
      <c r="GN168" s="1837"/>
      <c r="GO168" s="1838"/>
      <c r="GP168" s="1839"/>
    </row>
    <row r="169" spans="1:198" ht="20.100000000000001" hidden="1" customHeight="1" outlineLevel="1">
      <c r="A169" s="2709"/>
      <c r="B169" s="2612"/>
      <c r="C169" s="1858"/>
      <c r="D169" s="2614" t="str">
        <f>実績!C1233&amp;"("&amp;SUBSTITUTE(実績!W1233&amp;")","株式会社 ","")</f>
        <v>高橋ふとん大松(ティ・ティ・アール設計)</v>
      </c>
      <c r="E169" s="2617"/>
      <c r="F169" s="2617"/>
      <c r="G169" s="2617"/>
      <c r="H169" s="2617"/>
      <c r="I169" s="2617"/>
      <c r="J169" s="2617"/>
      <c r="K169" s="2617"/>
      <c r="L169" s="2617"/>
      <c r="M169" s="2617"/>
      <c r="N169" s="2617"/>
      <c r="O169" s="2617"/>
      <c r="P169" s="2617"/>
      <c r="Q169" s="2618"/>
      <c r="R169" s="1970"/>
      <c r="S169" s="1837"/>
      <c r="T169" s="1837"/>
      <c r="U169" s="1838"/>
      <c r="V169" s="1837"/>
      <c r="W169" s="1838"/>
      <c r="X169" s="1839"/>
      <c r="Y169" s="1837"/>
      <c r="Z169" s="1837"/>
      <c r="AA169" s="1838"/>
      <c r="AB169" s="1837"/>
      <c r="AC169" s="1838"/>
      <c r="AD169" s="1837"/>
      <c r="AE169" s="1840"/>
      <c r="AF169" s="1837"/>
      <c r="AG169" s="1838"/>
      <c r="AH169" s="1837"/>
      <c r="AI169" s="1838"/>
      <c r="AJ169" s="1839"/>
      <c r="AK169" s="1837"/>
      <c r="AL169" s="1837"/>
      <c r="AM169" s="1838"/>
      <c r="AN169" s="1837"/>
      <c r="AO169" s="1838"/>
      <c r="AP169" s="1837"/>
      <c r="AQ169" s="1841"/>
      <c r="AR169" s="1837"/>
      <c r="AS169" s="1838"/>
      <c r="AT169" s="1837"/>
      <c r="AU169" s="1838" t="s">
        <v>8352</v>
      </c>
      <c r="AV169" s="1839"/>
      <c r="AW169" s="1840"/>
      <c r="AX169" s="1837"/>
      <c r="AY169" s="1838"/>
      <c r="AZ169" s="1837"/>
      <c r="BA169" s="1838"/>
      <c r="BB169" s="1839"/>
      <c r="BC169" s="1837"/>
      <c r="BD169" s="1837"/>
      <c r="BE169" s="1838"/>
      <c r="BF169" s="1837"/>
      <c r="BG169" s="1838"/>
      <c r="BH169" s="1837"/>
      <c r="BI169" s="1840"/>
      <c r="BJ169" s="1837"/>
      <c r="BK169" s="1838"/>
      <c r="BL169" s="1837"/>
      <c r="BM169" s="1838"/>
      <c r="BN169" s="1839"/>
      <c r="BO169" s="1840"/>
      <c r="BP169" s="1837"/>
      <c r="BQ169" s="1838"/>
      <c r="BR169" s="1842"/>
      <c r="BS169" s="1838"/>
      <c r="BT169" s="1839"/>
      <c r="BU169" s="1840"/>
      <c r="BV169" s="1837" t="s">
        <v>10005</v>
      </c>
      <c r="BW169" s="1838"/>
      <c r="BX169" s="1837"/>
      <c r="BY169" s="1838"/>
      <c r="BZ169" s="1839"/>
      <c r="CA169" s="1840" t="s">
        <v>9514</v>
      </c>
      <c r="CB169" s="1837"/>
      <c r="CC169" s="1838"/>
      <c r="CD169" s="1837"/>
      <c r="CE169" s="1838"/>
      <c r="CF169" s="1839"/>
      <c r="CG169" s="1840"/>
      <c r="CH169" s="1837"/>
      <c r="CI169" s="1838"/>
      <c r="CJ169" s="1837"/>
      <c r="CK169" s="1838"/>
      <c r="CL169" s="1839"/>
      <c r="CM169" s="1840"/>
      <c r="CN169" s="1837"/>
      <c r="CO169" s="1838"/>
      <c r="CP169" s="1837"/>
      <c r="CQ169" s="1838"/>
      <c r="CR169" s="1839"/>
      <c r="CS169" s="1840"/>
      <c r="CT169" s="1837"/>
      <c r="CU169" s="1838"/>
      <c r="CV169" s="1837"/>
      <c r="CW169" s="1838"/>
      <c r="CX169" s="1839"/>
      <c r="CY169" s="1840"/>
      <c r="CZ169" s="1837"/>
      <c r="DA169" s="1838"/>
      <c r="DB169" s="1837"/>
      <c r="DC169" s="1838"/>
      <c r="DD169" s="1839"/>
      <c r="DE169" s="1840"/>
      <c r="DF169" s="1837"/>
      <c r="DG169" s="1838"/>
      <c r="DH169" s="1837"/>
      <c r="DI169" s="1838"/>
      <c r="DJ169" s="1839"/>
      <c r="DK169" s="1840"/>
      <c r="DL169" s="1837"/>
      <c r="DM169" s="1838"/>
      <c r="DN169" s="1837"/>
      <c r="DO169" s="1838"/>
      <c r="DP169" s="1837"/>
      <c r="DQ169" s="1853"/>
      <c r="DR169" s="1837"/>
      <c r="DS169" s="1838"/>
      <c r="DT169" s="1842"/>
      <c r="DU169" s="1837"/>
      <c r="DV169" s="1839"/>
      <c r="DW169" s="1840"/>
      <c r="DX169" s="1837"/>
      <c r="DY169" s="1838"/>
      <c r="DZ169" s="1837"/>
      <c r="EA169" s="1838"/>
      <c r="EB169" s="1839"/>
      <c r="EC169" s="1840"/>
      <c r="ED169" s="1837"/>
      <c r="EE169" s="1838"/>
      <c r="EF169" s="1837"/>
      <c r="EG169" s="1838"/>
      <c r="EH169" s="1839"/>
      <c r="EI169" s="1840"/>
      <c r="EJ169" s="1837"/>
      <c r="EK169" s="1838"/>
      <c r="EL169" s="1837"/>
      <c r="EM169" s="1838"/>
      <c r="EN169" s="1839"/>
      <c r="EO169" s="1840"/>
      <c r="EP169" s="1837"/>
      <c r="EQ169" s="1838"/>
      <c r="ER169" s="1837"/>
      <c r="ES169" s="1838"/>
      <c r="ET169" s="1839"/>
      <c r="EU169" s="1840"/>
      <c r="EV169" s="1837"/>
      <c r="EW169" s="1838"/>
      <c r="EX169" s="1837"/>
      <c r="EY169" s="1838"/>
      <c r="EZ169" s="1839"/>
      <c r="FA169" s="1840"/>
      <c r="FB169" s="1837"/>
      <c r="FC169" s="1838"/>
      <c r="FD169" s="1837"/>
      <c r="FE169" s="1838"/>
      <c r="FF169" s="1839"/>
      <c r="FG169" s="1840"/>
      <c r="FH169" s="1837"/>
      <c r="FI169" s="1838"/>
      <c r="FJ169" s="1837"/>
      <c r="FK169" s="1838"/>
      <c r="FL169" s="1839"/>
      <c r="FM169" s="1840"/>
      <c r="FN169" s="1837"/>
      <c r="FO169" s="1838"/>
      <c r="FP169" s="1837"/>
      <c r="FQ169" s="1838"/>
      <c r="FR169" s="1839"/>
      <c r="FS169" s="1840"/>
      <c r="FT169" s="1837"/>
      <c r="FU169" s="1838"/>
      <c r="FV169" s="1837"/>
      <c r="FW169" s="1838"/>
      <c r="FX169" s="1839"/>
      <c r="FY169" s="1840"/>
      <c r="FZ169" s="1837"/>
      <c r="GA169" s="1838"/>
      <c r="GB169" s="1837"/>
      <c r="GC169" s="1838"/>
      <c r="GD169" s="1839"/>
      <c r="GE169" s="1840"/>
      <c r="GF169" s="1837"/>
      <c r="GG169" s="1838"/>
      <c r="GH169" s="1837"/>
      <c r="GI169" s="1838"/>
      <c r="GJ169" s="1839"/>
      <c r="GK169" s="1840"/>
      <c r="GL169" s="1837"/>
      <c r="GM169" s="1838"/>
      <c r="GN169" s="1837"/>
      <c r="GO169" s="1838"/>
      <c r="GP169" s="1839"/>
    </row>
    <row r="170" spans="1:198" ht="20.100000000000001" hidden="1" customHeight="1" outlineLevel="1" collapsed="1">
      <c r="A170" s="2709"/>
      <c r="B170" s="2612"/>
      <c r="C170" s="1858"/>
      <c r="D170" s="2614" t="str">
        <f>実績!C1256&amp;"("&amp;SUBSTITUTE(実績!R1256&amp;")","株式会社 ","")</f>
        <v>ｱｲｱｲﾃｰ石狩第2物流ｾﾝﾀｰA棟(総合プランニングセンター)</v>
      </c>
      <c r="E170" s="2617"/>
      <c r="F170" s="2617"/>
      <c r="G170" s="2617"/>
      <c r="H170" s="2617"/>
      <c r="I170" s="2617"/>
      <c r="J170" s="2617"/>
      <c r="K170" s="2617"/>
      <c r="L170" s="2617"/>
      <c r="M170" s="2617"/>
      <c r="N170" s="2617"/>
      <c r="O170" s="2617"/>
      <c r="P170" s="2617"/>
      <c r="Q170" s="2618"/>
      <c r="R170" s="1970"/>
      <c r="S170" s="1837"/>
      <c r="T170" s="1837"/>
      <c r="U170" s="1837"/>
      <c r="V170" s="1837"/>
      <c r="W170" s="1837"/>
      <c r="X170" s="1837"/>
      <c r="Y170" s="1837"/>
      <c r="Z170" s="1837"/>
      <c r="AA170" s="1837"/>
      <c r="AB170" s="1837"/>
      <c r="AC170" s="1837"/>
      <c r="AD170" s="1837"/>
      <c r="AE170" s="1837"/>
      <c r="AF170" s="1837"/>
      <c r="AG170" s="1837"/>
      <c r="AH170" s="1837"/>
      <c r="AI170" s="1837"/>
      <c r="AJ170" s="1837"/>
      <c r="AK170" s="1837"/>
      <c r="AL170" s="1837"/>
      <c r="AM170" s="1837"/>
      <c r="AN170" s="1837"/>
      <c r="AO170" s="1837"/>
      <c r="AP170" s="1837"/>
      <c r="AQ170" s="1837"/>
      <c r="AR170" s="1837"/>
      <c r="AS170" s="1837"/>
      <c r="AT170" s="1837"/>
      <c r="AU170" s="1837"/>
      <c r="AV170" s="1837"/>
      <c r="AW170" s="1837"/>
      <c r="AX170" s="1837"/>
      <c r="AY170" s="1837"/>
      <c r="AZ170" s="1837"/>
      <c r="BA170" s="1837"/>
      <c r="BB170" s="1837"/>
      <c r="BC170" s="1837"/>
      <c r="BD170" s="1837"/>
      <c r="BE170" s="1837"/>
      <c r="BF170" s="1837"/>
      <c r="BG170" s="1837"/>
      <c r="BH170" s="1837"/>
      <c r="BI170" s="1840"/>
      <c r="BJ170" s="1837"/>
      <c r="BK170" s="1838"/>
      <c r="BL170" s="1837"/>
      <c r="BM170" s="1838"/>
      <c r="BN170" s="1839"/>
      <c r="BO170" s="1840"/>
      <c r="BP170" s="1837"/>
      <c r="BQ170" s="1838"/>
      <c r="BR170" s="1837"/>
      <c r="BS170" s="1838"/>
      <c r="BT170" s="1839"/>
      <c r="BU170" s="1840"/>
      <c r="BV170" s="1837"/>
      <c r="BW170" s="1838"/>
      <c r="BX170" s="1837"/>
      <c r="BY170" s="1838" t="s">
        <v>10058</v>
      </c>
      <c r="BZ170" s="1839"/>
      <c r="CA170" s="1840"/>
      <c r="CB170" s="1837"/>
      <c r="CC170" s="1838"/>
      <c r="CD170" s="1837"/>
      <c r="CE170" s="1838"/>
      <c r="CF170" s="1839"/>
      <c r="CG170" s="1840"/>
      <c r="CH170" s="1837"/>
      <c r="CI170" s="1838"/>
      <c r="CJ170" s="1837" t="s">
        <v>10059</v>
      </c>
      <c r="CK170" s="1838"/>
      <c r="CL170" s="1839"/>
      <c r="CM170" s="1840"/>
      <c r="CN170" s="1837"/>
      <c r="CO170" s="1838"/>
      <c r="CP170" s="1837"/>
      <c r="CQ170" s="1838"/>
      <c r="CR170" s="1839"/>
      <c r="CS170" s="1840"/>
      <c r="CT170" s="1837"/>
      <c r="CU170" s="1838"/>
      <c r="CV170" s="1837"/>
      <c r="CW170" s="1838"/>
      <c r="CX170" s="1839"/>
      <c r="CY170" s="1840"/>
      <c r="CZ170" s="1837"/>
      <c r="DA170" s="1838"/>
      <c r="DB170" s="1837"/>
      <c r="DC170" s="1838"/>
      <c r="DD170" s="1839"/>
      <c r="DE170" s="1840"/>
      <c r="DF170" s="1837"/>
      <c r="DG170" s="1838"/>
      <c r="DH170" s="1837"/>
      <c r="DI170" s="1838"/>
      <c r="DJ170" s="1839"/>
      <c r="DK170" s="1840"/>
      <c r="DL170" s="1837"/>
      <c r="DM170" s="1838"/>
      <c r="DN170" s="1837"/>
      <c r="DO170" s="1838"/>
      <c r="DP170" s="1837"/>
      <c r="DQ170" s="1853"/>
      <c r="DR170" s="1837"/>
      <c r="DS170" s="1838"/>
      <c r="DT170" s="1842"/>
      <c r="DU170" s="1837"/>
      <c r="DV170" s="1839"/>
      <c r="DW170" s="1840"/>
      <c r="DX170" s="1837"/>
      <c r="DY170" s="1838"/>
      <c r="DZ170" s="1837"/>
      <c r="EA170" s="1838"/>
      <c r="EB170" s="1839"/>
      <c r="EC170" s="1840"/>
      <c r="ED170" s="1837"/>
      <c r="EE170" s="1838"/>
      <c r="EF170" s="1837"/>
      <c r="EG170" s="1838"/>
      <c r="EH170" s="1839"/>
      <c r="EI170" s="1840"/>
      <c r="EJ170" s="1837"/>
      <c r="EK170" s="1838"/>
      <c r="EL170" s="1837"/>
      <c r="EM170" s="1838"/>
      <c r="EN170" s="1839"/>
      <c r="EO170" s="1840"/>
      <c r="EP170" s="1837"/>
      <c r="EQ170" s="1838"/>
      <c r="ER170" s="1837"/>
      <c r="ES170" s="1838"/>
      <c r="ET170" s="1839"/>
      <c r="EU170" s="1840"/>
      <c r="EV170" s="1837"/>
      <c r="EW170" s="1838"/>
      <c r="EX170" s="1837"/>
      <c r="EY170" s="1838"/>
      <c r="EZ170" s="1839"/>
      <c r="FA170" s="1840"/>
      <c r="FB170" s="1837"/>
      <c r="FC170" s="1838"/>
      <c r="FD170" s="1837"/>
      <c r="FE170" s="1838"/>
      <c r="FF170" s="1839"/>
      <c r="FG170" s="1840"/>
      <c r="FH170" s="1837"/>
      <c r="FI170" s="1838"/>
      <c r="FJ170" s="1837"/>
      <c r="FK170" s="1838"/>
      <c r="FL170" s="1839"/>
      <c r="FM170" s="1840"/>
      <c r="FN170" s="1837"/>
      <c r="FO170" s="1838"/>
      <c r="FP170" s="1837"/>
      <c r="FQ170" s="1838"/>
      <c r="FR170" s="1839"/>
      <c r="FS170" s="1840"/>
      <c r="FT170" s="1837"/>
      <c r="FU170" s="1838"/>
      <c r="FV170" s="1837"/>
      <c r="FW170" s="1838"/>
      <c r="FX170" s="1839"/>
      <c r="FY170" s="1840"/>
      <c r="FZ170" s="1837"/>
      <c r="GA170" s="1838"/>
      <c r="GB170" s="1837"/>
      <c r="GC170" s="1838"/>
      <c r="GD170" s="1839"/>
      <c r="GE170" s="1840"/>
      <c r="GF170" s="1837"/>
      <c r="GG170" s="1838"/>
      <c r="GH170" s="1837"/>
      <c r="GI170" s="1838"/>
      <c r="GJ170" s="1839"/>
      <c r="GK170" s="1840"/>
      <c r="GL170" s="1837"/>
      <c r="GM170" s="1838"/>
      <c r="GN170" s="1837"/>
      <c r="GO170" s="1838"/>
      <c r="GP170" s="1839"/>
    </row>
    <row r="171" spans="1:198" ht="20.100000000000001" hidden="1" customHeight="1" outlineLevel="1" collapsed="1">
      <c r="A171" s="2709"/>
      <c r="B171" s="2612"/>
      <c r="C171" s="1858"/>
      <c r="D171" s="2614" t="str">
        <f>実績!C1267&amp;"("&amp;SUBSTITUTE(実績!W1267&amp;")","株式会社 ","")</f>
        <v>エフピコホーム(ティ・ティ・アール設計)</v>
      </c>
      <c r="E171" s="2617"/>
      <c r="F171" s="2617"/>
      <c r="G171" s="2617"/>
      <c r="H171" s="2617"/>
      <c r="I171" s="2617"/>
      <c r="J171" s="2617"/>
      <c r="K171" s="2615"/>
      <c r="L171" s="2615"/>
      <c r="M171" s="1861"/>
      <c r="N171" s="1861"/>
      <c r="O171" s="1861"/>
      <c r="P171" s="1861"/>
      <c r="Q171" s="1862"/>
      <c r="R171" s="1863"/>
      <c r="S171" s="1837"/>
      <c r="T171" s="1837"/>
      <c r="U171" s="1838"/>
      <c r="V171" s="1837"/>
      <c r="W171" s="1838"/>
      <c r="X171" s="1839"/>
      <c r="Y171" s="1837"/>
      <c r="Z171" s="1837"/>
      <c r="AA171" s="1838"/>
      <c r="AB171" s="1837"/>
      <c r="AC171" s="1838"/>
      <c r="AD171" s="1837"/>
      <c r="AE171" s="1840"/>
      <c r="AF171" s="1837"/>
      <c r="AG171" s="1838"/>
      <c r="AH171" s="1837"/>
      <c r="AI171" s="1838"/>
      <c r="AJ171" s="1839"/>
      <c r="AK171" s="1837"/>
      <c r="AL171" s="1837"/>
      <c r="AM171" s="1838"/>
      <c r="AN171" s="1837"/>
      <c r="AO171" s="1838"/>
      <c r="AP171" s="1837"/>
      <c r="AQ171" s="1841"/>
      <c r="AR171" s="1837"/>
      <c r="AS171" s="1838"/>
      <c r="AT171" s="1837"/>
      <c r="AU171" s="1838" t="s">
        <v>8352</v>
      </c>
      <c r="AV171" s="1839"/>
      <c r="AW171" s="1840"/>
      <c r="AX171" s="1837"/>
      <c r="AY171" s="1838"/>
      <c r="AZ171" s="1837"/>
      <c r="BA171" s="1838"/>
      <c r="BB171" s="1839"/>
      <c r="BC171" s="1837"/>
      <c r="BD171" s="1837"/>
      <c r="BE171" s="1838"/>
      <c r="BF171" s="1837"/>
      <c r="BG171" s="1838"/>
      <c r="BH171" s="1837"/>
      <c r="BI171" s="1840"/>
      <c r="BJ171" s="1837"/>
      <c r="BK171" s="1838"/>
      <c r="BL171" s="1837"/>
      <c r="BM171" s="1838"/>
      <c r="BN171" s="1839"/>
      <c r="BO171" s="1840"/>
      <c r="BP171" s="1837"/>
      <c r="BQ171" s="1838"/>
      <c r="BR171" s="1837"/>
      <c r="BS171" s="1838"/>
      <c r="BT171" s="1839"/>
      <c r="BU171" s="1840"/>
      <c r="BV171" s="1837"/>
      <c r="BW171" s="1838"/>
      <c r="BX171" s="1837"/>
      <c r="BY171" s="1838"/>
      <c r="BZ171" s="1864"/>
      <c r="CA171" s="1840" t="s">
        <v>8250</v>
      </c>
      <c r="CB171" s="1837"/>
      <c r="CC171" s="1838"/>
      <c r="CD171" s="1837"/>
      <c r="CE171" s="1838"/>
      <c r="CF171" s="1839"/>
      <c r="CG171" s="1840"/>
      <c r="CH171" s="1837"/>
      <c r="CI171" s="1838"/>
      <c r="CJ171" s="1837"/>
      <c r="CK171" s="1838"/>
      <c r="CL171" s="1839"/>
      <c r="CM171" s="1840"/>
      <c r="CN171" s="1837"/>
      <c r="CO171" s="1838"/>
      <c r="CP171" s="1837"/>
      <c r="CQ171" s="1838"/>
      <c r="CR171" s="1839"/>
      <c r="CS171" s="1840"/>
      <c r="CT171" s="1837"/>
      <c r="CU171" s="1838"/>
      <c r="CV171" s="1837"/>
      <c r="CW171" s="1838"/>
      <c r="CX171" s="1839"/>
      <c r="CY171" s="1840"/>
      <c r="CZ171" s="1837"/>
      <c r="DA171" s="1838"/>
      <c r="DB171" s="1837"/>
      <c r="DC171" s="1838"/>
      <c r="DD171" s="1839"/>
      <c r="DE171" s="1840"/>
      <c r="DF171" s="1837"/>
      <c r="DG171" s="1838"/>
      <c r="DH171" s="1837"/>
      <c r="DI171" s="1838"/>
      <c r="DJ171" s="1839"/>
      <c r="DK171" s="1840"/>
      <c r="DL171" s="1837"/>
      <c r="DM171" s="1838"/>
      <c r="DN171" s="1837"/>
      <c r="DO171" s="1838"/>
      <c r="DP171" s="1837"/>
      <c r="DQ171" s="1853"/>
      <c r="DR171" s="1837"/>
      <c r="DS171" s="1838"/>
      <c r="DT171" s="1842"/>
      <c r="DU171" s="1837"/>
      <c r="DV171" s="1839"/>
      <c r="DW171" s="1840"/>
      <c r="DX171" s="1837"/>
      <c r="DY171" s="1838"/>
      <c r="DZ171" s="1837"/>
      <c r="EA171" s="1838"/>
      <c r="EB171" s="1839"/>
      <c r="EC171" s="1840"/>
      <c r="ED171" s="1837"/>
      <c r="EE171" s="1838"/>
      <c r="EF171" s="1837"/>
      <c r="EG171" s="1838"/>
      <c r="EH171" s="1839"/>
      <c r="EI171" s="1840"/>
      <c r="EJ171" s="1837"/>
      <c r="EK171" s="1838"/>
      <c r="EL171" s="1837"/>
      <c r="EM171" s="1838"/>
      <c r="EN171" s="1839"/>
      <c r="EO171" s="1840"/>
      <c r="EP171" s="1837"/>
      <c r="EQ171" s="1838"/>
      <c r="ER171" s="1837"/>
      <c r="ES171" s="1838"/>
      <c r="ET171" s="1839"/>
      <c r="EU171" s="1840"/>
      <c r="EV171" s="1837"/>
      <c r="EW171" s="1838"/>
      <c r="EX171" s="1837"/>
      <c r="EY171" s="1838"/>
      <c r="EZ171" s="1839"/>
      <c r="FA171" s="1840"/>
      <c r="FB171" s="1837"/>
      <c r="FC171" s="1838"/>
      <c r="FD171" s="1837"/>
      <c r="FE171" s="1838"/>
      <c r="FF171" s="1839"/>
      <c r="FG171" s="1840"/>
      <c r="FH171" s="1837"/>
      <c r="FI171" s="1838"/>
      <c r="FJ171" s="1837"/>
      <c r="FK171" s="1838"/>
      <c r="FL171" s="1839"/>
      <c r="FM171" s="1840"/>
      <c r="FN171" s="1837"/>
      <c r="FO171" s="1838"/>
      <c r="FP171" s="1837"/>
      <c r="FQ171" s="1838"/>
      <c r="FR171" s="1839"/>
      <c r="FS171" s="1840"/>
      <c r="FT171" s="1837"/>
      <c r="FU171" s="1838"/>
      <c r="FV171" s="1837"/>
      <c r="FW171" s="1838"/>
      <c r="FX171" s="1839"/>
      <c r="FY171" s="1840"/>
      <c r="FZ171" s="1837"/>
      <c r="GA171" s="1838"/>
      <c r="GB171" s="1837"/>
      <c r="GC171" s="1838"/>
      <c r="GD171" s="1839"/>
      <c r="GE171" s="1840"/>
      <c r="GF171" s="1837"/>
      <c r="GG171" s="1838"/>
      <c r="GH171" s="1837"/>
      <c r="GI171" s="1838"/>
      <c r="GJ171" s="1839"/>
      <c r="GK171" s="1840"/>
      <c r="GL171" s="1837"/>
      <c r="GM171" s="1838"/>
      <c r="GN171" s="1837"/>
      <c r="GO171" s="1838"/>
      <c r="GP171" s="1839"/>
    </row>
    <row r="172" spans="1:198" ht="20.100000000000001" hidden="1" customHeight="1" outlineLevel="1">
      <c r="A172" s="2709"/>
      <c r="B172" s="2612"/>
      <c r="C172" s="1858"/>
      <c r="D172" s="2614" t="str">
        <f>実績!C1262&amp;"("&amp;SUBSTITUTE(実績!W1262&amp;")"," 株式会社","")</f>
        <v>階上保育園(秋田グルーラム)</v>
      </c>
      <c r="E172" s="2617"/>
      <c r="F172" s="2617"/>
      <c r="G172" s="2617"/>
      <c r="H172" s="2617"/>
      <c r="I172" s="2617"/>
      <c r="J172" s="2617"/>
      <c r="K172" s="2617"/>
      <c r="L172" s="2617"/>
      <c r="M172" s="2617"/>
      <c r="N172" s="2617"/>
      <c r="O172" s="2617"/>
      <c r="P172" s="2617"/>
      <c r="Q172" s="2618"/>
      <c r="R172" s="1970"/>
      <c r="S172" s="1837"/>
      <c r="T172" s="1837"/>
      <c r="U172" s="1838"/>
      <c r="V172" s="1837"/>
      <c r="W172" s="1838"/>
      <c r="X172" s="1839"/>
      <c r="Y172" s="1837"/>
      <c r="Z172" s="1837"/>
      <c r="AA172" s="1838"/>
      <c r="AB172" s="1837"/>
      <c r="AC172" s="1838"/>
      <c r="AD172" s="1837"/>
      <c r="AE172" s="1840"/>
      <c r="AF172" s="1837"/>
      <c r="AG172" s="1838"/>
      <c r="AH172" s="1837"/>
      <c r="AI172" s="1838"/>
      <c r="AJ172" s="1839"/>
      <c r="AK172" s="1837"/>
      <c r="AL172" s="1837"/>
      <c r="AM172" s="1838"/>
      <c r="AN172" s="1837"/>
      <c r="AO172" s="1838"/>
      <c r="AP172" s="1837"/>
      <c r="AQ172" s="1841"/>
      <c r="AR172" s="1837"/>
      <c r="AS172" s="1838"/>
      <c r="AT172" s="1837"/>
      <c r="AU172" s="1838" t="s">
        <v>8352</v>
      </c>
      <c r="AV172" s="1839"/>
      <c r="AW172" s="1840"/>
      <c r="AX172" s="1837"/>
      <c r="AY172" s="1838"/>
      <c r="AZ172" s="1837"/>
      <c r="BA172" s="1838"/>
      <c r="BB172" s="1839"/>
      <c r="BC172" s="1837"/>
      <c r="BD172" s="1837"/>
      <c r="BE172" s="1838"/>
      <c r="BF172" s="1837"/>
      <c r="BG172" s="1838"/>
      <c r="BH172" s="1837"/>
      <c r="BI172" s="1840"/>
      <c r="BJ172" s="1837"/>
      <c r="BK172" s="1838"/>
      <c r="BL172" s="1837"/>
      <c r="BM172" s="1838"/>
      <c r="BN172" s="1839"/>
      <c r="BO172" s="1840"/>
      <c r="BP172" s="1837"/>
      <c r="BQ172" s="1838"/>
      <c r="BR172" s="1837"/>
      <c r="BS172" s="1838"/>
      <c r="BT172" s="1839"/>
      <c r="BU172" s="1840"/>
      <c r="BV172" s="1837"/>
      <c r="BW172" s="1838"/>
      <c r="BX172" s="1837"/>
      <c r="BY172" s="1838"/>
      <c r="BZ172" s="1864"/>
      <c r="CA172" s="1840" t="s">
        <v>8250</v>
      </c>
      <c r="CB172" s="1837"/>
      <c r="CC172" s="1838"/>
      <c r="CD172" s="1837"/>
      <c r="CE172" s="1838"/>
      <c r="CF172" s="1839"/>
      <c r="CG172" s="1840" t="s">
        <v>8145</v>
      </c>
      <c r="CH172" s="1837"/>
      <c r="CI172" s="1838"/>
      <c r="CJ172" s="1837"/>
      <c r="CK172" s="1838"/>
      <c r="CL172" s="1839"/>
      <c r="CM172" s="1840"/>
      <c r="CN172" s="1837"/>
      <c r="CO172" s="1838"/>
      <c r="CP172" s="1837"/>
      <c r="CQ172" s="1838"/>
      <c r="CR172" s="1839"/>
      <c r="CS172" s="1840"/>
      <c r="CT172" s="1837"/>
      <c r="CU172" s="1838"/>
      <c r="CV172" s="1837"/>
      <c r="CW172" s="1838"/>
      <c r="CX172" s="1839"/>
      <c r="CY172" s="1840"/>
      <c r="CZ172" s="1837"/>
      <c r="DA172" s="1838"/>
      <c r="DB172" s="1837"/>
      <c r="DC172" s="1838"/>
      <c r="DD172" s="1839"/>
      <c r="DE172" s="1840"/>
      <c r="DF172" s="1837"/>
      <c r="DG172" s="1838"/>
      <c r="DH172" s="1837"/>
      <c r="DI172" s="1838"/>
      <c r="DJ172" s="1839"/>
      <c r="DK172" s="1840"/>
      <c r="DL172" s="1837"/>
      <c r="DM172" s="1838"/>
      <c r="DN172" s="1837"/>
      <c r="DO172" s="1838"/>
      <c r="DP172" s="1837"/>
      <c r="DQ172" s="1853"/>
      <c r="DR172" s="1837"/>
      <c r="DS172" s="1838"/>
      <c r="DT172" s="1842"/>
      <c r="DU172" s="1837"/>
      <c r="DV172" s="1839"/>
      <c r="DW172" s="1840"/>
      <c r="DX172" s="1837"/>
      <c r="DY172" s="1838"/>
      <c r="DZ172" s="1837"/>
      <c r="EA172" s="1838"/>
      <c r="EB172" s="1839"/>
      <c r="EC172" s="1840"/>
      <c r="ED172" s="1837"/>
      <c r="EE172" s="1838"/>
      <c r="EF172" s="1837"/>
      <c r="EG172" s="1838"/>
      <c r="EH172" s="1839"/>
      <c r="EI172" s="1840"/>
      <c r="EJ172" s="1837"/>
      <c r="EK172" s="1838"/>
      <c r="EL172" s="1837"/>
      <c r="EM172" s="1838"/>
      <c r="EN172" s="1839"/>
      <c r="EO172" s="1840"/>
      <c r="EP172" s="1837"/>
      <c r="EQ172" s="1838"/>
      <c r="ER172" s="1837"/>
      <c r="ES172" s="1838"/>
      <c r="ET172" s="1839"/>
      <c r="EU172" s="1840"/>
      <c r="EV172" s="1837"/>
      <c r="EW172" s="1838"/>
      <c r="EX172" s="1837"/>
      <c r="EY172" s="1838"/>
      <c r="EZ172" s="1839"/>
      <c r="FA172" s="1840"/>
      <c r="FB172" s="1837"/>
      <c r="FC172" s="1838"/>
      <c r="FD172" s="1837"/>
      <c r="FE172" s="1838"/>
      <c r="FF172" s="1839"/>
      <c r="FG172" s="1840"/>
      <c r="FH172" s="1837"/>
      <c r="FI172" s="1838"/>
      <c r="FJ172" s="1837"/>
      <c r="FK172" s="1838"/>
      <c r="FL172" s="1839"/>
      <c r="FM172" s="1840"/>
      <c r="FN172" s="1837"/>
      <c r="FO172" s="1838"/>
      <c r="FP172" s="1837"/>
      <c r="FQ172" s="1838"/>
      <c r="FR172" s="1839"/>
      <c r="FS172" s="1840"/>
      <c r="FT172" s="1837"/>
      <c r="FU172" s="1838"/>
      <c r="FV172" s="1837"/>
      <c r="FW172" s="1838"/>
      <c r="FX172" s="1839"/>
      <c r="FY172" s="1840"/>
      <c r="FZ172" s="1837"/>
      <c r="GA172" s="1838"/>
      <c r="GB172" s="1837"/>
      <c r="GC172" s="1838"/>
      <c r="GD172" s="1839"/>
      <c r="GE172" s="1840"/>
      <c r="GF172" s="1837"/>
      <c r="GG172" s="1838"/>
      <c r="GH172" s="1837"/>
      <c r="GI172" s="1838"/>
      <c r="GJ172" s="1839"/>
      <c r="GK172" s="1840"/>
      <c r="GL172" s="1837"/>
      <c r="GM172" s="1838"/>
      <c r="GN172" s="1837"/>
      <c r="GO172" s="1838"/>
      <c r="GP172" s="1839"/>
    </row>
    <row r="173" spans="1:198" ht="20.100000000000001" hidden="1" customHeight="1" outlineLevel="1">
      <c r="A173" s="2709"/>
      <c r="B173" s="2612"/>
      <c r="C173" s="1858"/>
      <c r="D173" s="2614" t="str">
        <f>実績!C1259&amp;"("&amp;SUBSTITUTE(実績!R1259&amp;")","有限会社 ","")</f>
        <v>ヤマザワ鶴岡茅原 食料品棟(平田建築設計)</v>
      </c>
      <c r="E173" s="2617"/>
      <c r="F173" s="2617"/>
      <c r="G173" s="2617"/>
      <c r="H173" s="2617"/>
      <c r="I173" s="2617"/>
      <c r="J173" s="2617"/>
      <c r="K173" s="2617"/>
      <c r="L173" s="2617"/>
      <c r="M173" s="2617"/>
      <c r="N173" s="2617"/>
      <c r="O173" s="2617"/>
      <c r="P173" s="2617"/>
      <c r="Q173" s="2618"/>
      <c r="R173" s="1970"/>
      <c r="S173" s="1837"/>
      <c r="T173" s="1837"/>
      <c r="U173" s="1838"/>
      <c r="V173" s="1837"/>
      <c r="W173" s="1838"/>
      <c r="X173" s="1839"/>
      <c r="Y173" s="1837"/>
      <c r="Z173" s="1837"/>
      <c r="AA173" s="1838"/>
      <c r="AB173" s="1837"/>
      <c r="AC173" s="1838"/>
      <c r="AD173" s="1837"/>
      <c r="AE173" s="1840"/>
      <c r="AF173" s="1837"/>
      <c r="AG173" s="1838"/>
      <c r="AH173" s="1837"/>
      <c r="AI173" s="1838"/>
      <c r="AJ173" s="1839"/>
      <c r="AK173" s="1837"/>
      <c r="AL173" s="1837"/>
      <c r="AM173" s="1838"/>
      <c r="AN173" s="1837"/>
      <c r="AO173" s="1838"/>
      <c r="AP173" s="1837"/>
      <c r="AQ173" s="1841"/>
      <c r="AR173" s="1837"/>
      <c r="AS173" s="1838"/>
      <c r="AT173" s="1837"/>
      <c r="AU173" s="1838"/>
      <c r="AV173" s="1839"/>
      <c r="AW173" s="1840"/>
      <c r="AX173" s="1837"/>
      <c r="AY173" s="1838"/>
      <c r="AZ173" s="1837"/>
      <c r="BA173" s="1838"/>
      <c r="BB173" s="1839"/>
      <c r="BC173" s="1837"/>
      <c r="BD173" s="1837"/>
      <c r="BE173" s="1838"/>
      <c r="BF173" s="1837"/>
      <c r="BG173" s="1838"/>
      <c r="BH173" s="1837"/>
      <c r="BI173" s="1840"/>
      <c r="BJ173" s="1837"/>
      <c r="BK173" s="1838"/>
      <c r="BL173" s="1837"/>
      <c r="BM173" s="1838"/>
      <c r="BN173" s="1839"/>
      <c r="BO173" s="1840"/>
      <c r="BP173" s="1837"/>
      <c r="BQ173" s="1838"/>
      <c r="BR173" s="1837"/>
      <c r="BS173" s="1838"/>
      <c r="BT173" s="1839"/>
      <c r="BU173" s="1840"/>
      <c r="BV173" s="1837"/>
      <c r="BW173" s="1838"/>
      <c r="BX173" s="1837"/>
      <c r="BY173" s="1838"/>
      <c r="BZ173" s="1839"/>
      <c r="CA173" s="1840" t="s">
        <v>8250</v>
      </c>
      <c r="CB173" s="1837"/>
      <c r="CC173" s="1838"/>
      <c r="CD173" s="1837"/>
      <c r="CE173" s="1838"/>
      <c r="CF173" s="1839"/>
      <c r="CG173" s="1840"/>
      <c r="CH173" s="1837"/>
      <c r="CI173" s="1838"/>
      <c r="CJ173" s="1837"/>
      <c r="CK173" s="1838"/>
      <c r="CL173" s="1839"/>
      <c r="CM173" s="1840"/>
      <c r="CN173" s="1837"/>
      <c r="CO173" s="1838"/>
      <c r="CP173" s="1837"/>
      <c r="CQ173" s="1838"/>
      <c r="CR173" s="1839"/>
      <c r="CS173" s="1840"/>
      <c r="CT173" s="1837"/>
      <c r="CU173" s="1838"/>
      <c r="CV173" s="1837"/>
      <c r="CW173" s="1838"/>
      <c r="CX173" s="1839"/>
      <c r="CY173" s="1840"/>
      <c r="CZ173" s="1837"/>
      <c r="DA173" s="1838"/>
      <c r="DB173" s="1837"/>
      <c r="DC173" s="1838"/>
      <c r="DD173" s="1839"/>
      <c r="DE173" s="1840"/>
      <c r="DF173" s="1837"/>
      <c r="DG173" s="1838"/>
      <c r="DH173" s="1837"/>
      <c r="DI173" s="1838"/>
      <c r="DJ173" s="1839"/>
      <c r="DK173" s="1840"/>
      <c r="DL173" s="1837"/>
      <c r="DM173" s="1838"/>
      <c r="DN173" s="1837"/>
      <c r="DO173" s="1838"/>
      <c r="DP173" s="1837"/>
      <c r="DQ173" s="1853"/>
      <c r="DR173" s="1837"/>
      <c r="DS173" s="1838"/>
      <c r="DT173" s="1842"/>
      <c r="DU173" s="1837"/>
      <c r="DV173" s="1839"/>
      <c r="DW173" s="1840"/>
      <c r="DX173" s="1837"/>
      <c r="DY173" s="1838"/>
      <c r="DZ173" s="1837"/>
      <c r="EA173" s="1838"/>
      <c r="EB173" s="1839"/>
      <c r="EC173" s="1840"/>
      <c r="ED173" s="1837"/>
      <c r="EE173" s="1838"/>
      <c r="EF173" s="1837"/>
      <c r="EG173" s="1838"/>
      <c r="EH173" s="1839"/>
      <c r="EI173" s="1840"/>
      <c r="EJ173" s="1837"/>
      <c r="EK173" s="1838"/>
      <c r="EL173" s="1837"/>
      <c r="EM173" s="1838"/>
      <c r="EN173" s="1839"/>
      <c r="EO173" s="1840"/>
      <c r="EP173" s="1837"/>
      <c r="EQ173" s="1838"/>
      <c r="ER173" s="1837"/>
      <c r="ES173" s="1838"/>
      <c r="ET173" s="1839"/>
      <c r="EU173" s="1840"/>
      <c r="EV173" s="1837"/>
      <c r="EW173" s="1838"/>
      <c r="EX173" s="1837"/>
      <c r="EY173" s="1838"/>
      <c r="EZ173" s="1839"/>
      <c r="FA173" s="1840"/>
      <c r="FB173" s="1837"/>
      <c r="FC173" s="1838"/>
      <c r="FD173" s="1837"/>
      <c r="FE173" s="1838"/>
      <c r="FF173" s="1839"/>
      <c r="FG173" s="1840"/>
      <c r="FH173" s="1837"/>
      <c r="FI173" s="1838"/>
      <c r="FJ173" s="1837"/>
      <c r="FK173" s="1838"/>
      <c r="FL173" s="1839"/>
      <c r="FM173" s="1840"/>
      <c r="FN173" s="1837"/>
      <c r="FO173" s="1838"/>
      <c r="FP173" s="1837"/>
      <c r="FQ173" s="1838"/>
      <c r="FR173" s="1839"/>
      <c r="FS173" s="1840"/>
      <c r="FT173" s="1837"/>
      <c r="FU173" s="1838"/>
      <c r="FV173" s="1837"/>
      <c r="FW173" s="1838"/>
      <c r="FX173" s="1839"/>
      <c r="FY173" s="1840"/>
      <c r="FZ173" s="1837"/>
      <c r="GA173" s="1838"/>
      <c r="GB173" s="1837"/>
      <c r="GC173" s="1838"/>
      <c r="GD173" s="1839"/>
      <c r="GE173" s="1840"/>
      <c r="GF173" s="1837"/>
      <c r="GG173" s="1838"/>
      <c r="GH173" s="1837"/>
      <c r="GI173" s="1838"/>
      <c r="GJ173" s="1839"/>
      <c r="GK173" s="1840"/>
      <c r="GL173" s="1837"/>
      <c r="GM173" s="1838"/>
      <c r="GN173" s="1837"/>
      <c r="GO173" s="1838"/>
      <c r="GP173" s="1839"/>
    </row>
    <row r="174" spans="1:198" ht="20.100000000000001" hidden="1" customHeight="1" outlineLevel="1">
      <c r="A174" s="2709"/>
      <c r="B174" s="2612"/>
      <c r="C174" s="1858"/>
      <c r="D174" s="2614" t="str">
        <f>実績!C1258&amp;"("&amp;SUBSTITUTE(実績!R1258&amp;")","株式会社 ","")</f>
        <v>ゆきのこ保育園(創設計)</v>
      </c>
      <c r="E174" s="2617"/>
      <c r="F174" s="2617"/>
      <c r="G174" s="2617"/>
      <c r="H174" s="2617"/>
      <c r="I174" s="2617"/>
      <c r="J174" s="2617"/>
      <c r="K174" s="2617"/>
      <c r="L174" s="2617"/>
      <c r="M174" s="2617"/>
      <c r="N174" s="2617"/>
      <c r="O174" s="2617"/>
      <c r="P174" s="2617"/>
      <c r="Q174" s="2618"/>
      <c r="R174" s="1970"/>
      <c r="S174" s="1837"/>
      <c r="T174" s="1837"/>
      <c r="U174" s="1838"/>
      <c r="V174" s="1837"/>
      <c r="W174" s="1838"/>
      <c r="X174" s="1839"/>
      <c r="Y174" s="1837"/>
      <c r="Z174" s="1837"/>
      <c r="AA174" s="1838"/>
      <c r="AB174" s="1837"/>
      <c r="AC174" s="1838"/>
      <c r="AD174" s="1837"/>
      <c r="AE174" s="1840"/>
      <c r="AF174" s="1837"/>
      <c r="AG174" s="1838"/>
      <c r="AH174" s="1837"/>
      <c r="AI174" s="1838"/>
      <c r="AJ174" s="1839"/>
      <c r="AK174" s="1837"/>
      <c r="AL174" s="1837"/>
      <c r="AM174" s="1838"/>
      <c r="AN174" s="1837"/>
      <c r="AO174" s="1838"/>
      <c r="AP174" s="1837"/>
      <c r="AQ174" s="1841"/>
      <c r="AR174" s="1837"/>
      <c r="AS174" s="1838"/>
      <c r="AT174" s="1837"/>
      <c r="AU174" s="1838"/>
      <c r="AV174" s="1839"/>
      <c r="AW174" s="1840"/>
      <c r="AX174" s="1837"/>
      <c r="AY174" s="1838"/>
      <c r="AZ174" s="1837"/>
      <c r="BA174" s="1838"/>
      <c r="BB174" s="1839"/>
      <c r="BC174" s="1837"/>
      <c r="BD174" s="1837"/>
      <c r="BE174" s="1838"/>
      <c r="BF174" s="1837"/>
      <c r="BG174" s="1838"/>
      <c r="BH174" s="1837"/>
      <c r="BI174" s="1840"/>
      <c r="BJ174" s="1837"/>
      <c r="BK174" s="1838"/>
      <c r="BL174" s="1837"/>
      <c r="BM174" s="1838"/>
      <c r="BN174" s="1839"/>
      <c r="BO174" s="1840"/>
      <c r="BP174" s="1837"/>
      <c r="BQ174" s="1838"/>
      <c r="BR174" s="1837"/>
      <c r="BS174" s="1838"/>
      <c r="BT174" s="1839"/>
      <c r="BU174" s="1840"/>
      <c r="BV174" s="1837"/>
      <c r="BW174" s="1838"/>
      <c r="BX174" s="1837"/>
      <c r="BY174" s="1838"/>
      <c r="BZ174" s="1839"/>
      <c r="CA174" s="1840" t="s">
        <v>10061</v>
      </c>
      <c r="CB174" s="1837"/>
      <c r="CC174" s="1838"/>
      <c r="CD174" s="1837"/>
      <c r="CE174" s="1838"/>
      <c r="CF174" s="1839"/>
      <c r="CG174" s="1840" t="s">
        <v>10062</v>
      </c>
      <c r="CH174" s="1837"/>
      <c r="CI174" s="1838"/>
      <c r="CJ174" s="1837"/>
      <c r="CK174" s="1838"/>
      <c r="CL174" s="1839"/>
      <c r="CM174" s="1840"/>
      <c r="CN174" s="1837"/>
      <c r="CO174" s="1838"/>
      <c r="CP174" s="1837"/>
      <c r="CQ174" s="1838"/>
      <c r="CR174" s="1839"/>
      <c r="CS174" s="1840"/>
      <c r="CT174" s="1837"/>
      <c r="CU174" s="1838"/>
      <c r="CV174" s="1837"/>
      <c r="CW174" s="1838"/>
      <c r="CX174" s="1839"/>
      <c r="CY174" s="1840"/>
      <c r="CZ174" s="1837"/>
      <c r="DA174" s="1838"/>
      <c r="DB174" s="1837"/>
      <c r="DC174" s="1838"/>
      <c r="DD174" s="1839"/>
      <c r="DE174" s="1840"/>
      <c r="DF174" s="1837"/>
      <c r="DG174" s="1838"/>
      <c r="DH174" s="1837"/>
      <c r="DI174" s="1838"/>
      <c r="DJ174" s="1839"/>
      <c r="DK174" s="1840"/>
      <c r="DL174" s="1837"/>
      <c r="DM174" s="1838"/>
      <c r="DN174" s="1837"/>
      <c r="DO174" s="1838"/>
      <c r="DP174" s="1837"/>
      <c r="DQ174" s="1853"/>
      <c r="DR174" s="1837"/>
      <c r="DS174" s="1838"/>
      <c r="DT174" s="1842"/>
      <c r="DU174" s="1837"/>
      <c r="DV174" s="1839"/>
      <c r="DW174" s="1840"/>
      <c r="DX174" s="1837"/>
      <c r="DY174" s="1838"/>
      <c r="DZ174" s="1837"/>
      <c r="EA174" s="1838"/>
      <c r="EB174" s="1839"/>
      <c r="EC174" s="1840"/>
      <c r="ED174" s="1837"/>
      <c r="EE174" s="1838"/>
      <c r="EF174" s="1837"/>
      <c r="EG174" s="1838"/>
      <c r="EH174" s="1839"/>
      <c r="EI174" s="1840"/>
      <c r="EJ174" s="1837"/>
      <c r="EK174" s="1838"/>
      <c r="EL174" s="1837"/>
      <c r="EM174" s="1838"/>
      <c r="EN174" s="1839"/>
      <c r="EO174" s="1840"/>
      <c r="EP174" s="1837"/>
      <c r="EQ174" s="1838"/>
      <c r="ER174" s="1837"/>
      <c r="ES174" s="1838"/>
      <c r="ET174" s="1839"/>
      <c r="EU174" s="1840"/>
      <c r="EV174" s="1837"/>
      <c r="EW174" s="1838"/>
      <c r="EX174" s="1837"/>
      <c r="EY174" s="1838"/>
      <c r="EZ174" s="1839"/>
      <c r="FA174" s="1840"/>
      <c r="FB174" s="1837"/>
      <c r="FC174" s="1838"/>
      <c r="FD174" s="1837"/>
      <c r="FE174" s="1838"/>
      <c r="FF174" s="1839"/>
      <c r="FG174" s="1840"/>
      <c r="FH174" s="1837"/>
      <c r="FI174" s="1838"/>
      <c r="FJ174" s="1837"/>
      <c r="FK174" s="1838"/>
      <c r="FL174" s="1839"/>
      <c r="FM174" s="1840"/>
      <c r="FN174" s="1837"/>
      <c r="FO174" s="1838"/>
      <c r="FP174" s="1837"/>
      <c r="FQ174" s="1838"/>
      <c r="FR174" s="1839"/>
      <c r="FS174" s="1840"/>
      <c r="FT174" s="1837"/>
      <c r="FU174" s="1838"/>
      <c r="FV174" s="1837"/>
      <c r="FW174" s="1838"/>
      <c r="FX174" s="1839"/>
      <c r="FY174" s="1840"/>
      <c r="FZ174" s="1837"/>
      <c r="GA174" s="1838"/>
      <c r="GB174" s="1837"/>
      <c r="GC174" s="1838"/>
      <c r="GD174" s="1839"/>
      <c r="GE174" s="1840"/>
      <c r="GF174" s="1837"/>
      <c r="GG174" s="1838"/>
      <c r="GH174" s="1837"/>
      <c r="GI174" s="1838"/>
      <c r="GJ174" s="1839"/>
      <c r="GK174" s="1840"/>
      <c r="GL174" s="1837"/>
      <c r="GM174" s="1838"/>
      <c r="GN174" s="1837"/>
      <c r="GO174" s="1838"/>
      <c r="GP174" s="1839"/>
    </row>
    <row r="175" spans="1:198" ht="20.100000000000001" hidden="1" customHeight="1" outlineLevel="1">
      <c r="A175" s="2709"/>
      <c r="B175" s="2612"/>
      <c r="C175" s="1858"/>
      <c r="D175" s="2614" t="str">
        <f>実績!C1250&amp;"("&amp;SUBSTITUTE(実績!R1250&amp;")"," 株式会社","")</f>
        <v>高萩自動車工業 大型塗装工場(常磐開発)</v>
      </c>
      <c r="E175" s="2617"/>
      <c r="F175" s="2617"/>
      <c r="G175" s="2617"/>
      <c r="H175" s="2617"/>
      <c r="I175" s="2617"/>
      <c r="J175" s="2617"/>
      <c r="K175" s="2617"/>
      <c r="L175" s="2617"/>
      <c r="M175" s="2617"/>
      <c r="N175" s="2617"/>
      <c r="O175" s="2617"/>
      <c r="P175" s="2617"/>
      <c r="Q175" s="2618"/>
      <c r="R175" s="1970"/>
      <c r="S175" s="1837"/>
      <c r="T175" s="1837"/>
      <c r="U175" s="1837"/>
      <c r="V175" s="1837"/>
      <c r="W175" s="1837"/>
      <c r="X175" s="1837"/>
      <c r="Y175" s="1837"/>
      <c r="Z175" s="1837"/>
      <c r="AA175" s="1837"/>
      <c r="AB175" s="1837"/>
      <c r="AC175" s="1837"/>
      <c r="AD175" s="1837"/>
      <c r="AE175" s="1837"/>
      <c r="AF175" s="1837"/>
      <c r="AG175" s="1837"/>
      <c r="AH175" s="1837"/>
      <c r="AI175" s="1837"/>
      <c r="AJ175" s="1837"/>
      <c r="AK175" s="1837"/>
      <c r="AL175" s="1837"/>
      <c r="AM175" s="1837"/>
      <c r="AN175" s="1837"/>
      <c r="AO175" s="1837"/>
      <c r="AP175" s="1837"/>
      <c r="AQ175" s="1837"/>
      <c r="AR175" s="1837"/>
      <c r="AS175" s="1837"/>
      <c r="AT175" s="1837"/>
      <c r="AU175" s="1837"/>
      <c r="AV175" s="1837"/>
      <c r="AW175" s="1837"/>
      <c r="AX175" s="1837"/>
      <c r="AY175" s="1837"/>
      <c r="AZ175" s="1837"/>
      <c r="BA175" s="1837"/>
      <c r="BB175" s="1837"/>
      <c r="BC175" s="1837"/>
      <c r="BD175" s="1837"/>
      <c r="BE175" s="1837"/>
      <c r="BF175" s="1837"/>
      <c r="BG175" s="1837"/>
      <c r="BH175" s="1837"/>
      <c r="BI175" s="1840"/>
      <c r="BJ175" s="1837"/>
      <c r="BK175" s="1838"/>
      <c r="BL175" s="1837"/>
      <c r="BM175" s="1838"/>
      <c r="BN175" s="1839"/>
      <c r="BO175" s="1840"/>
      <c r="BP175" s="1842"/>
      <c r="BQ175" s="1838"/>
      <c r="BR175" s="1837"/>
      <c r="BS175" s="1838"/>
      <c r="BT175" s="1839"/>
      <c r="BU175" s="1840"/>
      <c r="BV175" s="1837"/>
      <c r="BW175" s="1838"/>
      <c r="BX175" s="1837"/>
      <c r="BY175" s="1838"/>
      <c r="BZ175" s="1839"/>
      <c r="CA175" s="1840" t="s">
        <v>8250</v>
      </c>
      <c r="CB175" s="1837"/>
      <c r="CC175" s="1838"/>
      <c r="CD175" s="1837"/>
      <c r="CE175" s="1838"/>
      <c r="CF175" s="1839"/>
      <c r="CG175" s="1840"/>
      <c r="CH175" s="1837"/>
      <c r="CI175" s="1838"/>
      <c r="CJ175" s="1837"/>
      <c r="CK175" s="1838"/>
      <c r="CL175" s="1839"/>
      <c r="CM175" s="1840" t="s">
        <v>9833</v>
      </c>
      <c r="CN175" s="1837"/>
      <c r="CO175" s="1838"/>
      <c r="CP175" s="1837"/>
      <c r="CQ175" s="1838"/>
      <c r="CR175" s="1839"/>
      <c r="CS175" s="1840"/>
      <c r="CT175" s="1837"/>
      <c r="CU175" s="1838"/>
      <c r="CV175" s="1837"/>
      <c r="CW175" s="1838"/>
      <c r="CX175" s="1839"/>
      <c r="CY175" s="1840"/>
      <c r="CZ175" s="1837"/>
      <c r="DA175" s="1838"/>
      <c r="DB175" s="1837"/>
      <c r="DC175" s="1838"/>
      <c r="DD175" s="1839"/>
      <c r="DE175" s="1840"/>
      <c r="DF175" s="1837"/>
      <c r="DG175" s="1838"/>
      <c r="DH175" s="1837"/>
      <c r="DI175" s="1838"/>
      <c r="DJ175" s="1839"/>
      <c r="DK175" s="1840"/>
      <c r="DL175" s="1837"/>
      <c r="DM175" s="1838"/>
      <c r="DN175" s="1837"/>
      <c r="DO175" s="1838"/>
      <c r="DP175" s="1837"/>
      <c r="DQ175" s="1853"/>
      <c r="DR175" s="1837"/>
      <c r="DS175" s="1838"/>
      <c r="DT175" s="1842"/>
      <c r="DU175" s="1837"/>
      <c r="DV175" s="1839"/>
      <c r="DW175" s="1840"/>
      <c r="DX175" s="1837"/>
      <c r="DY175" s="1838"/>
      <c r="DZ175" s="1837"/>
      <c r="EA175" s="1838"/>
      <c r="EB175" s="1839"/>
      <c r="EC175" s="1840"/>
      <c r="ED175" s="1837"/>
      <c r="EE175" s="1838"/>
      <c r="EF175" s="1837"/>
      <c r="EG175" s="1838"/>
      <c r="EH175" s="1839"/>
      <c r="EI175" s="1840"/>
      <c r="EJ175" s="1837"/>
      <c r="EK175" s="1838"/>
      <c r="EL175" s="1837"/>
      <c r="EM175" s="1838"/>
      <c r="EN175" s="1839"/>
      <c r="EO175" s="1840"/>
      <c r="EP175" s="1837"/>
      <c r="EQ175" s="1838"/>
      <c r="ER175" s="1837"/>
      <c r="ES175" s="1838"/>
      <c r="ET175" s="1839"/>
      <c r="EU175" s="1840"/>
      <c r="EV175" s="1837"/>
      <c r="EW175" s="1838"/>
      <c r="EX175" s="1837"/>
      <c r="EY175" s="1838"/>
      <c r="EZ175" s="1839"/>
      <c r="FA175" s="1840"/>
      <c r="FB175" s="1837"/>
      <c r="FC175" s="1838"/>
      <c r="FD175" s="1837"/>
      <c r="FE175" s="1838"/>
      <c r="FF175" s="1839"/>
      <c r="FG175" s="1840"/>
      <c r="FH175" s="1837"/>
      <c r="FI175" s="1838"/>
      <c r="FJ175" s="1837"/>
      <c r="FK175" s="1838"/>
      <c r="FL175" s="1839"/>
      <c r="FM175" s="1840"/>
      <c r="FN175" s="1837"/>
      <c r="FO175" s="1838"/>
      <c r="FP175" s="1837"/>
      <c r="FQ175" s="1838"/>
      <c r="FR175" s="1839"/>
      <c r="FS175" s="1840"/>
      <c r="FT175" s="1837"/>
      <c r="FU175" s="1838"/>
      <c r="FV175" s="1837"/>
      <c r="FW175" s="1838"/>
      <c r="FX175" s="1839"/>
      <c r="FY175" s="1840"/>
      <c r="FZ175" s="1837"/>
      <c r="GA175" s="1838"/>
      <c r="GB175" s="1837"/>
      <c r="GC175" s="1838"/>
      <c r="GD175" s="1839"/>
      <c r="GE175" s="1840"/>
      <c r="GF175" s="1837"/>
      <c r="GG175" s="1838"/>
      <c r="GH175" s="1837"/>
      <c r="GI175" s="1838"/>
      <c r="GJ175" s="1839"/>
      <c r="GK175" s="1840"/>
      <c r="GL175" s="1837"/>
      <c r="GM175" s="1838"/>
      <c r="GN175" s="1837"/>
      <c r="GO175" s="1838"/>
      <c r="GP175" s="1839"/>
    </row>
    <row r="176" spans="1:198" ht="20.100000000000001" hidden="1" customHeight="1" outlineLevel="1" collapsed="1">
      <c r="A176" s="2709"/>
      <c r="B176" s="2612"/>
      <c r="C176" s="1858"/>
      <c r="D176" s="2614" t="str">
        <f>実績!C1266&amp;"("&amp;SUBSTITUTE(実績!W1266&amp;")","株式会社 ","")</f>
        <v>弘前倉庫㈱五所川原倉庫増築３期(アスコ建築構造室)</v>
      </c>
      <c r="E176" s="2617"/>
      <c r="F176" s="2617"/>
      <c r="G176" s="2617"/>
      <c r="H176" s="2617"/>
      <c r="I176" s="2617"/>
      <c r="J176" s="2617"/>
      <c r="K176" s="2617"/>
      <c r="L176" s="2617"/>
      <c r="M176" s="2617"/>
      <c r="N176" s="2617"/>
      <c r="O176" s="2617"/>
      <c r="P176" s="2617"/>
      <c r="Q176" s="2618"/>
      <c r="R176" s="1970"/>
      <c r="S176" s="1837"/>
      <c r="T176" s="1837"/>
      <c r="U176" s="1838"/>
      <c r="V176" s="1837"/>
      <c r="W176" s="1838"/>
      <c r="X176" s="1839"/>
      <c r="Y176" s="1837"/>
      <c r="Z176" s="1837"/>
      <c r="AA176" s="1838"/>
      <c r="AB176" s="1837"/>
      <c r="AC176" s="1838"/>
      <c r="AD176" s="1837"/>
      <c r="AE176" s="1840"/>
      <c r="AF176" s="1837"/>
      <c r="AG176" s="1838"/>
      <c r="AH176" s="1837"/>
      <c r="AI176" s="1838"/>
      <c r="AJ176" s="1839"/>
      <c r="AK176" s="1837"/>
      <c r="AL176" s="1837"/>
      <c r="AM176" s="1838"/>
      <c r="AN176" s="1837"/>
      <c r="AO176" s="1838"/>
      <c r="AP176" s="1837"/>
      <c r="AQ176" s="1841"/>
      <c r="AR176" s="1837"/>
      <c r="AS176" s="1838"/>
      <c r="AT176" s="1837"/>
      <c r="AU176" s="1838"/>
      <c r="AV176" s="1839"/>
      <c r="AW176" s="1840"/>
      <c r="AX176" s="1837"/>
      <c r="AY176" s="1838"/>
      <c r="AZ176" s="1837"/>
      <c r="BA176" s="1838"/>
      <c r="BB176" s="1839"/>
      <c r="BC176" s="1837"/>
      <c r="BD176" s="1837"/>
      <c r="BE176" s="1838"/>
      <c r="BF176" s="1837"/>
      <c r="BG176" s="1838"/>
      <c r="BH176" s="1837"/>
      <c r="BI176" s="1840"/>
      <c r="BJ176" s="1837"/>
      <c r="BK176" s="1838"/>
      <c r="BL176" s="1837"/>
      <c r="BM176" s="1838"/>
      <c r="BN176" s="1839"/>
      <c r="BO176" s="1840"/>
      <c r="BP176" s="1837"/>
      <c r="BQ176" s="1838"/>
      <c r="BR176" s="1837"/>
      <c r="BS176" s="1838"/>
      <c r="BT176" s="1839"/>
      <c r="BU176" s="1840"/>
      <c r="BV176" s="1837"/>
      <c r="BW176" s="1838"/>
      <c r="BX176" s="1837"/>
      <c r="BY176" s="1838"/>
      <c r="BZ176" s="1839"/>
      <c r="CA176" s="1840"/>
      <c r="CB176" s="1837" t="s">
        <v>10113</v>
      </c>
      <c r="CC176" s="1838"/>
      <c r="CD176" s="1837"/>
      <c r="CE176" s="1838"/>
      <c r="CF176" s="1839"/>
      <c r="CG176" s="1840"/>
      <c r="CH176" s="1837"/>
      <c r="CI176" s="1838"/>
      <c r="CJ176" s="1837"/>
      <c r="CK176" s="1838"/>
      <c r="CL176" s="1839"/>
      <c r="CM176" s="1840"/>
      <c r="CN176" s="1837"/>
      <c r="CO176" s="1838"/>
      <c r="CP176" s="1837"/>
      <c r="CQ176" s="1838"/>
      <c r="CR176" s="1839"/>
      <c r="CS176" s="1840"/>
      <c r="CT176" s="1837"/>
      <c r="CU176" s="1838"/>
      <c r="CV176" s="1837"/>
      <c r="CW176" s="1838"/>
      <c r="CX176" s="1839"/>
      <c r="CY176" s="1840"/>
      <c r="CZ176" s="1837"/>
      <c r="DA176" s="1838"/>
      <c r="DB176" s="1837"/>
      <c r="DC176" s="1838"/>
      <c r="DD176" s="1839"/>
      <c r="DE176" s="1840"/>
      <c r="DF176" s="1837"/>
      <c r="DG176" s="1838"/>
      <c r="DH176" s="1837"/>
      <c r="DI176" s="1838"/>
      <c r="DJ176" s="1839"/>
      <c r="DK176" s="1840"/>
      <c r="DL176" s="1837"/>
      <c r="DM176" s="1838"/>
      <c r="DN176" s="1837"/>
      <c r="DO176" s="1838"/>
      <c r="DP176" s="1837"/>
      <c r="DQ176" s="1853"/>
      <c r="DR176" s="1837"/>
      <c r="DS176" s="1838"/>
      <c r="DT176" s="1842"/>
      <c r="DU176" s="1837"/>
      <c r="DV176" s="1839"/>
      <c r="DW176" s="1840"/>
      <c r="DX176" s="1837"/>
      <c r="DY176" s="1838"/>
      <c r="DZ176" s="1837"/>
      <c r="EA176" s="1838"/>
      <c r="EB176" s="1839"/>
      <c r="EC176" s="1840"/>
      <c r="ED176" s="1837"/>
      <c r="EE176" s="1838"/>
      <c r="EF176" s="1837"/>
      <c r="EG176" s="1838"/>
      <c r="EH176" s="1839"/>
      <c r="EI176" s="1840"/>
      <c r="EJ176" s="1837"/>
      <c r="EK176" s="1838"/>
      <c r="EL176" s="1837"/>
      <c r="EM176" s="1838"/>
      <c r="EN176" s="1839"/>
      <c r="EO176" s="1840"/>
      <c r="EP176" s="1837"/>
      <c r="EQ176" s="1838"/>
      <c r="ER176" s="1837"/>
      <c r="ES176" s="1838"/>
      <c r="ET176" s="1839"/>
      <c r="EU176" s="1840"/>
      <c r="EV176" s="1837"/>
      <c r="EW176" s="1838"/>
      <c r="EX176" s="1837"/>
      <c r="EY176" s="1838"/>
      <c r="EZ176" s="1839"/>
      <c r="FA176" s="1840"/>
      <c r="FB176" s="1837"/>
      <c r="FC176" s="1838"/>
      <c r="FD176" s="1837"/>
      <c r="FE176" s="1838"/>
      <c r="FF176" s="1839"/>
      <c r="FG176" s="1840"/>
      <c r="FH176" s="1837"/>
      <c r="FI176" s="1838"/>
      <c r="FJ176" s="1837"/>
      <c r="FK176" s="1838"/>
      <c r="FL176" s="1839"/>
      <c r="FM176" s="1840"/>
      <c r="FN176" s="1837"/>
      <c r="FO176" s="1838"/>
      <c r="FP176" s="1837"/>
      <c r="FQ176" s="1838"/>
      <c r="FR176" s="1839"/>
      <c r="FS176" s="1840"/>
      <c r="FT176" s="1837"/>
      <c r="FU176" s="1838"/>
      <c r="FV176" s="1837"/>
      <c r="FW176" s="1838"/>
      <c r="FX176" s="1839"/>
      <c r="FY176" s="1840"/>
      <c r="FZ176" s="1837"/>
      <c r="GA176" s="1838"/>
      <c r="GB176" s="1837"/>
      <c r="GC176" s="1838"/>
      <c r="GD176" s="1839"/>
      <c r="GE176" s="1840"/>
      <c r="GF176" s="1837"/>
      <c r="GG176" s="1838"/>
      <c r="GH176" s="1837"/>
      <c r="GI176" s="1838"/>
      <c r="GJ176" s="1839"/>
      <c r="GK176" s="1840"/>
      <c r="GL176" s="1837"/>
      <c r="GM176" s="1838"/>
      <c r="GN176" s="1837"/>
      <c r="GO176" s="1838"/>
      <c r="GP176" s="1839"/>
    </row>
    <row r="177" spans="1:198" ht="20.100000000000001" hidden="1" customHeight="1" outlineLevel="1">
      <c r="A177" s="2709"/>
      <c r="B177" s="2612"/>
      <c r="C177" s="1858"/>
      <c r="D177" s="2614" t="str">
        <f>実績!C1265&amp;"("&amp;SUBSTITUTE(実績!W1265&amp;")","株式会社 ","")</f>
        <v>北茨城精密加工関本第６工場(横河システム建築)</v>
      </c>
      <c r="E177" s="2617"/>
      <c r="F177" s="2617"/>
      <c r="G177" s="2617"/>
      <c r="H177" s="2617"/>
      <c r="I177" s="2617"/>
      <c r="J177" s="2617"/>
      <c r="K177" s="2617"/>
      <c r="L177" s="2617"/>
      <c r="M177" s="2617"/>
      <c r="N177" s="2617"/>
      <c r="O177" s="2617"/>
      <c r="P177" s="2617"/>
      <c r="Q177" s="2618"/>
      <c r="R177" s="1970"/>
      <c r="S177" s="1837"/>
      <c r="T177" s="1837"/>
      <c r="U177" s="1838"/>
      <c r="V177" s="1837"/>
      <c r="W177" s="1838"/>
      <c r="X177" s="1839"/>
      <c r="Y177" s="1837"/>
      <c r="Z177" s="1837"/>
      <c r="AA177" s="1838"/>
      <c r="AB177" s="1837"/>
      <c r="AC177" s="1838"/>
      <c r="AD177" s="1837"/>
      <c r="AE177" s="1840"/>
      <c r="AF177" s="1837"/>
      <c r="AG177" s="1838"/>
      <c r="AH177" s="1837"/>
      <c r="AI177" s="1838"/>
      <c r="AJ177" s="1839"/>
      <c r="AK177" s="1837"/>
      <c r="AL177" s="1837"/>
      <c r="AM177" s="1838"/>
      <c r="AN177" s="1837"/>
      <c r="AO177" s="1838"/>
      <c r="AP177" s="1837"/>
      <c r="AQ177" s="1841"/>
      <c r="AR177" s="1837"/>
      <c r="AS177" s="1838"/>
      <c r="AT177" s="1837"/>
      <c r="AU177" s="1838" t="s">
        <v>8352</v>
      </c>
      <c r="AV177" s="1839"/>
      <c r="AW177" s="1840"/>
      <c r="AX177" s="1837"/>
      <c r="AY177" s="1838"/>
      <c r="AZ177" s="1837"/>
      <c r="BA177" s="1838"/>
      <c r="BB177" s="1839"/>
      <c r="BC177" s="1837"/>
      <c r="BD177" s="1837"/>
      <c r="BE177" s="1838"/>
      <c r="BF177" s="1837"/>
      <c r="BG177" s="1838"/>
      <c r="BH177" s="1837"/>
      <c r="BI177" s="1840"/>
      <c r="BJ177" s="1837"/>
      <c r="BK177" s="1838"/>
      <c r="BL177" s="1837"/>
      <c r="BM177" s="1838"/>
      <c r="BN177" s="1839"/>
      <c r="BO177" s="1840"/>
      <c r="BP177" s="1837"/>
      <c r="BQ177" s="1838"/>
      <c r="BR177" s="1837"/>
      <c r="BS177" s="1838"/>
      <c r="BT177" s="1839"/>
      <c r="BU177" s="1840"/>
      <c r="BV177" s="1837"/>
      <c r="BW177" s="1838"/>
      <c r="BX177" s="1837"/>
      <c r="BY177" s="1838"/>
      <c r="BZ177" s="1839"/>
      <c r="CA177" s="1840"/>
      <c r="CB177" s="1837" t="s">
        <v>10244</v>
      </c>
      <c r="CC177" s="1838"/>
      <c r="CD177" s="1837"/>
      <c r="CE177" s="1838"/>
      <c r="CF177" s="1839"/>
      <c r="CG177" s="1840" t="s">
        <v>10026</v>
      </c>
      <c r="CH177" s="1837"/>
      <c r="CI177" s="1838"/>
      <c r="CJ177" s="1837"/>
      <c r="CK177" s="1838"/>
      <c r="CL177" s="1839"/>
      <c r="CM177" s="1840"/>
      <c r="CN177" s="1837"/>
      <c r="CO177" s="1838"/>
      <c r="CP177" s="1837"/>
      <c r="CQ177" s="1838" t="s">
        <v>10027</v>
      </c>
      <c r="CR177" s="1839"/>
      <c r="CS177" s="1840"/>
      <c r="CT177" s="1837"/>
      <c r="CU177" s="1838"/>
      <c r="CV177" s="1837"/>
      <c r="CW177" s="1838"/>
      <c r="CX177" s="1839"/>
      <c r="CY177" s="1840"/>
      <c r="CZ177" s="1837"/>
      <c r="DA177" s="1838"/>
      <c r="DB177" s="1837"/>
      <c r="DC177" s="1838"/>
      <c r="DD177" s="1839"/>
      <c r="DE177" s="1840"/>
      <c r="DF177" s="1837"/>
      <c r="DG177" s="1838"/>
      <c r="DH177" s="1837"/>
      <c r="DI177" s="1838"/>
      <c r="DJ177" s="1839"/>
      <c r="DK177" s="1840"/>
      <c r="DL177" s="1837"/>
      <c r="DM177" s="1838"/>
      <c r="DN177" s="1837"/>
      <c r="DO177" s="1838"/>
      <c r="DP177" s="1837"/>
      <c r="DQ177" s="1853"/>
      <c r="DR177" s="1837"/>
      <c r="DS177" s="1838"/>
      <c r="DT177" s="1842"/>
      <c r="DU177" s="1837"/>
      <c r="DV177" s="1839"/>
      <c r="DW177" s="1840"/>
      <c r="DX177" s="1837"/>
      <c r="DY177" s="1838"/>
      <c r="DZ177" s="1837"/>
      <c r="EA177" s="1838"/>
      <c r="EB177" s="1839"/>
      <c r="EC177" s="1840"/>
      <c r="ED177" s="1837"/>
      <c r="EE177" s="1838"/>
      <c r="EF177" s="1837"/>
      <c r="EG177" s="1838"/>
      <c r="EH177" s="1839"/>
      <c r="EI177" s="1840"/>
      <c r="EJ177" s="1837"/>
      <c r="EK177" s="1838"/>
      <c r="EL177" s="1837"/>
      <c r="EM177" s="1838"/>
      <c r="EN177" s="1839"/>
      <c r="EO177" s="1840"/>
      <c r="EP177" s="1837"/>
      <c r="EQ177" s="1838"/>
      <c r="ER177" s="1837"/>
      <c r="ES177" s="1838"/>
      <c r="ET177" s="1839"/>
      <c r="EU177" s="1840"/>
      <c r="EV177" s="1837"/>
      <c r="EW177" s="1838"/>
      <c r="EX177" s="1837"/>
      <c r="EY177" s="1838"/>
      <c r="EZ177" s="1839"/>
      <c r="FA177" s="1840"/>
      <c r="FB177" s="1837"/>
      <c r="FC177" s="1838"/>
      <c r="FD177" s="1837"/>
      <c r="FE177" s="1838"/>
      <c r="FF177" s="1839"/>
      <c r="FG177" s="1840"/>
      <c r="FH177" s="1837"/>
      <c r="FI177" s="1838"/>
      <c r="FJ177" s="1837"/>
      <c r="FK177" s="1838"/>
      <c r="FL177" s="1839"/>
      <c r="FM177" s="1840"/>
      <c r="FN177" s="1837"/>
      <c r="FO177" s="1838"/>
      <c r="FP177" s="1837"/>
      <c r="FQ177" s="1838"/>
      <c r="FR177" s="1839"/>
      <c r="FS177" s="1840"/>
      <c r="FT177" s="1837"/>
      <c r="FU177" s="1838"/>
      <c r="FV177" s="1837"/>
      <c r="FW177" s="1838"/>
      <c r="FX177" s="1839"/>
      <c r="FY177" s="1840"/>
      <c r="FZ177" s="1837"/>
      <c r="GA177" s="1838"/>
      <c r="GB177" s="1837"/>
      <c r="GC177" s="1838"/>
      <c r="GD177" s="1839"/>
      <c r="GE177" s="1840"/>
      <c r="GF177" s="1837"/>
      <c r="GG177" s="1838"/>
      <c r="GH177" s="1837"/>
      <c r="GI177" s="1838"/>
      <c r="GJ177" s="1839"/>
      <c r="GK177" s="1840"/>
      <c r="GL177" s="1837"/>
      <c r="GM177" s="1838"/>
      <c r="GN177" s="1837"/>
      <c r="GO177" s="1838"/>
      <c r="GP177" s="1839"/>
    </row>
    <row r="178" spans="1:198" ht="20.100000000000001" hidden="1" customHeight="1" outlineLevel="1">
      <c r="A178" s="2709"/>
      <c r="B178" s="2612"/>
      <c r="C178" s="1319" t="s">
        <v>10067</v>
      </c>
      <c r="D178" s="2614" t="str">
        <f>実績!C1263&amp;"("&amp;SUBSTITUTE(実績!W1263&amp;")","株式会社 ","")</f>
        <v>寺西化学工業(株)出雲工場(中林建築設計事務所)</v>
      </c>
      <c r="E178" s="2617"/>
      <c r="F178" s="2617"/>
      <c r="G178" s="2617"/>
      <c r="H178" s="2617"/>
      <c r="I178" s="2617"/>
      <c r="J178" s="2617"/>
      <c r="K178" s="2617"/>
      <c r="L178" s="2617"/>
      <c r="M178" s="2617"/>
      <c r="N178" s="2617"/>
      <c r="O178" s="2617"/>
      <c r="P178" s="2617"/>
      <c r="Q178" s="1862" t="s">
        <v>10261</v>
      </c>
      <c r="R178" s="1863"/>
      <c r="S178" s="1837"/>
      <c r="T178" s="1837"/>
      <c r="U178" s="1838"/>
      <c r="V178" s="1837"/>
      <c r="W178" s="1838"/>
      <c r="X178" s="1839"/>
      <c r="Y178" s="1837"/>
      <c r="Z178" s="1837"/>
      <c r="AA178" s="1838"/>
      <c r="AB178" s="1837"/>
      <c r="AC178" s="1838"/>
      <c r="AD178" s="1837"/>
      <c r="AE178" s="1840"/>
      <c r="AF178" s="1837"/>
      <c r="AG178" s="1838"/>
      <c r="AH178" s="1837"/>
      <c r="AI178" s="1838"/>
      <c r="AJ178" s="1839"/>
      <c r="AK178" s="1837"/>
      <c r="AL178" s="1837"/>
      <c r="AM178" s="1838"/>
      <c r="AN178" s="1837"/>
      <c r="AO178" s="1838"/>
      <c r="AP178" s="1837"/>
      <c r="AQ178" s="1841"/>
      <c r="AR178" s="1837"/>
      <c r="AS178" s="1838"/>
      <c r="AT178" s="1837"/>
      <c r="AU178" s="1838" t="s">
        <v>8352</v>
      </c>
      <c r="AV178" s="1839"/>
      <c r="AW178" s="1840"/>
      <c r="AX178" s="1837"/>
      <c r="AY178" s="1838"/>
      <c r="AZ178" s="1837"/>
      <c r="BA178" s="1838"/>
      <c r="BB178" s="1839"/>
      <c r="BC178" s="1837"/>
      <c r="BD178" s="1837"/>
      <c r="BE178" s="1838"/>
      <c r="BF178" s="1837"/>
      <c r="BG178" s="1838"/>
      <c r="BH178" s="1837"/>
      <c r="BI178" s="1840"/>
      <c r="BJ178" s="1837"/>
      <c r="BK178" s="1838"/>
      <c r="BL178" s="1837"/>
      <c r="BM178" s="1838"/>
      <c r="BN178" s="1839"/>
      <c r="BO178" s="1840"/>
      <c r="BP178" s="1837"/>
      <c r="BQ178" s="1838"/>
      <c r="BR178" s="1842"/>
      <c r="BS178" s="1838"/>
      <c r="BT178" s="1839"/>
      <c r="BU178" s="1840"/>
      <c r="BV178" s="1837"/>
      <c r="BW178" s="1838"/>
      <c r="BX178" s="1837"/>
      <c r="BY178" s="1838"/>
      <c r="BZ178" s="1839"/>
      <c r="CA178" s="1840"/>
      <c r="CB178" s="1837"/>
      <c r="CC178" s="1838" t="s">
        <v>10245</v>
      </c>
      <c r="CD178" s="1837"/>
      <c r="CE178" s="1838"/>
      <c r="CF178" s="1839"/>
      <c r="CG178" s="1840" t="s">
        <v>10107</v>
      </c>
      <c r="CH178" s="1837"/>
      <c r="CI178" s="1838"/>
      <c r="CJ178" s="1837"/>
      <c r="CK178" s="1838"/>
      <c r="CL178" s="1839"/>
      <c r="CM178" s="1840"/>
      <c r="CN178" s="1837"/>
      <c r="CO178" s="1838"/>
      <c r="CP178" s="1837"/>
      <c r="CQ178" s="1838"/>
      <c r="CR178" s="1839"/>
      <c r="CS178" s="1840"/>
      <c r="CT178" s="1837"/>
      <c r="CU178" s="1838"/>
      <c r="CV178" s="1837"/>
      <c r="CW178" s="1838"/>
      <c r="CX178" s="1839"/>
      <c r="CY178" s="1840"/>
      <c r="CZ178" s="1837"/>
      <c r="DA178" s="1838"/>
      <c r="DB178" s="1837"/>
      <c r="DC178" s="1838"/>
      <c r="DD178" s="1839"/>
      <c r="DE178" s="1840"/>
      <c r="DF178" s="1837"/>
      <c r="DG178" s="1838"/>
      <c r="DH178" s="1837"/>
      <c r="DI178" s="1838"/>
      <c r="DJ178" s="1839"/>
      <c r="DK178" s="1840"/>
      <c r="DL178" s="1837"/>
      <c r="DM178" s="1838"/>
      <c r="DN178" s="1837"/>
      <c r="DO178" s="1838"/>
      <c r="DP178" s="1837"/>
      <c r="DQ178" s="1853"/>
      <c r="DR178" s="1837"/>
      <c r="DS178" s="1838"/>
      <c r="DT178" s="1842"/>
      <c r="DU178" s="1837"/>
      <c r="DV178" s="1839"/>
      <c r="DW178" s="1840"/>
      <c r="DX178" s="1837"/>
      <c r="DY178" s="1838"/>
      <c r="DZ178" s="1837"/>
      <c r="EA178" s="1838"/>
      <c r="EB178" s="1839"/>
      <c r="EC178" s="1840"/>
      <c r="ED178" s="1837"/>
      <c r="EE178" s="1838"/>
      <c r="EF178" s="1837"/>
      <c r="EG178" s="1838"/>
      <c r="EH178" s="1839"/>
      <c r="EI178" s="1840"/>
      <c r="EJ178" s="1837"/>
      <c r="EK178" s="1838"/>
      <c r="EL178" s="1837"/>
      <c r="EM178" s="1838"/>
      <c r="EN178" s="1839"/>
      <c r="EO178" s="1840"/>
      <c r="EP178" s="1837"/>
      <c r="EQ178" s="1838"/>
      <c r="ER178" s="1837"/>
      <c r="ES178" s="1838"/>
      <c r="ET178" s="1839"/>
      <c r="EU178" s="1840"/>
      <c r="EV178" s="1837"/>
      <c r="EW178" s="1838"/>
      <c r="EX178" s="1837"/>
      <c r="EY178" s="1838"/>
      <c r="EZ178" s="1839"/>
      <c r="FA178" s="1840"/>
      <c r="FB178" s="1837"/>
      <c r="FC178" s="1838"/>
      <c r="FD178" s="1837"/>
      <c r="FE178" s="1838"/>
      <c r="FF178" s="1839"/>
      <c r="FG178" s="1840"/>
      <c r="FH178" s="1837"/>
      <c r="FI178" s="1838"/>
      <c r="FJ178" s="1837"/>
      <c r="FK178" s="1838"/>
      <c r="FL178" s="1839"/>
      <c r="FM178" s="1840"/>
      <c r="FN178" s="1837"/>
      <c r="FO178" s="1838"/>
      <c r="FP178" s="1837"/>
      <c r="FQ178" s="1838"/>
      <c r="FR178" s="1839"/>
      <c r="FS178" s="1840"/>
      <c r="FT178" s="1837"/>
      <c r="FU178" s="1838"/>
      <c r="FV178" s="1837"/>
      <c r="FW178" s="1838"/>
      <c r="FX178" s="1839"/>
      <c r="FY178" s="1840"/>
      <c r="FZ178" s="1837"/>
      <c r="GA178" s="1838"/>
      <c r="GB178" s="1837"/>
      <c r="GC178" s="1838"/>
      <c r="GD178" s="1839"/>
      <c r="GE178" s="1840"/>
      <c r="GF178" s="1837"/>
      <c r="GG178" s="1838"/>
      <c r="GH178" s="1837"/>
      <c r="GI178" s="1838"/>
      <c r="GJ178" s="1839"/>
      <c r="GK178" s="1840"/>
      <c r="GL178" s="1837"/>
      <c r="GM178" s="1838"/>
      <c r="GN178" s="1837"/>
      <c r="GO178" s="1838"/>
      <c r="GP178" s="1839"/>
    </row>
    <row r="179" spans="1:198" ht="20.100000000000001" hidden="1" customHeight="1" outlineLevel="1" collapsed="1">
      <c r="A179" s="2709"/>
      <c r="B179" s="2612"/>
      <c r="C179" s="1836" t="s">
        <v>10301</v>
      </c>
      <c r="D179" s="2614" t="str">
        <f>実績!C1272&amp;"("&amp;SUBSTITUTE(実績!W1272&amp;")","株式会社 ","")</f>
        <v>ありあけ幼稚園(あい設計)</v>
      </c>
      <c r="E179" s="2617"/>
      <c r="F179" s="2617"/>
      <c r="G179" s="2617"/>
      <c r="H179" s="2617"/>
      <c r="I179" s="2617"/>
      <c r="J179" s="2617"/>
      <c r="K179" s="2617" t="s">
        <v>10300</v>
      </c>
      <c r="L179" s="2617"/>
      <c r="M179" s="2617"/>
      <c r="N179" s="2617"/>
      <c r="O179" s="2617"/>
      <c r="P179" s="2617"/>
      <c r="Q179" s="2618"/>
      <c r="R179" s="1970"/>
      <c r="S179" s="1837"/>
      <c r="T179" s="1837"/>
      <c r="U179" s="1838"/>
      <c r="V179" s="1837"/>
      <c r="W179" s="1838"/>
      <c r="X179" s="1839"/>
      <c r="Y179" s="1837"/>
      <c r="Z179" s="1837"/>
      <c r="AA179" s="1838"/>
      <c r="AB179" s="1837"/>
      <c r="AC179" s="1838"/>
      <c r="AD179" s="1837"/>
      <c r="AE179" s="1840"/>
      <c r="AF179" s="1837"/>
      <c r="AG179" s="1838"/>
      <c r="AH179" s="1837"/>
      <c r="AI179" s="1838"/>
      <c r="AJ179" s="1839"/>
      <c r="AK179" s="1837"/>
      <c r="AL179" s="1837"/>
      <c r="AM179" s="1838"/>
      <c r="AN179" s="1837"/>
      <c r="AO179" s="1838"/>
      <c r="AP179" s="1837"/>
      <c r="AQ179" s="1841"/>
      <c r="AR179" s="1837"/>
      <c r="AS179" s="1838"/>
      <c r="AT179" s="1837"/>
      <c r="AU179" s="1838" t="s">
        <v>8352</v>
      </c>
      <c r="AV179" s="1839"/>
      <c r="AW179" s="1840"/>
      <c r="AX179" s="1837"/>
      <c r="AY179" s="1838"/>
      <c r="AZ179" s="1837"/>
      <c r="BA179" s="1838"/>
      <c r="BB179" s="1839"/>
      <c r="BC179" s="1837"/>
      <c r="BD179" s="1837"/>
      <c r="BE179" s="1838"/>
      <c r="BF179" s="1837"/>
      <c r="BG179" s="1838"/>
      <c r="BH179" s="1837"/>
      <c r="BI179" s="1840"/>
      <c r="BJ179" s="1837"/>
      <c r="BK179" s="1838"/>
      <c r="BL179" s="1837"/>
      <c r="BM179" s="1838"/>
      <c r="BN179" s="1839"/>
      <c r="BO179" s="1840"/>
      <c r="BP179" s="1837"/>
      <c r="BQ179" s="1838"/>
      <c r="BR179" s="1837"/>
      <c r="BS179" s="1838"/>
      <c r="BT179" s="1839"/>
      <c r="BU179" s="1840"/>
      <c r="BV179" s="1837"/>
      <c r="BW179" s="1838"/>
      <c r="BX179" s="1837"/>
      <c r="BY179" s="1838"/>
      <c r="BZ179" s="1839"/>
      <c r="CA179" s="1840"/>
      <c r="CB179" s="1837"/>
      <c r="CC179" s="1838"/>
      <c r="CD179" s="1837"/>
      <c r="CE179" s="1838"/>
      <c r="CF179" s="1839"/>
      <c r="CG179" s="1840"/>
      <c r="CH179" s="1837"/>
      <c r="CI179" s="1838"/>
      <c r="CJ179" s="1837"/>
      <c r="CK179" s="1838"/>
      <c r="CL179" s="1839"/>
      <c r="CM179" s="1840"/>
      <c r="CN179" s="1837"/>
      <c r="CO179" s="1838"/>
      <c r="CP179" s="1837"/>
      <c r="CQ179" s="1838"/>
      <c r="CR179" s="1839"/>
      <c r="CS179" s="1840"/>
      <c r="CT179" s="1837"/>
      <c r="CU179" s="1838"/>
      <c r="CV179" s="1837"/>
      <c r="CW179" s="1838"/>
      <c r="CX179" s="1839"/>
      <c r="CY179" s="1840"/>
      <c r="CZ179" s="1837"/>
      <c r="DA179" s="1838"/>
      <c r="DB179" s="1837"/>
      <c r="DC179" s="1838"/>
      <c r="DD179" s="1839"/>
      <c r="DE179" s="1840"/>
      <c r="DF179" s="1837"/>
      <c r="DG179" s="1838"/>
      <c r="DH179" s="1837"/>
      <c r="DI179" s="1838"/>
      <c r="DJ179" s="1839"/>
      <c r="DK179" s="1840"/>
      <c r="DL179" s="1837"/>
      <c r="DM179" s="1838"/>
      <c r="DN179" s="1837"/>
      <c r="DO179" s="1838"/>
      <c r="DP179" s="1837"/>
      <c r="DQ179" s="1853"/>
      <c r="DR179" s="1837"/>
      <c r="DS179" s="1838"/>
      <c r="DT179" s="1842"/>
      <c r="DU179" s="1837"/>
      <c r="DV179" s="1839"/>
      <c r="DW179" s="1840"/>
      <c r="DX179" s="1837"/>
      <c r="DY179" s="1838"/>
      <c r="DZ179" s="1837"/>
      <c r="EA179" s="1838"/>
      <c r="EB179" s="1839"/>
      <c r="EC179" s="1840"/>
      <c r="ED179" s="1837"/>
      <c r="EE179" s="1838"/>
      <c r="EF179" s="1837"/>
      <c r="EG179" s="1838"/>
      <c r="EH179" s="1839"/>
      <c r="EI179" s="1840"/>
      <c r="EJ179" s="1837"/>
      <c r="EK179" s="1838"/>
      <c r="EL179" s="1837"/>
      <c r="EM179" s="1838"/>
      <c r="EN179" s="1839"/>
      <c r="EO179" s="1840"/>
      <c r="EP179" s="1837"/>
      <c r="EQ179" s="1838"/>
      <c r="ER179" s="1837"/>
      <c r="ES179" s="1838"/>
      <c r="ET179" s="1839"/>
      <c r="EU179" s="1840"/>
      <c r="EV179" s="1837"/>
      <c r="EW179" s="1838"/>
      <c r="EX179" s="1837"/>
      <c r="EY179" s="1838"/>
      <c r="EZ179" s="1839"/>
      <c r="FA179" s="1840"/>
      <c r="FB179" s="1837"/>
      <c r="FC179" s="1838"/>
      <c r="FD179" s="1837"/>
      <c r="FE179" s="1838"/>
      <c r="FF179" s="1839"/>
      <c r="FG179" s="1840"/>
      <c r="FH179" s="1837"/>
      <c r="FI179" s="1838"/>
      <c r="FJ179" s="1837"/>
      <c r="FK179" s="1838"/>
      <c r="FL179" s="1839"/>
      <c r="FM179" s="1840"/>
      <c r="FN179" s="1837"/>
      <c r="FO179" s="1838"/>
      <c r="FP179" s="1837"/>
      <c r="FQ179" s="1838"/>
      <c r="FR179" s="1839"/>
      <c r="FS179" s="1840"/>
      <c r="FT179" s="1837"/>
      <c r="FU179" s="1838"/>
      <c r="FV179" s="1837"/>
      <c r="FW179" s="1838"/>
      <c r="FX179" s="1839"/>
      <c r="FY179" s="1840"/>
      <c r="FZ179" s="1837"/>
      <c r="GA179" s="1838"/>
      <c r="GB179" s="1837"/>
      <c r="GC179" s="1838"/>
      <c r="GD179" s="1839"/>
      <c r="GE179" s="1840"/>
      <c r="GF179" s="1837"/>
      <c r="GG179" s="1838"/>
      <c r="GH179" s="1837"/>
      <c r="GI179" s="1838"/>
      <c r="GJ179" s="1839"/>
      <c r="GK179" s="1840"/>
      <c r="GL179" s="1837"/>
      <c r="GM179" s="1838"/>
      <c r="GN179" s="1837"/>
      <c r="GO179" s="1838"/>
      <c r="GP179" s="1839"/>
    </row>
    <row r="180" spans="1:198" ht="20.100000000000001" hidden="1" customHeight="1" outlineLevel="1" collapsed="1">
      <c r="A180" s="2709"/>
      <c r="B180" s="2612"/>
      <c r="C180" s="1858"/>
      <c r="D180" s="2614" t="str">
        <f>実績!C1257&amp;"("&amp;SUBSTITUTE(実績!W1257&amp;")","株式会社 ","")</f>
        <v>JAごしょつがる米穀低温倉庫(アスコ建築構造室)</v>
      </c>
      <c r="E180" s="2617"/>
      <c r="F180" s="2617"/>
      <c r="G180" s="2617"/>
      <c r="H180" s="2617"/>
      <c r="I180" s="2617"/>
      <c r="J180" s="2617"/>
      <c r="K180" s="2617"/>
      <c r="L180" s="2617"/>
      <c r="M180" s="2617"/>
      <c r="N180" s="2617"/>
      <c r="O180" s="2617"/>
      <c r="P180" s="2617"/>
      <c r="Q180" s="2618"/>
      <c r="R180" s="1970"/>
      <c r="S180" s="1837"/>
      <c r="T180" s="1837"/>
      <c r="U180" s="1838"/>
      <c r="V180" s="1837"/>
      <c r="W180" s="1838"/>
      <c r="X180" s="1839"/>
      <c r="Y180" s="1837"/>
      <c r="Z180" s="1837"/>
      <c r="AA180" s="1838"/>
      <c r="AB180" s="1837"/>
      <c r="AC180" s="1838"/>
      <c r="AD180" s="1837"/>
      <c r="AE180" s="1840"/>
      <c r="AF180" s="1837"/>
      <c r="AG180" s="1838"/>
      <c r="AH180" s="1837"/>
      <c r="AI180" s="1838"/>
      <c r="AJ180" s="1839"/>
      <c r="AK180" s="1837"/>
      <c r="AL180" s="1837"/>
      <c r="AM180" s="1838"/>
      <c r="AN180" s="1837"/>
      <c r="AO180" s="1838"/>
      <c r="AP180" s="1837"/>
      <c r="AQ180" s="1841"/>
      <c r="AR180" s="1837"/>
      <c r="AS180" s="1838"/>
      <c r="AT180" s="1837"/>
      <c r="AU180" s="1838"/>
      <c r="AV180" s="1839"/>
      <c r="AW180" s="1840"/>
      <c r="AX180" s="1837"/>
      <c r="AY180" s="1838"/>
      <c r="AZ180" s="1837"/>
      <c r="BA180" s="1838"/>
      <c r="BB180" s="1839"/>
      <c r="BC180" s="1837"/>
      <c r="BD180" s="1837"/>
      <c r="BE180" s="1838"/>
      <c r="BF180" s="1837"/>
      <c r="BG180" s="1838"/>
      <c r="BH180" s="1837"/>
      <c r="BI180" s="1840"/>
      <c r="BJ180" s="1837"/>
      <c r="BK180" s="1838"/>
      <c r="BL180" s="1837"/>
      <c r="BM180" s="1838"/>
      <c r="BN180" s="1839"/>
      <c r="BO180" s="1840"/>
      <c r="BP180" s="1837"/>
      <c r="BQ180" s="1838"/>
      <c r="BR180" s="1837"/>
      <c r="BS180" s="1838"/>
      <c r="BT180" s="1839"/>
      <c r="BU180" s="1840"/>
      <c r="BV180" s="1837"/>
      <c r="BW180" s="1838"/>
      <c r="BX180" s="1837"/>
      <c r="BY180" s="1838"/>
      <c r="BZ180" s="1839"/>
      <c r="CA180" s="1840"/>
      <c r="CB180" s="1837"/>
      <c r="CC180" s="1838" t="s">
        <v>8250</v>
      </c>
      <c r="CD180" s="1837"/>
      <c r="CE180" s="1838"/>
      <c r="CF180" s="1839"/>
      <c r="CG180" s="1840"/>
      <c r="CH180" s="1837"/>
      <c r="CI180" s="1838"/>
      <c r="CJ180" s="1837"/>
      <c r="CK180" s="1838"/>
      <c r="CL180" s="1839"/>
      <c r="CM180" s="1840"/>
      <c r="CN180" s="1837"/>
      <c r="CO180" s="1838"/>
      <c r="CP180" s="1837"/>
      <c r="CQ180" s="1838"/>
      <c r="CR180" s="1839"/>
      <c r="CS180" s="1840"/>
      <c r="CT180" s="1837"/>
      <c r="CU180" s="1838"/>
      <c r="CV180" s="1837"/>
      <c r="CW180" s="1838"/>
      <c r="CX180" s="1839"/>
      <c r="CY180" s="1840"/>
      <c r="CZ180" s="1837"/>
      <c r="DA180" s="1838"/>
      <c r="DB180" s="1837"/>
      <c r="DC180" s="1838"/>
      <c r="DD180" s="1839"/>
      <c r="DE180" s="1840"/>
      <c r="DF180" s="1837"/>
      <c r="DG180" s="1838"/>
      <c r="DH180" s="1837"/>
      <c r="DI180" s="1838"/>
      <c r="DJ180" s="1839"/>
      <c r="DK180" s="1840"/>
      <c r="DL180" s="1837"/>
      <c r="DM180" s="1838"/>
      <c r="DN180" s="1837"/>
      <c r="DO180" s="1838"/>
      <c r="DP180" s="1837"/>
      <c r="DQ180" s="1853"/>
      <c r="DR180" s="1837"/>
      <c r="DS180" s="1838"/>
      <c r="DT180" s="1842"/>
      <c r="DU180" s="1837"/>
      <c r="DV180" s="1839"/>
      <c r="DW180" s="1840"/>
      <c r="DX180" s="1837"/>
      <c r="DY180" s="1838"/>
      <c r="DZ180" s="1837"/>
      <c r="EA180" s="1838"/>
      <c r="EB180" s="1839"/>
      <c r="EC180" s="1840"/>
      <c r="ED180" s="1837"/>
      <c r="EE180" s="1838"/>
      <c r="EF180" s="1837"/>
      <c r="EG180" s="1838"/>
      <c r="EH180" s="1839"/>
      <c r="EI180" s="1840"/>
      <c r="EJ180" s="1837"/>
      <c r="EK180" s="1838"/>
      <c r="EL180" s="1837"/>
      <c r="EM180" s="1838"/>
      <c r="EN180" s="1839"/>
      <c r="EO180" s="1840"/>
      <c r="EP180" s="1837"/>
      <c r="EQ180" s="1838"/>
      <c r="ER180" s="1837"/>
      <c r="ES180" s="1838"/>
      <c r="ET180" s="1839"/>
      <c r="EU180" s="1840"/>
      <c r="EV180" s="1837"/>
      <c r="EW180" s="1838"/>
      <c r="EX180" s="1837"/>
      <c r="EY180" s="1838"/>
      <c r="EZ180" s="1839"/>
      <c r="FA180" s="1840"/>
      <c r="FB180" s="1837"/>
      <c r="FC180" s="1838"/>
      <c r="FD180" s="1837"/>
      <c r="FE180" s="1838"/>
      <c r="FF180" s="1839"/>
      <c r="FG180" s="1840"/>
      <c r="FH180" s="1837"/>
      <c r="FI180" s="1838"/>
      <c r="FJ180" s="1837"/>
      <c r="FK180" s="1838"/>
      <c r="FL180" s="1839"/>
      <c r="FM180" s="1840"/>
      <c r="FN180" s="1837"/>
      <c r="FO180" s="1838"/>
      <c r="FP180" s="1837"/>
      <c r="FQ180" s="1838"/>
      <c r="FR180" s="1839"/>
      <c r="FS180" s="1840"/>
      <c r="FT180" s="1837"/>
      <c r="FU180" s="1838"/>
      <c r="FV180" s="1837"/>
      <c r="FW180" s="1838"/>
      <c r="FX180" s="1839"/>
      <c r="FY180" s="1840"/>
      <c r="FZ180" s="1837"/>
      <c r="GA180" s="1838"/>
      <c r="GB180" s="1837"/>
      <c r="GC180" s="1838"/>
      <c r="GD180" s="1839"/>
      <c r="GE180" s="1840"/>
      <c r="GF180" s="1837"/>
      <c r="GG180" s="1838"/>
      <c r="GH180" s="1837"/>
      <c r="GI180" s="1838"/>
      <c r="GJ180" s="1839"/>
      <c r="GK180" s="1840"/>
      <c r="GL180" s="1837"/>
      <c r="GM180" s="1838"/>
      <c r="GN180" s="1837"/>
      <c r="GO180" s="1838"/>
      <c r="GP180" s="1839"/>
    </row>
    <row r="181" spans="1:198" ht="20.100000000000001" hidden="1" customHeight="1" outlineLevel="1">
      <c r="A181" s="2709"/>
      <c r="B181" s="2612"/>
      <c r="C181" s="1858"/>
      <c r="D181" s="2614" t="str">
        <f>実績!C1268&amp;"("&amp;SUBSTITUTE(実績!R1268&amp;")","株式会社 ","")</f>
        <v>正木眼科(有限会社 重原建築設計事務所)</v>
      </c>
      <c r="E181" s="2617"/>
      <c r="F181" s="2617"/>
      <c r="G181" s="2617"/>
      <c r="H181" s="2617"/>
      <c r="I181" s="2617"/>
      <c r="J181" s="2617"/>
      <c r="K181" s="2617"/>
      <c r="L181" s="2617"/>
      <c r="M181" s="2617"/>
      <c r="N181" s="2617"/>
      <c r="O181" s="2617"/>
      <c r="P181" s="2617"/>
      <c r="Q181" s="2618"/>
      <c r="R181" s="1970"/>
      <c r="S181" s="1837"/>
      <c r="T181" s="1837"/>
      <c r="U181" s="1838"/>
      <c r="V181" s="1837"/>
      <c r="W181" s="1838"/>
      <c r="X181" s="1839"/>
      <c r="Y181" s="1837"/>
      <c r="Z181" s="1837"/>
      <c r="AA181" s="1838"/>
      <c r="AB181" s="1837"/>
      <c r="AC181" s="1838"/>
      <c r="AD181" s="1837"/>
      <c r="AE181" s="1840"/>
      <c r="AF181" s="1837"/>
      <c r="AG181" s="1838"/>
      <c r="AH181" s="1837"/>
      <c r="AI181" s="1838"/>
      <c r="AJ181" s="1839"/>
      <c r="AK181" s="1837"/>
      <c r="AL181" s="1837"/>
      <c r="AM181" s="1838"/>
      <c r="AN181" s="1837"/>
      <c r="AO181" s="1838"/>
      <c r="AP181" s="1837"/>
      <c r="AQ181" s="1841"/>
      <c r="AR181" s="1837"/>
      <c r="AS181" s="1838"/>
      <c r="AT181" s="1837"/>
      <c r="AU181" s="1838"/>
      <c r="AV181" s="1839"/>
      <c r="AW181" s="1840"/>
      <c r="AX181" s="1837"/>
      <c r="AY181" s="1838"/>
      <c r="AZ181" s="1837"/>
      <c r="BA181" s="1838"/>
      <c r="BB181" s="1839"/>
      <c r="BC181" s="1837"/>
      <c r="BD181" s="1837"/>
      <c r="BE181" s="1838"/>
      <c r="BF181" s="1837"/>
      <c r="BG181" s="1838"/>
      <c r="BH181" s="1837"/>
      <c r="BI181" s="1840"/>
      <c r="BJ181" s="1837"/>
      <c r="BK181" s="1838"/>
      <c r="BL181" s="1837"/>
      <c r="BM181" s="1838"/>
      <c r="BN181" s="1839"/>
      <c r="BO181" s="1840"/>
      <c r="BP181" s="1837"/>
      <c r="BQ181" s="1838"/>
      <c r="BR181" s="1837"/>
      <c r="BS181" s="1838"/>
      <c r="BT181" s="1839"/>
      <c r="BU181" s="1840"/>
      <c r="BV181" s="1837"/>
      <c r="BW181" s="1838"/>
      <c r="BX181" s="1837"/>
      <c r="BY181" s="1838"/>
      <c r="BZ181" s="1839"/>
      <c r="CA181" s="1840"/>
      <c r="CB181" s="1837"/>
      <c r="CC181" s="1838" t="s">
        <v>10236</v>
      </c>
      <c r="CD181" s="1837"/>
      <c r="CE181" s="1838"/>
      <c r="CF181" s="1839"/>
      <c r="CG181" s="1840"/>
      <c r="CH181" s="1837"/>
      <c r="CI181" s="1838"/>
      <c r="CJ181" s="1837"/>
      <c r="CK181" s="1838"/>
      <c r="CL181" s="1839"/>
      <c r="CM181" s="1840"/>
      <c r="CN181" s="1837"/>
      <c r="CO181" s="1838"/>
      <c r="CP181" s="1837"/>
      <c r="CQ181" s="1838"/>
      <c r="CR181" s="1839"/>
      <c r="CS181" s="1840"/>
      <c r="CT181" s="1837"/>
      <c r="CU181" s="1838"/>
      <c r="CV181" s="1837"/>
      <c r="CW181" s="1838"/>
      <c r="CX181" s="1839"/>
      <c r="CY181" s="1840"/>
      <c r="CZ181" s="1837"/>
      <c r="DA181" s="1838"/>
      <c r="DB181" s="1837"/>
      <c r="DC181" s="1838"/>
      <c r="DD181" s="1839"/>
      <c r="DE181" s="1840"/>
      <c r="DF181" s="1837"/>
      <c r="DG181" s="1838"/>
      <c r="DH181" s="1837"/>
      <c r="DI181" s="1838"/>
      <c r="DJ181" s="1839"/>
      <c r="DK181" s="1840"/>
      <c r="DL181" s="1837"/>
      <c r="DM181" s="1838"/>
      <c r="DN181" s="1837"/>
      <c r="DO181" s="1838"/>
      <c r="DP181" s="1837"/>
      <c r="DQ181" s="1853"/>
      <c r="DR181" s="1837"/>
      <c r="DS181" s="1838"/>
      <c r="DT181" s="1842"/>
      <c r="DU181" s="1837"/>
      <c r="DV181" s="1839"/>
      <c r="DW181" s="1840"/>
      <c r="DX181" s="1837"/>
      <c r="DY181" s="1838"/>
      <c r="DZ181" s="1837"/>
      <c r="EA181" s="1838"/>
      <c r="EB181" s="1839"/>
      <c r="EC181" s="1840"/>
      <c r="ED181" s="1837"/>
      <c r="EE181" s="1838"/>
      <c r="EF181" s="1837"/>
      <c r="EG181" s="1838"/>
      <c r="EH181" s="1839"/>
      <c r="EI181" s="1840"/>
      <c r="EJ181" s="1837"/>
      <c r="EK181" s="1838"/>
      <c r="EL181" s="1837"/>
      <c r="EM181" s="1838"/>
      <c r="EN181" s="1839"/>
      <c r="EO181" s="1840"/>
      <c r="EP181" s="1837"/>
      <c r="EQ181" s="1838"/>
      <c r="ER181" s="1837"/>
      <c r="ES181" s="1838"/>
      <c r="ET181" s="1839"/>
      <c r="EU181" s="1840"/>
      <c r="EV181" s="1837"/>
      <c r="EW181" s="1838"/>
      <c r="EX181" s="1837"/>
      <c r="EY181" s="1838"/>
      <c r="EZ181" s="1839"/>
      <c r="FA181" s="1840"/>
      <c r="FB181" s="1837"/>
      <c r="FC181" s="1838"/>
      <c r="FD181" s="1837"/>
      <c r="FE181" s="1838"/>
      <c r="FF181" s="1839"/>
      <c r="FG181" s="1840"/>
      <c r="FH181" s="1837"/>
      <c r="FI181" s="1838"/>
      <c r="FJ181" s="1837"/>
      <c r="FK181" s="1838"/>
      <c r="FL181" s="1839"/>
      <c r="FM181" s="1840"/>
      <c r="FN181" s="1837"/>
      <c r="FO181" s="1838"/>
      <c r="FP181" s="1837"/>
      <c r="FQ181" s="1838"/>
      <c r="FR181" s="1839"/>
      <c r="FS181" s="1840"/>
      <c r="FT181" s="1837"/>
      <c r="FU181" s="1838"/>
      <c r="FV181" s="1837"/>
      <c r="FW181" s="1838"/>
      <c r="FX181" s="1839"/>
      <c r="FY181" s="1840"/>
      <c r="FZ181" s="1837"/>
      <c r="GA181" s="1838"/>
      <c r="GB181" s="1837"/>
      <c r="GC181" s="1838"/>
      <c r="GD181" s="1839"/>
      <c r="GE181" s="1840"/>
      <c r="GF181" s="1837"/>
      <c r="GG181" s="1838"/>
      <c r="GH181" s="1837"/>
      <c r="GI181" s="1838"/>
      <c r="GJ181" s="1839"/>
      <c r="GK181" s="1840"/>
      <c r="GL181" s="1837"/>
      <c r="GM181" s="1838"/>
      <c r="GN181" s="1837"/>
      <c r="GO181" s="1838"/>
      <c r="GP181" s="1839"/>
    </row>
    <row r="182" spans="1:198" ht="20.100000000000001" hidden="1" customHeight="1" outlineLevel="1">
      <c r="A182" s="2709"/>
      <c r="B182" s="2612"/>
      <c r="C182" s="1858"/>
      <c r="D182" s="2614" t="str">
        <f>実績!C1253&amp;"("&amp;SUBSTITUTE(実績!W1253&amp;")","株式会社 ","")</f>
        <v>㈱堀内機械工場(横河システム建築)</v>
      </c>
      <c r="E182" s="2617"/>
      <c r="F182" s="2617"/>
      <c r="G182" s="2617"/>
      <c r="H182" s="2617"/>
      <c r="I182" s="2617"/>
      <c r="J182" s="2617"/>
      <c r="K182" s="2617"/>
      <c r="L182" s="2617"/>
      <c r="M182" s="2617"/>
      <c r="N182" s="2617"/>
      <c r="O182" s="2617"/>
      <c r="P182" s="2617"/>
      <c r="Q182" s="2618"/>
      <c r="R182" s="1970"/>
      <c r="S182" s="1837"/>
      <c r="T182" s="1837"/>
      <c r="U182" s="1838"/>
      <c r="V182" s="1837"/>
      <c r="W182" s="1838"/>
      <c r="X182" s="1839"/>
      <c r="Y182" s="1837"/>
      <c r="Z182" s="1837"/>
      <c r="AA182" s="1838"/>
      <c r="AB182" s="1837"/>
      <c r="AC182" s="1838"/>
      <c r="AD182" s="1837"/>
      <c r="AE182" s="1840"/>
      <c r="AF182" s="1837"/>
      <c r="AG182" s="1838"/>
      <c r="AH182" s="1837"/>
      <c r="AI182" s="1838"/>
      <c r="AJ182" s="1839"/>
      <c r="AK182" s="1837"/>
      <c r="AL182" s="1837"/>
      <c r="AM182" s="1838"/>
      <c r="AN182" s="1837"/>
      <c r="AO182" s="1838"/>
      <c r="AP182" s="1837"/>
      <c r="AQ182" s="1841"/>
      <c r="AR182" s="1837"/>
      <c r="AS182" s="1838"/>
      <c r="AT182" s="1837"/>
      <c r="AU182" s="1838" t="s">
        <v>8352</v>
      </c>
      <c r="AV182" s="1839"/>
      <c r="AW182" s="1840"/>
      <c r="AX182" s="1837"/>
      <c r="AY182" s="1838"/>
      <c r="AZ182" s="1837"/>
      <c r="BA182" s="1838"/>
      <c r="BB182" s="1839"/>
      <c r="BC182" s="1837"/>
      <c r="BD182" s="1837"/>
      <c r="BE182" s="1838"/>
      <c r="BF182" s="1837"/>
      <c r="BG182" s="1838"/>
      <c r="BH182" s="1837"/>
      <c r="BI182" s="1840"/>
      <c r="BJ182" s="1837"/>
      <c r="BK182" s="1838"/>
      <c r="BL182" s="1837"/>
      <c r="BM182" s="1838"/>
      <c r="BN182" s="1839"/>
      <c r="BO182" s="1840"/>
      <c r="BP182" s="1837"/>
      <c r="BQ182" s="1838"/>
      <c r="BR182" s="1842"/>
      <c r="BS182" s="1838"/>
      <c r="BT182" s="1839"/>
      <c r="BU182" s="1840"/>
      <c r="BV182" s="1837"/>
      <c r="BW182" s="1838"/>
      <c r="BX182" s="1837"/>
      <c r="BY182" s="1838"/>
      <c r="BZ182" s="1839"/>
      <c r="CA182" s="1840"/>
      <c r="CB182" s="1837"/>
      <c r="CC182" s="1838" t="s">
        <v>10244</v>
      </c>
      <c r="CD182" s="1837"/>
      <c r="CE182" s="1838"/>
      <c r="CF182" s="1839"/>
      <c r="CG182" s="1840"/>
      <c r="CH182" s="1837"/>
      <c r="CI182" s="1838"/>
      <c r="CJ182" s="1837"/>
      <c r="CK182" s="1838"/>
      <c r="CL182" s="1839"/>
      <c r="CM182" s="1840"/>
      <c r="CN182" s="1837"/>
      <c r="CO182" s="1838"/>
      <c r="CP182" s="1837"/>
      <c r="CQ182" s="1838"/>
      <c r="CR182" s="1839"/>
      <c r="CS182" s="1840" t="s">
        <v>9980</v>
      </c>
      <c r="CT182" s="1837"/>
      <c r="CU182" s="1838"/>
      <c r="CV182" s="1837"/>
      <c r="CW182" s="1838"/>
      <c r="CX182" s="1839"/>
      <c r="CY182" s="1840"/>
      <c r="CZ182" s="1837"/>
      <c r="DA182" s="1838"/>
      <c r="DB182" s="1837"/>
      <c r="DC182" s="1838"/>
      <c r="DD182" s="1839"/>
      <c r="DE182" s="1840"/>
      <c r="DF182" s="1837"/>
      <c r="DG182" s="1838"/>
      <c r="DH182" s="1837"/>
      <c r="DI182" s="1838"/>
      <c r="DJ182" s="1839"/>
      <c r="DK182" s="1840"/>
      <c r="DL182" s="1837"/>
      <c r="DM182" s="1838"/>
      <c r="DN182" s="1837"/>
      <c r="DO182" s="1838"/>
      <c r="DP182" s="1837"/>
      <c r="DQ182" s="1853"/>
      <c r="DR182" s="1837"/>
      <c r="DS182" s="1838"/>
      <c r="DT182" s="1842"/>
      <c r="DU182" s="1837"/>
      <c r="DV182" s="1839"/>
      <c r="DW182" s="1840"/>
      <c r="DX182" s="1837"/>
      <c r="DY182" s="1838"/>
      <c r="DZ182" s="1837"/>
      <c r="EA182" s="1838"/>
      <c r="EB182" s="1839"/>
      <c r="EC182" s="1840"/>
      <c r="ED182" s="1837"/>
      <c r="EE182" s="1838"/>
      <c r="EF182" s="1837"/>
      <c r="EG182" s="1838"/>
      <c r="EH182" s="1839"/>
      <c r="EI182" s="1840"/>
      <c r="EJ182" s="1837"/>
      <c r="EK182" s="1838"/>
      <c r="EL182" s="1837"/>
      <c r="EM182" s="1838"/>
      <c r="EN182" s="1839"/>
      <c r="EO182" s="1840"/>
      <c r="EP182" s="1837"/>
      <c r="EQ182" s="1838"/>
      <c r="ER182" s="1837"/>
      <c r="ES182" s="1838"/>
      <c r="ET182" s="1839"/>
      <c r="EU182" s="1840"/>
      <c r="EV182" s="1837"/>
      <c r="EW182" s="1838"/>
      <c r="EX182" s="1837"/>
      <c r="EY182" s="1838"/>
      <c r="EZ182" s="1839"/>
      <c r="FA182" s="1840"/>
      <c r="FB182" s="1837"/>
      <c r="FC182" s="1838"/>
      <c r="FD182" s="1837"/>
      <c r="FE182" s="1838"/>
      <c r="FF182" s="1839"/>
      <c r="FG182" s="1840"/>
      <c r="FH182" s="1837"/>
      <c r="FI182" s="1838"/>
      <c r="FJ182" s="1837"/>
      <c r="FK182" s="1838"/>
      <c r="FL182" s="1839"/>
      <c r="FM182" s="1840"/>
      <c r="FN182" s="1837"/>
      <c r="FO182" s="1838"/>
      <c r="FP182" s="1837"/>
      <c r="FQ182" s="1838"/>
      <c r="FR182" s="1839"/>
      <c r="FS182" s="1840"/>
      <c r="FT182" s="1837"/>
      <c r="FU182" s="1838"/>
      <c r="FV182" s="1837"/>
      <c r="FW182" s="1838"/>
      <c r="FX182" s="1839"/>
      <c r="FY182" s="1840"/>
      <c r="FZ182" s="1837"/>
      <c r="GA182" s="1838"/>
      <c r="GB182" s="1837"/>
      <c r="GC182" s="1838"/>
      <c r="GD182" s="1839"/>
      <c r="GE182" s="1840"/>
      <c r="GF182" s="1837"/>
      <c r="GG182" s="1838"/>
      <c r="GH182" s="1837"/>
      <c r="GI182" s="1838"/>
      <c r="GJ182" s="1839"/>
      <c r="GK182" s="1840"/>
      <c r="GL182" s="1837"/>
      <c r="GM182" s="1838"/>
      <c r="GN182" s="1837"/>
      <c r="GO182" s="1838"/>
      <c r="GP182" s="1839"/>
    </row>
    <row r="183" spans="1:198" ht="20.100000000000001" hidden="1" customHeight="1" outlineLevel="1" collapsed="1">
      <c r="A183" s="2709"/>
      <c r="B183" s="2612"/>
      <c r="C183" s="1319" t="s">
        <v>10328</v>
      </c>
      <c r="D183" s="2614" t="str">
        <f>実績!C1269&amp;"("&amp;SUBSTITUTE(実績!R1269&amp;")"," 株式会社","")</f>
        <v>オートバックス三原(新設計コンサルタンツ)</v>
      </c>
      <c r="E183" s="2617"/>
      <c r="F183" s="2617"/>
      <c r="G183" s="2617"/>
      <c r="H183" s="2617"/>
      <c r="I183" s="2617"/>
      <c r="J183" s="2617"/>
      <c r="K183" s="2617"/>
      <c r="L183" s="2617"/>
      <c r="M183" s="2617"/>
      <c r="N183" s="2617"/>
      <c r="O183" s="2617"/>
      <c r="P183" s="2617"/>
      <c r="Q183" s="2618"/>
      <c r="R183" s="1970"/>
      <c r="S183" s="1837"/>
      <c r="T183" s="1837"/>
      <c r="U183" s="1838"/>
      <c r="V183" s="1837"/>
      <c r="W183" s="1838"/>
      <c r="X183" s="1839"/>
      <c r="Y183" s="1837"/>
      <c r="Z183" s="1837"/>
      <c r="AA183" s="1838"/>
      <c r="AB183" s="1837"/>
      <c r="AC183" s="1838"/>
      <c r="AD183" s="1837"/>
      <c r="AE183" s="1840"/>
      <c r="AF183" s="1837"/>
      <c r="AG183" s="1838"/>
      <c r="AH183" s="1837"/>
      <c r="AI183" s="1838"/>
      <c r="AJ183" s="1839"/>
      <c r="AK183" s="1837"/>
      <c r="AL183" s="1837"/>
      <c r="AM183" s="1838"/>
      <c r="AN183" s="1837"/>
      <c r="AO183" s="1838"/>
      <c r="AP183" s="1837"/>
      <c r="AQ183" s="1841"/>
      <c r="AR183" s="1837"/>
      <c r="AS183" s="1838"/>
      <c r="AT183" s="1837"/>
      <c r="AU183" s="1838"/>
      <c r="AV183" s="1839"/>
      <c r="AW183" s="1840"/>
      <c r="AX183" s="1837"/>
      <c r="AY183" s="1838"/>
      <c r="AZ183" s="1837"/>
      <c r="BA183" s="1838"/>
      <c r="BB183" s="1839"/>
      <c r="BC183" s="1837"/>
      <c r="BD183" s="1837"/>
      <c r="BE183" s="1838"/>
      <c r="BF183" s="1837"/>
      <c r="BG183" s="1838"/>
      <c r="BH183" s="1837"/>
      <c r="BI183" s="1840"/>
      <c r="BJ183" s="1837"/>
      <c r="BK183" s="1838"/>
      <c r="BL183" s="1837"/>
      <c r="BM183" s="1838"/>
      <c r="BN183" s="1839"/>
      <c r="BO183" s="1840"/>
      <c r="BP183" s="1837"/>
      <c r="BQ183" s="1838"/>
      <c r="BR183" s="1837"/>
      <c r="BS183" s="1838"/>
      <c r="BT183" s="1839"/>
      <c r="BU183" s="1840"/>
      <c r="BV183" s="1837"/>
      <c r="BW183" s="1838"/>
      <c r="BX183" s="1837"/>
      <c r="BY183" s="1838"/>
      <c r="BZ183" s="1839"/>
      <c r="CA183" s="1840"/>
      <c r="CB183" s="1837"/>
      <c r="CC183" s="1838" t="s">
        <v>10318</v>
      </c>
      <c r="CD183" s="1837"/>
      <c r="CE183" s="1838"/>
      <c r="CF183" s="1839"/>
      <c r="CG183" s="1840"/>
      <c r="CH183" s="1837"/>
      <c r="CI183" s="1838"/>
      <c r="CJ183" s="1837"/>
      <c r="CK183" s="1838"/>
      <c r="CL183" s="1839"/>
      <c r="CM183" s="1840"/>
      <c r="CN183" s="1837"/>
      <c r="CO183" s="1838"/>
      <c r="CP183" s="1837"/>
      <c r="CQ183" s="1838"/>
      <c r="CR183" s="1839"/>
      <c r="CS183" s="1840"/>
      <c r="CT183" s="1837"/>
      <c r="CU183" s="1838"/>
      <c r="CV183" s="1837"/>
      <c r="CW183" s="1838"/>
      <c r="CX183" s="1839"/>
      <c r="CY183" s="1840"/>
      <c r="CZ183" s="1837"/>
      <c r="DA183" s="1838"/>
      <c r="DB183" s="1837"/>
      <c r="DC183" s="1838"/>
      <c r="DD183" s="1839"/>
      <c r="DE183" s="1840"/>
      <c r="DF183" s="1837"/>
      <c r="DG183" s="1838"/>
      <c r="DH183" s="1837"/>
      <c r="DI183" s="1838"/>
      <c r="DJ183" s="1839"/>
      <c r="DK183" s="1840"/>
      <c r="DL183" s="1837"/>
      <c r="DM183" s="1838"/>
      <c r="DN183" s="1837"/>
      <c r="DO183" s="1838"/>
      <c r="DP183" s="1837"/>
      <c r="DQ183" s="1853"/>
      <c r="DR183" s="1837"/>
      <c r="DS183" s="1838"/>
      <c r="DT183" s="1842"/>
      <c r="DU183" s="1837"/>
      <c r="DV183" s="1839"/>
      <c r="DW183" s="1840"/>
      <c r="DX183" s="1837"/>
      <c r="DY183" s="1838"/>
      <c r="DZ183" s="1837"/>
      <c r="EA183" s="1838"/>
      <c r="EB183" s="1839"/>
      <c r="EC183" s="1840"/>
      <c r="ED183" s="1837"/>
      <c r="EE183" s="1838"/>
      <c r="EF183" s="1837"/>
      <c r="EG183" s="1838"/>
      <c r="EH183" s="1839"/>
      <c r="EI183" s="1840"/>
      <c r="EJ183" s="1837"/>
      <c r="EK183" s="1838"/>
      <c r="EL183" s="1837"/>
      <c r="EM183" s="1838"/>
      <c r="EN183" s="1839"/>
      <c r="EO183" s="1840"/>
      <c r="EP183" s="1837"/>
      <c r="EQ183" s="1838"/>
      <c r="ER183" s="1837"/>
      <c r="ES183" s="1838"/>
      <c r="ET183" s="1839"/>
      <c r="EU183" s="1840"/>
      <c r="EV183" s="1837"/>
      <c r="EW183" s="1838"/>
      <c r="EX183" s="1837"/>
      <c r="EY183" s="1838"/>
      <c r="EZ183" s="1839"/>
      <c r="FA183" s="1840"/>
      <c r="FB183" s="1837"/>
      <c r="FC183" s="1838"/>
      <c r="FD183" s="1837"/>
      <c r="FE183" s="1838"/>
      <c r="FF183" s="1839"/>
      <c r="FG183" s="1840"/>
      <c r="FH183" s="1837"/>
      <c r="FI183" s="1838"/>
      <c r="FJ183" s="1837"/>
      <c r="FK183" s="1838"/>
      <c r="FL183" s="1839"/>
      <c r="FM183" s="1840"/>
      <c r="FN183" s="1837"/>
      <c r="FO183" s="1838"/>
      <c r="FP183" s="1837"/>
      <c r="FQ183" s="1838"/>
      <c r="FR183" s="1839"/>
      <c r="FS183" s="1840"/>
      <c r="FT183" s="1837"/>
      <c r="FU183" s="1838"/>
      <c r="FV183" s="1837"/>
      <c r="FW183" s="1838"/>
      <c r="FX183" s="1839"/>
      <c r="FY183" s="1840"/>
      <c r="FZ183" s="1837"/>
      <c r="GA183" s="1838"/>
      <c r="GB183" s="1837"/>
      <c r="GC183" s="1838"/>
      <c r="GD183" s="1839"/>
      <c r="GE183" s="1840"/>
      <c r="GF183" s="1837"/>
      <c r="GG183" s="1838"/>
      <c r="GH183" s="1837"/>
      <c r="GI183" s="1838"/>
      <c r="GJ183" s="1839"/>
      <c r="GK183" s="1840"/>
      <c r="GL183" s="1837"/>
      <c r="GM183" s="1838"/>
      <c r="GN183" s="1837"/>
      <c r="GO183" s="1838"/>
      <c r="GP183" s="1839"/>
    </row>
    <row r="184" spans="1:198" ht="20.100000000000001" hidden="1" customHeight="1" outlineLevel="1">
      <c r="A184" s="2709"/>
      <c r="B184" s="2612"/>
      <c r="C184" s="1858"/>
      <c r="D184" s="2614" t="str">
        <f>実績!C1244&amp;"("&amp;SUBSTITUTE(実績!R1244&amp;")","株式会社 ","")</f>
        <v>カインズ羽生(伊藤建築設計事務所)</v>
      </c>
      <c r="E184" s="2617"/>
      <c r="F184" s="2617"/>
      <c r="G184" s="2617"/>
      <c r="H184" s="2617"/>
      <c r="I184" s="2617"/>
      <c r="J184" s="2617"/>
      <c r="K184" s="2617"/>
      <c r="L184" s="2617"/>
      <c r="M184" s="2617"/>
      <c r="N184" s="2617"/>
      <c r="O184" s="2617"/>
      <c r="P184" s="2617"/>
      <c r="Q184" s="2618"/>
      <c r="R184" s="1970"/>
      <c r="S184" s="1837"/>
      <c r="T184" s="1837"/>
      <c r="U184" s="1837"/>
      <c r="V184" s="1837"/>
      <c r="W184" s="1837"/>
      <c r="X184" s="1837"/>
      <c r="Y184" s="1837"/>
      <c r="Z184" s="1837"/>
      <c r="AA184" s="1837"/>
      <c r="AB184" s="1837"/>
      <c r="AC184" s="1837"/>
      <c r="AD184" s="1837"/>
      <c r="AE184" s="1837"/>
      <c r="AF184" s="1837"/>
      <c r="AG184" s="1837"/>
      <c r="AH184" s="1837"/>
      <c r="AI184" s="1837"/>
      <c r="AJ184" s="1837"/>
      <c r="AK184" s="1837"/>
      <c r="AL184" s="1837"/>
      <c r="AM184" s="1837"/>
      <c r="AN184" s="1837"/>
      <c r="AO184" s="1837"/>
      <c r="AP184" s="1837"/>
      <c r="AQ184" s="1837"/>
      <c r="AR184" s="1837"/>
      <c r="AS184" s="1837"/>
      <c r="AT184" s="1837"/>
      <c r="AU184" s="1837"/>
      <c r="AV184" s="1837"/>
      <c r="AW184" s="1837"/>
      <c r="AX184" s="1837"/>
      <c r="AY184" s="1837"/>
      <c r="AZ184" s="1837"/>
      <c r="BA184" s="1837"/>
      <c r="BB184" s="1837"/>
      <c r="BC184" s="1837"/>
      <c r="BD184" s="1837"/>
      <c r="BE184" s="1837"/>
      <c r="BF184" s="1837"/>
      <c r="BG184" s="1837"/>
      <c r="BH184" s="1837"/>
      <c r="BI184" s="1840"/>
      <c r="BJ184" s="1837"/>
      <c r="BK184" s="1838"/>
      <c r="BL184" s="1837"/>
      <c r="BM184" s="1838"/>
      <c r="BN184" s="1839"/>
      <c r="BO184" s="1840"/>
      <c r="BP184" s="1837"/>
      <c r="BQ184" s="1838"/>
      <c r="BR184" s="1860"/>
      <c r="BS184" s="1838"/>
      <c r="BT184" s="1839"/>
      <c r="BU184" s="1840"/>
      <c r="BV184" s="1837" t="s">
        <v>9675</v>
      </c>
      <c r="BW184" s="1838"/>
      <c r="BX184" s="1837"/>
      <c r="BY184" s="1838"/>
      <c r="BZ184" s="1839"/>
      <c r="CA184" s="1840"/>
      <c r="CB184" s="1837"/>
      <c r="CC184" s="1838"/>
      <c r="CD184" s="1837"/>
      <c r="CE184" s="1838"/>
      <c r="CF184" s="1839" t="s">
        <v>9815</v>
      </c>
      <c r="CG184" s="1840"/>
      <c r="CH184" s="1837"/>
      <c r="CI184" s="1838"/>
      <c r="CJ184" s="1837"/>
      <c r="CK184" s="1838"/>
      <c r="CL184" s="1839"/>
      <c r="CM184" s="1840"/>
      <c r="CN184" s="1837"/>
      <c r="CO184" s="1838"/>
      <c r="CP184" s="1837"/>
      <c r="CQ184" s="1838"/>
      <c r="CR184" s="1839"/>
      <c r="CS184" s="1840"/>
      <c r="CT184" s="1837"/>
      <c r="CU184" s="1838"/>
      <c r="CV184" s="1837"/>
      <c r="CW184" s="1838"/>
      <c r="CX184" s="1839"/>
      <c r="CY184" s="1840"/>
      <c r="CZ184" s="1837"/>
      <c r="DA184" s="1838"/>
      <c r="DB184" s="1837"/>
      <c r="DC184" s="1838"/>
      <c r="DD184" s="1839"/>
      <c r="DE184" s="1840"/>
      <c r="DF184" s="1837"/>
      <c r="DG184" s="1838"/>
      <c r="DH184" s="1837"/>
      <c r="DI184" s="1838"/>
      <c r="DJ184" s="1839"/>
      <c r="DK184" s="1840"/>
      <c r="DL184" s="1837"/>
      <c r="DM184" s="1838"/>
      <c r="DN184" s="1837"/>
      <c r="DO184" s="1838"/>
      <c r="DP184" s="1837"/>
      <c r="DQ184" s="1853"/>
      <c r="DR184" s="1837"/>
      <c r="DS184" s="1838"/>
      <c r="DT184" s="1842"/>
      <c r="DU184" s="1837"/>
      <c r="DV184" s="1839"/>
      <c r="DW184" s="1840"/>
      <c r="DX184" s="1837"/>
      <c r="DY184" s="1838"/>
      <c r="DZ184" s="1837"/>
      <c r="EA184" s="1838"/>
      <c r="EB184" s="1839"/>
      <c r="EC184" s="1840"/>
      <c r="ED184" s="1837"/>
      <c r="EE184" s="1838"/>
      <c r="EF184" s="1837"/>
      <c r="EG184" s="1838"/>
      <c r="EH184" s="1839"/>
      <c r="EI184" s="1840"/>
      <c r="EJ184" s="1837"/>
      <c r="EK184" s="1838"/>
      <c r="EL184" s="1837"/>
      <c r="EM184" s="1838"/>
      <c r="EN184" s="1839"/>
      <c r="EO184" s="1840"/>
      <c r="EP184" s="1837"/>
      <c r="EQ184" s="1838"/>
      <c r="ER184" s="1837"/>
      <c r="ES184" s="1838"/>
      <c r="ET184" s="1839"/>
      <c r="EU184" s="1840"/>
      <c r="EV184" s="1837"/>
      <c r="EW184" s="1838"/>
      <c r="EX184" s="1837"/>
      <c r="EY184" s="1838"/>
      <c r="EZ184" s="1839"/>
      <c r="FA184" s="1840"/>
      <c r="FB184" s="1837"/>
      <c r="FC184" s="1838"/>
      <c r="FD184" s="1837"/>
      <c r="FE184" s="1838"/>
      <c r="FF184" s="1839"/>
      <c r="FG184" s="1840"/>
      <c r="FH184" s="1837"/>
      <c r="FI184" s="1838"/>
      <c r="FJ184" s="1837"/>
      <c r="FK184" s="1838"/>
      <c r="FL184" s="1839"/>
      <c r="FM184" s="1840"/>
      <c r="FN184" s="1837"/>
      <c r="FO184" s="1838"/>
      <c r="FP184" s="1837"/>
      <c r="FQ184" s="1838"/>
      <c r="FR184" s="1839"/>
      <c r="FS184" s="1840"/>
      <c r="FT184" s="1837"/>
      <c r="FU184" s="1838"/>
      <c r="FV184" s="1837"/>
      <c r="FW184" s="1838"/>
      <c r="FX184" s="1839"/>
      <c r="FY184" s="1840"/>
      <c r="FZ184" s="1837"/>
      <c r="GA184" s="1838"/>
      <c r="GB184" s="1837"/>
      <c r="GC184" s="1838"/>
      <c r="GD184" s="1839"/>
      <c r="GE184" s="1840"/>
      <c r="GF184" s="1837"/>
      <c r="GG184" s="1838"/>
      <c r="GH184" s="1837"/>
      <c r="GI184" s="1838"/>
      <c r="GJ184" s="1839"/>
      <c r="GK184" s="1840"/>
      <c r="GL184" s="1837"/>
      <c r="GM184" s="1838"/>
      <c r="GN184" s="1837"/>
      <c r="GO184" s="1838"/>
      <c r="GP184" s="1839"/>
    </row>
    <row r="185" spans="1:198" ht="20.100000000000001" hidden="1" customHeight="1" outlineLevel="1" collapsed="1">
      <c r="A185" s="2709"/>
      <c r="B185" s="2612"/>
      <c r="C185" s="1858"/>
      <c r="D185" s="2614" t="str">
        <f>実績!C1264&amp;"("&amp;SUBSTITUTE(実績!W1264&amp;")","株式会社 ","")</f>
        <v>中央物産株式会社 伊勢原LC危険物倉庫(横河システム建築)</v>
      </c>
      <c r="E185" s="2617"/>
      <c r="F185" s="2617"/>
      <c r="G185" s="2617"/>
      <c r="H185" s="2617"/>
      <c r="I185" s="2617"/>
      <c r="J185" s="2617"/>
      <c r="K185" s="2617"/>
      <c r="L185" s="2617"/>
      <c r="M185" s="2617"/>
      <c r="N185" s="2617"/>
      <c r="O185" s="2617"/>
      <c r="P185" s="2617"/>
      <c r="Q185" s="2618"/>
      <c r="R185" s="1970"/>
      <c r="S185" s="1837"/>
      <c r="T185" s="1837"/>
      <c r="U185" s="1838"/>
      <c r="V185" s="1837"/>
      <c r="W185" s="1838"/>
      <c r="X185" s="1839"/>
      <c r="Y185" s="1837"/>
      <c r="Z185" s="1837"/>
      <c r="AA185" s="1838"/>
      <c r="AB185" s="1837"/>
      <c r="AC185" s="1838"/>
      <c r="AD185" s="1837"/>
      <c r="AE185" s="1840"/>
      <c r="AF185" s="1837"/>
      <c r="AG185" s="1838"/>
      <c r="AH185" s="1837"/>
      <c r="AI185" s="1838"/>
      <c r="AJ185" s="1839"/>
      <c r="AK185" s="1837"/>
      <c r="AL185" s="1837"/>
      <c r="AM185" s="1838"/>
      <c r="AN185" s="1837"/>
      <c r="AO185" s="1838"/>
      <c r="AP185" s="1837"/>
      <c r="AQ185" s="1841"/>
      <c r="AR185" s="1837"/>
      <c r="AS185" s="1838"/>
      <c r="AT185" s="1837"/>
      <c r="AU185" s="1838"/>
      <c r="AV185" s="1839"/>
      <c r="AW185" s="1840"/>
      <c r="AX185" s="1837"/>
      <c r="AY185" s="1838"/>
      <c r="AZ185" s="1837"/>
      <c r="BA185" s="1838"/>
      <c r="BB185" s="1839"/>
      <c r="BC185" s="1837"/>
      <c r="BD185" s="1837"/>
      <c r="BE185" s="1838"/>
      <c r="BF185" s="1837"/>
      <c r="BG185" s="1838"/>
      <c r="BH185" s="1837"/>
      <c r="BI185" s="1840"/>
      <c r="BJ185" s="1837"/>
      <c r="BK185" s="1838"/>
      <c r="BL185" s="1837"/>
      <c r="BM185" s="1838"/>
      <c r="BN185" s="1839"/>
      <c r="BO185" s="1840"/>
      <c r="BP185" s="1837"/>
      <c r="BQ185" s="1838"/>
      <c r="BR185" s="1837"/>
      <c r="BS185" s="1838"/>
      <c r="BT185" s="1839"/>
      <c r="BU185" s="1840"/>
      <c r="BV185" s="1837"/>
      <c r="BW185" s="1838"/>
      <c r="BX185" s="1837"/>
      <c r="BY185" s="1838"/>
      <c r="BZ185" s="1839"/>
      <c r="CA185" s="1840"/>
      <c r="CB185" s="1837"/>
      <c r="CC185" s="1838"/>
      <c r="CD185" s="1837"/>
      <c r="CE185" s="1838"/>
      <c r="CF185" s="1839"/>
      <c r="CG185" s="1840"/>
      <c r="CH185" s="1837"/>
      <c r="CI185" s="1838" t="s">
        <v>10246</v>
      </c>
      <c r="CJ185" s="1837"/>
      <c r="CK185" s="1838"/>
      <c r="CL185" s="1839"/>
      <c r="CM185" s="1840"/>
      <c r="CN185" s="1837"/>
      <c r="CO185" s="1838"/>
      <c r="CP185" s="1837"/>
      <c r="CQ185" s="1838"/>
      <c r="CR185" s="1839"/>
      <c r="CS185" s="1840"/>
      <c r="CT185" s="1837"/>
      <c r="CU185" s="1838"/>
      <c r="CV185" s="1837"/>
      <c r="CW185" s="1838"/>
      <c r="CX185" s="1839"/>
      <c r="CY185" s="1840"/>
      <c r="CZ185" s="1837"/>
      <c r="DA185" s="1838"/>
      <c r="DB185" s="1837"/>
      <c r="DC185" s="1838"/>
      <c r="DD185" s="1839"/>
      <c r="DE185" s="1840"/>
      <c r="DF185" s="1837"/>
      <c r="DG185" s="1838"/>
      <c r="DH185" s="1837"/>
      <c r="DI185" s="1838"/>
      <c r="DJ185" s="1839"/>
      <c r="DK185" s="1840"/>
      <c r="DL185" s="1837"/>
      <c r="DM185" s="1838"/>
      <c r="DN185" s="1837"/>
      <c r="DO185" s="1838"/>
      <c r="DP185" s="1837"/>
      <c r="DQ185" s="1853"/>
      <c r="DR185" s="1837"/>
      <c r="DS185" s="1838"/>
      <c r="DT185" s="1842"/>
      <c r="DU185" s="1837"/>
      <c r="DV185" s="1839"/>
      <c r="DW185" s="1840"/>
      <c r="DX185" s="1837"/>
      <c r="DY185" s="1838"/>
      <c r="DZ185" s="1837"/>
      <c r="EA185" s="1838"/>
      <c r="EB185" s="1839"/>
      <c r="EC185" s="1840"/>
      <c r="ED185" s="1837"/>
      <c r="EE185" s="1838"/>
      <c r="EF185" s="1837"/>
      <c r="EG185" s="1838"/>
      <c r="EH185" s="1839"/>
      <c r="EI185" s="1840"/>
      <c r="EJ185" s="1837"/>
      <c r="EK185" s="1838"/>
      <c r="EL185" s="1837"/>
      <c r="EM185" s="1838"/>
      <c r="EN185" s="1839"/>
      <c r="EO185" s="1840"/>
      <c r="EP185" s="1837"/>
      <c r="EQ185" s="1838"/>
      <c r="ER185" s="1837"/>
      <c r="ES185" s="1838"/>
      <c r="ET185" s="1839"/>
      <c r="EU185" s="1840"/>
      <c r="EV185" s="1837"/>
      <c r="EW185" s="1838"/>
      <c r="EX185" s="1837"/>
      <c r="EY185" s="1838"/>
      <c r="EZ185" s="1839"/>
      <c r="FA185" s="1840"/>
      <c r="FB185" s="1837"/>
      <c r="FC185" s="1838"/>
      <c r="FD185" s="1837"/>
      <c r="FE185" s="1838"/>
      <c r="FF185" s="1839"/>
      <c r="FG185" s="1840"/>
      <c r="FH185" s="1837"/>
      <c r="FI185" s="1838"/>
      <c r="FJ185" s="1837"/>
      <c r="FK185" s="1838"/>
      <c r="FL185" s="1839"/>
      <c r="FM185" s="1840"/>
      <c r="FN185" s="1837"/>
      <c r="FO185" s="1838"/>
      <c r="FP185" s="1837"/>
      <c r="FQ185" s="1838"/>
      <c r="FR185" s="1839"/>
      <c r="FS185" s="1840"/>
      <c r="FT185" s="1837"/>
      <c r="FU185" s="1838"/>
      <c r="FV185" s="1837"/>
      <c r="FW185" s="1838"/>
      <c r="FX185" s="1839"/>
      <c r="FY185" s="1840"/>
      <c r="FZ185" s="1837"/>
      <c r="GA185" s="1838"/>
      <c r="GB185" s="1837"/>
      <c r="GC185" s="1838"/>
      <c r="GD185" s="1839"/>
      <c r="GE185" s="1840"/>
      <c r="GF185" s="1837"/>
      <c r="GG185" s="1838"/>
      <c r="GH185" s="1837"/>
      <c r="GI185" s="1838"/>
      <c r="GJ185" s="1839"/>
      <c r="GK185" s="1840"/>
      <c r="GL185" s="1837"/>
      <c r="GM185" s="1838"/>
      <c r="GN185" s="1837"/>
      <c r="GO185" s="1838"/>
      <c r="GP185" s="1839"/>
    </row>
    <row r="186" spans="1:198" ht="20.100000000000001" hidden="1" customHeight="1" outlineLevel="1">
      <c r="A186" s="2709"/>
      <c r="B186" s="2612"/>
      <c r="C186" s="1858"/>
      <c r="D186" s="2614" t="str">
        <f>実績!C1270&amp;"("&amp;SUBSTITUTE(実績!R1270&amp;")","株式会社 ","")</f>
        <v>ユニクロ羽生(環アソシエイツ)</v>
      </c>
      <c r="E186" s="2617"/>
      <c r="F186" s="2617"/>
      <c r="G186" s="2617"/>
      <c r="H186" s="2617"/>
      <c r="I186" s="2617"/>
      <c r="J186" s="2617"/>
      <c r="K186" s="2617"/>
      <c r="L186" s="2617"/>
      <c r="M186" s="2617"/>
      <c r="N186" s="2617"/>
      <c r="O186" s="2617"/>
      <c r="P186" s="2617"/>
      <c r="Q186" s="2618"/>
      <c r="R186" s="1970"/>
      <c r="S186" s="1837"/>
      <c r="T186" s="1837"/>
      <c r="U186" s="1838"/>
      <c r="V186" s="1837"/>
      <c r="W186" s="1838"/>
      <c r="X186" s="1839"/>
      <c r="Y186" s="1837"/>
      <c r="Z186" s="1837"/>
      <c r="AA186" s="1838"/>
      <c r="AB186" s="1837"/>
      <c r="AC186" s="1838"/>
      <c r="AD186" s="1837"/>
      <c r="AE186" s="1840"/>
      <c r="AF186" s="1837"/>
      <c r="AG186" s="1838"/>
      <c r="AH186" s="1837"/>
      <c r="AI186" s="1838"/>
      <c r="AJ186" s="1839"/>
      <c r="AK186" s="1837"/>
      <c r="AL186" s="1837"/>
      <c r="AM186" s="1838"/>
      <c r="AN186" s="1837"/>
      <c r="AO186" s="1838"/>
      <c r="AP186" s="1837"/>
      <c r="AQ186" s="1841"/>
      <c r="AR186" s="1837"/>
      <c r="AS186" s="1838"/>
      <c r="AT186" s="1837"/>
      <c r="AU186" s="1838"/>
      <c r="AV186" s="1839"/>
      <c r="AW186" s="1840"/>
      <c r="AX186" s="1837"/>
      <c r="AY186" s="1838"/>
      <c r="AZ186" s="1837"/>
      <c r="BA186" s="1838"/>
      <c r="BB186" s="1839"/>
      <c r="BC186" s="1837"/>
      <c r="BD186" s="1837"/>
      <c r="BE186" s="1838"/>
      <c r="BF186" s="1837"/>
      <c r="BG186" s="1838"/>
      <c r="BH186" s="1837"/>
      <c r="BI186" s="1840"/>
      <c r="BJ186" s="1837"/>
      <c r="BK186" s="1838"/>
      <c r="BL186" s="1837"/>
      <c r="BM186" s="1838"/>
      <c r="BN186" s="1839"/>
      <c r="BO186" s="1840"/>
      <c r="BP186" s="1837"/>
      <c r="BQ186" s="1838"/>
      <c r="BR186" s="1837"/>
      <c r="BS186" s="1838"/>
      <c r="BT186" s="1839"/>
      <c r="BU186" s="1840"/>
      <c r="BV186" s="1837"/>
      <c r="BW186" s="1838"/>
      <c r="BX186" s="1837"/>
      <c r="BY186" s="1838"/>
      <c r="BZ186" s="1839"/>
      <c r="CA186" s="1840"/>
      <c r="CB186" s="1837"/>
      <c r="CC186" s="1838"/>
      <c r="CD186" s="1837"/>
      <c r="CE186" s="1838"/>
      <c r="CF186" s="1839"/>
      <c r="CG186" s="1840" t="s">
        <v>10283</v>
      </c>
      <c r="CH186" s="1837"/>
      <c r="CI186" s="1838"/>
      <c r="CJ186" s="1837"/>
      <c r="CK186" s="1838"/>
      <c r="CL186" s="1839"/>
      <c r="CM186" s="1840" t="s">
        <v>10284</v>
      </c>
      <c r="CN186" s="1837"/>
      <c r="CO186" s="1838"/>
      <c r="CP186" s="1837"/>
      <c r="CQ186" s="1838"/>
      <c r="CR186" s="1839"/>
      <c r="CS186" s="1840"/>
      <c r="CT186" s="1837"/>
      <c r="CU186" s="1838"/>
      <c r="CV186" s="1837"/>
      <c r="CW186" s="1838"/>
      <c r="CX186" s="1839"/>
      <c r="CY186" s="1840"/>
      <c r="CZ186" s="1837"/>
      <c r="DA186" s="1838"/>
      <c r="DB186" s="1842"/>
      <c r="DC186" s="1838"/>
      <c r="DD186" s="1839"/>
      <c r="DE186" s="1840"/>
      <c r="DF186" s="1837"/>
      <c r="DG186" s="1838"/>
      <c r="DH186" s="1837"/>
      <c r="DI186" s="1838"/>
      <c r="DJ186" s="1844" t="s">
        <v>10285</v>
      </c>
      <c r="DK186" s="1840"/>
      <c r="DL186" s="1837"/>
      <c r="DM186" s="1838"/>
      <c r="DN186" s="1842"/>
      <c r="DO186" s="1838"/>
      <c r="DP186" s="1837"/>
      <c r="DQ186" s="1853"/>
      <c r="DR186" s="1837"/>
      <c r="DS186" s="1838"/>
      <c r="DT186" s="1842"/>
      <c r="DU186" s="1837"/>
      <c r="DV186" s="1839"/>
      <c r="DW186" s="1840"/>
      <c r="DX186" s="1837"/>
      <c r="DY186" s="1838"/>
      <c r="DZ186" s="1842"/>
      <c r="EA186" s="1838"/>
      <c r="EB186" s="1839"/>
      <c r="EC186" s="1840"/>
      <c r="ED186" s="1837"/>
      <c r="EE186" s="1838"/>
      <c r="EF186" s="1842"/>
      <c r="EG186" s="1838"/>
      <c r="EH186" s="1839"/>
      <c r="EI186" s="1840"/>
      <c r="EJ186" s="1837"/>
      <c r="EK186" s="1838"/>
      <c r="EL186" s="1842"/>
      <c r="EM186" s="1838"/>
      <c r="EN186" s="1839"/>
      <c r="EO186" s="1840"/>
      <c r="EP186" s="1837"/>
      <c r="EQ186" s="1838"/>
      <c r="ER186" s="1842"/>
      <c r="ES186" s="1838"/>
      <c r="ET186" s="1839"/>
      <c r="EU186" s="1840"/>
      <c r="EV186" s="1837"/>
      <c r="EW186" s="1838"/>
      <c r="EX186" s="1842"/>
      <c r="EY186" s="1838"/>
      <c r="EZ186" s="1839"/>
      <c r="FA186" s="1840"/>
      <c r="FB186" s="1837"/>
      <c r="FC186" s="1838"/>
      <c r="FD186" s="1842"/>
      <c r="FE186" s="1838"/>
      <c r="FF186" s="1839"/>
      <c r="FG186" s="1840"/>
      <c r="FH186" s="1837"/>
      <c r="FI186" s="1838"/>
      <c r="FJ186" s="1842"/>
      <c r="FK186" s="1838"/>
      <c r="FL186" s="1839"/>
      <c r="FM186" s="1840"/>
      <c r="FN186" s="1837"/>
      <c r="FO186" s="1838"/>
      <c r="FP186" s="1842"/>
      <c r="FQ186" s="1838"/>
      <c r="FR186" s="1839"/>
      <c r="FS186" s="1840"/>
      <c r="FT186" s="1837"/>
      <c r="FU186" s="1838"/>
      <c r="FV186" s="1842"/>
      <c r="FW186" s="1838"/>
      <c r="FX186" s="1839"/>
      <c r="FY186" s="1840"/>
      <c r="FZ186" s="1837"/>
      <c r="GA186" s="1838"/>
      <c r="GB186" s="1842"/>
      <c r="GC186" s="1838"/>
      <c r="GD186" s="1839"/>
      <c r="GE186" s="1840"/>
      <c r="GF186" s="1837"/>
      <c r="GG186" s="1838"/>
      <c r="GH186" s="1842"/>
      <c r="GI186" s="1838"/>
      <c r="GJ186" s="1839"/>
      <c r="GK186" s="1840"/>
      <c r="GL186" s="1837"/>
      <c r="GM186" s="1838"/>
      <c r="GN186" s="1842"/>
      <c r="GO186" s="1838"/>
      <c r="GP186" s="1839"/>
    </row>
    <row r="187" spans="1:198" ht="20.100000000000001" hidden="1" customHeight="1" outlineLevel="1" collapsed="1">
      <c r="A187" s="2709"/>
      <c r="B187" s="2612"/>
      <c r="C187" s="1858"/>
      <c r="D187" s="2614" t="str">
        <f>実績!C1271&amp;"("&amp;SUBSTITUTE(実績!W1271&amp;")","株式会社 ","")</f>
        <v>ながいも・にんにくＣＡ冷蔵貯蔵施設(アスコ建築構造室)</v>
      </c>
      <c r="E187" s="2617"/>
      <c r="F187" s="2617"/>
      <c r="G187" s="2617"/>
      <c r="H187" s="2617"/>
      <c r="I187" s="2617"/>
      <c r="J187" s="2617"/>
      <c r="K187" s="2617"/>
      <c r="L187" s="2617"/>
      <c r="M187" s="2617"/>
      <c r="N187" s="2617"/>
      <c r="O187" s="2617"/>
      <c r="P187" s="2617"/>
      <c r="Q187" s="2618"/>
      <c r="R187" s="1970"/>
      <c r="S187" s="1837"/>
      <c r="T187" s="1837"/>
      <c r="U187" s="1838"/>
      <c r="V187" s="1837"/>
      <c r="W187" s="1838"/>
      <c r="X187" s="1839"/>
      <c r="Y187" s="1837"/>
      <c r="Z187" s="1837"/>
      <c r="AA187" s="1838"/>
      <c r="AB187" s="1837"/>
      <c r="AC187" s="1838"/>
      <c r="AD187" s="1837"/>
      <c r="AE187" s="1840"/>
      <c r="AF187" s="1837"/>
      <c r="AG187" s="1838"/>
      <c r="AH187" s="1837"/>
      <c r="AI187" s="1838"/>
      <c r="AJ187" s="1839"/>
      <c r="AK187" s="1837"/>
      <c r="AL187" s="1837"/>
      <c r="AM187" s="1838"/>
      <c r="AN187" s="1837"/>
      <c r="AO187" s="1838"/>
      <c r="AP187" s="1837"/>
      <c r="AQ187" s="1841"/>
      <c r="AR187" s="1837"/>
      <c r="AS187" s="1838"/>
      <c r="AT187" s="1837"/>
      <c r="AU187" s="1838"/>
      <c r="AV187" s="1839"/>
      <c r="AW187" s="1840"/>
      <c r="AX187" s="1837"/>
      <c r="AY187" s="1838"/>
      <c r="AZ187" s="1837"/>
      <c r="BA187" s="1838"/>
      <c r="BB187" s="1839"/>
      <c r="BC187" s="1837"/>
      <c r="BD187" s="1837"/>
      <c r="BE187" s="1838"/>
      <c r="BF187" s="1837"/>
      <c r="BG187" s="1838"/>
      <c r="BH187" s="1837"/>
      <c r="BI187" s="1840"/>
      <c r="BJ187" s="1837"/>
      <c r="BK187" s="1838"/>
      <c r="BL187" s="1837"/>
      <c r="BM187" s="1838"/>
      <c r="BN187" s="1839"/>
      <c r="BO187" s="1840"/>
      <c r="BP187" s="1837"/>
      <c r="BQ187" s="1838"/>
      <c r="BR187" s="1837"/>
      <c r="BS187" s="1838"/>
      <c r="BT187" s="1839"/>
      <c r="BU187" s="1840"/>
      <c r="BV187" s="1837"/>
      <c r="BW187" s="1838"/>
      <c r="BX187" s="1837"/>
      <c r="BY187" s="1838"/>
      <c r="BZ187" s="1839"/>
      <c r="CA187" s="1840"/>
      <c r="CB187" s="1837"/>
      <c r="CC187" s="1838"/>
      <c r="CD187" s="1837"/>
      <c r="CE187" s="1838"/>
      <c r="CF187" s="1839"/>
      <c r="CG187" s="1840" t="s">
        <v>9291</v>
      </c>
      <c r="CH187" s="1837"/>
      <c r="CI187" s="1838"/>
      <c r="CJ187" s="1837"/>
      <c r="CK187" s="1838"/>
      <c r="CL187" s="1839"/>
      <c r="CM187" s="1840"/>
      <c r="CN187" s="1837"/>
      <c r="CO187" s="1838"/>
      <c r="CP187" s="1837"/>
      <c r="CQ187" s="1838"/>
      <c r="CR187" s="1839"/>
      <c r="CS187" s="1840"/>
      <c r="CT187" s="1837"/>
      <c r="CU187" s="1838"/>
      <c r="CV187" s="1837"/>
      <c r="CW187" s="1838"/>
      <c r="CX187" s="1839"/>
      <c r="CY187" s="1840"/>
      <c r="CZ187" s="1837"/>
      <c r="DA187" s="1838"/>
      <c r="DB187" s="1842"/>
      <c r="DC187" s="1838"/>
      <c r="DD187" s="1839"/>
      <c r="DE187" s="1840"/>
      <c r="DF187" s="1837"/>
      <c r="DG187" s="1838"/>
      <c r="DH187" s="1837"/>
      <c r="DI187" s="1838"/>
      <c r="DJ187" s="1844"/>
      <c r="DK187" s="1840"/>
      <c r="DL187" s="1837"/>
      <c r="DM187" s="1838"/>
      <c r="DN187" s="1842"/>
      <c r="DO187" s="1838"/>
      <c r="DP187" s="1837"/>
      <c r="DQ187" s="1853"/>
      <c r="DR187" s="1837"/>
      <c r="DS187" s="1838"/>
      <c r="DT187" s="1842"/>
      <c r="DU187" s="1837"/>
      <c r="DV187" s="1839"/>
      <c r="DW187" s="1840"/>
      <c r="DX187" s="1837"/>
      <c r="DY187" s="1838"/>
      <c r="DZ187" s="1842"/>
      <c r="EA187" s="1838"/>
      <c r="EB187" s="1839"/>
      <c r="EC187" s="1840"/>
      <c r="ED187" s="1837"/>
      <c r="EE187" s="1838"/>
      <c r="EF187" s="1842"/>
      <c r="EG187" s="1838"/>
      <c r="EH187" s="1839"/>
      <c r="EI187" s="1840"/>
      <c r="EJ187" s="1837"/>
      <c r="EK187" s="1838"/>
      <c r="EL187" s="1842"/>
      <c r="EM187" s="1838"/>
      <c r="EN187" s="1839"/>
      <c r="EO187" s="1840"/>
      <c r="EP187" s="1837"/>
      <c r="EQ187" s="1838"/>
      <c r="ER187" s="1842"/>
      <c r="ES187" s="1838"/>
      <c r="ET187" s="1839"/>
      <c r="EU187" s="1840"/>
      <c r="EV187" s="1837"/>
      <c r="EW187" s="1838"/>
      <c r="EX187" s="1842"/>
      <c r="EY187" s="1838"/>
      <c r="EZ187" s="1839"/>
      <c r="FA187" s="1840"/>
      <c r="FB187" s="1837"/>
      <c r="FC187" s="1838"/>
      <c r="FD187" s="1842"/>
      <c r="FE187" s="1838"/>
      <c r="FF187" s="1839"/>
      <c r="FG187" s="1840"/>
      <c r="FH187" s="1837"/>
      <c r="FI187" s="1838"/>
      <c r="FJ187" s="1842"/>
      <c r="FK187" s="1838"/>
      <c r="FL187" s="1839"/>
      <c r="FM187" s="1840"/>
      <c r="FN187" s="1837"/>
      <c r="FO187" s="1838"/>
      <c r="FP187" s="1842"/>
      <c r="FQ187" s="1838"/>
      <c r="FR187" s="1839"/>
      <c r="FS187" s="1840"/>
      <c r="FT187" s="1837"/>
      <c r="FU187" s="1838"/>
      <c r="FV187" s="1842"/>
      <c r="FW187" s="1838"/>
      <c r="FX187" s="1839"/>
      <c r="FY187" s="1840"/>
      <c r="FZ187" s="1837"/>
      <c r="GA187" s="1838"/>
      <c r="GB187" s="1842"/>
      <c r="GC187" s="1838"/>
      <c r="GD187" s="1839"/>
      <c r="GE187" s="1840"/>
      <c r="GF187" s="1837"/>
      <c r="GG187" s="1838"/>
      <c r="GH187" s="1842"/>
      <c r="GI187" s="1838"/>
      <c r="GJ187" s="1839"/>
      <c r="GK187" s="1840"/>
      <c r="GL187" s="1837"/>
      <c r="GM187" s="1838"/>
      <c r="GN187" s="1842"/>
      <c r="GO187" s="1838"/>
      <c r="GP187" s="1839"/>
    </row>
    <row r="188" spans="1:198" ht="20.100000000000001" hidden="1" customHeight="1" outlineLevel="1">
      <c r="A188" s="2709"/>
      <c r="B188" s="2612"/>
      <c r="C188" s="1858"/>
      <c r="D188" s="2614" t="str">
        <f>実績!C1273&amp;"("&amp;SUBSTITUTE(実績!W1273&amp;")","株式会社 ","")</f>
        <v>グローバルロジスティクス PC棟(シグマ構建)</v>
      </c>
      <c r="E188" s="2617"/>
      <c r="F188" s="2617"/>
      <c r="G188" s="2617"/>
      <c r="H188" s="2617"/>
      <c r="I188" s="2617"/>
      <c r="J188" s="2617"/>
      <c r="K188" s="2617"/>
      <c r="L188" s="2617"/>
      <c r="M188" s="2617"/>
      <c r="N188" s="2617"/>
      <c r="O188" s="2617"/>
      <c r="P188" s="2617"/>
      <c r="Q188" s="2618"/>
      <c r="R188" s="1970"/>
      <c r="S188" s="1837"/>
      <c r="T188" s="1837"/>
      <c r="U188" s="1838"/>
      <c r="V188" s="1837"/>
      <c r="W188" s="1838"/>
      <c r="X188" s="1839"/>
      <c r="Y188" s="1837"/>
      <c r="Z188" s="1837"/>
      <c r="AA188" s="1838"/>
      <c r="AB188" s="1837"/>
      <c r="AC188" s="1838"/>
      <c r="AD188" s="1837"/>
      <c r="AE188" s="1840"/>
      <c r="AF188" s="1837"/>
      <c r="AG188" s="1838"/>
      <c r="AH188" s="1837"/>
      <c r="AI188" s="1838"/>
      <c r="AJ188" s="1839"/>
      <c r="AK188" s="1837"/>
      <c r="AL188" s="1837"/>
      <c r="AM188" s="1838"/>
      <c r="AN188" s="1837"/>
      <c r="AO188" s="1838"/>
      <c r="AP188" s="1837"/>
      <c r="AQ188" s="1841"/>
      <c r="AR188" s="1837"/>
      <c r="AS188" s="1838"/>
      <c r="AT188" s="1837"/>
      <c r="AU188" s="1838"/>
      <c r="AV188" s="1839"/>
      <c r="AW188" s="1840"/>
      <c r="AX188" s="1837"/>
      <c r="AY188" s="1838"/>
      <c r="AZ188" s="1837"/>
      <c r="BA188" s="1838"/>
      <c r="BB188" s="1839"/>
      <c r="BC188" s="1837"/>
      <c r="BD188" s="1837"/>
      <c r="BE188" s="1838"/>
      <c r="BF188" s="1837"/>
      <c r="BG188" s="1838"/>
      <c r="BH188" s="1837"/>
      <c r="BI188" s="1840"/>
      <c r="BJ188" s="1837"/>
      <c r="BK188" s="1838"/>
      <c r="BL188" s="1837"/>
      <c r="BM188" s="1838"/>
      <c r="BN188" s="1839"/>
      <c r="BO188" s="1840"/>
      <c r="BP188" s="1837"/>
      <c r="BQ188" s="1838"/>
      <c r="BR188" s="1837"/>
      <c r="BS188" s="1838"/>
      <c r="BT188" s="1839"/>
      <c r="BU188" s="1840"/>
      <c r="BV188" s="1837"/>
      <c r="BW188" s="1838"/>
      <c r="BX188" s="1837"/>
      <c r="BY188" s="1838"/>
      <c r="BZ188" s="1839"/>
      <c r="CA188" s="1840"/>
      <c r="CB188" s="1837"/>
      <c r="CC188" s="1838"/>
      <c r="CD188" s="1837"/>
      <c r="CE188" s="1838"/>
      <c r="CF188" s="1839"/>
      <c r="CG188" s="1840"/>
      <c r="CH188" s="1837"/>
      <c r="CI188" s="1838"/>
      <c r="CJ188" s="1837"/>
      <c r="CK188" s="1838"/>
      <c r="CL188" s="1839"/>
      <c r="CM188" s="1840"/>
      <c r="CN188" s="1837"/>
      <c r="CO188" s="1838"/>
      <c r="CP188" s="1837"/>
      <c r="CQ188" s="1838"/>
      <c r="CR188" s="1839"/>
      <c r="CS188" s="1840"/>
      <c r="CT188" s="1837"/>
      <c r="CU188" s="1838"/>
      <c r="CV188" s="1837"/>
      <c r="CW188" s="1838"/>
      <c r="CX188" s="1839"/>
      <c r="CY188" s="1840"/>
      <c r="CZ188" s="1837"/>
      <c r="DA188" s="1838"/>
      <c r="DB188" s="1837"/>
      <c r="DC188" s="1838"/>
      <c r="DD188" s="1839"/>
      <c r="DE188" s="1840"/>
      <c r="DF188" s="1837"/>
      <c r="DG188" s="1838"/>
      <c r="DH188" s="1837"/>
      <c r="DI188" s="1838"/>
      <c r="DJ188" s="1844"/>
      <c r="DK188" s="1840"/>
      <c r="DL188" s="1837"/>
      <c r="DM188" s="1838"/>
      <c r="DN188" s="1837"/>
      <c r="DO188" s="1838"/>
      <c r="DP188" s="1837"/>
      <c r="DQ188" s="1853"/>
      <c r="DR188" s="1837"/>
      <c r="DS188" s="1838"/>
      <c r="DT188" s="1842"/>
      <c r="DU188" s="1837"/>
      <c r="DV188" s="1839"/>
      <c r="DW188" s="1840"/>
      <c r="DX188" s="1837"/>
      <c r="DY188" s="1838"/>
      <c r="DZ188" s="1837"/>
      <c r="EA188" s="1838"/>
      <c r="EB188" s="1839"/>
      <c r="EC188" s="1840"/>
      <c r="ED188" s="1837"/>
      <c r="EE188" s="1838"/>
      <c r="EF188" s="1837"/>
      <c r="EG188" s="1838"/>
      <c r="EH188" s="1839"/>
      <c r="EI188" s="1840"/>
      <c r="EJ188" s="1837"/>
      <c r="EK188" s="1838"/>
      <c r="EL188" s="1837"/>
      <c r="EM188" s="1838"/>
      <c r="EN188" s="1839"/>
      <c r="EO188" s="1840"/>
      <c r="EP188" s="1837"/>
      <c r="EQ188" s="1838"/>
      <c r="ER188" s="1837"/>
      <c r="ES188" s="1838"/>
      <c r="ET188" s="1839"/>
      <c r="EU188" s="1840"/>
      <c r="EV188" s="1837"/>
      <c r="EW188" s="1838"/>
      <c r="EX188" s="1837"/>
      <c r="EY188" s="1838"/>
      <c r="EZ188" s="1839"/>
      <c r="FA188" s="1840"/>
      <c r="FB188" s="1837"/>
      <c r="FC188" s="1838"/>
      <c r="FD188" s="1837"/>
      <c r="FE188" s="1838"/>
      <c r="FF188" s="1839"/>
      <c r="FG188" s="1840"/>
      <c r="FH188" s="1837"/>
      <c r="FI188" s="1838"/>
      <c r="FJ188" s="1837"/>
      <c r="FK188" s="1838"/>
      <c r="FL188" s="1839"/>
      <c r="FM188" s="1840"/>
      <c r="FN188" s="1837"/>
      <c r="FO188" s="1838"/>
      <c r="FP188" s="1837"/>
      <c r="FQ188" s="1838"/>
      <c r="FR188" s="1839"/>
      <c r="FS188" s="1840"/>
      <c r="FT188" s="1837"/>
      <c r="FU188" s="1838"/>
      <c r="FV188" s="1837"/>
      <c r="FW188" s="1838"/>
      <c r="FX188" s="1839"/>
      <c r="FY188" s="1840"/>
      <c r="FZ188" s="1837"/>
      <c r="GA188" s="1838"/>
      <c r="GB188" s="1837"/>
      <c r="GC188" s="1838"/>
      <c r="GD188" s="1839"/>
      <c r="GE188" s="1840"/>
      <c r="GF188" s="1837"/>
      <c r="GG188" s="1838"/>
      <c r="GH188" s="1837"/>
      <c r="GI188" s="1838"/>
      <c r="GJ188" s="1839"/>
      <c r="GK188" s="1840"/>
      <c r="GL188" s="1837"/>
      <c r="GM188" s="1838"/>
      <c r="GN188" s="1837"/>
      <c r="GO188" s="1838"/>
      <c r="GP188" s="1839"/>
    </row>
    <row r="189" spans="1:198" ht="20.100000000000001" hidden="1" customHeight="1" outlineLevel="1" collapsed="1">
      <c r="A189" s="2709"/>
      <c r="B189" s="2612"/>
      <c r="C189" s="1858"/>
      <c r="D189" s="2614" t="str">
        <f>実績!C1276&amp;"("&amp;SUBSTITUTE(実績!R1276&amp;")","株式会社 ","")</f>
        <v>那覇バス具志営業所(一級建築士事務所 Crest)</v>
      </c>
      <c r="E189" s="2617"/>
      <c r="F189" s="2617"/>
      <c r="G189" s="2617"/>
      <c r="H189" s="2617"/>
      <c r="I189" s="2617"/>
      <c r="J189" s="2617"/>
      <c r="K189" s="2617"/>
      <c r="L189" s="2617"/>
      <c r="M189" s="2617"/>
      <c r="N189" s="2617"/>
      <c r="O189" s="2617"/>
      <c r="P189" s="2617"/>
      <c r="Q189" s="2618"/>
      <c r="R189" s="1970"/>
      <c r="S189" s="1837"/>
      <c r="T189" s="1837"/>
      <c r="U189" s="1838"/>
      <c r="V189" s="1837"/>
      <c r="W189" s="1838"/>
      <c r="X189" s="1839"/>
      <c r="Y189" s="1837"/>
      <c r="Z189" s="1837"/>
      <c r="AA189" s="1838"/>
      <c r="AB189" s="1837"/>
      <c r="AC189" s="1838"/>
      <c r="AD189" s="1837"/>
      <c r="AE189" s="1840"/>
      <c r="AF189" s="1837"/>
      <c r="AG189" s="1838"/>
      <c r="AH189" s="1837"/>
      <c r="AI189" s="1838"/>
      <c r="AJ189" s="1839"/>
      <c r="AK189" s="1837"/>
      <c r="AL189" s="1837"/>
      <c r="AM189" s="1838"/>
      <c r="AN189" s="1842"/>
      <c r="AO189" s="1838"/>
      <c r="AP189" s="1837"/>
      <c r="AQ189" s="1841" t="s">
        <v>8403</v>
      </c>
      <c r="AR189" s="1837"/>
      <c r="AS189" s="1838"/>
      <c r="AT189" s="1837"/>
      <c r="AU189" s="1838"/>
      <c r="AV189" s="1839"/>
      <c r="AW189" s="1840"/>
      <c r="AX189" s="1837"/>
      <c r="AY189" s="1838"/>
      <c r="AZ189" s="1837"/>
      <c r="BA189" s="1838"/>
      <c r="BB189" s="1839"/>
      <c r="BC189" s="1837"/>
      <c r="BD189" s="1837"/>
      <c r="BE189" s="1838"/>
      <c r="BF189" s="1837"/>
      <c r="BG189" s="1838"/>
      <c r="BH189" s="1837"/>
      <c r="BI189" s="1840"/>
      <c r="BJ189" s="1837"/>
      <c r="BK189" s="1838"/>
      <c r="BL189" s="1837"/>
      <c r="BM189" s="1838"/>
      <c r="BN189" s="1839"/>
      <c r="BO189" s="1840"/>
      <c r="BP189" s="1837"/>
      <c r="BQ189" s="1838"/>
      <c r="BR189" s="1837"/>
      <c r="BS189" s="1838"/>
      <c r="BT189" s="1839"/>
      <c r="BU189" s="1840"/>
      <c r="BV189" s="1837"/>
      <c r="BW189" s="1838"/>
      <c r="BX189" s="1837"/>
      <c r="BY189" s="1838"/>
      <c r="BZ189" s="1839"/>
      <c r="CA189" s="1840"/>
      <c r="CB189" s="1837"/>
      <c r="CC189" s="1838"/>
      <c r="CD189" s="1842"/>
      <c r="CE189" s="1838"/>
      <c r="CF189" s="1839"/>
      <c r="CG189" s="1840"/>
      <c r="CH189" s="1837"/>
      <c r="CI189" s="1838" t="s">
        <v>10351</v>
      </c>
      <c r="CJ189" s="1837"/>
      <c r="CK189" s="1838"/>
      <c r="CL189" s="1844"/>
      <c r="CM189" s="1840"/>
      <c r="CN189" s="1837"/>
      <c r="CO189" s="1838"/>
      <c r="CP189" s="1837"/>
      <c r="CQ189" s="1838"/>
      <c r="CR189" s="1839"/>
      <c r="CS189" s="1840"/>
      <c r="CT189" s="1837"/>
      <c r="CU189" s="1838"/>
      <c r="CV189" s="1837"/>
      <c r="CW189" s="1838"/>
      <c r="CX189" s="1839"/>
      <c r="CY189" s="1840"/>
      <c r="CZ189" s="1837"/>
      <c r="DA189" s="1838"/>
      <c r="DB189" s="1837"/>
      <c r="DC189" s="1838"/>
      <c r="DD189" s="1839"/>
      <c r="DE189" s="1840"/>
      <c r="DF189" s="1837"/>
      <c r="DG189" s="1838"/>
      <c r="DH189" s="1837"/>
      <c r="DI189" s="1838"/>
      <c r="DJ189" s="1839"/>
      <c r="DK189" s="1840"/>
      <c r="DL189" s="1837"/>
      <c r="DM189" s="1838"/>
      <c r="DN189" s="1837"/>
      <c r="DO189" s="1838"/>
      <c r="DP189" s="1837"/>
      <c r="DQ189" s="1853"/>
      <c r="DR189" s="1837"/>
      <c r="DS189" s="1838"/>
      <c r="DT189" s="1842"/>
      <c r="DU189" s="1837"/>
      <c r="DV189" s="1839"/>
      <c r="DW189" s="1840"/>
      <c r="DX189" s="1837"/>
      <c r="DY189" s="1838"/>
      <c r="DZ189" s="1837"/>
      <c r="EA189" s="1838"/>
      <c r="EB189" s="1839"/>
      <c r="EC189" s="1840"/>
      <c r="ED189" s="1837"/>
      <c r="EE189" s="1838"/>
      <c r="EF189" s="1837"/>
      <c r="EG189" s="1838"/>
      <c r="EH189" s="1839"/>
      <c r="EI189" s="1840"/>
      <c r="EJ189" s="1837"/>
      <c r="EK189" s="1838"/>
      <c r="EL189" s="1837"/>
      <c r="EM189" s="1838"/>
      <c r="EN189" s="1839"/>
      <c r="EO189" s="1840"/>
      <c r="EP189" s="1837"/>
      <c r="EQ189" s="1838"/>
      <c r="ER189" s="1837"/>
      <c r="ES189" s="1838"/>
      <c r="ET189" s="1839"/>
      <c r="EU189" s="1840"/>
      <c r="EV189" s="1837"/>
      <c r="EW189" s="1838"/>
      <c r="EX189" s="1837"/>
      <c r="EY189" s="1838"/>
      <c r="EZ189" s="1839"/>
      <c r="FA189" s="1840"/>
      <c r="FB189" s="1837"/>
      <c r="FC189" s="1838"/>
      <c r="FD189" s="1837"/>
      <c r="FE189" s="1838"/>
      <c r="FF189" s="1839"/>
      <c r="FG189" s="1840"/>
      <c r="FH189" s="1837"/>
      <c r="FI189" s="1838"/>
      <c r="FJ189" s="1837"/>
      <c r="FK189" s="1838"/>
      <c r="FL189" s="1839"/>
      <c r="FM189" s="1840"/>
      <c r="FN189" s="1837"/>
      <c r="FO189" s="1838"/>
      <c r="FP189" s="1837"/>
      <c r="FQ189" s="1838"/>
      <c r="FR189" s="1839"/>
      <c r="FS189" s="1840"/>
      <c r="FT189" s="1837"/>
      <c r="FU189" s="1838"/>
      <c r="FV189" s="1837"/>
      <c r="FW189" s="1838"/>
      <c r="FX189" s="1839"/>
      <c r="FY189" s="1840"/>
      <c r="FZ189" s="1837"/>
      <c r="GA189" s="1838"/>
      <c r="GB189" s="1837"/>
      <c r="GC189" s="1838"/>
      <c r="GD189" s="1839"/>
      <c r="GE189" s="1840"/>
      <c r="GF189" s="1837"/>
      <c r="GG189" s="1838"/>
      <c r="GH189" s="1837"/>
      <c r="GI189" s="1838"/>
      <c r="GJ189" s="1839"/>
      <c r="GK189" s="1840"/>
      <c r="GL189" s="1837"/>
      <c r="GM189" s="1838"/>
      <c r="GN189" s="1837"/>
      <c r="GO189" s="1838"/>
      <c r="GP189" s="1839"/>
    </row>
    <row r="190" spans="1:198" ht="20.100000000000001" hidden="1" customHeight="1" outlineLevel="1" collapsed="1">
      <c r="A190" s="2709"/>
      <c r="B190" s="2612"/>
      <c r="C190" s="1858"/>
      <c r="D190" s="2614" t="str">
        <f>実績!C1277&amp;"("&amp;SUBSTITUTE(実績!W1277&amp;")","株式会社 ","")</f>
        <v>SNP工場(横河システム建築)</v>
      </c>
      <c r="E190" s="2617"/>
      <c r="F190" s="2617"/>
      <c r="G190" s="2617"/>
      <c r="H190" s="2617"/>
      <c r="I190" s="2617"/>
      <c r="J190" s="2617"/>
      <c r="K190" s="2617"/>
      <c r="L190" s="2617"/>
      <c r="M190" s="2617"/>
      <c r="N190" s="2617"/>
      <c r="O190" s="2617"/>
      <c r="P190" s="2617"/>
      <c r="Q190" s="2618"/>
      <c r="R190" s="1970"/>
      <c r="S190" s="1837"/>
      <c r="T190" s="1837"/>
      <c r="U190" s="1838"/>
      <c r="V190" s="1837"/>
      <c r="W190" s="1838"/>
      <c r="X190" s="1839"/>
      <c r="Y190" s="1837"/>
      <c r="Z190" s="1837"/>
      <c r="AA190" s="1838"/>
      <c r="AB190" s="1837"/>
      <c r="AC190" s="1838"/>
      <c r="AD190" s="1837"/>
      <c r="AE190" s="1840"/>
      <c r="AF190" s="1837"/>
      <c r="AG190" s="1838"/>
      <c r="AH190" s="1837"/>
      <c r="AI190" s="1838"/>
      <c r="AJ190" s="1839"/>
      <c r="AK190" s="1837"/>
      <c r="AL190" s="1837"/>
      <c r="AM190" s="1838"/>
      <c r="AN190" s="1842"/>
      <c r="AO190" s="1838"/>
      <c r="AP190" s="1837"/>
      <c r="AQ190" s="1841" t="s">
        <v>8403</v>
      </c>
      <c r="AR190" s="1837"/>
      <c r="AS190" s="1838"/>
      <c r="AT190" s="1837"/>
      <c r="AU190" s="1838"/>
      <c r="AV190" s="1839"/>
      <c r="AW190" s="1840"/>
      <c r="AX190" s="1837"/>
      <c r="AY190" s="1838"/>
      <c r="AZ190" s="1837"/>
      <c r="BA190" s="1838"/>
      <c r="BB190" s="1839"/>
      <c r="BC190" s="1837"/>
      <c r="BD190" s="1837"/>
      <c r="BE190" s="1838"/>
      <c r="BF190" s="1837"/>
      <c r="BG190" s="1838"/>
      <c r="BH190" s="1837"/>
      <c r="BI190" s="1840"/>
      <c r="BJ190" s="1837"/>
      <c r="BK190" s="1838"/>
      <c r="BL190" s="1837"/>
      <c r="BM190" s="1838"/>
      <c r="BN190" s="1839"/>
      <c r="BO190" s="1840"/>
      <c r="BP190" s="1837"/>
      <c r="BQ190" s="1838"/>
      <c r="BR190" s="1837"/>
      <c r="BS190" s="1838"/>
      <c r="BT190" s="1839"/>
      <c r="BU190" s="1840"/>
      <c r="BV190" s="1837"/>
      <c r="BW190" s="1838"/>
      <c r="BX190" s="1837"/>
      <c r="BY190" s="1838"/>
      <c r="BZ190" s="1839"/>
      <c r="CA190" s="1840"/>
      <c r="CB190" s="1837"/>
      <c r="CC190" s="1838"/>
      <c r="CD190" s="1842"/>
      <c r="CE190" s="1838"/>
      <c r="CF190" s="1839"/>
      <c r="CG190" s="1840"/>
      <c r="CH190" s="1837"/>
      <c r="CI190" s="1838"/>
      <c r="CJ190" s="1837"/>
      <c r="CK190" s="1838"/>
      <c r="CL190" s="1865" t="s">
        <v>10473</v>
      </c>
      <c r="CM190" s="1840"/>
      <c r="CN190" s="1837"/>
      <c r="CO190" s="1838"/>
      <c r="CP190" s="1837"/>
      <c r="CQ190" s="1838"/>
      <c r="CR190" s="1839"/>
      <c r="CS190" s="1840"/>
      <c r="CT190" s="1837"/>
      <c r="CU190" s="1838"/>
      <c r="CV190" s="1837"/>
      <c r="CW190" s="1838"/>
      <c r="CX190" s="1839"/>
      <c r="CY190" s="1840" t="s">
        <v>10375</v>
      </c>
      <c r="CZ190" s="1837"/>
      <c r="DA190" s="1838"/>
      <c r="DB190" s="1837"/>
      <c r="DC190" s="1838"/>
      <c r="DD190" s="1839"/>
      <c r="DE190" s="1840"/>
      <c r="DF190" s="1837"/>
      <c r="DG190" s="1838"/>
      <c r="DH190" s="1837"/>
      <c r="DI190" s="1838"/>
      <c r="DJ190" s="1839"/>
      <c r="DK190" s="1840"/>
      <c r="DL190" s="1837"/>
      <c r="DM190" s="1838"/>
      <c r="DN190" s="1837"/>
      <c r="DO190" s="1838"/>
      <c r="DP190" s="1837"/>
      <c r="DQ190" s="1853"/>
      <c r="DR190" s="1837"/>
      <c r="DS190" s="1838"/>
      <c r="DT190" s="1842"/>
      <c r="DU190" s="1837"/>
      <c r="DV190" s="1839"/>
      <c r="DW190" s="1840"/>
      <c r="DX190" s="1837"/>
      <c r="DY190" s="1838"/>
      <c r="DZ190" s="1837"/>
      <c r="EA190" s="1838"/>
      <c r="EB190" s="1839"/>
      <c r="EC190" s="1840"/>
      <c r="ED190" s="1837"/>
      <c r="EE190" s="1838"/>
      <c r="EF190" s="1837"/>
      <c r="EG190" s="1838"/>
      <c r="EH190" s="1839"/>
      <c r="EI190" s="1840"/>
      <c r="EJ190" s="1837"/>
      <c r="EK190" s="1838"/>
      <c r="EL190" s="1837"/>
      <c r="EM190" s="1838"/>
      <c r="EN190" s="1839"/>
      <c r="EO190" s="1840"/>
      <c r="EP190" s="1837"/>
      <c r="EQ190" s="1838"/>
      <c r="ER190" s="1837"/>
      <c r="ES190" s="1838"/>
      <c r="ET190" s="1839"/>
      <c r="EU190" s="1840"/>
      <c r="EV190" s="1837"/>
      <c r="EW190" s="1838"/>
      <c r="EX190" s="1837"/>
      <c r="EY190" s="1838"/>
      <c r="EZ190" s="1839"/>
      <c r="FA190" s="1840"/>
      <c r="FB190" s="1837"/>
      <c r="FC190" s="1838"/>
      <c r="FD190" s="1837"/>
      <c r="FE190" s="1838"/>
      <c r="FF190" s="1839"/>
      <c r="FG190" s="1840"/>
      <c r="FH190" s="1837"/>
      <c r="FI190" s="1838"/>
      <c r="FJ190" s="1837"/>
      <c r="FK190" s="1838"/>
      <c r="FL190" s="1839"/>
      <c r="FM190" s="1840"/>
      <c r="FN190" s="1837"/>
      <c r="FO190" s="1838"/>
      <c r="FP190" s="1837"/>
      <c r="FQ190" s="1838"/>
      <c r="FR190" s="1839"/>
      <c r="FS190" s="1840"/>
      <c r="FT190" s="1837"/>
      <c r="FU190" s="1838"/>
      <c r="FV190" s="1837"/>
      <c r="FW190" s="1838"/>
      <c r="FX190" s="1839"/>
      <c r="FY190" s="1840"/>
      <c r="FZ190" s="1837"/>
      <c r="GA190" s="1838"/>
      <c r="GB190" s="1837"/>
      <c r="GC190" s="1838"/>
      <c r="GD190" s="1839"/>
      <c r="GE190" s="1840"/>
      <c r="GF190" s="1837"/>
      <c r="GG190" s="1838"/>
      <c r="GH190" s="1837"/>
      <c r="GI190" s="1838"/>
      <c r="GJ190" s="1839"/>
      <c r="GK190" s="1840"/>
      <c r="GL190" s="1837"/>
      <c r="GM190" s="1838"/>
      <c r="GN190" s="1837"/>
      <c r="GO190" s="1838"/>
      <c r="GP190" s="1839"/>
    </row>
    <row r="191" spans="1:198" ht="20.100000000000001" hidden="1" customHeight="1" outlineLevel="1" collapsed="1">
      <c r="A191" s="2709"/>
      <c r="B191" s="2612"/>
      <c r="C191" s="1836"/>
      <c r="D191" s="2614" t="str">
        <f>実績!C1283&amp;"("&amp;SUBSTITUTE(実績!W1283&amp;")","株式会社 ","")</f>
        <v>ギオン相模原A棟(NEST)</v>
      </c>
      <c r="E191" s="2617"/>
      <c r="F191" s="2617"/>
      <c r="G191" s="2617"/>
      <c r="H191" s="2617"/>
      <c r="I191" s="2617"/>
      <c r="J191" s="2617"/>
      <c r="K191" s="2617"/>
      <c r="L191" s="2617"/>
      <c r="M191" s="2617"/>
      <c r="N191" s="2617"/>
      <c r="O191" s="2617"/>
      <c r="P191" s="2617"/>
      <c r="Q191" s="2618"/>
      <c r="R191" s="1970"/>
      <c r="S191" s="1837"/>
      <c r="T191" s="1837"/>
      <c r="U191" s="1838"/>
      <c r="V191" s="1837"/>
      <c r="W191" s="1838"/>
      <c r="X191" s="1839"/>
      <c r="Y191" s="1837"/>
      <c r="Z191" s="1837"/>
      <c r="AA191" s="1838"/>
      <c r="AB191" s="1837"/>
      <c r="AC191" s="1838"/>
      <c r="AD191" s="1837"/>
      <c r="AE191" s="1840"/>
      <c r="AF191" s="1837"/>
      <c r="AG191" s="1838"/>
      <c r="AH191" s="1837"/>
      <c r="AI191" s="1838"/>
      <c r="AJ191" s="1839"/>
      <c r="AK191" s="1837"/>
      <c r="AL191" s="1837"/>
      <c r="AM191" s="1838"/>
      <c r="AN191" s="1842"/>
      <c r="AO191" s="1838"/>
      <c r="AP191" s="1837"/>
      <c r="AQ191" s="1841" t="s">
        <v>8403</v>
      </c>
      <c r="AR191" s="1837"/>
      <c r="AS191" s="1838"/>
      <c r="AT191" s="1837"/>
      <c r="AU191" s="1838"/>
      <c r="AV191" s="1839"/>
      <c r="AW191" s="1840"/>
      <c r="AX191" s="1837"/>
      <c r="AY191" s="1838"/>
      <c r="AZ191" s="1837"/>
      <c r="BA191" s="1838"/>
      <c r="BB191" s="1839"/>
      <c r="BC191" s="1837"/>
      <c r="BD191" s="1837"/>
      <c r="BE191" s="1838"/>
      <c r="BF191" s="1837"/>
      <c r="BG191" s="1838"/>
      <c r="BH191" s="1837"/>
      <c r="BI191" s="1840"/>
      <c r="BJ191" s="1837"/>
      <c r="BK191" s="1838"/>
      <c r="BL191" s="1837"/>
      <c r="BM191" s="1838"/>
      <c r="BN191" s="1839"/>
      <c r="BO191" s="1840"/>
      <c r="BP191" s="1837"/>
      <c r="BQ191" s="1838"/>
      <c r="BR191" s="1837"/>
      <c r="BS191" s="1838"/>
      <c r="BT191" s="1839"/>
      <c r="BU191" s="1840"/>
      <c r="BV191" s="1837"/>
      <c r="BW191" s="1838"/>
      <c r="BX191" s="1837"/>
      <c r="BY191" s="1838"/>
      <c r="BZ191" s="1839"/>
      <c r="CA191" s="1840"/>
      <c r="CB191" s="1837"/>
      <c r="CC191" s="1838"/>
      <c r="CD191" s="1842"/>
      <c r="CE191" s="1838"/>
      <c r="CF191" s="1839"/>
      <c r="CG191" s="1840"/>
      <c r="CH191" s="1837"/>
      <c r="CI191" s="1838"/>
      <c r="CJ191" s="1837"/>
      <c r="CK191" s="1838"/>
      <c r="CL191" s="1865"/>
      <c r="CM191" s="1840" t="s">
        <v>10565</v>
      </c>
      <c r="CN191" s="1837"/>
      <c r="CO191" s="1838"/>
      <c r="CP191" s="1837"/>
      <c r="CQ191" s="1838"/>
      <c r="CR191" s="1839"/>
      <c r="CS191" s="1840"/>
      <c r="CT191" s="1837"/>
      <c r="CU191" s="1838"/>
      <c r="CV191" s="1837"/>
      <c r="CW191" s="1838"/>
      <c r="CX191" s="1839"/>
      <c r="CY191" s="1840"/>
      <c r="CZ191" s="1837"/>
      <c r="DA191" s="1838"/>
      <c r="DB191" s="1837"/>
      <c r="DC191" s="1838"/>
      <c r="DD191" s="1839"/>
      <c r="DE191" s="1840"/>
      <c r="DF191" s="1837"/>
      <c r="DG191" s="1838"/>
      <c r="DH191" s="1837"/>
      <c r="DI191" s="1838"/>
      <c r="DJ191" s="1839"/>
      <c r="DK191" s="1840"/>
      <c r="DL191" s="1837"/>
      <c r="DM191" s="1838"/>
      <c r="DN191" s="1837"/>
      <c r="DO191" s="1838"/>
      <c r="DP191" s="1837"/>
      <c r="DQ191" s="1853"/>
      <c r="DR191" s="1837"/>
      <c r="DS191" s="1838"/>
      <c r="DT191" s="1842"/>
      <c r="DU191" s="1837"/>
      <c r="DV191" s="1839"/>
      <c r="DW191" s="1840"/>
      <c r="DX191" s="1837"/>
      <c r="DY191" s="1838"/>
      <c r="DZ191" s="1837"/>
      <c r="EA191" s="1838"/>
      <c r="EB191" s="1839"/>
      <c r="EC191" s="1840"/>
      <c r="ED191" s="1837"/>
      <c r="EE191" s="1838"/>
      <c r="EF191" s="1837"/>
      <c r="EG191" s="1838"/>
      <c r="EH191" s="1839"/>
      <c r="EI191" s="1840"/>
      <c r="EJ191" s="1837"/>
      <c r="EK191" s="1838"/>
      <c r="EL191" s="1837"/>
      <c r="EM191" s="1838"/>
      <c r="EN191" s="1839"/>
      <c r="EO191" s="1840"/>
      <c r="EP191" s="1837"/>
      <c r="EQ191" s="1838"/>
      <c r="ER191" s="1837"/>
      <c r="ES191" s="1838"/>
      <c r="ET191" s="1839"/>
      <c r="EU191" s="1840"/>
      <c r="EV191" s="1837"/>
      <c r="EW191" s="1838"/>
      <c r="EX191" s="1837"/>
      <c r="EY191" s="1838"/>
      <c r="EZ191" s="1839"/>
      <c r="FA191" s="1840"/>
      <c r="FB191" s="1837"/>
      <c r="FC191" s="1838"/>
      <c r="FD191" s="1837"/>
      <c r="FE191" s="1838"/>
      <c r="FF191" s="1839"/>
      <c r="FG191" s="1840"/>
      <c r="FH191" s="1837"/>
      <c r="FI191" s="1838"/>
      <c r="FJ191" s="1837"/>
      <c r="FK191" s="1838"/>
      <c r="FL191" s="1839"/>
      <c r="FM191" s="1840"/>
      <c r="FN191" s="1837"/>
      <c r="FO191" s="1838"/>
      <c r="FP191" s="1837"/>
      <c r="FQ191" s="1838"/>
      <c r="FR191" s="1839"/>
      <c r="FS191" s="1840"/>
      <c r="FT191" s="1837"/>
      <c r="FU191" s="1838"/>
      <c r="FV191" s="1837"/>
      <c r="FW191" s="1838"/>
      <c r="FX191" s="1839"/>
      <c r="FY191" s="1840"/>
      <c r="FZ191" s="1837"/>
      <c r="GA191" s="1838"/>
      <c r="GB191" s="1837"/>
      <c r="GC191" s="1838"/>
      <c r="GD191" s="1839"/>
      <c r="GE191" s="1840"/>
      <c r="GF191" s="1837"/>
      <c r="GG191" s="1838"/>
      <c r="GH191" s="1837"/>
      <c r="GI191" s="1838"/>
      <c r="GJ191" s="1839"/>
      <c r="GK191" s="1840"/>
      <c r="GL191" s="1837"/>
      <c r="GM191" s="1838"/>
      <c r="GN191" s="1837"/>
      <c r="GO191" s="1838"/>
      <c r="GP191" s="1839"/>
    </row>
    <row r="192" spans="1:198" ht="20.100000000000001" hidden="1" customHeight="1" outlineLevel="1">
      <c r="A192" s="2709"/>
      <c r="B192" s="2612"/>
      <c r="C192" s="1836"/>
      <c r="D192" s="2614" t="str">
        <f>実績!C1280&amp;"("&amp;SUBSTITUTE(実績!R1280&amp;")"," 株式会社","")</f>
        <v>リュウテック事務所棟(りんかい日産建設)</v>
      </c>
      <c r="E192" s="2617"/>
      <c r="F192" s="2617"/>
      <c r="G192" s="2617"/>
      <c r="H192" s="2617"/>
      <c r="I192" s="2617"/>
      <c r="J192" s="2617"/>
      <c r="K192" s="2617"/>
      <c r="L192" s="2617"/>
      <c r="M192" s="2617"/>
      <c r="N192" s="2617"/>
      <c r="O192" s="2617"/>
      <c r="P192" s="2617"/>
      <c r="Q192" s="2618"/>
      <c r="R192" s="1970"/>
      <c r="S192" s="1837"/>
      <c r="T192" s="1837"/>
      <c r="U192" s="1838"/>
      <c r="V192" s="1837"/>
      <c r="W192" s="1838"/>
      <c r="X192" s="1839"/>
      <c r="Y192" s="1837"/>
      <c r="Z192" s="1837"/>
      <c r="AA192" s="1838"/>
      <c r="AB192" s="1837"/>
      <c r="AC192" s="1838"/>
      <c r="AD192" s="1837"/>
      <c r="AE192" s="1840"/>
      <c r="AF192" s="1837"/>
      <c r="AG192" s="1838"/>
      <c r="AH192" s="1837"/>
      <c r="AI192" s="1838"/>
      <c r="AJ192" s="1839"/>
      <c r="AK192" s="1837"/>
      <c r="AL192" s="1837"/>
      <c r="AM192" s="1838"/>
      <c r="AN192" s="1842"/>
      <c r="AO192" s="1838"/>
      <c r="AP192" s="1837"/>
      <c r="AQ192" s="1841" t="s">
        <v>8403</v>
      </c>
      <c r="AR192" s="1837"/>
      <c r="AS192" s="1838"/>
      <c r="AT192" s="1837"/>
      <c r="AU192" s="1838"/>
      <c r="AV192" s="1839"/>
      <c r="AW192" s="1840"/>
      <c r="AX192" s="1837"/>
      <c r="AY192" s="1838"/>
      <c r="AZ192" s="1837"/>
      <c r="BA192" s="1838"/>
      <c r="BB192" s="1839"/>
      <c r="BC192" s="1837"/>
      <c r="BD192" s="1837"/>
      <c r="BE192" s="1838"/>
      <c r="BF192" s="1837"/>
      <c r="BG192" s="1838"/>
      <c r="BH192" s="1837"/>
      <c r="BI192" s="1840"/>
      <c r="BJ192" s="1837"/>
      <c r="BK192" s="1838"/>
      <c r="BL192" s="1837"/>
      <c r="BM192" s="1838"/>
      <c r="BN192" s="1839"/>
      <c r="BO192" s="1840"/>
      <c r="BP192" s="1837"/>
      <c r="BQ192" s="1838"/>
      <c r="BR192" s="1837"/>
      <c r="BS192" s="1838"/>
      <c r="BT192" s="1839"/>
      <c r="BU192" s="1840"/>
      <c r="BV192" s="1837"/>
      <c r="BW192" s="1838"/>
      <c r="BX192" s="1837"/>
      <c r="BY192" s="1838"/>
      <c r="BZ192" s="1839"/>
      <c r="CA192" s="1840"/>
      <c r="CB192" s="1837"/>
      <c r="CC192" s="1838"/>
      <c r="CD192" s="1842"/>
      <c r="CE192" s="1838"/>
      <c r="CF192" s="1839"/>
      <c r="CG192" s="1840"/>
      <c r="CH192" s="1837"/>
      <c r="CI192" s="1838"/>
      <c r="CJ192" s="1837"/>
      <c r="CK192" s="1838"/>
      <c r="CL192" s="1844"/>
      <c r="CM192" s="1840"/>
      <c r="CN192" s="1837" t="s">
        <v>10584</v>
      </c>
      <c r="CO192" s="1838"/>
      <c r="CP192" s="1837"/>
      <c r="CQ192" s="1838"/>
      <c r="CR192" s="1839"/>
      <c r="CS192" s="1840"/>
      <c r="CT192" s="1837"/>
      <c r="CU192" s="1838"/>
      <c r="CV192" s="1837" t="s">
        <v>10399</v>
      </c>
      <c r="CW192" s="1838"/>
      <c r="CX192" s="1839"/>
      <c r="CY192" s="1840"/>
      <c r="CZ192" s="1837"/>
      <c r="DA192" s="1838"/>
      <c r="DB192" s="1837"/>
      <c r="DC192" s="1838"/>
      <c r="DD192" s="1839"/>
      <c r="DE192" s="1840"/>
      <c r="DF192" s="1837"/>
      <c r="DG192" s="1838"/>
      <c r="DH192" s="1837" t="s">
        <v>10400</v>
      </c>
      <c r="DI192" s="1838"/>
      <c r="DJ192" s="1839"/>
      <c r="DK192" s="1840"/>
      <c r="DL192" s="1837"/>
      <c r="DM192" s="1838"/>
      <c r="DN192" s="1837"/>
      <c r="DO192" s="1838"/>
      <c r="DP192" s="1837"/>
      <c r="DQ192" s="1853"/>
      <c r="DR192" s="1837"/>
      <c r="DS192" s="1838"/>
      <c r="DT192" s="1842"/>
      <c r="DU192" s="1837"/>
      <c r="DV192" s="1839"/>
      <c r="DW192" s="1840"/>
      <c r="DX192" s="1837"/>
      <c r="DY192" s="1838"/>
      <c r="DZ192" s="1837"/>
      <c r="EA192" s="1838"/>
      <c r="EB192" s="1839"/>
      <c r="EC192" s="1840"/>
      <c r="ED192" s="1837"/>
      <c r="EE192" s="1838"/>
      <c r="EF192" s="1837"/>
      <c r="EG192" s="1838"/>
      <c r="EH192" s="1839"/>
      <c r="EI192" s="1840"/>
      <c r="EJ192" s="1837"/>
      <c r="EK192" s="1838"/>
      <c r="EL192" s="1837"/>
      <c r="EM192" s="1838"/>
      <c r="EN192" s="1839"/>
      <c r="EO192" s="1840"/>
      <c r="EP192" s="1837"/>
      <c r="EQ192" s="1838"/>
      <c r="ER192" s="1837"/>
      <c r="ES192" s="1838"/>
      <c r="ET192" s="1839"/>
      <c r="EU192" s="1840"/>
      <c r="EV192" s="1837"/>
      <c r="EW192" s="1838"/>
      <c r="EX192" s="1837"/>
      <c r="EY192" s="1838"/>
      <c r="EZ192" s="1839"/>
      <c r="FA192" s="1840"/>
      <c r="FB192" s="1837"/>
      <c r="FC192" s="1838"/>
      <c r="FD192" s="1837"/>
      <c r="FE192" s="1838"/>
      <c r="FF192" s="1839"/>
      <c r="FG192" s="1840"/>
      <c r="FH192" s="1837"/>
      <c r="FI192" s="1838"/>
      <c r="FJ192" s="1837"/>
      <c r="FK192" s="1838"/>
      <c r="FL192" s="1839"/>
      <c r="FM192" s="1840"/>
      <c r="FN192" s="1837"/>
      <c r="FO192" s="1838"/>
      <c r="FP192" s="1837"/>
      <c r="FQ192" s="1838"/>
      <c r="FR192" s="1839"/>
      <c r="FS192" s="1840"/>
      <c r="FT192" s="1837"/>
      <c r="FU192" s="1838"/>
      <c r="FV192" s="1837"/>
      <c r="FW192" s="1838"/>
      <c r="FX192" s="1839"/>
      <c r="FY192" s="1840"/>
      <c r="FZ192" s="1837"/>
      <c r="GA192" s="1838"/>
      <c r="GB192" s="1837"/>
      <c r="GC192" s="1838"/>
      <c r="GD192" s="1839"/>
      <c r="GE192" s="1840"/>
      <c r="GF192" s="1837"/>
      <c r="GG192" s="1838"/>
      <c r="GH192" s="1837"/>
      <c r="GI192" s="1838"/>
      <c r="GJ192" s="1839"/>
      <c r="GK192" s="1840"/>
      <c r="GL192" s="1837"/>
      <c r="GM192" s="1838"/>
      <c r="GN192" s="1837"/>
      <c r="GO192" s="1838"/>
      <c r="GP192" s="1839"/>
    </row>
    <row r="193" spans="1:198" ht="20.100000000000001" hidden="1" customHeight="1" outlineLevel="1">
      <c r="A193" s="2709"/>
      <c r="B193" s="2612"/>
      <c r="C193" s="1836"/>
      <c r="D193" s="2614" t="str">
        <f>実績!C1286&amp;"("&amp;SUBSTITUTE(実績!W1286&amp;")","株式会社 ","")</f>
        <v>センコン物流㈱新潟新倉庫(横河システム建築)</v>
      </c>
      <c r="E193" s="2617"/>
      <c r="F193" s="2617"/>
      <c r="G193" s="2617"/>
      <c r="H193" s="2617"/>
      <c r="I193" s="2617"/>
      <c r="J193" s="2617"/>
      <c r="K193" s="2617"/>
      <c r="L193" s="2617"/>
      <c r="M193" s="2617"/>
      <c r="N193" s="2617"/>
      <c r="O193" s="2617"/>
      <c r="P193" s="2617"/>
      <c r="Q193" s="2722"/>
      <c r="R193" s="1970"/>
      <c r="S193" s="1837"/>
      <c r="T193" s="1837"/>
      <c r="U193" s="1837"/>
      <c r="V193" s="1837"/>
      <c r="W193" s="1837"/>
      <c r="X193" s="1837"/>
      <c r="Y193" s="1837"/>
      <c r="Z193" s="1837"/>
      <c r="AA193" s="1837"/>
      <c r="AB193" s="1837"/>
      <c r="AC193" s="1837"/>
      <c r="AD193" s="1837"/>
      <c r="AE193" s="1837"/>
      <c r="AF193" s="1837"/>
      <c r="AG193" s="1837"/>
      <c r="AH193" s="1837"/>
      <c r="AI193" s="1837"/>
      <c r="AJ193" s="1837"/>
      <c r="AK193" s="1837"/>
      <c r="AL193" s="1837"/>
      <c r="AM193" s="1837"/>
      <c r="AN193" s="1837"/>
      <c r="AO193" s="1837"/>
      <c r="AP193" s="1837"/>
      <c r="AQ193" s="1837"/>
      <c r="AR193" s="1837"/>
      <c r="AS193" s="1837"/>
      <c r="AT193" s="1837"/>
      <c r="AU193" s="1837"/>
      <c r="AV193" s="1837"/>
      <c r="AW193" s="1837"/>
      <c r="AX193" s="1837"/>
      <c r="AY193" s="1837"/>
      <c r="AZ193" s="1837"/>
      <c r="BA193" s="1837"/>
      <c r="BB193" s="1837"/>
      <c r="BC193" s="1837"/>
      <c r="BD193" s="1837"/>
      <c r="BE193" s="1837"/>
      <c r="BF193" s="1837"/>
      <c r="BG193" s="1837"/>
      <c r="BH193" s="1837"/>
      <c r="BI193" s="1837"/>
      <c r="BJ193" s="1837"/>
      <c r="BK193" s="1837"/>
      <c r="BL193" s="1837"/>
      <c r="BM193" s="1837"/>
      <c r="BN193" s="1837"/>
      <c r="BO193" s="1837"/>
      <c r="BP193" s="1837"/>
      <c r="BQ193" s="1837"/>
      <c r="BR193" s="1837"/>
      <c r="BS193" s="1837"/>
      <c r="BT193" s="1837"/>
      <c r="BU193" s="1837"/>
      <c r="BV193" s="1837"/>
      <c r="BW193" s="1837"/>
      <c r="BX193" s="1837"/>
      <c r="BY193" s="1837"/>
      <c r="BZ193" s="1837"/>
      <c r="CA193" s="1837"/>
      <c r="CB193" s="1837"/>
      <c r="CC193" s="1837"/>
      <c r="CD193" s="1837"/>
      <c r="CE193" s="1837"/>
      <c r="CF193" s="1837"/>
      <c r="CG193" s="1840"/>
      <c r="CH193" s="1837"/>
      <c r="CI193" s="1838"/>
      <c r="CJ193" s="1837"/>
      <c r="CK193" s="1838"/>
      <c r="CL193" s="1839"/>
      <c r="CM193" s="1840"/>
      <c r="CN193" s="1837" t="s">
        <v>10574</v>
      </c>
      <c r="CO193" s="1838"/>
      <c r="CP193" s="1837"/>
      <c r="CQ193" s="1838"/>
      <c r="CR193" s="1839"/>
      <c r="CS193" s="1840"/>
      <c r="CT193" s="1837"/>
      <c r="CU193" s="1838"/>
      <c r="CV193" s="1837"/>
      <c r="CW193" s="1838"/>
      <c r="CX193" s="1839"/>
      <c r="CY193" s="1840" t="s">
        <v>10492</v>
      </c>
      <c r="CZ193" s="1837"/>
      <c r="DA193" s="1838"/>
      <c r="DB193" s="1837"/>
      <c r="DC193" s="1838"/>
      <c r="DD193" s="1839"/>
      <c r="DE193" s="1840"/>
      <c r="DF193" s="1837"/>
      <c r="DG193" s="1838"/>
      <c r="DH193" s="1837"/>
      <c r="DI193" s="1838"/>
      <c r="DJ193" s="1839"/>
      <c r="DK193" s="1840" t="s">
        <v>10493</v>
      </c>
      <c r="DL193" s="1837"/>
      <c r="DM193" s="1838"/>
      <c r="DN193" s="1837"/>
      <c r="DO193" s="1838"/>
      <c r="DP193" s="1837"/>
      <c r="DQ193" s="1853"/>
      <c r="DR193" s="1837"/>
      <c r="DS193" s="1838"/>
      <c r="DT193" s="1842"/>
      <c r="DU193" s="1837"/>
      <c r="DV193" s="1839"/>
      <c r="DW193" s="1840"/>
      <c r="DX193" s="1837"/>
      <c r="DY193" s="1838"/>
      <c r="DZ193" s="1837"/>
      <c r="EA193" s="1838"/>
      <c r="EB193" s="1839"/>
      <c r="EC193" s="1840"/>
      <c r="ED193" s="1837"/>
      <c r="EE193" s="1838"/>
      <c r="EF193" s="1837"/>
      <c r="EG193" s="1838"/>
      <c r="EH193" s="1839"/>
      <c r="EI193" s="1840"/>
      <c r="EJ193" s="1837"/>
      <c r="EK193" s="1838"/>
      <c r="EL193" s="1837"/>
      <c r="EM193" s="1838"/>
      <c r="EN193" s="1839"/>
      <c r="EO193" s="1840"/>
      <c r="EP193" s="1837"/>
      <c r="EQ193" s="1838"/>
      <c r="ER193" s="1837"/>
      <c r="ES193" s="1838"/>
      <c r="ET193" s="1839"/>
      <c r="EU193" s="1840"/>
      <c r="EV193" s="1837"/>
      <c r="EW193" s="1838"/>
      <c r="EX193" s="1837"/>
      <c r="EY193" s="1838"/>
      <c r="EZ193" s="1839"/>
      <c r="FA193" s="1840"/>
      <c r="FB193" s="1837"/>
      <c r="FC193" s="1838"/>
      <c r="FD193" s="1837"/>
      <c r="FE193" s="1838"/>
      <c r="FF193" s="1839"/>
      <c r="FG193" s="1840"/>
      <c r="FH193" s="1837"/>
      <c r="FI193" s="1838"/>
      <c r="FJ193" s="1837"/>
      <c r="FK193" s="1838"/>
      <c r="FL193" s="1839"/>
      <c r="FM193" s="1840"/>
      <c r="FN193" s="1837"/>
      <c r="FO193" s="1838"/>
      <c r="FP193" s="1837"/>
      <c r="FQ193" s="1838"/>
      <c r="FR193" s="1839"/>
      <c r="FS193" s="1840"/>
      <c r="FT193" s="1837"/>
      <c r="FU193" s="1838"/>
      <c r="FV193" s="1837"/>
      <c r="FW193" s="1838"/>
      <c r="FX193" s="1839"/>
      <c r="FY193" s="1840"/>
      <c r="FZ193" s="1837"/>
      <c r="GA193" s="1838"/>
      <c r="GB193" s="1837"/>
      <c r="GC193" s="1838"/>
      <c r="GD193" s="1839"/>
      <c r="GE193" s="1840"/>
      <c r="GF193" s="1837"/>
      <c r="GG193" s="1838"/>
      <c r="GH193" s="1837"/>
      <c r="GI193" s="1838"/>
      <c r="GJ193" s="1839"/>
      <c r="GK193" s="1840"/>
      <c r="GL193" s="1837"/>
      <c r="GM193" s="1838"/>
      <c r="GN193" s="1837"/>
      <c r="GO193" s="1838"/>
      <c r="GP193" s="1839"/>
    </row>
    <row r="194" spans="1:198" ht="20.100000000000001" hidden="1" customHeight="1" outlineLevel="1" collapsed="1">
      <c r="A194" s="2709"/>
      <c r="B194" s="2612"/>
      <c r="C194" s="1836"/>
      <c r="D194" s="2614" t="str">
        <f>実績!C1287&amp;"("&amp;SUBSTITUTE(実績!R1287&amp;")","株式会社 ","")</f>
        <v>ホームプラザナフコ直方(太陽設計)</v>
      </c>
      <c r="E194" s="2617"/>
      <c r="F194" s="2617"/>
      <c r="G194" s="2617"/>
      <c r="H194" s="2617"/>
      <c r="I194" s="2617"/>
      <c r="J194" s="2617"/>
      <c r="K194" s="2617"/>
      <c r="L194" s="2617"/>
      <c r="M194" s="2617"/>
      <c r="N194" s="2617"/>
      <c r="O194" s="2617"/>
      <c r="P194" s="2617"/>
      <c r="Q194" s="2722"/>
      <c r="R194" s="1970"/>
      <c r="S194" s="1837"/>
      <c r="T194" s="1837"/>
      <c r="U194" s="1838"/>
      <c r="V194" s="1837"/>
      <c r="W194" s="1838"/>
      <c r="X194" s="1839"/>
      <c r="Y194" s="1837"/>
      <c r="Z194" s="1837"/>
      <c r="AA194" s="1838"/>
      <c r="AB194" s="1837"/>
      <c r="AC194" s="1838"/>
      <c r="AD194" s="1837"/>
      <c r="AE194" s="1840"/>
      <c r="AF194" s="1837"/>
      <c r="AG194" s="1838"/>
      <c r="AH194" s="1837"/>
      <c r="AI194" s="1838"/>
      <c r="AJ194" s="1839"/>
      <c r="AK194" s="1837"/>
      <c r="AL194" s="1837"/>
      <c r="AM194" s="1838"/>
      <c r="AN194" s="1842"/>
      <c r="AO194" s="1838"/>
      <c r="AP194" s="1837"/>
      <c r="AQ194" s="1841" t="s">
        <v>8403</v>
      </c>
      <c r="AR194" s="1837"/>
      <c r="AS194" s="1838"/>
      <c r="AT194" s="1837"/>
      <c r="AU194" s="1838"/>
      <c r="AV194" s="1839"/>
      <c r="AW194" s="1840"/>
      <c r="AX194" s="1837"/>
      <c r="AY194" s="1838"/>
      <c r="AZ194" s="1837"/>
      <c r="BA194" s="1838"/>
      <c r="BB194" s="1839"/>
      <c r="BC194" s="1837"/>
      <c r="BD194" s="1837"/>
      <c r="BE194" s="1838"/>
      <c r="BF194" s="1837"/>
      <c r="BG194" s="1838"/>
      <c r="BH194" s="1837"/>
      <c r="BI194" s="1840"/>
      <c r="BJ194" s="1837"/>
      <c r="BK194" s="1838"/>
      <c r="BL194" s="1837"/>
      <c r="BM194" s="1838"/>
      <c r="BN194" s="1839"/>
      <c r="BO194" s="1840"/>
      <c r="BP194" s="1837"/>
      <c r="BQ194" s="1838"/>
      <c r="BR194" s="1837"/>
      <c r="BS194" s="1838"/>
      <c r="BT194" s="1839"/>
      <c r="BU194" s="1840"/>
      <c r="BV194" s="1837"/>
      <c r="BW194" s="1838"/>
      <c r="BX194" s="1837"/>
      <c r="BY194" s="1838"/>
      <c r="BZ194" s="1839"/>
      <c r="CA194" s="1840"/>
      <c r="CB194" s="1837"/>
      <c r="CC194" s="1838"/>
      <c r="CD194" s="1842"/>
      <c r="CE194" s="1838"/>
      <c r="CF194" s="1839"/>
      <c r="CG194" s="1840"/>
      <c r="CH194" s="1837"/>
      <c r="CI194" s="1838"/>
      <c r="CJ194" s="1837"/>
      <c r="CK194" s="1838"/>
      <c r="CL194" s="1844"/>
      <c r="CM194" s="1840"/>
      <c r="CN194" s="1837"/>
      <c r="CO194" s="1838"/>
      <c r="CP194" s="1837" t="s">
        <v>10607</v>
      </c>
      <c r="CQ194" s="1838"/>
      <c r="CR194" s="1839"/>
      <c r="CS194" s="1840"/>
      <c r="CT194" s="1837"/>
      <c r="CU194" s="1838"/>
      <c r="CV194" s="1837"/>
      <c r="CW194" s="1838"/>
      <c r="CX194" s="1839"/>
      <c r="CY194" s="1840"/>
      <c r="CZ194" s="1837"/>
      <c r="DA194" s="1838"/>
      <c r="DB194" s="1837"/>
      <c r="DC194" s="1838"/>
      <c r="DD194" s="1839"/>
      <c r="DE194" s="1840"/>
      <c r="DF194" s="1837"/>
      <c r="DG194" s="1838"/>
      <c r="DH194" s="1837"/>
      <c r="DI194" s="1838"/>
      <c r="DJ194" s="1839"/>
      <c r="DK194" s="1840"/>
      <c r="DL194" s="1837"/>
      <c r="DM194" s="1838"/>
      <c r="DN194" s="1837"/>
      <c r="DO194" s="1838"/>
      <c r="DP194" s="1837"/>
      <c r="DQ194" s="1853"/>
      <c r="DR194" s="1837"/>
      <c r="DS194" s="1838"/>
      <c r="DT194" s="1842"/>
      <c r="DU194" s="1837"/>
      <c r="DV194" s="1839"/>
      <c r="DW194" s="1840"/>
      <c r="DX194" s="1837"/>
      <c r="DY194" s="1838"/>
      <c r="DZ194" s="1837"/>
      <c r="EA194" s="1838"/>
      <c r="EB194" s="1839"/>
      <c r="EC194" s="1840"/>
      <c r="ED194" s="1837"/>
      <c r="EE194" s="1838"/>
      <c r="EF194" s="1837"/>
      <c r="EG194" s="1838"/>
      <c r="EH194" s="1839"/>
      <c r="EI194" s="1840"/>
      <c r="EJ194" s="1837"/>
      <c r="EK194" s="1838"/>
      <c r="EL194" s="1837"/>
      <c r="EM194" s="1838"/>
      <c r="EN194" s="1839"/>
      <c r="EO194" s="1840"/>
      <c r="EP194" s="1837"/>
      <c r="EQ194" s="1838"/>
      <c r="ER194" s="1837"/>
      <c r="ES194" s="1838"/>
      <c r="ET194" s="1839"/>
      <c r="EU194" s="1840"/>
      <c r="EV194" s="1837"/>
      <c r="EW194" s="1838"/>
      <c r="EX194" s="1837"/>
      <c r="EY194" s="1838"/>
      <c r="EZ194" s="1839"/>
      <c r="FA194" s="1840"/>
      <c r="FB194" s="1837"/>
      <c r="FC194" s="1838"/>
      <c r="FD194" s="1837"/>
      <c r="FE194" s="1838"/>
      <c r="FF194" s="1839"/>
      <c r="FG194" s="1840"/>
      <c r="FH194" s="1837"/>
      <c r="FI194" s="1838"/>
      <c r="FJ194" s="1837"/>
      <c r="FK194" s="1838"/>
      <c r="FL194" s="1839"/>
      <c r="FM194" s="1840"/>
      <c r="FN194" s="1837"/>
      <c r="FO194" s="1838"/>
      <c r="FP194" s="1837"/>
      <c r="FQ194" s="1838"/>
      <c r="FR194" s="1839"/>
      <c r="FS194" s="1840"/>
      <c r="FT194" s="1837"/>
      <c r="FU194" s="1838"/>
      <c r="FV194" s="1837"/>
      <c r="FW194" s="1838"/>
      <c r="FX194" s="1839"/>
      <c r="FY194" s="1840"/>
      <c r="FZ194" s="1837"/>
      <c r="GA194" s="1838"/>
      <c r="GB194" s="1837"/>
      <c r="GC194" s="1838"/>
      <c r="GD194" s="1839"/>
      <c r="GE194" s="1840"/>
      <c r="GF194" s="1837"/>
      <c r="GG194" s="1838"/>
      <c r="GH194" s="1837"/>
      <c r="GI194" s="1838"/>
      <c r="GJ194" s="1839"/>
      <c r="GK194" s="1840"/>
      <c r="GL194" s="1837"/>
      <c r="GM194" s="1838"/>
      <c r="GN194" s="1837"/>
      <c r="GO194" s="1838"/>
      <c r="GP194" s="1839"/>
    </row>
    <row r="195" spans="1:198" ht="20.100000000000001" hidden="1" customHeight="1" outlineLevel="1" collapsed="1">
      <c r="A195" s="2709"/>
      <c r="B195" s="2612"/>
      <c r="C195" s="1836"/>
      <c r="D195" s="2614" t="str">
        <f>実績!C1296&amp;"("&amp;SUBSTITUTE(実績!R1296&amp;")","有限会社 ","")</f>
        <v>菅原眼科(タカラスペースデザイン 株式会社)</v>
      </c>
      <c r="E195" s="2617"/>
      <c r="F195" s="2617"/>
      <c r="G195" s="2617"/>
      <c r="H195" s="2617"/>
      <c r="I195" s="2617"/>
      <c r="J195" s="2617"/>
      <c r="K195" s="2617"/>
      <c r="L195" s="2617"/>
      <c r="M195" s="2617"/>
      <c r="N195" s="2617"/>
      <c r="O195" s="2617"/>
      <c r="P195" s="2617"/>
      <c r="Q195" s="2722"/>
      <c r="R195" s="1970"/>
      <c r="S195" s="1837"/>
      <c r="T195" s="1837"/>
      <c r="U195" s="1838"/>
      <c r="V195" s="1837"/>
      <c r="W195" s="1838"/>
      <c r="X195" s="1839"/>
      <c r="Y195" s="1837"/>
      <c r="Z195" s="1837"/>
      <c r="AA195" s="1838"/>
      <c r="AB195" s="1837"/>
      <c r="AC195" s="1838"/>
      <c r="AD195" s="1837"/>
      <c r="AE195" s="1840"/>
      <c r="AF195" s="1837"/>
      <c r="AG195" s="1838"/>
      <c r="AH195" s="1837"/>
      <c r="AI195" s="1838"/>
      <c r="AJ195" s="1839"/>
      <c r="AK195" s="1837"/>
      <c r="AL195" s="1837"/>
      <c r="AM195" s="1838"/>
      <c r="AN195" s="1837"/>
      <c r="AO195" s="1838"/>
      <c r="AP195" s="1837"/>
      <c r="AQ195" s="1841"/>
      <c r="AR195" s="1837"/>
      <c r="AS195" s="1838"/>
      <c r="AT195" s="1837"/>
      <c r="AU195" s="1838"/>
      <c r="AV195" s="1839"/>
      <c r="AW195" s="1840"/>
      <c r="AX195" s="1837"/>
      <c r="AY195" s="1838"/>
      <c r="AZ195" s="1837"/>
      <c r="BA195" s="1838"/>
      <c r="BB195" s="1839"/>
      <c r="BC195" s="1837"/>
      <c r="BD195" s="1837"/>
      <c r="BE195" s="1838"/>
      <c r="BF195" s="1837"/>
      <c r="BG195" s="1838"/>
      <c r="BH195" s="1837"/>
      <c r="BI195" s="1840"/>
      <c r="BJ195" s="1837"/>
      <c r="BK195" s="1838"/>
      <c r="BL195" s="1837"/>
      <c r="BM195" s="1838"/>
      <c r="BN195" s="1839"/>
      <c r="BO195" s="1840"/>
      <c r="BP195" s="1837"/>
      <c r="BQ195" s="1838"/>
      <c r="BR195" s="1842"/>
      <c r="BS195" s="1838"/>
      <c r="BT195" s="1839"/>
      <c r="BU195" s="1840"/>
      <c r="BV195" s="1837"/>
      <c r="BW195" s="1838"/>
      <c r="BX195" s="1837"/>
      <c r="BY195" s="1838"/>
      <c r="BZ195" s="1839"/>
      <c r="CA195" s="1840"/>
      <c r="CB195" s="1837"/>
      <c r="CC195" s="1838"/>
      <c r="CD195" s="1837"/>
      <c r="CE195" s="1838"/>
      <c r="CF195" s="1839"/>
      <c r="CG195" s="1840"/>
      <c r="CH195" s="1837"/>
      <c r="CI195" s="1838"/>
      <c r="CJ195" s="1837"/>
      <c r="CK195" s="1838"/>
      <c r="CL195" s="1839"/>
      <c r="CM195" s="1840"/>
      <c r="CN195" s="1837"/>
      <c r="CO195" s="1838"/>
      <c r="CP195" s="1843"/>
      <c r="CQ195" s="1838" t="s">
        <v>10647</v>
      </c>
      <c r="CR195" s="1839"/>
      <c r="CS195" s="1840"/>
      <c r="CT195" s="1837"/>
      <c r="CU195" s="1838" t="s">
        <v>10695</v>
      </c>
      <c r="CV195" s="1837"/>
      <c r="CW195" s="1838"/>
      <c r="CX195" s="1839"/>
      <c r="CY195" s="1840"/>
      <c r="CZ195" s="1837"/>
      <c r="DA195" s="1838"/>
      <c r="DB195" s="1837"/>
      <c r="DC195" s="1838"/>
      <c r="DD195" s="1839"/>
      <c r="DE195" s="1840"/>
      <c r="DF195" s="1837"/>
      <c r="DG195" s="1838"/>
      <c r="DH195" s="1837"/>
      <c r="DI195" s="1838"/>
      <c r="DJ195" s="1839"/>
      <c r="DK195" s="1840"/>
      <c r="DL195" s="1837"/>
      <c r="DM195" s="1838"/>
      <c r="DN195" s="1837"/>
      <c r="DO195" s="1838"/>
      <c r="DP195" s="1837"/>
      <c r="DQ195" s="1853"/>
      <c r="DR195" s="1837"/>
      <c r="DS195" s="1838"/>
      <c r="DT195" s="1842"/>
      <c r="DU195" s="1837"/>
      <c r="DV195" s="1839"/>
      <c r="DW195" s="1837"/>
      <c r="DX195" s="1837"/>
      <c r="DY195" s="1837"/>
      <c r="DZ195" s="1837"/>
      <c r="EA195" s="1837"/>
      <c r="EB195" s="1839"/>
      <c r="EC195" s="1837"/>
      <c r="ED195" s="1837"/>
      <c r="EE195" s="1837"/>
      <c r="EF195" s="1837"/>
      <c r="EG195" s="1837"/>
      <c r="EH195" s="1839"/>
      <c r="EI195" s="1837"/>
      <c r="EJ195" s="1837"/>
      <c r="EK195" s="1837"/>
      <c r="EL195" s="1837"/>
      <c r="EM195" s="1837"/>
      <c r="EN195" s="1839"/>
      <c r="EO195" s="1837"/>
      <c r="EP195" s="1837"/>
      <c r="EQ195" s="1837"/>
      <c r="ER195" s="1837"/>
      <c r="ES195" s="1837"/>
      <c r="ET195" s="1839"/>
      <c r="EU195" s="1837"/>
      <c r="EV195" s="1837"/>
      <c r="EW195" s="1837"/>
      <c r="EX195" s="1837"/>
      <c r="EY195" s="1837"/>
      <c r="EZ195" s="1839"/>
      <c r="FA195" s="1837"/>
      <c r="FB195" s="1837"/>
      <c r="FC195" s="1837"/>
      <c r="FD195" s="1837"/>
      <c r="FE195" s="1837"/>
      <c r="FF195" s="1839"/>
      <c r="FG195" s="1837"/>
      <c r="FH195" s="1837"/>
      <c r="FI195" s="1837"/>
      <c r="FJ195" s="1837"/>
      <c r="FK195" s="1837"/>
      <c r="FL195" s="1839"/>
      <c r="FM195" s="1837"/>
      <c r="FN195" s="1837"/>
      <c r="FO195" s="1837"/>
      <c r="FP195" s="1837"/>
      <c r="FQ195" s="1837"/>
      <c r="FR195" s="1839"/>
      <c r="FS195" s="1837"/>
      <c r="FT195" s="1837"/>
      <c r="FU195" s="1837"/>
      <c r="FV195" s="1837"/>
      <c r="FW195" s="1837"/>
      <c r="FX195" s="1839"/>
      <c r="FY195" s="1837"/>
      <c r="FZ195" s="1837"/>
      <c r="GA195" s="1837"/>
      <c r="GB195" s="1837"/>
      <c r="GC195" s="1837"/>
      <c r="GD195" s="1839"/>
      <c r="GE195" s="1837"/>
      <c r="GF195" s="1837"/>
      <c r="GG195" s="1837"/>
      <c r="GH195" s="1837"/>
      <c r="GI195" s="1837"/>
      <c r="GJ195" s="1839"/>
      <c r="GK195" s="1837"/>
      <c r="GL195" s="1837"/>
      <c r="GM195" s="1837"/>
      <c r="GN195" s="1837"/>
      <c r="GO195" s="1837"/>
      <c r="GP195" s="1839"/>
    </row>
    <row r="196" spans="1:198" ht="20.100000000000001" hidden="1" customHeight="1" outlineLevel="1">
      <c r="A196" s="2709"/>
      <c r="B196" s="2612"/>
      <c r="C196" s="1836"/>
      <c r="D196" s="2614" t="str">
        <f>実績!C1295&amp;"("&amp;SUBSTITUTE(実績!R1295&amp;")"," 株式会社","")</f>
        <v>マクドナルド与那原(株式会社 大屋設計)</v>
      </c>
      <c r="E196" s="2617"/>
      <c r="F196" s="2617"/>
      <c r="G196" s="2617"/>
      <c r="H196" s="2617"/>
      <c r="I196" s="2617"/>
      <c r="J196" s="2617"/>
      <c r="K196" s="2617"/>
      <c r="L196" s="2617"/>
      <c r="M196" s="2617"/>
      <c r="N196" s="2617"/>
      <c r="O196" s="2617"/>
      <c r="P196" s="2617"/>
      <c r="Q196" s="2722"/>
      <c r="R196" s="1970"/>
      <c r="S196" s="1837"/>
      <c r="T196" s="1837"/>
      <c r="U196" s="1838"/>
      <c r="V196" s="1837"/>
      <c r="W196" s="1838"/>
      <c r="X196" s="1839"/>
      <c r="Y196" s="1837"/>
      <c r="Z196" s="1837"/>
      <c r="AA196" s="1838"/>
      <c r="AB196" s="1837"/>
      <c r="AC196" s="1838"/>
      <c r="AD196" s="1837"/>
      <c r="AE196" s="1840"/>
      <c r="AF196" s="1837"/>
      <c r="AG196" s="1838"/>
      <c r="AH196" s="1837"/>
      <c r="AI196" s="1838"/>
      <c r="AJ196" s="1839"/>
      <c r="AK196" s="1837"/>
      <c r="AL196" s="1837"/>
      <c r="AM196" s="1838"/>
      <c r="AN196" s="1837"/>
      <c r="AO196" s="1838"/>
      <c r="AP196" s="1837"/>
      <c r="AQ196" s="1841"/>
      <c r="AR196" s="1837"/>
      <c r="AS196" s="1838"/>
      <c r="AT196" s="1837"/>
      <c r="AU196" s="1838"/>
      <c r="AV196" s="1839"/>
      <c r="AW196" s="1840"/>
      <c r="AX196" s="1837"/>
      <c r="AY196" s="1838"/>
      <c r="AZ196" s="1837"/>
      <c r="BA196" s="1838"/>
      <c r="BB196" s="1839"/>
      <c r="BC196" s="1837"/>
      <c r="BD196" s="1837"/>
      <c r="BE196" s="1838"/>
      <c r="BF196" s="1837"/>
      <c r="BG196" s="1838"/>
      <c r="BH196" s="1837"/>
      <c r="BI196" s="1840"/>
      <c r="BJ196" s="1837"/>
      <c r="BK196" s="1838"/>
      <c r="BL196" s="1837"/>
      <c r="BM196" s="1838"/>
      <c r="BN196" s="1839"/>
      <c r="BO196" s="1840"/>
      <c r="BP196" s="1837"/>
      <c r="BQ196" s="1838"/>
      <c r="BR196" s="1842"/>
      <c r="BS196" s="1838"/>
      <c r="BT196" s="1839"/>
      <c r="BU196" s="1840"/>
      <c r="BV196" s="1837"/>
      <c r="BW196" s="1838"/>
      <c r="BX196" s="1837"/>
      <c r="BY196" s="1838"/>
      <c r="BZ196" s="1839"/>
      <c r="CA196" s="1840"/>
      <c r="CB196" s="1837"/>
      <c r="CC196" s="1838"/>
      <c r="CD196" s="1837"/>
      <c r="CE196" s="1838"/>
      <c r="CF196" s="1839"/>
      <c r="CG196" s="1840"/>
      <c r="CH196" s="1837"/>
      <c r="CI196" s="1838"/>
      <c r="CJ196" s="1837"/>
      <c r="CK196" s="1838"/>
      <c r="CL196" s="1839"/>
      <c r="CM196" s="1840"/>
      <c r="CN196" s="1837"/>
      <c r="CO196" s="1838"/>
      <c r="CP196" s="1843"/>
      <c r="CQ196" s="1838" t="s">
        <v>10607</v>
      </c>
      <c r="CR196" s="1839"/>
      <c r="CS196" s="1840"/>
      <c r="CT196" s="1837"/>
      <c r="CU196" s="1838"/>
      <c r="CV196" s="1837"/>
      <c r="CW196" s="1838"/>
      <c r="CX196" s="1839"/>
      <c r="CY196" s="1840"/>
      <c r="CZ196" s="1837"/>
      <c r="DA196" s="1838"/>
      <c r="DB196" s="1837"/>
      <c r="DC196" s="1838"/>
      <c r="DD196" s="1839"/>
      <c r="DE196" s="1840"/>
      <c r="DF196" s="1837"/>
      <c r="DG196" s="1838"/>
      <c r="DH196" s="1837"/>
      <c r="DI196" s="1838"/>
      <c r="DJ196" s="1839"/>
      <c r="DK196" s="1840"/>
      <c r="DL196" s="1837"/>
      <c r="DM196" s="1838"/>
      <c r="DN196" s="1837"/>
      <c r="DO196" s="1838"/>
      <c r="DP196" s="1837"/>
      <c r="DQ196" s="1853"/>
      <c r="DR196" s="1837"/>
      <c r="DS196" s="1838"/>
      <c r="DT196" s="1842"/>
      <c r="DU196" s="1837"/>
      <c r="DV196" s="1839"/>
      <c r="DW196" s="1840"/>
      <c r="DX196" s="1837"/>
      <c r="DY196" s="1838"/>
      <c r="DZ196" s="1837"/>
      <c r="EA196" s="1838"/>
      <c r="EB196" s="1839"/>
      <c r="EC196" s="1840"/>
      <c r="ED196" s="1837"/>
      <c r="EE196" s="1838"/>
      <c r="EF196" s="1837"/>
      <c r="EG196" s="1838"/>
      <c r="EH196" s="1839"/>
      <c r="EI196" s="1840"/>
      <c r="EJ196" s="1837"/>
      <c r="EK196" s="1838"/>
      <c r="EL196" s="1837"/>
      <c r="EM196" s="1838"/>
      <c r="EN196" s="1839"/>
      <c r="EO196" s="1840"/>
      <c r="EP196" s="1837"/>
      <c r="EQ196" s="1838"/>
      <c r="ER196" s="1837"/>
      <c r="ES196" s="1838"/>
      <c r="ET196" s="1839"/>
      <c r="EU196" s="1840"/>
      <c r="EV196" s="1837"/>
      <c r="EW196" s="1838"/>
      <c r="EX196" s="1837"/>
      <c r="EY196" s="1838"/>
      <c r="EZ196" s="1839"/>
      <c r="FA196" s="1840"/>
      <c r="FB196" s="1837"/>
      <c r="FC196" s="1838"/>
      <c r="FD196" s="1837"/>
      <c r="FE196" s="1838"/>
      <c r="FF196" s="1839"/>
      <c r="FG196" s="1840"/>
      <c r="FH196" s="1837"/>
      <c r="FI196" s="1838"/>
      <c r="FJ196" s="1837"/>
      <c r="FK196" s="1838"/>
      <c r="FL196" s="1839"/>
      <c r="FM196" s="1840"/>
      <c r="FN196" s="1837"/>
      <c r="FO196" s="1838"/>
      <c r="FP196" s="1837"/>
      <c r="FQ196" s="1838"/>
      <c r="FR196" s="1839"/>
      <c r="FS196" s="1840"/>
      <c r="FT196" s="1837"/>
      <c r="FU196" s="1838"/>
      <c r="FV196" s="1837"/>
      <c r="FW196" s="1838"/>
      <c r="FX196" s="1839"/>
      <c r="FY196" s="1840"/>
      <c r="FZ196" s="1837"/>
      <c r="GA196" s="1838"/>
      <c r="GB196" s="1837"/>
      <c r="GC196" s="1838"/>
      <c r="GD196" s="1839"/>
      <c r="GE196" s="1840"/>
      <c r="GF196" s="1837"/>
      <c r="GG196" s="1838"/>
      <c r="GH196" s="1837"/>
      <c r="GI196" s="1838"/>
      <c r="GJ196" s="1839"/>
      <c r="GK196" s="1840"/>
      <c r="GL196" s="1837"/>
      <c r="GM196" s="1838"/>
      <c r="GN196" s="1837"/>
      <c r="GO196" s="1838"/>
      <c r="GP196" s="1839"/>
    </row>
    <row r="197" spans="1:198" ht="20.100000000000001" hidden="1" customHeight="1" outlineLevel="1" collapsed="1">
      <c r="A197" s="2709"/>
      <c r="B197" s="2612"/>
      <c r="C197" s="1836"/>
      <c r="D197" s="2614" t="str">
        <f>実績!C1294&amp;"("&amp;SUBSTITUTE(実績!R1294&amp;")","株式会社 ","")</f>
        <v>エスラインギフ川口(市川工務店)</v>
      </c>
      <c r="E197" s="2617"/>
      <c r="F197" s="2617"/>
      <c r="G197" s="2617"/>
      <c r="H197" s="2617"/>
      <c r="I197" s="2617"/>
      <c r="J197" s="2617"/>
      <c r="K197" s="2617"/>
      <c r="L197" s="2617"/>
      <c r="M197" s="2617"/>
      <c r="N197" s="2617"/>
      <c r="O197" s="2617"/>
      <c r="P197" s="2617"/>
      <c r="Q197" s="2617"/>
      <c r="R197" s="2622"/>
      <c r="S197" s="1837"/>
      <c r="T197" s="1837"/>
      <c r="U197" s="1838"/>
      <c r="V197" s="1837"/>
      <c r="W197" s="1838"/>
      <c r="X197" s="1839"/>
      <c r="Y197" s="1837"/>
      <c r="Z197" s="1837"/>
      <c r="AA197" s="1838"/>
      <c r="AB197" s="1837"/>
      <c r="AC197" s="1838"/>
      <c r="AD197" s="1837"/>
      <c r="AE197" s="1840"/>
      <c r="AF197" s="1837"/>
      <c r="AG197" s="1838"/>
      <c r="AH197" s="1837"/>
      <c r="AI197" s="1838"/>
      <c r="AJ197" s="1839"/>
      <c r="AK197" s="1837"/>
      <c r="AL197" s="1837"/>
      <c r="AM197" s="1838"/>
      <c r="AN197" s="1837"/>
      <c r="AO197" s="1838"/>
      <c r="AP197" s="1837"/>
      <c r="AQ197" s="1841"/>
      <c r="AR197" s="1837"/>
      <c r="AS197" s="1838"/>
      <c r="AT197" s="1837"/>
      <c r="AU197" s="1838"/>
      <c r="AV197" s="1839"/>
      <c r="AW197" s="1840"/>
      <c r="AX197" s="1837"/>
      <c r="AY197" s="1838"/>
      <c r="AZ197" s="1837"/>
      <c r="BA197" s="1838"/>
      <c r="BB197" s="1839"/>
      <c r="BC197" s="1837"/>
      <c r="BD197" s="1837"/>
      <c r="BE197" s="1838"/>
      <c r="BF197" s="1837"/>
      <c r="BG197" s="1838"/>
      <c r="BH197" s="1837"/>
      <c r="BI197" s="1840"/>
      <c r="BJ197" s="1837"/>
      <c r="BK197" s="1838"/>
      <c r="BL197" s="1837"/>
      <c r="BM197" s="1838"/>
      <c r="BN197" s="1839"/>
      <c r="BO197" s="1840"/>
      <c r="BP197" s="1837"/>
      <c r="BQ197" s="1838"/>
      <c r="BR197" s="1842"/>
      <c r="BS197" s="1838"/>
      <c r="BT197" s="1839"/>
      <c r="BU197" s="1840"/>
      <c r="BV197" s="1837"/>
      <c r="BW197" s="1838"/>
      <c r="BX197" s="1837"/>
      <c r="BY197" s="1838"/>
      <c r="BZ197" s="1839"/>
      <c r="CA197" s="1840"/>
      <c r="CB197" s="1837"/>
      <c r="CC197" s="1838"/>
      <c r="CD197" s="1837"/>
      <c r="CE197" s="1838"/>
      <c r="CF197" s="1839"/>
      <c r="CG197" s="1840"/>
      <c r="CH197" s="1837"/>
      <c r="CI197" s="1838"/>
      <c r="CJ197" s="1837"/>
      <c r="CK197" s="1838"/>
      <c r="CL197" s="1839"/>
      <c r="CM197" s="1840"/>
      <c r="CN197" s="1837"/>
      <c r="CO197" s="1838"/>
      <c r="CP197" s="1843"/>
      <c r="CQ197" s="1838"/>
      <c r="CR197" s="1839"/>
      <c r="CS197" s="1840" t="s">
        <v>10591</v>
      </c>
      <c r="CT197" s="1837"/>
      <c r="CU197" s="1838"/>
      <c r="CV197" s="1837"/>
      <c r="CW197" s="1838"/>
      <c r="CX197" s="1839"/>
      <c r="CY197" s="1840"/>
      <c r="CZ197" s="1837"/>
      <c r="DA197" s="1838"/>
      <c r="DB197" s="1837"/>
      <c r="DC197" s="1838"/>
      <c r="DD197" s="1839"/>
      <c r="DE197" s="1840" t="s">
        <v>10754</v>
      </c>
      <c r="DF197" s="1837"/>
      <c r="DG197" s="1838"/>
      <c r="DH197" s="1837"/>
      <c r="DI197" s="1838"/>
      <c r="DJ197" s="1839"/>
      <c r="DK197" s="1840"/>
      <c r="DL197" s="1837"/>
      <c r="DM197" s="1838"/>
      <c r="DN197" s="1837"/>
      <c r="DO197" s="1838"/>
      <c r="DP197" s="1837"/>
      <c r="DQ197" s="1853"/>
      <c r="DR197" s="1837"/>
      <c r="DS197" s="1838"/>
      <c r="DT197" s="1842"/>
      <c r="DU197" s="1837"/>
      <c r="DV197" s="1839"/>
      <c r="DW197" s="1840"/>
      <c r="DX197" s="1837"/>
      <c r="DY197" s="1838"/>
      <c r="DZ197" s="1837"/>
      <c r="EA197" s="1838"/>
      <c r="EB197" s="1839"/>
      <c r="EC197" s="1840"/>
      <c r="ED197" s="1837"/>
      <c r="EE197" s="1838"/>
      <c r="EF197" s="1837"/>
      <c r="EG197" s="1838"/>
      <c r="EH197" s="1839"/>
      <c r="EI197" s="1840"/>
      <c r="EJ197" s="1837"/>
      <c r="EK197" s="1838"/>
      <c r="EL197" s="1837"/>
      <c r="EM197" s="1838"/>
      <c r="EN197" s="1839"/>
      <c r="EO197" s="1840"/>
      <c r="EP197" s="1837"/>
      <c r="EQ197" s="1838"/>
      <c r="ER197" s="1837"/>
      <c r="ES197" s="1838"/>
      <c r="ET197" s="1839"/>
      <c r="EU197" s="1840"/>
      <c r="EV197" s="1837"/>
      <c r="EW197" s="1838"/>
      <c r="EX197" s="1837"/>
      <c r="EY197" s="1838"/>
      <c r="EZ197" s="1839"/>
      <c r="FA197" s="1840"/>
      <c r="FB197" s="1837"/>
      <c r="FC197" s="1838"/>
      <c r="FD197" s="1837"/>
      <c r="FE197" s="1838"/>
      <c r="FF197" s="1839"/>
      <c r="FG197" s="1840"/>
      <c r="FH197" s="1837"/>
      <c r="FI197" s="1838"/>
      <c r="FJ197" s="1837"/>
      <c r="FK197" s="1838"/>
      <c r="FL197" s="1839"/>
      <c r="FM197" s="1840"/>
      <c r="FN197" s="1837"/>
      <c r="FO197" s="1838"/>
      <c r="FP197" s="1837"/>
      <c r="FQ197" s="1838"/>
      <c r="FR197" s="1839"/>
      <c r="FS197" s="1840"/>
      <c r="FT197" s="1837"/>
      <c r="FU197" s="1838"/>
      <c r="FV197" s="1837"/>
      <c r="FW197" s="1838"/>
      <c r="FX197" s="1839"/>
      <c r="FY197" s="1840"/>
      <c r="FZ197" s="1837"/>
      <c r="GA197" s="1838"/>
      <c r="GB197" s="1837"/>
      <c r="GC197" s="1838"/>
      <c r="GD197" s="1839"/>
      <c r="GE197" s="1840"/>
      <c r="GF197" s="1837"/>
      <c r="GG197" s="1838"/>
      <c r="GH197" s="1837"/>
      <c r="GI197" s="1838"/>
      <c r="GJ197" s="1839"/>
      <c r="GK197" s="1840"/>
      <c r="GL197" s="1837"/>
      <c r="GM197" s="1838"/>
      <c r="GN197" s="1837"/>
      <c r="GO197" s="1838"/>
      <c r="GP197" s="1839"/>
    </row>
    <row r="198" spans="1:198" ht="20.100000000000001" hidden="1" customHeight="1" outlineLevel="1">
      <c r="A198" s="2709"/>
      <c r="B198" s="2612"/>
      <c r="C198" s="1836"/>
      <c r="D198" s="2614" t="str">
        <f>実績!C1288&amp;"("&amp;SUBSTITUTE(実績!R1288&amp;")","株式会社 ","")</f>
        <v>酒田福祉会 地域密着型介護老人福祉施設・歯科ｸﾘﾆｯｸ(新藤建築設計事務所)</v>
      </c>
      <c r="E198" s="2617"/>
      <c r="F198" s="2617"/>
      <c r="G198" s="2617"/>
      <c r="H198" s="2617"/>
      <c r="I198" s="2617"/>
      <c r="J198" s="2617"/>
      <c r="K198" s="2617"/>
      <c r="L198" s="2617"/>
      <c r="M198" s="2617"/>
      <c r="N198" s="2617"/>
      <c r="O198" s="2617"/>
      <c r="P198" s="2617"/>
      <c r="Q198" s="2617"/>
      <c r="R198" s="2622"/>
      <c r="S198" s="1837"/>
      <c r="T198" s="1837"/>
      <c r="U198" s="1838"/>
      <c r="V198" s="1837"/>
      <c r="W198" s="1838"/>
      <c r="X198" s="1839"/>
      <c r="Y198" s="1837"/>
      <c r="Z198" s="1837"/>
      <c r="AA198" s="1838"/>
      <c r="AB198" s="1837"/>
      <c r="AC198" s="1838"/>
      <c r="AD198" s="1837"/>
      <c r="AE198" s="1840"/>
      <c r="AF198" s="1837"/>
      <c r="AG198" s="1838"/>
      <c r="AH198" s="1837"/>
      <c r="AI198" s="1838"/>
      <c r="AJ198" s="1839"/>
      <c r="AK198" s="1837"/>
      <c r="AL198" s="1837"/>
      <c r="AM198" s="1838"/>
      <c r="AN198" s="1837"/>
      <c r="AO198" s="1838"/>
      <c r="AP198" s="1837"/>
      <c r="AQ198" s="1841"/>
      <c r="AR198" s="1837"/>
      <c r="AS198" s="1838"/>
      <c r="AT198" s="1837"/>
      <c r="AU198" s="1838"/>
      <c r="AV198" s="1839"/>
      <c r="AW198" s="1840"/>
      <c r="AX198" s="1837"/>
      <c r="AY198" s="1838"/>
      <c r="AZ198" s="1837"/>
      <c r="BA198" s="1838"/>
      <c r="BB198" s="1839"/>
      <c r="BC198" s="1837"/>
      <c r="BD198" s="1837"/>
      <c r="BE198" s="1838"/>
      <c r="BF198" s="1837"/>
      <c r="BG198" s="1838"/>
      <c r="BH198" s="1837"/>
      <c r="BI198" s="1840"/>
      <c r="BJ198" s="1837"/>
      <c r="BK198" s="1838"/>
      <c r="BL198" s="1837"/>
      <c r="BM198" s="1838"/>
      <c r="BN198" s="1839"/>
      <c r="BO198" s="1840"/>
      <c r="BP198" s="1837"/>
      <c r="BQ198" s="1838"/>
      <c r="BR198" s="1837"/>
      <c r="BS198" s="1838"/>
      <c r="BT198" s="1839"/>
      <c r="BU198" s="1840"/>
      <c r="BV198" s="1837"/>
      <c r="BW198" s="1838"/>
      <c r="BX198" s="1837"/>
      <c r="BY198" s="1838"/>
      <c r="BZ198" s="1839"/>
      <c r="CA198" s="1840"/>
      <c r="CB198" s="1837"/>
      <c r="CC198" s="1838"/>
      <c r="CD198" s="1837"/>
      <c r="CE198" s="1838"/>
      <c r="CF198" s="1839"/>
      <c r="CG198" s="1840"/>
      <c r="CH198" s="1837"/>
      <c r="CI198" s="1838"/>
      <c r="CJ198" s="1837"/>
      <c r="CK198" s="1838"/>
      <c r="CL198" s="1844"/>
      <c r="CM198" s="1840"/>
      <c r="CN198" s="1837"/>
      <c r="CO198" s="1838"/>
      <c r="CP198" s="1837"/>
      <c r="CQ198" s="1838"/>
      <c r="CR198" s="1839"/>
      <c r="CS198" s="1840" t="s">
        <v>10607</v>
      </c>
      <c r="CT198" s="1837"/>
      <c r="CU198" s="1838"/>
      <c r="CV198" s="1837"/>
      <c r="CW198" s="1838"/>
      <c r="CX198" s="1839"/>
      <c r="CY198" s="1840" t="s">
        <v>8145</v>
      </c>
      <c r="CZ198" s="1837"/>
      <c r="DA198" s="1838"/>
      <c r="DB198" s="1842"/>
      <c r="DC198" s="1838"/>
      <c r="DD198" s="1839"/>
      <c r="DE198" s="1840"/>
      <c r="DF198" s="1837"/>
      <c r="DG198" s="1838"/>
      <c r="DH198" s="1837"/>
      <c r="DI198" s="1838"/>
      <c r="DJ198" s="1839"/>
      <c r="DK198" s="1840"/>
      <c r="DL198" s="1837"/>
      <c r="DM198" s="1838"/>
      <c r="DN198" s="1842"/>
      <c r="DO198" s="1838"/>
      <c r="DP198" s="1837"/>
      <c r="DQ198" s="1853"/>
      <c r="DR198" s="1837"/>
      <c r="DS198" s="1838"/>
      <c r="DT198" s="1842"/>
      <c r="DU198" s="1837"/>
      <c r="DV198" s="1839"/>
      <c r="DW198" s="1840"/>
      <c r="DX198" s="1837"/>
      <c r="DY198" s="1838"/>
      <c r="DZ198" s="1842"/>
      <c r="EA198" s="1838"/>
      <c r="EB198" s="1839"/>
      <c r="EC198" s="1840"/>
      <c r="ED198" s="1837"/>
      <c r="EE198" s="1838"/>
      <c r="EF198" s="1842"/>
      <c r="EG198" s="1838"/>
      <c r="EH198" s="1839"/>
      <c r="EI198" s="1840"/>
      <c r="EJ198" s="1837"/>
      <c r="EK198" s="1838"/>
      <c r="EL198" s="1842"/>
      <c r="EM198" s="1838"/>
      <c r="EN198" s="1839"/>
      <c r="EO198" s="1840"/>
      <c r="EP198" s="1837"/>
      <c r="EQ198" s="1838"/>
      <c r="ER198" s="1842"/>
      <c r="ES198" s="1838"/>
      <c r="ET198" s="1839"/>
      <c r="EU198" s="1840"/>
      <c r="EV198" s="1837"/>
      <c r="EW198" s="1838"/>
      <c r="EX198" s="1842"/>
      <c r="EY198" s="1838"/>
      <c r="EZ198" s="1839"/>
      <c r="FA198" s="1840"/>
      <c r="FB198" s="1837"/>
      <c r="FC198" s="1838"/>
      <c r="FD198" s="1842"/>
      <c r="FE198" s="1838"/>
      <c r="FF198" s="1839"/>
      <c r="FG198" s="1840"/>
      <c r="FH198" s="1837"/>
      <c r="FI198" s="1838"/>
      <c r="FJ198" s="1842"/>
      <c r="FK198" s="1838"/>
      <c r="FL198" s="1839"/>
      <c r="FM198" s="1840"/>
      <c r="FN198" s="1837"/>
      <c r="FO198" s="1838"/>
      <c r="FP198" s="1842"/>
      <c r="FQ198" s="1838"/>
      <c r="FR198" s="1839"/>
      <c r="FS198" s="1840"/>
      <c r="FT198" s="1837"/>
      <c r="FU198" s="1838"/>
      <c r="FV198" s="1842"/>
      <c r="FW198" s="1838"/>
      <c r="FX198" s="1839"/>
      <c r="FY198" s="1840"/>
      <c r="FZ198" s="1837"/>
      <c r="GA198" s="1838"/>
      <c r="GB198" s="1842"/>
      <c r="GC198" s="1838"/>
      <c r="GD198" s="1839"/>
      <c r="GE198" s="1840"/>
      <c r="GF198" s="1837"/>
      <c r="GG198" s="1838"/>
      <c r="GH198" s="1842"/>
      <c r="GI198" s="1838"/>
      <c r="GJ198" s="1839"/>
      <c r="GK198" s="1840"/>
      <c r="GL198" s="1837"/>
      <c r="GM198" s="1838"/>
      <c r="GN198" s="1842"/>
      <c r="GO198" s="1838"/>
      <c r="GP198" s="1839"/>
    </row>
    <row r="199" spans="1:198" ht="20.100000000000001" hidden="1" customHeight="1" outlineLevel="1" collapsed="1">
      <c r="A199" s="2709"/>
      <c r="B199" s="2612"/>
      <c r="C199" s="1836"/>
      <c r="D199" s="2614" t="str">
        <f>実績!C1297&amp;"("&amp;SUBSTITUTE(実績!W1297&amp;")"," 株式会社","")</f>
        <v>東京国際空港リサイクルセンター リサイクル棟(日成ビルド工業)</v>
      </c>
      <c r="E199" s="2617"/>
      <c r="F199" s="2617"/>
      <c r="G199" s="2617"/>
      <c r="H199" s="2617"/>
      <c r="I199" s="2617"/>
      <c r="J199" s="2617"/>
      <c r="K199" s="2617"/>
      <c r="L199" s="2617"/>
      <c r="M199" s="2617"/>
      <c r="N199" s="2617"/>
      <c r="O199" s="2617"/>
      <c r="P199" s="2617"/>
      <c r="Q199" s="2617"/>
      <c r="R199" s="2622"/>
      <c r="S199" s="1837"/>
      <c r="T199" s="1837"/>
      <c r="U199" s="1838"/>
      <c r="V199" s="1837"/>
      <c r="W199" s="1838"/>
      <c r="X199" s="1839"/>
      <c r="Y199" s="1837"/>
      <c r="Z199" s="1837"/>
      <c r="AA199" s="1838"/>
      <c r="AB199" s="1837"/>
      <c r="AC199" s="1838"/>
      <c r="AD199" s="1837"/>
      <c r="AE199" s="1840"/>
      <c r="AF199" s="1837"/>
      <c r="AG199" s="1838"/>
      <c r="AH199" s="1837"/>
      <c r="AI199" s="1838"/>
      <c r="AJ199" s="1839"/>
      <c r="AK199" s="1837"/>
      <c r="AL199" s="1837"/>
      <c r="AM199" s="1838"/>
      <c r="AN199" s="1837"/>
      <c r="AO199" s="1838"/>
      <c r="AP199" s="1837"/>
      <c r="AQ199" s="1841"/>
      <c r="AR199" s="1837"/>
      <c r="AS199" s="1838"/>
      <c r="AT199" s="1837"/>
      <c r="AU199" s="1838"/>
      <c r="AV199" s="1839"/>
      <c r="AW199" s="1840"/>
      <c r="AX199" s="1837"/>
      <c r="AY199" s="1838"/>
      <c r="AZ199" s="1837"/>
      <c r="BA199" s="1838"/>
      <c r="BB199" s="1839"/>
      <c r="BC199" s="1837"/>
      <c r="BD199" s="1837"/>
      <c r="BE199" s="1838"/>
      <c r="BF199" s="1837"/>
      <c r="BG199" s="1838"/>
      <c r="BH199" s="1837"/>
      <c r="BI199" s="1840"/>
      <c r="BJ199" s="1837"/>
      <c r="BK199" s="1838"/>
      <c r="BL199" s="1837"/>
      <c r="BM199" s="1838"/>
      <c r="BN199" s="1839"/>
      <c r="BO199" s="1840"/>
      <c r="BP199" s="1837"/>
      <c r="BQ199" s="1838"/>
      <c r="BR199" s="1842"/>
      <c r="BS199" s="1838"/>
      <c r="BT199" s="1839"/>
      <c r="BU199" s="1840"/>
      <c r="BV199" s="1837"/>
      <c r="BW199" s="1838"/>
      <c r="BX199" s="1837"/>
      <c r="BY199" s="1838"/>
      <c r="BZ199" s="1839"/>
      <c r="CA199" s="1840"/>
      <c r="CB199" s="1837"/>
      <c r="CC199" s="1838"/>
      <c r="CD199" s="1837"/>
      <c r="CE199" s="1838"/>
      <c r="CF199" s="1839"/>
      <c r="CG199" s="1840"/>
      <c r="CH199" s="1837"/>
      <c r="CI199" s="1838"/>
      <c r="CJ199" s="1837"/>
      <c r="CK199" s="1838"/>
      <c r="CL199" s="1839"/>
      <c r="CM199" s="1840"/>
      <c r="CN199" s="1837"/>
      <c r="CO199" s="1838"/>
      <c r="CP199" s="1843"/>
      <c r="CQ199" s="1838"/>
      <c r="CR199" s="1839"/>
      <c r="CS199" s="1840" t="s">
        <v>10743</v>
      </c>
      <c r="CT199" s="1837"/>
      <c r="CU199" s="1838"/>
      <c r="CV199" s="1837"/>
      <c r="CW199" s="1838"/>
      <c r="CX199" s="1839"/>
      <c r="CY199" s="1840"/>
      <c r="CZ199" s="1837"/>
      <c r="DA199" s="1838"/>
      <c r="DB199" s="1837"/>
      <c r="DC199" s="1838"/>
      <c r="DD199" s="1839"/>
      <c r="DE199" s="1840" t="s">
        <v>10764</v>
      </c>
      <c r="DF199" s="1837"/>
      <c r="DG199" s="1838"/>
      <c r="DH199" s="1837"/>
      <c r="DI199" s="1838"/>
      <c r="DJ199" s="1839"/>
      <c r="DK199" s="1840"/>
      <c r="DL199" s="1837"/>
      <c r="DM199" s="1838"/>
      <c r="DN199" s="1837"/>
      <c r="DO199" s="1838"/>
      <c r="DP199" s="1837"/>
      <c r="DQ199" s="1853"/>
      <c r="DR199" s="1837"/>
      <c r="DS199" s="1838"/>
      <c r="DT199" s="1842"/>
      <c r="DU199" s="1837"/>
      <c r="DV199" s="1839"/>
      <c r="DW199" s="1840"/>
      <c r="DX199" s="1837"/>
      <c r="DY199" s="1838"/>
      <c r="DZ199" s="1837"/>
      <c r="EA199" s="1838"/>
      <c r="EB199" s="1839"/>
      <c r="EC199" s="1840"/>
      <c r="ED199" s="1837"/>
      <c r="EE199" s="1838"/>
      <c r="EF199" s="1837"/>
      <c r="EG199" s="1838"/>
      <c r="EH199" s="1839"/>
      <c r="EI199" s="1840"/>
      <c r="EJ199" s="1837"/>
      <c r="EK199" s="1838"/>
      <c r="EL199" s="1837"/>
      <c r="EM199" s="1838"/>
      <c r="EN199" s="1839"/>
      <c r="EO199" s="1840"/>
      <c r="EP199" s="1837"/>
      <c r="EQ199" s="1838"/>
      <c r="ER199" s="1837"/>
      <c r="ES199" s="1838"/>
      <c r="ET199" s="1839"/>
      <c r="EU199" s="1840"/>
      <c r="EV199" s="1837"/>
      <c r="EW199" s="1838"/>
      <c r="EX199" s="1837"/>
      <c r="EY199" s="1838"/>
      <c r="EZ199" s="1839"/>
      <c r="FA199" s="1840"/>
      <c r="FB199" s="1837"/>
      <c r="FC199" s="1838"/>
      <c r="FD199" s="1837"/>
      <c r="FE199" s="1838"/>
      <c r="FF199" s="1839"/>
      <c r="FG199" s="1840"/>
      <c r="FH199" s="1837"/>
      <c r="FI199" s="1838"/>
      <c r="FJ199" s="1837"/>
      <c r="FK199" s="1838"/>
      <c r="FL199" s="1839"/>
      <c r="FM199" s="1840"/>
      <c r="FN199" s="1837"/>
      <c r="FO199" s="1838"/>
      <c r="FP199" s="1837"/>
      <c r="FQ199" s="1838"/>
      <c r="FR199" s="1839"/>
      <c r="FS199" s="1840"/>
      <c r="FT199" s="1837"/>
      <c r="FU199" s="1838"/>
      <c r="FV199" s="1837"/>
      <c r="FW199" s="1838"/>
      <c r="FX199" s="1839"/>
      <c r="FY199" s="1840"/>
      <c r="FZ199" s="1837"/>
      <c r="GA199" s="1838"/>
      <c r="GB199" s="1837"/>
      <c r="GC199" s="1838"/>
      <c r="GD199" s="1839"/>
      <c r="GE199" s="1840"/>
      <c r="GF199" s="1837"/>
      <c r="GG199" s="1838"/>
      <c r="GH199" s="1837"/>
      <c r="GI199" s="1838"/>
      <c r="GJ199" s="1839"/>
      <c r="GK199" s="1840"/>
      <c r="GL199" s="1837"/>
      <c r="GM199" s="1838"/>
      <c r="GN199" s="1837"/>
      <c r="GO199" s="1838"/>
      <c r="GP199" s="1839"/>
    </row>
    <row r="200" spans="1:198" ht="20.100000000000001" hidden="1" customHeight="1" outlineLevel="1">
      <c r="A200" s="2709"/>
      <c r="B200" s="2612"/>
      <c r="C200" s="1836"/>
      <c r="D200" s="2614" t="str">
        <f>実績!C1293&amp;"("&amp;SUBSTITUTE(実績!W1293&amp;")","株式会社","")</f>
        <v>エス・アイ・シー工場(赤谷建築設計事務所)</v>
      </c>
      <c r="E200" s="2617"/>
      <c r="F200" s="2617"/>
      <c r="G200" s="2617"/>
      <c r="H200" s="2617"/>
      <c r="I200" s="2617"/>
      <c r="J200" s="2617"/>
      <c r="K200" s="2617"/>
      <c r="L200" s="2617"/>
      <c r="M200" s="2617"/>
      <c r="N200" s="2617"/>
      <c r="O200" s="2617"/>
      <c r="P200" s="2617"/>
      <c r="Q200" s="2617"/>
      <c r="R200" s="2622"/>
      <c r="S200" s="1837"/>
      <c r="T200" s="1837"/>
      <c r="U200" s="1838"/>
      <c r="V200" s="1837"/>
      <c r="W200" s="1838"/>
      <c r="X200" s="1839"/>
      <c r="Y200" s="1837"/>
      <c r="Z200" s="1837"/>
      <c r="AA200" s="1838"/>
      <c r="AB200" s="1837"/>
      <c r="AC200" s="1838"/>
      <c r="AD200" s="1837"/>
      <c r="AE200" s="1840"/>
      <c r="AF200" s="1837"/>
      <c r="AG200" s="1838"/>
      <c r="AH200" s="1837"/>
      <c r="AI200" s="1838"/>
      <c r="AJ200" s="1839"/>
      <c r="AK200" s="1837"/>
      <c r="AL200" s="1837"/>
      <c r="AM200" s="1838"/>
      <c r="AN200" s="1837"/>
      <c r="AO200" s="1838"/>
      <c r="AP200" s="1837"/>
      <c r="AQ200" s="1841"/>
      <c r="AR200" s="1837"/>
      <c r="AS200" s="1838"/>
      <c r="AT200" s="1837"/>
      <c r="AU200" s="1838"/>
      <c r="AV200" s="1839"/>
      <c r="AW200" s="1840"/>
      <c r="AX200" s="1837"/>
      <c r="AY200" s="1838"/>
      <c r="AZ200" s="1837"/>
      <c r="BA200" s="1838"/>
      <c r="BB200" s="1839"/>
      <c r="BC200" s="1837"/>
      <c r="BD200" s="1837"/>
      <c r="BE200" s="1838"/>
      <c r="BF200" s="1837"/>
      <c r="BG200" s="1838"/>
      <c r="BH200" s="1837"/>
      <c r="BI200" s="1840"/>
      <c r="BJ200" s="1837"/>
      <c r="BK200" s="1838"/>
      <c r="BL200" s="1837"/>
      <c r="BM200" s="1838"/>
      <c r="BN200" s="1839"/>
      <c r="BO200" s="1840"/>
      <c r="BP200" s="1837"/>
      <c r="BQ200" s="1838"/>
      <c r="BR200" s="1842"/>
      <c r="BS200" s="1838"/>
      <c r="BT200" s="1839"/>
      <c r="BU200" s="1840"/>
      <c r="BV200" s="1837"/>
      <c r="BW200" s="1838"/>
      <c r="BX200" s="1837"/>
      <c r="BY200" s="1838"/>
      <c r="BZ200" s="1839"/>
      <c r="CA200" s="1840"/>
      <c r="CB200" s="1837"/>
      <c r="CC200" s="1838"/>
      <c r="CD200" s="1837"/>
      <c r="CE200" s="1838"/>
      <c r="CF200" s="1839"/>
      <c r="CG200" s="1840"/>
      <c r="CH200" s="1837"/>
      <c r="CI200" s="1838"/>
      <c r="CJ200" s="1837"/>
      <c r="CK200" s="1838"/>
      <c r="CL200" s="1839"/>
      <c r="CM200" s="1840"/>
      <c r="CN200" s="1837"/>
      <c r="CO200" s="1838" t="s">
        <v>10597</v>
      </c>
      <c r="CP200" s="1843"/>
      <c r="CQ200" s="1838"/>
      <c r="CR200" s="1839"/>
      <c r="CS200" s="1840"/>
      <c r="CT200" s="1837" t="s">
        <v>10742</v>
      </c>
      <c r="CU200" s="1838"/>
      <c r="CV200" s="1837"/>
      <c r="CW200" s="1838"/>
      <c r="CX200" s="1839"/>
      <c r="CY200" s="1840"/>
      <c r="CZ200" s="1837"/>
      <c r="DA200" s="1838"/>
      <c r="DB200" s="1837"/>
      <c r="DC200" s="1838"/>
      <c r="DD200" s="1839"/>
      <c r="DE200" s="1840"/>
      <c r="DF200" s="1837"/>
      <c r="DG200" s="1838"/>
      <c r="DH200" s="1837" t="s">
        <v>10696</v>
      </c>
      <c r="DI200" s="1838"/>
      <c r="DJ200" s="1839"/>
      <c r="DK200" s="1840"/>
      <c r="DL200" s="1837"/>
      <c r="DM200" s="1838"/>
      <c r="DN200" s="1837"/>
      <c r="DO200" s="1838"/>
      <c r="DP200" s="1837"/>
      <c r="DQ200" s="1853"/>
      <c r="DR200" s="1837"/>
      <c r="DS200" s="1838"/>
      <c r="DT200" s="1842"/>
      <c r="DU200" s="1837"/>
      <c r="DV200" s="1839"/>
      <c r="DW200" s="1840"/>
      <c r="DX200" s="1837"/>
      <c r="DY200" s="1838"/>
      <c r="DZ200" s="1837"/>
      <c r="EA200" s="1838"/>
      <c r="EB200" s="1839"/>
      <c r="EC200" s="1840"/>
      <c r="ED200" s="1837"/>
      <c r="EE200" s="1838"/>
      <c r="EF200" s="1837"/>
      <c r="EG200" s="1838"/>
      <c r="EH200" s="1839"/>
      <c r="EI200" s="1840"/>
      <c r="EJ200" s="1837"/>
      <c r="EK200" s="1838"/>
      <c r="EL200" s="1837"/>
      <c r="EM200" s="1838"/>
      <c r="EN200" s="1839"/>
      <c r="EO200" s="1840"/>
      <c r="EP200" s="1837"/>
      <c r="EQ200" s="1838"/>
      <c r="ER200" s="1837"/>
      <c r="ES200" s="1838"/>
      <c r="ET200" s="1839"/>
      <c r="EU200" s="1840"/>
      <c r="EV200" s="1837"/>
      <c r="EW200" s="1838"/>
      <c r="EX200" s="1837"/>
      <c r="EY200" s="1838"/>
      <c r="EZ200" s="1839"/>
      <c r="FA200" s="1840"/>
      <c r="FB200" s="1837"/>
      <c r="FC200" s="1838"/>
      <c r="FD200" s="1837"/>
      <c r="FE200" s="1838"/>
      <c r="FF200" s="1839"/>
      <c r="FG200" s="1840"/>
      <c r="FH200" s="1837"/>
      <c r="FI200" s="1838"/>
      <c r="FJ200" s="1837"/>
      <c r="FK200" s="1838"/>
      <c r="FL200" s="1839"/>
      <c r="FM200" s="1840"/>
      <c r="FN200" s="1837"/>
      <c r="FO200" s="1838"/>
      <c r="FP200" s="1837"/>
      <c r="FQ200" s="1838"/>
      <c r="FR200" s="1839"/>
      <c r="FS200" s="1840"/>
      <c r="FT200" s="1837"/>
      <c r="FU200" s="1838"/>
      <c r="FV200" s="1837"/>
      <c r="FW200" s="1838"/>
      <c r="FX200" s="1839"/>
      <c r="FY200" s="1840"/>
      <c r="FZ200" s="1837"/>
      <c r="GA200" s="1838"/>
      <c r="GB200" s="1837"/>
      <c r="GC200" s="1838"/>
      <c r="GD200" s="1839"/>
      <c r="GE200" s="1840"/>
      <c r="GF200" s="1837"/>
      <c r="GG200" s="1838"/>
      <c r="GH200" s="1837"/>
      <c r="GI200" s="1838"/>
      <c r="GJ200" s="1839"/>
      <c r="GK200" s="1840"/>
      <c r="GL200" s="1837"/>
      <c r="GM200" s="1838"/>
      <c r="GN200" s="1837"/>
      <c r="GO200" s="1838"/>
      <c r="GP200" s="1839"/>
    </row>
    <row r="201" spans="1:198" ht="20.100000000000001" hidden="1" customHeight="1" outlineLevel="1" collapsed="1">
      <c r="A201" s="2709"/>
      <c r="B201" s="2612"/>
      <c r="C201" s="1836"/>
      <c r="D201" s="2614" t="str">
        <f>実績!C1299&amp;"("&amp;SUBSTITUTE(実績!R1299&amp;")","株式会社 ","")</f>
        <v>カジレーネ新工場(マップス建築事務所)</v>
      </c>
      <c r="E201" s="2617"/>
      <c r="F201" s="2617"/>
      <c r="G201" s="2617"/>
      <c r="H201" s="2617"/>
      <c r="I201" s="2617"/>
      <c r="J201" s="2617"/>
      <c r="K201" s="2617"/>
      <c r="L201" s="2617"/>
      <c r="M201" s="2617"/>
      <c r="N201" s="2617"/>
      <c r="O201" s="2617"/>
      <c r="P201" s="2617"/>
      <c r="Q201" s="2617"/>
      <c r="R201" s="2622"/>
      <c r="S201" s="1837"/>
      <c r="T201" s="1837"/>
      <c r="U201" s="1838"/>
      <c r="V201" s="1837"/>
      <c r="W201" s="1838"/>
      <c r="X201" s="1839"/>
      <c r="Y201" s="1837"/>
      <c r="Z201" s="1837"/>
      <c r="AA201" s="1838"/>
      <c r="AB201" s="1837"/>
      <c r="AC201" s="1838"/>
      <c r="AD201" s="1837"/>
      <c r="AE201" s="1840"/>
      <c r="AF201" s="1837"/>
      <c r="AG201" s="1838"/>
      <c r="AH201" s="1837"/>
      <c r="AI201" s="1838"/>
      <c r="AJ201" s="1839"/>
      <c r="AK201" s="1837"/>
      <c r="AL201" s="1837"/>
      <c r="AM201" s="1838"/>
      <c r="AN201" s="1837"/>
      <c r="AO201" s="1838"/>
      <c r="AP201" s="1837"/>
      <c r="AQ201" s="1841"/>
      <c r="AR201" s="1837"/>
      <c r="AS201" s="1838"/>
      <c r="AT201" s="1837"/>
      <c r="AU201" s="1838"/>
      <c r="AV201" s="1839"/>
      <c r="AW201" s="1840"/>
      <c r="AX201" s="1837"/>
      <c r="AY201" s="1838"/>
      <c r="AZ201" s="1837"/>
      <c r="BA201" s="1838"/>
      <c r="BB201" s="1839"/>
      <c r="BC201" s="1837"/>
      <c r="BD201" s="1837"/>
      <c r="BE201" s="1838"/>
      <c r="BF201" s="1837"/>
      <c r="BG201" s="1838"/>
      <c r="BH201" s="1837"/>
      <c r="BI201" s="1840"/>
      <c r="BJ201" s="1837"/>
      <c r="BK201" s="1838"/>
      <c r="BL201" s="1837"/>
      <c r="BM201" s="1838"/>
      <c r="BN201" s="1839"/>
      <c r="BO201" s="1840"/>
      <c r="BP201" s="1837"/>
      <c r="BQ201" s="1838"/>
      <c r="BR201" s="1842"/>
      <c r="BS201" s="1838"/>
      <c r="BT201" s="1839"/>
      <c r="BU201" s="1840"/>
      <c r="BV201" s="1837"/>
      <c r="BW201" s="1838"/>
      <c r="BX201" s="1837"/>
      <c r="BY201" s="1838"/>
      <c r="BZ201" s="1839"/>
      <c r="CA201" s="1840"/>
      <c r="CB201" s="1837"/>
      <c r="CC201" s="1838"/>
      <c r="CD201" s="1837"/>
      <c r="CE201" s="1838"/>
      <c r="CF201" s="1839"/>
      <c r="CG201" s="1840"/>
      <c r="CH201" s="1837"/>
      <c r="CI201" s="1838"/>
      <c r="CJ201" s="1837"/>
      <c r="CK201" s="1838"/>
      <c r="CL201" s="1839"/>
      <c r="CM201" s="1840"/>
      <c r="CN201" s="1837"/>
      <c r="CO201" s="1838"/>
      <c r="CP201" s="1843"/>
      <c r="CQ201" s="1838"/>
      <c r="CR201" s="1839"/>
      <c r="CS201" s="1840"/>
      <c r="CT201" s="1837"/>
      <c r="CU201" s="1838"/>
      <c r="CV201" s="1837"/>
      <c r="CW201" s="1838"/>
      <c r="CX201" s="1839"/>
      <c r="CY201" s="1840"/>
      <c r="CZ201" s="1837"/>
      <c r="DA201" s="1838"/>
      <c r="DB201" s="1837"/>
      <c r="DC201" s="1838"/>
      <c r="DD201" s="1839"/>
      <c r="DE201" s="1840"/>
      <c r="DF201" s="1837"/>
      <c r="DG201" s="1838"/>
      <c r="DH201" s="1837" t="s">
        <v>10854</v>
      </c>
      <c r="DI201" s="1838"/>
      <c r="DJ201" s="1839"/>
      <c r="DK201" s="1840"/>
      <c r="DL201" s="1837"/>
      <c r="DM201" s="1838"/>
      <c r="DN201" s="1837"/>
      <c r="DO201" s="1838"/>
      <c r="DP201" s="1837"/>
      <c r="DQ201" s="1853"/>
      <c r="DR201" s="1837"/>
      <c r="DS201" s="1838"/>
      <c r="DT201" s="1842"/>
      <c r="DU201" s="1837"/>
      <c r="DV201" s="1839"/>
      <c r="DW201" s="1840"/>
      <c r="DX201" s="1837"/>
      <c r="DY201" s="1838"/>
      <c r="DZ201" s="1837"/>
      <c r="EA201" s="1838"/>
      <c r="EB201" s="1839"/>
      <c r="EC201" s="1840"/>
      <c r="ED201" s="1837"/>
      <c r="EE201" s="1838"/>
      <c r="EF201" s="1837"/>
      <c r="EG201" s="1838"/>
      <c r="EH201" s="1839"/>
      <c r="EI201" s="1840"/>
      <c r="EJ201" s="1837"/>
      <c r="EK201" s="1838"/>
      <c r="EL201" s="1837"/>
      <c r="EM201" s="1838"/>
      <c r="EN201" s="1839"/>
      <c r="EO201" s="1840"/>
      <c r="EP201" s="1837"/>
      <c r="EQ201" s="1838"/>
      <c r="ER201" s="1837"/>
      <c r="ES201" s="1838"/>
      <c r="ET201" s="1839"/>
      <c r="EU201" s="1840"/>
      <c r="EV201" s="1837"/>
      <c r="EW201" s="1838"/>
      <c r="EX201" s="1837"/>
      <c r="EY201" s="1838"/>
      <c r="EZ201" s="1839"/>
      <c r="FA201" s="1840"/>
      <c r="FB201" s="1837"/>
      <c r="FC201" s="1838"/>
      <c r="FD201" s="1837"/>
      <c r="FE201" s="1838"/>
      <c r="FF201" s="1839"/>
      <c r="FG201" s="1840"/>
      <c r="FH201" s="1837"/>
      <c r="FI201" s="1838"/>
      <c r="FJ201" s="1837"/>
      <c r="FK201" s="1838"/>
      <c r="FL201" s="1839"/>
      <c r="FM201" s="1840"/>
      <c r="FN201" s="1837"/>
      <c r="FO201" s="1838"/>
      <c r="FP201" s="1837"/>
      <c r="FQ201" s="1838"/>
      <c r="FR201" s="1839"/>
      <c r="FS201" s="1840"/>
      <c r="FT201" s="1837"/>
      <c r="FU201" s="1838"/>
      <c r="FV201" s="1837"/>
      <c r="FW201" s="1838"/>
      <c r="FX201" s="1839"/>
      <c r="FY201" s="1840"/>
      <c r="FZ201" s="1837"/>
      <c r="GA201" s="1838"/>
      <c r="GB201" s="1837"/>
      <c r="GC201" s="1838"/>
      <c r="GD201" s="1839"/>
      <c r="GE201" s="1840"/>
      <c r="GF201" s="1837"/>
      <c r="GG201" s="1838"/>
      <c r="GH201" s="1837"/>
      <c r="GI201" s="1838"/>
      <c r="GJ201" s="1839"/>
      <c r="GK201" s="1840"/>
      <c r="GL201" s="1837"/>
      <c r="GM201" s="1838"/>
      <c r="GN201" s="1837"/>
      <c r="GO201" s="1838"/>
      <c r="GP201" s="1839"/>
    </row>
    <row r="202" spans="1:198" ht="20.100000000000001" hidden="1" customHeight="1" outlineLevel="1" collapsed="1">
      <c r="A202" s="2709"/>
      <c r="B202" s="2612"/>
      <c r="C202" s="1836"/>
      <c r="D202" s="2614" t="str">
        <f>実績!C1304&amp;"("&amp;SUBSTITUTE(実績!R1304&amp;")","株式会社 ","")</f>
        <v>大阪屋ショップ豊田(エムティプラン)</v>
      </c>
      <c r="E202" s="2617"/>
      <c r="F202" s="2617"/>
      <c r="G202" s="2617"/>
      <c r="H202" s="2617"/>
      <c r="I202" s="2617"/>
      <c r="J202" s="2617"/>
      <c r="K202" s="2617"/>
      <c r="L202" s="2617"/>
      <c r="M202" s="2617"/>
      <c r="N202" s="2617"/>
      <c r="O202" s="2617"/>
      <c r="P202" s="2617"/>
      <c r="Q202" s="2617"/>
      <c r="R202" s="2622"/>
      <c r="S202" s="1837"/>
      <c r="T202" s="1837"/>
      <c r="U202" s="1838"/>
      <c r="V202" s="1837"/>
      <c r="W202" s="1838"/>
      <c r="X202" s="1839"/>
      <c r="Y202" s="1837"/>
      <c r="Z202" s="1837"/>
      <c r="AA202" s="1838"/>
      <c r="AB202" s="1837"/>
      <c r="AC202" s="1838"/>
      <c r="AD202" s="1837"/>
      <c r="AE202" s="1840"/>
      <c r="AF202" s="1837"/>
      <c r="AG202" s="1838"/>
      <c r="AH202" s="1837"/>
      <c r="AI202" s="1838"/>
      <c r="AJ202" s="1839"/>
      <c r="AK202" s="1837"/>
      <c r="AL202" s="1837"/>
      <c r="AM202" s="1838"/>
      <c r="AN202" s="1837"/>
      <c r="AO202" s="1838"/>
      <c r="AP202" s="1837"/>
      <c r="AQ202" s="1841"/>
      <c r="AR202" s="1837"/>
      <c r="AS202" s="1838"/>
      <c r="AT202" s="1837"/>
      <c r="AU202" s="1838"/>
      <c r="AV202" s="1839"/>
      <c r="AW202" s="1840"/>
      <c r="AX202" s="1837"/>
      <c r="AY202" s="1838"/>
      <c r="AZ202" s="1837"/>
      <c r="BA202" s="1838"/>
      <c r="BB202" s="1839"/>
      <c r="BC202" s="1837"/>
      <c r="BD202" s="1837"/>
      <c r="BE202" s="1838"/>
      <c r="BF202" s="1837"/>
      <c r="BG202" s="1838"/>
      <c r="BH202" s="1837"/>
      <c r="BI202" s="1840"/>
      <c r="BJ202" s="1837"/>
      <c r="BK202" s="1838"/>
      <c r="BL202" s="1837"/>
      <c r="BM202" s="1838"/>
      <c r="BN202" s="1839"/>
      <c r="BO202" s="1840"/>
      <c r="BP202" s="1837"/>
      <c r="BQ202" s="1838"/>
      <c r="BR202" s="1842"/>
      <c r="BS202" s="1838"/>
      <c r="BT202" s="1839"/>
      <c r="BU202" s="1840"/>
      <c r="BV202" s="1837"/>
      <c r="BW202" s="1838"/>
      <c r="BX202" s="1837"/>
      <c r="BY202" s="1838"/>
      <c r="BZ202" s="1839"/>
      <c r="CA202" s="1840"/>
      <c r="CB202" s="1837"/>
      <c r="CC202" s="1838"/>
      <c r="CD202" s="1837"/>
      <c r="CE202" s="1838"/>
      <c r="CF202" s="1839"/>
      <c r="CG202" s="1840"/>
      <c r="CH202" s="1837"/>
      <c r="CI202" s="1838"/>
      <c r="CJ202" s="1837"/>
      <c r="CK202" s="1838"/>
      <c r="CL202" s="1839"/>
      <c r="CM202" s="1840"/>
      <c r="CN202" s="1837"/>
      <c r="CO202" s="1838"/>
      <c r="CP202" s="1843"/>
      <c r="CQ202" s="1838"/>
      <c r="CR202" s="1839"/>
      <c r="CS202" s="1840"/>
      <c r="CT202" s="1837"/>
      <c r="CU202" s="1838"/>
      <c r="CV202" s="1837"/>
      <c r="CW202" s="1838"/>
      <c r="CX202" s="1839" t="s">
        <v>10895</v>
      </c>
      <c r="CY202" s="1840"/>
      <c r="CZ202" s="1837"/>
      <c r="DA202" s="1838"/>
      <c r="DB202" s="1837"/>
      <c r="DC202" s="1838"/>
      <c r="DD202" s="1839"/>
      <c r="DE202" s="1840"/>
      <c r="DF202" s="1837"/>
      <c r="DG202" s="1838"/>
      <c r="DH202" s="1837"/>
      <c r="DI202" s="1838"/>
      <c r="DJ202" s="1839"/>
      <c r="DK202" s="1840"/>
      <c r="DL202" s="1837"/>
      <c r="DM202" s="1838"/>
      <c r="DN202" s="1837"/>
      <c r="DO202" s="1838"/>
      <c r="DP202" s="1839"/>
      <c r="DQ202" s="1840" t="s">
        <v>10674</v>
      </c>
      <c r="DR202" s="1837"/>
      <c r="DS202" s="1838"/>
      <c r="DT202" s="1837"/>
      <c r="DU202" s="1838"/>
      <c r="DV202" s="1839"/>
      <c r="DW202" s="1840"/>
      <c r="DX202" s="1837"/>
      <c r="DY202" s="1838"/>
      <c r="DZ202" s="1837"/>
      <c r="EA202" s="1838"/>
      <c r="EB202" s="1839"/>
      <c r="EC202" s="1840"/>
      <c r="ED202" s="1837"/>
      <c r="EE202" s="1838"/>
      <c r="EF202" s="1837"/>
      <c r="EG202" s="1838"/>
      <c r="EH202" s="1839"/>
      <c r="EI202" s="1840"/>
      <c r="EJ202" s="1837"/>
      <c r="EK202" s="1838"/>
      <c r="EL202" s="1837"/>
      <c r="EM202" s="1838"/>
      <c r="EN202" s="1839"/>
      <c r="EO202" s="1840"/>
      <c r="EP202" s="1837"/>
      <c r="EQ202" s="1838"/>
      <c r="ER202" s="1837"/>
      <c r="ES202" s="1838"/>
      <c r="ET202" s="1839"/>
      <c r="EU202" s="1840"/>
      <c r="EV202" s="1837"/>
      <c r="EW202" s="1838"/>
      <c r="EX202" s="1837"/>
      <c r="EY202" s="1838"/>
      <c r="EZ202" s="1839"/>
      <c r="FA202" s="1840"/>
      <c r="FB202" s="1837"/>
      <c r="FC202" s="1838"/>
      <c r="FD202" s="1837"/>
      <c r="FE202" s="1838"/>
      <c r="FF202" s="1839"/>
      <c r="FG202" s="1840"/>
      <c r="FH202" s="1837"/>
      <c r="FI202" s="1838"/>
      <c r="FJ202" s="1837"/>
      <c r="FK202" s="1838"/>
      <c r="FL202" s="1839"/>
      <c r="FM202" s="1840"/>
      <c r="FN202" s="1837"/>
      <c r="FO202" s="1838"/>
      <c r="FP202" s="1837"/>
      <c r="FQ202" s="1838"/>
      <c r="FR202" s="1839"/>
      <c r="FS202" s="1840"/>
      <c r="FT202" s="1837"/>
      <c r="FU202" s="1838"/>
      <c r="FV202" s="1837"/>
      <c r="FW202" s="1838"/>
      <c r="FX202" s="1839"/>
      <c r="FY202" s="1840"/>
      <c r="FZ202" s="1837"/>
      <c r="GA202" s="1838"/>
      <c r="GB202" s="1837"/>
      <c r="GC202" s="1838"/>
      <c r="GD202" s="1839"/>
      <c r="GE202" s="1840"/>
      <c r="GF202" s="1837"/>
      <c r="GG202" s="1838"/>
      <c r="GH202" s="1837"/>
      <c r="GI202" s="1838"/>
      <c r="GJ202" s="1839"/>
      <c r="GK202" s="1840"/>
      <c r="GL202" s="1837"/>
      <c r="GM202" s="1838"/>
      <c r="GN202" s="1837"/>
      <c r="GO202" s="1838"/>
      <c r="GP202" s="1839"/>
    </row>
    <row r="203" spans="1:198" ht="20.100000000000001" hidden="1" customHeight="1" outlineLevel="1">
      <c r="A203" s="2709"/>
      <c r="B203" s="2612"/>
      <c r="C203" s="1836"/>
      <c r="D203" s="2614" t="str">
        <f>実績!C1063&amp;"("&amp;SUBSTITUTE(実績!W1063&amp;")","株式会社 ","")</f>
        <v>G-steps(荒川区PJ)(ASD共同主宰)</v>
      </c>
      <c r="E203" s="2615"/>
      <c r="F203" s="2615"/>
      <c r="G203" s="2615"/>
      <c r="H203" s="2615"/>
      <c r="I203" s="2615"/>
      <c r="J203" s="2615"/>
      <c r="K203" s="2615"/>
      <c r="L203" s="2615"/>
      <c r="M203" s="2615"/>
      <c r="N203" s="2615"/>
      <c r="O203" s="2615"/>
      <c r="P203" s="2615"/>
      <c r="Q203" s="2615"/>
      <c r="R203" s="2622"/>
      <c r="S203" s="1837" t="s">
        <v>8230</v>
      </c>
      <c r="T203" s="1837"/>
      <c r="U203" s="1838"/>
      <c r="V203" s="1837"/>
      <c r="W203" s="1838"/>
      <c r="X203" s="1839"/>
      <c r="Y203" s="1837"/>
      <c r="Z203" s="1837"/>
      <c r="AA203" s="1838"/>
      <c r="AB203" s="1837"/>
      <c r="AC203" s="1838"/>
      <c r="AD203" s="1837"/>
      <c r="AE203" s="1840"/>
      <c r="AF203" s="1837"/>
      <c r="AG203" s="1838"/>
      <c r="AH203" s="1837"/>
      <c r="AI203" s="1838"/>
      <c r="AJ203" s="1839"/>
      <c r="AK203" s="1837"/>
      <c r="AL203" s="1837"/>
      <c r="AM203" s="1838"/>
      <c r="AN203" s="1837"/>
      <c r="AO203" s="1838"/>
      <c r="AP203" s="1837"/>
      <c r="AQ203" s="1841"/>
      <c r="AR203" s="1842"/>
      <c r="AS203" s="1838"/>
      <c r="AT203" s="1837"/>
      <c r="AU203" s="1838"/>
      <c r="AV203" s="1839"/>
      <c r="AW203" s="1840"/>
      <c r="AX203" s="1837"/>
      <c r="AY203" s="1838"/>
      <c r="AZ203" s="1837"/>
      <c r="BA203" s="1838"/>
      <c r="BB203" s="1839"/>
      <c r="BC203" s="1837"/>
      <c r="BD203" s="1837"/>
      <c r="BE203" s="1838"/>
      <c r="BF203" s="1837"/>
      <c r="BG203" s="1838"/>
      <c r="BH203" s="1837"/>
      <c r="BI203" s="1840"/>
      <c r="BJ203" s="1837"/>
      <c r="BK203" s="1838"/>
      <c r="BL203" s="1837"/>
      <c r="BM203" s="1838"/>
      <c r="BN203" s="1839"/>
      <c r="BO203" s="1840"/>
      <c r="BP203" s="1837"/>
      <c r="BQ203" s="1838"/>
      <c r="BR203" s="1837"/>
      <c r="BS203" s="1838"/>
      <c r="BT203" s="1839"/>
      <c r="BU203" s="1840"/>
      <c r="BV203" s="1837"/>
      <c r="BW203" s="1838"/>
      <c r="BX203" s="1837"/>
      <c r="BY203" s="1838"/>
      <c r="BZ203" s="1839"/>
      <c r="CA203" s="1840"/>
      <c r="CB203" s="1837"/>
      <c r="CC203" s="1838"/>
      <c r="CD203" s="1842"/>
      <c r="CE203" s="1838"/>
      <c r="CF203" s="1839"/>
      <c r="CG203" s="1840"/>
      <c r="CH203" s="1837"/>
      <c r="CI203" s="1838"/>
      <c r="CJ203" s="1837"/>
      <c r="CK203" s="1838"/>
      <c r="CL203" s="1839"/>
      <c r="CM203" s="1840"/>
      <c r="CN203" s="1837"/>
      <c r="CO203" s="1838"/>
      <c r="CP203" s="1837"/>
      <c r="CQ203" s="1838"/>
      <c r="CR203" s="1839"/>
      <c r="CS203" s="1840"/>
      <c r="CT203" s="1837"/>
      <c r="CU203" s="1838"/>
      <c r="CV203" s="1837"/>
      <c r="CW203" s="1838"/>
      <c r="CX203" s="1839" t="s">
        <v>10888</v>
      </c>
      <c r="CY203" s="1840"/>
      <c r="CZ203" s="1837"/>
      <c r="DA203" s="1838"/>
      <c r="DB203" s="1837"/>
      <c r="DC203" s="1838"/>
      <c r="DD203" s="1839"/>
      <c r="DE203" s="1840"/>
      <c r="DF203" s="1837"/>
      <c r="DG203" s="1838" t="s">
        <v>10896</v>
      </c>
      <c r="DH203" s="1837"/>
      <c r="DI203" s="1838"/>
      <c r="DJ203" s="1839"/>
      <c r="DK203" s="1840"/>
      <c r="DL203" s="1837"/>
      <c r="DM203" s="1838"/>
      <c r="DN203" s="1837"/>
      <c r="DO203" s="1838"/>
      <c r="DP203" s="1839"/>
      <c r="DQ203" s="1840"/>
      <c r="DR203" s="1837"/>
      <c r="DS203" s="1838"/>
      <c r="DT203" s="1837"/>
      <c r="DU203" s="1838"/>
      <c r="DV203" s="1839"/>
      <c r="DW203" s="1840"/>
      <c r="DX203" s="1837"/>
      <c r="DY203" s="1838"/>
      <c r="DZ203" s="1837"/>
      <c r="EA203" s="1838"/>
      <c r="EB203" s="1839"/>
      <c r="EC203" s="1840"/>
      <c r="ED203" s="1837"/>
      <c r="EE203" s="1838"/>
      <c r="EF203" s="1837"/>
      <c r="EG203" s="1838"/>
      <c r="EH203" s="1839"/>
      <c r="EI203" s="1840"/>
      <c r="EJ203" s="1837"/>
      <c r="EK203" s="1838"/>
      <c r="EL203" s="1837"/>
      <c r="EM203" s="1838"/>
      <c r="EN203" s="1839"/>
      <c r="EO203" s="1840"/>
      <c r="EP203" s="1837"/>
      <c r="EQ203" s="1838"/>
      <c r="ER203" s="1837"/>
      <c r="ES203" s="1838"/>
      <c r="ET203" s="1839"/>
      <c r="EU203" s="1840"/>
      <c r="EV203" s="1837"/>
      <c r="EW203" s="1838"/>
      <c r="EX203" s="1837"/>
      <c r="EY203" s="1838"/>
      <c r="EZ203" s="1839"/>
      <c r="FA203" s="1840"/>
      <c r="FB203" s="1837"/>
      <c r="FC203" s="1838"/>
      <c r="FD203" s="1837"/>
      <c r="FE203" s="1838"/>
      <c r="FF203" s="1839"/>
      <c r="FG203" s="1840"/>
      <c r="FH203" s="1837"/>
      <c r="FI203" s="1838"/>
      <c r="FJ203" s="1837"/>
      <c r="FK203" s="1838"/>
      <c r="FL203" s="1839"/>
      <c r="FM203" s="1840"/>
      <c r="FN203" s="1837"/>
      <c r="FO203" s="1838"/>
      <c r="FP203" s="1837"/>
      <c r="FQ203" s="1838"/>
      <c r="FR203" s="1839"/>
      <c r="FS203" s="1840"/>
      <c r="FT203" s="1837"/>
      <c r="FU203" s="1838"/>
      <c r="FV203" s="1837"/>
      <c r="FW203" s="1838"/>
      <c r="FX203" s="1839"/>
      <c r="FY203" s="1840"/>
      <c r="FZ203" s="1837"/>
      <c r="GA203" s="1838"/>
      <c r="GB203" s="1837"/>
      <c r="GC203" s="1838"/>
      <c r="GD203" s="1839"/>
      <c r="GE203" s="1840"/>
      <c r="GF203" s="1837"/>
      <c r="GG203" s="1838"/>
      <c r="GH203" s="1837"/>
      <c r="GI203" s="1838"/>
      <c r="GJ203" s="1839"/>
      <c r="GK203" s="1840"/>
      <c r="GL203" s="1837"/>
      <c r="GM203" s="1838"/>
      <c r="GN203" s="1837"/>
      <c r="GO203" s="1838"/>
      <c r="GP203" s="1839"/>
    </row>
    <row r="204" spans="1:198" ht="20.100000000000001" hidden="1" customHeight="1" outlineLevel="1">
      <c r="A204" s="2709"/>
      <c r="B204" s="2612"/>
      <c r="C204" s="1836"/>
      <c r="D204" s="2614" t="str">
        <f>実績!C1303&amp;"("&amp;SUBSTITUTE(実績!R1303&amp;")","株式会社 ","")</f>
        <v>クリエイトエス・ディ－厚木旭町(タカノ建築設計事務所)</v>
      </c>
      <c r="E204" s="2617"/>
      <c r="F204" s="2617"/>
      <c r="G204" s="2617"/>
      <c r="H204" s="2617"/>
      <c r="I204" s="2617"/>
      <c r="J204" s="2617"/>
      <c r="K204" s="2617"/>
      <c r="L204" s="2617"/>
      <c r="M204" s="2617"/>
      <c r="N204" s="2617"/>
      <c r="O204" s="2617"/>
      <c r="P204" s="2617"/>
      <c r="Q204" s="2617"/>
      <c r="R204" s="2641"/>
      <c r="S204" s="1837"/>
      <c r="T204" s="1837"/>
      <c r="U204" s="1838"/>
      <c r="V204" s="1837"/>
      <c r="W204" s="1838"/>
      <c r="X204" s="1839"/>
      <c r="Y204" s="1837"/>
      <c r="Z204" s="1837"/>
      <c r="AA204" s="1838"/>
      <c r="AB204" s="1837"/>
      <c r="AC204" s="1838"/>
      <c r="AD204" s="1837"/>
      <c r="AE204" s="1840"/>
      <c r="AF204" s="1837"/>
      <c r="AG204" s="1838"/>
      <c r="AH204" s="1837"/>
      <c r="AI204" s="1838"/>
      <c r="AJ204" s="1839"/>
      <c r="AK204" s="1837"/>
      <c r="AL204" s="1837"/>
      <c r="AM204" s="1838"/>
      <c r="AN204" s="1837"/>
      <c r="AO204" s="1838"/>
      <c r="AP204" s="1837"/>
      <c r="AQ204" s="1841"/>
      <c r="AR204" s="1837"/>
      <c r="AS204" s="1838"/>
      <c r="AT204" s="1837"/>
      <c r="AU204" s="1838"/>
      <c r="AV204" s="1839"/>
      <c r="AW204" s="1840"/>
      <c r="AX204" s="1837"/>
      <c r="AY204" s="1838"/>
      <c r="AZ204" s="1837"/>
      <c r="BA204" s="1838"/>
      <c r="BB204" s="1839"/>
      <c r="BC204" s="1837"/>
      <c r="BD204" s="1837"/>
      <c r="BE204" s="1838"/>
      <c r="BF204" s="1837"/>
      <c r="BG204" s="1838"/>
      <c r="BH204" s="1837"/>
      <c r="BI204" s="1840"/>
      <c r="BJ204" s="1837"/>
      <c r="BK204" s="1838"/>
      <c r="BL204" s="1837"/>
      <c r="BM204" s="1838"/>
      <c r="BN204" s="1839"/>
      <c r="BO204" s="1840"/>
      <c r="BP204" s="1837"/>
      <c r="BQ204" s="1838"/>
      <c r="BR204" s="1842"/>
      <c r="BS204" s="1838"/>
      <c r="BT204" s="1839"/>
      <c r="BU204" s="1840"/>
      <c r="BV204" s="1837"/>
      <c r="BW204" s="1838"/>
      <c r="BX204" s="1837"/>
      <c r="BY204" s="1838"/>
      <c r="BZ204" s="1839"/>
      <c r="CA204" s="1840"/>
      <c r="CB204" s="1837"/>
      <c r="CC204" s="1838"/>
      <c r="CD204" s="1837"/>
      <c r="CE204" s="1838"/>
      <c r="CF204" s="1839"/>
      <c r="CG204" s="1840"/>
      <c r="CH204" s="1837"/>
      <c r="CI204" s="1838"/>
      <c r="CJ204" s="1837"/>
      <c r="CK204" s="1838"/>
      <c r="CL204" s="1839"/>
      <c r="CM204" s="1840"/>
      <c r="CN204" s="1837"/>
      <c r="CO204" s="1838"/>
      <c r="CP204" s="1843"/>
      <c r="CQ204" s="1838"/>
      <c r="CR204" s="1839"/>
      <c r="CS204" s="1840"/>
      <c r="CT204" s="1837"/>
      <c r="CU204" s="1838"/>
      <c r="CV204" s="1837"/>
      <c r="CW204" s="1838"/>
      <c r="CX204" s="1839"/>
      <c r="CY204" s="1840"/>
      <c r="CZ204" s="1837" t="s">
        <v>10803</v>
      </c>
      <c r="DA204" s="1838"/>
      <c r="DB204" s="1837"/>
      <c r="DC204" s="1838"/>
      <c r="DD204" s="1839"/>
      <c r="DE204" s="1840"/>
      <c r="DF204" s="1837"/>
      <c r="DG204" s="1838"/>
      <c r="DH204" s="1837"/>
      <c r="DI204" s="1838"/>
      <c r="DJ204" s="1839"/>
      <c r="DK204" s="1840"/>
      <c r="DL204" s="1837"/>
      <c r="DM204" s="1838"/>
      <c r="DN204" s="1837"/>
      <c r="DO204" s="1838"/>
      <c r="DP204" s="1837"/>
      <c r="DQ204" s="1853"/>
      <c r="DR204" s="1837"/>
      <c r="DS204" s="1838"/>
      <c r="DT204" s="1842"/>
      <c r="DU204" s="1837"/>
      <c r="DV204" s="1839"/>
      <c r="DW204" s="1840" t="s">
        <v>10804</v>
      </c>
      <c r="DX204" s="1837"/>
      <c r="DY204" s="1838"/>
      <c r="DZ204" s="1837"/>
      <c r="EA204" s="1838"/>
      <c r="EB204" s="1839"/>
      <c r="EC204" s="1840"/>
      <c r="ED204" s="1837"/>
      <c r="EE204" s="1838"/>
      <c r="EF204" s="1837"/>
      <c r="EG204" s="1838"/>
      <c r="EH204" s="1839"/>
      <c r="EI204" s="1840"/>
      <c r="EJ204" s="1837"/>
      <c r="EK204" s="1838"/>
      <c r="EL204" s="1837"/>
      <c r="EM204" s="1838"/>
      <c r="EN204" s="1839"/>
      <c r="EO204" s="1840"/>
      <c r="EP204" s="1837"/>
      <c r="EQ204" s="1838"/>
      <c r="ER204" s="1837"/>
      <c r="ES204" s="1838"/>
      <c r="ET204" s="1839"/>
      <c r="EU204" s="1840"/>
      <c r="EV204" s="1837"/>
      <c r="EW204" s="1838"/>
      <c r="EX204" s="1837"/>
      <c r="EY204" s="1838"/>
      <c r="EZ204" s="1839"/>
      <c r="FA204" s="1840"/>
      <c r="FB204" s="1837"/>
      <c r="FC204" s="1838"/>
      <c r="FD204" s="1837"/>
      <c r="FE204" s="1838"/>
      <c r="FF204" s="1839"/>
      <c r="FG204" s="1840"/>
      <c r="FH204" s="1837"/>
      <c r="FI204" s="1838"/>
      <c r="FJ204" s="1837"/>
      <c r="FK204" s="1838"/>
      <c r="FL204" s="1839"/>
      <c r="FM204" s="1840"/>
      <c r="FN204" s="1837"/>
      <c r="FO204" s="1838"/>
      <c r="FP204" s="1837"/>
      <c r="FQ204" s="1838"/>
      <c r="FR204" s="1839"/>
      <c r="FS204" s="1840"/>
      <c r="FT204" s="1837"/>
      <c r="FU204" s="1838"/>
      <c r="FV204" s="1837"/>
      <c r="FW204" s="1838"/>
      <c r="FX204" s="1839"/>
      <c r="FY204" s="1840"/>
      <c r="FZ204" s="1837"/>
      <c r="GA204" s="1838"/>
      <c r="GB204" s="1837"/>
      <c r="GC204" s="1838"/>
      <c r="GD204" s="1839"/>
      <c r="GE204" s="1840"/>
      <c r="GF204" s="1837"/>
      <c r="GG204" s="1838"/>
      <c r="GH204" s="1837"/>
      <c r="GI204" s="1838"/>
      <c r="GJ204" s="1839"/>
      <c r="GK204" s="1840"/>
      <c r="GL204" s="1837"/>
      <c r="GM204" s="1838"/>
      <c r="GN204" s="1837"/>
      <c r="GO204" s="1838"/>
      <c r="GP204" s="1839"/>
    </row>
    <row r="205" spans="1:198" ht="20.100000000000001" hidden="1" customHeight="1" outlineLevel="1" collapsed="1">
      <c r="A205" s="2709"/>
      <c r="B205" s="2612"/>
      <c r="C205" s="1836" t="s">
        <v>10067</v>
      </c>
      <c r="D205" s="2614" t="str">
        <f>実績!C1308&amp;"("&amp;SUBSTITUTE(実績!R1308&amp;")","株式会社 ","")</f>
        <v>ヤマト運輸株式会社 秋田広面センター(コア設計事務所)</v>
      </c>
      <c r="E205" s="2617"/>
      <c r="F205" s="2617"/>
      <c r="G205" s="2617"/>
      <c r="H205" s="2617"/>
      <c r="I205" s="2617"/>
      <c r="J205" s="2617"/>
      <c r="K205" s="2617"/>
      <c r="L205" s="2617"/>
      <c r="M205" s="2617"/>
      <c r="N205" s="2617"/>
      <c r="O205" s="2617"/>
      <c r="P205" s="2617"/>
      <c r="Q205" s="2617"/>
      <c r="R205" s="2622"/>
      <c r="S205" s="1837"/>
      <c r="T205" s="1837"/>
      <c r="U205" s="1838"/>
      <c r="V205" s="1837"/>
      <c r="W205" s="1838"/>
      <c r="X205" s="1839"/>
      <c r="Y205" s="1837"/>
      <c r="Z205" s="1837"/>
      <c r="AA205" s="1838"/>
      <c r="AB205" s="1837"/>
      <c r="AC205" s="1838"/>
      <c r="AD205" s="1837"/>
      <c r="AE205" s="1840"/>
      <c r="AF205" s="1837"/>
      <c r="AG205" s="1838"/>
      <c r="AH205" s="1837"/>
      <c r="AI205" s="1838"/>
      <c r="AJ205" s="1839"/>
      <c r="AK205" s="1837"/>
      <c r="AL205" s="1837"/>
      <c r="AM205" s="1838"/>
      <c r="AN205" s="1837"/>
      <c r="AO205" s="1838"/>
      <c r="AP205" s="1837"/>
      <c r="AQ205" s="1841"/>
      <c r="AR205" s="1837"/>
      <c r="AS205" s="1838"/>
      <c r="AT205" s="1837"/>
      <c r="AU205" s="1838"/>
      <c r="AV205" s="1839"/>
      <c r="AW205" s="1840"/>
      <c r="AX205" s="1837"/>
      <c r="AY205" s="1838"/>
      <c r="AZ205" s="1837"/>
      <c r="BA205" s="1838"/>
      <c r="BB205" s="1839"/>
      <c r="BC205" s="1837"/>
      <c r="BD205" s="1837"/>
      <c r="BE205" s="1838"/>
      <c r="BF205" s="1837"/>
      <c r="BG205" s="1838"/>
      <c r="BH205" s="1837"/>
      <c r="BI205" s="1840"/>
      <c r="BJ205" s="1837"/>
      <c r="BK205" s="1838"/>
      <c r="BL205" s="1837"/>
      <c r="BM205" s="1838"/>
      <c r="BN205" s="1839"/>
      <c r="BO205" s="1840"/>
      <c r="BP205" s="1837"/>
      <c r="BQ205" s="1838"/>
      <c r="BR205" s="1842"/>
      <c r="BS205" s="1838"/>
      <c r="BT205" s="1839"/>
      <c r="BU205" s="1840"/>
      <c r="BV205" s="1837"/>
      <c r="BW205" s="1838"/>
      <c r="BX205" s="1837"/>
      <c r="BY205" s="1838"/>
      <c r="BZ205" s="1839"/>
      <c r="CA205" s="1840"/>
      <c r="CB205" s="1837"/>
      <c r="CC205" s="1838"/>
      <c r="CD205" s="1837"/>
      <c r="CE205" s="1838"/>
      <c r="CF205" s="1839"/>
      <c r="CG205" s="1840"/>
      <c r="CH205" s="1837"/>
      <c r="CI205" s="1838"/>
      <c r="CJ205" s="1837"/>
      <c r="CK205" s="1838"/>
      <c r="CL205" s="1839"/>
      <c r="CM205" s="1840"/>
      <c r="CN205" s="1837"/>
      <c r="CO205" s="1838"/>
      <c r="CP205" s="1843"/>
      <c r="CQ205" s="1838"/>
      <c r="CR205" s="1839"/>
      <c r="CS205" s="1840"/>
      <c r="CT205" s="1837"/>
      <c r="CU205" s="1838"/>
      <c r="CV205" s="1837"/>
      <c r="CW205" s="1838"/>
      <c r="CX205" s="1839"/>
      <c r="CY205" s="1840"/>
      <c r="CZ205" s="1837"/>
      <c r="DA205" s="1838"/>
      <c r="DB205" s="1837"/>
      <c r="DC205" s="1838" t="s">
        <v>10923</v>
      </c>
      <c r="DD205" s="1839"/>
      <c r="DE205" s="1840"/>
      <c r="DF205" s="1837"/>
      <c r="DG205" s="1838"/>
      <c r="DH205" s="1837"/>
      <c r="DI205" s="1838" t="s">
        <v>10925</v>
      </c>
      <c r="DJ205" s="1839"/>
      <c r="DK205" s="1840" t="s">
        <v>10924</v>
      </c>
      <c r="DL205" s="1837"/>
      <c r="DM205" s="1838"/>
      <c r="DN205" s="1837"/>
      <c r="DO205" s="1838"/>
      <c r="DP205" s="1839"/>
      <c r="DQ205" s="1840"/>
      <c r="DR205" s="1837"/>
      <c r="DS205" s="1838"/>
      <c r="DT205" s="1837"/>
      <c r="DU205" s="1838"/>
      <c r="DV205" s="1844"/>
      <c r="DW205" s="1840"/>
      <c r="DX205" s="1837"/>
      <c r="DY205" s="1838"/>
      <c r="DZ205" s="1837"/>
      <c r="EA205" s="1838"/>
      <c r="EB205" s="1844" t="s">
        <v>10926</v>
      </c>
      <c r="EC205" s="1840"/>
      <c r="ED205" s="1837"/>
      <c r="EE205" s="1838"/>
      <c r="EF205" s="1837"/>
      <c r="EG205" s="1838"/>
      <c r="EH205" s="1844"/>
      <c r="EI205" s="1840"/>
      <c r="EJ205" s="1837"/>
      <c r="EK205" s="1838"/>
      <c r="EL205" s="1837"/>
      <c r="EM205" s="1838"/>
      <c r="EN205" s="1844"/>
      <c r="EO205" s="1840"/>
      <c r="EP205" s="1837"/>
      <c r="EQ205" s="1838"/>
      <c r="ER205" s="1837"/>
      <c r="ES205" s="1838"/>
      <c r="ET205" s="1844"/>
      <c r="EU205" s="1840"/>
      <c r="EV205" s="1837"/>
      <c r="EW205" s="1838"/>
      <c r="EX205" s="1837"/>
      <c r="EY205" s="1838"/>
      <c r="EZ205" s="1844"/>
      <c r="FA205" s="1840"/>
      <c r="FB205" s="1837"/>
      <c r="FC205" s="1838"/>
      <c r="FD205" s="1837"/>
      <c r="FE205" s="1838"/>
      <c r="FF205" s="1844"/>
      <c r="FG205" s="1840"/>
      <c r="FH205" s="1837"/>
      <c r="FI205" s="1838"/>
      <c r="FJ205" s="1837"/>
      <c r="FK205" s="1838"/>
      <c r="FL205" s="1844"/>
      <c r="FM205" s="1840"/>
      <c r="FN205" s="1837"/>
      <c r="FO205" s="1838"/>
      <c r="FP205" s="1837"/>
      <c r="FQ205" s="1838"/>
      <c r="FR205" s="1844"/>
      <c r="FS205" s="1840"/>
      <c r="FT205" s="1837"/>
      <c r="FU205" s="1838"/>
      <c r="FV205" s="1837"/>
      <c r="FW205" s="1838"/>
      <c r="FX205" s="1844"/>
      <c r="FY205" s="1840"/>
      <c r="FZ205" s="1837"/>
      <c r="GA205" s="1838"/>
      <c r="GB205" s="1837"/>
      <c r="GC205" s="1838"/>
      <c r="GD205" s="1844"/>
      <c r="GE205" s="1840"/>
      <c r="GF205" s="1837"/>
      <c r="GG205" s="1838"/>
      <c r="GH205" s="1837"/>
      <c r="GI205" s="1838"/>
      <c r="GJ205" s="1844"/>
      <c r="GK205" s="1840"/>
      <c r="GL205" s="1837"/>
      <c r="GM205" s="1838"/>
      <c r="GN205" s="1837"/>
      <c r="GO205" s="1838"/>
      <c r="GP205" s="1844"/>
    </row>
    <row r="206" spans="1:198" ht="20.100000000000001" hidden="1" customHeight="1" outlineLevel="1" collapsed="1">
      <c r="A206" s="2709"/>
      <c r="B206" s="2612"/>
      <c r="C206" s="1836"/>
      <c r="D206" s="2614" t="str">
        <f>実績!C1305&amp;"("&amp;SUBSTITUTE(実績!R1305&amp;")","株式会社 ","")</f>
        <v>日立建機(株)土浦工場事務所管理棟(日立建設設計)</v>
      </c>
      <c r="E206" s="2617"/>
      <c r="F206" s="2617"/>
      <c r="G206" s="2617"/>
      <c r="H206" s="2617"/>
      <c r="I206" s="2617"/>
      <c r="J206" s="2617"/>
      <c r="K206" s="2617"/>
      <c r="L206" s="2617"/>
      <c r="M206" s="2617"/>
      <c r="N206" s="2617"/>
      <c r="O206" s="2617"/>
      <c r="P206" s="2617"/>
      <c r="Q206" s="2617"/>
      <c r="R206" s="2641"/>
      <c r="S206" s="1837"/>
      <c r="T206" s="1837"/>
      <c r="U206" s="1838"/>
      <c r="V206" s="1837"/>
      <c r="W206" s="1838"/>
      <c r="X206" s="1839"/>
      <c r="Y206" s="1837"/>
      <c r="Z206" s="1837"/>
      <c r="AA206" s="1838"/>
      <c r="AB206" s="1837"/>
      <c r="AC206" s="1838"/>
      <c r="AD206" s="1837"/>
      <c r="AE206" s="1840"/>
      <c r="AF206" s="1837"/>
      <c r="AG206" s="1838"/>
      <c r="AH206" s="1837"/>
      <c r="AI206" s="1838"/>
      <c r="AJ206" s="1839"/>
      <c r="AK206" s="1837"/>
      <c r="AL206" s="1837"/>
      <c r="AM206" s="1838"/>
      <c r="AN206" s="1837"/>
      <c r="AO206" s="1838"/>
      <c r="AP206" s="1837"/>
      <c r="AQ206" s="1841"/>
      <c r="AR206" s="1837"/>
      <c r="AS206" s="1838"/>
      <c r="AT206" s="1837"/>
      <c r="AU206" s="1838"/>
      <c r="AV206" s="1839"/>
      <c r="AW206" s="1840"/>
      <c r="AX206" s="1837"/>
      <c r="AY206" s="1838"/>
      <c r="AZ206" s="1837"/>
      <c r="BA206" s="1838"/>
      <c r="BB206" s="1839"/>
      <c r="BC206" s="1837"/>
      <c r="BD206" s="1837"/>
      <c r="BE206" s="1838"/>
      <c r="BF206" s="1837"/>
      <c r="BG206" s="1838"/>
      <c r="BH206" s="1837"/>
      <c r="BI206" s="1840"/>
      <c r="BJ206" s="1837"/>
      <c r="BK206" s="1838"/>
      <c r="BL206" s="1837"/>
      <c r="BM206" s="1838"/>
      <c r="BN206" s="1839"/>
      <c r="BO206" s="1840"/>
      <c r="BP206" s="1837"/>
      <c r="BQ206" s="1838"/>
      <c r="BR206" s="1842"/>
      <c r="BS206" s="1838"/>
      <c r="BT206" s="1839"/>
      <c r="BU206" s="1840"/>
      <c r="BV206" s="1837"/>
      <c r="BW206" s="1838"/>
      <c r="BX206" s="1837"/>
      <c r="BY206" s="1838"/>
      <c r="BZ206" s="1839"/>
      <c r="CA206" s="1840"/>
      <c r="CB206" s="1837"/>
      <c r="CC206" s="1838"/>
      <c r="CD206" s="1837"/>
      <c r="CE206" s="1838"/>
      <c r="CF206" s="1839"/>
      <c r="CG206" s="1840"/>
      <c r="CH206" s="1837"/>
      <c r="CI206" s="1838"/>
      <c r="CJ206" s="1837"/>
      <c r="CK206" s="1838"/>
      <c r="CL206" s="1839"/>
      <c r="CM206" s="1840"/>
      <c r="CN206" s="1837"/>
      <c r="CO206" s="1838"/>
      <c r="CP206" s="1843"/>
      <c r="CQ206" s="1838"/>
      <c r="CR206" s="1839"/>
      <c r="CS206" s="1840"/>
      <c r="CT206" s="1837"/>
      <c r="CU206" s="1838"/>
      <c r="CV206" s="1837"/>
      <c r="CW206" s="1838"/>
      <c r="CX206" s="1839"/>
      <c r="CY206" s="1840"/>
      <c r="CZ206" s="1837"/>
      <c r="DA206" s="1838"/>
      <c r="DB206" s="1837"/>
      <c r="DC206" s="1838"/>
      <c r="DD206" s="1839"/>
      <c r="DE206" s="1840"/>
      <c r="DF206" s="1837"/>
      <c r="DG206" s="1838"/>
      <c r="DH206" s="1837"/>
      <c r="DI206" s="1838"/>
      <c r="DJ206" s="1839"/>
      <c r="DK206" s="1840"/>
      <c r="DL206" s="1837"/>
      <c r="DM206" s="1838"/>
      <c r="DN206" s="1837" t="s">
        <v>11008</v>
      </c>
      <c r="DO206" s="1838"/>
      <c r="DP206" s="1839"/>
      <c r="DQ206" s="1840"/>
      <c r="DR206" s="1837"/>
      <c r="DS206" s="1838"/>
      <c r="DT206" s="1837"/>
      <c r="DU206" s="1838"/>
      <c r="DV206" s="1839"/>
      <c r="DW206" s="1840"/>
      <c r="DX206" s="1837"/>
      <c r="DY206" s="1838"/>
      <c r="DZ206" s="1837"/>
      <c r="EA206" s="1838"/>
      <c r="EB206" s="1839"/>
      <c r="EC206" s="1840"/>
      <c r="ED206" s="1837"/>
      <c r="EE206" s="1838"/>
      <c r="EF206" s="1837"/>
      <c r="EG206" s="1838"/>
      <c r="EH206" s="1839"/>
      <c r="EI206" s="1840"/>
      <c r="EJ206" s="1837"/>
      <c r="EK206" s="1838"/>
      <c r="EL206" s="1837"/>
      <c r="EM206" s="1838"/>
      <c r="EN206" s="1839"/>
      <c r="EO206" s="1840"/>
      <c r="EP206" s="1837"/>
      <c r="EQ206" s="1838"/>
      <c r="ER206" s="1837"/>
      <c r="ES206" s="1838"/>
      <c r="ET206" s="1839"/>
      <c r="EU206" s="1840"/>
      <c r="EV206" s="1837"/>
      <c r="EW206" s="1838"/>
      <c r="EX206" s="1837"/>
      <c r="EY206" s="1838"/>
      <c r="EZ206" s="1839"/>
      <c r="FA206" s="1840"/>
      <c r="FB206" s="1837"/>
      <c r="FC206" s="1838"/>
      <c r="FD206" s="1837"/>
      <c r="FE206" s="1838"/>
      <c r="FF206" s="1839"/>
      <c r="FG206" s="1840"/>
      <c r="FH206" s="1837"/>
      <c r="FI206" s="1838"/>
      <c r="FJ206" s="1837"/>
      <c r="FK206" s="1838"/>
      <c r="FL206" s="1839"/>
      <c r="FM206" s="1840"/>
      <c r="FN206" s="1837"/>
      <c r="FO206" s="1838"/>
      <c r="FP206" s="1837"/>
      <c r="FQ206" s="1838"/>
      <c r="FR206" s="1839"/>
      <c r="FS206" s="1840"/>
      <c r="FT206" s="1837"/>
      <c r="FU206" s="1838"/>
      <c r="FV206" s="1837"/>
      <c r="FW206" s="1838"/>
      <c r="FX206" s="1839"/>
      <c r="FY206" s="1840"/>
      <c r="FZ206" s="1837"/>
      <c r="GA206" s="1838"/>
      <c r="GB206" s="1837"/>
      <c r="GC206" s="1838"/>
      <c r="GD206" s="1839"/>
      <c r="GE206" s="1840"/>
      <c r="GF206" s="1837"/>
      <c r="GG206" s="1838"/>
      <c r="GH206" s="1837"/>
      <c r="GI206" s="1838"/>
      <c r="GJ206" s="1839"/>
      <c r="GK206" s="1840"/>
      <c r="GL206" s="1837"/>
      <c r="GM206" s="1838"/>
      <c r="GN206" s="1837"/>
      <c r="GO206" s="1838"/>
      <c r="GP206" s="1839"/>
    </row>
    <row r="207" spans="1:198" ht="20.100000000000001" hidden="1" customHeight="1" outlineLevel="1">
      <c r="A207" s="2709"/>
      <c r="B207" s="2612"/>
      <c r="C207" s="1836">
        <v>1</v>
      </c>
      <c r="D207" s="2614" t="str">
        <f>実績!C1310&amp;"("&amp;SUBSTITUTE(実績!R1310&amp;")","株式会社 ","")</f>
        <v>山陽海運株式会社 倉庫棟(大之木建設 株式会社)</v>
      </c>
      <c r="E207" s="2617"/>
      <c r="F207" s="2617"/>
      <c r="G207" s="2617"/>
      <c r="H207" s="2617"/>
      <c r="I207" s="2617"/>
      <c r="J207" s="2617"/>
      <c r="K207" s="2617"/>
      <c r="L207" s="2617"/>
      <c r="M207" s="2617"/>
      <c r="N207" s="2617"/>
      <c r="O207" s="2617"/>
      <c r="P207" s="2617"/>
      <c r="Q207" s="2617"/>
      <c r="R207" s="2622"/>
      <c r="S207" s="1837"/>
      <c r="T207" s="1837"/>
      <c r="U207" s="1838"/>
      <c r="V207" s="1837"/>
      <c r="W207" s="1838"/>
      <c r="X207" s="1839"/>
      <c r="Y207" s="1837"/>
      <c r="Z207" s="1837"/>
      <c r="AA207" s="1838"/>
      <c r="AB207" s="1837"/>
      <c r="AC207" s="1838"/>
      <c r="AD207" s="1837"/>
      <c r="AE207" s="1840"/>
      <c r="AF207" s="1837"/>
      <c r="AG207" s="1838"/>
      <c r="AH207" s="1837"/>
      <c r="AI207" s="1838"/>
      <c r="AJ207" s="1839"/>
      <c r="AK207" s="1837"/>
      <c r="AL207" s="1837"/>
      <c r="AM207" s="1838"/>
      <c r="AN207" s="1837"/>
      <c r="AO207" s="1838"/>
      <c r="AP207" s="1837"/>
      <c r="AQ207" s="1841"/>
      <c r="AR207" s="1837"/>
      <c r="AS207" s="1838"/>
      <c r="AT207" s="1837"/>
      <c r="AU207" s="1838"/>
      <c r="AV207" s="1839"/>
      <c r="AW207" s="1840"/>
      <c r="AX207" s="1837"/>
      <c r="AY207" s="1838"/>
      <c r="AZ207" s="1837"/>
      <c r="BA207" s="1838"/>
      <c r="BB207" s="1839"/>
      <c r="BC207" s="1837"/>
      <c r="BD207" s="1837"/>
      <c r="BE207" s="1838"/>
      <c r="BF207" s="1837"/>
      <c r="BG207" s="1838"/>
      <c r="BH207" s="1837"/>
      <c r="BI207" s="1840"/>
      <c r="BJ207" s="1837"/>
      <c r="BK207" s="1838"/>
      <c r="BL207" s="1837"/>
      <c r="BM207" s="1838"/>
      <c r="BN207" s="1839"/>
      <c r="BO207" s="1840"/>
      <c r="BP207" s="1837"/>
      <c r="BQ207" s="1838"/>
      <c r="BR207" s="1842"/>
      <c r="BS207" s="1838"/>
      <c r="BT207" s="1839"/>
      <c r="BU207" s="1840"/>
      <c r="BV207" s="1837"/>
      <c r="BW207" s="1838"/>
      <c r="BX207" s="1837"/>
      <c r="BY207" s="1838"/>
      <c r="BZ207" s="1839"/>
      <c r="CA207" s="1840"/>
      <c r="CB207" s="1837"/>
      <c r="CC207" s="1838"/>
      <c r="CD207" s="1837"/>
      <c r="CE207" s="1838"/>
      <c r="CF207" s="1839"/>
      <c r="CG207" s="1840"/>
      <c r="CH207" s="1837"/>
      <c r="CI207" s="1838"/>
      <c r="CJ207" s="1837"/>
      <c r="CK207" s="1838"/>
      <c r="CL207" s="1839"/>
      <c r="CM207" s="1840"/>
      <c r="CN207" s="1837"/>
      <c r="CO207" s="1838"/>
      <c r="CP207" s="1843"/>
      <c r="CQ207" s="1838"/>
      <c r="CR207" s="1839"/>
      <c r="CS207" s="1840"/>
      <c r="CT207" s="1837"/>
      <c r="CU207" s="1838"/>
      <c r="CV207" s="1837"/>
      <c r="CW207" s="1838"/>
      <c r="CX207" s="1839"/>
      <c r="CY207" s="1840"/>
      <c r="CZ207" s="1837"/>
      <c r="DA207" s="1838" t="s">
        <v>11009</v>
      </c>
      <c r="DB207" s="1837"/>
      <c r="DC207" s="1838"/>
      <c r="DD207" s="1839"/>
      <c r="DE207" s="1840"/>
      <c r="DF207" s="1837"/>
      <c r="DG207" s="1838"/>
      <c r="DH207" s="1837"/>
      <c r="DI207" s="1838"/>
      <c r="DJ207" s="1839"/>
      <c r="DK207" s="1840" t="s">
        <v>10984</v>
      </c>
      <c r="DL207" s="1837"/>
      <c r="DM207" s="1838"/>
      <c r="DN207" s="1837"/>
      <c r="DO207" s="1838"/>
      <c r="DP207" s="1839"/>
      <c r="DQ207" s="1840"/>
      <c r="DR207" s="1837"/>
      <c r="DS207" s="1838"/>
      <c r="DT207" s="1837"/>
      <c r="DU207" s="1838"/>
      <c r="DV207" s="1839"/>
      <c r="DW207" s="1840"/>
      <c r="DX207" s="1837"/>
      <c r="DY207" s="1838"/>
      <c r="DZ207" s="1837"/>
      <c r="EA207" s="1838"/>
      <c r="EB207" s="1839"/>
      <c r="EC207" s="1840"/>
      <c r="ED207" s="1837"/>
      <c r="EE207" s="1838"/>
      <c r="EF207" s="1837"/>
      <c r="EG207" s="1838"/>
      <c r="EH207" s="1839"/>
      <c r="EI207" s="1837"/>
      <c r="EJ207" s="1837"/>
      <c r="EK207" s="1838"/>
      <c r="EL207" s="1837"/>
      <c r="EM207" s="1838"/>
      <c r="EN207" s="1844"/>
      <c r="EO207" s="1837"/>
      <c r="EP207" s="1837"/>
      <c r="EQ207" s="1838"/>
      <c r="ER207" s="1837"/>
      <c r="ES207" s="1838"/>
      <c r="ET207" s="1844"/>
      <c r="EU207" s="1837"/>
      <c r="EV207" s="1837"/>
      <c r="EW207" s="1838"/>
      <c r="EX207" s="1837"/>
      <c r="EY207" s="1838"/>
      <c r="EZ207" s="1844"/>
      <c r="FA207" s="1837"/>
      <c r="FB207" s="1837"/>
      <c r="FC207" s="1838"/>
      <c r="FD207" s="1837"/>
      <c r="FE207" s="1838"/>
      <c r="FF207" s="1844"/>
      <c r="FG207" s="1837"/>
      <c r="FH207" s="1837"/>
      <c r="FI207" s="1838"/>
      <c r="FJ207" s="1837"/>
      <c r="FK207" s="1838"/>
      <c r="FL207" s="1844"/>
      <c r="FM207" s="1837"/>
      <c r="FN207" s="1837"/>
      <c r="FO207" s="1838"/>
      <c r="FP207" s="1837"/>
      <c r="FQ207" s="1838"/>
      <c r="FR207" s="1844"/>
      <c r="FS207" s="1837"/>
      <c r="FT207" s="1837"/>
      <c r="FU207" s="1838"/>
      <c r="FV207" s="1837"/>
      <c r="FW207" s="1838"/>
      <c r="FX207" s="1844"/>
      <c r="FY207" s="1837"/>
      <c r="FZ207" s="1837"/>
      <c r="GA207" s="1838"/>
      <c r="GB207" s="1837"/>
      <c r="GC207" s="1838"/>
      <c r="GD207" s="1844"/>
      <c r="GE207" s="1837"/>
      <c r="GF207" s="1837"/>
      <c r="GG207" s="1838"/>
      <c r="GH207" s="1837"/>
      <c r="GI207" s="1838"/>
      <c r="GJ207" s="1844"/>
      <c r="GK207" s="1837"/>
      <c r="GL207" s="1837"/>
      <c r="GM207" s="1838"/>
      <c r="GN207" s="1837"/>
      <c r="GO207" s="1838"/>
      <c r="GP207" s="1844"/>
    </row>
    <row r="208" spans="1:198" ht="20.100000000000001" hidden="1" customHeight="1" outlineLevel="1">
      <c r="A208" s="2709"/>
      <c r="B208" s="2612"/>
      <c r="C208" s="1836">
        <v>2</v>
      </c>
      <c r="D208" s="2614" t="str">
        <f>実績!C1306&amp;"("&amp;SUBSTITUTE(実績!R1306&amp;")"," 株式会社","")</f>
        <v>小名浜港東港地区石炭ターミナル(常磐開発)</v>
      </c>
      <c r="E208" s="2617"/>
      <c r="F208" s="2617"/>
      <c r="G208" s="2617"/>
      <c r="H208" s="2617"/>
      <c r="I208" s="2617"/>
      <c r="J208" s="2617"/>
      <c r="K208" s="2617"/>
      <c r="L208" s="2617"/>
      <c r="M208" s="2617"/>
      <c r="N208" s="2617"/>
      <c r="O208" s="2617"/>
      <c r="P208" s="2617"/>
      <c r="Q208" s="2617"/>
      <c r="R208" s="2641"/>
      <c r="S208" s="1837"/>
      <c r="T208" s="1837"/>
      <c r="U208" s="1838"/>
      <c r="V208" s="1837"/>
      <c r="W208" s="1838"/>
      <c r="X208" s="1839"/>
      <c r="Y208" s="1837"/>
      <c r="Z208" s="1837"/>
      <c r="AA208" s="1838"/>
      <c r="AB208" s="1837"/>
      <c r="AC208" s="1838"/>
      <c r="AD208" s="1837"/>
      <c r="AE208" s="1840"/>
      <c r="AF208" s="1837"/>
      <c r="AG208" s="1838"/>
      <c r="AH208" s="1837"/>
      <c r="AI208" s="1838"/>
      <c r="AJ208" s="1839"/>
      <c r="AK208" s="1837"/>
      <c r="AL208" s="1837"/>
      <c r="AM208" s="1838"/>
      <c r="AN208" s="1837"/>
      <c r="AO208" s="1838"/>
      <c r="AP208" s="1837"/>
      <c r="AQ208" s="1841"/>
      <c r="AR208" s="1837"/>
      <c r="AS208" s="1838"/>
      <c r="AT208" s="1837"/>
      <c r="AU208" s="1838"/>
      <c r="AV208" s="1839"/>
      <c r="AW208" s="1840"/>
      <c r="AX208" s="1837"/>
      <c r="AY208" s="1838"/>
      <c r="AZ208" s="1837"/>
      <c r="BA208" s="1838"/>
      <c r="BB208" s="1839"/>
      <c r="BC208" s="1837"/>
      <c r="BD208" s="1837"/>
      <c r="BE208" s="1838"/>
      <c r="BF208" s="1837"/>
      <c r="BG208" s="1838"/>
      <c r="BH208" s="1837"/>
      <c r="BI208" s="1840"/>
      <c r="BJ208" s="1837"/>
      <c r="BK208" s="1838"/>
      <c r="BL208" s="1837"/>
      <c r="BM208" s="1838"/>
      <c r="BN208" s="1839"/>
      <c r="BO208" s="1840"/>
      <c r="BP208" s="1837"/>
      <c r="BQ208" s="1838"/>
      <c r="BR208" s="1842"/>
      <c r="BS208" s="1838"/>
      <c r="BT208" s="1839"/>
      <c r="BU208" s="1840"/>
      <c r="BV208" s="1837"/>
      <c r="BW208" s="1838"/>
      <c r="BX208" s="1837"/>
      <c r="BY208" s="1838"/>
      <c r="BZ208" s="1839"/>
      <c r="CA208" s="1840"/>
      <c r="CB208" s="1837"/>
      <c r="CC208" s="1838"/>
      <c r="CD208" s="1837"/>
      <c r="CE208" s="1838"/>
      <c r="CF208" s="1839"/>
      <c r="CG208" s="1840"/>
      <c r="CH208" s="1837"/>
      <c r="CI208" s="1838"/>
      <c r="CJ208" s="1837"/>
      <c r="CK208" s="1838"/>
      <c r="CL208" s="1839"/>
      <c r="CM208" s="1840"/>
      <c r="CN208" s="1837"/>
      <c r="CO208" s="1838"/>
      <c r="CP208" s="1843"/>
      <c r="CQ208" s="1838"/>
      <c r="CR208" s="1839"/>
      <c r="CS208" s="1840"/>
      <c r="CT208" s="1837"/>
      <c r="CU208" s="1838"/>
      <c r="CV208" s="1837"/>
      <c r="CW208" s="1838"/>
      <c r="CX208" s="1839"/>
      <c r="CY208" s="1840"/>
      <c r="CZ208" s="1837"/>
      <c r="DA208" s="1838"/>
      <c r="DB208" s="1837" t="s">
        <v>10960</v>
      </c>
      <c r="DC208" s="1838"/>
      <c r="DD208" s="1844"/>
      <c r="DE208" s="1840"/>
      <c r="DF208" s="1837"/>
      <c r="DG208" s="1838"/>
      <c r="DH208" s="1837"/>
      <c r="DI208" s="1838"/>
      <c r="DJ208" s="1839"/>
      <c r="DK208" s="1840"/>
      <c r="DL208" s="1837"/>
      <c r="DM208" s="1838"/>
      <c r="DN208" s="1837"/>
      <c r="DO208" s="1838"/>
      <c r="DP208" s="1839"/>
      <c r="DQ208" s="1840"/>
      <c r="DR208" s="1837"/>
      <c r="DS208" s="1838"/>
      <c r="DT208" s="1837"/>
      <c r="DU208" s="1838"/>
      <c r="DV208" s="1839"/>
      <c r="DW208" s="1840"/>
      <c r="DX208" s="1837"/>
      <c r="DY208" s="1838"/>
      <c r="DZ208" s="1837"/>
      <c r="EA208" s="1838"/>
      <c r="EB208" s="1839"/>
      <c r="EC208" s="1840"/>
      <c r="ED208" s="1837"/>
      <c r="EE208" s="1838"/>
      <c r="EF208" s="1837"/>
      <c r="EG208" s="1838"/>
      <c r="EH208" s="1839"/>
      <c r="EI208" s="1840"/>
      <c r="EJ208" s="1837"/>
      <c r="EK208" s="1838"/>
      <c r="EL208" s="1837"/>
      <c r="EM208" s="1838"/>
      <c r="EN208" s="1844"/>
      <c r="EO208" s="1840" t="s">
        <v>11036</v>
      </c>
      <c r="EP208" s="1837"/>
      <c r="EQ208" s="1838"/>
      <c r="ER208" s="1837"/>
      <c r="ES208" s="1838"/>
      <c r="ET208" s="1844"/>
      <c r="EU208" s="1840" t="s">
        <v>11036</v>
      </c>
      <c r="EV208" s="1837"/>
      <c r="EW208" s="1838"/>
      <c r="EX208" s="1837"/>
      <c r="EY208" s="1838"/>
      <c r="EZ208" s="1844"/>
      <c r="FA208" s="1840"/>
      <c r="FB208" s="1837"/>
      <c r="FC208" s="1838"/>
      <c r="FD208" s="1837"/>
      <c r="FE208" s="1838"/>
      <c r="FF208" s="1844"/>
      <c r="FG208" s="1840"/>
      <c r="FH208" s="1837"/>
      <c r="FI208" s="1838"/>
      <c r="FJ208" s="1837"/>
      <c r="FK208" s="1838"/>
      <c r="FL208" s="1844"/>
      <c r="FM208" s="1840"/>
      <c r="FN208" s="1837"/>
      <c r="FO208" s="1838"/>
      <c r="FP208" s="1837"/>
      <c r="FQ208" s="1838"/>
      <c r="FR208" s="1844"/>
      <c r="FS208" s="1840"/>
      <c r="FT208" s="1837"/>
      <c r="FU208" s="1838"/>
      <c r="FV208" s="1837"/>
      <c r="FW208" s="1838"/>
      <c r="FX208" s="1844"/>
      <c r="FY208" s="1840"/>
      <c r="FZ208" s="1837"/>
      <c r="GA208" s="1838"/>
      <c r="GB208" s="1837"/>
      <c r="GC208" s="1838"/>
      <c r="GD208" s="1844"/>
      <c r="GE208" s="1840"/>
      <c r="GF208" s="1837"/>
      <c r="GG208" s="1838"/>
      <c r="GH208" s="1837"/>
      <c r="GI208" s="1838"/>
      <c r="GJ208" s="1844"/>
      <c r="GK208" s="1840"/>
      <c r="GL208" s="1837"/>
      <c r="GM208" s="1838"/>
      <c r="GN208" s="1837"/>
      <c r="GO208" s="1838"/>
      <c r="GP208" s="1844"/>
    </row>
    <row r="209" spans="1:198" ht="20.100000000000001" hidden="1" customHeight="1" outlineLevel="1" collapsed="1">
      <c r="A209" s="2709"/>
      <c r="B209" s="2612"/>
      <c r="C209" s="1836">
        <v>3</v>
      </c>
      <c r="D209" s="2614" t="str">
        <f>実績!C1311&amp;"("&amp;SUBSTITUTE(実績!R1311&amp;")"," 株式会社","")</f>
        <v>Honda Cars 埼玉中 白岡(都市建築デザイン)</v>
      </c>
      <c r="E209" s="2617"/>
      <c r="F209" s="2617"/>
      <c r="G209" s="2617"/>
      <c r="H209" s="2617"/>
      <c r="I209" s="2617"/>
      <c r="J209" s="2617"/>
      <c r="K209" s="2617"/>
      <c r="L209" s="2617"/>
      <c r="M209" s="2617"/>
      <c r="N209" s="2617"/>
      <c r="O209" s="2617"/>
      <c r="P209" s="2617"/>
      <c r="Q209" s="2617"/>
      <c r="R209" s="2622"/>
      <c r="S209" s="1837"/>
      <c r="T209" s="1837"/>
      <c r="U209" s="1838"/>
      <c r="V209" s="1837"/>
      <c r="W209" s="1838"/>
      <c r="X209" s="1839"/>
      <c r="Y209" s="1837"/>
      <c r="Z209" s="1837"/>
      <c r="AA209" s="1838"/>
      <c r="AB209" s="1837"/>
      <c r="AC209" s="1838"/>
      <c r="AD209" s="1837"/>
      <c r="AE209" s="1840"/>
      <c r="AF209" s="1837"/>
      <c r="AG209" s="1838"/>
      <c r="AH209" s="1837"/>
      <c r="AI209" s="1838"/>
      <c r="AJ209" s="1839"/>
      <c r="AK209" s="1837"/>
      <c r="AL209" s="1837"/>
      <c r="AM209" s="1838"/>
      <c r="AN209" s="1837"/>
      <c r="AO209" s="1838"/>
      <c r="AP209" s="1837"/>
      <c r="AQ209" s="1841"/>
      <c r="AR209" s="1837"/>
      <c r="AS209" s="1838"/>
      <c r="AT209" s="1837"/>
      <c r="AU209" s="1838"/>
      <c r="AV209" s="1839"/>
      <c r="AW209" s="1840"/>
      <c r="AX209" s="1837"/>
      <c r="AY209" s="1838"/>
      <c r="AZ209" s="1837"/>
      <c r="BA209" s="1838"/>
      <c r="BB209" s="1839"/>
      <c r="BC209" s="1837"/>
      <c r="BD209" s="1837"/>
      <c r="BE209" s="1838"/>
      <c r="BF209" s="1837"/>
      <c r="BG209" s="1838"/>
      <c r="BH209" s="1837"/>
      <c r="BI209" s="1840"/>
      <c r="BJ209" s="1837"/>
      <c r="BK209" s="1838"/>
      <c r="BL209" s="1837"/>
      <c r="BM209" s="1838"/>
      <c r="BN209" s="1839"/>
      <c r="BO209" s="1840"/>
      <c r="BP209" s="1837"/>
      <c r="BQ209" s="1838"/>
      <c r="BR209" s="1842"/>
      <c r="BS209" s="1838"/>
      <c r="BT209" s="1839"/>
      <c r="BU209" s="1840"/>
      <c r="BV209" s="1837"/>
      <c r="BW209" s="1838"/>
      <c r="BX209" s="1837"/>
      <c r="BY209" s="1838"/>
      <c r="BZ209" s="1839"/>
      <c r="CA209" s="1840"/>
      <c r="CB209" s="1837"/>
      <c r="CC209" s="1838"/>
      <c r="CD209" s="1837"/>
      <c r="CE209" s="1838"/>
      <c r="CF209" s="1839"/>
      <c r="CG209" s="1840"/>
      <c r="CH209" s="1837"/>
      <c r="CI209" s="1838"/>
      <c r="CJ209" s="1837"/>
      <c r="CK209" s="1838"/>
      <c r="CL209" s="1839"/>
      <c r="CM209" s="1840"/>
      <c r="CN209" s="1837"/>
      <c r="CO209" s="1838"/>
      <c r="CP209" s="1843"/>
      <c r="CQ209" s="1838"/>
      <c r="CR209" s="1839"/>
      <c r="CS209" s="1840"/>
      <c r="CT209" s="1837"/>
      <c r="CU209" s="1838"/>
      <c r="CV209" s="1837"/>
      <c r="CW209" s="1838"/>
      <c r="CX209" s="1839"/>
      <c r="CY209" s="1840"/>
      <c r="CZ209" s="1837"/>
      <c r="DA209" s="1838"/>
      <c r="DB209" s="1837"/>
      <c r="DC209" s="1838" t="s">
        <v>11007</v>
      </c>
      <c r="DD209" s="1839"/>
      <c r="DE209" s="1840"/>
      <c r="DF209" s="1837"/>
      <c r="DG209" s="1838"/>
      <c r="DH209" s="1837"/>
      <c r="DI209" s="1838"/>
      <c r="DJ209" s="1839"/>
      <c r="DK209" s="1840"/>
      <c r="DL209" s="1837"/>
      <c r="DM209" s="1838"/>
      <c r="DN209" s="1837"/>
      <c r="DO209" s="1838"/>
      <c r="DP209" s="1839"/>
      <c r="DQ209" s="1840"/>
      <c r="DR209" s="1837"/>
      <c r="DS209" s="1838"/>
      <c r="DT209" s="1837"/>
      <c r="DU209" s="1838"/>
      <c r="DV209" s="1839"/>
      <c r="DW209" s="1840"/>
      <c r="DX209" s="1837"/>
      <c r="DY209" s="1838"/>
      <c r="DZ209" s="1837"/>
      <c r="EA209" s="1838"/>
      <c r="EB209" s="1839"/>
      <c r="EC209" s="1840"/>
      <c r="ED209" s="1837"/>
      <c r="EE209" s="1838"/>
      <c r="EF209" s="1837"/>
      <c r="EG209" s="1838"/>
      <c r="EH209" s="1839"/>
      <c r="EI209" s="1840"/>
      <c r="EJ209" s="1837"/>
      <c r="EK209" s="1838"/>
      <c r="EL209" s="1837"/>
      <c r="EM209" s="1838"/>
      <c r="EN209" s="1839"/>
      <c r="EO209" s="1840"/>
      <c r="EP209" s="1837"/>
      <c r="EQ209" s="1838"/>
      <c r="ER209" s="1837"/>
      <c r="ES209" s="1838"/>
      <c r="ET209" s="1839"/>
      <c r="EU209" s="1840"/>
      <c r="EV209" s="1837"/>
      <c r="EW209" s="1838"/>
      <c r="EX209" s="1837"/>
      <c r="EY209" s="1838"/>
      <c r="EZ209" s="1839"/>
      <c r="FA209" s="1840"/>
      <c r="FB209" s="1837"/>
      <c r="FC209" s="1838"/>
      <c r="FD209" s="1837"/>
      <c r="FE209" s="1838"/>
      <c r="FF209" s="1839"/>
      <c r="FG209" s="1840"/>
      <c r="FH209" s="1837"/>
      <c r="FI209" s="1838"/>
      <c r="FJ209" s="1837"/>
      <c r="FK209" s="1838"/>
      <c r="FL209" s="1839"/>
      <c r="FM209" s="1840"/>
      <c r="FN209" s="1837"/>
      <c r="FO209" s="1838"/>
      <c r="FP209" s="1837"/>
      <c r="FQ209" s="1838"/>
      <c r="FR209" s="1839"/>
      <c r="FS209" s="1840"/>
      <c r="FT209" s="1837"/>
      <c r="FU209" s="1838"/>
      <c r="FV209" s="1837"/>
      <c r="FW209" s="1838"/>
      <c r="FX209" s="1839"/>
      <c r="FY209" s="1840"/>
      <c r="FZ209" s="1837"/>
      <c r="GA209" s="1838"/>
      <c r="GB209" s="1837"/>
      <c r="GC209" s="1838"/>
      <c r="GD209" s="1839"/>
      <c r="GE209" s="1840"/>
      <c r="GF209" s="1837"/>
      <c r="GG209" s="1838"/>
      <c r="GH209" s="1837"/>
      <c r="GI209" s="1838"/>
      <c r="GJ209" s="1839"/>
      <c r="GK209" s="1840"/>
      <c r="GL209" s="1837"/>
      <c r="GM209" s="1838"/>
      <c r="GN209" s="1837"/>
      <c r="GO209" s="1838"/>
      <c r="GP209" s="1839"/>
    </row>
    <row r="210" spans="1:198" ht="20.100000000000001" hidden="1" customHeight="1" outlineLevel="1">
      <c r="A210" s="2709"/>
      <c r="B210" s="2612"/>
      <c r="C210" s="1836">
        <v>4</v>
      </c>
      <c r="D210" s="2614" t="str">
        <f>実績!C1312&amp;"("&amp;SUBSTITUTE(実績!R1312&amp;")"," 株式会社","")</f>
        <v>ホリコーポレーション倉庫増築(赤谷建築設計事務所)</v>
      </c>
      <c r="E210" s="2617"/>
      <c r="F210" s="2617"/>
      <c r="G210" s="2617"/>
      <c r="H210" s="2617"/>
      <c r="I210" s="2617"/>
      <c r="J210" s="2617"/>
      <c r="K210" s="2617"/>
      <c r="L210" s="2617"/>
      <c r="M210" s="2617"/>
      <c r="N210" s="2617"/>
      <c r="O210" s="2617"/>
      <c r="P210" s="2617"/>
      <c r="Q210" s="2617"/>
      <c r="R210" s="2622"/>
      <c r="S210" s="1837"/>
      <c r="T210" s="1837"/>
      <c r="U210" s="1838"/>
      <c r="V210" s="1837"/>
      <c r="W210" s="1838"/>
      <c r="X210" s="1839"/>
      <c r="Y210" s="1837"/>
      <c r="Z210" s="1837"/>
      <c r="AA210" s="1838"/>
      <c r="AB210" s="1837"/>
      <c r="AC210" s="1838"/>
      <c r="AD210" s="1837"/>
      <c r="AE210" s="1840"/>
      <c r="AF210" s="1837"/>
      <c r="AG210" s="1838"/>
      <c r="AH210" s="1837"/>
      <c r="AI210" s="1838"/>
      <c r="AJ210" s="1839"/>
      <c r="AK210" s="1837"/>
      <c r="AL210" s="1837"/>
      <c r="AM210" s="1838"/>
      <c r="AN210" s="1837"/>
      <c r="AO210" s="1838"/>
      <c r="AP210" s="1837"/>
      <c r="AQ210" s="1841"/>
      <c r="AR210" s="1837"/>
      <c r="AS210" s="1838"/>
      <c r="AT210" s="1837"/>
      <c r="AU210" s="1838"/>
      <c r="AV210" s="1839"/>
      <c r="AW210" s="1840"/>
      <c r="AX210" s="1837"/>
      <c r="AY210" s="1838"/>
      <c r="AZ210" s="1837"/>
      <c r="BA210" s="1838"/>
      <c r="BB210" s="1839"/>
      <c r="BC210" s="1837"/>
      <c r="BD210" s="1837"/>
      <c r="BE210" s="1838"/>
      <c r="BF210" s="1837"/>
      <c r="BG210" s="1838"/>
      <c r="BH210" s="1837"/>
      <c r="BI210" s="1840"/>
      <c r="BJ210" s="1837"/>
      <c r="BK210" s="1838"/>
      <c r="BL210" s="1837"/>
      <c r="BM210" s="1838"/>
      <c r="BN210" s="1839"/>
      <c r="BO210" s="1840"/>
      <c r="BP210" s="1837"/>
      <c r="BQ210" s="1838"/>
      <c r="BR210" s="1842"/>
      <c r="BS210" s="1838"/>
      <c r="BT210" s="1839"/>
      <c r="BU210" s="1840"/>
      <c r="BV210" s="1837"/>
      <c r="BW210" s="1838"/>
      <c r="BX210" s="1837"/>
      <c r="BY210" s="1838"/>
      <c r="BZ210" s="1839"/>
      <c r="CA210" s="1840"/>
      <c r="CB210" s="1837"/>
      <c r="CC210" s="1838"/>
      <c r="CD210" s="1837"/>
      <c r="CE210" s="1838"/>
      <c r="CF210" s="1839"/>
      <c r="CG210" s="1840"/>
      <c r="CH210" s="1837"/>
      <c r="CI210" s="1838"/>
      <c r="CJ210" s="1837"/>
      <c r="CK210" s="1838"/>
      <c r="CL210" s="1839"/>
      <c r="CM210" s="1840"/>
      <c r="CN210" s="1837"/>
      <c r="CO210" s="1838"/>
      <c r="CP210" s="1843"/>
      <c r="CQ210" s="1838"/>
      <c r="CR210" s="1839"/>
      <c r="CS210" s="1840"/>
      <c r="CT210" s="1837"/>
      <c r="CU210" s="1838"/>
      <c r="CV210" s="1837"/>
      <c r="CW210" s="1838"/>
      <c r="CX210" s="1839"/>
      <c r="CY210" s="1840"/>
      <c r="CZ210" s="1837"/>
      <c r="DA210" s="1838"/>
      <c r="DB210" s="1837"/>
      <c r="DC210" s="1838" t="s">
        <v>10651</v>
      </c>
      <c r="DD210" s="1839"/>
      <c r="DE210" s="1840"/>
      <c r="DF210" s="1837"/>
      <c r="DG210" s="1838"/>
      <c r="DH210" s="1837"/>
      <c r="DI210" s="1838"/>
      <c r="DJ210" s="1839"/>
      <c r="DK210" s="1840"/>
      <c r="DL210" s="1837"/>
      <c r="DM210" s="1838"/>
      <c r="DN210" s="1837" t="s">
        <v>10652</v>
      </c>
      <c r="DO210" s="1838"/>
      <c r="DP210" s="1839"/>
      <c r="DQ210" s="1840"/>
      <c r="DR210" s="1837"/>
      <c r="DS210" s="1838"/>
      <c r="DT210" s="1837"/>
      <c r="DU210" s="1838"/>
      <c r="DV210" s="1844"/>
      <c r="DW210" s="1840"/>
      <c r="DX210" s="1837"/>
      <c r="DY210" s="1838"/>
      <c r="DZ210" s="1837"/>
      <c r="EA210" s="1838"/>
      <c r="EB210" s="1844"/>
      <c r="EC210" s="1840"/>
      <c r="ED210" s="1837"/>
      <c r="EE210" s="1838"/>
      <c r="EF210" s="1837"/>
      <c r="EG210" s="1838"/>
      <c r="EH210" s="1844"/>
      <c r="EI210" s="1840"/>
      <c r="EJ210" s="1837"/>
      <c r="EK210" s="1838"/>
      <c r="EL210" s="1837"/>
      <c r="EM210" s="1838"/>
      <c r="EN210" s="1844" t="s">
        <v>10653</v>
      </c>
      <c r="EO210" s="1840"/>
      <c r="EP210" s="1837"/>
      <c r="EQ210" s="1838"/>
      <c r="ER210" s="1837"/>
      <c r="ES210" s="1838"/>
      <c r="ET210" s="1844"/>
      <c r="EU210" s="1840"/>
      <c r="EV210" s="1837"/>
      <c r="EW210" s="1838"/>
      <c r="EX210" s="1837"/>
      <c r="EY210" s="1838"/>
      <c r="EZ210" s="1844"/>
      <c r="FA210" s="1840"/>
      <c r="FB210" s="1837"/>
      <c r="FC210" s="1838"/>
      <c r="FD210" s="1837"/>
      <c r="FE210" s="1838"/>
      <c r="FF210" s="1844"/>
      <c r="FG210" s="1840"/>
      <c r="FH210" s="1837"/>
      <c r="FI210" s="1838"/>
      <c r="FJ210" s="1837"/>
      <c r="FK210" s="1838"/>
      <c r="FL210" s="1844"/>
      <c r="FM210" s="1840"/>
      <c r="FN210" s="1837"/>
      <c r="FO210" s="1838"/>
      <c r="FP210" s="1837"/>
      <c r="FQ210" s="1838"/>
      <c r="FR210" s="1844"/>
      <c r="FS210" s="1840"/>
      <c r="FT210" s="1837"/>
      <c r="FU210" s="1838"/>
      <c r="FV210" s="1837"/>
      <c r="FW210" s="1838"/>
      <c r="FX210" s="1844"/>
      <c r="FY210" s="1840"/>
      <c r="FZ210" s="1837"/>
      <c r="GA210" s="1838"/>
      <c r="GB210" s="1837"/>
      <c r="GC210" s="1838"/>
      <c r="GD210" s="1844"/>
      <c r="GE210" s="1840"/>
      <c r="GF210" s="1837"/>
      <c r="GG210" s="1838"/>
      <c r="GH210" s="1837"/>
      <c r="GI210" s="1838"/>
      <c r="GJ210" s="1844"/>
      <c r="GK210" s="1840"/>
      <c r="GL210" s="1837"/>
      <c r="GM210" s="1838"/>
      <c r="GN210" s="1837"/>
      <c r="GO210" s="1838"/>
      <c r="GP210" s="1844"/>
    </row>
    <row r="211" spans="1:198" ht="20.100000000000001" hidden="1" customHeight="1" outlineLevel="1" collapsed="1">
      <c r="A211" s="2709"/>
      <c r="B211" s="2612"/>
      <c r="C211" s="1836">
        <v>5</v>
      </c>
      <c r="D211" s="2614" t="str">
        <f>実績!C1313&amp;"("&amp;SUBSTITUTE(実績!R1313&amp;")"," 株式会社","")</f>
        <v>㈱白馬物流菊陽物流ｾﾝﾀｰ営業所(IMA建築事務所)</v>
      </c>
      <c r="E211" s="2617"/>
      <c r="F211" s="2617"/>
      <c r="G211" s="2617"/>
      <c r="H211" s="2617"/>
      <c r="I211" s="2617"/>
      <c r="J211" s="2617"/>
      <c r="K211" s="2617"/>
      <c r="L211" s="2617"/>
      <c r="M211" s="2617"/>
      <c r="N211" s="2617"/>
      <c r="O211" s="2617"/>
      <c r="P211" s="2617"/>
      <c r="Q211" s="2617"/>
      <c r="R211" s="2622"/>
      <c r="S211" s="1837"/>
      <c r="T211" s="1837"/>
      <c r="U211" s="1838"/>
      <c r="V211" s="1837"/>
      <c r="W211" s="1838"/>
      <c r="X211" s="1839"/>
      <c r="Y211" s="1837"/>
      <c r="Z211" s="1837"/>
      <c r="AA211" s="1838"/>
      <c r="AB211" s="1837"/>
      <c r="AC211" s="1838"/>
      <c r="AD211" s="1837"/>
      <c r="AE211" s="1840"/>
      <c r="AF211" s="1837"/>
      <c r="AG211" s="1838"/>
      <c r="AH211" s="1837"/>
      <c r="AI211" s="1838"/>
      <c r="AJ211" s="1839"/>
      <c r="AK211" s="1837"/>
      <c r="AL211" s="1837"/>
      <c r="AM211" s="1838"/>
      <c r="AN211" s="1837"/>
      <c r="AO211" s="1838"/>
      <c r="AP211" s="1837"/>
      <c r="AQ211" s="1841"/>
      <c r="AR211" s="1837"/>
      <c r="AS211" s="1838"/>
      <c r="AT211" s="1837"/>
      <c r="AU211" s="1838"/>
      <c r="AV211" s="1839"/>
      <c r="AW211" s="1840"/>
      <c r="AX211" s="1837"/>
      <c r="AY211" s="1838"/>
      <c r="AZ211" s="1837"/>
      <c r="BA211" s="1838"/>
      <c r="BB211" s="1839"/>
      <c r="BC211" s="1837"/>
      <c r="BD211" s="1837"/>
      <c r="BE211" s="1838"/>
      <c r="BF211" s="1837"/>
      <c r="BG211" s="1838"/>
      <c r="BH211" s="1837"/>
      <c r="BI211" s="1840"/>
      <c r="BJ211" s="1837"/>
      <c r="BK211" s="1838"/>
      <c r="BL211" s="1837"/>
      <c r="BM211" s="1838"/>
      <c r="BN211" s="1839"/>
      <c r="BO211" s="1840"/>
      <c r="BP211" s="1837"/>
      <c r="BQ211" s="1838"/>
      <c r="BR211" s="1842"/>
      <c r="BS211" s="1838"/>
      <c r="BT211" s="1839"/>
      <c r="BU211" s="1840"/>
      <c r="BV211" s="1837"/>
      <c r="BW211" s="1838"/>
      <c r="BX211" s="1837"/>
      <c r="BY211" s="1838"/>
      <c r="BZ211" s="1839"/>
      <c r="CA211" s="1840"/>
      <c r="CB211" s="1837"/>
      <c r="CC211" s="1838"/>
      <c r="CD211" s="1837"/>
      <c r="CE211" s="1838"/>
      <c r="CF211" s="1839"/>
      <c r="CG211" s="1840"/>
      <c r="CH211" s="1837"/>
      <c r="CI211" s="1838"/>
      <c r="CJ211" s="1837"/>
      <c r="CK211" s="1838"/>
      <c r="CL211" s="1839"/>
      <c r="CM211" s="1840"/>
      <c r="CN211" s="1837"/>
      <c r="CO211" s="1838"/>
      <c r="CP211" s="1843"/>
      <c r="CQ211" s="1838"/>
      <c r="CR211" s="1839"/>
      <c r="CS211" s="1840"/>
      <c r="CT211" s="1837"/>
      <c r="CU211" s="1838"/>
      <c r="CV211" s="1837"/>
      <c r="CW211" s="1838"/>
      <c r="CX211" s="1839"/>
      <c r="CY211" s="1840"/>
      <c r="CZ211" s="1837"/>
      <c r="DA211" s="1838"/>
      <c r="DB211" s="1837"/>
      <c r="DC211" s="1838"/>
      <c r="DD211" s="1839"/>
      <c r="DE211" s="1840" t="s">
        <v>11049</v>
      </c>
      <c r="DF211" s="1837"/>
      <c r="DG211" s="1838"/>
      <c r="DH211" s="1837"/>
      <c r="DI211" s="1838"/>
      <c r="DJ211" s="1839"/>
      <c r="DK211" s="1840"/>
      <c r="DL211" s="1837"/>
      <c r="DM211" s="1838"/>
      <c r="DN211" s="1837"/>
      <c r="DO211" s="1838"/>
      <c r="DP211" s="1844" t="s">
        <v>11050</v>
      </c>
      <c r="DQ211" s="1840"/>
      <c r="DR211" s="1837"/>
      <c r="DS211" s="1838"/>
      <c r="DT211" s="1837" t="s">
        <v>11051</v>
      </c>
      <c r="DU211" s="1838"/>
      <c r="DV211" s="1839"/>
      <c r="DW211" s="1840"/>
      <c r="DX211" s="1837"/>
      <c r="DY211" s="1838"/>
      <c r="DZ211" s="1837"/>
      <c r="EA211" s="1838"/>
      <c r="EB211" s="1839"/>
      <c r="EC211" s="1840"/>
      <c r="ED211" s="1837"/>
      <c r="EE211" s="1838"/>
      <c r="EF211" s="1837"/>
      <c r="EG211" s="1838"/>
      <c r="EH211" s="1839"/>
      <c r="EI211" s="1840"/>
      <c r="EJ211" s="1837"/>
      <c r="EK211" s="1838"/>
      <c r="EL211" s="1837"/>
      <c r="EM211" s="1838"/>
      <c r="EN211" s="1839"/>
      <c r="EO211" s="1840"/>
      <c r="EP211" s="1837"/>
      <c r="EQ211" s="1838"/>
      <c r="ER211" s="1837"/>
      <c r="ES211" s="1838"/>
      <c r="ET211" s="1844"/>
      <c r="EU211" s="1840"/>
      <c r="EV211" s="1837"/>
      <c r="EW211" s="1838"/>
      <c r="EX211" s="1837"/>
      <c r="EY211" s="1838"/>
      <c r="EZ211" s="1844"/>
      <c r="FA211" s="1840"/>
      <c r="FB211" s="1837"/>
      <c r="FC211" s="1838"/>
      <c r="FD211" s="1837"/>
      <c r="FE211" s="1838"/>
      <c r="FF211" s="1844"/>
      <c r="FG211" s="1840"/>
      <c r="FH211" s="1837"/>
      <c r="FI211" s="1838"/>
      <c r="FJ211" s="1837"/>
      <c r="FK211" s="1838"/>
      <c r="FL211" s="1844"/>
      <c r="FM211" s="1840"/>
      <c r="FN211" s="1837"/>
      <c r="FO211" s="1838"/>
      <c r="FP211" s="1837"/>
      <c r="FQ211" s="1838"/>
      <c r="FR211" s="1844"/>
      <c r="FS211" s="1840"/>
      <c r="FT211" s="1837"/>
      <c r="FU211" s="1838"/>
      <c r="FV211" s="1837"/>
      <c r="FW211" s="1838"/>
      <c r="FX211" s="1844"/>
      <c r="FY211" s="1840"/>
      <c r="FZ211" s="1837"/>
      <c r="GA211" s="1838"/>
      <c r="GB211" s="1837"/>
      <c r="GC211" s="1838"/>
      <c r="GD211" s="1844"/>
      <c r="GE211" s="1840"/>
      <c r="GF211" s="1837"/>
      <c r="GG211" s="1838"/>
      <c r="GH211" s="1837"/>
      <c r="GI211" s="1838"/>
      <c r="GJ211" s="1844"/>
      <c r="GK211" s="1840"/>
      <c r="GL211" s="1837"/>
      <c r="GM211" s="1838"/>
      <c r="GN211" s="1837"/>
      <c r="GO211" s="1838"/>
      <c r="GP211" s="1844"/>
    </row>
    <row r="212" spans="1:198" ht="20.100000000000001" hidden="1" customHeight="1" outlineLevel="1">
      <c r="A212" s="2709"/>
      <c r="B212" s="2612"/>
      <c r="C212" s="1836">
        <v>6</v>
      </c>
      <c r="D212" s="2614" t="str">
        <f>実績!C1316&amp;"("&amp;SUBSTITUTE(実績!R1316&amp;")"," 株式会社","")</f>
        <v>山陽自動車運送(日成ビルド工業)</v>
      </c>
      <c r="E212" s="2617"/>
      <c r="F212" s="2617"/>
      <c r="G212" s="2617"/>
      <c r="H212" s="2617"/>
      <c r="I212" s="2617"/>
      <c r="J212" s="2617"/>
      <c r="K212" s="2617"/>
      <c r="L212" s="2617"/>
      <c r="M212" s="2617"/>
      <c r="N212" s="2617"/>
      <c r="O212" s="2617"/>
      <c r="P212" s="2617"/>
      <c r="Q212" s="2617"/>
      <c r="R212" s="2622"/>
      <c r="S212" s="1837"/>
      <c r="T212" s="1837"/>
      <c r="U212" s="1838"/>
      <c r="V212" s="1837"/>
      <c r="W212" s="1838"/>
      <c r="X212" s="1839"/>
      <c r="Y212" s="1837"/>
      <c r="Z212" s="1837"/>
      <c r="AA212" s="1838"/>
      <c r="AB212" s="1837"/>
      <c r="AC212" s="1838"/>
      <c r="AD212" s="1837"/>
      <c r="AE212" s="1840"/>
      <c r="AF212" s="1837"/>
      <c r="AG212" s="1838"/>
      <c r="AH212" s="1837"/>
      <c r="AI212" s="1838"/>
      <c r="AJ212" s="1839"/>
      <c r="AK212" s="1837"/>
      <c r="AL212" s="1837"/>
      <c r="AM212" s="1838"/>
      <c r="AN212" s="1837"/>
      <c r="AO212" s="1838"/>
      <c r="AP212" s="1837"/>
      <c r="AQ212" s="1841"/>
      <c r="AR212" s="1837"/>
      <c r="AS212" s="1838"/>
      <c r="AT212" s="1837"/>
      <c r="AU212" s="1838"/>
      <c r="AV212" s="1839"/>
      <c r="AW212" s="1840"/>
      <c r="AX212" s="1837"/>
      <c r="AY212" s="1838"/>
      <c r="AZ212" s="1837"/>
      <c r="BA212" s="1838"/>
      <c r="BB212" s="1839"/>
      <c r="BC212" s="1837"/>
      <c r="BD212" s="1837"/>
      <c r="BE212" s="1838"/>
      <c r="BF212" s="1837"/>
      <c r="BG212" s="1838"/>
      <c r="BH212" s="1837"/>
      <c r="BI212" s="1840"/>
      <c r="BJ212" s="1837"/>
      <c r="BK212" s="1838"/>
      <c r="BL212" s="1837"/>
      <c r="BM212" s="1838"/>
      <c r="BN212" s="1839"/>
      <c r="BO212" s="1840"/>
      <c r="BP212" s="1837"/>
      <c r="BQ212" s="1838"/>
      <c r="BR212" s="1842"/>
      <c r="BS212" s="1838"/>
      <c r="BT212" s="1839"/>
      <c r="BU212" s="1840"/>
      <c r="BV212" s="1837"/>
      <c r="BW212" s="1838"/>
      <c r="BX212" s="1837"/>
      <c r="BY212" s="1838"/>
      <c r="BZ212" s="1839"/>
      <c r="CA212" s="1840"/>
      <c r="CB212" s="1837"/>
      <c r="CC212" s="1838"/>
      <c r="CD212" s="1837"/>
      <c r="CE212" s="1838"/>
      <c r="CF212" s="1839"/>
      <c r="CG212" s="1840"/>
      <c r="CH212" s="1837"/>
      <c r="CI212" s="1838"/>
      <c r="CJ212" s="1837"/>
      <c r="CK212" s="1838"/>
      <c r="CL212" s="1839"/>
      <c r="CM212" s="1840"/>
      <c r="CN212" s="1837"/>
      <c r="CO212" s="1838"/>
      <c r="CP212" s="1843"/>
      <c r="CQ212" s="1838"/>
      <c r="CR212" s="1839"/>
      <c r="CS212" s="1840"/>
      <c r="CT212" s="1837"/>
      <c r="CU212" s="1838"/>
      <c r="CV212" s="1837"/>
      <c r="CW212" s="1838"/>
      <c r="CX212" s="1839"/>
      <c r="CY212" s="1840"/>
      <c r="CZ212" s="1837"/>
      <c r="DA212" s="1838"/>
      <c r="DB212" s="1837"/>
      <c r="DC212" s="1838"/>
      <c r="DD212" s="1844"/>
      <c r="DE212" s="1840" t="s">
        <v>12081</v>
      </c>
      <c r="DF212" s="1837"/>
      <c r="DG212" s="1838"/>
      <c r="DH212" s="1837"/>
      <c r="DI212" s="1838"/>
      <c r="DJ212" s="1839"/>
      <c r="DK212" s="1840"/>
      <c r="DL212" s="1837"/>
      <c r="DM212" s="1838"/>
      <c r="DN212" s="1837"/>
      <c r="DO212" s="1838"/>
      <c r="DP212" s="1839"/>
      <c r="DQ212" s="1840"/>
      <c r="DR212" s="1837"/>
      <c r="DS212" s="1838"/>
      <c r="DT212" s="1837"/>
      <c r="DU212" s="1838"/>
      <c r="DV212" s="1839"/>
      <c r="DW212" s="1840" t="s">
        <v>10999</v>
      </c>
      <c r="DX212" s="1837"/>
      <c r="DY212" s="1838"/>
      <c r="DZ212" s="1837"/>
      <c r="EA212" s="1838"/>
      <c r="EB212" s="1839"/>
      <c r="EC212" s="1840"/>
      <c r="ED212" s="1837"/>
      <c r="EE212" s="1838"/>
      <c r="EF212" s="1837"/>
      <c r="EG212" s="1838"/>
      <c r="EH212" s="1839"/>
      <c r="EI212" s="1840"/>
      <c r="EJ212" s="1837"/>
      <c r="EK212" s="1838"/>
      <c r="EL212" s="1837"/>
      <c r="EM212" s="1838"/>
      <c r="EN212" s="1839"/>
      <c r="EO212" s="1840"/>
      <c r="EP212" s="1837"/>
      <c r="EQ212" s="1838"/>
      <c r="ER212" s="1837"/>
      <c r="ES212" s="1838"/>
      <c r="ET212" s="1839"/>
      <c r="EU212" s="1840"/>
      <c r="EV212" s="1837"/>
      <c r="EW212" s="1838"/>
      <c r="EX212" s="1837"/>
      <c r="EY212" s="1838"/>
      <c r="EZ212" s="1839"/>
      <c r="FA212" s="1840"/>
      <c r="FB212" s="1837"/>
      <c r="FC212" s="1838"/>
      <c r="FD212" s="1837"/>
      <c r="FE212" s="1838"/>
      <c r="FF212" s="1839"/>
      <c r="FG212" s="1840"/>
      <c r="FH212" s="1837"/>
      <c r="FI212" s="1838"/>
      <c r="FJ212" s="1837"/>
      <c r="FK212" s="1838"/>
      <c r="FL212" s="1839"/>
      <c r="FM212" s="1840"/>
      <c r="FN212" s="1837"/>
      <c r="FO212" s="1838"/>
      <c r="FP212" s="1837"/>
      <c r="FQ212" s="1838"/>
      <c r="FR212" s="1839"/>
      <c r="FS212" s="1840"/>
      <c r="FT212" s="1837"/>
      <c r="FU212" s="1838"/>
      <c r="FV212" s="1837"/>
      <c r="FW212" s="1838"/>
      <c r="FX212" s="1839"/>
      <c r="FY212" s="1840"/>
      <c r="FZ212" s="1837"/>
      <c r="GA212" s="1838"/>
      <c r="GB212" s="1837"/>
      <c r="GC212" s="1838"/>
      <c r="GD212" s="1839"/>
      <c r="GE212" s="1840"/>
      <c r="GF212" s="1837"/>
      <c r="GG212" s="1838"/>
      <c r="GH212" s="1837"/>
      <c r="GI212" s="1838"/>
      <c r="GJ212" s="1839"/>
      <c r="GK212" s="1840"/>
      <c r="GL212" s="1837"/>
      <c r="GM212" s="1838"/>
      <c r="GN212" s="1837"/>
      <c r="GO212" s="1838"/>
      <c r="GP212" s="1839"/>
    </row>
    <row r="213" spans="1:198" ht="20.100000000000001" hidden="1" customHeight="1" outlineLevel="1" collapsed="1">
      <c r="A213" s="2709"/>
      <c r="B213" s="2612"/>
      <c r="C213" s="1836">
        <v>1</v>
      </c>
      <c r="D213" s="2614" t="str">
        <f>実績!C1323&amp;"("&amp;SUBSTITUTE(実績!R1323&amp;")"," 株式会社","")</f>
        <v>ヤマウ鳥谷部倉庫(日東工営)</v>
      </c>
      <c r="E213" s="2617"/>
      <c r="F213" s="2617"/>
      <c r="G213" s="2617"/>
      <c r="H213" s="2617"/>
      <c r="I213" s="2617"/>
      <c r="J213" s="2617"/>
      <c r="K213" s="2617"/>
      <c r="L213" s="2617"/>
      <c r="M213" s="2617"/>
      <c r="N213" s="2617"/>
      <c r="O213" s="2617"/>
      <c r="P213" s="2617"/>
      <c r="Q213" s="2617"/>
      <c r="R213" s="2622"/>
      <c r="S213" s="1837"/>
      <c r="T213" s="1837"/>
      <c r="U213" s="1838"/>
      <c r="V213" s="1837"/>
      <c r="W213" s="1838"/>
      <c r="X213" s="1839"/>
      <c r="Y213" s="1837"/>
      <c r="Z213" s="1837"/>
      <c r="AA213" s="1838"/>
      <c r="AB213" s="1837"/>
      <c r="AC213" s="1838"/>
      <c r="AD213" s="1837"/>
      <c r="AE213" s="1840"/>
      <c r="AF213" s="1837"/>
      <c r="AG213" s="1838"/>
      <c r="AH213" s="1837"/>
      <c r="AI213" s="1838"/>
      <c r="AJ213" s="1839"/>
      <c r="AK213" s="1837"/>
      <c r="AL213" s="1837"/>
      <c r="AM213" s="1838"/>
      <c r="AN213" s="1837"/>
      <c r="AO213" s="1838"/>
      <c r="AP213" s="1837"/>
      <c r="AQ213" s="1841"/>
      <c r="AR213" s="1837"/>
      <c r="AS213" s="1838"/>
      <c r="AT213" s="1837"/>
      <c r="AU213" s="1838"/>
      <c r="AV213" s="1839"/>
      <c r="AW213" s="1840"/>
      <c r="AX213" s="1837"/>
      <c r="AY213" s="1838"/>
      <c r="AZ213" s="1837"/>
      <c r="BA213" s="1838"/>
      <c r="BB213" s="1839"/>
      <c r="BC213" s="1837"/>
      <c r="BD213" s="1837"/>
      <c r="BE213" s="1838"/>
      <c r="BF213" s="1837"/>
      <c r="BG213" s="1838"/>
      <c r="BH213" s="1837"/>
      <c r="BI213" s="1840"/>
      <c r="BJ213" s="1837"/>
      <c r="BK213" s="1838"/>
      <c r="BL213" s="1837"/>
      <c r="BM213" s="1838"/>
      <c r="BN213" s="1839"/>
      <c r="BO213" s="1840"/>
      <c r="BP213" s="1837"/>
      <c r="BQ213" s="1838"/>
      <c r="BR213" s="1842"/>
      <c r="BS213" s="1838"/>
      <c r="BT213" s="1839"/>
      <c r="BU213" s="1840"/>
      <c r="BV213" s="1837"/>
      <c r="BW213" s="1838"/>
      <c r="BX213" s="1837"/>
      <c r="BY213" s="1838"/>
      <c r="BZ213" s="1839"/>
      <c r="CA213" s="1840"/>
      <c r="CB213" s="1837"/>
      <c r="CC213" s="1838"/>
      <c r="CD213" s="1837"/>
      <c r="CE213" s="1838"/>
      <c r="CF213" s="1839"/>
      <c r="CG213" s="1840"/>
      <c r="CH213" s="1837"/>
      <c r="CI213" s="1838"/>
      <c r="CJ213" s="1837"/>
      <c r="CK213" s="1838"/>
      <c r="CL213" s="1839"/>
      <c r="CM213" s="1840"/>
      <c r="CN213" s="1837"/>
      <c r="CO213" s="1838"/>
      <c r="CP213" s="1843"/>
      <c r="CQ213" s="1838"/>
      <c r="CR213" s="1839"/>
      <c r="CS213" s="1840"/>
      <c r="CT213" s="1837"/>
      <c r="CU213" s="1838"/>
      <c r="CV213" s="1837"/>
      <c r="CW213" s="1838"/>
      <c r="CX213" s="1839"/>
      <c r="CY213" s="1840"/>
      <c r="CZ213" s="1837"/>
      <c r="DA213" s="1838"/>
      <c r="DB213" s="1837"/>
      <c r="DC213" s="1838"/>
      <c r="DD213" s="1839"/>
      <c r="DE213" s="1840"/>
      <c r="DF213" s="1837" t="s">
        <v>9291</v>
      </c>
      <c r="DG213" s="1838"/>
      <c r="DH213" s="1837"/>
      <c r="DI213" s="1838"/>
      <c r="DJ213" s="1839"/>
      <c r="DK213" s="1840"/>
      <c r="DL213" s="1837"/>
      <c r="DM213" s="1838"/>
      <c r="DN213" s="1837"/>
      <c r="DO213" s="1838" t="s">
        <v>13753</v>
      </c>
      <c r="DP213" s="1839"/>
      <c r="DQ213" s="1840"/>
      <c r="DR213" s="1837"/>
      <c r="DS213" s="1838"/>
      <c r="DT213" s="1837"/>
      <c r="DU213" s="1838"/>
      <c r="DV213" s="1844"/>
      <c r="DW213" s="1840"/>
      <c r="DX213" s="1837"/>
      <c r="DY213" s="1838"/>
      <c r="DZ213" s="1837"/>
      <c r="EA213" s="1838"/>
      <c r="EB213" s="1844"/>
      <c r="EC213" s="1840"/>
      <c r="ED213" s="1837"/>
      <c r="EE213" s="1838"/>
      <c r="EF213" s="1837"/>
      <c r="EG213" s="1838"/>
      <c r="EH213" s="1844"/>
      <c r="EI213" s="1840"/>
      <c r="EJ213" s="1837"/>
      <c r="EK213" s="1838"/>
      <c r="EL213" s="1837"/>
      <c r="EM213" s="1838"/>
      <c r="EN213" s="1844"/>
      <c r="EO213" s="1840"/>
      <c r="EP213" s="1837"/>
      <c r="EQ213" s="1838"/>
      <c r="ER213" s="1837"/>
      <c r="ES213" s="1838"/>
      <c r="ET213" s="1844" t="s">
        <v>13739</v>
      </c>
      <c r="EU213" s="1840"/>
      <c r="EV213" s="1837"/>
      <c r="EW213" s="1838"/>
      <c r="EX213" s="1837"/>
      <c r="EY213" s="1838"/>
      <c r="EZ213" s="1844" t="s">
        <v>13739</v>
      </c>
      <c r="FA213" s="1840"/>
      <c r="FB213" s="1837"/>
      <c r="FC213" s="1838"/>
      <c r="FD213" s="1837"/>
      <c r="FE213" s="1838"/>
      <c r="FF213" s="1844"/>
      <c r="FG213" s="1840"/>
      <c r="FH213" s="1837"/>
      <c r="FI213" s="1838"/>
      <c r="FJ213" s="1837"/>
      <c r="FK213" s="1838"/>
      <c r="FL213" s="1844"/>
      <c r="FM213" s="1840"/>
      <c r="FN213" s="1837"/>
      <c r="FO213" s="1838"/>
      <c r="FP213" s="1837"/>
      <c r="FQ213" s="1838"/>
      <c r="FR213" s="1844"/>
      <c r="FS213" s="1840"/>
      <c r="FT213" s="1837"/>
      <c r="FU213" s="1838"/>
      <c r="FV213" s="1837"/>
      <c r="FW213" s="1838"/>
      <c r="FX213" s="1844"/>
      <c r="FY213" s="1840"/>
      <c r="FZ213" s="1837"/>
      <c r="GA213" s="1838"/>
      <c r="GB213" s="1837"/>
      <c r="GC213" s="1838"/>
      <c r="GD213" s="1844"/>
      <c r="GE213" s="1840"/>
      <c r="GF213" s="1837"/>
      <c r="GG213" s="1838"/>
      <c r="GH213" s="1837"/>
      <c r="GI213" s="1838"/>
      <c r="GJ213" s="1844"/>
      <c r="GK213" s="1840"/>
      <c r="GL213" s="1837"/>
      <c r="GM213" s="1838"/>
      <c r="GN213" s="1837"/>
      <c r="GO213" s="1838"/>
      <c r="GP213" s="1844"/>
    </row>
    <row r="214" spans="1:198" ht="20.100000000000001" hidden="1" customHeight="1" outlineLevel="1">
      <c r="A214" s="2709"/>
      <c r="B214" s="2612"/>
      <c r="C214" s="1836">
        <v>2</v>
      </c>
      <c r="D214" s="2614" t="str">
        <f>実績!C1302&amp;"("&amp;SUBSTITUTE(実績!R1302&amp;")","株式会社 ","")</f>
        <v>エディオン岸和田(入江設計室)</v>
      </c>
      <c r="E214" s="2617"/>
      <c r="F214" s="2617"/>
      <c r="G214" s="2617"/>
      <c r="H214" s="2617"/>
      <c r="I214" s="2617"/>
      <c r="J214" s="2617"/>
      <c r="K214" s="2617"/>
      <c r="L214" s="2617"/>
      <c r="M214" s="2617"/>
      <c r="N214" s="2617"/>
      <c r="O214" s="2617"/>
      <c r="P214" s="2617"/>
      <c r="Q214" s="2617"/>
      <c r="R214" s="2641"/>
      <c r="S214" s="1837"/>
      <c r="T214" s="1837"/>
      <c r="U214" s="1838"/>
      <c r="V214" s="1837"/>
      <c r="W214" s="1838"/>
      <c r="X214" s="1839"/>
      <c r="Y214" s="1837"/>
      <c r="Z214" s="1837"/>
      <c r="AA214" s="1838"/>
      <c r="AB214" s="1837"/>
      <c r="AC214" s="1838"/>
      <c r="AD214" s="1837"/>
      <c r="AE214" s="1840"/>
      <c r="AF214" s="1837"/>
      <c r="AG214" s="1838"/>
      <c r="AH214" s="1837"/>
      <c r="AI214" s="1838"/>
      <c r="AJ214" s="1839"/>
      <c r="AK214" s="1837"/>
      <c r="AL214" s="1837"/>
      <c r="AM214" s="1838"/>
      <c r="AN214" s="1837"/>
      <c r="AO214" s="1838"/>
      <c r="AP214" s="1837"/>
      <c r="AQ214" s="1841"/>
      <c r="AR214" s="1837"/>
      <c r="AS214" s="1838"/>
      <c r="AT214" s="1837"/>
      <c r="AU214" s="1838"/>
      <c r="AV214" s="1839"/>
      <c r="AW214" s="1840"/>
      <c r="AX214" s="1837"/>
      <c r="AY214" s="1838"/>
      <c r="AZ214" s="1837"/>
      <c r="BA214" s="1838"/>
      <c r="BB214" s="1839"/>
      <c r="BC214" s="1837"/>
      <c r="BD214" s="1837"/>
      <c r="BE214" s="1838"/>
      <c r="BF214" s="1837"/>
      <c r="BG214" s="1838"/>
      <c r="BH214" s="1837"/>
      <c r="BI214" s="1840"/>
      <c r="BJ214" s="1837"/>
      <c r="BK214" s="1838"/>
      <c r="BL214" s="1837"/>
      <c r="BM214" s="1838"/>
      <c r="BN214" s="1839"/>
      <c r="BO214" s="1840"/>
      <c r="BP214" s="1837"/>
      <c r="BQ214" s="1838"/>
      <c r="BR214" s="1842"/>
      <c r="BS214" s="1838"/>
      <c r="BT214" s="1839"/>
      <c r="BU214" s="1840"/>
      <c r="BV214" s="1837"/>
      <c r="BW214" s="1838"/>
      <c r="BX214" s="1837"/>
      <c r="BY214" s="1838"/>
      <c r="BZ214" s="1839"/>
      <c r="CA214" s="1840"/>
      <c r="CB214" s="1837"/>
      <c r="CC214" s="1838"/>
      <c r="CD214" s="1837"/>
      <c r="CE214" s="1838"/>
      <c r="CF214" s="1839"/>
      <c r="CG214" s="1840"/>
      <c r="CH214" s="1837"/>
      <c r="CI214" s="1838"/>
      <c r="CJ214" s="1837"/>
      <c r="CK214" s="1838"/>
      <c r="CL214" s="1839"/>
      <c r="CM214" s="1840"/>
      <c r="CN214" s="1837"/>
      <c r="CO214" s="1838"/>
      <c r="CP214" s="1843"/>
      <c r="CQ214" s="1838"/>
      <c r="CR214" s="1839"/>
      <c r="CS214" s="1840"/>
      <c r="CT214" s="1837"/>
      <c r="CU214" s="1838"/>
      <c r="CV214" s="1837"/>
      <c r="CW214" s="1838"/>
      <c r="CX214" s="1839"/>
      <c r="CY214" s="1840"/>
      <c r="CZ214" s="1837"/>
      <c r="DA214" s="1838" t="s">
        <v>10889</v>
      </c>
      <c r="DB214" s="1837"/>
      <c r="DC214" s="1838" t="s">
        <v>10941</v>
      </c>
      <c r="DD214" s="1839"/>
      <c r="DE214" s="1840"/>
      <c r="DF214" s="1837" t="s">
        <v>9291</v>
      </c>
      <c r="DG214" s="1838"/>
      <c r="DH214" s="1837"/>
      <c r="DI214" s="1838"/>
      <c r="DJ214" s="1839"/>
      <c r="DK214" s="1840"/>
      <c r="DL214" s="1837"/>
      <c r="DM214" s="1838"/>
      <c r="DN214" s="1837"/>
      <c r="DO214" s="1838"/>
      <c r="DP214" s="1839"/>
      <c r="DQ214" s="1840"/>
      <c r="DR214" s="1837"/>
      <c r="DS214" s="1838"/>
      <c r="DT214" s="1837"/>
      <c r="DU214" s="1838"/>
      <c r="DV214" s="1839"/>
      <c r="DW214" s="1840"/>
      <c r="DX214" s="1837"/>
      <c r="DY214" s="1838"/>
      <c r="DZ214" s="1837"/>
      <c r="EA214" s="1838"/>
      <c r="EB214" s="1839"/>
      <c r="EC214" s="1840" t="s">
        <v>10940</v>
      </c>
      <c r="ED214" s="1837"/>
      <c r="EE214" s="1838"/>
      <c r="EF214" s="1837"/>
      <c r="EG214" s="1838"/>
      <c r="EH214" s="1839"/>
      <c r="EI214" s="1840"/>
      <c r="EJ214" s="1837"/>
      <c r="EK214" s="1838"/>
      <c r="EL214" s="1837"/>
      <c r="EM214" s="1838"/>
      <c r="EN214" s="1839"/>
      <c r="EO214" s="1840"/>
      <c r="EP214" s="1837"/>
      <c r="EQ214" s="1838"/>
      <c r="ER214" s="1837"/>
      <c r="ES214" s="1838"/>
      <c r="ET214" s="1839"/>
      <c r="EU214" s="1840"/>
      <c r="EV214" s="1837"/>
      <c r="EW214" s="1838"/>
      <c r="EX214" s="1837"/>
      <c r="EY214" s="1838"/>
      <c r="EZ214" s="1839"/>
      <c r="FA214" s="1840"/>
      <c r="FB214" s="1837"/>
      <c r="FC214" s="1838"/>
      <c r="FD214" s="1837"/>
      <c r="FE214" s="1838"/>
      <c r="FF214" s="1839"/>
      <c r="FG214" s="1840"/>
      <c r="FH214" s="1837"/>
      <c r="FI214" s="1838"/>
      <c r="FJ214" s="1837"/>
      <c r="FK214" s="1838"/>
      <c r="FL214" s="1839"/>
      <c r="FM214" s="1840"/>
      <c r="FN214" s="1837"/>
      <c r="FO214" s="1838"/>
      <c r="FP214" s="1837"/>
      <c r="FQ214" s="1838"/>
      <c r="FR214" s="1839"/>
      <c r="FS214" s="1840"/>
      <c r="FT214" s="1837"/>
      <c r="FU214" s="1838"/>
      <c r="FV214" s="1837"/>
      <c r="FW214" s="1838"/>
      <c r="FX214" s="1839"/>
      <c r="FY214" s="1840"/>
      <c r="FZ214" s="1837"/>
      <c r="GA214" s="1838"/>
      <c r="GB214" s="1837"/>
      <c r="GC214" s="1838"/>
      <c r="GD214" s="1839"/>
      <c r="GE214" s="1840"/>
      <c r="GF214" s="1837"/>
      <c r="GG214" s="1838"/>
      <c r="GH214" s="1837"/>
      <c r="GI214" s="1838"/>
      <c r="GJ214" s="1839"/>
      <c r="GK214" s="1840"/>
      <c r="GL214" s="1837"/>
      <c r="GM214" s="1838"/>
      <c r="GN214" s="1837"/>
      <c r="GO214" s="1838"/>
      <c r="GP214" s="1839"/>
    </row>
    <row r="215" spans="1:198" ht="20.100000000000001" hidden="1" customHeight="1" outlineLevel="1">
      <c r="A215" s="2709"/>
      <c r="B215" s="2612"/>
      <c r="C215" s="1836">
        <v>3</v>
      </c>
      <c r="D215" s="2614" t="str">
        <f>実績!C1321&amp;"("&amp;SUBSTITUTE(実績!R1321&amp;")","株式会社 ","")</f>
        <v>ツルハ長沼下(プロ1)</v>
      </c>
      <c r="E215" s="2617"/>
      <c r="F215" s="2617"/>
      <c r="G215" s="2617"/>
      <c r="H215" s="2617"/>
      <c r="I215" s="2617"/>
      <c r="J215" s="2617"/>
      <c r="K215" s="2617"/>
      <c r="L215" s="2617"/>
      <c r="M215" s="2617"/>
      <c r="N215" s="2617"/>
      <c r="O215" s="2617"/>
      <c r="P215" s="2617"/>
      <c r="Q215" s="2617"/>
      <c r="R215" s="2622"/>
      <c r="S215" s="1837"/>
      <c r="T215" s="1837"/>
      <c r="U215" s="1838"/>
      <c r="V215" s="1837"/>
      <c r="W215" s="1838"/>
      <c r="X215" s="1839"/>
      <c r="Y215" s="1837"/>
      <c r="Z215" s="1837"/>
      <c r="AA215" s="1838"/>
      <c r="AB215" s="1837"/>
      <c r="AC215" s="1838"/>
      <c r="AD215" s="1837"/>
      <c r="AE215" s="1840"/>
      <c r="AF215" s="1837"/>
      <c r="AG215" s="1838"/>
      <c r="AH215" s="1837"/>
      <c r="AI215" s="1838"/>
      <c r="AJ215" s="1839"/>
      <c r="AK215" s="1837"/>
      <c r="AL215" s="1837"/>
      <c r="AM215" s="1838"/>
      <c r="AN215" s="1837"/>
      <c r="AO215" s="1838"/>
      <c r="AP215" s="1837"/>
      <c r="AQ215" s="1841"/>
      <c r="AR215" s="1837"/>
      <c r="AS215" s="1838"/>
      <c r="AT215" s="1837"/>
      <c r="AU215" s="1838"/>
      <c r="AV215" s="1839"/>
      <c r="AW215" s="1840"/>
      <c r="AX215" s="1837"/>
      <c r="AY215" s="1838"/>
      <c r="AZ215" s="1837"/>
      <c r="BA215" s="1838"/>
      <c r="BB215" s="1839"/>
      <c r="BC215" s="1837"/>
      <c r="BD215" s="1837"/>
      <c r="BE215" s="1838"/>
      <c r="BF215" s="1837"/>
      <c r="BG215" s="1838"/>
      <c r="BH215" s="1837"/>
      <c r="BI215" s="1840"/>
      <c r="BJ215" s="1837"/>
      <c r="BK215" s="1838"/>
      <c r="BL215" s="1837"/>
      <c r="BM215" s="1838"/>
      <c r="BN215" s="1839"/>
      <c r="BO215" s="1840"/>
      <c r="BP215" s="1837"/>
      <c r="BQ215" s="1838"/>
      <c r="BR215" s="1842"/>
      <c r="BS215" s="1838"/>
      <c r="BT215" s="1839"/>
      <c r="BU215" s="1840"/>
      <c r="BV215" s="1837"/>
      <c r="BW215" s="1838"/>
      <c r="BX215" s="1837"/>
      <c r="BY215" s="1838"/>
      <c r="BZ215" s="1839"/>
      <c r="CA215" s="1840"/>
      <c r="CB215" s="1837"/>
      <c r="CC215" s="1838"/>
      <c r="CD215" s="1837"/>
      <c r="CE215" s="1838"/>
      <c r="CF215" s="1839"/>
      <c r="CG215" s="1840"/>
      <c r="CH215" s="1837"/>
      <c r="CI215" s="1838"/>
      <c r="CJ215" s="1837"/>
      <c r="CK215" s="1838"/>
      <c r="CL215" s="1839"/>
      <c r="CM215" s="1840"/>
      <c r="CN215" s="1837"/>
      <c r="CO215" s="1838"/>
      <c r="CP215" s="1843"/>
      <c r="CQ215" s="1838"/>
      <c r="CR215" s="1839"/>
      <c r="CS215" s="1840"/>
      <c r="CT215" s="1837"/>
      <c r="CU215" s="1838"/>
      <c r="CV215" s="1837"/>
      <c r="CW215" s="1838"/>
      <c r="CX215" s="1839"/>
      <c r="CY215" s="1840"/>
      <c r="CZ215" s="1837"/>
      <c r="DA215" s="1838"/>
      <c r="DB215" s="1837"/>
      <c r="DC215" s="1838"/>
      <c r="DD215" s="1839"/>
      <c r="DE215" s="1840"/>
      <c r="DF215" s="1837" t="s">
        <v>13928</v>
      </c>
      <c r="DG215" s="1838"/>
      <c r="DH215" s="1837"/>
      <c r="DI215" s="1838"/>
      <c r="DJ215" s="1839"/>
      <c r="DK215" s="1840"/>
      <c r="DL215" s="1837"/>
      <c r="DM215" s="1838"/>
      <c r="DN215" s="1837"/>
      <c r="DO215" s="1838"/>
      <c r="DP215" s="1839"/>
      <c r="DQ215" s="1840" t="s">
        <v>14512</v>
      </c>
      <c r="DR215" s="1837"/>
      <c r="DS215" s="1838"/>
      <c r="DT215" s="1837"/>
      <c r="DU215" s="1838"/>
      <c r="DV215" s="1844"/>
      <c r="DW215" s="1840"/>
      <c r="DX215" s="1837"/>
      <c r="DY215" s="1838"/>
      <c r="DZ215" s="1837"/>
      <c r="EA215" s="1838"/>
      <c r="EB215" s="1844"/>
      <c r="EC215" s="1840"/>
      <c r="ED215" s="1837"/>
      <c r="EE215" s="1838"/>
      <c r="EF215" s="1837"/>
      <c r="EG215" s="1838"/>
      <c r="EH215" s="1844"/>
      <c r="EI215" s="1840"/>
      <c r="EJ215" s="1837"/>
      <c r="EK215" s="1838"/>
      <c r="EL215" s="1837"/>
      <c r="EM215" s="1838"/>
      <c r="EN215" s="1844"/>
      <c r="EO215" s="1840"/>
      <c r="EP215" s="1837"/>
      <c r="EQ215" s="1838"/>
      <c r="ER215" s="1837"/>
      <c r="ES215" s="1838"/>
      <c r="ET215" s="1844"/>
      <c r="EU215" s="1840"/>
      <c r="EV215" s="1837"/>
      <c r="EW215" s="1838"/>
      <c r="EX215" s="1837"/>
      <c r="EY215" s="1838"/>
      <c r="EZ215" s="1844"/>
      <c r="FA215" s="1840"/>
      <c r="FB215" s="1837"/>
      <c r="FC215" s="1838"/>
      <c r="FD215" s="1837"/>
      <c r="FE215" s="1838"/>
      <c r="FF215" s="1844"/>
      <c r="FG215" s="1840"/>
      <c r="FH215" s="1837"/>
      <c r="FI215" s="1838"/>
      <c r="FJ215" s="1837"/>
      <c r="FK215" s="1838"/>
      <c r="FL215" s="1844"/>
      <c r="FM215" s="1840"/>
      <c r="FN215" s="1837"/>
      <c r="FO215" s="1838"/>
      <c r="FP215" s="1837"/>
      <c r="FQ215" s="1838"/>
      <c r="FR215" s="1844"/>
      <c r="FS215" s="1840"/>
      <c r="FT215" s="1837"/>
      <c r="FU215" s="1838"/>
      <c r="FV215" s="1837"/>
      <c r="FW215" s="1838"/>
      <c r="FX215" s="1844"/>
      <c r="FY215" s="1840"/>
      <c r="FZ215" s="1837"/>
      <c r="GA215" s="1838"/>
      <c r="GB215" s="1837"/>
      <c r="GC215" s="1838"/>
      <c r="GD215" s="1844"/>
      <c r="GE215" s="1840"/>
      <c r="GF215" s="1837"/>
      <c r="GG215" s="1838"/>
      <c r="GH215" s="1837"/>
      <c r="GI215" s="1838"/>
      <c r="GJ215" s="1844"/>
      <c r="GK215" s="1840"/>
      <c r="GL215" s="1837"/>
      <c r="GM215" s="1838"/>
      <c r="GN215" s="1837"/>
      <c r="GO215" s="1838"/>
      <c r="GP215" s="1844"/>
    </row>
    <row r="216" spans="1:198" ht="20.100000000000001" hidden="1" customHeight="1" outlineLevel="1" collapsed="1">
      <c r="A216" s="2709"/>
      <c r="B216" s="2612"/>
      <c r="C216" s="1836">
        <v>4</v>
      </c>
      <c r="D216" s="2614" t="str">
        <f>実績!C1322&amp;"("&amp;SUBSTITUTE(実績!R1322&amp;")"," 株式会社","")</f>
        <v>サンデーペットショップ城下(おおた設計事務所)</v>
      </c>
      <c r="E216" s="2617"/>
      <c r="F216" s="2617"/>
      <c r="G216" s="2617"/>
      <c r="H216" s="2617"/>
      <c r="I216" s="2617"/>
      <c r="J216" s="2617"/>
      <c r="K216" s="2617"/>
      <c r="L216" s="2617"/>
      <c r="M216" s="2617"/>
      <c r="N216" s="2617"/>
      <c r="O216" s="2617"/>
      <c r="P216" s="2617"/>
      <c r="Q216" s="2617"/>
      <c r="R216" s="2622"/>
      <c r="S216" s="1837"/>
      <c r="T216" s="1837"/>
      <c r="U216" s="1838"/>
      <c r="V216" s="1837"/>
      <c r="W216" s="1838"/>
      <c r="X216" s="1839"/>
      <c r="Y216" s="1837"/>
      <c r="Z216" s="1837"/>
      <c r="AA216" s="1838"/>
      <c r="AB216" s="1837"/>
      <c r="AC216" s="1838"/>
      <c r="AD216" s="1837"/>
      <c r="AE216" s="1840"/>
      <c r="AF216" s="1837"/>
      <c r="AG216" s="1838"/>
      <c r="AH216" s="1837"/>
      <c r="AI216" s="1838"/>
      <c r="AJ216" s="1839"/>
      <c r="AK216" s="1837"/>
      <c r="AL216" s="1837"/>
      <c r="AM216" s="1838"/>
      <c r="AN216" s="1837"/>
      <c r="AO216" s="1838"/>
      <c r="AP216" s="1837"/>
      <c r="AQ216" s="1841"/>
      <c r="AR216" s="1837"/>
      <c r="AS216" s="1838"/>
      <c r="AT216" s="1837"/>
      <c r="AU216" s="1838"/>
      <c r="AV216" s="1839"/>
      <c r="AW216" s="1840"/>
      <c r="AX216" s="1837"/>
      <c r="AY216" s="1838"/>
      <c r="AZ216" s="1837"/>
      <c r="BA216" s="1838"/>
      <c r="BB216" s="1839"/>
      <c r="BC216" s="1837"/>
      <c r="BD216" s="1837"/>
      <c r="BE216" s="1838"/>
      <c r="BF216" s="1837"/>
      <c r="BG216" s="1838"/>
      <c r="BH216" s="1837"/>
      <c r="BI216" s="1840"/>
      <c r="BJ216" s="1837"/>
      <c r="BK216" s="1838"/>
      <c r="BL216" s="1837"/>
      <c r="BM216" s="1838"/>
      <c r="BN216" s="1839"/>
      <c r="BO216" s="1840"/>
      <c r="BP216" s="1837"/>
      <c r="BQ216" s="1838"/>
      <c r="BR216" s="1842"/>
      <c r="BS216" s="1838"/>
      <c r="BT216" s="1839"/>
      <c r="BU216" s="1840"/>
      <c r="BV216" s="1837"/>
      <c r="BW216" s="1838"/>
      <c r="BX216" s="1837"/>
      <c r="BY216" s="1838"/>
      <c r="BZ216" s="1839"/>
      <c r="CA216" s="1840"/>
      <c r="CB216" s="1837"/>
      <c r="CC216" s="1838"/>
      <c r="CD216" s="1837"/>
      <c r="CE216" s="1838"/>
      <c r="CF216" s="1839"/>
      <c r="CG216" s="1840"/>
      <c r="CH216" s="1837"/>
      <c r="CI216" s="1838"/>
      <c r="CJ216" s="1837"/>
      <c r="CK216" s="1838"/>
      <c r="CL216" s="1839"/>
      <c r="CM216" s="1840"/>
      <c r="CN216" s="1837"/>
      <c r="CO216" s="1838"/>
      <c r="CP216" s="1843"/>
      <c r="CQ216" s="1838"/>
      <c r="CR216" s="1839"/>
      <c r="CS216" s="1840"/>
      <c r="CT216" s="1837"/>
      <c r="CU216" s="1838"/>
      <c r="CV216" s="1837"/>
      <c r="CW216" s="1838"/>
      <c r="CX216" s="1839"/>
      <c r="CY216" s="1840"/>
      <c r="CZ216" s="1837"/>
      <c r="DA216" s="1838"/>
      <c r="DB216" s="1837"/>
      <c r="DC216" s="1838"/>
      <c r="DD216" s="1839"/>
      <c r="DE216" s="1840"/>
      <c r="DF216" s="1837"/>
      <c r="DG216" s="1838" t="s">
        <v>13715</v>
      </c>
      <c r="DH216" s="1837"/>
      <c r="DI216" s="1838"/>
      <c r="DJ216" s="1839"/>
      <c r="DK216" s="1840"/>
      <c r="DL216" s="1837"/>
      <c r="DM216" s="1838"/>
      <c r="DN216" s="1837"/>
      <c r="DO216" s="1838"/>
      <c r="DP216" s="1839" t="s">
        <v>14032</v>
      </c>
      <c r="DQ216" s="1840"/>
      <c r="DR216" s="1837"/>
      <c r="DS216" s="1838"/>
      <c r="DT216" s="1837"/>
      <c r="DU216" s="1838"/>
      <c r="DV216" s="1844"/>
      <c r="DW216" s="1840"/>
      <c r="DX216" s="1837"/>
      <c r="DY216" s="1838"/>
      <c r="DZ216" s="1837"/>
      <c r="EA216" s="1838"/>
      <c r="EB216" s="1844"/>
      <c r="EC216" s="1840"/>
      <c r="ED216" s="1837"/>
      <c r="EE216" s="1838"/>
      <c r="EF216" s="1837"/>
      <c r="EG216" s="1838"/>
      <c r="EH216" s="1844"/>
      <c r="EI216" s="1840"/>
      <c r="EJ216" s="1837"/>
      <c r="EK216" s="1838"/>
      <c r="EL216" s="1837"/>
      <c r="EM216" s="1838"/>
      <c r="EN216" s="1844"/>
      <c r="EO216" s="1840"/>
      <c r="EP216" s="1837"/>
      <c r="EQ216" s="1838"/>
      <c r="ER216" s="1837"/>
      <c r="ES216" s="1838"/>
      <c r="ET216" s="1844"/>
      <c r="EU216" s="1840"/>
      <c r="EV216" s="1837"/>
      <c r="EW216" s="1838"/>
      <c r="EX216" s="1837"/>
      <c r="EY216" s="1838"/>
      <c r="EZ216" s="1844"/>
      <c r="FA216" s="1840"/>
      <c r="FB216" s="1837"/>
      <c r="FC216" s="1838"/>
      <c r="FD216" s="1837"/>
      <c r="FE216" s="1838"/>
      <c r="FF216" s="1844"/>
      <c r="FG216" s="1840"/>
      <c r="FH216" s="1837"/>
      <c r="FI216" s="1838"/>
      <c r="FJ216" s="1837"/>
      <c r="FK216" s="1838"/>
      <c r="FL216" s="1844"/>
      <c r="FM216" s="1840"/>
      <c r="FN216" s="1837"/>
      <c r="FO216" s="1838"/>
      <c r="FP216" s="1837"/>
      <c r="FQ216" s="1838"/>
      <c r="FR216" s="1844"/>
      <c r="FS216" s="1840"/>
      <c r="FT216" s="1837"/>
      <c r="FU216" s="1838"/>
      <c r="FV216" s="1837"/>
      <c r="FW216" s="1838"/>
      <c r="FX216" s="1844"/>
      <c r="FY216" s="1840"/>
      <c r="FZ216" s="1837"/>
      <c r="GA216" s="1838"/>
      <c r="GB216" s="1837"/>
      <c r="GC216" s="1838"/>
      <c r="GD216" s="1844"/>
      <c r="GE216" s="1840"/>
      <c r="GF216" s="1837"/>
      <c r="GG216" s="1838"/>
      <c r="GH216" s="1837"/>
      <c r="GI216" s="1838"/>
      <c r="GJ216" s="1844"/>
      <c r="GK216" s="1840"/>
      <c r="GL216" s="1837"/>
      <c r="GM216" s="1838"/>
      <c r="GN216" s="1837"/>
      <c r="GO216" s="1838"/>
      <c r="GP216" s="1844"/>
    </row>
    <row r="217" spans="1:198" ht="20.100000000000001" hidden="1" customHeight="1" outlineLevel="1">
      <c r="A217" s="2709"/>
      <c r="B217" s="2612"/>
      <c r="C217" s="1836">
        <v>5</v>
      </c>
      <c r="D217" s="2614" t="str">
        <f>実績!C1319&amp;"("&amp;SUBSTITUTE(実績!W1319&amp;")","株式会社 ","")</f>
        <v>フードD365見山(TA structure design)</v>
      </c>
      <c r="E217" s="2617"/>
      <c r="F217" s="2617"/>
      <c r="G217" s="2617"/>
      <c r="H217" s="2617"/>
      <c r="I217" s="2617"/>
      <c r="J217" s="2617"/>
      <c r="K217" s="2617"/>
      <c r="L217" s="2617"/>
      <c r="M217" s="2617"/>
      <c r="N217" s="2617"/>
      <c r="O217" s="2617"/>
      <c r="P217" s="2617"/>
      <c r="Q217" s="2617"/>
      <c r="R217" s="2622"/>
      <c r="S217" s="1837"/>
      <c r="T217" s="1837"/>
      <c r="U217" s="1838"/>
      <c r="V217" s="1837"/>
      <c r="W217" s="1838"/>
      <c r="X217" s="1839"/>
      <c r="Y217" s="1837"/>
      <c r="Z217" s="1837"/>
      <c r="AA217" s="1838"/>
      <c r="AB217" s="1837"/>
      <c r="AC217" s="1838"/>
      <c r="AD217" s="1837"/>
      <c r="AE217" s="1840"/>
      <c r="AF217" s="1837"/>
      <c r="AG217" s="1838"/>
      <c r="AH217" s="1837"/>
      <c r="AI217" s="1838"/>
      <c r="AJ217" s="1839"/>
      <c r="AK217" s="1837"/>
      <c r="AL217" s="1837"/>
      <c r="AM217" s="1838"/>
      <c r="AN217" s="1837"/>
      <c r="AO217" s="1838"/>
      <c r="AP217" s="1837"/>
      <c r="AQ217" s="1841"/>
      <c r="AR217" s="1837"/>
      <c r="AS217" s="1838"/>
      <c r="AT217" s="1837"/>
      <c r="AU217" s="1838"/>
      <c r="AV217" s="1839"/>
      <c r="AW217" s="1840"/>
      <c r="AX217" s="1837"/>
      <c r="AY217" s="1838"/>
      <c r="AZ217" s="1837"/>
      <c r="BA217" s="1838"/>
      <c r="BB217" s="1839"/>
      <c r="BC217" s="1837"/>
      <c r="BD217" s="1837"/>
      <c r="BE217" s="1838"/>
      <c r="BF217" s="1837"/>
      <c r="BG217" s="1838"/>
      <c r="BH217" s="1837"/>
      <c r="BI217" s="1840"/>
      <c r="BJ217" s="1837"/>
      <c r="BK217" s="1838"/>
      <c r="BL217" s="1837"/>
      <c r="BM217" s="1838"/>
      <c r="BN217" s="1839"/>
      <c r="BO217" s="1840"/>
      <c r="BP217" s="1837"/>
      <c r="BQ217" s="1838"/>
      <c r="BR217" s="1842"/>
      <c r="BS217" s="1838"/>
      <c r="BT217" s="1839"/>
      <c r="BU217" s="1840"/>
      <c r="BV217" s="1837"/>
      <c r="BW217" s="1838"/>
      <c r="BX217" s="1837"/>
      <c r="BY217" s="1838"/>
      <c r="BZ217" s="1839"/>
      <c r="CA217" s="1840"/>
      <c r="CB217" s="1837"/>
      <c r="CC217" s="1838"/>
      <c r="CD217" s="1837"/>
      <c r="CE217" s="1838"/>
      <c r="CF217" s="1839"/>
      <c r="CG217" s="1840"/>
      <c r="CH217" s="1837"/>
      <c r="CI217" s="1838"/>
      <c r="CJ217" s="1837"/>
      <c r="CK217" s="1838"/>
      <c r="CL217" s="1839"/>
      <c r="CM217" s="1840"/>
      <c r="CN217" s="1837"/>
      <c r="CO217" s="1838"/>
      <c r="CP217" s="1843"/>
      <c r="CQ217" s="1838"/>
      <c r="CR217" s="1839"/>
      <c r="CS217" s="1840"/>
      <c r="CT217" s="1837"/>
      <c r="CU217" s="1838"/>
      <c r="CV217" s="1837"/>
      <c r="CW217" s="1838"/>
      <c r="CX217" s="1839"/>
      <c r="CY217" s="1840"/>
      <c r="CZ217" s="1837"/>
      <c r="DA217" s="1838"/>
      <c r="DB217" s="1837"/>
      <c r="DC217" s="1838"/>
      <c r="DD217" s="1839"/>
      <c r="DE217" s="1840"/>
      <c r="DF217" s="1837"/>
      <c r="DG217" s="1838" t="s">
        <v>14162</v>
      </c>
      <c r="DH217" s="1837"/>
      <c r="DI217" s="1838"/>
      <c r="DJ217" s="1839"/>
      <c r="DK217" s="1840"/>
      <c r="DL217" s="1837"/>
      <c r="DM217" s="1838"/>
      <c r="DN217" s="1837"/>
      <c r="DO217" s="1838"/>
      <c r="DP217" s="1839"/>
      <c r="DQ217" s="1840"/>
      <c r="DR217" s="1837"/>
      <c r="DS217" s="1838"/>
      <c r="DT217" s="1837"/>
      <c r="DU217" s="1838"/>
      <c r="DV217" s="1844"/>
      <c r="DW217" s="1840"/>
      <c r="DX217" s="1837"/>
      <c r="DY217" s="1838"/>
      <c r="DZ217" s="1837" t="s">
        <v>8944</v>
      </c>
      <c r="EA217" s="1838"/>
      <c r="EB217" s="1844"/>
      <c r="EC217" s="1840"/>
      <c r="ED217" s="1837"/>
      <c r="EE217" s="1838"/>
      <c r="EF217" s="1837"/>
      <c r="EG217" s="1838"/>
      <c r="EH217" s="1844"/>
      <c r="EI217" s="1840"/>
      <c r="EJ217" s="1837"/>
      <c r="EK217" s="1838"/>
      <c r="EL217" s="1837"/>
      <c r="EM217" s="1838"/>
      <c r="EN217" s="1844"/>
      <c r="EO217" s="1840"/>
      <c r="EP217" s="1837"/>
      <c r="EQ217" s="1838"/>
      <c r="ER217" s="1837"/>
      <c r="ES217" s="1838"/>
      <c r="ET217" s="1844"/>
      <c r="EU217" s="1840"/>
      <c r="EV217" s="1837"/>
      <c r="EW217" s="1838"/>
      <c r="EX217" s="1837"/>
      <c r="EY217" s="1838"/>
      <c r="EZ217" s="1844"/>
      <c r="FA217" s="1840"/>
      <c r="FB217" s="1837"/>
      <c r="FC217" s="1838"/>
      <c r="FD217" s="1837"/>
      <c r="FE217" s="1838"/>
      <c r="FF217" s="1844"/>
      <c r="FG217" s="1840"/>
      <c r="FH217" s="1837"/>
      <c r="FI217" s="1838"/>
      <c r="FJ217" s="1837"/>
      <c r="FK217" s="1838"/>
      <c r="FL217" s="1844"/>
      <c r="FM217" s="1840"/>
      <c r="FN217" s="1837"/>
      <c r="FO217" s="1838"/>
      <c r="FP217" s="1837"/>
      <c r="FQ217" s="1838"/>
      <c r="FR217" s="1844"/>
      <c r="FS217" s="1840"/>
      <c r="FT217" s="1837"/>
      <c r="FU217" s="1838"/>
      <c r="FV217" s="1837"/>
      <c r="FW217" s="1838"/>
      <c r="FX217" s="1844"/>
      <c r="FY217" s="1840"/>
      <c r="FZ217" s="1837"/>
      <c r="GA217" s="1838"/>
      <c r="GB217" s="1837"/>
      <c r="GC217" s="1838"/>
      <c r="GD217" s="1844"/>
      <c r="GE217" s="1840"/>
      <c r="GF217" s="1837"/>
      <c r="GG217" s="1838"/>
      <c r="GH217" s="1837"/>
      <c r="GI217" s="1838"/>
      <c r="GJ217" s="1844"/>
      <c r="GK217" s="1840"/>
      <c r="GL217" s="1837"/>
      <c r="GM217" s="1838"/>
      <c r="GN217" s="1837"/>
      <c r="GO217" s="1838"/>
      <c r="GP217" s="1844"/>
    </row>
    <row r="218" spans="1:198" ht="20.100000000000001" hidden="1" customHeight="1" outlineLevel="1" collapsed="1">
      <c r="A218" s="2709"/>
      <c r="B218" s="2612"/>
      <c r="C218" s="1836">
        <v>6</v>
      </c>
      <c r="D218" s="2614" t="str">
        <f>実績!C1327&amp;"("&amp;SUBSTITUTE(実績!R1327&amp;")","株式会社 ","")</f>
        <v>薬王堂 三種森岳(樹設計工房)</v>
      </c>
      <c r="E218" s="2617"/>
      <c r="F218" s="2617"/>
      <c r="G218" s="2617"/>
      <c r="H218" s="2617"/>
      <c r="I218" s="2617"/>
      <c r="J218" s="2617"/>
      <c r="K218" s="2617"/>
      <c r="L218" s="2617"/>
      <c r="M218" s="2617"/>
      <c r="N218" s="2617"/>
      <c r="O218" s="2617"/>
      <c r="P218" s="2617"/>
      <c r="Q218" s="2617"/>
      <c r="R218" s="2622"/>
      <c r="S218" s="1837"/>
      <c r="T218" s="1837"/>
      <c r="U218" s="1838"/>
      <c r="V218" s="1837"/>
      <c r="W218" s="1838"/>
      <c r="X218" s="1839"/>
      <c r="Y218" s="1837"/>
      <c r="Z218" s="1837"/>
      <c r="AA218" s="1838"/>
      <c r="AB218" s="1837"/>
      <c r="AC218" s="1838"/>
      <c r="AD218" s="1837"/>
      <c r="AE218" s="1840"/>
      <c r="AF218" s="1837"/>
      <c r="AG218" s="1838"/>
      <c r="AH218" s="1837"/>
      <c r="AI218" s="1838"/>
      <c r="AJ218" s="1839"/>
      <c r="AK218" s="1837"/>
      <c r="AL218" s="1837"/>
      <c r="AM218" s="1838"/>
      <c r="AN218" s="1837"/>
      <c r="AO218" s="1838"/>
      <c r="AP218" s="1837"/>
      <c r="AQ218" s="1841"/>
      <c r="AR218" s="1837"/>
      <c r="AS218" s="1838"/>
      <c r="AT218" s="1837"/>
      <c r="AU218" s="1838"/>
      <c r="AV218" s="1839"/>
      <c r="AW218" s="1840"/>
      <c r="AX218" s="1837"/>
      <c r="AY218" s="1838"/>
      <c r="AZ218" s="1837"/>
      <c r="BA218" s="1838"/>
      <c r="BB218" s="1839"/>
      <c r="BC218" s="1837"/>
      <c r="BD218" s="1837"/>
      <c r="BE218" s="1838"/>
      <c r="BF218" s="1837"/>
      <c r="BG218" s="1838"/>
      <c r="BH218" s="1837"/>
      <c r="BI218" s="1840"/>
      <c r="BJ218" s="1837"/>
      <c r="BK218" s="1838"/>
      <c r="BL218" s="1837"/>
      <c r="BM218" s="1838"/>
      <c r="BN218" s="1839"/>
      <c r="BO218" s="1840"/>
      <c r="BP218" s="1837"/>
      <c r="BQ218" s="1838"/>
      <c r="BR218" s="1842"/>
      <c r="BS218" s="1838"/>
      <c r="BT218" s="1839"/>
      <c r="BU218" s="1840"/>
      <c r="BV218" s="1837"/>
      <c r="BW218" s="1838"/>
      <c r="BX218" s="1837"/>
      <c r="BY218" s="1838"/>
      <c r="BZ218" s="1839"/>
      <c r="CA218" s="1840"/>
      <c r="CB218" s="1837"/>
      <c r="CC218" s="1838"/>
      <c r="CD218" s="1837"/>
      <c r="CE218" s="1838"/>
      <c r="CF218" s="1839"/>
      <c r="CG218" s="1840"/>
      <c r="CH218" s="1837"/>
      <c r="CI218" s="1838"/>
      <c r="CJ218" s="1837"/>
      <c r="CK218" s="1838"/>
      <c r="CL218" s="1839"/>
      <c r="CM218" s="1840"/>
      <c r="CN218" s="1837"/>
      <c r="CO218" s="1838"/>
      <c r="CP218" s="1843"/>
      <c r="CQ218" s="1838"/>
      <c r="CR218" s="1839"/>
      <c r="CS218" s="1840"/>
      <c r="CT218" s="1837"/>
      <c r="CU218" s="1838"/>
      <c r="CV218" s="1837"/>
      <c r="CW218" s="1838"/>
      <c r="CX218" s="1839"/>
      <c r="CY218" s="1840"/>
      <c r="CZ218" s="1837"/>
      <c r="DA218" s="1838"/>
      <c r="DB218" s="1837"/>
      <c r="DC218" s="1838"/>
      <c r="DD218" s="1839"/>
      <c r="DE218" s="1840"/>
      <c r="DF218" s="1837"/>
      <c r="DG218" s="1838"/>
      <c r="DH218" s="1837"/>
      <c r="DI218" s="1838" t="s">
        <v>13705</v>
      </c>
      <c r="DJ218" s="1839"/>
      <c r="DK218" s="1840"/>
      <c r="DL218" s="1837"/>
      <c r="DM218" s="1838"/>
      <c r="DN218" s="1837"/>
      <c r="DO218" s="1838" t="s">
        <v>13704</v>
      </c>
      <c r="DP218" s="1839"/>
      <c r="DQ218" s="1840"/>
      <c r="DR218" s="1837"/>
      <c r="DS218" s="1838"/>
      <c r="DT218" s="1837"/>
      <c r="DU218" s="1838"/>
      <c r="DV218" s="1844"/>
      <c r="DW218" s="1840"/>
      <c r="DX218" s="1837"/>
      <c r="DY218" s="1838"/>
      <c r="DZ218" s="1837"/>
      <c r="EA218" s="1838"/>
      <c r="EB218" s="1844"/>
      <c r="EC218" s="1840"/>
      <c r="ED218" s="1837"/>
      <c r="EE218" s="1838"/>
      <c r="EF218" s="1837"/>
      <c r="EG218" s="1838"/>
      <c r="EH218" s="1844"/>
      <c r="EI218" s="1840"/>
      <c r="EJ218" s="1837"/>
      <c r="EK218" s="1838"/>
      <c r="EL218" s="1837"/>
      <c r="EM218" s="1838"/>
      <c r="EN218" s="1844"/>
      <c r="EO218" s="1840"/>
      <c r="EP218" s="1837"/>
      <c r="EQ218" s="1838"/>
      <c r="ER218" s="1837"/>
      <c r="ES218" s="1838"/>
      <c r="ET218" s="1844"/>
      <c r="EU218" s="1840"/>
      <c r="EV218" s="1837"/>
      <c r="EW218" s="1838"/>
      <c r="EX218" s="1837"/>
      <c r="EY218" s="1838"/>
      <c r="EZ218" s="1844"/>
      <c r="FA218" s="1840"/>
      <c r="FB218" s="1837"/>
      <c r="FC218" s="1838"/>
      <c r="FD218" s="1837"/>
      <c r="FE218" s="1838"/>
      <c r="FF218" s="1844"/>
      <c r="FG218" s="1840"/>
      <c r="FH218" s="1837"/>
      <c r="FI218" s="1838"/>
      <c r="FJ218" s="1837"/>
      <c r="FK218" s="1838"/>
      <c r="FL218" s="1844"/>
      <c r="FM218" s="1840"/>
      <c r="FN218" s="1837"/>
      <c r="FO218" s="1838"/>
      <c r="FP218" s="1837"/>
      <c r="FQ218" s="1838"/>
      <c r="FR218" s="1844"/>
      <c r="FS218" s="1840"/>
      <c r="FT218" s="1837"/>
      <c r="FU218" s="1838"/>
      <c r="FV218" s="1837"/>
      <c r="FW218" s="1838"/>
      <c r="FX218" s="1844"/>
      <c r="FY218" s="1840"/>
      <c r="FZ218" s="1837"/>
      <c r="GA218" s="1838"/>
      <c r="GB218" s="1837"/>
      <c r="GC218" s="1838"/>
      <c r="GD218" s="1844"/>
      <c r="GE218" s="1840"/>
      <c r="GF218" s="1837"/>
      <c r="GG218" s="1838"/>
      <c r="GH218" s="1837"/>
      <c r="GI218" s="1838"/>
      <c r="GJ218" s="1844"/>
      <c r="GK218" s="1840"/>
      <c r="GL218" s="1837"/>
      <c r="GM218" s="1838"/>
      <c r="GN218" s="1837"/>
      <c r="GO218" s="1838"/>
      <c r="GP218" s="1844"/>
    </row>
    <row r="219" spans="1:198" ht="20.100000000000001" hidden="1" customHeight="1" outlineLevel="1">
      <c r="A219" s="2709"/>
      <c r="B219" s="2612"/>
      <c r="C219" s="1836">
        <v>7</v>
      </c>
      <c r="D219" s="2614" t="str">
        <f>実績!C1317&amp;"("&amp;SUBSTITUTE(実績!W1317&amp;")","株式会社 ","")</f>
        <v>若柳地区こども園(弾構造設計)</v>
      </c>
      <c r="E219" s="2617"/>
      <c r="F219" s="2617"/>
      <c r="G219" s="2617"/>
      <c r="H219" s="2617"/>
      <c r="I219" s="2617"/>
      <c r="J219" s="2617"/>
      <c r="K219" s="2617"/>
      <c r="L219" s="2617"/>
      <c r="M219" s="2617"/>
      <c r="N219" s="2617"/>
      <c r="O219" s="2617"/>
      <c r="P219" s="2617"/>
      <c r="Q219" s="2617"/>
      <c r="R219" s="2622"/>
      <c r="S219" s="1837"/>
      <c r="T219" s="1837"/>
      <c r="U219" s="1838"/>
      <c r="V219" s="1837"/>
      <c r="W219" s="1838"/>
      <c r="X219" s="1839"/>
      <c r="Y219" s="1837"/>
      <c r="Z219" s="1837"/>
      <c r="AA219" s="1838"/>
      <c r="AB219" s="1837"/>
      <c r="AC219" s="1838"/>
      <c r="AD219" s="1837"/>
      <c r="AE219" s="1840"/>
      <c r="AF219" s="1837"/>
      <c r="AG219" s="1838"/>
      <c r="AH219" s="1837"/>
      <c r="AI219" s="1838"/>
      <c r="AJ219" s="1839"/>
      <c r="AK219" s="1837"/>
      <c r="AL219" s="1837"/>
      <c r="AM219" s="1838"/>
      <c r="AN219" s="1837"/>
      <c r="AO219" s="1838"/>
      <c r="AP219" s="1837"/>
      <c r="AQ219" s="1841"/>
      <c r="AR219" s="1837"/>
      <c r="AS219" s="1838"/>
      <c r="AT219" s="1837"/>
      <c r="AU219" s="1838"/>
      <c r="AV219" s="1839"/>
      <c r="AW219" s="1840"/>
      <c r="AX219" s="1837"/>
      <c r="AY219" s="1838"/>
      <c r="AZ219" s="1837"/>
      <c r="BA219" s="1838"/>
      <c r="BB219" s="1839"/>
      <c r="BC219" s="1837"/>
      <c r="BD219" s="1837"/>
      <c r="BE219" s="1838"/>
      <c r="BF219" s="1837"/>
      <c r="BG219" s="1838"/>
      <c r="BH219" s="1837"/>
      <c r="BI219" s="1840"/>
      <c r="BJ219" s="1837"/>
      <c r="BK219" s="1838"/>
      <c r="BL219" s="1837"/>
      <c r="BM219" s="1838"/>
      <c r="BN219" s="1839"/>
      <c r="BO219" s="1840"/>
      <c r="BP219" s="1837"/>
      <c r="BQ219" s="1838"/>
      <c r="BR219" s="1842"/>
      <c r="BS219" s="1838"/>
      <c r="BT219" s="1839"/>
      <c r="BU219" s="1840"/>
      <c r="BV219" s="1837"/>
      <c r="BW219" s="1838"/>
      <c r="BX219" s="1837"/>
      <c r="BY219" s="1838"/>
      <c r="BZ219" s="1839"/>
      <c r="CA219" s="1840"/>
      <c r="CB219" s="1837"/>
      <c r="CC219" s="1838"/>
      <c r="CD219" s="1837"/>
      <c r="CE219" s="1838"/>
      <c r="CF219" s="1839"/>
      <c r="CG219" s="1840"/>
      <c r="CH219" s="1837"/>
      <c r="CI219" s="1838"/>
      <c r="CJ219" s="1837"/>
      <c r="CK219" s="1838"/>
      <c r="CL219" s="1839"/>
      <c r="CM219" s="1840"/>
      <c r="CN219" s="1837"/>
      <c r="CO219" s="1838"/>
      <c r="CP219" s="1843"/>
      <c r="CQ219" s="1838"/>
      <c r="CR219" s="1839"/>
      <c r="CS219" s="1840"/>
      <c r="CT219" s="1837"/>
      <c r="CU219" s="1838"/>
      <c r="CV219" s="1837"/>
      <c r="CW219" s="1838"/>
      <c r="CX219" s="1839"/>
      <c r="CY219" s="1840"/>
      <c r="CZ219" s="1837"/>
      <c r="DA219" s="1838"/>
      <c r="DB219" s="1837"/>
      <c r="DC219" s="1838"/>
      <c r="DD219" s="1844"/>
      <c r="DE219" s="1840"/>
      <c r="DF219" s="1837"/>
      <c r="DG219" s="1838"/>
      <c r="DH219" s="1837"/>
      <c r="DI219" s="1838" t="s">
        <v>14546</v>
      </c>
      <c r="DJ219" s="1839"/>
      <c r="DK219" s="1840"/>
      <c r="DL219" s="1837"/>
      <c r="DM219" s="1838"/>
      <c r="DN219" s="1837"/>
      <c r="DO219" s="1838"/>
      <c r="DP219" s="1839"/>
      <c r="DQ219" s="1840"/>
      <c r="DR219" s="1837"/>
      <c r="DS219" s="1838"/>
      <c r="DT219" s="1837"/>
      <c r="DU219" s="1838"/>
      <c r="DV219" s="1839"/>
      <c r="DW219" s="1840"/>
      <c r="DX219" s="1837"/>
      <c r="DY219" s="1838"/>
      <c r="DZ219" s="1837"/>
      <c r="EA219" s="1838"/>
      <c r="EB219" s="1839"/>
      <c r="EC219" s="1840"/>
      <c r="ED219" s="1837"/>
      <c r="EE219" s="1838"/>
      <c r="EF219" s="1837"/>
      <c r="EG219" s="1838"/>
      <c r="EH219" s="1844"/>
      <c r="EI219" s="1840"/>
      <c r="EJ219" s="1837"/>
      <c r="EK219" s="1838"/>
      <c r="EL219" s="1837"/>
      <c r="EM219" s="1838"/>
      <c r="EN219" s="1844"/>
      <c r="EO219" s="1840"/>
      <c r="EP219" s="1837"/>
      <c r="EQ219" s="1838"/>
      <c r="ER219" s="1837"/>
      <c r="ES219" s="1838"/>
      <c r="ET219" s="1844"/>
      <c r="EU219" s="1840"/>
      <c r="EV219" s="1837"/>
      <c r="EW219" s="1838"/>
      <c r="EX219" s="1837"/>
      <c r="EY219" s="1838"/>
      <c r="EZ219" s="1844"/>
      <c r="FA219" s="1840"/>
      <c r="FB219" s="1837"/>
      <c r="FC219" s="1838"/>
      <c r="FD219" s="1837"/>
      <c r="FE219" s="1838"/>
      <c r="FF219" s="1844"/>
      <c r="FG219" s="1840"/>
      <c r="FH219" s="1837"/>
      <c r="FI219" s="1838"/>
      <c r="FJ219" s="1837"/>
      <c r="FK219" s="1838"/>
      <c r="FL219" s="1844"/>
      <c r="FM219" s="1840"/>
      <c r="FN219" s="1837"/>
      <c r="FO219" s="1838"/>
      <c r="FP219" s="1837"/>
      <c r="FQ219" s="1838"/>
      <c r="FR219" s="1844"/>
      <c r="FS219" s="1840"/>
      <c r="FT219" s="1837"/>
      <c r="FU219" s="1838"/>
      <c r="FV219" s="1837"/>
      <c r="FW219" s="1838"/>
      <c r="FX219" s="1844"/>
      <c r="FY219" s="1840"/>
      <c r="FZ219" s="1837"/>
      <c r="GA219" s="1838"/>
      <c r="GB219" s="1837"/>
      <c r="GC219" s="1838"/>
      <c r="GD219" s="1844"/>
      <c r="GE219" s="1840"/>
      <c r="GF219" s="1837"/>
      <c r="GG219" s="1838"/>
      <c r="GH219" s="1837"/>
      <c r="GI219" s="1838"/>
      <c r="GJ219" s="1844"/>
      <c r="GK219" s="1840"/>
      <c r="GL219" s="1837"/>
      <c r="GM219" s="1838"/>
      <c r="GN219" s="1837"/>
      <c r="GO219" s="1838"/>
      <c r="GP219" s="1844"/>
    </row>
    <row r="220" spans="1:198" ht="20.100000000000001" hidden="1" customHeight="1" outlineLevel="1">
      <c r="A220" s="2709"/>
      <c r="B220" s="2612"/>
      <c r="C220" s="1836">
        <v>8</v>
      </c>
      <c r="D220" s="2614" t="str">
        <f>実績!C1325&amp;"("&amp;SUBSTITUTE(実績!R1325&amp;")","株式会社 ","")</f>
        <v>弘前倉庫五所川原４期(テクム)</v>
      </c>
      <c r="E220" s="2617"/>
      <c r="F220" s="2617"/>
      <c r="G220" s="2617"/>
      <c r="H220" s="2617"/>
      <c r="I220" s="2617"/>
      <c r="J220" s="2617"/>
      <c r="K220" s="2617"/>
      <c r="L220" s="2617"/>
      <c r="M220" s="2617"/>
      <c r="N220" s="2617"/>
      <c r="O220" s="2617"/>
      <c r="P220" s="2617"/>
      <c r="Q220" s="2617"/>
      <c r="R220" s="2622"/>
      <c r="S220" s="1837"/>
      <c r="T220" s="1837"/>
      <c r="U220" s="1837"/>
      <c r="V220" s="1837"/>
      <c r="W220" s="1837"/>
      <c r="X220" s="1837"/>
      <c r="Y220" s="1837"/>
      <c r="Z220" s="1837"/>
      <c r="AA220" s="1837"/>
      <c r="AB220" s="1837"/>
      <c r="AC220" s="1837"/>
      <c r="AD220" s="1837"/>
      <c r="AE220" s="1837"/>
      <c r="AF220" s="1837"/>
      <c r="AG220" s="1837"/>
      <c r="AH220" s="1837"/>
      <c r="AI220" s="1837"/>
      <c r="AJ220" s="1837"/>
      <c r="AK220" s="1837"/>
      <c r="AL220" s="1837"/>
      <c r="AM220" s="1837"/>
      <c r="AN220" s="1837"/>
      <c r="AO220" s="1837"/>
      <c r="AP220" s="1837"/>
      <c r="AQ220" s="1837"/>
      <c r="AR220" s="1837"/>
      <c r="AS220" s="1837"/>
      <c r="AT220" s="1837"/>
      <c r="AU220" s="1837"/>
      <c r="AV220" s="1837"/>
      <c r="AW220" s="1837"/>
      <c r="AX220" s="1837"/>
      <c r="AY220" s="1837"/>
      <c r="AZ220" s="1837"/>
      <c r="BA220" s="1837"/>
      <c r="BB220" s="1837"/>
      <c r="BC220" s="1837"/>
      <c r="BD220" s="1837"/>
      <c r="BE220" s="1837"/>
      <c r="BF220" s="1837"/>
      <c r="BG220" s="1837"/>
      <c r="BH220" s="1837"/>
      <c r="BI220" s="1837"/>
      <c r="BJ220" s="1837"/>
      <c r="BK220" s="1837"/>
      <c r="BL220" s="1837"/>
      <c r="BM220" s="1837"/>
      <c r="BN220" s="1837"/>
      <c r="BO220" s="1837"/>
      <c r="BP220" s="1837"/>
      <c r="BQ220" s="1837"/>
      <c r="BR220" s="1837"/>
      <c r="BS220" s="1837"/>
      <c r="BT220" s="1837"/>
      <c r="BU220" s="1837"/>
      <c r="BV220" s="1837"/>
      <c r="BW220" s="1837"/>
      <c r="BX220" s="1837"/>
      <c r="BY220" s="1837"/>
      <c r="BZ220" s="1837"/>
      <c r="CA220" s="1837"/>
      <c r="CB220" s="1837"/>
      <c r="CC220" s="1837"/>
      <c r="CD220" s="1837"/>
      <c r="CE220" s="1837"/>
      <c r="CF220" s="1837"/>
      <c r="CG220" s="1837"/>
      <c r="CH220" s="1837"/>
      <c r="CI220" s="1837"/>
      <c r="CJ220" s="1837"/>
      <c r="CK220" s="1837"/>
      <c r="CL220" s="1837"/>
      <c r="CM220" s="1837"/>
      <c r="CN220" s="1837"/>
      <c r="CO220" s="1837"/>
      <c r="CP220" s="1843"/>
      <c r="CQ220" s="1837"/>
      <c r="CR220" s="1837"/>
      <c r="CS220" s="1837"/>
      <c r="CT220" s="1837"/>
      <c r="CU220" s="1837"/>
      <c r="CV220" s="1837"/>
      <c r="CW220" s="1837"/>
      <c r="CX220" s="1837"/>
      <c r="CY220" s="1840"/>
      <c r="CZ220" s="1837"/>
      <c r="DA220" s="1838"/>
      <c r="DB220" s="1837"/>
      <c r="DC220" s="1838"/>
      <c r="DD220" s="1839"/>
      <c r="DE220" s="1840"/>
      <c r="DF220" s="1837"/>
      <c r="DG220" s="1838"/>
      <c r="DH220" s="1837"/>
      <c r="DI220" s="1838" t="s">
        <v>14539</v>
      </c>
      <c r="DJ220" s="1839"/>
      <c r="DK220" s="1840"/>
      <c r="DL220" s="1837"/>
      <c r="DM220" s="1838"/>
      <c r="DN220" s="1837"/>
      <c r="DO220" s="1838"/>
      <c r="DP220" s="1839"/>
      <c r="DQ220" s="1840"/>
      <c r="DR220" s="1837"/>
      <c r="DS220" s="1838"/>
      <c r="DT220" s="1837"/>
      <c r="DU220" s="1838"/>
      <c r="DV220" s="1844"/>
      <c r="DW220" s="1840"/>
      <c r="DX220" s="1837"/>
      <c r="DY220" s="1838"/>
      <c r="DZ220" s="1837"/>
      <c r="EA220" s="1838"/>
      <c r="EB220" s="1844"/>
      <c r="EC220" s="1840"/>
      <c r="ED220" s="1837"/>
      <c r="EE220" s="1838"/>
      <c r="EF220" s="1837"/>
      <c r="EG220" s="1838"/>
      <c r="EH220" s="1844"/>
      <c r="EI220" s="1840"/>
      <c r="EJ220" s="1837"/>
      <c r="EK220" s="1838"/>
      <c r="EL220" s="1837"/>
      <c r="EM220" s="1838"/>
      <c r="EN220" s="1844"/>
      <c r="EO220" s="1840"/>
      <c r="EP220" s="1837"/>
      <c r="EQ220" s="1838"/>
      <c r="ER220" s="1837"/>
      <c r="ES220" s="1838"/>
      <c r="ET220" s="1844"/>
      <c r="EU220" s="1840"/>
      <c r="EV220" s="1837"/>
      <c r="EW220" s="1838"/>
      <c r="EX220" s="1837"/>
      <c r="EY220" s="1838"/>
      <c r="EZ220" s="1844"/>
      <c r="FA220" s="1840"/>
      <c r="FB220" s="1837"/>
      <c r="FC220" s="1838"/>
      <c r="FD220" s="1837"/>
      <c r="FE220" s="1838"/>
      <c r="FF220" s="1844"/>
      <c r="FG220" s="1840"/>
      <c r="FH220" s="1837"/>
      <c r="FI220" s="1838"/>
      <c r="FJ220" s="1837"/>
      <c r="FK220" s="1838"/>
      <c r="FL220" s="1844"/>
      <c r="FM220" s="1840"/>
      <c r="FN220" s="1837"/>
      <c r="FO220" s="1838"/>
      <c r="FP220" s="1837"/>
      <c r="FQ220" s="1838"/>
      <c r="FR220" s="1844"/>
      <c r="FS220" s="1840"/>
      <c r="FT220" s="1837"/>
      <c r="FU220" s="1838"/>
      <c r="FV220" s="1837"/>
      <c r="FW220" s="1838"/>
      <c r="FX220" s="1844"/>
      <c r="FY220" s="1840"/>
      <c r="FZ220" s="1837"/>
      <c r="GA220" s="1838"/>
      <c r="GB220" s="1837"/>
      <c r="GC220" s="1838"/>
      <c r="GD220" s="1844"/>
      <c r="GE220" s="1840"/>
      <c r="GF220" s="1837"/>
      <c r="GG220" s="1838"/>
      <c r="GH220" s="1837"/>
      <c r="GI220" s="1838"/>
      <c r="GJ220" s="1844"/>
      <c r="GK220" s="1840"/>
      <c r="GL220" s="1837"/>
      <c r="GM220" s="1838"/>
      <c r="GN220" s="1837"/>
      <c r="GO220" s="1838"/>
      <c r="GP220" s="1844"/>
    </row>
    <row r="221" spans="1:198" ht="20.100000000000001" hidden="1" customHeight="1" outlineLevel="1" collapsed="1">
      <c r="A221" s="2709"/>
      <c r="B221" s="2612"/>
      <c r="C221" s="1836">
        <v>9</v>
      </c>
      <c r="D221" s="2614" t="str">
        <f>実績!C1331&amp;"("&amp;SUBSTITUTE(実績!R1331&amp;")","株式会社 ","")</f>
        <v>薬王堂 角館下菅沢(樹設計工房)</v>
      </c>
      <c r="E221" s="2617"/>
      <c r="F221" s="2617"/>
      <c r="G221" s="2617"/>
      <c r="H221" s="2617"/>
      <c r="I221" s="2617"/>
      <c r="J221" s="2617"/>
      <c r="K221" s="2617"/>
      <c r="L221" s="2617"/>
      <c r="M221" s="2617"/>
      <c r="N221" s="2617"/>
      <c r="O221" s="2617"/>
      <c r="P221" s="2617"/>
      <c r="Q221" s="2617"/>
      <c r="R221" s="2622"/>
      <c r="S221" s="1837"/>
      <c r="T221" s="1837"/>
      <c r="U221" s="1838"/>
      <c r="V221" s="1837"/>
      <c r="W221" s="1838"/>
      <c r="X221" s="1839"/>
      <c r="Y221" s="1837"/>
      <c r="Z221" s="1837"/>
      <c r="AA221" s="1838"/>
      <c r="AB221" s="1837"/>
      <c r="AC221" s="1838"/>
      <c r="AD221" s="1837"/>
      <c r="AE221" s="1840"/>
      <c r="AF221" s="1837"/>
      <c r="AG221" s="1838"/>
      <c r="AH221" s="1837"/>
      <c r="AI221" s="1838"/>
      <c r="AJ221" s="1839"/>
      <c r="AK221" s="1837"/>
      <c r="AL221" s="1837"/>
      <c r="AM221" s="1838"/>
      <c r="AN221" s="1837"/>
      <c r="AO221" s="1838"/>
      <c r="AP221" s="1837"/>
      <c r="AQ221" s="1841"/>
      <c r="AR221" s="1837"/>
      <c r="AS221" s="1838"/>
      <c r="AT221" s="1837"/>
      <c r="AU221" s="1838"/>
      <c r="AV221" s="1839"/>
      <c r="AW221" s="1840"/>
      <c r="AX221" s="1837"/>
      <c r="AY221" s="1838"/>
      <c r="AZ221" s="1837"/>
      <c r="BA221" s="1838"/>
      <c r="BB221" s="1839"/>
      <c r="BC221" s="1837"/>
      <c r="BD221" s="1837"/>
      <c r="BE221" s="1838"/>
      <c r="BF221" s="1837"/>
      <c r="BG221" s="1838"/>
      <c r="BH221" s="1837"/>
      <c r="BI221" s="1840"/>
      <c r="BJ221" s="1837"/>
      <c r="BK221" s="1838"/>
      <c r="BL221" s="1837"/>
      <c r="BM221" s="1838"/>
      <c r="BN221" s="1839"/>
      <c r="BO221" s="1840"/>
      <c r="BP221" s="1837"/>
      <c r="BQ221" s="1838"/>
      <c r="BR221" s="1842"/>
      <c r="BS221" s="1838"/>
      <c r="BT221" s="1839"/>
      <c r="BU221" s="1840"/>
      <c r="BV221" s="1837"/>
      <c r="BW221" s="1838"/>
      <c r="BX221" s="1837"/>
      <c r="BY221" s="1838"/>
      <c r="BZ221" s="1839"/>
      <c r="CA221" s="1840"/>
      <c r="CB221" s="1837"/>
      <c r="CC221" s="1838"/>
      <c r="CD221" s="1837"/>
      <c r="CE221" s="1838"/>
      <c r="CF221" s="1839"/>
      <c r="CG221" s="1840"/>
      <c r="CH221" s="1837"/>
      <c r="CI221" s="1838"/>
      <c r="CJ221" s="1837"/>
      <c r="CK221" s="1838"/>
      <c r="CL221" s="1839"/>
      <c r="CM221" s="1840"/>
      <c r="CN221" s="1837"/>
      <c r="CO221" s="1838"/>
      <c r="CP221" s="1843"/>
      <c r="CQ221" s="1838"/>
      <c r="CR221" s="1839"/>
      <c r="CS221" s="1840"/>
      <c r="CT221" s="1837"/>
      <c r="CU221" s="1838"/>
      <c r="CV221" s="1837"/>
      <c r="CW221" s="1838"/>
      <c r="CX221" s="1839"/>
      <c r="CY221" s="1840"/>
      <c r="CZ221" s="1837"/>
      <c r="DA221" s="1838"/>
      <c r="DB221" s="1837"/>
      <c r="DC221" s="1838"/>
      <c r="DD221" s="1839"/>
      <c r="DE221" s="1840"/>
      <c r="DF221" s="1837"/>
      <c r="DG221" s="1838"/>
      <c r="DH221" s="1837"/>
      <c r="DI221" s="1838"/>
      <c r="DJ221" s="1839"/>
      <c r="DK221" s="1840"/>
      <c r="DL221" s="1837"/>
      <c r="DM221" s="1838"/>
      <c r="DN221" s="1837"/>
      <c r="DO221" s="1838"/>
      <c r="DP221" s="1839"/>
      <c r="DQ221" s="1840"/>
      <c r="DR221" s="1837"/>
      <c r="DS221" s="1838"/>
      <c r="DT221" s="1837"/>
      <c r="DU221" s="1838"/>
      <c r="DV221" s="1844"/>
      <c r="DW221" s="1840"/>
      <c r="DX221" s="1837"/>
      <c r="DY221" s="1838"/>
      <c r="DZ221" s="1837"/>
      <c r="EA221" s="1838"/>
      <c r="EB221" s="1844"/>
      <c r="EC221" s="1840"/>
      <c r="ED221" s="1837"/>
      <c r="EE221" s="1838"/>
      <c r="EF221" s="1837"/>
      <c r="EG221" s="1838"/>
      <c r="EH221" s="1844"/>
      <c r="EI221" s="1840"/>
      <c r="EJ221" s="1837"/>
      <c r="EK221" s="1838"/>
      <c r="EL221" s="1837"/>
      <c r="EM221" s="1838"/>
      <c r="EN221" s="1844"/>
      <c r="EO221" s="1840"/>
      <c r="EP221" s="1837"/>
      <c r="EQ221" s="1838"/>
      <c r="ER221" s="1837"/>
      <c r="ES221" s="1838"/>
      <c r="ET221" s="1844"/>
      <c r="EU221" s="1840"/>
      <c r="EV221" s="1837"/>
      <c r="EW221" s="1838"/>
      <c r="EX221" s="1837"/>
      <c r="EY221" s="1838"/>
      <c r="EZ221" s="1844"/>
      <c r="FA221" s="1840"/>
      <c r="FB221" s="1837"/>
      <c r="FC221" s="1838"/>
      <c r="FD221" s="1837"/>
      <c r="FE221" s="1838"/>
      <c r="FF221" s="1844"/>
      <c r="FG221" s="1840"/>
      <c r="FH221" s="1837"/>
      <c r="FI221" s="1838"/>
      <c r="FJ221" s="1837"/>
      <c r="FK221" s="1838"/>
      <c r="FL221" s="1844"/>
      <c r="FM221" s="1840"/>
      <c r="FN221" s="1837"/>
      <c r="FO221" s="1838"/>
      <c r="FP221" s="1837"/>
      <c r="FQ221" s="1838"/>
      <c r="FR221" s="1844"/>
      <c r="FS221" s="1840"/>
      <c r="FT221" s="1837"/>
      <c r="FU221" s="1838"/>
      <c r="FV221" s="1837"/>
      <c r="FW221" s="1838"/>
      <c r="FX221" s="1844"/>
      <c r="FY221" s="1840"/>
      <c r="FZ221" s="1837"/>
      <c r="GA221" s="1838"/>
      <c r="GB221" s="1837"/>
      <c r="GC221" s="1838"/>
      <c r="GD221" s="1844"/>
      <c r="GE221" s="1840"/>
      <c r="GF221" s="1837"/>
      <c r="GG221" s="1838"/>
      <c r="GH221" s="1837"/>
      <c r="GI221" s="1838"/>
      <c r="GJ221" s="1844"/>
      <c r="GK221" s="1840"/>
      <c r="GL221" s="1837"/>
      <c r="GM221" s="1838"/>
      <c r="GN221" s="1837"/>
      <c r="GO221" s="1838"/>
      <c r="GP221" s="1844"/>
    </row>
    <row r="222" spans="1:198" ht="20.100000000000001" hidden="1" customHeight="1" outlineLevel="1">
      <c r="A222" s="2709"/>
      <c r="B222" s="2612"/>
      <c r="C222" s="1836">
        <v>10</v>
      </c>
      <c r="D222" s="2614" t="str">
        <f>実績!C1301&amp;"("&amp;SUBSTITUTE(実績!R1301&amp;")","株式会社 ","")</f>
        <v>カインズ羽生 テナント棟(タイト設計)</v>
      </c>
      <c r="E222" s="2617"/>
      <c r="F222" s="2617"/>
      <c r="G222" s="2617"/>
      <c r="H222" s="2617"/>
      <c r="I222" s="2617"/>
      <c r="J222" s="2617"/>
      <c r="K222" s="2617"/>
      <c r="L222" s="2617"/>
      <c r="M222" s="2617"/>
      <c r="N222" s="2617"/>
      <c r="O222" s="2617"/>
      <c r="P222" s="2617"/>
      <c r="Q222" s="2617"/>
      <c r="R222" s="2615"/>
      <c r="S222" s="1837"/>
      <c r="T222" s="1837"/>
      <c r="U222" s="1838"/>
      <c r="V222" s="1837"/>
      <c r="W222" s="1838"/>
      <c r="X222" s="1839"/>
      <c r="Y222" s="1837"/>
      <c r="Z222" s="1837"/>
      <c r="AA222" s="1838"/>
      <c r="AB222" s="1837"/>
      <c r="AC222" s="1838"/>
      <c r="AD222" s="1837"/>
      <c r="AE222" s="1840"/>
      <c r="AF222" s="1837"/>
      <c r="AG222" s="1838"/>
      <c r="AH222" s="1837"/>
      <c r="AI222" s="1838"/>
      <c r="AJ222" s="1839"/>
      <c r="AK222" s="1837"/>
      <c r="AL222" s="1837"/>
      <c r="AM222" s="1838"/>
      <c r="AN222" s="1837"/>
      <c r="AO222" s="1838"/>
      <c r="AP222" s="1837"/>
      <c r="AQ222" s="1841"/>
      <c r="AR222" s="1837"/>
      <c r="AS222" s="1838"/>
      <c r="AT222" s="1837"/>
      <c r="AU222" s="1838"/>
      <c r="AV222" s="1839"/>
      <c r="AW222" s="1840"/>
      <c r="AX222" s="1837"/>
      <c r="AY222" s="1838"/>
      <c r="AZ222" s="1837"/>
      <c r="BA222" s="1838"/>
      <c r="BB222" s="1839"/>
      <c r="BC222" s="1837"/>
      <c r="BD222" s="1837"/>
      <c r="BE222" s="1838"/>
      <c r="BF222" s="1837"/>
      <c r="BG222" s="1838"/>
      <c r="BH222" s="1837"/>
      <c r="BI222" s="1840"/>
      <c r="BJ222" s="1837"/>
      <c r="BK222" s="1838"/>
      <c r="BL222" s="1837"/>
      <c r="BM222" s="1838"/>
      <c r="BN222" s="1839"/>
      <c r="BO222" s="1840"/>
      <c r="BP222" s="1837"/>
      <c r="BQ222" s="1838"/>
      <c r="BR222" s="1842"/>
      <c r="BS222" s="1838"/>
      <c r="BT222" s="1839"/>
      <c r="BU222" s="1840"/>
      <c r="BV222" s="1837"/>
      <c r="BW222" s="1838"/>
      <c r="BX222" s="1837"/>
      <c r="BY222" s="1838"/>
      <c r="BZ222" s="1839"/>
      <c r="CA222" s="1840"/>
      <c r="CB222" s="1837"/>
      <c r="CC222" s="1838"/>
      <c r="CD222" s="1837"/>
      <c r="CE222" s="1838"/>
      <c r="CF222" s="1839"/>
      <c r="CG222" s="1840"/>
      <c r="CH222" s="1837"/>
      <c r="CI222" s="1838"/>
      <c r="CJ222" s="1837"/>
      <c r="CK222" s="1838"/>
      <c r="CL222" s="1839"/>
      <c r="CM222" s="1840"/>
      <c r="CN222" s="1837"/>
      <c r="CO222" s="1838"/>
      <c r="CP222" s="1843"/>
      <c r="CQ222" s="1838"/>
      <c r="CR222" s="1839"/>
      <c r="CS222" s="1840"/>
      <c r="CT222" s="1837"/>
      <c r="CU222" s="1838"/>
      <c r="CV222" s="1837"/>
      <c r="CW222" s="1838"/>
      <c r="CX222" s="1844"/>
      <c r="CY222" s="1840"/>
      <c r="CZ222" s="1837"/>
      <c r="DA222" s="1838"/>
      <c r="DB222" s="1837"/>
      <c r="DC222" s="1838"/>
      <c r="DD222" s="1839"/>
      <c r="DE222" s="1840"/>
      <c r="DF222" s="1837"/>
      <c r="DG222" s="1838"/>
      <c r="DH222" s="1837"/>
      <c r="DI222" s="1838"/>
      <c r="DJ222" s="1839"/>
      <c r="DK222" s="1840"/>
      <c r="DL222" s="1837" t="s">
        <v>14939</v>
      </c>
      <c r="DM222" s="1838"/>
      <c r="DN222" s="1837"/>
      <c r="DO222" s="1838"/>
      <c r="DP222" s="1837"/>
      <c r="DQ222" s="1853" t="s">
        <v>14556</v>
      </c>
      <c r="DR222" s="1837"/>
      <c r="DS222" s="1838"/>
      <c r="DT222" s="1837"/>
      <c r="DU222" s="1838"/>
      <c r="DV222" s="1839"/>
      <c r="DW222" s="1840"/>
      <c r="DX222" s="1837"/>
      <c r="DY222" s="1838"/>
      <c r="DZ222" s="1837"/>
      <c r="EA222" s="1838"/>
      <c r="EB222" s="1839"/>
      <c r="EC222" s="1840"/>
      <c r="ED222" s="1837"/>
      <c r="EE222" s="1838"/>
      <c r="EF222" s="1837"/>
      <c r="EG222" s="1838"/>
      <c r="EH222" s="1839"/>
      <c r="EI222" s="1840"/>
      <c r="EJ222" s="1837"/>
      <c r="EK222" s="1838"/>
      <c r="EL222" s="1837"/>
      <c r="EM222" s="1838"/>
      <c r="EN222" s="1839"/>
      <c r="EO222" s="1840"/>
      <c r="EP222" s="1837"/>
      <c r="EQ222" s="1838"/>
      <c r="ER222" s="1837"/>
      <c r="ES222" s="1838"/>
      <c r="ET222" s="1839"/>
      <c r="EU222" s="1840"/>
      <c r="EV222" s="1837"/>
      <c r="EW222" s="1838"/>
      <c r="EX222" s="1837"/>
      <c r="EY222" s="1838"/>
      <c r="EZ222" s="1839"/>
      <c r="FA222" s="1840"/>
      <c r="FB222" s="1837"/>
      <c r="FC222" s="1838"/>
      <c r="FD222" s="1837"/>
      <c r="FE222" s="1838"/>
      <c r="FF222" s="1839"/>
      <c r="FG222" s="1840"/>
      <c r="FH222" s="1837"/>
      <c r="FI222" s="1838"/>
      <c r="FJ222" s="1837"/>
      <c r="FK222" s="1838"/>
      <c r="FL222" s="1839"/>
      <c r="FM222" s="1840"/>
      <c r="FN222" s="1837"/>
      <c r="FO222" s="1838"/>
      <c r="FP222" s="1837"/>
      <c r="FQ222" s="1838"/>
      <c r="FR222" s="1839"/>
      <c r="FS222" s="1840"/>
      <c r="FT222" s="1837"/>
      <c r="FU222" s="1838"/>
      <c r="FV222" s="1837"/>
      <c r="FW222" s="1838"/>
      <c r="FX222" s="1839"/>
      <c r="FY222" s="1840"/>
      <c r="FZ222" s="1837"/>
      <c r="GA222" s="1838"/>
      <c r="GB222" s="1837"/>
      <c r="GC222" s="1838"/>
      <c r="GD222" s="1839"/>
      <c r="GE222" s="1840"/>
      <c r="GF222" s="1837"/>
      <c r="GG222" s="1838"/>
      <c r="GH222" s="1837"/>
      <c r="GI222" s="1838"/>
      <c r="GJ222" s="1839"/>
      <c r="GK222" s="1840"/>
      <c r="GL222" s="1837"/>
      <c r="GM222" s="1838"/>
      <c r="GN222" s="1837"/>
      <c r="GO222" s="1838"/>
      <c r="GP222" s="1839"/>
    </row>
    <row r="223" spans="1:198" ht="20.100000000000001" hidden="1" customHeight="1" outlineLevel="1">
      <c r="A223" s="2709"/>
      <c r="B223" s="2612"/>
      <c r="C223" s="1836">
        <v>11</v>
      </c>
      <c r="D223" s="2614" t="str">
        <f>実績!C1309&amp;"("&amp;SUBSTITUTE(実績!R1309&amp;")","株式会社 ","")</f>
        <v>池伝㈱名古屋支店新事務所()</v>
      </c>
      <c r="E223" s="2617"/>
      <c r="F223" s="2617"/>
      <c r="G223" s="2617"/>
      <c r="H223" s="2617"/>
      <c r="I223" s="2617"/>
      <c r="J223" s="2617"/>
      <c r="K223" s="2617"/>
      <c r="L223" s="2617"/>
      <c r="M223" s="2617"/>
      <c r="N223" s="2617"/>
      <c r="O223" s="2617"/>
      <c r="P223" s="2617"/>
      <c r="Q223" s="2617"/>
      <c r="R223" s="2622"/>
      <c r="S223" s="1837"/>
      <c r="T223" s="1837"/>
      <c r="U223" s="1838"/>
      <c r="V223" s="1837"/>
      <c r="W223" s="1838"/>
      <c r="X223" s="1839"/>
      <c r="Y223" s="1837"/>
      <c r="Z223" s="1837"/>
      <c r="AA223" s="1838"/>
      <c r="AB223" s="1837"/>
      <c r="AC223" s="1838"/>
      <c r="AD223" s="1837"/>
      <c r="AE223" s="1840"/>
      <c r="AF223" s="1837"/>
      <c r="AG223" s="1838"/>
      <c r="AH223" s="1837"/>
      <c r="AI223" s="1838"/>
      <c r="AJ223" s="1839"/>
      <c r="AK223" s="1837"/>
      <c r="AL223" s="1837"/>
      <c r="AM223" s="1838"/>
      <c r="AN223" s="1837"/>
      <c r="AO223" s="1838"/>
      <c r="AP223" s="1837"/>
      <c r="AQ223" s="1841"/>
      <c r="AR223" s="1837"/>
      <c r="AS223" s="1838"/>
      <c r="AT223" s="1837"/>
      <c r="AU223" s="1838"/>
      <c r="AV223" s="1839"/>
      <c r="AW223" s="1840"/>
      <c r="AX223" s="1837"/>
      <c r="AY223" s="1838"/>
      <c r="AZ223" s="1837"/>
      <c r="BA223" s="1838"/>
      <c r="BB223" s="1839"/>
      <c r="BC223" s="1837"/>
      <c r="BD223" s="1837"/>
      <c r="BE223" s="1838"/>
      <c r="BF223" s="1837"/>
      <c r="BG223" s="1838"/>
      <c r="BH223" s="1837"/>
      <c r="BI223" s="1840"/>
      <c r="BJ223" s="1837"/>
      <c r="BK223" s="1838"/>
      <c r="BL223" s="1837"/>
      <c r="BM223" s="1838"/>
      <c r="BN223" s="1839"/>
      <c r="BO223" s="1840"/>
      <c r="BP223" s="1837"/>
      <c r="BQ223" s="1838"/>
      <c r="BR223" s="1842"/>
      <c r="BS223" s="1838"/>
      <c r="BT223" s="1839"/>
      <c r="BU223" s="1840"/>
      <c r="BV223" s="1837"/>
      <c r="BW223" s="1838"/>
      <c r="BX223" s="1837"/>
      <c r="BY223" s="1838"/>
      <c r="BZ223" s="1839"/>
      <c r="CA223" s="1840"/>
      <c r="CB223" s="1837"/>
      <c r="CC223" s="1838"/>
      <c r="CD223" s="1837"/>
      <c r="CE223" s="1838"/>
      <c r="CF223" s="1839"/>
      <c r="CG223" s="1840"/>
      <c r="CH223" s="1837"/>
      <c r="CI223" s="1838"/>
      <c r="CJ223" s="1837"/>
      <c r="CK223" s="1838"/>
      <c r="CL223" s="1839"/>
      <c r="CM223" s="1840"/>
      <c r="CN223" s="1837"/>
      <c r="CO223" s="1838"/>
      <c r="CP223" s="1843"/>
      <c r="CQ223" s="1838"/>
      <c r="CR223" s="1839"/>
      <c r="CS223" s="1840"/>
      <c r="CT223" s="1837"/>
      <c r="CU223" s="1838"/>
      <c r="CV223" s="1837"/>
      <c r="CW223" s="1838"/>
      <c r="CX223" s="1865" t="s">
        <v>10939</v>
      </c>
      <c r="CY223" s="1840"/>
      <c r="CZ223" s="1837"/>
      <c r="DA223" s="1838"/>
      <c r="DB223" s="1837"/>
      <c r="DC223" s="1838"/>
      <c r="DD223" s="1839"/>
      <c r="DE223" s="1840"/>
      <c r="DF223" s="1837"/>
      <c r="DG223" s="1838"/>
      <c r="DH223" s="1837"/>
      <c r="DI223" s="1838"/>
      <c r="DJ223" s="1865"/>
      <c r="DK223" s="1840" t="s">
        <v>14850</v>
      </c>
      <c r="DL223" s="1837"/>
      <c r="DM223" s="1838"/>
      <c r="DN223" s="1837"/>
      <c r="DO223" s="1838"/>
      <c r="DP223" s="1839"/>
      <c r="DQ223" s="1840" t="s">
        <v>8145</v>
      </c>
      <c r="DR223" s="1837"/>
      <c r="DS223" s="1838"/>
      <c r="DT223" s="1837"/>
      <c r="DU223" s="1838"/>
      <c r="DV223" s="1844"/>
      <c r="DW223" s="1840"/>
      <c r="DX223" s="1837"/>
      <c r="DY223" s="1838"/>
      <c r="DZ223" s="1837"/>
      <c r="EA223" s="1838"/>
      <c r="EB223" s="1844"/>
      <c r="EC223" s="1840"/>
      <c r="ED223" s="1837"/>
      <c r="EE223" s="1838"/>
      <c r="EF223" s="1837"/>
      <c r="EG223" s="1838"/>
      <c r="EH223" s="1844"/>
      <c r="EI223" s="1840"/>
      <c r="EJ223" s="1837"/>
      <c r="EK223" s="1838"/>
      <c r="EL223" s="1837"/>
      <c r="EM223" s="1838"/>
      <c r="EN223" s="1844"/>
      <c r="EO223" s="1840"/>
      <c r="EP223" s="1837"/>
      <c r="EQ223" s="1838"/>
      <c r="ER223" s="1837"/>
      <c r="ES223" s="1838"/>
      <c r="ET223" s="1844"/>
      <c r="EU223" s="1840"/>
      <c r="EV223" s="1837"/>
      <c r="EW223" s="1838"/>
      <c r="EX223" s="1837"/>
      <c r="EY223" s="1838"/>
      <c r="EZ223" s="1844"/>
      <c r="FA223" s="1840"/>
      <c r="FB223" s="1837"/>
      <c r="FC223" s="1838"/>
      <c r="FD223" s="1837"/>
      <c r="FE223" s="1838"/>
      <c r="FF223" s="1844"/>
      <c r="FG223" s="1840"/>
      <c r="FH223" s="1837"/>
      <c r="FI223" s="1838"/>
      <c r="FJ223" s="1837"/>
      <c r="FK223" s="1838"/>
      <c r="FL223" s="1844"/>
      <c r="FM223" s="1840"/>
      <c r="FN223" s="1837"/>
      <c r="FO223" s="1838"/>
      <c r="FP223" s="1837"/>
      <c r="FQ223" s="1838"/>
      <c r="FR223" s="1844"/>
      <c r="FS223" s="1840"/>
      <c r="FT223" s="1837"/>
      <c r="FU223" s="1838"/>
      <c r="FV223" s="1837"/>
      <c r="FW223" s="1838"/>
      <c r="FX223" s="1844"/>
      <c r="FY223" s="1840"/>
      <c r="FZ223" s="1837"/>
      <c r="GA223" s="1838"/>
      <c r="GB223" s="1837"/>
      <c r="GC223" s="1838"/>
      <c r="GD223" s="1844"/>
      <c r="GE223" s="1840"/>
      <c r="GF223" s="1837"/>
      <c r="GG223" s="1838"/>
      <c r="GH223" s="1837"/>
      <c r="GI223" s="1838"/>
      <c r="GJ223" s="1844"/>
      <c r="GK223" s="1840"/>
      <c r="GL223" s="1837"/>
      <c r="GM223" s="1838"/>
      <c r="GN223" s="1837"/>
      <c r="GO223" s="1838"/>
      <c r="GP223" s="1844"/>
    </row>
    <row r="224" spans="1:198" ht="20.100000000000001" hidden="1" customHeight="1" outlineLevel="1">
      <c r="A224" s="2709"/>
      <c r="B224" s="2612"/>
      <c r="C224" s="1836">
        <v>12</v>
      </c>
      <c r="D224" s="2614" t="str">
        <f>実績!C1330&amp;"("&amp;SUBSTITUTE(実績!R1330&amp;")","株式会社 ","")</f>
        <v>バースデイ洲本(エムティプラン)</v>
      </c>
      <c r="E224" s="2617"/>
      <c r="F224" s="2617"/>
      <c r="G224" s="2617"/>
      <c r="H224" s="2617"/>
      <c r="I224" s="2617"/>
      <c r="J224" s="2617"/>
      <c r="K224" s="2617"/>
      <c r="L224" s="2617"/>
      <c r="M224" s="2617"/>
      <c r="N224" s="2617"/>
      <c r="O224" s="2617"/>
      <c r="P224" s="2617"/>
      <c r="Q224" s="2617"/>
      <c r="R224" s="2622"/>
      <c r="S224" s="1837"/>
      <c r="T224" s="1837"/>
      <c r="U224" s="1838"/>
      <c r="V224" s="1837"/>
      <c r="W224" s="1838"/>
      <c r="X224" s="1839"/>
      <c r="Y224" s="1837"/>
      <c r="Z224" s="1837"/>
      <c r="AA224" s="1838"/>
      <c r="AB224" s="1837"/>
      <c r="AC224" s="1838"/>
      <c r="AD224" s="1837"/>
      <c r="AE224" s="1840"/>
      <c r="AF224" s="1837"/>
      <c r="AG224" s="1838"/>
      <c r="AH224" s="1837"/>
      <c r="AI224" s="1838"/>
      <c r="AJ224" s="1839"/>
      <c r="AK224" s="1837"/>
      <c r="AL224" s="1837"/>
      <c r="AM224" s="1838"/>
      <c r="AN224" s="1837"/>
      <c r="AO224" s="1838"/>
      <c r="AP224" s="1837"/>
      <c r="AQ224" s="1841"/>
      <c r="AR224" s="1837"/>
      <c r="AS224" s="1838"/>
      <c r="AT224" s="1837"/>
      <c r="AU224" s="1838"/>
      <c r="AV224" s="1839"/>
      <c r="AW224" s="1840"/>
      <c r="AX224" s="1837"/>
      <c r="AY224" s="1838"/>
      <c r="AZ224" s="1837"/>
      <c r="BA224" s="1838"/>
      <c r="BB224" s="1839"/>
      <c r="BC224" s="1837"/>
      <c r="BD224" s="1837"/>
      <c r="BE224" s="1838"/>
      <c r="BF224" s="1837"/>
      <c r="BG224" s="1838"/>
      <c r="BH224" s="1837"/>
      <c r="BI224" s="1840"/>
      <c r="BJ224" s="1837"/>
      <c r="BK224" s="1838"/>
      <c r="BL224" s="1837"/>
      <c r="BM224" s="1838"/>
      <c r="BN224" s="1839"/>
      <c r="BO224" s="1840"/>
      <c r="BP224" s="1837"/>
      <c r="BQ224" s="1838"/>
      <c r="BR224" s="1842"/>
      <c r="BS224" s="1838"/>
      <c r="BT224" s="1839"/>
      <c r="BU224" s="1840"/>
      <c r="BV224" s="1837"/>
      <c r="BW224" s="1838"/>
      <c r="BX224" s="1837"/>
      <c r="BY224" s="1838"/>
      <c r="BZ224" s="1839"/>
      <c r="CA224" s="1840"/>
      <c r="CB224" s="1837"/>
      <c r="CC224" s="1838"/>
      <c r="CD224" s="1837"/>
      <c r="CE224" s="1838"/>
      <c r="CF224" s="1839"/>
      <c r="CG224" s="1840"/>
      <c r="CH224" s="1837"/>
      <c r="CI224" s="1838"/>
      <c r="CJ224" s="1837"/>
      <c r="CK224" s="1838"/>
      <c r="CL224" s="1839"/>
      <c r="CM224" s="1840"/>
      <c r="CN224" s="1837"/>
      <c r="CO224" s="1838"/>
      <c r="CP224" s="1843"/>
      <c r="CQ224" s="1838"/>
      <c r="CR224" s="1839"/>
      <c r="CS224" s="1840"/>
      <c r="CT224" s="1837"/>
      <c r="CU224" s="1838"/>
      <c r="CV224" s="1837"/>
      <c r="CW224" s="1838"/>
      <c r="CX224" s="1839"/>
      <c r="CY224" s="1840"/>
      <c r="CZ224" s="1837"/>
      <c r="DA224" s="1838"/>
      <c r="DB224" s="1837"/>
      <c r="DC224" s="1838"/>
      <c r="DD224" s="1839"/>
      <c r="DE224" s="1840"/>
      <c r="DF224" s="1837"/>
      <c r="DG224" s="1838"/>
      <c r="DH224" s="1837"/>
      <c r="DI224" s="1838"/>
      <c r="DJ224" s="1839"/>
      <c r="DK224" s="1840" t="s">
        <v>14849</v>
      </c>
      <c r="DL224" s="1837"/>
      <c r="DM224" s="1838"/>
      <c r="DN224" s="1837"/>
      <c r="DO224" s="1838"/>
      <c r="DP224" s="1839"/>
      <c r="DQ224" s="1840"/>
      <c r="DR224" s="1837"/>
      <c r="DS224" s="1838"/>
      <c r="DT224" s="1837"/>
      <c r="DU224" s="1838"/>
      <c r="DV224" s="1839"/>
      <c r="DW224" s="1840"/>
      <c r="DX224" s="1837"/>
      <c r="DY224" s="1838"/>
      <c r="DZ224" s="1837"/>
      <c r="EA224" s="1838"/>
      <c r="EB224" s="1839"/>
      <c r="EC224" s="1840"/>
      <c r="ED224" s="1837"/>
      <c r="EE224" s="1838"/>
      <c r="EF224" s="1837" t="s">
        <v>14572</v>
      </c>
      <c r="EG224" s="1838"/>
      <c r="EH224" s="1839"/>
      <c r="EI224" s="1840"/>
      <c r="EJ224" s="1837"/>
      <c r="EK224" s="1838"/>
      <c r="EL224" s="1837" t="s">
        <v>14573</v>
      </c>
      <c r="EM224" s="1838"/>
      <c r="EN224" s="1839"/>
      <c r="EO224" s="1840"/>
      <c r="EP224" s="1837"/>
      <c r="EQ224" s="1838"/>
      <c r="ER224" s="1837"/>
      <c r="ES224" s="1838"/>
      <c r="ET224" s="1839"/>
      <c r="EU224" s="1840"/>
      <c r="EV224" s="1837"/>
      <c r="EW224" s="1838"/>
      <c r="EX224" s="1837"/>
      <c r="EY224" s="1838"/>
      <c r="EZ224" s="1839"/>
      <c r="FA224" s="1840"/>
      <c r="FB224" s="1837"/>
      <c r="FC224" s="1838"/>
      <c r="FD224" s="1837"/>
      <c r="FE224" s="1838"/>
      <c r="FF224" s="1839"/>
      <c r="FG224" s="1840"/>
      <c r="FH224" s="1837"/>
      <c r="FI224" s="1838"/>
      <c r="FJ224" s="1837"/>
      <c r="FK224" s="1838"/>
      <c r="FL224" s="1839"/>
      <c r="FM224" s="1840"/>
      <c r="FN224" s="1837"/>
      <c r="FO224" s="1838"/>
      <c r="FP224" s="1837"/>
      <c r="FQ224" s="1838"/>
      <c r="FR224" s="1839"/>
      <c r="FS224" s="1840"/>
      <c r="FT224" s="1837"/>
      <c r="FU224" s="1838"/>
      <c r="FV224" s="1837"/>
      <c r="FW224" s="1838"/>
      <c r="FX224" s="1839"/>
      <c r="FY224" s="1840"/>
      <c r="FZ224" s="1837"/>
      <c r="GA224" s="1838"/>
      <c r="GB224" s="1837"/>
      <c r="GC224" s="1838"/>
      <c r="GD224" s="1839"/>
      <c r="GE224" s="1840"/>
      <c r="GF224" s="1837"/>
      <c r="GG224" s="1838"/>
      <c r="GH224" s="1837"/>
      <c r="GI224" s="1838"/>
      <c r="GJ224" s="1839"/>
      <c r="GK224" s="1840"/>
      <c r="GL224" s="1837"/>
      <c r="GM224" s="1838"/>
      <c r="GN224" s="1837"/>
      <c r="GO224" s="1838"/>
      <c r="GP224" s="1839"/>
    </row>
    <row r="225" spans="1:198" ht="20.100000000000001" hidden="1" customHeight="1" outlineLevel="1">
      <c r="A225" s="2709"/>
      <c r="B225" s="2612"/>
      <c r="C225" s="1836">
        <v>13</v>
      </c>
      <c r="D225" s="2614" t="str">
        <f>実績!C1333&amp;"("&amp;SUBSTITUTE(実績!W1333&amp;")","株式会社 ","")</f>
        <v>東北マツダ名取(アーキブレン山形)</v>
      </c>
      <c r="E225" s="2617"/>
      <c r="F225" s="2617"/>
      <c r="G225" s="2617"/>
      <c r="H225" s="2617"/>
      <c r="I225" s="2617"/>
      <c r="J225" s="2617"/>
      <c r="K225" s="2617"/>
      <c r="L225" s="2617"/>
      <c r="M225" s="2617"/>
      <c r="N225" s="2617"/>
      <c r="O225" s="2617"/>
      <c r="P225" s="2617"/>
      <c r="Q225" s="2617"/>
      <c r="R225" s="2622"/>
      <c r="S225" s="1837"/>
      <c r="T225" s="1837"/>
      <c r="U225" s="1838"/>
      <c r="V225" s="1837"/>
      <c r="W225" s="1838"/>
      <c r="X225" s="1839"/>
      <c r="Y225" s="1837"/>
      <c r="Z225" s="1837"/>
      <c r="AA225" s="1838"/>
      <c r="AB225" s="1837"/>
      <c r="AC225" s="1838"/>
      <c r="AD225" s="1837"/>
      <c r="AE225" s="1840"/>
      <c r="AF225" s="1837"/>
      <c r="AG225" s="1838"/>
      <c r="AH225" s="1837"/>
      <c r="AI225" s="1838"/>
      <c r="AJ225" s="1839"/>
      <c r="AK225" s="1837"/>
      <c r="AL225" s="1837"/>
      <c r="AM225" s="1838"/>
      <c r="AN225" s="1837"/>
      <c r="AO225" s="1838"/>
      <c r="AP225" s="1837"/>
      <c r="AQ225" s="1841"/>
      <c r="AR225" s="1837"/>
      <c r="AS225" s="1838"/>
      <c r="AT225" s="1837"/>
      <c r="AU225" s="1838"/>
      <c r="AV225" s="1839"/>
      <c r="AW225" s="1840"/>
      <c r="AX225" s="1837"/>
      <c r="AY225" s="1838"/>
      <c r="AZ225" s="1837"/>
      <c r="BA225" s="1838"/>
      <c r="BB225" s="1839"/>
      <c r="BC225" s="1837"/>
      <c r="BD225" s="1837"/>
      <c r="BE225" s="1838"/>
      <c r="BF225" s="1837"/>
      <c r="BG225" s="1838"/>
      <c r="BH225" s="1837"/>
      <c r="BI225" s="1840"/>
      <c r="BJ225" s="1837"/>
      <c r="BK225" s="1838"/>
      <c r="BL225" s="1837"/>
      <c r="BM225" s="1838"/>
      <c r="BN225" s="1839"/>
      <c r="BO225" s="1840"/>
      <c r="BP225" s="1837"/>
      <c r="BQ225" s="1838"/>
      <c r="BR225" s="1842"/>
      <c r="BS225" s="1838"/>
      <c r="BT225" s="1839"/>
      <c r="BU225" s="1840"/>
      <c r="BV225" s="1837"/>
      <c r="BW225" s="1838"/>
      <c r="BX225" s="1837"/>
      <c r="BY225" s="1838"/>
      <c r="BZ225" s="1839"/>
      <c r="CA225" s="1840"/>
      <c r="CB225" s="1837"/>
      <c r="CC225" s="1838"/>
      <c r="CD225" s="1837"/>
      <c r="CE225" s="1838"/>
      <c r="CF225" s="1839"/>
      <c r="CG225" s="1840"/>
      <c r="CH225" s="1837"/>
      <c r="CI225" s="1838"/>
      <c r="CJ225" s="1837"/>
      <c r="CK225" s="1838"/>
      <c r="CL225" s="1839"/>
      <c r="CM225" s="1840"/>
      <c r="CN225" s="1837"/>
      <c r="CO225" s="1838"/>
      <c r="CP225" s="1843"/>
      <c r="CQ225" s="1838"/>
      <c r="CR225" s="1839"/>
      <c r="CS225" s="1840"/>
      <c r="CT225" s="1837"/>
      <c r="CU225" s="1838"/>
      <c r="CV225" s="1837"/>
      <c r="CW225" s="1838"/>
      <c r="CX225" s="1839"/>
      <c r="CY225" s="1840"/>
      <c r="CZ225" s="1837"/>
      <c r="DA225" s="1838"/>
      <c r="DB225" s="1837"/>
      <c r="DC225" s="1838"/>
      <c r="DD225" s="1839"/>
      <c r="DE225" s="1840"/>
      <c r="DF225" s="1837"/>
      <c r="DG225" s="1838"/>
      <c r="DH225" s="1837"/>
      <c r="DI225" s="1838"/>
      <c r="DJ225" s="1844"/>
      <c r="DK225" s="1840" t="s">
        <v>14850</v>
      </c>
      <c r="DL225" s="1837"/>
      <c r="DM225" s="1838"/>
      <c r="DN225" s="1837"/>
      <c r="DO225" s="1838"/>
      <c r="DP225" s="1839"/>
      <c r="DQ225" s="1840"/>
      <c r="DR225" s="1837"/>
      <c r="DS225" s="1838"/>
      <c r="DT225" s="1837"/>
      <c r="DU225" s="1838"/>
      <c r="DV225" s="1844"/>
      <c r="DW225" s="1840"/>
      <c r="DX225" s="1837"/>
      <c r="DY225" s="1838"/>
      <c r="DZ225" s="1837"/>
      <c r="EA225" s="1838"/>
      <c r="EB225" s="1844"/>
      <c r="EC225" s="1840"/>
      <c r="ED225" s="1837"/>
      <c r="EE225" s="1838"/>
      <c r="EF225" s="1837"/>
      <c r="EG225" s="1838"/>
      <c r="EH225" s="1844"/>
      <c r="EI225" s="1840"/>
      <c r="EJ225" s="1837"/>
      <c r="EK225" s="1838"/>
      <c r="EL225" s="1837"/>
      <c r="EM225" s="1838"/>
      <c r="EN225" s="1844"/>
      <c r="EO225" s="1840"/>
      <c r="EP225" s="1837"/>
      <c r="EQ225" s="1838"/>
      <c r="ER225" s="1837"/>
      <c r="ES225" s="1838"/>
      <c r="ET225" s="1844"/>
      <c r="EU225" s="1840"/>
      <c r="EV225" s="1837"/>
      <c r="EW225" s="1838"/>
      <c r="EX225" s="1837"/>
      <c r="EY225" s="1838"/>
      <c r="EZ225" s="1844"/>
      <c r="FA225" s="1840"/>
      <c r="FB225" s="1837"/>
      <c r="FC225" s="1838"/>
      <c r="FD225" s="1837"/>
      <c r="FE225" s="1838"/>
      <c r="FF225" s="1844"/>
      <c r="FG225" s="1840"/>
      <c r="FH225" s="1837"/>
      <c r="FI225" s="1838"/>
      <c r="FJ225" s="1837"/>
      <c r="FK225" s="1838"/>
      <c r="FL225" s="1844"/>
      <c r="FM225" s="1840"/>
      <c r="FN225" s="1837"/>
      <c r="FO225" s="1838"/>
      <c r="FP225" s="1837"/>
      <c r="FQ225" s="1838"/>
      <c r="FR225" s="1844"/>
      <c r="FS225" s="1840"/>
      <c r="FT225" s="1837"/>
      <c r="FU225" s="1838"/>
      <c r="FV225" s="1837"/>
      <c r="FW225" s="1838"/>
      <c r="FX225" s="1844"/>
      <c r="FY225" s="1840"/>
      <c r="FZ225" s="1837"/>
      <c r="GA225" s="1838"/>
      <c r="GB225" s="1837"/>
      <c r="GC225" s="1838"/>
      <c r="GD225" s="1844"/>
      <c r="GE225" s="1840"/>
      <c r="GF225" s="1837"/>
      <c r="GG225" s="1838"/>
      <c r="GH225" s="1837"/>
      <c r="GI225" s="1838"/>
      <c r="GJ225" s="1844"/>
      <c r="GK225" s="1840"/>
      <c r="GL225" s="1837"/>
      <c r="GM225" s="1838"/>
      <c r="GN225" s="1837"/>
      <c r="GO225" s="1838"/>
      <c r="GP225" s="1844"/>
    </row>
    <row r="226" spans="1:198" ht="20.100000000000001" hidden="1" customHeight="1" outlineLevel="1">
      <c r="A226" s="2709"/>
      <c r="B226" s="2612"/>
      <c r="C226" s="1836">
        <v>14</v>
      </c>
      <c r="D226" s="2614" t="str">
        <f>実績!C1328&amp;"("&amp;SUBSTITUTE(実績!W1328&amp;")","株式会社 ","")</f>
        <v>JA新潟みらい亀田･横越地区店舗 倉庫棟＋横越支店棟(伊藤設計)</v>
      </c>
      <c r="E226" s="2617"/>
      <c r="F226" s="2617"/>
      <c r="G226" s="2617"/>
      <c r="H226" s="2617"/>
      <c r="I226" s="2617"/>
      <c r="J226" s="2617"/>
      <c r="K226" s="2617"/>
      <c r="L226" s="2617"/>
      <c r="M226" s="2617"/>
      <c r="N226" s="2617"/>
      <c r="O226" s="2617"/>
      <c r="P226" s="2617"/>
      <c r="Q226" s="2617"/>
      <c r="R226" s="2622"/>
      <c r="S226" s="1837"/>
      <c r="T226" s="1837"/>
      <c r="U226" s="1837"/>
      <c r="V226" s="1837"/>
      <c r="W226" s="1837"/>
      <c r="X226" s="1837"/>
      <c r="Y226" s="1837"/>
      <c r="Z226" s="1837"/>
      <c r="AA226" s="1837"/>
      <c r="AB226" s="1837"/>
      <c r="AC226" s="1837"/>
      <c r="AD226" s="1837"/>
      <c r="AE226" s="1837"/>
      <c r="AF226" s="1837"/>
      <c r="AG226" s="1837"/>
      <c r="AH226" s="1837"/>
      <c r="AI226" s="1837"/>
      <c r="AJ226" s="1837"/>
      <c r="AK226" s="1837"/>
      <c r="AL226" s="1837"/>
      <c r="AM226" s="1837"/>
      <c r="AN226" s="1837"/>
      <c r="AO226" s="1837"/>
      <c r="AP226" s="1837"/>
      <c r="AQ226" s="1837"/>
      <c r="AR226" s="1837"/>
      <c r="AS226" s="1837"/>
      <c r="AT226" s="1837"/>
      <c r="AU226" s="1837"/>
      <c r="AV226" s="1837"/>
      <c r="AW226" s="1837"/>
      <c r="AX226" s="1837"/>
      <c r="AY226" s="1837"/>
      <c r="AZ226" s="1837"/>
      <c r="BA226" s="1837"/>
      <c r="BB226" s="1837"/>
      <c r="BC226" s="1837"/>
      <c r="BD226" s="1837"/>
      <c r="BE226" s="1837"/>
      <c r="BF226" s="1837"/>
      <c r="BG226" s="1837"/>
      <c r="BH226" s="1837"/>
      <c r="BI226" s="1837"/>
      <c r="BJ226" s="1837"/>
      <c r="BK226" s="1837"/>
      <c r="BL226" s="1837"/>
      <c r="BM226" s="1837"/>
      <c r="BN226" s="1837"/>
      <c r="BO226" s="1837"/>
      <c r="BP226" s="1837"/>
      <c r="BQ226" s="1837"/>
      <c r="BR226" s="1837"/>
      <c r="BS226" s="1837"/>
      <c r="BT226" s="1837"/>
      <c r="BU226" s="1837"/>
      <c r="BV226" s="1837"/>
      <c r="BW226" s="1837"/>
      <c r="BX226" s="1837"/>
      <c r="BY226" s="1837"/>
      <c r="BZ226" s="1837"/>
      <c r="CA226" s="1837"/>
      <c r="CB226" s="1837"/>
      <c r="CC226" s="1837"/>
      <c r="CD226" s="1837"/>
      <c r="CE226" s="1837"/>
      <c r="CF226" s="1837"/>
      <c r="CG226" s="1837"/>
      <c r="CH226" s="1837"/>
      <c r="CI226" s="1837"/>
      <c r="CJ226" s="1837"/>
      <c r="CK226" s="1837"/>
      <c r="CL226" s="1837"/>
      <c r="CM226" s="1837"/>
      <c r="CN226" s="1837"/>
      <c r="CO226" s="1837"/>
      <c r="CP226" s="1843"/>
      <c r="CQ226" s="1837"/>
      <c r="CR226" s="1837"/>
      <c r="CS226" s="1837"/>
      <c r="CT226" s="1837"/>
      <c r="CU226" s="1837"/>
      <c r="CV226" s="1837"/>
      <c r="CW226" s="1837"/>
      <c r="CX226" s="1837"/>
      <c r="CY226" s="1840"/>
      <c r="CZ226" s="1837"/>
      <c r="DA226" s="1838"/>
      <c r="DB226" s="1837"/>
      <c r="DC226" s="1838"/>
      <c r="DD226" s="1839"/>
      <c r="DE226" s="1840"/>
      <c r="DF226" s="1837"/>
      <c r="DG226" s="1838"/>
      <c r="DH226" s="1837"/>
      <c r="DI226" s="1838"/>
      <c r="DJ226" s="1844"/>
      <c r="DK226" s="1840" t="s">
        <v>14850</v>
      </c>
      <c r="DL226" s="1837"/>
      <c r="DM226" s="1838"/>
      <c r="DN226" s="1837"/>
      <c r="DO226" s="1838"/>
      <c r="DP226" s="1839"/>
      <c r="DQ226" s="1840" t="s">
        <v>13954</v>
      </c>
      <c r="DR226" s="1837"/>
      <c r="DS226" s="1838"/>
      <c r="DT226" s="1837"/>
      <c r="DU226" s="1838"/>
      <c r="DV226" s="1844"/>
      <c r="DW226" s="1840"/>
      <c r="DX226" s="1837"/>
      <c r="DY226" s="1838"/>
      <c r="DZ226" s="1837"/>
      <c r="EA226" s="1838"/>
      <c r="EB226" s="1844"/>
      <c r="EC226" s="1840"/>
      <c r="ED226" s="1837"/>
      <c r="EE226" s="1838"/>
      <c r="EF226" s="1837"/>
      <c r="EG226" s="1838"/>
      <c r="EH226" s="1844"/>
      <c r="EI226" s="1840"/>
      <c r="EJ226" s="1837"/>
      <c r="EK226" s="1838"/>
      <c r="EL226" s="1837"/>
      <c r="EM226" s="1838"/>
      <c r="EN226" s="1844"/>
      <c r="EO226" s="1840"/>
      <c r="EP226" s="1837"/>
      <c r="EQ226" s="1838"/>
      <c r="ER226" s="1837"/>
      <c r="ES226" s="1838"/>
      <c r="ET226" s="1844"/>
      <c r="EU226" s="1840"/>
      <c r="EV226" s="1837"/>
      <c r="EW226" s="1838"/>
      <c r="EX226" s="1837"/>
      <c r="EY226" s="1838"/>
      <c r="EZ226" s="1844"/>
      <c r="FA226" s="1840"/>
      <c r="FB226" s="1837"/>
      <c r="FC226" s="1838"/>
      <c r="FD226" s="1837"/>
      <c r="FE226" s="1838"/>
      <c r="FF226" s="1844"/>
      <c r="FG226" s="1840"/>
      <c r="FH226" s="1837"/>
      <c r="FI226" s="1838"/>
      <c r="FJ226" s="1837"/>
      <c r="FK226" s="1838"/>
      <c r="FL226" s="1844"/>
      <c r="FM226" s="1840"/>
      <c r="FN226" s="1837"/>
      <c r="FO226" s="1838"/>
      <c r="FP226" s="1837"/>
      <c r="FQ226" s="1838"/>
      <c r="FR226" s="1844"/>
      <c r="FS226" s="1840"/>
      <c r="FT226" s="1837"/>
      <c r="FU226" s="1838"/>
      <c r="FV226" s="1837"/>
      <c r="FW226" s="1838"/>
      <c r="FX226" s="1844"/>
      <c r="FY226" s="1840"/>
      <c r="FZ226" s="1837"/>
      <c r="GA226" s="1838"/>
      <c r="GB226" s="1837"/>
      <c r="GC226" s="1838"/>
      <c r="GD226" s="1844"/>
      <c r="GE226" s="1840"/>
      <c r="GF226" s="1837"/>
      <c r="GG226" s="1838"/>
      <c r="GH226" s="1837"/>
      <c r="GI226" s="1838"/>
      <c r="GJ226" s="1844"/>
      <c r="GK226" s="1840"/>
      <c r="GL226" s="1837"/>
      <c r="GM226" s="1838"/>
      <c r="GN226" s="1837"/>
      <c r="GO226" s="1838"/>
      <c r="GP226" s="1844"/>
    </row>
    <row r="227" spans="1:198" ht="20.100000000000001" hidden="1" customHeight="1" outlineLevel="1">
      <c r="A227" s="2709"/>
      <c r="B227" s="2612"/>
      <c r="C227" s="1836">
        <v>15</v>
      </c>
      <c r="D227" s="2614" t="str">
        <f>実績!C1318&amp;"("&amp;SUBSTITUTE(実績!W1318&amp;")","株式会社 ","")</f>
        <v>堅展実業株式会社厚岸蒸留所製麦棟(横河システム建築)</v>
      </c>
      <c r="E227" s="2617"/>
      <c r="F227" s="2617"/>
      <c r="G227" s="2617"/>
      <c r="H227" s="2617"/>
      <c r="I227" s="2617"/>
      <c r="J227" s="2617"/>
      <c r="K227" s="2617"/>
      <c r="L227" s="2617"/>
      <c r="M227" s="2617"/>
      <c r="N227" s="2617"/>
      <c r="O227" s="2617"/>
      <c r="P227" s="2617"/>
      <c r="Q227" s="2617"/>
      <c r="R227" s="2622"/>
      <c r="S227" s="1837"/>
      <c r="T227" s="1837"/>
      <c r="U227" s="1838"/>
      <c r="V227" s="1837"/>
      <c r="W227" s="1838"/>
      <c r="X227" s="1839"/>
      <c r="Y227" s="1837"/>
      <c r="Z227" s="1837"/>
      <c r="AA227" s="1838"/>
      <c r="AB227" s="1837"/>
      <c r="AC227" s="1838"/>
      <c r="AD227" s="1837"/>
      <c r="AE227" s="1840"/>
      <c r="AF227" s="1837"/>
      <c r="AG227" s="1838"/>
      <c r="AH227" s="1837"/>
      <c r="AI227" s="1838"/>
      <c r="AJ227" s="1839"/>
      <c r="AK227" s="1837"/>
      <c r="AL227" s="1837"/>
      <c r="AM227" s="1838"/>
      <c r="AN227" s="1837"/>
      <c r="AO227" s="1838"/>
      <c r="AP227" s="1837"/>
      <c r="AQ227" s="1841"/>
      <c r="AR227" s="1837"/>
      <c r="AS227" s="1838"/>
      <c r="AT227" s="1837"/>
      <c r="AU227" s="1838"/>
      <c r="AV227" s="1839"/>
      <c r="AW227" s="1840"/>
      <c r="AX227" s="1837"/>
      <c r="AY227" s="1838"/>
      <c r="AZ227" s="1837"/>
      <c r="BA227" s="1838"/>
      <c r="BB227" s="1839"/>
      <c r="BC227" s="1837"/>
      <c r="BD227" s="1837"/>
      <c r="BE227" s="1838"/>
      <c r="BF227" s="1837"/>
      <c r="BG227" s="1838"/>
      <c r="BH227" s="1837"/>
      <c r="BI227" s="1840"/>
      <c r="BJ227" s="1837"/>
      <c r="BK227" s="1838"/>
      <c r="BL227" s="1837"/>
      <c r="BM227" s="1838"/>
      <c r="BN227" s="1839"/>
      <c r="BO227" s="1840"/>
      <c r="BP227" s="1837"/>
      <c r="BQ227" s="1838"/>
      <c r="BR227" s="1842"/>
      <c r="BS227" s="1838"/>
      <c r="BT227" s="1839"/>
      <c r="BU227" s="1840"/>
      <c r="BV227" s="1837"/>
      <c r="BW227" s="1838"/>
      <c r="BX227" s="1837"/>
      <c r="BY227" s="1838"/>
      <c r="BZ227" s="1839"/>
      <c r="CA227" s="1840"/>
      <c r="CB227" s="1837"/>
      <c r="CC227" s="1838"/>
      <c r="CD227" s="1837"/>
      <c r="CE227" s="1838"/>
      <c r="CF227" s="1839"/>
      <c r="CG227" s="1840"/>
      <c r="CH227" s="1837"/>
      <c r="CI227" s="1838"/>
      <c r="CJ227" s="1837"/>
      <c r="CK227" s="1838"/>
      <c r="CL227" s="1839"/>
      <c r="CM227" s="1840"/>
      <c r="CN227" s="1837"/>
      <c r="CO227" s="1838"/>
      <c r="CP227" s="1843"/>
      <c r="CQ227" s="1838"/>
      <c r="CR227" s="1839"/>
      <c r="CS227" s="1840"/>
      <c r="CT227" s="1837"/>
      <c r="CU227" s="1838"/>
      <c r="CV227" s="1837"/>
      <c r="CW227" s="1838"/>
      <c r="CX227" s="1839"/>
      <c r="CY227" s="1840"/>
      <c r="CZ227" s="1837"/>
      <c r="DA227" s="1838"/>
      <c r="DB227" s="1837"/>
      <c r="DC227" s="1838"/>
      <c r="DD227" s="1839"/>
      <c r="DE227" s="1840"/>
      <c r="DF227" s="1837"/>
      <c r="DG227" s="1838" t="s">
        <v>8644</v>
      </c>
      <c r="DH227" s="1837"/>
      <c r="DI227" s="1838"/>
      <c r="DJ227" s="1839"/>
      <c r="DK227" s="1840" t="s">
        <v>14891</v>
      </c>
      <c r="DL227" s="1837"/>
      <c r="DM227" s="1838"/>
      <c r="DN227" s="1837"/>
      <c r="DO227" s="1838"/>
      <c r="DP227" s="1844"/>
      <c r="DQ227" s="1840"/>
      <c r="DR227" s="1837"/>
      <c r="DS227" s="1838"/>
      <c r="DT227" s="1837"/>
      <c r="DU227" s="1838"/>
      <c r="DV227" s="1844"/>
      <c r="DW227" s="1840"/>
      <c r="DX227" s="1837"/>
      <c r="DY227" s="1838"/>
      <c r="DZ227" s="1837"/>
      <c r="EA227" s="1838"/>
      <c r="EB227" s="1844"/>
      <c r="EC227" s="1840" t="s">
        <v>8145</v>
      </c>
      <c r="ED227" s="1837"/>
      <c r="EE227" s="1838"/>
      <c r="EF227" s="1837"/>
      <c r="EG227" s="1838"/>
      <c r="EH227" s="1844"/>
      <c r="EI227" s="1840"/>
      <c r="EJ227" s="1837"/>
      <c r="EK227" s="1838"/>
      <c r="EL227" s="1837"/>
      <c r="EM227" s="1838"/>
      <c r="EN227" s="1844"/>
      <c r="EO227" s="1840"/>
      <c r="EP227" s="1837"/>
      <c r="EQ227" s="1838"/>
      <c r="ER227" s="1837"/>
      <c r="ES227" s="1838"/>
      <c r="ET227" s="1844"/>
      <c r="EU227" s="1840"/>
      <c r="EV227" s="1837"/>
      <c r="EW227" s="1838"/>
      <c r="EX227" s="1837"/>
      <c r="EY227" s="1838"/>
      <c r="EZ227" s="1844"/>
      <c r="FA227" s="1840"/>
      <c r="FB227" s="1837"/>
      <c r="FC227" s="1838"/>
      <c r="FD227" s="1837"/>
      <c r="FE227" s="1838"/>
      <c r="FF227" s="1844"/>
      <c r="FG227" s="1840"/>
      <c r="FH227" s="1837"/>
      <c r="FI227" s="1838"/>
      <c r="FJ227" s="1837"/>
      <c r="FK227" s="1838"/>
      <c r="FL227" s="1844"/>
      <c r="FM227" s="1840"/>
      <c r="FN227" s="1837"/>
      <c r="FO227" s="1838"/>
      <c r="FP227" s="1837"/>
      <c r="FQ227" s="1838"/>
      <c r="FR227" s="1844"/>
      <c r="FS227" s="1840"/>
      <c r="FT227" s="1837"/>
      <c r="FU227" s="1838"/>
      <c r="FV227" s="1837"/>
      <c r="FW227" s="1838"/>
      <c r="FX227" s="1844"/>
      <c r="FY227" s="1840"/>
      <c r="FZ227" s="1837"/>
      <c r="GA227" s="1838"/>
      <c r="GB227" s="1837"/>
      <c r="GC227" s="1838"/>
      <c r="GD227" s="1844"/>
      <c r="GE227" s="1840"/>
      <c r="GF227" s="1837"/>
      <c r="GG227" s="1838"/>
      <c r="GH227" s="1837"/>
      <c r="GI227" s="1838"/>
      <c r="GJ227" s="1844"/>
      <c r="GK227" s="1840"/>
      <c r="GL227" s="1837"/>
      <c r="GM227" s="1838"/>
      <c r="GN227" s="1837"/>
      <c r="GO227" s="1838"/>
      <c r="GP227" s="1844"/>
    </row>
    <row r="228" spans="1:198" ht="20.100000000000001" hidden="1" customHeight="1" outlineLevel="1" collapsed="1">
      <c r="A228" s="2709"/>
      <c r="B228" s="2612"/>
      <c r="C228" s="1836">
        <v>1</v>
      </c>
      <c r="D228" s="2614" t="str">
        <f>実績!C1335&amp;"("&amp;SUBSTITUTE(実績!R1335&amp;")"," 株式会社","")</f>
        <v>キョーユー(株)新工場棟(藤井産業)</v>
      </c>
      <c r="E228" s="2617"/>
      <c r="F228" s="2617"/>
      <c r="G228" s="2617"/>
      <c r="H228" s="2617"/>
      <c r="I228" s="2617"/>
      <c r="J228" s="2617"/>
      <c r="K228" s="2617"/>
      <c r="L228" s="2617"/>
      <c r="M228" s="2617"/>
      <c r="N228" s="2617"/>
      <c r="O228" s="2617"/>
      <c r="P228" s="2617"/>
      <c r="Q228" s="2617"/>
      <c r="R228" s="2622"/>
      <c r="S228" s="1837"/>
      <c r="T228" s="1837"/>
      <c r="U228" s="1838"/>
      <c r="V228" s="1837"/>
      <c r="W228" s="1838"/>
      <c r="X228" s="1839"/>
      <c r="Y228" s="1837"/>
      <c r="Z228" s="1837"/>
      <c r="AA228" s="1838"/>
      <c r="AB228" s="1837"/>
      <c r="AC228" s="1838"/>
      <c r="AD228" s="1837"/>
      <c r="AE228" s="1840"/>
      <c r="AF228" s="1837"/>
      <c r="AG228" s="1838"/>
      <c r="AH228" s="1837"/>
      <c r="AI228" s="1838"/>
      <c r="AJ228" s="1839"/>
      <c r="AK228" s="1837"/>
      <c r="AL228" s="1837"/>
      <c r="AM228" s="1838"/>
      <c r="AN228" s="1837"/>
      <c r="AO228" s="1838"/>
      <c r="AP228" s="1837"/>
      <c r="AQ228" s="1841"/>
      <c r="AR228" s="1837"/>
      <c r="AS228" s="1838"/>
      <c r="AT228" s="1837"/>
      <c r="AU228" s="1838"/>
      <c r="AV228" s="1839"/>
      <c r="AW228" s="1840"/>
      <c r="AX228" s="1837"/>
      <c r="AY228" s="1838"/>
      <c r="AZ228" s="1837"/>
      <c r="BA228" s="1838"/>
      <c r="BB228" s="1839"/>
      <c r="BC228" s="1837"/>
      <c r="BD228" s="1837"/>
      <c r="BE228" s="1838"/>
      <c r="BF228" s="1837"/>
      <c r="BG228" s="1838"/>
      <c r="BH228" s="1837"/>
      <c r="BI228" s="1840"/>
      <c r="BJ228" s="1837"/>
      <c r="BK228" s="1838"/>
      <c r="BL228" s="1837"/>
      <c r="BM228" s="1838"/>
      <c r="BN228" s="1839"/>
      <c r="BO228" s="1840"/>
      <c r="BP228" s="1837"/>
      <c r="BQ228" s="1838"/>
      <c r="BR228" s="1842"/>
      <c r="BS228" s="1838"/>
      <c r="BT228" s="1839"/>
      <c r="BU228" s="1840"/>
      <c r="BV228" s="1837"/>
      <c r="BW228" s="1838"/>
      <c r="BX228" s="1837"/>
      <c r="BY228" s="1838"/>
      <c r="BZ228" s="1839"/>
      <c r="CA228" s="1840"/>
      <c r="CB228" s="1837"/>
      <c r="CC228" s="1838"/>
      <c r="CD228" s="1837"/>
      <c r="CE228" s="1838"/>
      <c r="CF228" s="1839"/>
      <c r="CG228" s="1840"/>
      <c r="CH228" s="1837"/>
      <c r="CI228" s="1838"/>
      <c r="CJ228" s="1837"/>
      <c r="CK228" s="1838"/>
      <c r="CL228" s="1839"/>
      <c r="CM228" s="1840"/>
      <c r="CN228" s="1837"/>
      <c r="CO228" s="1838"/>
      <c r="CP228" s="1843"/>
      <c r="CQ228" s="1838"/>
      <c r="CR228" s="1839"/>
      <c r="CS228" s="1840"/>
      <c r="CT228" s="1837"/>
      <c r="CU228" s="1838"/>
      <c r="CV228" s="1837"/>
      <c r="CW228" s="1838"/>
      <c r="CX228" s="1839"/>
      <c r="CY228" s="1840"/>
      <c r="CZ228" s="1837"/>
      <c r="DA228" s="1838"/>
      <c r="DB228" s="1837"/>
      <c r="DC228" s="1838"/>
      <c r="DD228" s="1839"/>
      <c r="DE228" s="1840"/>
      <c r="DF228" s="1837"/>
      <c r="DG228" s="1838"/>
      <c r="DH228" s="1837"/>
      <c r="DI228" s="1838"/>
      <c r="DJ228" s="1839"/>
      <c r="DK228" s="1840"/>
      <c r="DL228" s="1837" t="s">
        <v>8250</v>
      </c>
      <c r="DM228" s="1838"/>
      <c r="DN228" s="1837"/>
      <c r="DO228" s="1838"/>
      <c r="DP228" s="1839"/>
      <c r="DQ228" s="1840"/>
      <c r="DR228" s="1837"/>
      <c r="DS228" s="1838"/>
      <c r="DT228" s="1837"/>
      <c r="DU228" s="1838"/>
      <c r="DV228" s="1844"/>
      <c r="DW228" s="1840" t="s">
        <v>8145</v>
      </c>
      <c r="DX228" s="1837"/>
      <c r="DY228" s="1838"/>
      <c r="DZ228" s="1837"/>
      <c r="EA228" s="1838"/>
      <c r="EB228" s="1844"/>
      <c r="EC228" s="1840"/>
      <c r="ED228" s="1837"/>
      <c r="EE228" s="1838"/>
      <c r="EF228" s="1837"/>
      <c r="EG228" s="1838"/>
      <c r="EH228" s="1844"/>
      <c r="EI228" s="1840"/>
      <c r="EJ228" s="1837"/>
      <c r="EK228" s="1838"/>
      <c r="EL228" s="1837"/>
      <c r="EM228" s="1838"/>
      <c r="EN228" s="1844"/>
      <c r="EO228" s="1840"/>
      <c r="EP228" s="1837"/>
      <c r="EQ228" s="1838"/>
      <c r="ER228" s="1837"/>
      <c r="ES228" s="1838"/>
      <c r="ET228" s="1844"/>
      <c r="EU228" s="1840"/>
      <c r="EV228" s="1837"/>
      <c r="EW228" s="1838"/>
      <c r="EX228" s="1837"/>
      <c r="EY228" s="1838"/>
      <c r="EZ228" s="1844"/>
      <c r="FA228" s="1840"/>
      <c r="FB228" s="1837"/>
      <c r="FC228" s="1838"/>
      <c r="FD228" s="1837"/>
      <c r="FE228" s="1838"/>
      <c r="FF228" s="1844"/>
      <c r="FG228" s="1840"/>
      <c r="FH228" s="1837"/>
      <c r="FI228" s="1838"/>
      <c r="FJ228" s="1837"/>
      <c r="FK228" s="1838"/>
      <c r="FL228" s="1844"/>
      <c r="FM228" s="1840"/>
      <c r="FN228" s="1837"/>
      <c r="FO228" s="1838"/>
      <c r="FP228" s="1837"/>
      <c r="FQ228" s="1838"/>
      <c r="FR228" s="1844"/>
      <c r="FS228" s="1840"/>
      <c r="FT228" s="1837"/>
      <c r="FU228" s="1838"/>
      <c r="FV228" s="1837"/>
      <c r="FW228" s="1838"/>
      <c r="FX228" s="1844"/>
      <c r="FY228" s="1840"/>
      <c r="FZ228" s="1837"/>
      <c r="GA228" s="1838"/>
      <c r="GB228" s="1837"/>
      <c r="GC228" s="1838"/>
      <c r="GD228" s="1844"/>
      <c r="GE228" s="1840"/>
      <c r="GF228" s="1837"/>
      <c r="GG228" s="1838"/>
      <c r="GH228" s="1837"/>
      <c r="GI228" s="1838"/>
      <c r="GJ228" s="1844"/>
      <c r="GK228" s="1840"/>
      <c r="GL228" s="1837"/>
      <c r="GM228" s="1838"/>
      <c r="GN228" s="1837"/>
      <c r="GO228" s="1838"/>
      <c r="GP228" s="1844"/>
    </row>
    <row r="229" spans="1:198" ht="20.100000000000001" hidden="1" customHeight="1" outlineLevel="1">
      <c r="A229" s="2709"/>
      <c r="B229" s="2612"/>
      <c r="C229" s="1836">
        <v>2</v>
      </c>
      <c r="D229" s="2614" t="str">
        <f>実績!C1337&amp;"("&amp;SUBSTITUTE(実績!R1337&amp;")"," 一級建築士事務所","")</f>
        <v>丸善運輸関西 株式会社 深江浜倉庫(生川建設)</v>
      </c>
      <c r="E229" s="2617"/>
      <c r="F229" s="2617"/>
      <c r="G229" s="2617"/>
      <c r="H229" s="2617"/>
      <c r="I229" s="2617"/>
      <c r="J229" s="2617"/>
      <c r="K229" s="2617"/>
      <c r="L229" s="2617"/>
      <c r="M229" s="2617"/>
      <c r="N229" s="2617"/>
      <c r="O229" s="2617"/>
      <c r="P229" s="2617"/>
      <c r="Q229" s="2617"/>
      <c r="R229" s="2622"/>
      <c r="S229" s="1837"/>
      <c r="T229" s="1837"/>
      <c r="U229" s="1838"/>
      <c r="V229" s="1837"/>
      <c r="W229" s="1838"/>
      <c r="X229" s="1839"/>
      <c r="Y229" s="1837"/>
      <c r="Z229" s="1837"/>
      <c r="AA229" s="1838"/>
      <c r="AB229" s="1837"/>
      <c r="AC229" s="1838"/>
      <c r="AD229" s="1837"/>
      <c r="AE229" s="1840"/>
      <c r="AF229" s="1837"/>
      <c r="AG229" s="1838"/>
      <c r="AH229" s="1837"/>
      <c r="AI229" s="1838"/>
      <c r="AJ229" s="1839"/>
      <c r="AK229" s="1837"/>
      <c r="AL229" s="1837"/>
      <c r="AM229" s="1838"/>
      <c r="AN229" s="1837"/>
      <c r="AO229" s="1838"/>
      <c r="AP229" s="1837"/>
      <c r="AQ229" s="1841"/>
      <c r="AR229" s="1837"/>
      <c r="AS229" s="1838"/>
      <c r="AT229" s="1837"/>
      <c r="AU229" s="1838"/>
      <c r="AV229" s="1839"/>
      <c r="AW229" s="1840"/>
      <c r="AX229" s="1837"/>
      <c r="AY229" s="1838"/>
      <c r="AZ229" s="1837"/>
      <c r="BA229" s="1838"/>
      <c r="BB229" s="1839"/>
      <c r="BC229" s="1837"/>
      <c r="BD229" s="1837"/>
      <c r="BE229" s="1838"/>
      <c r="BF229" s="1837"/>
      <c r="BG229" s="1838"/>
      <c r="BH229" s="1837"/>
      <c r="BI229" s="1840"/>
      <c r="BJ229" s="1837"/>
      <c r="BK229" s="1838"/>
      <c r="BL229" s="1837"/>
      <c r="BM229" s="1838"/>
      <c r="BN229" s="1839"/>
      <c r="BO229" s="1840"/>
      <c r="BP229" s="1837"/>
      <c r="BQ229" s="1838"/>
      <c r="BR229" s="1842"/>
      <c r="BS229" s="1838"/>
      <c r="BT229" s="1839"/>
      <c r="BU229" s="1840"/>
      <c r="BV229" s="1837"/>
      <c r="BW229" s="1838"/>
      <c r="BX229" s="1837"/>
      <c r="BY229" s="1838"/>
      <c r="BZ229" s="1839"/>
      <c r="CA229" s="1840"/>
      <c r="CB229" s="1837"/>
      <c r="CC229" s="1838"/>
      <c r="CD229" s="1837"/>
      <c r="CE229" s="1838"/>
      <c r="CF229" s="1839"/>
      <c r="CG229" s="1840"/>
      <c r="CH229" s="1837"/>
      <c r="CI229" s="1838"/>
      <c r="CJ229" s="1837"/>
      <c r="CK229" s="1838"/>
      <c r="CL229" s="1839"/>
      <c r="CM229" s="1840"/>
      <c r="CN229" s="1837"/>
      <c r="CO229" s="1838"/>
      <c r="CP229" s="1843"/>
      <c r="CQ229" s="1838"/>
      <c r="CR229" s="1839"/>
      <c r="CS229" s="1840"/>
      <c r="CT229" s="1837"/>
      <c r="CU229" s="1838"/>
      <c r="CV229" s="1837"/>
      <c r="CW229" s="1838"/>
      <c r="CX229" s="1839"/>
      <c r="CY229" s="1840"/>
      <c r="CZ229" s="1837"/>
      <c r="DA229" s="1838"/>
      <c r="DB229" s="1837"/>
      <c r="DC229" s="1838"/>
      <c r="DD229" s="1839"/>
      <c r="DE229" s="1840"/>
      <c r="DF229" s="1837"/>
      <c r="DG229" s="1838"/>
      <c r="DH229" s="1837"/>
      <c r="DI229" s="1838"/>
      <c r="DJ229" s="1839"/>
      <c r="DK229" s="1840"/>
      <c r="DL229" s="1837" t="s">
        <v>8250</v>
      </c>
      <c r="DM229" s="1838"/>
      <c r="DN229" s="1837"/>
      <c r="DO229" s="1838"/>
      <c r="DP229" s="1839"/>
      <c r="DQ229" s="1840"/>
      <c r="DR229" s="1837"/>
      <c r="DS229" s="1838"/>
      <c r="DT229" s="1837"/>
      <c r="DU229" s="1838"/>
      <c r="DV229" s="1844"/>
      <c r="DW229" s="1840" t="s">
        <v>14936</v>
      </c>
      <c r="DX229" s="1837"/>
      <c r="DY229" s="1838"/>
      <c r="DZ229" s="1837"/>
      <c r="EA229" s="1838"/>
      <c r="EB229" s="1844"/>
      <c r="EC229" s="1840"/>
      <c r="ED229" s="1837"/>
      <c r="EE229" s="1838"/>
      <c r="EF229" s="1837"/>
      <c r="EG229" s="1838"/>
      <c r="EH229" s="1844"/>
      <c r="EI229" s="1840"/>
      <c r="EJ229" s="1837"/>
      <c r="EK229" s="1838"/>
      <c r="EL229" s="1837"/>
      <c r="EM229" s="1838"/>
      <c r="EN229" s="1844"/>
      <c r="EO229" s="1840"/>
      <c r="EP229" s="1837"/>
      <c r="EQ229" s="1838"/>
      <c r="ER229" s="1837"/>
      <c r="ES229" s="1838"/>
      <c r="ET229" s="1844"/>
      <c r="EU229" s="1840"/>
      <c r="EV229" s="1837"/>
      <c r="EW229" s="1838"/>
      <c r="EX229" s="1837"/>
      <c r="EY229" s="1838"/>
      <c r="EZ229" s="1844"/>
      <c r="FA229" s="1840"/>
      <c r="FB229" s="1837"/>
      <c r="FC229" s="1838"/>
      <c r="FD229" s="1837"/>
      <c r="FE229" s="1838"/>
      <c r="FF229" s="1844"/>
      <c r="FG229" s="1840"/>
      <c r="FH229" s="1837"/>
      <c r="FI229" s="1838"/>
      <c r="FJ229" s="1837"/>
      <c r="FK229" s="1838"/>
      <c r="FL229" s="1844"/>
      <c r="FM229" s="1840"/>
      <c r="FN229" s="1837"/>
      <c r="FO229" s="1838"/>
      <c r="FP229" s="1837"/>
      <c r="FQ229" s="1838"/>
      <c r="FR229" s="1844"/>
      <c r="FS229" s="1840"/>
      <c r="FT229" s="1837"/>
      <c r="FU229" s="1838"/>
      <c r="FV229" s="1837"/>
      <c r="FW229" s="1838"/>
      <c r="FX229" s="1844"/>
      <c r="FY229" s="1840"/>
      <c r="FZ229" s="1837"/>
      <c r="GA229" s="1838"/>
      <c r="GB229" s="1837"/>
      <c r="GC229" s="1838"/>
      <c r="GD229" s="1844"/>
      <c r="GE229" s="1840"/>
      <c r="GF229" s="1837"/>
      <c r="GG229" s="1838"/>
      <c r="GH229" s="1837"/>
      <c r="GI229" s="1838"/>
      <c r="GJ229" s="1844"/>
      <c r="GK229" s="1840"/>
      <c r="GL229" s="1837"/>
      <c r="GM229" s="1838"/>
      <c r="GN229" s="1837"/>
      <c r="GO229" s="1838"/>
      <c r="GP229" s="1844"/>
    </row>
    <row r="230" spans="1:198" ht="20.100000000000001" hidden="1" customHeight="1" outlineLevel="1" collapsed="1">
      <c r="A230" s="2709"/>
      <c r="B230" s="2612"/>
      <c r="C230" s="1836">
        <v>3</v>
      </c>
      <c r="D230" s="2614" t="str">
        <f>実績!C1278&amp;"("&amp;SUBSTITUTE(実績!R1278&amp;")","株式会社 ","")</f>
        <v>大麻元町 Ａ工区(特養・看護小多機・老健)(旧:江別)(スカイ・サイト)</v>
      </c>
      <c r="E230" s="2617"/>
      <c r="F230" s="2617"/>
      <c r="G230" s="2617"/>
      <c r="H230" s="2617"/>
      <c r="I230" s="2617"/>
      <c r="J230" s="2617"/>
      <c r="K230" s="2617"/>
      <c r="L230" s="2617"/>
      <c r="M230" s="2617"/>
      <c r="N230" s="2617"/>
      <c r="O230" s="2617"/>
      <c r="P230" s="2617"/>
      <c r="Q230" s="2617"/>
      <c r="R230" s="2615"/>
      <c r="S230" s="1837"/>
      <c r="T230" s="1837"/>
      <c r="U230" s="1838"/>
      <c r="V230" s="1837"/>
      <c r="W230" s="1838"/>
      <c r="X230" s="1839"/>
      <c r="Y230" s="1837"/>
      <c r="Z230" s="1837"/>
      <c r="AA230" s="1838"/>
      <c r="AB230" s="1837"/>
      <c r="AC230" s="1838"/>
      <c r="AD230" s="1837"/>
      <c r="AE230" s="1840"/>
      <c r="AF230" s="1837"/>
      <c r="AG230" s="1838"/>
      <c r="AH230" s="1837"/>
      <c r="AI230" s="1838"/>
      <c r="AJ230" s="1839"/>
      <c r="AK230" s="1837"/>
      <c r="AL230" s="1837"/>
      <c r="AM230" s="1838"/>
      <c r="AN230" s="1842"/>
      <c r="AO230" s="1838"/>
      <c r="AP230" s="1837"/>
      <c r="AQ230" s="1841" t="s">
        <v>8403</v>
      </c>
      <c r="AR230" s="1837"/>
      <c r="AS230" s="1838"/>
      <c r="AT230" s="1837"/>
      <c r="AU230" s="1838"/>
      <c r="AV230" s="1839"/>
      <c r="AW230" s="1840"/>
      <c r="AX230" s="1837"/>
      <c r="AY230" s="1838"/>
      <c r="AZ230" s="1837"/>
      <c r="BA230" s="1838"/>
      <c r="BB230" s="1839"/>
      <c r="BC230" s="1837"/>
      <c r="BD230" s="1837"/>
      <c r="BE230" s="1838"/>
      <c r="BF230" s="1837"/>
      <c r="BG230" s="1838"/>
      <c r="BH230" s="1837"/>
      <c r="BI230" s="1840"/>
      <c r="BJ230" s="1837"/>
      <c r="BK230" s="1838"/>
      <c r="BL230" s="1837"/>
      <c r="BM230" s="1838"/>
      <c r="BN230" s="1839"/>
      <c r="BO230" s="1840"/>
      <c r="BP230" s="1837"/>
      <c r="BQ230" s="1838"/>
      <c r="BR230" s="1837"/>
      <c r="BS230" s="1838"/>
      <c r="BT230" s="1839"/>
      <c r="BU230" s="1840"/>
      <c r="BV230" s="1837"/>
      <c r="BW230" s="1838"/>
      <c r="BX230" s="1837"/>
      <c r="BY230" s="1838"/>
      <c r="BZ230" s="1839"/>
      <c r="CA230" s="1840"/>
      <c r="CB230" s="1837"/>
      <c r="CC230" s="1838"/>
      <c r="CD230" s="1842"/>
      <c r="CE230" s="1838"/>
      <c r="CF230" s="1839"/>
      <c r="CG230" s="1840"/>
      <c r="CH230" s="1837"/>
      <c r="CI230" s="1838"/>
      <c r="CJ230" s="1837"/>
      <c r="CK230" s="1838"/>
      <c r="CL230" s="1844"/>
      <c r="CM230" s="1840"/>
      <c r="CN230" s="1837"/>
      <c r="CO230" s="1838"/>
      <c r="CP230" s="1837"/>
      <c r="CQ230" s="1838"/>
      <c r="CR230" s="1839"/>
      <c r="CS230" s="1840"/>
      <c r="CT230" s="1837"/>
      <c r="CU230" s="1838"/>
      <c r="CV230" s="1837"/>
      <c r="CW230" s="1838"/>
      <c r="CX230" s="1839"/>
      <c r="CY230" s="1840"/>
      <c r="CZ230" s="1837"/>
      <c r="DA230" s="1838"/>
      <c r="DB230" s="1837"/>
      <c r="DC230" s="1838"/>
      <c r="DD230" s="1839"/>
      <c r="DE230" s="1840"/>
      <c r="DF230" s="1837"/>
      <c r="DG230" s="1838"/>
      <c r="DH230" s="1837"/>
      <c r="DI230" s="1838"/>
      <c r="DJ230" s="1839"/>
      <c r="DK230" s="1840"/>
      <c r="DL230" s="1837"/>
      <c r="DM230" s="1838"/>
      <c r="DN230" s="1837"/>
      <c r="DO230" s="1838"/>
      <c r="DP230" s="1839"/>
      <c r="DQ230" s="1840"/>
      <c r="DR230" s="1837"/>
      <c r="DS230" s="1838"/>
      <c r="DT230" s="1837"/>
      <c r="DU230" s="1838"/>
      <c r="DV230" s="1839"/>
      <c r="DW230" s="1840"/>
      <c r="DX230" s="1837"/>
      <c r="DY230" s="1838"/>
      <c r="DZ230" s="1837"/>
      <c r="EA230" s="1838"/>
      <c r="EB230" s="1839"/>
      <c r="EC230" s="1840"/>
      <c r="ED230" s="1837"/>
      <c r="EE230" s="1838"/>
      <c r="EF230" s="1837"/>
      <c r="EG230" s="1838"/>
      <c r="EH230" s="1839"/>
      <c r="EI230" s="1840"/>
      <c r="EJ230" s="1837"/>
      <c r="EK230" s="1838"/>
      <c r="EL230" s="1837"/>
      <c r="EM230" s="1838"/>
      <c r="EN230" s="1839"/>
      <c r="EO230" s="1840"/>
      <c r="EP230" s="1837"/>
      <c r="EQ230" s="1838"/>
      <c r="ER230" s="1837"/>
      <c r="ES230" s="1838"/>
      <c r="ET230" s="1839"/>
      <c r="EU230" s="1840"/>
      <c r="EV230" s="1837"/>
      <c r="EW230" s="1838"/>
      <c r="EX230" s="1837"/>
      <c r="EY230" s="1838"/>
      <c r="EZ230" s="1839"/>
      <c r="FA230" s="1840"/>
      <c r="FB230" s="1837"/>
      <c r="FC230" s="1838"/>
      <c r="FD230" s="1837"/>
      <c r="FE230" s="1838"/>
      <c r="FF230" s="1839"/>
      <c r="FG230" s="1840"/>
      <c r="FH230" s="1837"/>
      <c r="FI230" s="1838"/>
      <c r="FJ230" s="1837"/>
      <c r="FK230" s="1838"/>
      <c r="FL230" s="1839"/>
      <c r="FM230" s="1840"/>
      <c r="FN230" s="1837"/>
      <c r="FO230" s="1838"/>
      <c r="FP230" s="1837"/>
      <c r="FQ230" s="1838"/>
      <c r="FR230" s="1839"/>
      <c r="FS230" s="1840"/>
      <c r="FT230" s="1837"/>
      <c r="FU230" s="1838"/>
      <c r="FV230" s="1837"/>
      <c r="FW230" s="1838"/>
      <c r="FX230" s="1839"/>
      <c r="FY230" s="1840"/>
      <c r="FZ230" s="1837"/>
      <c r="GA230" s="1838"/>
      <c r="GB230" s="1837"/>
      <c r="GC230" s="1838"/>
      <c r="GD230" s="1839"/>
      <c r="GE230" s="1840"/>
      <c r="GF230" s="1837"/>
      <c r="GG230" s="1838"/>
      <c r="GH230" s="1837"/>
      <c r="GI230" s="1838"/>
      <c r="GJ230" s="1839"/>
      <c r="GK230" s="1840"/>
      <c r="GL230" s="1837"/>
      <c r="GM230" s="1838"/>
      <c r="GN230" s="1837"/>
      <c r="GO230" s="1838"/>
      <c r="GP230" s="1839"/>
    </row>
    <row r="231" spans="1:198" ht="20.100000000000001" hidden="1" customHeight="1" outlineLevel="1">
      <c r="A231" s="2709"/>
      <c r="B231" s="2612"/>
      <c r="C231" s="1836">
        <v>4</v>
      </c>
      <c r="D231" s="2614" t="str">
        <f>実績!C1282&amp;"("&amp;SUBSTITUTE(実績!R1282&amp;")","株式会社 ","")</f>
        <v>大野ピッチング練習場(さくら建築設計 株式会社)</v>
      </c>
      <c r="E231" s="2617"/>
      <c r="F231" s="2617"/>
      <c r="G231" s="2617"/>
      <c r="H231" s="2617"/>
      <c r="I231" s="2617"/>
      <c r="J231" s="2617"/>
      <c r="K231" s="2617"/>
      <c r="L231" s="2617"/>
      <c r="M231" s="2617"/>
      <c r="N231" s="2617"/>
      <c r="O231" s="2617"/>
      <c r="P231" s="2617"/>
      <c r="Q231" s="2617"/>
      <c r="R231" s="2622"/>
      <c r="S231" s="1837"/>
      <c r="T231" s="1837"/>
      <c r="U231" s="1838"/>
      <c r="V231" s="1837"/>
      <c r="W231" s="1838"/>
      <c r="X231" s="1839"/>
      <c r="Y231" s="1837"/>
      <c r="Z231" s="1837"/>
      <c r="AA231" s="1838"/>
      <c r="AB231" s="1837"/>
      <c r="AC231" s="1838"/>
      <c r="AD231" s="1837"/>
      <c r="AE231" s="1840"/>
      <c r="AF231" s="1837"/>
      <c r="AG231" s="1838"/>
      <c r="AH231" s="1837"/>
      <c r="AI231" s="1838"/>
      <c r="AJ231" s="1839"/>
      <c r="AK231" s="1837"/>
      <c r="AL231" s="1837"/>
      <c r="AM231" s="1838"/>
      <c r="AN231" s="1837"/>
      <c r="AO231" s="1838"/>
      <c r="AP231" s="1837"/>
      <c r="AQ231" s="1841"/>
      <c r="AR231" s="1837"/>
      <c r="AS231" s="1838"/>
      <c r="AT231" s="1837"/>
      <c r="AU231" s="1838"/>
      <c r="AV231" s="1839"/>
      <c r="AW231" s="1840"/>
      <c r="AX231" s="1837"/>
      <c r="AY231" s="1838"/>
      <c r="AZ231" s="1837"/>
      <c r="BA231" s="1838"/>
      <c r="BB231" s="1839"/>
      <c r="BC231" s="1837"/>
      <c r="BD231" s="1837"/>
      <c r="BE231" s="1838"/>
      <c r="BF231" s="1837"/>
      <c r="BG231" s="1838"/>
      <c r="BH231" s="1837"/>
      <c r="BI231" s="1840"/>
      <c r="BJ231" s="1837"/>
      <c r="BK231" s="1838"/>
      <c r="BL231" s="1837"/>
      <c r="BM231" s="1838"/>
      <c r="BN231" s="1839"/>
      <c r="BO231" s="1840"/>
      <c r="BP231" s="1837"/>
      <c r="BQ231" s="1838"/>
      <c r="BR231" s="1842"/>
      <c r="BS231" s="1838"/>
      <c r="BT231" s="1839"/>
      <c r="BU231" s="1840"/>
      <c r="BV231" s="1837"/>
      <c r="BW231" s="1838"/>
      <c r="BX231" s="1837"/>
      <c r="BY231" s="1838"/>
      <c r="BZ231" s="1839"/>
      <c r="CA231" s="1840"/>
      <c r="CB231" s="1837"/>
      <c r="CC231" s="1838"/>
      <c r="CD231" s="1837"/>
      <c r="CE231" s="1838"/>
      <c r="CF231" s="1839"/>
      <c r="CG231" s="1840"/>
      <c r="CH231" s="1837"/>
      <c r="CI231" s="1838"/>
      <c r="CJ231" s="1837"/>
      <c r="CK231" s="1838"/>
      <c r="CL231" s="1839"/>
      <c r="CM231" s="1840"/>
      <c r="CN231" s="1837"/>
      <c r="CO231" s="1838"/>
      <c r="CP231" s="1843"/>
      <c r="CQ231" s="1838"/>
      <c r="CR231" s="1839"/>
      <c r="CS231" s="1840"/>
      <c r="CT231" s="1837"/>
      <c r="CU231" s="1838"/>
      <c r="CV231" s="1837"/>
      <c r="CW231" s="1838"/>
      <c r="CX231" s="1839"/>
      <c r="CY231" s="1840"/>
      <c r="CZ231" s="1837"/>
      <c r="DA231" s="1838"/>
      <c r="DB231" s="1837"/>
      <c r="DC231" s="1838"/>
      <c r="DD231" s="1839"/>
      <c r="DE231" s="1840"/>
      <c r="DF231" s="1837"/>
      <c r="DG231" s="1838"/>
      <c r="DH231" s="1837"/>
      <c r="DI231" s="1838"/>
      <c r="DJ231" s="1839"/>
      <c r="DK231" s="1840"/>
      <c r="DL231" s="1837"/>
      <c r="DM231" s="1838"/>
      <c r="DN231" s="1837"/>
      <c r="DO231" s="1838"/>
      <c r="DP231" s="1839"/>
      <c r="DQ231" s="1840"/>
      <c r="DR231" s="1837"/>
      <c r="DS231" s="1838"/>
      <c r="DT231" s="1837"/>
      <c r="DU231" s="1838"/>
      <c r="DV231" s="1839"/>
      <c r="DW231" s="1840"/>
      <c r="DX231" s="1837"/>
      <c r="DY231" s="1838"/>
      <c r="DZ231" s="1837"/>
      <c r="EA231" s="1838"/>
      <c r="EB231" s="1839"/>
      <c r="EC231" s="1840"/>
      <c r="ED231" s="1837"/>
      <c r="EE231" s="1838"/>
      <c r="EF231" s="1837"/>
      <c r="EG231" s="1838"/>
      <c r="EH231" s="1839"/>
      <c r="EI231" s="1840"/>
      <c r="EJ231" s="1837"/>
      <c r="EK231" s="1838"/>
      <c r="EL231" s="1837"/>
      <c r="EM231" s="1838"/>
      <c r="EN231" s="1839"/>
      <c r="EO231" s="1840"/>
      <c r="EP231" s="1837"/>
      <c r="EQ231" s="1838"/>
      <c r="ER231" s="1837"/>
      <c r="ES231" s="1838"/>
      <c r="ET231" s="1839"/>
      <c r="EU231" s="1840"/>
      <c r="EV231" s="1837"/>
      <c r="EW231" s="1838"/>
      <c r="EX231" s="1837"/>
      <c r="EY231" s="1838"/>
      <c r="EZ231" s="1839"/>
      <c r="FA231" s="1840"/>
      <c r="FB231" s="1837"/>
      <c r="FC231" s="1838"/>
      <c r="FD231" s="1837"/>
      <c r="FE231" s="1838"/>
      <c r="FF231" s="1839"/>
      <c r="FG231" s="1840"/>
      <c r="FH231" s="1837"/>
      <c r="FI231" s="1838"/>
      <c r="FJ231" s="1837"/>
      <c r="FK231" s="1838"/>
      <c r="FL231" s="1839"/>
      <c r="FM231" s="1840"/>
      <c r="FN231" s="1837"/>
      <c r="FO231" s="1838"/>
      <c r="FP231" s="1837"/>
      <c r="FQ231" s="1838"/>
      <c r="FR231" s="1839"/>
      <c r="FS231" s="1840"/>
      <c r="FT231" s="1837"/>
      <c r="FU231" s="1838"/>
      <c r="FV231" s="1837"/>
      <c r="FW231" s="1838"/>
      <c r="FX231" s="1839"/>
      <c r="FY231" s="1840"/>
      <c r="FZ231" s="1837"/>
      <c r="GA231" s="1838"/>
      <c r="GB231" s="1837"/>
      <c r="GC231" s="1838"/>
      <c r="GD231" s="1839"/>
      <c r="GE231" s="1840"/>
      <c r="GF231" s="1837"/>
      <c r="GG231" s="1838"/>
      <c r="GH231" s="1837"/>
      <c r="GI231" s="1838"/>
      <c r="GJ231" s="1839"/>
      <c r="GK231" s="1840"/>
      <c r="GL231" s="1837"/>
      <c r="GM231" s="1838"/>
      <c r="GN231" s="1837"/>
      <c r="GO231" s="1838"/>
      <c r="GP231" s="1839"/>
    </row>
    <row r="232" spans="1:198" ht="20.100000000000001" hidden="1" customHeight="1" outlineLevel="1" collapsed="1">
      <c r="A232" s="2709"/>
      <c r="B232" s="2612"/>
      <c r="C232" s="1836">
        <v>5</v>
      </c>
      <c r="D232" s="2614" t="str">
        <f>実績!C1351&amp;"("&amp;SUBSTITUTE(実績!C1351&amp;")"," 一級建築士事務所","")</f>
        <v>芹澤様共同住宅(芹澤様共同住宅)</v>
      </c>
      <c r="E232" s="2617"/>
      <c r="F232" s="2617"/>
      <c r="G232" s="2617"/>
      <c r="H232" s="2617"/>
      <c r="I232" s="2617"/>
      <c r="J232" s="2617"/>
      <c r="K232" s="2617"/>
      <c r="L232" s="2617"/>
      <c r="M232" s="2617"/>
      <c r="N232" s="2617"/>
      <c r="O232" s="2617"/>
      <c r="P232" s="2617"/>
      <c r="Q232" s="2617"/>
      <c r="R232" s="2622"/>
      <c r="S232" s="1837"/>
      <c r="T232" s="1837"/>
      <c r="U232" s="1837"/>
      <c r="V232" s="1837"/>
      <c r="W232" s="1837"/>
      <c r="X232" s="1837"/>
      <c r="Y232" s="1837"/>
      <c r="Z232" s="1837"/>
      <c r="AA232" s="1837"/>
      <c r="AB232" s="1837"/>
      <c r="AC232" s="1837"/>
      <c r="AD232" s="1837"/>
      <c r="AE232" s="1837"/>
      <c r="AF232" s="1837"/>
      <c r="AG232" s="1837"/>
      <c r="AH232" s="1837"/>
      <c r="AI232" s="1837"/>
      <c r="AJ232" s="1837"/>
      <c r="AK232" s="1837"/>
      <c r="AL232" s="1837"/>
      <c r="AM232" s="1837"/>
      <c r="AN232" s="1837"/>
      <c r="AO232" s="1837"/>
      <c r="AP232" s="1837"/>
      <c r="AQ232" s="1837"/>
      <c r="AR232" s="1837"/>
      <c r="AS232" s="1837"/>
      <c r="AT232" s="1837"/>
      <c r="AU232" s="1837"/>
      <c r="AV232" s="1837"/>
      <c r="AW232" s="1837"/>
      <c r="AX232" s="1837"/>
      <c r="AY232" s="1837"/>
      <c r="AZ232" s="1837"/>
      <c r="BA232" s="1837"/>
      <c r="BB232" s="1837"/>
      <c r="BC232" s="1837"/>
      <c r="BD232" s="1837"/>
      <c r="BE232" s="1837"/>
      <c r="BF232" s="1837"/>
      <c r="BG232" s="1837"/>
      <c r="BH232" s="1837"/>
      <c r="BI232" s="1837"/>
      <c r="BJ232" s="1837"/>
      <c r="BK232" s="1837"/>
      <c r="BL232" s="1837"/>
      <c r="BM232" s="1837"/>
      <c r="BN232" s="1837"/>
      <c r="BO232" s="1837"/>
      <c r="BP232" s="1837"/>
      <c r="BQ232" s="1837"/>
      <c r="BR232" s="1837"/>
      <c r="BS232" s="1837"/>
      <c r="BT232" s="1837"/>
      <c r="BU232" s="1837"/>
      <c r="BV232" s="1837"/>
      <c r="BW232" s="1837"/>
      <c r="BX232" s="1837"/>
      <c r="BY232" s="1837"/>
      <c r="BZ232" s="1837"/>
      <c r="CA232" s="1837"/>
      <c r="CB232" s="1837"/>
      <c r="CC232" s="1837"/>
      <c r="CD232" s="1837"/>
      <c r="CE232" s="1837"/>
      <c r="CF232" s="1837"/>
      <c r="CG232" s="1837"/>
      <c r="CH232" s="1837"/>
      <c r="CI232" s="1837"/>
      <c r="CJ232" s="1837"/>
      <c r="CK232" s="1837"/>
      <c r="CL232" s="1837"/>
      <c r="CM232" s="1837"/>
      <c r="CN232" s="1837"/>
      <c r="CO232" s="1837"/>
      <c r="CP232" s="1843"/>
      <c r="CQ232" s="1837"/>
      <c r="CR232" s="1837"/>
      <c r="CS232" s="1837"/>
      <c r="CT232" s="1837"/>
      <c r="CU232" s="1837"/>
      <c r="CV232" s="1837"/>
      <c r="CW232" s="1837"/>
      <c r="CX232" s="1837"/>
      <c r="CY232" s="1840"/>
      <c r="CZ232" s="1837"/>
      <c r="DA232" s="1838"/>
      <c r="DB232" s="1837"/>
      <c r="DC232" s="1838"/>
      <c r="DD232" s="1839"/>
      <c r="DE232" s="1840"/>
      <c r="DF232" s="1837"/>
      <c r="DG232" s="1838"/>
      <c r="DH232" s="1837"/>
      <c r="DI232" s="1838"/>
      <c r="DJ232" s="1844"/>
      <c r="DK232" s="1840"/>
      <c r="DL232" s="1837"/>
      <c r="DM232" s="1838"/>
      <c r="DN232" s="1837"/>
      <c r="DO232" s="1838"/>
      <c r="DP232" s="1839"/>
      <c r="DQ232" s="1840"/>
      <c r="DR232" s="1837"/>
      <c r="DS232" s="1838"/>
      <c r="DT232" s="1837" t="s">
        <v>15215</v>
      </c>
      <c r="DU232" s="1838"/>
      <c r="DV232" s="1844"/>
      <c r="DW232" s="1840"/>
      <c r="DX232" s="1837"/>
      <c r="DY232" s="1838"/>
      <c r="DZ232" s="1837"/>
      <c r="EA232" s="1838"/>
      <c r="EB232" s="1844"/>
      <c r="EC232" s="1840"/>
      <c r="ED232" s="1837"/>
      <c r="EE232" s="1838"/>
      <c r="EF232" s="1837"/>
      <c r="EG232" s="1838"/>
      <c r="EH232" s="1844"/>
      <c r="EI232" s="1840"/>
      <c r="EJ232" s="1837"/>
      <c r="EK232" s="1838"/>
      <c r="EL232" s="1837"/>
      <c r="EM232" s="1838"/>
      <c r="EN232" s="1844"/>
      <c r="EO232" s="1840"/>
      <c r="EP232" s="1837"/>
      <c r="EQ232" s="1838"/>
      <c r="ER232" s="1837"/>
      <c r="ES232" s="1838"/>
      <c r="ET232" s="1844"/>
      <c r="EU232" s="1840"/>
      <c r="EV232" s="1837"/>
      <c r="EW232" s="1838"/>
      <c r="EX232" s="1837"/>
      <c r="EY232" s="1838"/>
      <c r="EZ232" s="1844"/>
      <c r="FA232" s="1840"/>
      <c r="FB232" s="1837"/>
      <c r="FC232" s="1838"/>
      <c r="FD232" s="1837"/>
      <c r="FE232" s="1838"/>
      <c r="FF232" s="1844"/>
      <c r="FG232" s="1840"/>
      <c r="FH232" s="1837"/>
      <c r="FI232" s="1838"/>
      <c r="FJ232" s="1837"/>
      <c r="FK232" s="1838"/>
      <c r="FL232" s="1844"/>
      <c r="FM232" s="1840"/>
      <c r="FN232" s="1837"/>
      <c r="FO232" s="1838"/>
      <c r="FP232" s="1837"/>
      <c r="FQ232" s="1838"/>
      <c r="FR232" s="1844"/>
      <c r="FS232" s="1840"/>
      <c r="FT232" s="1837"/>
      <c r="FU232" s="1838"/>
      <c r="FV232" s="1837"/>
      <c r="FW232" s="1838"/>
      <c r="FX232" s="1844"/>
      <c r="FY232" s="1840"/>
      <c r="FZ232" s="1837"/>
      <c r="GA232" s="1838"/>
      <c r="GB232" s="1837"/>
      <c r="GC232" s="1838"/>
      <c r="GD232" s="1844"/>
      <c r="GE232" s="1840"/>
      <c r="GF232" s="1837"/>
      <c r="GG232" s="1838"/>
      <c r="GH232" s="1837"/>
      <c r="GI232" s="1838"/>
      <c r="GJ232" s="1844"/>
      <c r="GK232" s="1840"/>
      <c r="GL232" s="1837"/>
      <c r="GM232" s="1838"/>
      <c r="GN232" s="1837"/>
      <c r="GO232" s="1838"/>
      <c r="GP232" s="1844"/>
    </row>
    <row r="233" spans="1:198" ht="20.100000000000001" hidden="1" customHeight="1" outlineLevel="1">
      <c r="A233" s="2709"/>
      <c r="B233" s="2612"/>
      <c r="C233" s="1836">
        <v>6</v>
      </c>
      <c r="D233" s="2614" t="str">
        <f>実績!C1336&amp;"("&amp;SUBSTITUTE(実績!R1336&amp;")","株式会社 ","")</f>
        <v>JA全農福島 福島パッケージステーション(全農福島一級建築士事務所)</v>
      </c>
      <c r="E233" s="2617"/>
      <c r="F233" s="2617"/>
      <c r="G233" s="2617"/>
      <c r="H233" s="2617"/>
      <c r="I233" s="2617"/>
      <c r="J233" s="2617"/>
      <c r="K233" s="2617"/>
      <c r="L233" s="2617"/>
      <c r="M233" s="2617"/>
      <c r="N233" s="2617"/>
      <c r="O233" s="2617"/>
      <c r="P233" s="2617"/>
      <c r="Q233" s="2617"/>
      <c r="R233" s="2622"/>
      <c r="S233" s="1837"/>
      <c r="T233" s="1837"/>
      <c r="U233" s="1838"/>
      <c r="V233" s="1837"/>
      <c r="W233" s="1838"/>
      <c r="X233" s="1839"/>
      <c r="Y233" s="1837"/>
      <c r="Z233" s="1837"/>
      <c r="AA233" s="1838"/>
      <c r="AB233" s="1837"/>
      <c r="AC233" s="1838"/>
      <c r="AD233" s="1837"/>
      <c r="AE233" s="1840"/>
      <c r="AF233" s="1837"/>
      <c r="AG233" s="1838"/>
      <c r="AH233" s="1837"/>
      <c r="AI233" s="1838"/>
      <c r="AJ233" s="1839"/>
      <c r="AK233" s="1837"/>
      <c r="AL233" s="1837"/>
      <c r="AM233" s="1838"/>
      <c r="AN233" s="1837"/>
      <c r="AO233" s="1838"/>
      <c r="AP233" s="1837"/>
      <c r="AQ233" s="1841"/>
      <c r="AR233" s="1837"/>
      <c r="AS233" s="1838"/>
      <c r="AT233" s="1837"/>
      <c r="AU233" s="1838"/>
      <c r="AV233" s="1839"/>
      <c r="AW233" s="1840"/>
      <c r="AX233" s="1837"/>
      <c r="AY233" s="1838"/>
      <c r="AZ233" s="1837"/>
      <c r="BA233" s="1838"/>
      <c r="BB233" s="1839"/>
      <c r="BC233" s="1837"/>
      <c r="BD233" s="1837"/>
      <c r="BE233" s="1838"/>
      <c r="BF233" s="1837"/>
      <c r="BG233" s="1838"/>
      <c r="BH233" s="1837"/>
      <c r="BI233" s="1840"/>
      <c r="BJ233" s="1837"/>
      <c r="BK233" s="1838"/>
      <c r="BL233" s="1837"/>
      <c r="BM233" s="1838"/>
      <c r="BN233" s="1839"/>
      <c r="BO233" s="1840"/>
      <c r="BP233" s="1837"/>
      <c r="BQ233" s="1838"/>
      <c r="BR233" s="1842"/>
      <c r="BS233" s="1838"/>
      <c r="BT233" s="1839"/>
      <c r="BU233" s="1840"/>
      <c r="BV233" s="1837"/>
      <c r="BW233" s="1838"/>
      <c r="BX233" s="1837"/>
      <c r="BY233" s="1838"/>
      <c r="BZ233" s="1839"/>
      <c r="CA233" s="1840"/>
      <c r="CB233" s="1837"/>
      <c r="CC233" s="1838"/>
      <c r="CD233" s="1837"/>
      <c r="CE233" s="1838"/>
      <c r="CF233" s="1839"/>
      <c r="CG233" s="1840"/>
      <c r="CH233" s="1837"/>
      <c r="CI233" s="1838"/>
      <c r="CJ233" s="1837"/>
      <c r="CK233" s="1838"/>
      <c r="CL233" s="1839"/>
      <c r="CM233" s="1840"/>
      <c r="CN233" s="1837"/>
      <c r="CO233" s="1838"/>
      <c r="CP233" s="1843"/>
      <c r="CQ233" s="1838"/>
      <c r="CR233" s="1839"/>
      <c r="CS233" s="1840"/>
      <c r="CT233" s="1837"/>
      <c r="CU233" s="1838"/>
      <c r="CV233" s="1837"/>
      <c r="CW233" s="1838"/>
      <c r="CX233" s="1839"/>
      <c r="CY233" s="1840"/>
      <c r="CZ233" s="1837"/>
      <c r="DA233" s="1838"/>
      <c r="DB233" s="1837"/>
      <c r="DC233" s="1838"/>
      <c r="DD233" s="1839"/>
      <c r="DE233" s="1840"/>
      <c r="DF233" s="1837"/>
      <c r="DG233" s="1838"/>
      <c r="DH233" s="1837"/>
      <c r="DI233" s="1838"/>
      <c r="DJ233" s="1839"/>
      <c r="DK233" s="1840"/>
      <c r="DL233" s="1837"/>
      <c r="DM233" s="1838"/>
      <c r="DN233" s="1837"/>
      <c r="DO233" s="1838"/>
      <c r="DP233" s="1839"/>
      <c r="DQ233" s="1840"/>
      <c r="DR233" s="1837"/>
      <c r="DS233" s="1838"/>
      <c r="DT233" s="1837"/>
      <c r="DU233" s="1838"/>
      <c r="DV233" s="1844"/>
      <c r="DW233" s="1840"/>
      <c r="DX233" s="1837"/>
      <c r="DY233" s="1838"/>
      <c r="DZ233" s="1837"/>
      <c r="EA233" s="1838"/>
      <c r="EB233" s="1844"/>
      <c r="EC233" s="1840"/>
      <c r="ED233" s="1837"/>
      <c r="EE233" s="1838"/>
      <c r="EF233" s="1837"/>
      <c r="EG233" s="1838"/>
      <c r="EH233" s="1844"/>
      <c r="EI233" s="1840"/>
      <c r="EJ233" s="1837"/>
      <c r="EK233" s="1838"/>
      <c r="EL233" s="1837"/>
      <c r="EM233" s="1838"/>
      <c r="EN233" s="1844"/>
      <c r="EO233" s="1840"/>
      <c r="EP233" s="1837"/>
      <c r="EQ233" s="1838"/>
      <c r="ER233" s="1837"/>
      <c r="ES233" s="1838"/>
      <c r="ET233" s="1844"/>
      <c r="EU233" s="1840"/>
      <c r="EV233" s="1837"/>
      <c r="EW233" s="1838"/>
      <c r="EX233" s="1837"/>
      <c r="EY233" s="1838"/>
      <c r="EZ233" s="1844"/>
      <c r="FA233" s="1840"/>
      <c r="FB233" s="1837"/>
      <c r="FC233" s="1838"/>
      <c r="FD233" s="1837"/>
      <c r="FE233" s="1838"/>
      <c r="FF233" s="1844"/>
      <c r="FG233" s="1840"/>
      <c r="FH233" s="1837"/>
      <c r="FI233" s="1838"/>
      <c r="FJ233" s="1837"/>
      <c r="FK233" s="1838"/>
      <c r="FL233" s="1844"/>
      <c r="FM233" s="1840"/>
      <c r="FN233" s="1837"/>
      <c r="FO233" s="1838"/>
      <c r="FP233" s="1837"/>
      <c r="FQ233" s="1838"/>
      <c r="FR233" s="1844"/>
      <c r="FS233" s="1840"/>
      <c r="FT233" s="1837"/>
      <c r="FU233" s="1838"/>
      <c r="FV233" s="1837"/>
      <c r="FW233" s="1838"/>
      <c r="FX233" s="1844"/>
      <c r="FY233" s="1840"/>
      <c r="FZ233" s="1837"/>
      <c r="GA233" s="1838"/>
      <c r="GB233" s="1837"/>
      <c r="GC233" s="1838"/>
      <c r="GD233" s="1844"/>
      <c r="GE233" s="1840"/>
      <c r="GF233" s="1837"/>
      <c r="GG233" s="1838"/>
      <c r="GH233" s="1837"/>
      <c r="GI233" s="1838"/>
      <c r="GJ233" s="1844"/>
      <c r="GK233" s="1840"/>
      <c r="GL233" s="1837"/>
      <c r="GM233" s="1838"/>
      <c r="GN233" s="1837"/>
      <c r="GO233" s="1838"/>
      <c r="GP233" s="1844"/>
    </row>
    <row r="234" spans="1:198" ht="20.100000000000001" hidden="1" customHeight="1" outlineLevel="1">
      <c r="A234" s="2709"/>
      <c r="B234" s="2612"/>
      <c r="C234" s="1836">
        <v>7</v>
      </c>
      <c r="D234" s="2614" t="str">
        <f>実績!C1332&amp;"("&amp;SUBSTITUTE(実績!R1332&amp;")","株式会社 ","")</f>
        <v>ハローズ西条大町(山陽設計)</v>
      </c>
      <c r="E234" s="2617"/>
      <c r="F234" s="2617"/>
      <c r="G234" s="2617"/>
      <c r="H234" s="2617"/>
      <c r="I234" s="2617"/>
      <c r="J234" s="2617"/>
      <c r="K234" s="2617"/>
      <c r="L234" s="2617"/>
      <c r="M234" s="2617"/>
      <c r="N234" s="2617"/>
      <c r="O234" s="2617"/>
      <c r="P234" s="2617"/>
      <c r="Q234" s="2617"/>
      <c r="R234" s="2622"/>
      <c r="S234" s="1837"/>
      <c r="T234" s="1837"/>
      <c r="U234" s="1838"/>
      <c r="V234" s="1837"/>
      <c r="W234" s="1838"/>
      <c r="X234" s="1839"/>
      <c r="Y234" s="1837"/>
      <c r="Z234" s="1837"/>
      <c r="AA234" s="1838"/>
      <c r="AB234" s="1837"/>
      <c r="AC234" s="1838"/>
      <c r="AD234" s="1837"/>
      <c r="AE234" s="1840"/>
      <c r="AF234" s="1837"/>
      <c r="AG234" s="1838"/>
      <c r="AH234" s="1837"/>
      <c r="AI234" s="1838"/>
      <c r="AJ234" s="1839"/>
      <c r="AK234" s="1837"/>
      <c r="AL234" s="1837"/>
      <c r="AM234" s="1838"/>
      <c r="AN234" s="1837"/>
      <c r="AO234" s="1838"/>
      <c r="AP234" s="1837"/>
      <c r="AQ234" s="1841"/>
      <c r="AR234" s="1837"/>
      <c r="AS234" s="1838"/>
      <c r="AT234" s="1837"/>
      <c r="AU234" s="1838"/>
      <c r="AV234" s="1839"/>
      <c r="AW234" s="1840"/>
      <c r="AX234" s="1837"/>
      <c r="AY234" s="1838"/>
      <c r="AZ234" s="1837"/>
      <c r="BA234" s="1838"/>
      <c r="BB234" s="1839"/>
      <c r="BC234" s="1837"/>
      <c r="BD234" s="1837"/>
      <c r="BE234" s="1838"/>
      <c r="BF234" s="1837"/>
      <c r="BG234" s="1838"/>
      <c r="BH234" s="1837"/>
      <c r="BI234" s="1840"/>
      <c r="BJ234" s="1837"/>
      <c r="BK234" s="1838"/>
      <c r="BL234" s="1837"/>
      <c r="BM234" s="1838"/>
      <c r="BN234" s="1839"/>
      <c r="BO234" s="1840"/>
      <c r="BP234" s="1837"/>
      <c r="BQ234" s="1838"/>
      <c r="BR234" s="1842"/>
      <c r="BS234" s="1838"/>
      <c r="BT234" s="1839"/>
      <c r="BU234" s="1840"/>
      <c r="BV234" s="1837"/>
      <c r="BW234" s="1838"/>
      <c r="BX234" s="1837"/>
      <c r="BY234" s="1838"/>
      <c r="BZ234" s="1839"/>
      <c r="CA234" s="1840"/>
      <c r="CB234" s="1837"/>
      <c r="CC234" s="1838"/>
      <c r="CD234" s="1837"/>
      <c r="CE234" s="1838"/>
      <c r="CF234" s="1839"/>
      <c r="CG234" s="1840"/>
      <c r="CH234" s="1837"/>
      <c r="CI234" s="1838"/>
      <c r="CJ234" s="1837"/>
      <c r="CK234" s="1838"/>
      <c r="CL234" s="1839"/>
      <c r="CM234" s="1840"/>
      <c r="CN234" s="1837"/>
      <c r="CO234" s="1838"/>
      <c r="CP234" s="1843"/>
      <c r="CQ234" s="1838"/>
      <c r="CR234" s="1839"/>
      <c r="CS234" s="1840"/>
      <c r="CT234" s="1837"/>
      <c r="CU234" s="1838"/>
      <c r="CV234" s="1837"/>
      <c r="CW234" s="1838"/>
      <c r="CX234" s="1839"/>
      <c r="CY234" s="1840"/>
      <c r="CZ234" s="1837"/>
      <c r="DA234" s="1838"/>
      <c r="DB234" s="1837"/>
      <c r="DC234" s="1838"/>
      <c r="DD234" s="1839"/>
      <c r="DE234" s="1840"/>
      <c r="DF234" s="1837"/>
      <c r="DG234" s="1838"/>
      <c r="DH234" s="1837"/>
      <c r="DI234" s="1838"/>
      <c r="DJ234" s="1839"/>
      <c r="DK234" s="1840"/>
      <c r="DL234" s="1837"/>
      <c r="DM234" s="1838"/>
      <c r="DN234" s="1837" t="s">
        <v>15213</v>
      </c>
      <c r="DO234" s="1838"/>
      <c r="DP234" s="1839"/>
      <c r="DQ234" s="1840"/>
      <c r="DR234" s="1837"/>
      <c r="DS234" s="1838"/>
      <c r="DT234" s="1837"/>
      <c r="DU234" s="1838"/>
      <c r="DV234" s="1839"/>
      <c r="DW234" s="1840" t="s">
        <v>8145</v>
      </c>
      <c r="DX234" s="1837"/>
      <c r="DY234" s="1838"/>
      <c r="DZ234" s="1837"/>
      <c r="EA234" s="1838"/>
      <c r="EB234" s="1839"/>
      <c r="EC234" s="1840"/>
      <c r="ED234" s="1837"/>
      <c r="EE234" s="1838"/>
      <c r="EF234" s="1837"/>
      <c r="EG234" s="1838"/>
      <c r="EH234" s="1839"/>
      <c r="EI234" s="1840"/>
      <c r="EJ234" s="1837"/>
      <c r="EK234" s="1838"/>
      <c r="EL234" s="1837"/>
      <c r="EM234" s="1838"/>
      <c r="EN234" s="1839"/>
      <c r="EO234" s="1840"/>
      <c r="EP234" s="1837"/>
      <c r="EQ234" s="1838"/>
      <c r="ER234" s="1837"/>
      <c r="ES234" s="1838"/>
      <c r="ET234" s="1839"/>
      <c r="EU234" s="1840"/>
      <c r="EV234" s="1837"/>
      <c r="EW234" s="1838"/>
      <c r="EX234" s="1837"/>
      <c r="EY234" s="1838"/>
      <c r="EZ234" s="1839"/>
      <c r="FA234" s="1840"/>
      <c r="FB234" s="1837"/>
      <c r="FC234" s="1838"/>
      <c r="FD234" s="1837"/>
      <c r="FE234" s="1838"/>
      <c r="FF234" s="1839"/>
      <c r="FG234" s="1840"/>
      <c r="FH234" s="1837"/>
      <c r="FI234" s="1838"/>
      <c r="FJ234" s="1837"/>
      <c r="FK234" s="1838"/>
      <c r="FL234" s="1839"/>
      <c r="FM234" s="1840"/>
      <c r="FN234" s="1837"/>
      <c r="FO234" s="1838"/>
      <c r="FP234" s="1837"/>
      <c r="FQ234" s="1838"/>
      <c r="FR234" s="1839"/>
      <c r="FS234" s="1840"/>
      <c r="FT234" s="1837"/>
      <c r="FU234" s="1838"/>
      <c r="FV234" s="1837"/>
      <c r="FW234" s="1838"/>
      <c r="FX234" s="1839"/>
      <c r="FY234" s="1840"/>
      <c r="FZ234" s="1837"/>
      <c r="GA234" s="1838"/>
      <c r="GB234" s="1837"/>
      <c r="GC234" s="1838"/>
      <c r="GD234" s="1839"/>
      <c r="GE234" s="1840"/>
      <c r="GF234" s="1837"/>
      <c r="GG234" s="1838"/>
      <c r="GH234" s="1837"/>
      <c r="GI234" s="1838"/>
      <c r="GJ234" s="1839"/>
      <c r="GK234" s="1840"/>
      <c r="GL234" s="1837"/>
      <c r="GM234" s="1838"/>
      <c r="GN234" s="1837"/>
      <c r="GO234" s="1838"/>
      <c r="GP234" s="1839"/>
    </row>
    <row r="235" spans="1:198" ht="20.100000000000001" hidden="1" customHeight="1" outlineLevel="1">
      <c r="A235" s="2709"/>
      <c r="B235" s="2612"/>
      <c r="C235" s="1836">
        <v>8</v>
      </c>
      <c r="D235" s="2614" t="str">
        <f>実績!C1343&amp;"("&amp;SUBSTITUTE(実績!W1343&amp;")","株式会社 ","")</f>
        <v>ツルハドラッグ大槌(一級建築士事務所 Mkozo)</v>
      </c>
      <c r="E235" s="2617"/>
      <c r="F235" s="2617"/>
      <c r="G235" s="2617"/>
      <c r="H235" s="2617"/>
      <c r="I235" s="2617"/>
      <c r="J235" s="2617"/>
      <c r="K235" s="2617"/>
      <c r="L235" s="2617"/>
      <c r="M235" s="2617"/>
      <c r="N235" s="2617"/>
      <c r="O235" s="2617"/>
      <c r="P235" s="2617"/>
      <c r="Q235" s="2617"/>
      <c r="R235" s="2622"/>
      <c r="S235" s="1837"/>
      <c r="T235" s="1837"/>
      <c r="U235" s="1837"/>
      <c r="V235" s="1837"/>
      <c r="W235" s="1837"/>
      <c r="X235" s="1837"/>
      <c r="Y235" s="1837"/>
      <c r="Z235" s="1837"/>
      <c r="AA235" s="1837"/>
      <c r="AB235" s="1837"/>
      <c r="AC235" s="1837"/>
      <c r="AD235" s="1837"/>
      <c r="AE235" s="1837"/>
      <c r="AF235" s="1837"/>
      <c r="AG235" s="1837"/>
      <c r="AH235" s="1837"/>
      <c r="AI235" s="1837"/>
      <c r="AJ235" s="1837"/>
      <c r="AK235" s="1837"/>
      <c r="AL235" s="1837"/>
      <c r="AM235" s="1837"/>
      <c r="AN235" s="1837"/>
      <c r="AO235" s="1837"/>
      <c r="AP235" s="1837"/>
      <c r="AQ235" s="1837"/>
      <c r="AR235" s="1837"/>
      <c r="AS235" s="1837"/>
      <c r="AT235" s="1837"/>
      <c r="AU235" s="1837"/>
      <c r="AV235" s="1837"/>
      <c r="AW235" s="1837"/>
      <c r="AX235" s="1837"/>
      <c r="AY235" s="1837"/>
      <c r="AZ235" s="1837"/>
      <c r="BA235" s="1837"/>
      <c r="BB235" s="1837"/>
      <c r="BC235" s="1837"/>
      <c r="BD235" s="1837"/>
      <c r="BE235" s="1837"/>
      <c r="BF235" s="1837"/>
      <c r="BG235" s="1837"/>
      <c r="BH235" s="1837"/>
      <c r="BI235" s="1837"/>
      <c r="BJ235" s="1837"/>
      <c r="BK235" s="1837"/>
      <c r="BL235" s="1837"/>
      <c r="BM235" s="1837"/>
      <c r="BN235" s="1837"/>
      <c r="BO235" s="1837"/>
      <c r="BP235" s="1837"/>
      <c r="BQ235" s="1837"/>
      <c r="BR235" s="1837"/>
      <c r="BS235" s="1837"/>
      <c r="BT235" s="1837"/>
      <c r="BU235" s="1837"/>
      <c r="BV235" s="1837"/>
      <c r="BW235" s="1837"/>
      <c r="BX235" s="1837"/>
      <c r="BY235" s="1837"/>
      <c r="BZ235" s="1837"/>
      <c r="CA235" s="1837"/>
      <c r="CB235" s="1837"/>
      <c r="CC235" s="1837"/>
      <c r="CD235" s="1837"/>
      <c r="CE235" s="1837"/>
      <c r="CF235" s="1837"/>
      <c r="CG235" s="1837"/>
      <c r="CH235" s="1837"/>
      <c r="CI235" s="1837"/>
      <c r="CJ235" s="1837"/>
      <c r="CK235" s="1837"/>
      <c r="CL235" s="1837"/>
      <c r="CM235" s="1837"/>
      <c r="CN235" s="1837"/>
      <c r="CO235" s="1837"/>
      <c r="CP235" s="1843"/>
      <c r="CQ235" s="1837"/>
      <c r="CR235" s="1837"/>
      <c r="CS235" s="1837"/>
      <c r="CT235" s="1837"/>
      <c r="CU235" s="1837"/>
      <c r="CV235" s="1837"/>
      <c r="CW235" s="1837"/>
      <c r="CX235" s="1837"/>
      <c r="CY235" s="1840"/>
      <c r="CZ235" s="1837"/>
      <c r="DA235" s="1838"/>
      <c r="DB235" s="1837"/>
      <c r="DC235" s="1838"/>
      <c r="DD235" s="1839"/>
      <c r="DE235" s="1840"/>
      <c r="DF235" s="1837"/>
      <c r="DG235" s="1838"/>
      <c r="DH235" s="1837"/>
      <c r="DI235" s="1838"/>
      <c r="DJ235" s="1844"/>
      <c r="DK235" s="1840"/>
      <c r="DL235" s="1837"/>
      <c r="DM235" s="1838"/>
      <c r="DN235" s="1837"/>
      <c r="DO235" s="1838" t="s">
        <v>15076</v>
      </c>
      <c r="DP235" s="1839"/>
      <c r="DQ235" s="1840"/>
      <c r="DR235" s="1837"/>
      <c r="DS235" s="1838"/>
      <c r="DT235" s="1837"/>
      <c r="DU235" s="1838"/>
      <c r="DV235" s="1844"/>
      <c r="DW235" s="1840"/>
      <c r="DX235" s="1837"/>
      <c r="DY235" s="1838"/>
      <c r="DZ235" s="1837"/>
      <c r="EA235" s="1838"/>
      <c r="EB235" s="1844"/>
      <c r="EC235" s="1840"/>
      <c r="ED235" s="1837"/>
      <c r="EE235" s="1838"/>
      <c r="EF235" s="1837"/>
      <c r="EG235" s="1838"/>
      <c r="EH235" s="1844"/>
      <c r="EI235" s="1840"/>
      <c r="EJ235" s="1837"/>
      <c r="EK235" s="1838"/>
      <c r="EL235" s="1837"/>
      <c r="EM235" s="1838"/>
      <c r="EN235" s="1844"/>
      <c r="EO235" s="1840"/>
      <c r="EP235" s="1837"/>
      <c r="EQ235" s="1838"/>
      <c r="ER235" s="1837"/>
      <c r="ES235" s="1838"/>
      <c r="ET235" s="1844"/>
      <c r="EU235" s="1840"/>
      <c r="EV235" s="1837"/>
      <c r="EW235" s="1838"/>
      <c r="EX235" s="1837"/>
      <c r="EY235" s="1838"/>
      <c r="EZ235" s="1844"/>
      <c r="FA235" s="1840"/>
      <c r="FB235" s="1837"/>
      <c r="FC235" s="1838"/>
      <c r="FD235" s="1837"/>
      <c r="FE235" s="1838"/>
      <c r="FF235" s="1844"/>
      <c r="FG235" s="1840"/>
      <c r="FH235" s="1837"/>
      <c r="FI235" s="1838"/>
      <c r="FJ235" s="1837"/>
      <c r="FK235" s="1838"/>
      <c r="FL235" s="1844"/>
      <c r="FM235" s="1840"/>
      <c r="FN235" s="1837"/>
      <c r="FO235" s="1838"/>
      <c r="FP235" s="1837"/>
      <c r="FQ235" s="1838"/>
      <c r="FR235" s="1844"/>
      <c r="FS235" s="1840"/>
      <c r="FT235" s="1837"/>
      <c r="FU235" s="1838"/>
      <c r="FV235" s="1837"/>
      <c r="FW235" s="1838"/>
      <c r="FX235" s="1844"/>
      <c r="FY235" s="1840"/>
      <c r="FZ235" s="1837"/>
      <c r="GA235" s="1838"/>
      <c r="GB235" s="1837"/>
      <c r="GC235" s="1838"/>
      <c r="GD235" s="1844"/>
      <c r="GE235" s="1840"/>
      <c r="GF235" s="1837"/>
      <c r="GG235" s="1838"/>
      <c r="GH235" s="1837"/>
      <c r="GI235" s="1838"/>
      <c r="GJ235" s="1844"/>
      <c r="GK235" s="1840"/>
      <c r="GL235" s="1837"/>
      <c r="GM235" s="1838"/>
      <c r="GN235" s="1837"/>
      <c r="GO235" s="1838"/>
      <c r="GP235" s="1844"/>
    </row>
    <row r="236" spans="1:198" ht="20.100000000000001" hidden="1" customHeight="1" outlineLevel="1">
      <c r="A236" s="2709"/>
      <c r="B236" s="2612"/>
      <c r="C236" s="1836">
        <v>9</v>
      </c>
      <c r="D236" s="2614" t="str">
        <f>実績!C1349&amp;"("&amp;SUBSTITUTE(実績!W1349&amp;")","有限会社 ","")</f>
        <v>ＪＡみちのく村山 大石田低温倉庫(安島建築構造設計事務所)</v>
      </c>
      <c r="E236" s="2617"/>
      <c r="F236" s="2617"/>
      <c r="G236" s="2617"/>
      <c r="H236" s="2617"/>
      <c r="I236" s="2617"/>
      <c r="J236" s="2617"/>
      <c r="K236" s="2617"/>
      <c r="L236" s="2617"/>
      <c r="M236" s="2617"/>
      <c r="N236" s="2617"/>
      <c r="O236" s="2617"/>
      <c r="P236" s="2617"/>
      <c r="Q236" s="2617"/>
      <c r="R236" s="2622"/>
      <c r="S236" s="1837"/>
      <c r="T236" s="1837"/>
      <c r="U236" s="1837"/>
      <c r="V236" s="1837"/>
      <c r="W236" s="1837"/>
      <c r="X236" s="1837"/>
      <c r="Y236" s="1837"/>
      <c r="Z236" s="1837"/>
      <c r="AA236" s="1837"/>
      <c r="AB236" s="1837"/>
      <c r="AC236" s="1837"/>
      <c r="AD236" s="1837"/>
      <c r="AE236" s="1837"/>
      <c r="AF236" s="1837"/>
      <c r="AG236" s="1837"/>
      <c r="AH236" s="1837"/>
      <c r="AI236" s="1837"/>
      <c r="AJ236" s="1837"/>
      <c r="AK236" s="1837"/>
      <c r="AL236" s="1837"/>
      <c r="AM236" s="1837"/>
      <c r="AN236" s="1837"/>
      <c r="AO236" s="1837"/>
      <c r="AP236" s="1837"/>
      <c r="AQ236" s="1837"/>
      <c r="AR236" s="1837"/>
      <c r="AS236" s="1837"/>
      <c r="AT236" s="1837"/>
      <c r="AU236" s="1837"/>
      <c r="AV236" s="1837"/>
      <c r="AW236" s="1837"/>
      <c r="AX236" s="1837"/>
      <c r="AY236" s="1837"/>
      <c r="AZ236" s="1837"/>
      <c r="BA236" s="1837"/>
      <c r="BB236" s="1837"/>
      <c r="BC236" s="1837"/>
      <c r="BD236" s="1837"/>
      <c r="BE236" s="1837"/>
      <c r="BF236" s="1837"/>
      <c r="BG236" s="1837"/>
      <c r="BH236" s="1837"/>
      <c r="BI236" s="1837"/>
      <c r="BJ236" s="1837"/>
      <c r="BK236" s="1837"/>
      <c r="BL236" s="1837"/>
      <c r="BM236" s="1837"/>
      <c r="BN236" s="1837"/>
      <c r="BO236" s="1837"/>
      <c r="BP236" s="1837"/>
      <c r="BQ236" s="1837"/>
      <c r="BR236" s="1837"/>
      <c r="BS236" s="1837"/>
      <c r="BT236" s="1837"/>
      <c r="BU236" s="1837"/>
      <c r="BV236" s="1837"/>
      <c r="BW236" s="1837"/>
      <c r="BX236" s="1837"/>
      <c r="BY236" s="1837"/>
      <c r="BZ236" s="1837"/>
      <c r="CA236" s="1837"/>
      <c r="CB236" s="1837"/>
      <c r="CC236" s="1837"/>
      <c r="CD236" s="1837"/>
      <c r="CE236" s="1837"/>
      <c r="CF236" s="1837"/>
      <c r="CG236" s="1837"/>
      <c r="CH236" s="1837"/>
      <c r="CI236" s="1837"/>
      <c r="CJ236" s="1837"/>
      <c r="CK236" s="1837"/>
      <c r="CL236" s="1837"/>
      <c r="CM236" s="1837"/>
      <c r="CN236" s="1837"/>
      <c r="CO236" s="1837"/>
      <c r="CP236" s="1843"/>
      <c r="CQ236" s="1837"/>
      <c r="CR236" s="1837"/>
      <c r="CS236" s="1837"/>
      <c r="CT236" s="1837"/>
      <c r="CU236" s="1837"/>
      <c r="CV236" s="1837"/>
      <c r="CW236" s="1837"/>
      <c r="CX236" s="1837"/>
      <c r="CY236" s="1840"/>
      <c r="CZ236" s="1837"/>
      <c r="DA236" s="1838"/>
      <c r="DB236" s="1837"/>
      <c r="DC236" s="1838"/>
      <c r="DD236" s="1839"/>
      <c r="DE236" s="1840"/>
      <c r="DF236" s="1837"/>
      <c r="DG236" s="1838"/>
      <c r="DH236" s="1837"/>
      <c r="DI236" s="1838"/>
      <c r="DJ236" s="1844"/>
      <c r="DK236" s="1840"/>
      <c r="DL236" s="1837"/>
      <c r="DM236" s="1838"/>
      <c r="DN236" s="1837"/>
      <c r="DO236" s="1838"/>
      <c r="DP236" s="1839"/>
      <c r="DQ236" s="1840"/>
      <c r="DR236" s="1837"/>
      <c r="DS236" s="1838"/>
      <c r="DT236" s="1837"/>
      <c r="DU236" s="1838"/>
      <c r="DV236" s="1844"/>
      <c r="DW236" s="1840"/>
      <c r="DX236" s="1837"/>
      <c r="DY236" s="1838"/>
      <c r="DZ236" s="1837"/>
      <c r="EA236" s="1838"/>
      <c r="EB236" s="1844"/>
      <c r="EC236" s="1840"/>
      <c r="ED236" s="1837"/>
      <c r="EE236" s="1838"/>
      <c r="EF236" s="1837"/>
      <c r="EG236" s="1838"/>
      <c r="EH236" s="1844"/>
      <c r="EI236" s="1840"/>
      <c r="EJ236" s="1837"/>
      <c r="EK236" s="1838"/>
      <c r="EL236" s="1837"/>
      <c r="EM236" s="1838"/>
      <c r="EN236" s="1844"/>
      <c r="EO236" s="1840"/>
      <c r="EP236" s="1837"/>
      <c r="EQ236" s="1838"/>
      <c r="ER236" s="1837"/>
      <c r="ES236" s="1838"/>
      <c r="ET236" s="1844"/>
      <c r="EU236" s="1840"/>
      <c r="EV236" s="1837"/>
      <c r="EW236" s="1838"/>
      <c r="EX236" s="1837"/>
      <c r="EY236" s="1838"/>
      <c r="EZ236" s="1844"/>
      <c r="FA236" s="1840"/>
      <c r="FB236" s="1837"/>
      <c r="FC236" s="1838"/>
      <c r="FD236" s="1837"/>
      <c r="FE236" s="1838"/>
      <c r="FF236" s="1844"/>
      <c r="FG236" s="1840"/>
      <c r="FH236" s="1837"/>
      <c r="FI236" s="1838"/>
      <c r="FJ236" s="1837"/>
      <c r="FK236" s="1838"/>
      <c r="FL236" s="1844"/>
      <c r="FM236" s="1840"/>
      <c r="FN236" s="1837"/>
      <c r="FO236" s="1838"/>
      <c r="FP236" s="1837"/>
      <c r="FQ236" s="1838"/>
      <c r="FR236" s="1844"/>
      <c r="FS236" s="1840"/>
      <c r="FT236" s="1837"/>
      <c r="FU236" s="1838"/>
      <c r="FV236" s="1837"/>
      <c r="FW236" s="1838"/>
      <c r="FX236" s="1844"/>
      <c r="FY236" s="1840"/>
      <c r="FZ236" s="1837"/>
      <c r="GA236" s="1838"/>
      <c r="GB236" s="1837"/>
      <c r="GC236" s="1838"/>
      <c r="GD236" s="1844"/>
      <c r="GE236" s="1840"/>
      <c r="GF236" s="1837"/>
      <c r="GG236" s="1838"/>
      <c r="GH236" s="1837"/>
      <c r="GI236" s="1838"/>
      <c r="GJ236" s="1844"/>
      <c r="GK236" s="1840"/>
      <c r="GL236" s="1837"/>
      <c r="GM236" s="1838"/>
      <c r="GN236" s="1837"/>
      <c r="GO236" s="1838"/>
      <c r="GP236" s="1844"/>
    </row>
    <row r="237" spans="1:198" ht="20.100000000000001" hidden="1" customHeight="1" outlineLevel="1" collapsed="1">
      <c r="A237" s="2709"/>
      <c r="B237" s="2612"/>
      <c r="C237" s="1836">
        <v>10</v>
      </c>
      <c r="D237" s="2614" t="str">
        <f>実績!C1340&amp;"("&amp;SUBSTITUTE(実績!W1340&amp;")"," 株式会社","")</f>
        <v>石巻物流センター(日鉄物産システム建築)</v>
      </c>
      <c r="E237" s="2617"/>
      <c r="F237" s="2617"/>
      <c r="G237" s="2617"/>
      <c r="H237" s="2617"/>
      <c r="I237" s="2617"/>
      <c r="J237" s="2617"/>
      <c r="K237" s="2617"/>
      <c r="L237" s="2617"/>
      <c r="M237" s="2617"/>
      <c r="N237" s="2617"/>
      <c r="O237" s="2617"/>
      <c r="P237" s="2617"/>
      <c r="Q237" s="2617"/>
      <c r="R237" s="2622"/>
      <c r="S237" s="1837"/>
      <c r="T237" s="1837"/>
      <c r="U237" s="1837"/>
      <c r="V237" s="1837"/>
      <c r="W237" s="1837"/>
      <c r="X237" s="1837"/>
      <c r="Y237" s="1837"/>
      <c r="Z237" s="1837"/>
      <c r="AA237" s="1837"/>
      <c r="AB237" s="1837"/>
      <c r="AC237" s="1837"/>
      <c r="AD237" s="1837"/>
      <c r="AE237" s="1837"/>
      <c r="AF237" s="1837"/>
      <c r="AG237" s="1837"/>
      <c r="AH237" s="1837"/>
      <c r="AI237" s="1837"/>
      <c r="AJ237" s="1837"/>
      <c r="AK237" s="1837"/>
      <c r="AL237" s="1837"/>
      <c r="AM237" s="1837"/>
      <c r="AN237" s="1837"/>
      <c r="AO237" s="1837"/>
      <c r="AP237" s="1837"/>
      <c r="AQ237" s="1837"/>
      <c r="AR237" s="1837"/>
      <c r="AS237" s="1837"/>
      <c r="AT237" s="1837"/>
      <c r="AU237" s="1837"/>
      <c r="AV237" s="1837"/>
      <c r="AW237" s="1837"/>
      <c r="AX237" s="1837"/>
      <c r="AY237" s="1837"/>
      <c r="AZ237" s="1837"/>
      <c r="BA237" s="1837"/>
      <c r="BB237" s="1837"/>
      <c r="BC237" s="1837"/>
      <c r="BD237" s="1837"/>
      <c r="BE237" s="1837"/>
      <c r="BF237" s="1837"/>
      <c r="BG237" s="1837"/>
      <c r="BH237" s="1837"/>
      <c r="BI237" s="1837"/>
      <c r="BJ237" s="1837"/>
      <c r="BK237" s="1837"/>
      <c r="BL237" s="1837"/>
      <c r="BM237" s="1837"/>
      <c r="BN237" s="1837"/>
      <c r="BO237" s="1837"/>
      <c r="BP237" s="1837"/>
      <c r="BQ237" s="1837"/>
      <c r="BR237" s="1837"/>
      <c r="BS237" s="1837"/>
      <c r="BT237" s="1837"/>
      <c r="BU237" s="1837"/>
      <c r="BV237" s="1837"/>
      <c r="BW237" s="1837"/>
      <c r="BX237" s="1837"/>
      <c r="BY237" s="1837"/>
      <c r="BZ237" s="1837"/>
      <c r="CA237" s="1837"/>
      <c r="CB237" s="1837"/>
      <c r="CC237" s="1837"/>
      <c r="CD237" s="1837"/>
      <c r="CE237" s="1837"/>
      <c r="CF237" s="1837"/>
      <c r="CG237" s="1837"/>
      <c r="CH237" s="1837"/>
      <c r="CI237" s="1837"/>
      <c r="CJ237" s="1837"/>
      <c r="CK237" s="1837"/>
      <c r="CL237" s="1837"/>
      <c r="CM237" s="1837"/>
      <c r="CN237" s="1837"/>
      <c r="CO237" s="1837"/>
      <c r="CP237" s="1843"/>
      <c r="CQ237" s="1837"/>
      <c r="CR237" s="1837"/>
      <c r="CS237" s="1837"/>
      <c r="CT237" s="1837"/>
      <c r="CU237" s="1837"/>
      <c r="CV237" s="1837"/>
      <c r="CW237" s="1837"/>
      <c r="CX237" s="1837"/>
      <c r="CY237" s="1840"/>
      <c r="CZ237" s="1837"/>
      <c r="DA237" s="1838"/>
      <c r="DB237" s="1837"/>
      <c r="DC237" s="1838"/>
      <c r="DD237" s="1839"/>
      <c r="DE237" s="1840"/>
      <c r="DF237" s="1837"/>
      <c r="DG237" s="1838"/>
      <c r="DH237" s="1837"/>
      <c r="DI237" s="1838"/>
      <c r="DJ237" s="1844"/>
      <c r="DK237" s="1840"/>
      <c r="DL237" s="1837" t="s">
        <v>15214</v>
      </c>
      <c r="DM237" s="1838"/>
      <c r="DN237" s="1837"/>
      <c r="DO237" s="1838"/>
      <c r="DP237" s="1839"/>
      <c r="DQ237" s="1840"/>
      <c r="DR237" s="1837"/>
      <c r="DS237" s="1838"/>
      <c r="DT237" s="1837"/>
      <c r="DU237" s="1838"/>
      <c r="DV237" s="1844"/>
      <c r="DW237" s="1840"/>
      <c r="DX237" s="1837"/>
      <c r="DY237" s="1838"/>
      <c r="DZ237" s="1837" t="s">
        <v>8944</v>
      </c>
      <c r="EA237" s="1838"/>
      <c r="EB237" s="1844"/>
      <c r="EC237" s="1840"/>
      <c r="ED237" s="1837"/>
      <c r="EE237" s="1838"/>
      <c r="EF237" s="1837"/>
      <c r="EG237" s="1838"/>
      <c r="EH237" s="1844"/>
      <c r="EI237" s="1840"/>
      <c r="EJ237" s="1837"/>
      <c r="EK237" s="1838"/>
      <c r="EL237" s="1837"/>
      <c r="EM237" s="1838"/>
      <c r="EN237" s="1844"/>
      <c r="EO237" s="1840"/>
      <c r="EP237" s="1837"/>
      <c r="EQ237" s="1838"/>
      <c r="ER237" s="1837"/>
      <c r="ES237" s="1838"/>
      <c r="ET237" s="1844"/>
      <c r="EU237" s="1840"/>
      <c r="EV237" s="1837"/>
      <c r="EW237" s="1838"/>
      <c r="EX237" s="1837"/>
      <c r="EY237" s="1838"/>
      <c r="EZ237" s="1844"/>
      <c r="FA237" s="1840"/>
      <c r="FB237" s="1837"/>
      <c r="FC237" s="1838"/>
      <c r="FD237" s="1837"/>
      <c r="FE237" s="1838"/>
      <c r="FF237" s="1844"/>
      <c r="FG237" s="1840"/>
      <c r="FH237" s="1837"/>
      <c r="FI237" s="1838"/>
      <c r="FJ237" s="1837"/>
      <c r="FK237" s="1838"/>
      <c r="FL237" s="1844"/>
      <c r="FM237" s="1840"/>
      <c r="FN237" s="1837"/>
      <c r="FO237" s="1838"/>
      <c r="FP237" s="1837"/>
      <c r="FQ237" s="1838"/>
      <c r="FR237" s="1844"/>
      <c r="FS237" s="1840"/>
      <c r="FT237" s="1837"/>
      <c r="FU237" s="1838"/>
      <c r="FV237" s="1837"/>
      <c r="FW237" s="1838"/>
      <c r="FX237" s="1844"/>
      <c r="FY237" s="1840"/>
      <c r="FZ237" s="1837"/>
      <c r="GA237" s="1838"/>
      <c r="GB237" s="1837"/>
      <c r="GC237" s="1838"/>
      <c r="GD237" s="1844"/>
      <c r="GE237" s="1840"/>
      <c r="GF237" s="1837"/>
      <c r="GG237" s="1838"/>
      <c r="GH237" s="1837"/>
      <c r="GI237" s="1838"/>
      <c r="GJ237" s="1844"/>
      <c r="GK237" s="1840"/>
      <c r="GL237" s="1837"/>
      <c r="GM237" s="1838"/>
      <c r="GN237" s="1837"/>
      <c r="GO237" s="1838"/>
      <c r="GP237" s="1844"/>
    </row>
    <row r="238" spans="1:198" ht="20.100000000000001" hidden="1" customHeight="1" outlineLevel="1">
      <c r="A238" s="2709"/>
      <c r="B238" s="2612"/>
      <c r="C238" s="1836">
        <v>11</v>
      </c>
      <c r="D238" s="2614" t="str">
        <f>実績!C1344&amp;"("&amp;SUBSTITUTE(実績!AB1344&amp;")"," 株式会社","")</f>
        <v>熊本スバル自動車 本社(九州建設)</v>
      </c>
      <c r="E238" s="2617"/>
      <c r="F238" s="2617"/>
      <c r="G238" s="2617"/>
      <c r="H238" s="2617"/>
      <c r="I238" s="2617"/>
      <c r="J238" s="2617"/>
      <c r="K238" s="2617"/>
      <c r="L238" s="2617"/>
      <c r="M238" s="2617"/>
      <c r="N238" s="2617"/>
      <c r="O238" s="2617"/>
      <c r="P238" s="2617"/>
      <c r="Q238" s="2617"/>
      <c r="R238" s="2622"/>
      <c r="S238" s="1837"/>
      <c r="T238" s="1837"/>
      <c r="U238" s="1838"/>
      <c r="V238" s="1837"/>
      <c r="W238" s="1838"/>
      <c r="X238" s="1839"/>
      <c r="Y238" s="1837"/>
      <c r="Z238" s="1837"/>
      <c r="AA238" s="1838"/>
      <c r="AB238" s="1837"/>
      <c r="AC238" s="1838"/>
      <c r="AD238" s="1837"/>
      <c r="AE238" s="1840"/>
      <c r="AF238" s="1837"/>
      <c r="AG238" s="1838"/>
      <c r="AH238" s="1837"/>
      <c r="AI238" s="1838"/>
      <c r="AJ238" s="1839"/>
      <c r="AK238" s="1837"/>
      <c r="AL238" s="1837"/>
      <c r="AM238" s="1838"/>
      <c r="AN238" s="1837"/>
      <c r="AO238" s="1838"/>
      <c r="AP238" s="1837"/>
      <c r="AQ238" s="1841"/>
      <c r="AR238" s="1837"/>
      <c r="AS238" s="1838"/>
      <c r="AT238" s="1837"/>
      <c r="AU238" s="1838"/>
      <c r="AV238" s="1839"/>
      <c r="AW238" s="1840"/>
      <c r="AX238" s="1837"/>
      <c r="AY238" s="1838"/>
      <c r="AZ238" s="1837"/>
      <c r="BA238" s="1838"/>
      <c r="BB238" s="1839"/>
      <c r="BC238" s="1837"/>
      <c r="BD238" s="1837"/>
      <c r="BE238" s="1838"/>
      <c r="BF238" s="1837"/>
      <c r="BG238" s="1838"/>
      <c r="BH238" s="1837"/>
      <c r="BI238" s="1840"/>
      <c r="BJ238" s="1837"/>
      <c r="BK238" s="1838"/>
      <c r="BL238" s="1837"/>
      <c r="BM238" s="1838"/>
      <c r="BN238" s="1839"/>
      <c r="BO238" s="1840"/>
      <c r="BP238" s="1837"/>
      <c r="BQ238" s="1838"/>
      <c r="BR238" s="1842"/>
      <c r="BS238" s="1838"/>
      <c r="BT238" s="1839"/>
      <c r="BU238" s="1840"/>
      <c r="BV238" s="1837"/>
      <c r="BW238" s="1838"/>
      <c r="BX238" s="1837"/>
      <c r="BY238" s="1838"/>
      <c r="BZ238" s="1839"/>
      <c r="CA238" s="1840"/>
      <c r="CB238" s="1837"/>
      <c r="CC238" s="1838"/>
      <c r="CD238" s="1837"/>
      <c r="CE238" s="1838"/>
      <c r="CF238" s="1839"/>
      <c r="CG238" s="1840"/>
      <c r="CH238" s="1837"/>
      <c r="CI238" s="1838"/>
      <c r="CJ238" s="1837"/>
      <c r="CK238" s="1838"/>
      <c r="CL238" s="1839"/>
      <c r="CM238" s="1840"/>
      <c r="CN238" s="1837"/>
      <c r="CO238" s="1838"/>
      <c r="CP238" s="1843"/>
      <c r="CQ238" s="1838"/>
      <c r="CR238" s="1839"/>
      <c r="CS238" s="1840"/>
      <c r="CT238" s="1837"/>
      <c r="CU238" s="1838"/>
      <c r="CV238" s="1837"/>
      <c r="CW238" s="1838"/>
      <c r="CX238" s="1839"/>
      <c r="CY238" s="1840"/>
      <c r="CZ238" s="1837"/>
      <c r="DA238" s="1838"/>
      <c r="DB238" s="1837"/>
      <c r="DC238" s="1838"/>
      <c r="DD238" s="1839"/>
      <c r="DE238" s="1840"/>
      <c r="DF238" s="1837"/>
      <c r="DG238" s="1838"/>
      <c r="DH238" s="1837"/>
      <c r="DI238" s="1838"/>
      <c r="DJ238" s="1839"/>
      <c r="DK238" s="1840"/>
      <c r="DL238" s="1837"/>
      <c r="DM238" s="1838"/>
      <c r="DN238" s="1837"/>
      <c r="DO238" s="1838"/>
      <c r="DP238" s="1839"/>
      <c r="DQ238" s="1840" t="s">
        <v>15302</v>
      </c>
      <c r="DR238" s="1837"/>
      <c r="DS238" s="1838"/>
      <c r="DT238" s="1837"/>
      <c r="DU238" s="1838"/>
      <c r="DV238" s="1844"/>
      <c r="DW238" s="1840"/>
      <c r="DX238" s="1837"/>
      <c r="DY238" s="1838"/>
      <c r="DZ238" s="1837"/>
      <c r="EA238" s="1838"/>
      <c r="EB238" s="1844"/>
      <c r="EC238" s="1840"/>
      <c r="ED238" s="1837"/>
      <c r="EE238" s="1838"/>
      <c r="EF238" s="1837"/>
      <c r="EG238" s="1838"/>
      <c r="EH238" s="1844"/>
      <c r="EI238" s="1840"/>
      <c r="EJ238" s="1837"/>
      <c r="EK238" s="1838"/>
      <c r="EL238" s="1837"/>
      <c r="EM238" s="1838"/>
      <c r="EN238" s="1844"/>
      <c r="EO238" s="1840"/>
      <c r="EP238" s="1837"/>
      <c r="EQ238" s="1838"/>
      <c r="ER238" s="1837"/>
      <c r="ES238" s="1838"/>
      <c r="ET238" s="1844" t="s">
        <v>15228</v>
      </c>
      <c r="EU238" s="1840"/>
      <c r="EV238" s="1837"/>
      <c r="EW238" s="1838"/>
      <c r="EX238" s="1837"/>
      <c r="EY238" s="1838"/>
      <c r="EZ238" s="1844"/>
      <c r="FA238" s="1840"/>
      <c r="FB238" s="1837"/>
      <c r="FC238" s="1838"/>
      <c r="FD238" s="1837"/>
      <c r="FE238" s="1838"/>
      <c r="FF238" s="1844"/>
      <c r="FG238" s="1840"/>
      <c r="FH238" s="1837"/>
      <c r="FI238" s="1838"/>
      <c r="FJ238" s="1837"/>
      <c r="FK238" s="1838"/>
      <c r="FL238" s="1844"/>
      <c r="FM238" s="1840"/>
      <c r="FN238" s="1837"/>
      <c r="FO238" s="1838"/>
      <c r="FP238" s="1837"/>
      <c r="FQ238" s="1838"/>
      <c r="FR238" s="1844"/>
      <c r="FS238" s="1840"/>
      <c r="FT238" s="1837"/>
      <c r="FU238" s="1838"/>
      <c r="FV238" s="1837"/>
      <c r="FW238" s="1838"/>
      <c r="FX238" s="1844"/>
      <c r="FY238" s="1840"/>
      <c r="FZ238" s="1837"/>
      <c r="GA238" s="1838"/>
      <c r="GB238" s="1837"/>
      <c r="GC238" s="1838"/>
      <c r="GD238" s="1844"/>
      <c r="GE238" s="1840"/>
      <c r="GF238" s="1837"/>
      <c r="GG238" s="1838"/>
      <c r="GH238" s="1837"/>
      <c r="GI238" s="1838"/>
      <c r="GJ238" s="1844"/>
      <c r="GK238" s="1840"/>
      <c r="GL238" s="1837"/>
      <c r="GM238" s="1838"/>
      <c r="GN238" s="1837"/>
      <c r="GO238" s="1838"/>
      <c r="GP238" s="1844"/>
    </row>
    <row r="239" spans="1:198" ht="20.100000000000001" hidden="1" customHeight="1" outlineLevel="1">
      <c r="A239" s="2709"/>
      <c r="B239" s="2612"/>
      <c r="C239" s="1836">
        <v>12</v>
      </c>
      <c r="D239" s="2614" t="str">
        <f>実績!C1348&amp;"("&amp;SUBSTITUTE(実績!W1348&amp;")","株式会社 ","")</f>
        <v>横河システム建築 茂原工場 厚生棟(横河システム建築)</v>
      </c>
      <c r="E239" s="2617"/>
      <c r="F239" s="2617"/>
      <c r="G239" s="2617"/>
      <c r="H239" s="2617"/>
      <c r="I239" s="2617"/>
      <c r="J239" s="2617"/>
      <c r="K239" s="2617"/>
      <c r="L239" s="2617"/>
      <c r="M239" s="2617"/>
      <c r="N239" s="2617"/>
      <c r="O239" s="2617"/>
      <c r="P239" s="2617"/>
      <c r="Q239" s="2617"/>
      <c r="R239" s="2622"/>
      <c r="S239" s="1837"/>
      <c r="T239" s="1837"/>
      <c r="U239" s="1838"/>
      <c r="V239" s="1837"/>
      <c r="W239" s="1838"/>
      <c r="X239" s="1839"/>
      <c r="Y239" s="1837"/>
      <c r="Z239" s="1837"/>
      <c r="AA239" s="1838"/>
      <c r="AB239" s="1837"/>
      <c r="AC239" s="1838"/>
      <c r="AD239" s="1837"/>
      <c r="AE239" s="1840"/>
      <c r="AF239" s="1837"/>
      <c r="AG239" s="1838"/>
      <c r="AH239" s="1837"/>
      <c r="AI239" s="1838"/>
      <c r="AJ239" s="1839"/>
      <c r="AK239" s="1837"/>
      <c r="AL239" s="1837"/>
      <c r="AM239" s="1838"/>
      <c r="AN239" s="1837"/>
      <c r="AO239" s="1838"/>
      <c r="AP239" s="1837"/>
      <c r="AQ239" s="1841"/>
      <c r="AR239" s="1837"/>
      <c r="AS239" s="1838"/>
      <c r="AT239" s="1837"/>
      <c r="AU239" s="1838"/>
      <c r="AV239" s="1839"/>
      <c r="AW239" s="1840"/>
      <c r="AX239" s="1837"/>
      <c r="AY239" s="1838"/>
      <c r="AZ239" s="1837"/>
      <c r="BA239" s="1838"/>
      <c r="BB239" s="1839"/>
      <c r="BC239" s="1837"/>
      <c r="BD239" s="1837"/>
      <c r="BE239" s="1838"/>
      <c r="BF239" s="1837"/>
      <c r="BG239" s="1838"/>
      <c r="BH239" s="1837"/>
      <c r="BI239" s="1840"/>
      <c r="BJ239" s="1837"/>
      <c r="BK239" s="1838"/>
      <c r="BL239" s="1837"/>
      <c r="BM239" s="1838"/>
      <c r="BN239" s="1839"/>
      <c r="BO239" s="1840"/>
      <c r="BP239" s="1837"/>
      <c r="BQ239" s="1838"/>
      <c r="BR239" s="1842"/>
      <c r="BS239" s="1838"/>
      <c r="BT239" s="1839"/>
      <c r="BU239" s="1840"/>
      <c r="BV239" s="1837"/>
      <c r="BW239" s="1838"/>
      <c r="BX239" s="1837"/>
      <c r="BY239" s="1838"/>
      <c r="BZ239" s="1839"/>
      <c r="CA239" s="1840"/>
      <c r="CB239" s="1837"/>
      <c r="CC239" s="1838"/>
      <c r="CD239" s="1837"/>
      <c r="CE239" s="1838"/>
      <c r="CF239" s="1839"/>
      <c r="CG239" s="1840"/>
      <c r="CH239" s="1837"/>
      <c r="CI239" s="1838"/>
      <c r="CJ239" s="1837"/>
      <c r="CK239" s="1838"/>
      <c r="CL239" s="1839"/>
      <c r="CM239" s="1840"/>
      <c r="CN239" s="1837"/>
      <c r="CO239" s="1838"/>
      <c r="CP239" s="1843"/>
      <c r="CQ239" s="1838"/>
      <c r="CR239" s="1839"/>
      <c r="CS239" s="1840"/>
      <c r="CT239" s="1837"/>
      <c r="CU239" s="1838"/>
      <c r="CV239" s="1837"/>
      <c r="CW239" s="1838"/>
      <c r="CX239" s="1839"/>
      <c r="CY239" s="1840"/>
      <c r="CZ239" s="1837"/>
      <c r="DA239" s="1838"/>
      <c r="DB239" s="1837"/>
      <c r="DC239" s="1838"/>
      <c r="DD239" s="1839"/>
      <c r="DE239" s="1840"/>
      <c r="DF239" s="1837"/>
      <c r="DG239" s="1838"/>
      <c r="DH239" s="1837"/>
      <c r="DI239" s="1838"/>
      <c r="DJ239" s="1839"/>
      <c r="DK239" s="1840"/>
      <c r="DL239" s="1837"/>
      <c r="DM239" s="1838"/>
      <c r="DN239" s="1837"/>
      <c r="DO239" s="1838"/>
      <c r="DP239" s="1839" t="s">
        <v>15152</v>
      </c>
      <c r="DQ239" s="1840"/>
      <c r="DR239" s="1837"/>
      <c r="DS239" s="1838"/>
      <c r="DT239" s="1837"/>
      <c r="DU239" s="1838"/>
      <c r="DV239" s="1839"/>
      <c r="DW239" s="1840"/>
      <c r="DX239" s="1837"/>
      <c r="DY239" s="1838"/>
      <c r="DZ239" s="1837"/>
      <c r="EA239" s="1838"/>
      <c r="EB239" s="1839"/>
      <c r="EC239" s="1840" t="s">
        <v>8145</v>
      </c>
      <c r="ED239" s="1837"/>
      <c r="EE239" s="1838"/>
      <c r="EF239" s="1837"/>
      <c r="EG239" s="1838"/>
      <c r="EH239" s="1839"/>
      <c r="EI239" s="1840"/>
      <c r="EJ239" s="1837"/>
      <c r="EK239" s="1838"/>
      <c r="EL239" s="1837"/>
      <c r="EM239" s="1838"/>
      <c r="EN239" s="1839"/>
      <c r="EO239" s="1840"/>
      <c r="EP239" s="1837"/>
      <c r="EQ239" s="1838"/>
      <c r="ER239" s="1837"/>
      <c r="ES239" s="1838"/>
      <c r="ET239" s="1839"/>
      <c r="EU239" s="1840"/>
      <c r="EV239" s="1837"/>
      <c r="EW239" s="1838"/>
      <c r="EX239" s="1837"/>
      <c r="EY239" s="1838"/>
      <c r="EZ239" s="1839"/>
      <c r="FA239" s="1840"/>
      <c r="FB239" s="1837"/>
      <c r="FC239" s="1838"/>
      <c r="FD239" s="1837"/>
      <c r="FE239" s="1838"/>
      <c r="FF239" s="1839"/>
      <c r="FG239" s="1840"/>
      <c r="FH239" s="1837"/>
      <c r="FI239" s="1838"/>
      <c r="FJ239" s="1837"/>
      <c r="FK239" s="1838"/>
      <c r="FL239" s="1839"/>
      <c r="FM239" s="1840"/>
      <c r="FN239" s="1837"/>
      <c r="FO239" s="1838"/>
      <c r="FP239" s="1837"/>
      <c r="FQ239" s="1838"/>
      <c r="FR239" s="1839"/>
      <c r="FS239" s="1840"/>
      <c r="FT239" s="1837"/>
      <c r="FU239" s="1838"/>
      <c r="FV239" s="1837"/>
      <c r="FW239" s="1838"/>
      <c r="FX239" s="1839"/>
      <c r="FY239" s="1840"/>
      <c r="FZ239" s="1837"/>
      <c r="GA239" s="1838"/>
      <c r="GB239" s="1837"/>
      <c r="GC239" s="1838"/>
      <c r="GD239" s="1839"/>
      <c r="GE239" s="1840"/>
      <c r="GF239" s="1837"/>
      <c r="GG239" s="1838"/>
      <c r="GH239" s="1837"/>
      <c r="GI239" s="1838"/>
      <c r="GJ239" s="1839"/>
      <c r="GK239" s="1840"/>
      <c r="GL239" s="1837"/>
      <c r="GM239" s="1838"/>
      <c r="GN239" s="1837"/>
      <c r="GO239" s="1838"/>
      <c r="GP239" s="1839"/>
    </row>
    <row r="240" spans="1:198" ht="20.100000000000001" hidden="1" customHeight="1" outlineLevel="1">
      <c r="A240" s="2709"/>
      <c r="B240" s="2612"/>
      <c r="C240" s="1836">
        <v>13</v>
      </c>
      <c r="D240" s="2614" t="str">
        <f>実績!C1338&amp;"("&amp;SUBSTITUTE(実績!R1338&amp;")","株式会社 ","")</f>
        <v>農事組合法人和久楽MRC(全農山形一級建築士事務所)</v>
      </c>
      <c r="E240" s="2617"/>
      <c r="F240" s="2617"/>
      <c r="G240" s="2617"/>
      <c r="H240" s="2617"/>
      <c r="I240" s="2617"/>
      <c r="J240" s="2617"/>
      <c r="K240" s="2617"/>
      <c r="L240" s="2617"/>
      <c r="M240" s="2617"/>
      <c r="N240" s="2617"/>
      <c r="O240" s="2617"/>
      <c r="P240" s="2617"/>
      <c r="Q240" s="2617"/>
      <c r="R240" s="2622"/>
      <c r="S240" s="1837"/>
      <c r="T240" s="1837"/>
      <c r="U240" s="1838"/>
      <c r="V240" s="1837"/>
      <c r="W240" s="1838"/>
      <c r="X240" s="1839"/>
      <c r="Y240" s="1837"/>
      <c r="Z240" s="1837"/>
      <c r="AA240" s="1838"/>
      <c r="AB240" s="1837"/>
      <c r="AC240" s="1838"/>
      <c r="AD240" s="1837"/>
      <c r="AE240" s="1840"/>
      <c r="AF240" s="1837"/>
      <c r="AG240" s="1838"/>
      <c r="AH240" s="1837"/>
      <c r="AI240" s="1838"/>
      <c r="AJ240" s="1839"/>
      <c r="AK240" s="1837"/>
      <c r="AL240" s="1837"/>
      <c r="AM240" s="1838"/>
      <c r="AN240" s="1837"/>
      <c r="AO240" s="1838"/>
      <c r="AP240" s="1837"/>
      <c r="AQ240" s="1841"/>
      <c r="AR240" s="1837"/>
      <c r="AS240" s="1838"/>
      <c r="AT240" s="1837"/>
      <c r="AU240" s="1838"/>
      <c r="AV240" s="1839"/>
      <c r="AW240" s="1840"/>
      <c r="AX240" s="1837"/>
      <c r="AY240" s="1838"/>
      <c r="AZ240" s="1837"/>
      <c r="BA240" s="1838"/>
      <c r="BB240" s="1839"/>
      <c r="BC240" s="1837"/>
      <c r="BD240" s="1837"/>
      <c r="BE240" s="1838"/>
      <c r="BF240" s="1837"/>
      <c r="BG240" s="1838"/>
      <c r="BH240" s="1837"/>
      <c r="BI240" s="1840"/>
      <c r="BJ240" s="1837"/>
      <c r="BK240" s="1838"/>
      <c r="BL240" s="1837"/>
      <c r="BM240" s="1838"/>
      <c r="BN240" s="1839"/>
      <c r="BO240" s="1840"/>
      <c r="BP240" s="1837"/>
      <c r="BQ240" s="1838"/>
      <c r="BR240" s="1842"/>
      <c r="BS240" s="1838"/>
      <c r="BT240" s="1839"/>
      <c r="BU240" s="1840"/>
      <c r="BV240" s="1837"/>
      <c r="BW240" s="1838"/>
      <c r="BX240" s="1837"/>
      <c r="BY240" s="1838"/>
      <c r="BZ240" s="1839"/>
      <c r="CA240" s="1840"/>
      <c r="CB240" s="1837"/>
      <c r="CC240" s="1838"/>
      <c r="CD240" s="1837"/>
      <c r="CE240" s="1838"/>
      <c r="CF240" s="1839"/>
      <c r="CG240" s="1840"/>
      <c r="CH240" s="1837"/>
      <c r="CI240" s="1838"/>
      <c r="CJ240" s="1837"/>
      <c r="CK240" s="1838"/>
      <c r="CL240" s="1839"/>
      <c r="CM240" s="1840"/>
      <c r="CN240" s="1837"/>
      <c r="CO240" s="1838"/>
      <c r="CP240" s="1843"/>
      <c r="CQ240" s="1838"/>
      <c r="CR240" s="1839"/>
      <c r="CS240" s="1840"/>
      <c r="CT240" s="1837"/>
      <c r="CU240" s="1838"/>
      <c r="CV240" s="1837"/>
      <c r="CW240" s="1838"/>
      <c r="CX240" s="1839"/>
      <c r="CY240" s="1840"/>
      <c r="CZ240" s="1837"/>
      <c r="DA240" s="1838"/>
      <c r="DB240" s="1837"/>
      <c r="DC240" s="1838"/>
      <c r="DD240" s="1839"/>
      <c r="DE240" s="1840"/>
      <c r="DF240" s="1837"/>
      <c r="DG240" s="1838"/>
      <c r="DH240" s="1837"/>
      <c r="DI240" s="1838"/>
      <c r="DJ240" s="1839"/>
      <c r="DK240" s="1840"/>
      <c r="DL240" s="1837"/>
      <c r="DM240" s="1838"/>
      <c r="DN240" s="1837"/>
      <c r="DO240" s="1838"/>
      <c r="DP240" s="1839"/>
      <c r="DQ240" s="1840"/>
      <c r="DR240" s="1837"/>
      <c r="DS240" s="1838"/>
      <c r="DT240" s="1837"/>
      <c r="DU240" s="1838"/>
      <c r="DV240" s="1844"/>
      <c r="DW240" s="1840"/>
      <c r="DX240" s="1837"/>
      <c r="DY240" s="1838"/>
      <c r="DZ240" s="1837"/>
      <c r="EA240" s="1838"/>
      <c r="EB240" s="1844"/>
      <c r="EC240" s="1840"/>
      <c r="ED240" s="1837"/>
      <c r="EE240" s="1838"/>
      <c r="EF240" s="1837"/>
      <c r="EG240" s="1838"/>
      <c r="EH240" s="1844"/>
      <c r="EI240" s="1840"/>
      <c r="EJ240" s="1837"/>
      <c r="EK240" s="1838"/>
      <c r="EL240" s="1837"/>
      <c r="EM240" s="1838"/>
      <c r="EN240" s="1844"/>
      <c r="EO240" s="1840" t="s">
        <v>15093</v>
      </c>
      <c r="EP240" s="1837"/>
      <c r="EQ240" s="1838"/>
      <c r="ER240" s="1837"/>
      <c r="ES240" s="1838"/>
      <c r="ET240" s="1844"/>
      <c r="EU240" s="1840" t="s">
        <v>8145</v>
      </c>
      <c r="EV240" s="1837"/>
      <c r="EW240" s="1838"/>
      <c r="EX240" s="1837"/>
      <c r="EY240" s="1838"/>
      <c r="EZ240" s="1844"/>
      <c r="FA240" s="1840"/>
      <c r="FB240" s="1837"/>
      <c r="FC240" s="1838"/>
      <c r="FD240" s="1837"/>
      <c r="FE240" s="1838"/>
      <c r="FF240" s="1844"/>
      <c r="FG240" s="1840"/>
      <c r="FH240" s="1837"/>
      <c r="FI240" s="1838"/>
      <c r="FJ240" s="1837"/>
      <c r="FK240" s="1838"/>
      <c r="FL240" s="1844"/>
      <c r="FM240" s="1840"/>
      <c r="FN240" s="1837"/>
      <c r="FO240" s="1838"/>
      <c r="FP240" s="1837"/>
      <c r="FQ240" s="1838"/>
      <c r="FR240" s="1844"/>
      <c r="FS240" s="1840"/>
      <c r="FT240" s="1837"/>
      <c r="FU240" s="1838"/>
      <c r="FV240" s="1837"/>
      <c r="FW240" s="1838"/>
      <c r="FX240" s="1844"/>
      <c r="FY240" s="1840"/>
      <c r="FZ240" s="1837"/>
      <c r="GA240" s="1838"/>
      <c r="GB240" s="1837"/>
      <c r="GC240" s="1838"/>
      <c r="GD240" s="1844"/>
      <c r="GE240" s="1840"/>
      <c r="GF240" s="1837"/>
      <c r="GG240" s="1838"/>
      <c r="GH240" s="1837"/>
      <c r="GI240" s="1838"/>
      <c r="GJ240" s="1844"/>
      <c r="GK240" s="1840"/>
      <c r="GL240" s="1837"/>
      <c r="GM240" s="1838"/>
      <c r="GN240" s="1837"/>
      <c r="GO240" s="1838"/>
      <c r="GP240" s="1844"/>
    </row>
    <row r="241" spans="1:198" ht="20.100000000000001" hidden="1" customHeight="1" outlineLevel="1">
      <c r="A241" s="2709"/>
      <c r="B241" s="2612"/>
      <c r="C241" s="1836">
        <v>14</v>
      </c>
      <c r="D241" s="2614" t="str">
        <f>実績!C1347&amp;"("&amp;SUBSTITUTE(実績!R1347&amp;")"," 株式会社","")</f>
        <v>ホテルグランビュー高崎 駐車場計画(ＩＨＩ運搬機械)</v>
      </c>
      <c r="E241" s="2617"/>
      <c r="F241" s="2617"/>
      <c r="G241" s="2617"/>
      <c r="H241" s="2617"/>
      <c r="I241" s="2617"/>
      <c r="J241" s="2617"/>
      <c r="K241" s="2617"/>
      <c r="L241" s="2617"/>
      <c r="M241" s="2617"/>
      <c r="N241" s="2617"/>
      <c r="O241" s="2617"/>
      <c r="P241" s="2617"/>
      <c r="Q241" s="2617"/>
      <c r="R241" s="2622"/>
      <c r="S241" s="1837"/>
      <c r="T241" s="1837"/>
      <c r="U241" s="1838"/>
      <c r="V241" s="1837"/>
      <c r="W241" s="1838"/>
      <c r="X241" s="1839"/>
      <c r="Y241" s="1837"/>
      <c r="Z241" s="1837"/>
      <c r="AA241" s="1838"/>
      <c r="AB241" s="1837"/>
      <c r="AC241" s="1838"/>
      <c r="AD241" s="1837"/>
      <c r="AE241" s="1840"/>
      <c r="AF241" s="1837"/>
      <c r="AG241" s="1838"/>
      <c r="AH241" s="1837"/>
      <c r="AI241" s="1838"/>
      <c r="AJ241" s="1839"/>
      <c r="AK241" s="1837"/>
      <c r="AL241" s="1837"/>
      <c r="AM241" s="1838"/>
      <c r="AN241" s="1837"/>
      <c r="AO241" s="1838"/>
      <c r="AP241" s="1837"/>
      <c r="AQ241" s="1841"/>
      <c r="AR241" s="1837"/>
      <c r="AS241" s="1838"/>
      <c r="AT241" s="1837"/>
      <c r="AU241" s="1838"/>
      <c r="AV241" s="1839"/>
      <c r="AW241" s="1840"/>
      <c r="AX241" s="1837"/>
      <c r="AY241" s="1838"/>
      <c r="AZ241" s="1837"/>
      <c r="BA241" s="1838"/>
      <c r="BB241" s="1839"/>
      <c r="BC241" s="1837"/>
      <c r="BD241" s="1837"/>
      <c r="BE241" s="1838"/>
      <c r="BF241" s="1837"/>
      <c r="BG241" s="1838"/>
      <c r="BH241" s="1837"/>
      <c r="BI241" s="1840"/>
      <c r="BJ241" s="1837"/>
      <c r="BK241" s="1838"/>
      <c r="BL241" s="1837"/>
      <c r="BM241" s="1838"/>
      <c r="BN241" s="1839"/>
      <c r="BO241" s="1840"/>
      <c r="BP241" s="1837"/>
      <c r="BQ241" s="1838"/>
      <c r="BR241" s="1842"/>
      <c r="BS241" s="1838"/>
      <c r="BT241" s="1839"/>
      <c r="BU241" s="1840"/>
      <c r="BV241" s="1837"/>
      <c r="BW241" s="1838"/>
      <c r="BX241" s="1837"/>
      <c r="BY241" s="1838"/>
      <c r="BZ241" s="1839"/>
      <c r="CA241" s="1840"/>
      <c r="CB241" s="1837"/>
      <c r="CC241" s="1838"/>
      <c r="CD241" s="1837"/>
      <c r="CE241" s="1838"/>
      <c r="CF241" s="1839"/>
      <c r="CG241" s="1840"/>
      <c r="CH241" s="1837"/>
      <c r="CI241" s="1838"/>
      <c r="CJ241" s="1837"/>
      <c r="CK241" s="1838"/>
      <c r="CL241" s="1839"/>
      <c r="CM241" s="1840"/>
      <c r="CN241" s="1837"/>
      <c r="CO241" s="1838"/>
      <c r="CP241" s="1843"/>
      <c r="CQ241" s="1838"/>
      <c r="CR241" s="1839"/>
      <c r="CS241" s="1840"/>
      <c r="CT241" s="1837"/>
      <c r="CU241" s="1838"/>
      <c r="CV241" s="1837"/>
      <c r="CW241" s="1838"/>
      <c r="CX241" s="1839"/>
      <c r="CY241" s="1840"/>
      <c r="CZ241" s="1837"/>
      <c r="DA241" s="1838"/>
      <c r="DB241" s="1837"/>
      <c r="DC241" s="1838"/>
      <c r="DD241" s="1839"/>
      <c r="DE241" s="1840"/>
      <c r="DF241" s="1837"/>
      <c r="DG241" s="1838"/>
      <c r="DH241" s="1837"/>
      <c r="DI241" s="1838"/>
      <c r="DJ241" s="1839"/>
      <c r="DK241" s="1840"/>
      <c r="DL241" s="1837"/>
      <c r="DM241" s="1838"/>
      <c r="DN241" s="1837"/>
      <c r="DO241" s="1838"/>
      <c r="DP241" s="1839" t="s">
        <v>13928</v>
      </c>
      <c r="DQ241" s="1840"/>
      <c r="DR241" s="1837"/>
      <c r="DS241" s="1838"/>
      <c r="DT241" s="1837"/>
      <c r="DU241" s="1838"/>
      <c r="DV241" s="1839"/>
      <c r="DW241" s="1840"/>
      <c r="DX241" s="1837"/>
      <c r="DY241" s="1838"/>
      <c r="DZ241" s="1837"/>
      <c r="EA241" s="1838"/>
      <c r="EB241" s="1839"/>
      <c r="EC241" s="1840" t="s">
        <v>15146</v>
      </c>
      <c r="ED241" s="1837"/>
      <c r="EE241" s="1838"/>
      <c r="EF241" s="1837"/>
      <c r="EG241" s="1838"/>
      <c r="EH241" s="1839"/>
      <c r="EI241" s="1840"/>
      <c r="EJ241" s="1837"/>
      <c r="EK241" s="1838"/>
      <c r="EL241" s="1837"/>
      <c r="EM241" s="1838"/>
      <c r="EN241" s="1839"/>
      <c r="EO241" s="1840"/>
      <c r="EP241" s="1837"/>
      <c r="EQ241" s="1838"/>
      <c r="ER241" s="1837"/>
      <c r="ES241" s="1838"/>
      <c r="ET241" s="1839"/>
      <c r="EU241" s="1840"/>
      <c r="EV241" s="1837"/>
      <c r="EW241" s="1838"/>
      <c r="EX241" s="1837"/>
      <c r="EY241" s="1838"/>
      <c r="EZ241" s="1839"/>
      <c r="FA241" s="1840"/>
      <c r="FB241" s="1837"/>
      <c r="FC241" s="1838"/>
      <c r="FD241" s="1837"/>
      <c r="FE241" s="1838"/>
      <c r="FF241" s="1839"/>
      <c r="FG241" s="1840"/>
      <c r="FH241" s="1837"/>
      <c r="FI241" s="1838"/>
      <c r="FJ241" s="1837"/>
      <c r="FK241" s="1838"/>
      <c r="FL241" s="1839"/>
      <c r="FM241" s="1840"/>
      <c r="FN241" s="1837"/>
      <c r="FO241" s="1838"/>
      <c r="FP241" s="1837"/>
      <c r="FQ241" s="1838"/>
      <c r="FR241" s="1839"/>
      <c r="FS241" s="1840"/>
      <c r="FT241" s="1837"/>
      <c r="FU241" s="1838"/>
      <c r="FV241" s="1837"/>
      <c r="FW241" s="1838"/>
      <c r="FX241" s="1839"/>
      <c r="FY241" s="1840"/>
      <c r="FZ241" s="1837"/>
      <c r="GA241" s="1838"/>
      <c r="GB241" s="1837"/>
      <c r="GC241" s="1838"/>
      <c r="GD241" s="1839"/>
      <c r="GE241" s="1840"/>
      <c r="GF241" s="1837"/>
      <c r="GG241" s="1838"/>
      <c r="GH241" s="1837"/>
      <c r="GI241" s="1838"/>
      <c r="GJ241" s="1839"/>
      <c r="GK241" s="1840"/>
      <c r="GL241" s="1837"/>
      <c r="GM241" s="1838"/>
      <c r="GN241" s="1837"/>
      <c r="GO241" s="1838"/>
      <c r="GP241" s="1839"/>
    </row>
    <row r="242" spans="1:198" ht="20.100000000000001" hidden="1" customHeight="1" outlineLevel="1" collapsed="1">
      <c r="A242" s="2709"/>
      <c r="B242" s="2612"/>
      <c r="C242" s="1836">
        <v>15</v>
      </c>
      <c r="D242" s="2614" t="str">
        <f>実績!C1350&amp;"("&amp;SUBSTITUTE(実績!W1350&amp;")","株式会社 ","")</f>
        <v>オート化学工業株式会社 北茨城工場 倉庫(横河システム建築)</v>
      </c>
      <c r="E242" s="2617"/>
      <c r="F242" s="2617"/>
      <c r="G242" s="2617"/>
      <c r="H242" s="2617"/>
      <c r="I242" s="2617"/>
      <c r="J242" s="2617"/>
      <c r="K242" s="2617"/>
      <c r="L242" s="2617"/>
      <c r="M242" s="2617"/>
      <c r="N242" s="2617"/>
      <c r="O242" s="2617"/>
      <c r="P242" s="2617"/>
      <c r="Q242" s="2617"/>
      <c r="R242" s="2622"/>
      <c r="S242" s="1837"/>
      <c r="T242" s="1837"/>
      <c r="U242" s="1837"/>
      <c r="V242" s="1837"/>
      <c r="W242" s="1837"/>
      <c r="X242" s="1837"/>
      <c r="Y242" s="1837"/>
      <c r="Z242" s="1837"/>
      <c r="AA242" s="1837"/>
      <c r="AB242" s="1837"/>
      <c r="AC242" s="1837"/>
      <c r="AD242" s="1837"/>
      <c r="AE242" s="1837"/>
      <c r="AF242" s="1837"/>
      <c r="AG242" s="1837"/>
      <c r="AH242" s="1837"/>
      <c r="AI242" s="1837"/>
      <c r="AJ242" s="1837"/>
      <c r="AK242" s="1837"/>
      <c r="AL242" s="1837"/>
      <c r="AM242" s="1837"/>
      <c r="AN242" s="1837"/>
      <c r="AO242" s="1837"/>
      <c r="AP242" s="1837"/>
      <c r="AQ242" s="1837"/>
      <c r="AR242" s="1837"/>
      <c r="AS242" s="1837"/>
      <c r="AT242" s="1837"/>
      <c r="AU242" s="1837"/>
      <c r="AV242" s="1837"/>
      <c r="AW242" s="1837"/>
      <c r="AX242" s="1837"/>
      <c r="AY242" s="1837"/>
      <c r="AZ242" s="1837"/>
      <c r="BA242" s="1837"/>
      <c r="BB242" s="1837"/>
      <c r="BC242" s="1837"/>
      <c r="BD242" s="1837"/>
      <c r="BE242" s="1837"/>
      <c r="BF242" s="1837"/>
      <c r="BG242" s="1837"/>
      <c r="BH242" s="1837"/>
      <c r="BI242" s="1837"/>
      <c r="BJ242" s="1837"/>
      <c r="BK242" s="1837"/>
      <c r="BL242" s="1837"/>
      <c r="BM242" s="1837"/>
      <c r="BN242" s="1837"/>
      <c r="BO242" s="1837"/>
      <c r="BP242" s="1837"/>
      <c r="BQ242" s="1837"/>
      <c r="BR242" s="1837"/>
      <c r="BS242" s="1837"/>
      <c r="BT242" s="1837"/>
      <c r="BU242" s="1837"/>
      <c r="BV242" s="1837"/>
      <c r="BW242" s="1837"/>
      <c r="BX242" s="1837"/>
      <c r="BY242" s="1837"/>
      <c r="BZ242" s="1837"/>
      <c r="CA242" s="1837"/>
      <c r="CB242" s="1837"/>
      <c r="CC242" s="1837"/>
      <c r="CD242" s="1837"/>
      <c r="CE242" s="1837"/>
      <c r="CF242" s="1837"/>
      <c r="CG242" s="1837"/>
      <c r="CH242" s="1837"/>
      <c r="CI242" s="1837"/>
      <c r="CJ242" s="1837"/>
      <c r="CK242" s="1837"/>
      <c r="CL242" s="1837"/>
      <c r="CM242" s="1837"/>
      <c r="CN242" s="1837"/>
      <c r="CO242" s="1837"/>
      <c r="CP242" s="1843"/>
      <c r="CQ242" s="1837"/>
      <c r="CR242" s="1837"/>
      <c r="CS242" s="1837"/>
      <c r="CT242" s="1837"/>
      <c r="CU242" s="1837"/>
      <c r="CV242" s="1837"/>
      <c r="CW242" s="1837"/>
      <c r="CX242" s="1837"/>
      <c r="CY242" s="1840"/>
      <c r="CZ242" s="1837"/>
      <c r="DA242" s="1838"/>
      <c r="DB242" s="1837"/>
      <c r="DC242" s="1838"/>
      <c r="DD242" s="1839"/>
      <c r="DE242" s="1840"/>
      <c r="DF242" s="1837"/>
      <c r="DG242" s="1838"/>
      <c r="DH242" s="1837"/>
      <c r="DI242" s="1838"/>
      <c r="DJ242" s="1844"/>
      <c r="DK242" s="1840"/>
      <c r="DL242" s="1837"/>
      <c r="DM242" s="1838"/>
      <c r="DN242" s="1837"/>
      <c r="DO242" s="1838"/>
      <c r="DP242" s="1839"/>
      <c r="DQ242" s="1840" t="s">
        <v>8250</v>
      </c>
      <c r="DR242" s="1837"/>
      <c r="DS242" s="1838"/>
      <c r="DT242" s="1837"/>
      <c r="DU242" s="1838"/>
      <c r="DV242" s="1844"/>
      <c r="DW242" s="1840"/>
      <c r="DX242" s="1837"/>
      <c r="DY242" s="1838"/>
      <c r="DZ242" s="1837"/>
      <c r="EA242" s="1838"/>
      <c r="EB242" s="1844"/>
      <c r="EC242" s="1840"/>
      <c r="ED242" s="1837"/>
      <c r="EE242" s="1838"/>
      <c r="EF242" s="1837"/>
      <c r="EG242" s="1838"/>
      <c r="EH242" s="1844"/>
      <c r="EI242" s="1840"/>
      <c r="EJ242" s="1837"/>
      <c r="EK242" s="1838"/>
      <c r="EL242" s="1837"/>
      <c r="EM242" s="1838"/>
      <c r="EN242" s="1844"/>
      <c r="EO242" s="1840"/>
      <c r="EP242" s="1837"/>
      <c r="EQ242" s="1838"/>
      <c r="ER242" s="1837"/>
      <c r="ES242" s="1838"/>
      <c r="ET242" s="1844"/>
      <c r="EU242" s="1840"/>
      <c r="EV242" s="1837"/>
      <c r="EW242" s="1838"/>
      <c r="EX242" s="1837"/>
      <c r="EY242" s="1838"/>
      <c r="EZ242" s="1844"/>
      <c r="FA242" s="1840"/>
      <c r="FB242" s="1837"/>
      <c r="FC242" s="1838"/>
      <c r="FD242" s="1837"/>
      <c r="FE242" s="1838"/>
      <c r="FF242" s="1844"/>
      <c r="FG242" s="1840"/>
      <c r="FH242" s="1837"/>
      <c r="FI242" s="1838"/>
      <c r="FJ242" s="1837"/>
      <c r="FK242" s="1838"/>
      <c r="FL242" s="1844"/>
      <c r="FM242" s="1840"/>
      <c r="FN242" s="1837"/>
      <c r="FO242" s="1838"/>
      <c r="FP242" s="1837"/>
      <c r="FQ242" s="1838"/>
      <c r="FR242" s="1844"/>
      <c r="FS242" s="1840"/>
      <c r="FT242" s="1837"/>
      <c r="FU242" s="1838"/>
      <c r="FV242" s="1837"/>
      <c r="FW242" s="1838"/>
      <c r="FX242" s="1844"/>
      <c r="FY242" s="1840"/>
      <c r="FZ242" s="1837"/>
      <c r="GA242" s="1838"/>
      <c r="GB242" s="1837"/>
      <c r="GC242" s="1838"/>
      <c r="GD242" s="1844"/>
      <c r="GE242" s="1840"/>
      <c r="GF242" s="1837"/>
      <c r="GG242" s="1838"/>
      <c r="GH242" s="1837"/>
      <c r="GI242" s="1838"/>
      <c r="GJ242" s="1844"/>
      <c r="GK242" s="1840"/>
      <c r="GL242" s="1837"/>
      <c r="GM242" s="1838"/>
      <c r="GN242" s="1837"/>
      <c r="GO242" s="1838"/>
      <c r="GP242" s="1844"/>
    </row>
    <row r="243" spans="1:198" ht="20.100000000000001" hidden="1" customHeight="1" outlineLevel="1">
      <c r="A243" s="2709"/>
      <c r="B243" s="2612"/>
      <c r="C243" s="1836">
        <v>16</v>
      </c>
      <c r="D243" s="2614" t="str">
        <f>実績!C1345&amp;"("&amp;SUBSTITUTE(実績!R1345&amp;")","株式会社 ","")</f>
        <v>ダイハツ北海道販売㈱岩見沢(ア・ド建築工房)</v>
      </c>
      <c r="E243" s="2617"/>
      <c r="F243" s="2617"/>
      <c r="G243" s="2617"/>
      <c r="H243" s="2617"/>
      <c r="I243" s="2617"/>
      <c r="J243" s="2617"/>
      <c r="K243" s="2617"/>
      <c r="L243" s="2617"/>
      <c r="M243" s="2617"/>
      <c r="N243" s="2617"/>
      <c r="O243" s="2617"/>
      <c r="P243" s="2617"/>
      <c r="Q243" s="2617"/>
      <c r="R243" s="2622"/>
      <c r="S243" s="1837"/>
      <c r="T243" s="1837"/>
      <c r="U243" s="1837"/>
      <c r="V243" s="1837"/>
      <c r="W243" s="1837"/>
      <c r="X243" s="1837"/>
      <c r="Y243" s="1837"/>
      <c r="Z243" s="1837"/>
      <c r="AA243" s="1837"/>
      <c r="AB243" s="1837"/>
      <c r="AC243" s="1837"/>
      <c r="AD243" s="1837"/>
      <c r="AE243" s="1837"/>
      <c r="AF243" s="1837"/>
      <c r="AG243" s="1837"/>
      <c r="AH243" s="1837"/>
      <c r="AI243" s="1837"/>
      <c r="AJ243" s="1837"/>
      <c r="AK243" s="1837"/>
      <c r="AL243" s="1837"/>
      <c r="AM243" s="1837"/>
      <c r="AN243" s="1837"/>
      <c r="AO243" s="1837"/>
      <c r="AP243" s="1837"/>
      <c r="AQ243" s="1837"/>
      <c r="AR243" s="1837"/>
      <c r="AS243" s="1837"/>
      <c r="AT243" s="1837"/>
      <c r="AU243" s="1837"/>
      <c r="AV243" s="1837"/>
      <c r="AW243" s="1837"/>
      <c r="AX243" s="1837"/>
      <c r="AY243" s="1837"/>
      <c r="AZ243" s="1837"/>
      <c r="BA243" s="1837"/>
      <c r="BB243" s="1837"/>
      <c r="BC243" s="1837"/>
      <c r="BD243" s="1837"/>
      <c r="BE243" s="1837"/>
      <c r="BF243" s="1837"/>
      <c r="BG243" s="1837"/>
      <c r="BH243" s="1837"/>
      <c r="BI243" s="1837"/>
      <c r="BJ243" s="1837"/>
      <c r="BK243" s="1837"/>
      <c r="BL243" s="1837"/>
      <c r="BM243" s="1837"/>
      <c r="BN243" s="1837"/>
      <c r="BO243" s="1837"/>
      <c r="BP243" s="1837"/>
      <c r="BQ243" s="1837"/>
      <c r="BR243" s="1837"/>
      <c r="BS243" s="1837"/>
      <c r="BT243" s="1837"/>
      <c r="BU243" s="1837"/>
      <c r="BV243" s="1837"/>
      <c r="BW243" s="1837"/>
      <c r="BX243" s="1837"/>
      <c r="BY243" s="1837"/>
      <c r="BZ243" s="1837"/>
      <c r="CA243" s="1837"/>
      <c r="CB243" s="1837"/>
      <c r="CC243" s="1837"/>
      <c r="CD243" s="1837"/>
      <c r="CE243" s="1837"/>
      <c r="CF243" s="1837"/>
      <c r="CG243" s="1837"/>
      <c r="CH243" s="1837"/>
      <c r="CI243" s="1837"/>
      <c r="CJ243" s="1837"/>
      <c r="CK243" s="1837"/>
      <c r="CL243" s="1837"/>
      <c r="CM243" s="1837"/>
      <c r="CN243" s="1837"/>
      <c r="CO243" s="1837"/>
      <c r="CP243" s="1843"/>
      <c r="CQ243" s="1837"/>
      <c r="CR243" s="1837"/>
      <c r="CS243" s="1837"/>
      <c r="CT243" s="1837"/>
      <c r="CU243" s="1837"/>
      <c r="CV243" s="1837"/>
      <c r="CW243" s="1837"/>
      <c r="CX243" s="1837"/>
      <c r="CY243" s="1840"/>
      <c r="CZ243" s="1837"/>
      <c r="DA243" s="1838"/>
      <c r="DB243" s="1837"/>
      <c r="DC243" s="1838"/>
      <c r="DD243" s="1839"/>
      <c r="DE243" s="1840"/>
      <c r="DF243" s="1837"/>
      <c r="DG243" s="1838"/>
      <c r="DH243" s="1837"/>
      <c r="DI243" s="1838"/>
      <c r="DJ243" s="1844"/>
      <c r="DK243" s="1840"/>
      <c r="DL243" s="1837"/>
      <c r="DM243" s="1838"/>
      <c r="DN243" s="1837"/>
      <c r="DO243" s="1838"/>
      <c r="DP243" s="1839"/>
      <c r="DQ243" s="1840" t="s">
        <v>15373</v>
      </c>
      <c r="DR243" s="1837"/>
      <c r="DS243" s="1838"/>
      <c r="DT243" s="1837"/>
      <c r="DU243" s="1838" t="s">
        <v>15108</v>
      </c>
      <c r="DV243" s="1844"/>
      <c r="DW243" s="1840"/>
      <c r="DX243" s="1837"/>
      <c r="DY243" s="1838"/>
      <c r="DZ243" s="1837"/>
      <c r="EA243" s="1838"/>
      <c r="EB243" s="1844"/>
      <c r="EC243" s="1840"/>
      <c r="ED243" s="1837"/>
      <c r="EE243" s="1838"/>
      <c r="EF243" s="1837"/>
      <c r="EG243" s="1838"/>
      <c r="EH243" s="1844"/>
      <c r="EI243" s="1840"/>
      <c r="EJ243" s="1837"/>
      <c r="EK243" s="1838"/>
      <c r="EL243" s="1837"/>
      <c r="EM243" s="1838"/>
      <c r="EN243" s="1844"/>
      <c r="EO243" s="1840"/>
      <c r="EP243" s="1837"/>
      <c r="EQ243" s="1838"/>
      <c r="ER243" s="1837"/>
      <c r="ES243" s="1838"/>
      <c r="ET243" s="1844"/>
      <c r="EU243" s="1840"/>
      <c r="EV243" s="1837"/>
      <c r="EW243" s="1838"/>
      <c r="EX243" s="1837"/>
      <c r="EY243" s="1838"/>
      <c r="EZ243" s="1844"/>
      <c r="FA243" s="1840"/>
      <c r="FB243" s="1837"/>
      <c r="FC243" s="1838"/>
      <c r="FD243" s="1837"/>
      <c r="FE243" s="1838"/>
      <c r="FF243" s="1844"/>
      <c r="FG243" s="1840"/>
      <c r="FH243" s="1837"/>
      <c r="FI243" s="1838"/>
      <c r="FJ243" s="1837"/>
      <c r="FK243" s="1838"/>
      <c r="FL243" s="1844"/>
      <c r="FM243" s="1840"/>
      <c r="FN243" s="1837"/>
      <c r="FO243" s="1838"/>
      <c r="FP243" s="1837"/>
      <c r="FQ243" s="1838"/>
      <c r="FR243" s="1844"/>
      <c r="FS243" s="1840"/>
      <c r="FT243" s="1837"/>
      <c r="FU243" s="1838"/>
      <c r="FV243" s="1837"/>
      <c r="FW243" s="1838"/>
      <c r="FX243" s="1844"/>
      <c r="FY243" s="1840"/>
      <c r="FZ243" s="1837"/>
      <c r="GA243" s="1838"/>
      <c r="GB243" s="1837"/>
      <c r="GC243" s="1838"/>
      <c r="GD243" s="1844"/>
      <c r="GE243" s="1840"/>
      <c r="GF243" s="1837"/>
      <c r="GG243" s="1838"/>
      <c r="GH243" s="1837"/>
      <c r="GI243" s="1838"/>
      <c r="GJ243" s="1844"/>
      <c r="GK243" s="1840"/>
      <c r="GL243" s="1837"/>
      <c r="GM243" s="1838"/>
      <c r="GN243" s="1837"/>
      <c r="GO243" s="1838"/>
      <c r="GP243" s="1844"/>
    </row>
    <row r="244" spans="1:198" ht="20.100000000000001" hidden="1" customHeight="1" outlineLevel="1">
      <c r="A244" s="2709"/>
      <c r="B244" s="2612"/>
      <c r="C244" s="1836">
        <v>1</v>
      </c>
      <c r="D244" s="2614" t="str">
        <f>実績!C1331&amp;"("&amp;SUBSTITUTE(実績!R1331&amp;")","株式会社 ","")</f>
        <v>薬王堂 角館下菅沢(樹設計工房)</v>
      </c>
      <c r="E244" s="2617"/>
      <c r="F244" s="2617"/>
      <c r="G244" s="2617"/>
      <c r="H244" s="2617"/>
      <c r="I244" s="2617"/>
      <c r="J244" s="2617"/>
      <c r="K244" s="2617"/>
      <c r="L244" s="2617"/>
      <c r="M244" s="2617"/>
      <c r="N244" s="2617"/>
      <c r="O244" s="2617"/>
      <c r="P244" s="2617"/>
      <c r="Q244" s="2617"/>
      <c r="R244" s="2622"/>
      <c r="S244" s="1837"/>
      <c r="T244" s="1837"/>
      <c r="U244" s="1838"/>
      <c r="V244" s="1837"/>
      <c r="W244" s="1838"/>
      <c r="X244" s="1839"/>
      <c r="Y244" s="1837"/>
      <c r="Z244" s="1837"/>
      <c r="AA244" s="1838"/>
      <c r="AB244" s="1837"/>
      <c r="AC244" s="1838"/>
      <c r="AD244" s="1837"/>
      <c r="AE244" s="1840"/>
      <c r="AF244" s="1837"/>
      <c r="AG244" s="1838"/>
      <c r="AH244" s="1837"/>
      <c r="AI244" s="1838"/>
      <c r="AJ244" s="1839"/>
      <c r="AK244" s="1837"/>
      <c r="AL244" s="1837"/>
      <c r="AM244" s="1838"/>
      <c r="AN244" s="1837"/>
      <c r="AO244" s="1838"/>
      <c r="AP244" s="1837"/>
      <c r="AQ244" s="1841"/>
      <c r="AR244" s="1837"/>
      <c r="AS244" s="1838"/>
      <c r="AT244" s="1837"/>
      <c r="AU244" s="1838"/>
      <c r="AV244" s="1839"/>
      <c r="AW244" s="1840"/>
      <c r="AX244" s="1837"/>
      <c r="AY244" s="1838"/>
      <c r="AZ244" s="1837"/>
      <c r="BA244" s="1838"/>
      <c r="BB244" s="1839"/>
      <c r="BC244" s="1837"/>
      <c r="BD244" s="1837"/>
      <c r="BE244" s="1838"/>
      <c r="BF244" s="1837"/>
      <c r="BG244" s="1838"/>
      <c r="BH244" s="1837"/>
      <c r="BI244" s="1840"/>
      <c r="BJ244" s="1837"/>
      <c r="BK244" s="1838"/>
      <c r="BL244" s="1837"/>
      <c r="BM244" s="1838"/>
      <c r="BN244" s="1839"/>
      <c r="BO244" s="1840"/>
      <c r="BP244" s="1837"/>
      <c r="BQ244" s="1838"/>
      <c r="BR244" s="1842"/>
      <c r="BS244" s="1838"/>
      <c r="BT244" s="1839"/>
      <c r="BU244" s="1840"/>
      <c r="BV244" s="1837"/>
      <c r="BW244" s="1838"/>
      <c r="BX244" s="1837"/>
      <c r="BY244" s="1838"/>
      <c r="BZ244" s="1839"/>
      <c r="CA244" s="1840"/>
      <c r="CB244" s="1837"/>
      <c r="CC244" s="1838"/>
      <c r="CD244" s="1837"/>
      <c r="CE244" s="1838"/>
      <c r="CF244" s="1839"/>
      <c r="CG244" s="1840"/>
      <c r="CH244" s="1837"/>
      <c r="CI244" s="1838"/>
      <c r="CJ244" s="1837"/>
      <c r="CK244" s="1838"/>
      <c r="CL244" s="1839"/>
      <c r="CM244" s="1840"/>
      <c r="CN244" s="1837"/>
      <c r="CO244" s="1838"/>
      <c r="CP244" s="1843"/>
      <c r="CQ244" s="1838"/>
      <c r="CR244" s="1839"/>
      <c r="CS244" s="1840"/>
      <c r="CT244" s="1837"/>
      <c r="CU244" s="1838"/>
      <c r="CV244" s="1837"/>
      <c r="CW244" s="1838"/>
      <c r="CX244" s="1839"/>
      <c r="CY244" s="1840"/>
      <c r="CZ244" s="1837"/>
      <c r="DA244" s="1838"/>
      <c r="DB244" s="1837"/>
      <c r="DC244" s="1838"/>
      <c r="DD244" s="1839"/>
      <c r="DE244" s="1840"/>
      <c r="DF244" s="1837"/>
      <c r="DG244" s="1838"/>
      <c r="DH244" s="1837"/>
      <c r="DI244" s="1838"/>
      <c r="DJ244" s="1839"/>
      <c r="DK244" s="1840"/>
      <c r="DL244" s="1837"/>
      <c r="DM244" s="1838"/>
      <c r="DN244" s="1837"/>
      <c r="DO244" s="1838"/>
      <c r="DP244" s="1839"/>
      <c r="DQ244" s="1840" t="s">
        <v>15364</v>
      </c>
      <c r="DR244" s="1837"/>
      <c r="DS244" s="1838"/>
      <c r="DT244" s="1837"/>
      <c r="DU244" s="1838"/>
      <c r="DV244" s="1839"/>
      <c r="DW244" s="1840"/>
      <c r="DX244" s="1837"/>
      <c r="DY244" s="1838"/>
      <c r="DZ244" s="1837"/>
      <c r="EA244" s="1838"/>
      <c r="EB244" s="1839"/>
      <c r="EC244" s="1840"/>
      <c r="ED244" s="1837"/>
      <c r="EE244" s="1838"/>
      <c r="EF244" s="1837"/>
      <c r="EG244" s="1838"/>
      <c r="EH244" s="1839"/>
      <c r="EI244" s="1840"/>
      <c r="EJ244" s="1837"/>
      <c r="EK244" s="1838"/>
      <c r="EL244" s="1837"/>
      <c r="EM244" s="1838"/>
      <c r="EN244" s="1839"/>
      <c r="EO244" s="1840"/>
      <c r="EP244" s="1837"/>
      <c r="EQ244" s="1838"/>
      <c r="ER244" s="1837"/>
      <c r="ES244" s="1838"/>
      <c r="ET244" s="1839"/>
      <c r="EU244" s="1840"/>
      <c r="EV244" s="1837"/>
      <c r="EW244" s="1838"/>
      <c r="EX244" s="1837"/>
      <c r="EY244" s="1838"/>
      <c r="EZ244" s="1839"/>
      <c r="FA244" s="1840"/>
      <c r="FB244" s="1837"/>
      <c r="FC244" s="1838"/>
      <c r="FD244" s="1837"/>
      <c r="FE244" s="1838"/>
      <c r="FF244" s="1839"/>
      <c r="FG244" s="1840"/>
      <c r="FH244" s="1837"/>
      <c r="FI244" s="1838"/>
      <c r="FJ244" s="1837"/>
      <c r="FK244" s="1838"/>
      <c r="FL244" s="1839"/>
      <c r="FM244" s="1840"/>
      <c r="FN244" s="1837"/>
      <c r="FO244" s="1838"/>
      <c r="FP244" s="1837"/>
      <c r="FQ244" s="1838"/>
      <c r="FR244" s="1839"/>
      <c r="FS244" s="1840"/>
      <c r="FT244" s="1837"/>
      <c r="FU244" s="1838"/>
      <c r="FV244" s="1837"/>
      <c r="FW244" s="1838"/>
      <c r="FX244" s="1839"/>
      <c r="FY244" s="1840"/>
      <c r="FZ244" s="1837"/>
      <c r="GA244" s="1838"/>
      <c r="GB244" s="1837"/>
      <c r="GC244" s="1838"/>
      <c r="GD244" s="1839"/>
      <c r="GE244" s="1840"/>
      <c r="GF244" s="1837"/>
      <c r="GG244" s="1838"/>
      <c r="GH244" s="1837"/>
      <c r="GI244" s="1838"/>
      <c r="GJ244" s="1839"/>
      <c r="GK244" s="1840"/>
      <c r="GL244" s="1837"/>
      <c r="GM244" s="1838"/>
      <c r="GN244" s="1837"/>
      <c r="GO244" s="1838"/>
      <c r="GP244" s="1839"/>
    </row>
    <row r="245" spans="1:198" ht="20.100000000000001" hidden="1" customHeight="1" outlineLevel="1">
      <c r="A245" s="2709"/>
      <c r="B245" s="2612"/>
      <c r="C245" s="1836">
        <v>2</v>
      </c>
      <c r="D245" s="2614" t="str">
        <f>実績!C1352&amp;"("&amp;SUBSTITUTE(実績!R1352&amp;")"," 株式会社","")</f>
        <v>松岡 大阪南港第二物流センター(雄健工業)</v>
      </c>
      <c r="E245" s="2617"/>
      <c r="F245" s="2617"/>
      <c r="G245" s="2617"/>
      <c r="H245" s="2617"/>
      <c r="I245" s="2617"/>
      <c r="J245" s="2617"/>
      <c r="K245" s="2617"/>
      <c r="L245" s="2617"/>
      <c r="M245" s="2617"/>
      <c r="N245" s="2617"/>
      <c r="O245" s="2617"/>
      <c r="P245" s="2617"/>
      <c r="Q245" s="2617"/>
      <c r="R245" s="2622"/>
      <c r="S245" s="1837"/>
      <c r="T245" s="1837"/>
      <c r="U245" s="1838"/>
      <c r="V245" s="1837"/>
      <c r="W245" s="1838"/>
      <c r="X245" s="1839"/>
      <c r="Y245" s="1837"/>
      <c r="Z245" s="1837"/>
      <c r="AA245" s="1838"/>
      <c r="AB245" s="1837"/>
      <c r="AC245" s="1838"/>
      <c r="AD245" s="1837"/>
      <c r="AE245" s="1840"/>
      <c r="AF245" s="1837"/>
      <c r="AG245" s="1838"/>
      <c r="AH245" s="1837"/>
      <c r="AI245" s="1838"/>
      <c r="AJ245" s="1839"/>
      <c r="AK245" s="1837"/>
      <c r="AL245" s="1837"/>
      <c r="AM245" s="1838"/>
      <c r="AN245" s="1837"/>
      <c r="AO245" s="1838"/>
      <c r="AP245" s="1837"/>
      <c r="AQ245" s="1841"/>
      <c r="AR245" s="1837"/>
      <c r="AS245" s="1838"/>
      <c r="AT245" s="1837"/>
      <c r="AU245" s="1838"/>
      <c r="AV245" s="1839"/>
      <c r="AW245" s="1840"/>
      <c r="AX245" s="1837"/>
      <c r="AY245" s="1838"/>
      <c r="AZ245" s="1837"/>
      <c r="BA245" s="1838"/>
      <c r="BB245" s="1839"/>
      <c r="BC245" s="1837"/>
      <c r="BD245" s="1837"/>
      <c r="BE245" s="1838"/>
      <c r="BF245" s="1837"/>
      <c r="BG245" s="1838"/>
      <c r="BH245" s="1837"/>
      <c r="BI245" s="1840"/>
      <c r="BJ245" s="1837"/>
      <c r="BK245" s="1838"/>
      <c r="BL245" s="1837"/>
      <c r="BM245" s="1838"/>
      <c r="BN245" s="1839"/>
      <c r="BO245" s="1840"/>
      <c r="BP245" s="1837"/>
      <c r="BQ245" s="1838"/>
      <c r="BR245" s="1842"/>
      <c r="BS245" s="1838"/>
      <c r="BT245" s="1839"/>
      <c r="BU245" s="1840"/>
      <c r="BV245" s="1837"/>
      <c r="BW245" s="1838"/>
      <c r="BX245" s="1837"/>
      <c r="BY245" s="1838"/>
      <c r="BZ245" s="1839"/>
      <c r="CA245" s="1840"/>
      <c r="CB245" s="1837"/>
      <c r="CC245" s="1838"/>
      <c r="CD245" s="1837"/>
      <c r="CE245" s="1838"/>
      <c r="CF245" s="1839"/>
      <c r="CG245" s="1840"/>
      <c r="CH245" s="1837"/>
      <c r="CI245" s="1838"/>
      <c r="CJ245" s="1837"/>
      <c r="CK245" s="1838"/>
      <c r="CL245" s="1839"/>
      <c r="CM245" s="1840"/>
      <c r="CN245" s="1837"/>
      <c r="CO245" s="1838"/>
      <c r="CP245" s="1843"/>
      <c r="CQ245" s="1838"/>
      <c r="CR245" s="1839"/>
      <c r="CS245" s="1840"/>
      <c r="CT245" s="1837"/>
      <c r="CU245" s="1838"/>
      <c r="CV245" s="1837"/>
      <c r="CW245" s="1838"/>
      <c r="CX245" s="1839"/>
      <c r="CY245" s="1840"/>
      <c r="CZ245" s="1837"/>
      <c r="DA245" s="1838"/>
      <c r="DB245" s="1837"/>
      <c r="DC245" s="1838"/>
      <c r="DD245" s="1839"/>
      <c r="DE245" s="1840"/>
      <c r="DF245" s="1837"/>
      <c r="DG245" s="1838"/>
      <c r="DH245" s="1837"/>
      <c r="DI245" s="1838"/>
      <c r="DJ245" s="1839"/>
      <c r="DK245" s="1840"/>
      <c r="DL245" s="1837"/>
      <c r="DM245" s="1838"/>
      <c r="DN245" s="1837"/>
      <c r="DO245" s="1838"/>
      <c r="DP245" s="1839"/>
      <c r="DQ245" s="1840" t="s">
        <v>9815</v>
      </c>
      <c r="DR245" s="1837"/>
      <c r="DS245" s="1838"/>
      <c r="DT245" s="1837"/>
      <c r="DU245" s="1838"/>
      <c r="DV245" s="1839"/>
      <c r="DW245" s="1840"/>
      <c r="DX245" s="1837"/>
      <c r="DY245" s="1838"/>
      <c r="DZ245" s="1837"/>
      <c r="EA245" s="1838"/>
      <c r="EB245" s="1839"/>
      <c r="EC245" s="1840"/>
      <c r="ED245" s="1837"/>
      <c r="EE245" s="1838"/>
      <c r="EF245" s="1837"/>
      <c r="EG245" s="1838"/>
      <c r="EH245" s="1839"/>
      <c r="EI245" s="1840"/>
      <c r="EJ245" s="1837"/>
      <c r="EK245" s="1838"/>
      <c r="EL245" s="1837"/>
      <c r="EM245" s="1838"/>
      <c r="EN245" s="1839"/>
      <c r="EO245" s="1840" t="s">
        <v>15397</v>
      </c>
      <c r="EP245" s="1837"/>
      <c r="EQ245" s="1838"/>
      <c r="ER245" s="1837"/>
      <c r="ES245" s="1838"/>
      <c r="ET245" s="1839"/>
      <c r="EU245" s="1840" t="s">
        <v>8145</v>
      </c>
      <c r="EV245" s="1837"/>
      <c r="EW245" s="1838"/>
      <c r="EX245" s="1837"/>
      <c r="EY245" s="1838"/>
      <c r="EZ245" s="1839"/>
      <c r="FA245" s="1840"/>
      <c r="FB245" s="1837"/>
      <c r="FC245" s="1838"/>
      <c r="FD245" s="1837"/>
      <c r="FE245" s="1838"/>
      <c r="FF245" s="1839"/>
      <c r="FG245" s="1840"/>
      <c r="FH245" s="1837"/>
      <c r="FI245" s="1838"/>
      <c r="FJ245" s="1837"/>
      <c r="FK245" s="1838"/>
      <c r="FL245" s="1839"/>
      <c r="FM245" s="1840"/>
      <c r="FN245" s="1837"/>
      <c r="FO245" s="1838"/>
      <c r="FP245" s="1837"/>
      <c r="FQ245" s="1838"/>
      <c r="FR245" s="1839"/>
      <c r="FS245" s="1840"/>
      <c r="FT245" s="1837"/>
      <c r="FU245" s="1838"/>
      <c r="FV245" s="1837"/>
      <c r="FW245" s="1838"/>
      <c r="FX245" s="1839"/>
      <c r="FY245" s="1840"/>
      <c r="FZ245" s="1837"/>
      <c r="GA245" s="1838"/>
      <c r="GB245" s="1837"/>
      <c r="GC245" s="1838"/>
      <c r="GD245" s="1839"/>
      <c r="GE245" s="1840"/>
      <c r="GF245" s="1837"/>
      <c r="GG245" s="1838"/>
      <c r="GH245" s="1837"/>
      <c r="GI245" s="1838"/>
      <c r="GJ245" s="1839"/>
      <c r="GK245" s="1840"/>
      <c r="GL245" s="1837"/>
      <c r="GM245" s="1838"/>
      <c r="GN245" s="1837"/>
      <c r="GO245" s="1838"/>
      <c r="GP245" s="1839"/>
    </row>
    <row r="246" spans="1:198" ht="20.100000000000001" hidden="1" customHeight="1" outlineLevel="1" collapsed="1">
      <c r="A246" s="2709"/>
      <c r="B246" s="2612"/>
      <c r="C246" s="1836">
        <v>3</v>
      </c>
      <c r="D246" s="2614" t="str">
        <f>実績!C1354&amp;"("&amp;SUBSTITUTE(実績!R1354&amp;")","株式会社 ","")</f>
        <v>大麻元町 D工区(特養・看護小多機・老健)(旧:江別)(スカイ・サイト)</v>
      </c>
      <c r="E246" s="2617"/>
      <c r="F246" s="2617"/>
      <c r="G246" s="2617"/>
      <c r="H246" s="2617"/>
      <c r="I246" s="2617"/>
      <c r="J246" s="2617"/>
      <c r="K246" s="2617"/>
      <c r="L246" s="2617"/>
      <c r="M246" s="2617"/>
      <c r="N246" s="2617"/>
      <c r="O246" s="2617"/>
      <c r="P246" s="2617"/>
      <c r="Q246" s="2617"/>
      <c r="R246" s="2622"/>
      <c r="S246" s="1837"/>
      <c r="T246" s="1837"/>
      <c r="U246" s="1838"/>
      <c r="V246" s="1837"/>
      <c r="W246" s="1838"/>
      <c r="X246" s="1839"/>
      <c r="Y246" s="1837"/>
      <c r="Z246" s="1837"/>
      <c r="AA246" s="1838"/>
      <c r="AB246" s="1837"/>
      <c r="AC246" s="1838"/>
      <c r="AD246" s="1837"/>
      <c r="AE246" s="1840"/>
      <c r="AF246" s="1837"/>
      <c r="AG246" s="1838"/>
      <c r="AH246" s="1837"/>
      <c r="AI246" s="1838"/>
      <c r="AJ246" s="1839"/>
      <c r="AK246" s="1837"/>
      <c r="AL246" s="1837"/>
      <c r="AM246" s="1838"/>
      <c r="AN246" s="1837"/>
      <c r="AO246" s="1838"/>
      <c r="AP246" s="1837"/>
      <c r="AQ246" s="1841"/>
      <c r="AR246" s="1837"/>
      <c r="AS246" s="1838"/>
      <c r="AT246" s="1837"/>
      <c r="AU246" s="1838"/>
      <c r="AV246" s="1839"/>
      <c r="AW246" s="1840"/>
      <c r="AX246" s="1837"/>
      <c r="AY246" s="1838"/>
      <c r="AZ246" s="1837"/>
      <c r="BA246" s="1838"/>
      <c r="BB246" s="1839"/>
      <c r="BC246" s="1837"/>
      <c r="BD246" s="1837"/>
      <c r="BE246" s="1838"/>
      <c r="BF246" s="1837"/>
      <c r="BG246" s="1838"/>
      <c r="BH246" s="1837"/>
      <c r="BI246" s="1840"/>
      <c r="BJ246" s="1837"/>
      <c r="BK246" s="1838"/>
      <c r="BL246" s="1837"/>
      <c r="BM246" s="1838"/>
      <c r="BN246" s="1839"/>
      <c r="BO246" s="1840"/>
      <c r="BP246" s="1837"/>
      <c r="BQ246" s="1838"/>
      <c r="BR246" s="1842"/>
      <c r="BS246" s="1838"/>
      <c r="BT246" s="1839"/>
      <c r="BU246" s="1840"/>
      <c r="BV246" s="1837"/>
      <c r="BW246" s="1838"/>
      <c r="BX246" s="1837"/>
      <c r="BY246" s="1838"/>
      <c r="BZ246" s="1839"/>
      <c r="CA246" s="1840"/>
      <c r="CB246" s="1837"/>
      <c r="CC246" s="1838"/>
      <c r="CD246" s="1837"/>
      <c r="CE246" s="1838"/>
      <c r="CF246" s="1839"/>
      <c r="CG246" s="1840"/>
      <c r="CH246" s="1837"/>
      <c r="CI246" s="1838"/>
      <c r="CJ246" s="1837"/>
      <c r="CK246" s="1838"/>
      <c r="CL246" s="1839"/>
      <c r="CM246" s="1840"/>
      <c r="CN246" s="1837"/>
      <c r="CO246" s="1838"/>
      <c r="CP246" s="1843"/>
      <c r="CQ246" s="1838"/>
      <c r="CR246" s="1839"/>
      <c r="CS246" s="1840"/>
      <c r="CT246" s="1837"/>
      <c r="CU246" s="1838"/>
      <c r="CV246" s="1837"/>
      <c r="CW246" s="1838"/>
      <c r="CX246" s="1839"/>
      <c r="CY246" s="1840"/>
      <c r="CZ246" s="1837"/>
      <c r="DA246" s="1838"/>
      <c r="DB246" s="1837"/>
      <c r="DC246" s="1838"/>
      <c r="DD246" s="1839"/>
      <c r="DE246" s="1840"/>
      <c r="DF246" s="1837"/>
      <c r="DG246" s="1838"/>
      <c r="DH246" s="1837"/>
      <c r="DI246" s="1838"/>
      <c r="DJ246" s="1839"/>
      <c r="DK246" s="1840"/>
      <c r="DL246" s="1837"/>
      <c r="DM246" s="1838"/>
      <c r="DN246" s="1837"/>
      <c r="DO246" s="1838"/>
      <c r="DP246" s="1839"/>
      <c r="DQ246" s="1840"/>
      <c r="DR246" s="1837"/>
      <c r="DS246" s="1838"/>
      <c r="DT246" s="1837"/>
      <c r="DU246" s="1838"/>
      <c r="DV246" s="1839"/>
      <c r="DW246" s="1840"/>
      <c r="DX246" s="1837"/>
      <c r="DY246" s="1838" t="s">
        <v>15391</v>
      </c>
      <c r="DZ246" s="1837"/>
      <c r="EA246" s="1838"/>
      <c r="EB246" s="1839"/>
      <c r="EC246" s="1840"/>
      <c r="ED246" s="1837"/>
      <c r="EE246" s="1838"/>
      <c r="EF246" s="1837"/>
      <c r="EG246" s="1838"/>
      <c r="EH246" s="1839"/>
      <c r="EI246" s="1840"/>
      <c r="EJ246" s="1837"/>
      <c r="EK246" s="1838"/>
      <c r="EL246" s="1837"/>
      <c r="EM246" s="1838" t="s">
        <v>15392</v>
      </c>
      <c r="EN246" s="1839"/>
      <c r="EO246" s="1840"/>
      <c r="EP246" s="1837"/>
      <c r="EQ246" s="1838"/>
      <c r="ER246" s="1837"/>
      <c r="ES246" s="1838"/>
      <c r="ET246" s="1844"/>
      <c r="EU246" s="1840"/>
      <c r="EV246" s="1837"/>
      <c r="EW246" s="1838"/>
      <c r="EX246" s="1837"/>
      <c r="EY246" s="1838"/>
      <c r="EZ246" s="1844"/>
      <c r="FA246" s="1840"/>
      <c r="FB246" s="1837"/>
      <c r="FC246" s="1838"/>
      <c r="FD246" s="1837"/>
      <c r="FE246" s="1838"/>
      <c r="FF246" s="1844"/>
      <c r="FG246" s="1840"/>
      <c r="FH246" s="1837"/>
      <c r="FI246" s="1838"/>
      <c r="FJ246" s="1837"/>
      <c r="FK246" s="1838"/>
      <c r="FL246" s="1844"/>
      <c r="FM246" s="1840"/>
      <c r="FN246" s="1837"/>
      <c r="FO246" s="1838"/>
      <c r="FP246" s="1837"/>
      <c r="FQ246" s="1838"/>
      <c r="FR246" s="1844"/>
      <c r="FS246" s="1840"/>
      <c r="FT246" s="1837"/>
      <c r="FU246" s="1838"/>
      <c r="FV246" s="1837"/>
      <c r="FW246" s="1838"/>
      <c r="FX246" s="1844"/>
      <c r="FY246" s="1840"/>
      <c r="FZ246" s="1837"/>
      <c r="GA246" s="1838"/>
      <c r="GB246" s="1837"/>
      <c r="GC246" s="1838"/>
      <c r="GD246" s="1844"/>
      <c r="GE246" s="1840"/>
      <c r="GF246" s="1837"/>
      <c r="GG246" s="1838"/>
      <c r="GH246" s="1837"/>
      <c r="GI246" s="1838"/>
      <c r="GJ246" s="1844"/>
      <c r="GK246" s="1840"/>
      <c r="GL246" s="1837"/>
      <c r="GM246" s="1838"/>
      <c r="GN246" s="1837"/>
      <c r="GO246" s="1838"/>
      <c r="GP246" s="1844"/>
    </row>
    <row r="247" spans="1:198" ht="20.100000000000001" hidden="1" customHeight="1" outlineLevel="1" collapsed="1">
      <c r="A247" s="2709"/>
      <c r="B247" s="2612"/>
      <c r="C247" s="1836">
        <v>4</v>
      </c>
      <c r="D247" s="2614" t="str">
        <f>実績!C1356&amp;"("&amp;SUBSTITUTE(実績!R1356&amp;")"," 一級建築士事務所","")</f>
        <v>JA全農岐阜青果物貯蔵施設(全農岐阜)</v>
      </c>
      <c r="E247" s="2617"/>
      <c r="F247" s="2617"/>
      <c r="G247" s="2617"/>
      <c r="H247" s="2617"/>
      <c r="I247" s="2617"/>
      <c r="J247" s="2617"/>
      <c r="K247" s="2617"/>
      <c r="L247" s="2617"/>
      <c r="M247" s="2617"/>
      <c r="N247" s="2617"/>
      <c r="O247" s="2617"/>
      <c r="P247" s="2617"/>
      <c r="Q247" s="2617"/>
      <c r="R247" s="2622"/>
      <c r="S247" s="1837"/>
      <c r="T247" s="1837"/>
      <c r="U247" s="1838"/>
      <c r="V247" s="1837"/>
      <c r="W247" s="1838"/>
      <c r="X247" s="1839"/>
      <c r="Y247" s="1837"/>
      <c r="Z247" s="1837"/>
      <c r="AA247" s="1838"/>
      <c r="AB247" s="1837"/>
      <c r="AC247" s="1838"/>
      <c r="AD247" s="1837"/>
      <c r="AE247" s="1840"/>
      <c r="AF247" s="1837"/>
      <c r="AG247" s="1838"/>
      <c r="AH247" s="1837"/>
      <c r="AI247" s="1838"/>
      <c r="AJ247" s="1839"/>
      <c r="AK247" s="1837"/>
      <c r="AL247" s="1837"/>
      <c r="AM247" s="1838"/>
      <c r="AN247" s="1837"/>
      <c r="AO247" s="1838"/>
      <c r="AP247" s="1837"/>
      <c r="AQ247" s="1841"/>
      <c r="AR247" s="1837"/>
      <c r="AS247" s="1838"/>
      <c r="AT247" s="1837"/>
      <c r="AU247" s="1838"/>
      <c r="AV247" s="1839"/>
      <c r="AW247" s="1840"/>
      <c r="AX247" s="1837"/>
      <c r="AY247" s="1838"/>
      <c r="AZ247" s="1837"/>
      <c r="BA247" s="1838"/>
      <c r="BB247" s="1839"/>
      <c r="BC247" s="1837"/>
      <c r="BD247" s="1837"/>
      <c r="BE247" s="1838"/>
      <c r="BF247" s="1837"/>
      <c r="BG247" s="1838"/>
      <c r="BH247" s="1837"/>
      <c r="BI247" s="1840"/>
      <c r="BJ247" s="1837"/>
      <c r="BK247" s="1838"/>
      <c r="BL247" s="1837"/>
      <c r="BM247" s="1838"/>
      <c r="BN247" s="1839"/>
      <c r="BO247" s="1840"/>
      <c r="BP247" s="1837"/>
      <c r="BQ247" s="1838"/>
      <c r="BR247" s="1842"/>
      <c r="BS247" s="1838"/>
      <c r="BT247" s="1839"/>
      <c r="BU247" s="1840"/>
      <c r="BV247" s="1837"/>
      <c r="BW247" s="1838"/>
      <c r="BX247" s="1837"/>
      <c r="BY247" s="1838"/>
      <c r="BZ247" s="1839"/>
      <c r="CA247" s="1840"/>
      <c r="CB247" s="1837"/>
      <c r="CC247" s="1838"/>
      <c r="CD247" s="1837"/>
      <c r="CE247" s="1838"/>
      <c r="CF247" s="1839"/>
      <c r="CG247" s="1840"/>
      <c r="CH247" s="1837"/>
      <c r="CI247" s="1838"/>
      <c r="CJ247" s="1837"/>
      <c r="CK247" s="1838"/>
      <c r="CL247" s="1839"/>
      <c r="CM247" s="1840"/>
      <c r="CN247" s="1837"/>
      <c r="CO247" s="1838"/>
      <c r="CP247" s="1843"/>
      <c r="CQ247" s="1838"/>
      <c r="CR247" s="1839"/>
      <c r="CS247" s="1840"/>
      <c r="CT247" s="1837"/>
      <c r="CU247" s="1838"/>
      <c r="CV247" s="1837"/>
      <c r="CW247" s="1838"/>
      <c r="CX247" s="1839"/>
      <c r="CY247" s="1840"/>
      <c r="CZ247" s="1837"/>
      <c r="DA247" s="1838"/>
      <c r="DB247" s="1837"/>
      <c r="DC247" s="1838"/>
      <c r="DD247" s="1839"/>
      <c r="DE247" s="1840"/>
      <c r="DF247" s="1837"/>
      <c r="DG247" s="1838"/>
      <c r="DH247" s="1837"/>
      <c r="DI247" s="1838"/>
      <c r="DJ247" s="1839"/>
      <c r="DK247" s="1840"/>
      <c r="DL247" s="1837"/>
      <c r="DM247" s="1838"/>
      <c r="DN247" s="1837"/>
      <c r="DO247" s="1838"/>
      <c r="DP247" s="1839"/>
      <c r="DQ247" s="1840"/>
      <c r="DR247" s="1837"/>
      <c r="DS247" s="1838"/>
      <c r="DT247" s="1837"/>
      <c r="DU247" s="1838"/>
      <c r="DV247" s="1839"/>
      <c r="DW247" s="1840"/>
      <c r="DX247" s="1837"/>
      <c r="DY247" s="1838"/>
      <c r="DZ247" s="1837"/>
      <c r="EA247" s="1838"/>
      <c r="EB247" s="1839"/>
      <c r="EC247" s="1840"/>
      <c r="ED247" s="1837"/>
      <c r="EE247" s="1838"/>
      <c r="EF247" s="1837"/>
      <c r="EG247" s="1838"/>
      <c r="EH247" s="1839"/>
      <c r="EI247" s="1840"/>
      <c r="EJ247" s="1837"/>
      <c r="EK247" s="1838"/>
      <c r="EL247" s="1837"/>
      <c r="EM247" s="1838"/>
      <c r="EN247" s="1839"/>
      <c r="EO247" s="1840"/>
      <c r="EP247" s="1837"/>
      <c r="EQ247" s="1838"/>
      <c r="ER247" s="1837"/>
      <c r="ES247" s="1838"/>
      <c r="ET247" s="1839"/>
      <c r="EU247" s="1840"/>
      <c r="EV247" s="1837"/>
      <c r="EW247" s="1838"/>
      <c r="EX247" s="1837"/>
      <c r="EY247" s="1838"/>
      <c r="EZ247" s="1839"/>
      <c r="FA247" s="1840"/>
      <c r="FB247" s="1837"/>
      <c r="FC247" s="1838"/>
      <c r="FD247" s="1837"/>
      <c r="FE247" s="1838"/>
      <c r="FF247" s="1839"/>
      <c r="FG247" s="1840"/>
      <c r="FH247" s="1837"/>
      <c r="FI247" s="1838"/>
      <c r="FJ247" s="1837"/>
      <c r="FK247" s="1838"/>
      <c r="FL247" s="1839"/>
      <c r="FM247" s="1840"/>
      <c r="FN247" s="1837"/>
      <c r="FO247" s="1838"/>
      <c r="FP247" s="1837"/>
      <c r="FQ247" s="1838"/>
      <c r="FR247" s="1839"/>
      <c r="FS247" s="1840"/>
      <c r="FT247" s="1837"/>
      <c r="FU247" s="1838"/>
      <c r="FV247" s="1837"/>
      <c r="FW247" s="1838"/>
      <c r="FX247" s="1839"/>
      <c r="FY247" s="1840"/>
      <c r="FZ247" s="1837"/>
      <c r="GA247" s="1838"/>
      <c r="GB247" s="1837"/>
      <c r="GC247" s="1838"/>
      <c r="GD247" s="1839"/>
      <c r="GE247" s="1840"/>
      <c r="GF247" s="1837"/>
      <c r="GG247" s="1838"/>
      <c r="GH247" s="1837"/>
      <c r="GI247" s="1838"/>
      <c r="GJ247" s="1839"/>
      <c r="GK247" s="1840"/>
      <c r="GL247" s="1837"/>
      <c r="GM247" s="1838"/>
      <c r="GN247" s="1837"/>
      <c r="GO247" s="1838"/>
      <c r="GP247" s="1839"/>
    </row>
    <row r="248" spans="1:198" ht="20.100000000000001" hidden="1" customHeight="1" outlineLevel="1">
      <c r="A248" s="2709"/>
      <c r="B248" s="2612"/>
      <c r="C248" s="1836">
        <v>5</v>
      </c>
      <c r="D248" s="2614" t="str">
        <f>実績!C1353&amp;"("&amp;SUBSTITUTE(実績!R1353&amp;")","株式会社 ","")</f>
        <v>カインズ宇都宮テクノポリス(タイト設計)</v>
      </c>
      <c r="E248" s="2617"/>
      <c r="F248" s="2617"/>
      <c r="G248" s="2617"/>
      <c r="H248" s="2617"/>
      <c r="I248" s="2617"/>
      <c r="J248" s="2617"/>
      <c r="K248" s="2617"/>
      <c r="L248" s="2617"/>
      <c r="M248" s="2617"/>
      <c r="N248" s="2617"/>
      <c r="O248" s="2617"/>
      <c r="P248" s="2617"/>
      <c r="Q248" s="2617"/>
      <c r="R248" s="2622"/>
      <c r="S248" s="1837"/>
      <c r="T248" s="1837"/>
      <c r="U248" s="1838"/>
      <c r="V248" s="1837"/>
      <c r="W248" s="1838"/>
      <c r="X248" s="1839"/>
      <c r="Y248" s="1837"/>
      <c r="Z248" s="1837"/>
      <c r="AA248" s="1838"/>
      <c r="AB248" s="1837"/>
      <c r="AC248" s="1838"/>
      <c r="AD248" s="1837"/>
      <c r="AE248" s="1840"/>
      <c r="AF248" s="1837"/>
      <c r="AG248" s="1838"/>
      <c r="AH248" s="1837"/>
      <c r="AI248" s="1838"/>
      <c r="AJ248" s="1839"/>
      <c r="AK248" s="1837"/>
      <c r="AL248" s="1837"/>
      <c r="AM248" s="1838"/>
      <c r="AN248" s="1837"/>
      <c r="AO248" s="1838"/>
      <c r="AP248" s="1837"/>
      <c r="AQ248" s="1841"/>
      <c r="AR248" s="1837"/>
      <c r="AS248" s="1838"/>
      <c r="AT248" s="1837"/>
      <c r="AU248" s="1838"/>
      <c r="AV248" s="1839"/>
      <c r="AW248" s="1840"/>
      <c r="AX248" s="1837"/>
      <c r="AY248" s="1838"/>
      <c r="AZ248" s="1837"/>
      <c r="BA248" s="1838"/>
      <c r="BB248" s="1839"/>
      <c r="BC248" s="1837"/>
      <c r="BD248" s="1837"/>
      <c r="BE248" s="1838"/>
      <c r="BF248" s="1837"/>
      <c r="BG248" s="1838"/>
      <c r="BH248" s="1837"/>
      <c r="BI248" s="1840"/>
      <c r="BJ248" s="1837"/>
      <c r="BK248" s="1838"/>
      <c r="BL248" s="1837"/>
      <c r="BM248" s="1838"/>
      <c r="BN248" s="1839"/>
      <c r="BO248" s="1840"/>
      <c r="BP248" s="1837"/>
      <c r="BQ248" s="1838"/>
      <c r="BR248" s="1842"/>
      <c r="BS248" s="1838"/>
      <c r="BT248" s="1839"/>
      <c r="BU248" s="1840"/>
      <c r="BV248" s="1837"/>
      <c r="BW248" s="1838"/>
      <c r="BX248" s="1837"/>
      <c r="BY248" s="1838"/>
      <c r="BZ248" s="1839"/>
      <c r="CA248" s="1840"/>
      <c r="CB248" s="1837"/>
      <c r="CC248" s="1838"/>
      <c r="CD248" s="1837"/>
      <c r="CE248" s="1838"/>
      <c r="CF248" s="1839"/>
      <c r="CG248" s="1840"/>
      <c r="CH248" s="1837"/>
      <c r="CI248" s="1838"/>
      <c r="CJ248" s="1837"/>
      <c r="CK248" s="1838"/>
      <c r="CL248" s="1839"/>
      <c r="CM248" s="1840"/>
      <c r="CN248" s="1837"/>
      <c r="CO248" s="1838"/>
      <c r="CP248" s="1843"/>
      <c r="CQ248" s="1838"/>
      <c r="CR248" s="1839"/>
      <c r="CS248" s="1840"/>
      <c r="CT248" s="1837"/>
      <c r="CU248" s="1838"/>
      <c r="CV248" s="1837"/>
      <c r="CW248" s="1838"/>
      <c r="CX248" s="1839"/>
      <c r="CY248" s="1840"/>
      <c r="CZ248" s="1837"/>
      <c r="DA248" s="1838"/>
      <c r="DB248" s="1837"/>
      <c r="DC248" s="1838"/>
      <c r="DD248" s="1839"/>
      <c r="DE248" s="1840"/>
      <c r="DF248" s="1837"/>
      <c r="DG248" s="1838"/>
      <c r="DH248" s="1837"/>
      <c r="DI248" s="1838"/>
      <c r="DJ248" s="1839"/>
      <c r="DK248" s="1840"/>
      <c r="DL248" s="1837"/>
      <c r="DM248" s="1838"/>
      <c r="DN248" s="1837"/>
      <c r="DO248" s="1838"/>
      <c r="DP248" s="1839"/>
      <c r="DQ248" s="1840"/>
      <c r="DR248" s="1837"/>
      <c r="DS248" s="1838"/>
      <c r="DT248" s="1837"/>
      <c r="DU248" s="1838"/>
      <c r="DV248" s="1839"/>
      <c r="DW248" s="1840"/>
      <c r="DX248" s="1837"/>
      <c r="DY248" s="1838"/>
      <c r="DZ248" s="1837"/>
      <c r="EA248" s="1838" t="s">
        <v>15429</v>
      </c>
      <c r="EB248" s="1839"/>
      <c r="EC248" s="1840"/>
      <c r="ED248" s="1837"/>
      <c r="EE248" s="1838"/>
      <c r="EF248" s="1837"/>
      <c r="EG248" s="1838"/>
      <c r="EH248" s="1839"/>
      <c r="EI248" s="1840"/>
      <c r="EJ248" s="1837"/>
      <c r="EK248" s="1838"/>
      <c r="EL248" s="1837"/>
      <c r="EM248" s="1838"/>
      <c r="EN248" s="1839"/>
      <c r="EO248" s="1840"/>
      <c r="EP248" s="1837"/>
      <c r="EQ248" s="1838"/>
      <c r="ER248" s="1837"/>
      <c r="ES248" s="1838"/>
      <c r="ET248" s="1844"/>
      <c r="EU248" s="1840"/>
      <c r="EV248" s="1837"/>
      <c r="EW248" s="1838"/>
      <c r="EX248" s="1837"/>
      <c r="EY248" s="1838"/>
      <c r="EZ248" s="1844"/>
      <c r="FA248" s="1840"/>
      <c r="FB248" s="1837"/>
      <c r="FC248" s="1838"/>
      <c r="FD248" s="1837"/>
      <c r="FE248" s="1838"/>
      <c r="FF248" s="1844"/>
      <c r="FG248" s="1840"/>
      <c r="FH248" s="1837"/>
      <c r="FI248" s="1838"/>
      <c r="FJ248" s="1837"/>
      <c r="FK248" s="1838"/>
      <c r="FL248" s="1844"/>
      <c r="FM248" s="1840"/>
      <c r="FN248" s="1837"/>
      <c r="FO248" s="1838"/>
      <c r="FP248" s="1837"/>
      <c r="FQ248" s="1838"/>
      <c r="FR248" s="1844"/>
      <c r="FS248" s="1840"/>
      <c r="FT248" s="1837"/>
      <c r="FU248" s="1838"/>
      <c r="FV248" s="1837"/>
      <c r="FW248" s="1838"/>
      <c r="FX248" s="1844"/>
      <c r="FY248" s="1840"/>
      <c r="FZ248" s="1837"/>
      <c r="GA248" s="1838"/>
      <c r="GB248" s="1837"/>
      <c r="GC248" s="1838"/>
      <c r="GD248" s="1844"/>
      <c r="GE248" s="1840"/>
      <c r="GF248" s="1837"/>
      <c r="GG248" s="1838"/>
      <c r="GH248" s="1837"/>
      <c r="GI248" s="1838"/>
      <c r="GJ248" s="1844"/>
      <c r="GK248" s="1840"/>
      <c r="GL248" s="1837"/>
      <c r="GM248" s="1838"/>
      <c r="GN248" s="1837"/>
      <c r="GO248" s="1838"/>
      <c r="GP248" s="1844"/>
    </row>
    <row r="249" spans="1:198" ht="20.100000000000001" hidden="1" customHeight="1" outlineLevel="1">
      <c r="A249" s="2709"/>
      <c r="B249" s="2612"/>
      <c r="C249" s="1836">
        <v>6</v>
      </c>
      <c r="D249" s="2614" t="str">
        <f>実績!C1289&amp;"("&amp;SUBSTITUTE(実績!R1289&amp;")","株式会社 ","")</f>
        <v>TCN安来(坂本建築設計事務所)</v>
      </c>
      <c r="E249" s="2617"/>
      <c r="F249" s="2617"/>
      <c r="G249" s="2617"/>
      <c r="H249" s="2617"/>
      <c r="I249" s="2617"/>
      <c r="J249" s="2617"/>
      <c r="K249" s="2617"/>
      <c r="L249" s="2617"/>
      <c r="M249" s="2617"/>
      <c r="N249" s="2617"/>
      <c r="O249" s="2617"/>
      <c r="P249" s="2617"/>
      <c r="Q249" s="2617"/>
      <c r="R249" s="2622"/>
      <c r="S249" s="1837"/>
      <c r="T249" s="1837"/>
      <c r="U249" s="1837"/>
      <c r="V249" s="1837"/>
      <c r="W249" s="1837"/>
      <c r="X249" s="1837"/>
      <c r="Y249" s="1837"/>
      <c r="Z249" s="1837"/>
      <c r="AA249" s="1837"/>
      <c r="AB249" s="1837"/>
      <c r="AC249" s="1837"/>
      <c r="AD249" s="1837"/>
      <c r="AE249" s="1837"/>
      <c r="AF249" s="1837"/>
      <c r="AG249" s="1837"/>
      <c r="AH249" s="1837"/>
      <c r="AI249" s="1837"/>
      <c r="AJ249" s="1837"/>
      <c r="AK249" s="1837"/>
      <c r="AL249" s="1837"/>
      <c r="AM249" s="1837"/>
      <c r="AN249" s="1837"/>
      <c r="AO249" s="1837"/>
      <c r="AP249" s="1837"/>
      <c r="AQ249" s="1837"/>
      <c r="AR249" s="1837"/>
      <c r="AS249" s="1837"/>
      <c r="AT249" s="1837"/>
      <c r="AU249" s="1837"/>
      <c r="AV249" s="1837"/>
      <c r="AW249" s="1837"/>
      <c r="AX249" s="1837"/>
      <c r="AY249" s="1837"/>
      <c r="AZ249" s="1837"/>
      <c r="BA249" s="1837"/>
      <c r="BB249" s="1837"/>
      <c r="BC249" s="1837"/>
      <c r="BD249" s="1837"/>
      <c r="BE249" s="1837"/>
      <c r="BF249" s="1837"/>
      <c r="BG249" s="1837"/>
      <c r="BH249" s="1837"/>
      <c r="BI249" s="1837"/>
      <c r="BJ249" s="1837"/>
      <c r="BK249" s="1837"/>
      <c r="BL249" s="1837"/>
      <c r="BM249" s="1837"/>
      <c r="BN249" s="1837"/>
      <c r="BO249" s="1837"/>
      <c r="BP249" s="1837"/>
      <c r="BQ249" s="1837"/>
      <c r="BR249" s="1837"/>
      <c r="BS249" s="1837"/>
      <c r="BT249" s="1837"/>
      <c r="BU249" s="1837"/>
      <c r="BV249" s="1837"/>
      <c r="BW249" s="1837"/>
      <c r="BX249" s="1837"/>
      <c r="BY249" s="1837"/>
      <c r="BZ249" s="1837"/>
      <c r="CA249" s="1837"/>
      <c r="CB249" s="1837"/>
      <c r="CC249" s="1837"/>
      <c r="CD249" s="1837"/>
      <c r="CE249" s="1837"/>
      <c r="CF249" s="1837"/>
      <c r="CG249" s="1840"/>
      <c r="CH249" s="1837"/>
      <c r="CI249" s="1838"/>
      <c r="CJ249" s="1837"/>
      <c r="CK249" s="1838"/>
      <c r="CL249" s="1844"/>
      <c r="CM249" s="1840"/>
      <c r="CN249" s="1837"/>
      <c r="CO249" s="1838"/>
      <c r="CP249" s="1837"/>
      <c r="CQ249" s="1838"/>
      <c r="CR249" s="1839"/>
      <c r="CS249" s="1840"/>
      <c r="CT249" s="1837"/>
      <c r="CU249" s="1838"/>
      <c r="CV249" s="1837"/>
      <c r="CW249" s="1838"/>
      <c r="CX249" s="1839"/>
      <c r="CY249" s="1840"/>
      <c r="CZ249" s="1837"/>
      <c r="DA249" s="1838" t="s">
        <v>10890</v>
      </c>
      <c r="DB249" s="1837"/>
      <c r="DC249" s="1838"/>
      <c r="DD249" s="1839"/>
      <c r="DE249" s="1840"/>
      <c r="DF249" s="1837"/>
      <c r="DG249" s="1838"/>
      <c r="DH249" s="1837"/>
      <c r="DI249" s="1838"/>
      <c r="DJ249" s="1839"/>
      <c r="DK249" s="1840"/>
      <c r="DL249" s="1837"/>
      <c r="DM249" s="1838"/>
      <c r="DN249" s="1837"/>
      <c r="DO249" s="1838"/>
      <c r="DP249" s="1839"/>
      <c r="DQ249" s="1840"/>
      <c r="DR249" s="1837"/>
      <c r="DS249" s="1838"/>
      <c r="DT249" s="1837"/>
      <c r="DU249" s="1838"/>
      <c r="DV249" s="1839"/>
      <c r="DW249" s="1840" t="s">
        <v>14665</v>
      </c>
      <c r="DX249" s="1837"/>
      <c r="DY249" s="1838"/>
      <c r="DZ249" s="1837"/>
      <c r="EA249" s="1838"/>
      <c r="EB249" s="1839"/>
      <c r="EC249" s="1840" t="s">
        <v>14666</v>
      </c>
      <c r="ED249" s="1837"/>
      <c r="EE249" s="1838"/>
      <c r="EF249" s="1837"/>
      <c r="EG249" s="1838"/>
      <c r="EH249" s="1839"/>
      <c r="EI249" s="1840"/>
      <c r="EJ249" s="1837"/>
      <c r="EK249" s="1838"/>
      <c r="EL249" s="1837"/>
      <c r="EM249" s="1838"/>
      <c r="EN249" s="1839"/>
      <c r="EO249" s="1840"/>
      <c r="EP249" s="1837"/>
      <c r="EQ249" s="1838"/>
      <c r="ER249" s="1837"/>
      <c r="ES249" s="1838"/>
      <c r="ET249" s="1839"/>
      <c r="EU249" s="1840"/>
      <c r="EV249" s="1837"/>
      <c r="EW249" s="1838"/>
      <c r="EX249" s="1837"/>
      <c r="EY249" s="1838"/>
      <c r="EZ249" s="1839"/>
      <c r="FA249" s="1840"/>
      <c r="FB249" s="1837"/>
      <c r="FC249" s="1838"/>
      <c r="FD249" s="1837"/>
      <c r="FE249" s="1838"/>
      <c r="FF249" s="1839"/>
      <c r="FG249" s="1840"/>
      <c r="FH249" s="1837"/>
      <c r="FI249" s="1838"/>
      <c r="FJ249" s="1837"/>
      <c r="FK249" s="1838"/>
      <c r="FL249" s="1839"/>
      <c r="FM249" s="1840"/>
      <c r="FN249" s="1837"/>
      <c r="FO249" s="1838"/>
      <c r="FP249" s="1837"/>
      <c r="FQ249" s="1838"/>
      <c r="FR249" s="1839"/>
      <c r="FS249" s="1840"/>
      <c r="FT249" s="1837"/>
      <c r="FU249" s="1838"/>
      <c r="FV249" s="1837"/>
      <c r="FW249" s="1838"/>
      <c r="FX249" s="1839"/>
      <c r="FY249" s="1840"/>
      <c r="FZ249" s="1837"/>
      <c r="GA249" s="1838"/>
      <c r="GB249" s="1837"/>
      <c r="GC249" s="1838"/>
      <c r="GD249" s="1839"/>
      <c r="GE249" s="1840"/>
      <c r="GF249" s="1837"/>
      <c r="GG249" s="1838"/>
      <c r="GH249" s="1837"/>
      <c r="GI249" s="1838"/>
      <c r="GJ249" s="1839"/>
      <c r="GK249" s="1840"/>
      <c r="GL249" s="1837"/>
      <c r="GM249" s="1838"/>
      <c r="GN249" s="1837"/>
      <c r="GO249" s="1838"/>
      <c r="GP249" s="1839"/>
    </row>
    <row r="250" spans="1:198" ht="20.100000000000001" hidden="1" customHeight="1" outlineLevel="1" collapsed="1">
      <c r="A250" s="2709"/>
      <c r="B250" s="2612"/>
      <c r="C250" s="1836">
        <v>7</v>
      </c>
      <c r="D250" s="2614" t="str">
        <f>実績!C1355&amp;"("&amp;SUBSTITUTE(実績!W1355&amp;")","株式会社 ","")</f>
        <v>扶桑商会倉庫(あい設計)</v>
      </c>
      <c r="E250" s="2617"/>
      <c r="F250" s="2617"/>
      <c r="G250" s="2617"/>
      <c r="H250" s="2617"/>
      <c r="I250" s="2617"/>
      <c r="J250" s="2617"/>
      <c r="K250" s="2617"/>
      <c r="L250" s="2617"/>
      <c r="M250" s="2617"/>
      <c r="N250" s="2617"/>
      <c r="O250" s="2617"/>
      <c r="P250" s="2617"/>
      <c r="Q250" s="2617"/>
      <c r="R250" s="2641"/>
      <c r="S250" s="1837"/>
      <c r="T250" s="1837"/>
      <c r="U250" s="1838"/>
      <c r="V250" s="1837"/>
      <c r="W250" s="1838"/>
      <c r="X250" s="1839"/>
      <c r="Y250" s="1837"/>
      <c r="Z250" s="1837"/>
      <c r="AA250" s="1838"/>
      <c r="AB250" s="1837"/>
      <c r="AC250" s="1838"/>
      <c r="AD250" s="1837"/>
      <c r="AE250" s="1840"/>
      <c r="AF250" s="1837"/>
      <c r="AG250" s="1838"/>
      <c r="AH250" s="1837"/>
      <c r="AI250" s="1838"/>
      <c r="AJ250" s="1839"/>
      <c r="AK250" s="1837"/>
      <c r="AL250" s="1837"/>
      <c r="AM250" s="1838"/>
      <c r="AN250" s="1837"/>
      <c r="AO250" s="1838"/>
      <c r="AP250" s="1837"/>
      <c r="AQ250" s="1841"/>
      <c r="AR250" s="1837"/>
      <c r="AS250" s="1838"/>
      <c r="AT250" s="1837"/>
      <c r="AU250" s="1838"/>
      <c r="AV250" s="1839"/>
      <c r="AW250" s="1840"/>
      <c r="AX250" s="1837"/>
      <c r="AY250" s="1838"/>
      <c r="AZ250" s="1837"/>
      <c r="BA250" s="1838"/>
      <c r="BB250" s="1839"/>
      <c r="BC250" s="1837"/>
      <c r="BD250" s="1837"/>
      <c r="BE250" s="1838"/>
      <c r="BF250" s="1837"/>
      <c r="BG250" s="1838"/>
      <c r="BH250" s="1837"/>
      <c r="BI250" s="1840"/>
      <c r="BJ250" s="1837"/>
      <c r="BK250" s="1838"/>
      <c r="BL250" s="1837"/>
      <c r="BM250" s="1838"/>
      <c r="BN250" s="1839"/>
      <c r="BO250" s="1840"/>
      <c r="BP250" s="1837"/>
      <c r="BQ250" s="1838"/>
      <c r="BR250" s="1842"/>
      <c r="BS250" s="1838"/>
      <c r="BT250" s="1839"/>
      <c r="BU250" s="1840"/>
      <c r="BV250" s="1837"/>
      <c r="BW250" s="1838"/>
      <c r="BX250" s="1837"/>
      <c r="BY250" s="1838"/>
      <c r="BZ250" s="1839"/>
      <c r="CA250" s="1840"/>
      <c r="CB250" s="1837"/>
      <c r="CC250" s="1838"/>
      <c r="CD250" s="1837"/>
      <c r="CE250" s="1838"/>
      <c r="CF250" s="1839"/>
      <c r="CG250" s="1840"/>
      <c r="CH250" s="1837"/>
      <c r="CI250" s="1838"/>
      <c r="CJ250" s="1837"/>
      <c r="CK250" s="1838"/>
      <c r="CL250" s="1839"/>
      <c r="CM250" s="1840"/>
      <c r="CN250" s="1837"/>
      <c r="CO250" s="1838"/>
      <c r="CP250" s="1843"/>
      <c r="CQ250" s="1838"/>
      <c r="CR250" s="1839"/>
      <c r="CS250" s="1840"/>
      <c r="CT250" s="1837"/>
      <c r="CU250" s="1838"/>
      <c r="CV250" s="1837"/>
      <c r="CW250" s="1838"/>
      <c r="CX250" s="1839"/>
      <c r="CY250" s="1840"/>
      <c r="CZ250" s="1837"/>
      <c r="DA250" s="1838"/>
      <c r="DB250" s="1837"/>
      <c r="DC250" s="1838"/>
      <c r="DD250" s="1839"/>
      <c r="DE250" s="1840"/>
      <c r="DF250" s="1837"/>
      <c r="DG250" s="1838"/>
      <c r="DH250" s="1837"/>
      <c r="DI250" s="1838"/>
      <c r="DJ250" s="1839"/>
      <c r="DK250" s="1840"/>
      <c r="DL250" s="1837"/>
      <c r="DM250" s="1838"/>
      <c r="DN250" s="1837"/>
      <c r="DO250" s="1838"/>
      <c r="DP250" s="1839"/>
      <c r="DQ250" s="1840"/>
      <c r="DR250" s="1837"/>
      <c r="DS250" s="1838"/>
      <c r="DT250" s="1837"/>
      <c r="DU250" s="1838"/>
      <c r="DV250" s="1839"/>
      <c r="DW250" s="1840"/>
      <c r="DX250" s="1837"/>
      <c r="DY250" s="1838"/>
      <c r="DZ250" s="1837"/>
      <c r="EA250" s="1838" t="s">
        <v>15499</v>
      </c>
      <c r="EB250" s="1839"/>
      <c r="EC250" s="1840"/>
      <c r="ED250" s="1837"/>
      <c r="EE250" s="1838"/>
      <c r="EF250" s="1837"/>
      <c r="EG250" s="1838"/>
      <c r="EH250" s="1839"/>
      <c r="EI250" s="1840"/>
      <c r="EJ250" s="1837"/>
      <c r="EK250" s="1838"/>
      <c r="EL250" s="1837"/>
      <c r="EM250" s="1838"/>
      <c r="EN250" s="1839"/>
      <c r="EO250" s="1840"/>
      <c r="EP250" s="1837"/>
      <c r="EQ250" s="1838"/>
      <c r="ER250" s="1837"/>
      <c r="ES250" s="1838"/>
      <c r="ET250" s="1844"/>
      <c r="EU250" s="1840"/>
      <c r="EV250" s="1837"/>
      <c r="EW250" s="1838"/>
      <c r="EX250" s="1837"/>
      <c r="EY250" s="1838"/>
      <c r="EZ250" s="1844"/>
      <c r="FA250" s="1840"/>
      <c r="FB250" s="1837"/>
      <c r="FC250" s="1838"/>
      <c r="FD250" s="1837"/>
      <c r="FE250" s="1838"/>
      <c r="FF250" s="1844"/>
      <c r="FG250" s="1840"/>
      <c r="FH250" s="1837"/>
      <c r="FI250" s="1838"/>
      <c r="FJ250" s="1837"/>
      <c r="FK250" s="1838"/>
      <c r="FL250" s="1844"/>
      <c r="FM250" s="1840"/>
      <c r="FN250" s="1837"/>
      <c r="FO250" s="1838"/>
      <c r="FP250" s="1837"/>
      <c r="FQ250" s="1838"/>
      <c r="FR250" s="1844"/>
      <c r="FS250" s="1840"/>
      <c r="FT250" s="1837"/>
      <c r="FU250" s="1838"/>
      <c r="FV250" s="1837"/>
      <c r="FW250" s="1838"/>
      <c r="FX250" s="1844"/>
      <c r="FY250" s="1840"/>
      <c r="FZ250" s="1837"/>
      <c r="GA250" s="1838"/>
      <c r="GB250" s="1837"/>
      <c r="GC250" s="1838"/>
      <c r="GD250" s="1844"/>
      <c r="GE250" s="1840"/>
      <c r="GF250" s="1837"/>
      <c r="GG250" s="1838"/>
      <c r="GH250" s="1837"/>
      <c r="GI250" s="1838"/>
      <c r="GJ250" s="1844"/>
      <c r="GK250" s="1840"/>
      <c r="GL250" s="1837"/>
      <c r="GM250" s="1838"/>
      <c r="GN250" s="1837"/>
      <c r="GO250" s="1838"/>
      <c r="GP250" s="1844"/>
    </row>
    <row r="251" spans="1:198" ht="20.100000000000001" hidden="1" customHeight="1" outlineLevel="1">
      <c r="A251" s="2709"/>
      <c r="B251" s="2612"/>
      <c r="C251" s="1836">
        <v>8</v>
      </c>
      <c r="D251" s="2614" t="str">
        <f>実績!C1358&amp;"("&amp;SUBSTITUTE(実績!R1358&amp;")","株式会社 ","")</f>
        <v>ホンダカーズ市川東金東(カムイ建築設計事務所)</v>
      </c>
      <c r="E251" s="2617"/>
      <c r="F251" s="2617"/>
      <c r="G251" s="2617"/>
      <c r="H251" s="2617"/>
      <c r="I251" s="2617"/>
      <c r="J251" s="2617"/>
      <c r="K251" s="2617"/>
      <c r="L251" s="2617"/>
      <c r="M251" s="2617"/>
      <c r="N251" s="2617"/>
      <c r="O251" s="2617"/>
      <c r="P251" s="2617"/>
      <c r="Q251" s="2617"/>
      <c r="R251" s="2622"/>
      <c r="S251" s="1837"/>
      <c r="T251" s="1837"/>
      <c r="U251" s="1838"/>
      <c r="V251" s="1837"/>
      <c r="W251" s="1838"/>
      <c r="X251" s="1839"/>
      <c r="Y251" s="1837"/>
      <c r="Z251" s="1837"/>
      <c r="AA251" s="1838"/>
      <c r="AB251" s="1837"/>
      <c r="AC251" s="1838"/>
      <c r="AD251" s="1837"/>
      <c r="AE251" s="1840"/>
      <c r="AF251" s="1837"/>
      <c r="AG251" s="1838"/>
      <c r="AH251" s="1837"/>
      <c r="AI251" s="1838"/>
      <c r="AJ251" s="1839"/>
      <c r="AK251" s="1837"/>
      <c r="AL251" s="1837"/>
      <c r="AM251" s="1838"/>
      <c r="AN251" s="1837"/>
      <c r="AO251" s="1838"/>
      <c r="AP251" s="1837"/>
      <c r="AQ251" s="1841"/>
      <c r="AR251" s="1837"/>
      <c r="AS251" s="1838"/>
      <c r="AT251" s="1837"/>
      <c r="AU251" s="1838"/>
      <c r="AV251" s="1839"/>
      <c r="AW251" s="1840"/>
      <c r="AX251" s="1837"/>
      <c r="AY251" s="1838"/>
      <c r="AZ251" s="1837"/>
      <c r="BA251" s="1838"/>
      <c r="BB251" s="1839"/>
      <c r="BC251" s="1837"/>
      <c r="BD251" s="1837"/>
      <c r="BE251" s="1838"/>
      <c r="BF251" s="1837"/>
      <c r="BG251" s="1838"/>
      <c r="BH251" s="1837"/>
      <c r="BI251" s="1840"/>
      <c r="BJ251" s="1837"/>
      <c r="BK251" s="1838"/>
      <c r="BL251" s="1837"/>
      <c r="BM251" s="1838"/>
      <c r="BN251" s="1839"/>
      <c r="BO251" s="1840"/>
      <c r="BP251" s="1837"/>
      <c r="BQ251" s="1838"/>
      <c r="BR251" s="1842"/>
      <c r="BS251" s="1838"/>
      <c r="BT251" s="1839"/>
      <c r="BU251" s="1840"/>
      <c r="BV251" s="1837"/>
      <c r="BW251" s="1838"/>
      <c r="BX251" s="1837"/>
      <c r="BY251" s="1838"/>
      <c r="BZ251" s="1839"/>
      <c r="CA251" s="1840"/>
      <c r="CB251" s="1837"/>
      <c r="CC251" s="1838"/>
      <c r="CD251" s="1837"/>
      <c r="CE251" s="1838"/>
      <c r="CF251" s="1839"/>
      <c r="CG251" s="1840"/>
      <c r="CH251" s="1837"/>
      <c r="CI251" s="1838"/>
      <c r="CJ251" s="1837"/>
      <c r="CK251" s="1838"/>
      <c r="CL251" s="1839"/>
      <c r="CM251" s="1840"/>
      <c r="CN251" s="1837"/>
      <c r="CO251" s="1838"/>
      <c r="CP251" s="1843"/>
      <c r="CQ251" s="1838"/>
      <c r="CR251" s="1839"/>
      <c r="CS251" s="1840"/>
      <c r="CT251" s="1837"/>
      <c r="CU251" s="1838"/>
      <c r="CV251" s="1837"/>
      <c r="CW251" s="1838"/>
      <c r="CX251" s="1839"/>
      <c r="CY251" s="1840"/>
      <c r="CZ251" s="1837"/>
      <c r="DA251" s="1838"/>
      <c r="DB251" s="1837"/>
      <c r="DC251" s="1838"/>
      <c r="DD251" s="1839"/>
      <c r="DE251" s="1840"/>
      <c r="DF251" s="1837"/>
      <c r="DG251" s="1838"/>
      <c r="DH251" s="1837"/>
      <c r="DI251" s="1838"/>
      <c r="DJ251" s="1839"/>
      <c r="DK251" s="1840"/>
      <c r="DL251" s="1837"/>
      <c r="DM251" s="1838"/>
      <c r="DN251" s="1837"/>
      <c r="DO251" s="1838"/>
      <c r="DP251" s="1839"/>
      <c r="DQ251" s="1840"/>
      <c r="DR251" s="1837"/>
      <c r="DS251" s="1838"/>
      <c r="DT251" s="1837"/>
      <c r="DU251" s="1838" t="s">
        <v>15530</v>
      </c>
      <c r="DV251" s="1839"/>
      <c r="DW251" s="1840"/>
      <c r="DX251" s="1837"/>
      <c r="DY251" s="1838"/>
      <c r="DZ251" s="1837"/>
      <c r="EA251" s="1838"/>
      <c r="EB251" s="1839"/>
      <c r="EC251" s="1840"/>
      <c r="ED251" s="1837"/>
      <c r="EE251" s="1838"/>
      <c r="EF251" s="1837"/>
      <c r="EG251" s="1838"/>
      <c r="EH251" s="1839"/>
      <c r="EI251" s="1840"/>
      <c r="EJ251" s="1837"/>
      <c r="EK251" s="1838"/>
      <c r="EL251" s="1837"/>
      <c r="EM251" s="1838"/>
      <c r="EN251" s="1839"/>
      <c r="EO251" s="1840"/>
      <c r="EP251" s="1837"/>
      <c r="EQ251" s="1838"/>
      <c r="ER251" s="1837"/>
      <c r="ES251" s="1838"/>
      <c r="ET251" s="1844"/>
      <c r="EU251" s="1840"/>
      <c r="EV251" s="1837"/>
      <c r="EW251" s="1838"/>
      <c r="EX251" s="1837"/>
      <c r="EY251" s="1838"/>
      <c r="EZ251" s="1844"/>
      <c r="FA251" s="1840"/>
      <c r="FB251" s="1837"/>
      <c r="FC251" s="1838"/>
      <c r="FD251" s="1837"/>
      <c r="FE251" s="1838"/>
      <c r="FF251" s="1844"/>
      <c r="FG251" s="1840"/>
      <c r="FH251" s="1837"/>
      <c r="FI251" s="1838"/>
      <c r="FJ251" s="1837"/>
      <c r="FK251" s="1838"/>
      <c r="FL251" s="1844"/>
      <c r="FM251" s="1840"/>
      <c r="FN251" s="1837"/>
      <c r="FO251" s="1838"/>
      <c r="FP251" s="1837"/>
      <c r="FQ251" s="1838"/>
      <c r="FR251" s="1844"/>
      <c r="FS251" s="1840"/>
      <c r="FT251" s="1837"/>
      <c r="FU251" s="1838"/>
      <c r="FV251" s="1837"/>
      <c r="FW251" s="1838"/>
      <c r="FX251" s="1844"/>
      <c r="FY251" s="1840"/>
      <c r="FZ251" s="1837"/>
      <c r="GA251" s="1838"/>
      <c r="GB251" s="1837"/>
      <c r="GC251" s="1838"/>
      <c r="GD251" s="1844"/>
      <c r="GE251" s="1840"/>
      <c r="GF251" s="1837"/>
      <c r="GG251" s="1838"/>
      <c r="GH251" s="1837"/>
      <c r="GI251" s="1838"/>
      <c r="GJ251" s="1844"/>
      <c r="GK251" s="1840"/>
      <c r="GL251" s="1837"/>
      <c r="GM251" s="1838"/>
      <c r="GN251" s="1837"/>
      <c r="GO251" s="1838"/>
      <c r="GP251" s="1844"/>
    </row>
    <row r="252" spans="1:198" ht="20.100000000000001" hidden="1" customHeight="1" outlineLevel="1">
      <c r="A252" s="2709"/>
      <c r="B252" s="2612"/>
      <c r="C252" s="1836">
        <v>9</v>
      </c>
      <c r="D252" s="2614" t="str">
        <f>実績!C1320&amp;"("&amp;SUBSTITUTE(実績!AC1320&amp;")"," 株式会社","")</f>
        <v>新英エコライフ(東海インプル建設)</v>
      </c>
      <c r="E252" s="2617"/>
      <c r="F252" s="2617"/>
      <c r="G252" s="2617"/>
      <c r="H252" s="2617"/>
      <c r="I252" s="2617"/>
      <c r="J252" s="2617"/>
      <c r="K252" s="2617"/>
      <c r="L252" s="2617"/>
      <c r="M252" s="2617"/>
      <c r="N252" s="2617"/>
      <c r="O252" s="2617"/>
      <c r="P252" s="2617"/>
      <c r="Q252" s="2617"/>
      <c r="R252" s="2622"/>
      <c r="S252" s="1837"/>
      <c r="T252" s="1837"/>
      <c r="U252" s="1838"/>
      <c r="V252" s="1837"/>
      <c r="W252" s="1838"/>
      <c r="X252" s="1839"/>
      <c r="Y252" s="1837"/>
      <c r="Z252" s="1837"/>
      <c r="AA252" s="1838"/>
      <c r="AB252" s="1837"/>
      <c r="AC252" s="1838"/>
      <c r="AD252" s="1837"/>
      <c r="AE252" s="1840"/>
      <c r="AF252" s="1837"/>
      <c r="AG252" s="1838"/>
      <c r="AH252" s="1837"/>
      <c r="AI252" s="1838"/>
      <c r="AJ252" s="1839"/>
      <c r="AK252" s="1837"/>
      <c r="AL252" s="1837"/>
      <c r="AM252" s="1838"/>
      <c r="AN252" s="1837"/>
      <c r="AO252" s="1838"/>
      <c r="AP252" s="1837"/>
      <c r="AQ252" s="1841"/>
      <c r="AR252" s="1837"/>
      <c r="AS252" s="1838"/>
      <c r="AT252" s="1837"/>
      <c r="AU252" s="1838"/>
      <c r="AV252" s="1839"/>
      <c r="AW252" s="1840"/>
      <c r="AX252" s="1837"/>
      <c r="AY252" s="1838"/>
      <c r="AZ252" s="1837"/>
      <c r="BA252" s="1838"/>
      <c r="BB252" s="1839"/>
      <c r="BC252" s="1837"/>
      <c r="BD252" s="1837"/>
      <c r="BE252" s="1838"/>
      <c r="BF252" s="1837"/>
      <c r="BG252" s="1838"/>
      <c r="BH252" s="1837"/>
      <c r="BI252" s="1840"/>
      <c r="BJ252" s="1837"/>
      <c r="BK252" s="1838"/>
      <c r="BL252" s="1837"/>
      <c r="BM252" s="1838"/>
      <c r="BN252" s="1839"/>
      <c r="BO252" s="1840"/>
      <c r="BP252" s="1837"/>
      <c r="BQ252" s="1838"/>
      <c r="BR252" s="1842"/>
      <c r="BS252" s="1838"/>
      <c r="BT252" s="1839"/>
      <c r="BU252" s="1840"/>
      <c r="BV252" s="1837"/>
      <c r="BW252" s="1838"/>
      <c r="BX252" s="1837"/>
      <c r="BY252" s="1838"/>
      <c r="BZ252" s="1839"/>
      <c r="CA252" s="1840"/>
      <c r="CB252" s="1837"/>
      <c r="CC252" s="1838"/>
      <c r="CD252" s="1837"/>
      <c r="CE252" s="1838"/>
      <c r="CF252" s="1839"/>
      <c r="CG252" s="1840"/>
      <c r="CH252" s="1837"/>
      <c r="CI252" s="1838"/>
      <c r="CJ252" s="1837"/>
      <c r="CK252" s="1838"/>
      <c r="CL252" s="1839"/>
      <c r="CM252" s="1840"/>
      <c r="CN252" s="1837"/>
      <c r="CO252" s="1838"/>
      <c r="CP252" s="1843"/>
      <c r="CQ252" s="1838"/>
      <c r="CR252" s="1839"/>
      <c r="CS252" s="1840"/>
      <c r="CT252" s="1837"/>
      <c r="CU252" s="1838"/>
      <c r="CV252" s="1837"/>
      <c r="CW252" s="1838"/>
      <c r="CX252" s="1839"/>
      <c r="CY252" s="1840"/>
      <c r="CZ252" s="1837"/>
      <c r="DA252" s="1838"/>
      <c r="DB252" s="1837"/>
      <c r="DC252" s="1838"/>
      <c r="DD252" s="1839"/>
      <c r="DE252" s="1840"/>
      <c r="DF252" s="1837"/>
      <c r="DG252" s="1838"/>
      <c r="DH252" s="1837"/>
      <c r="DI252" s="1838"/>
      <c r="DJ252" s="1839"/>
      <c r="DK252" s="1840"/>
      <c r="DL252" s="1837"/>
      <c r="DM252" s="1838"/>
      <c r="DN252" s="1837"/>
      <c r="DO252" s="1838"/>
      <c r="DP252" s="1844"/>
      <c r="DQ252" s="1840"/>
      <c r="DR252" s="1837"/>
      <c r="DS252" s="1838"/>
      <c r="DT252" s="1837"/>
      <c r="DU252" s="1838"/>
      <c r="DV252" s="1844"/>
      <c r="DW252" s="1840" t="s">
        <v>15266</v>
      </c>
      <c r="DX252" s="1837"/>
      <c r="DY252" s="1838"/>
      <c r="DZ252" s="1837"/>
      <c r="EA252" s="1838"/>
      <c r="EB252" s="1844"/>
      <c r="EC252" s="1840"/>
      <c r="ED252" s="1837"/>
      <c r="EE252" s="1838"/>
      <c r="EF252" s="1837"/>
      <c r="EG252" s="1838"/>
      <c r="EH252" s="1844"/>
      <c r="EI252" s="1840"/>
      <c r="EJ252" s="1837"/>
      <c r="EK252" s="1838"/>
      <c r="EL252" s="1837"/>
      <c r="EM252" s="1838"/>
      <c r="EN252" s="1844"/>
      <c r="EO252" s="1840" t="s">
        <v>15668</v>
      </c>
      <c r="EP252" s="1837"/>
      <c r="EQ252" s="1838"/>
      <c r="ER252" s="1837"/>
      <c r="ES252" s="1838"/>
      <c r="ET252" s="1844"/>
      <c r="EU252" s="1840" t="s">
        <v>8145</v>
      </c>
      <c r="EV252" s="1837"/>
      <c r="EW252" s="1838"/>
      <c r="EX252" s="1837"/>
      <c r="EY252" s="1838"/>
      <c r="EZ252" s="1844"/>
      <c r="FA252" s="1840"/>
      <c r="FB252" s="1837"/>
      <c r="FC252" s="1838"/>
      <c r="FD252" s="1837"/>
      <c r="FE252" s="1838"/>
      <c r="FF252" s="1844"/>
      <c r="FG252" s="1840"/>
      <c r="FH252" s="1837"/>
      <c r="FI252" s="1838"/>
      <c r="FJ252" s="1837"/>
      <c r="FK252" s="1838"/>
      <c r="FL252" s="1844"/>
      <c r="FM252" s="1840"/>
      <c r="FN252" s="1837"/>
      <c r="FO252" s="1838"/>
      <c r="FP252" s="1837"/>
      <c r="FQ252" s="1838"/>
      <c r="FR252" s="1844"/>
      <c r="FS252" s="1840"/>
      <c r="FT252" s="1837"/>
      <c r="FU252" s="1838"/>
      <c r="FV252" s="1837"/>
      <c r="FW252" s="1838"/>
      <c r="FX252" s="1844"/>
      <c r="FY252" s="1840"/>
      <c r="FZ252" s="1837"/>
      <c r="GA252" s="1838"/>
      <c r="GB252" s="1837"/>
      <c r="GC252" s="1838"/>
      <c r="GD252" s="1844"/>
      <c r="GE252" s="1840"/>
      <c r="GF252" s="1837"/>
      <c r="GG252" s="1838"/>
      <c r="GH252" s="1837"/>
      <c r="GI252" s="1838"/>
      <c r="GJ252" s="1844"/>
      <c r="GK252" s="1840"/>
      <c r="GL252" s="1837"/>
      <c r="GM252" s="1838"/>
      <c r="GN252" s="1837"/>
      <c r="GO252" s="1838"/>
      <c r="GP252" s="1844"/>
    </row>
    <row r="253" spans="1:198" ht="20.100000000000001" hidden="1" customHeight="1" outlineLevel="1">
      <c r="A253" s="2709"/>
      <c r="B253" s="2612"/>
      <c r="C253" s="1836">
        <v>10</v>
      </c>
      <c r="D253" s="2614" t="str">
        <f>実績!C1168&amp;"("&amp;SUBSTITUTE(実績!R1168&amp;")","株式会社 ","")</f>
        <v>コメリPW札幌発寒(T&amp;N北海道設計事務所)</v>
      </c>
      <c r="E253" s="2615"/>
      <c r="F253" s="2615"/>
      <c r="G253" s="2615"/>
      <c r="H253" s="2615"/>
      <c r="I253" s="2615"/>
      <c r="J253" s="2615"/>
      <c r="K253" s="2615"/>
      <c r="L253" s="2615"/>
      <c r="M253" s="2615"/>
      <c r="N253" s="2615"/>
      <c r="O253" s="2615"/>
      <c r="P253" s="2615"/>
      <c r="Q253" s="2615"/>
      <c r="R253" s="2622"/>
      <c r="S253" s="1837"/>
      <c r="T253" s="1837"/>
      <c r="U253" s="1838"/>
      <c r="V253" s="1837"/>
      <c r="W253" s="1838"/>
      <c r="X253" s="1839"/>
      <c r="Y253" s="1837"/>
      <c r="Z253" s="1837"/>
      <c r="AA253" s="1838"/>
      <c r="AB253" s="1837"/>
      <c r="AC253" s="1838"/>
      <c r="AD253" s="1837"/>
      <c r="AE253" s="1840"/>
      <c r="AF253" s="1837"/>
      <c r="AG253" s="1838"/>
      <c r="AH253" s="1837"/>
      <c r="AI253" s="1838"/>
      <c r="AJ253" s="1839"/>
      <c r="AK253" s="1837"/>
      <c r="AL253" s="1837"/>
      <c r="AM253" s="1838"/>
      <c r="AN253" s="1842"/>
      <c r="AO253" s="1838"/>
      <c r="AP253" s="1837"/>
      <c r="AQ253" s="1841" t="s">
        <v>8403</v>
      </c>
      <c r="AR253" s="1837"/>
      <c r="AS253" s="1838"/>
      <c r="AT253" s="1837"/>
      <c r="AU253" s="1838"/>
      <c r="AV253" s="1839"/>
      <c r="AW253" s="1840"/>
      <c r="AX253" s="1837"/>
      <c r="AY253" s="1838"/>
      <c r="AZ253" s="1837"/>
      <c r="BA253" s="1838"/>
      <c r="BB253" s="1839"/>
      <c r="BC253" s="1837"/>
      <c r="BD253" s="1837"/>
      <c r="BE253" s="1838"/>
      <c r="BF253" s="1837"/>
      <c r="BG253" s="1838"/>
      <c r="BH253" s="1837"/>
      <c r="BI253" s="1840"/>
      <c r="BJ253" s="1837"/>
      <c r="BK253" s="1838"/>
      <c r="BL253" s="1837"/>
      <c r="BM253" s="1838"/>
      <c r="BN253" s="1839"/>
      <c r="BO253" s="1840"/>
      <c r="BP253" s="1837"/>
      <c r="BQ253" s="1838"/>
      <c r="BR253" s="1837"/>
      <c r="BS253" s="1838"/>
      <c r="BT253" s="1839"/>
      <c r="BU253" s="1840"/>
      <c r="BV253" s="1837"/>
      <c r="BW253" s="1838"/>
      <c r="BX253" s="1837"/>
      <c r="BY253" s="1838"/>
      <c r="BZ253" s="1839"/>
      <c r="CA253" s="1840"/>
      <c r="CB253" s="1837"/>
      <c r="CC253" s="1838"/>
      <c r="CD253" s="1842"/>
      <c r="CE253" s="1838"/>
      <c r="CF253" s="1839"/>
      <c r="CG253" s="1840"/>
      <c r="CH253" s="1837"/>
      <c r="CI253" s="1838"/>
      <c r="CJ253" s="1837"/>
      <c r="CK253" s="1838"/>
      <c r="CL253" s="1839"/>
      <c r="CM253" s="1840"/>
      <c r="CN253" s="1837"/>
      <c r="CO253" s="1838"/>
      <c r="CP253" s="1837"/>
      <c r="CQ253" s="1838"/>
      <c r="CR253" s="1839"/>
      <c r="CS253" s="1840"/>
      <c r="CT253" s="1837"/>
      <c r="CU253" s="1838"/>
      <c r="CV253" s="1837"/>
      <c r="CW253" s="1838"/>
      <c r="CX253" s="1839"/>
      <c r="CY253" s="1840"/>
      <c r="CZ253" s="1837"/>
      <c r="DA253" s="1838"/>
      <c r="DB253" s="1837"/>
      <c r="DC253" s="1838"/>
      <c r="DD253" s="1839"/>
      <c r="DE253" s="1840"/>
      <c r="DF253" s="1837"/>
      <c r="DG253" s="1838"/>
      <c r="DH253" s="1837"/>
      <c r="DI253" s="1838"/>
      <c r="DJ253" s="1839"/>
      <c r="DK253" s="1840"/>
      <c r="DL253" s="1837"/>
      <c r="DM253" s="1838"/>
      <c r="DN253" s="1837"/>
      <c r="DO253" s="1838"/>
      <c r="DP253" s="1839"/>
      <c r="DQ253" s="1840"/>
      <c r="DR253" s="1837"/>
      <c r="DS253" s="1838"/>
      <c r="DT253" s="1837"/>
      <c r="DU253" s="1838"/>
      <c r="DV253" s="1839"/>
      <c r="DW253" s="1840"/>
      <c r="DX253" s="1837"/>
      <c r="DY253" s="1838"/>
      <c r="DZ253" s="1837"/>
      <c r="EA253" s="1838"/>
      <c r="EB253" s="1839"/>
      <c r="EC253" s="1840"/>
      <c r="ED253" s="1837"/>
      <c r="EE253" s="1838"/>
      <c r="EF253" s="1837"/>
      <c r="EG253" s="1838"/>
      <c r="EH253" s="1839"/>
      <c r="EI253" s="1840" t="s">
        <v>15531</v>
      </c>
      <c r="EJ253" s="1837"/>
      <c r="EK253" s="1838"/>
      <c r="EL253" s="1837"/>
      <c r="EM253" s="1838"/>
      <c r="EN253" s="1839"/>
      <c r="EO253" s="1840"/>
      <c r="EP253" s="1837"/>
      <c r="EQ253" s="1838"/>
      <c r="ER253" s="1837"/>
      <c r="ES253" s="1838"/>
      <c r="ET253" s="1839"/>
      <c r="EU253" s="1840"/>
      <c r="EV253" s="1837"/>
      <c r="EW253" s="1838"/>
      <c r="EX253" s="1837"/>
      <c r="EY253" s="1838"/>
      <c r="EZ253" s="1839"/>
      <c r="FA253" s="1840"/>
      <c r="FB253" s="1837"/>
      <c r="FC253" s="1838"/>
      <c r="FD253" s="1837"/>
      <c r="FE253" s="1838"/>
      <c r="FF253" s="1839"/>
      <c r="FG253" s="1840"/>
      <c r="FH253" s="1837"/>
      <c r="FI253" s="1838"/>
      <c r="FJ253" s="1837"/>
      <c r="FK253" s="1838"/>
      <c r="FL253" s="1839"/>
      <c r="FM253" s="1840"/>
      <c r="FN253" s="1837"/>
      <c r="FO253" s="1838"/>
      <c r="FP253" s="1837"/>
      <c r="FQ253" s="1838"/>
      <c r="FR253" s="1839"/>
      <c r="FS253" s="1840"/>
      <c r="FT253" s="1837"/>
      <c r="FU253" s="1838"/>
      <c r="FV253" s="1837"/>
      <c r="FW253" s="1838"/>
      <c r="FX253" s="1839"/>
      <c r="FY253" s="1840"/>
      <c r="FZ253" s="1837"/>
      <c r="GA253" s="1838"/>
      <c r="GB253" s="1837"/>
      <c r="GC253" s="1838"/>
      <c r="GD253" s="1839"/>
      <c r="GE253" s="1840"/>
      <c r="GF253" s="1837"/>
      <c r="GG253" s="1838"/>
      <c r="GH253" s="1837"/>
      <c r="GI253" s="1838"/>
      <c r="GJ253" s="1839"/>
      <c r="GK253" s="1840"/>
      <c r="GL253" s="1837"/>
      <c r="GM253" s="1838"/>
      <c r="GN253" s="1837"/>
      <c r="GO253" s="1838"/>
      <c r="GP253" s="1839"/>
    </row>
    <row r="254" spans="1:198" ht="20.100000000000001" hidden="1" customHeight="1" outlineLevel="1">
      <c r="A254" s="2709"/>
      <c r="B254" s="2612"/>
      <c r="C254" s="1836">
        <v>11</v>
      </c>
      <c r="D254" s="2614" t="str">
        <f>実績!C1361&amp;"("&amp;SUBSTITUTE(実績!R1361&amp;")"," 株式会社","")</f>
        <v>宮城ダイハツ販売㈱石巻店(日本建設)</v>
      </c>
      <c r="E254" s="2617"/>
      <c r="F254" s="2617"/>
      <c r="G254" s="2617"/>
      <c r="H254" s="2617"/>
      <c r="I254" s="2617"/>
      <c r="J254" s="2617"/>
      <c r="K254" s="2617"/>
      <c r="L254" s="2617"/>
      <c r="M254" s="2617"/>
      <c r="N254" s="2617"/>
      <c r="O254" s="2617"/>
      <c r="P254" s="2617"/>
      <c r="Q254" s="2617"/>
      <c r="R254" s="2622"/>
      <c r="S254" s="1837"/>
      <c r="T254" s="1837"/>
      <c r="U254" s="1838"/>
      <c r="V254" s="1837"/>
      <c r="W254" s="1838"/>
      <c r="X254" s="1839"/>
      <c r="Y254" s="1837"/>
      <c r="Z254" s="1837"/>
      <c r="AA254" s="1838"/>
      <c r="AB254" s="1837"/>
      <c r="AC254" s="1838"/>
      <c r="AD254" s="1837"/>
      <c r="AE254" s="1840"/>
      <c r="AF254" s="1837"/>
      <c r="AG254" s="1838"/>
      <c r="AH254" s="1837"/>
      <c r="AI254" s="1838"/>
      <c r="AJ254" s="1839"/>
      <c r="AK254" s="1837"/>
      <c r="AL254" s="1837"/>
      <c r="AM254" s="1838"/>
      <c r="AN254" s="1837"/>
      <c r="AO254" s="1838"/>
      <c r="AP254" s="1837"/>
      <c r="AQ254" s="1841"/>
      <c r="AR254" s="1837"/>
      <c r="AS254" s="1838"/>
      <c r="AT254" s="1837"/>
      <c r="AU254" s="1838"/>
      <c r="AV254" s="1839"/>
      <c r="AW254" s="1840"/>
      <c r="AX254" s="1837"/>
      <c r="AY254" s="1838"/>
      <c r="AZ254" s="1837"/>
      <c r="BA254" s="1838"/>
      <c r="BB254" s="1839"/>
      <c r="BC254" s="1837"/>
      <c r="BD254" s="1837"/>
      <c r="BE254" s="1838"/>
      <c r="BF254" s="1837"/>
      <c r="BG254" s="1838"/>
      <c r="BH254" s="1837"/>
      <c r="BI254" s="1840"/>
      <c r="BJ254" s="1837"/>
      <c r="BK254" s="1838"/>
      <c r="BL254" s="1837"/>
      <c r="BM254" s="1838"/>
      <c r="BN254" s="1839"/>
      <c r="BO254" s="1840"/>
      <c r="BP254" s="1837"/>
      <c r="BQ254" s="1838"/>
      <c r="BR254" s="1842"/>
      <c r="BS254" s="1838"/>
      <c r="BT254" s="1839"/>
      <c r="BU254" s="1840"/>
      <c r="BV254" s="1837"/>
      <c r="BW254" s="1838"/>
      <c r="BX254" s="1837"/>
      <c r="BY254" s="1838"/>
      <c r="BZ254" s="1839"/>
      <c r="CA254" s="1840"/>
      <c r="CB254" s="1837"/>
      <c r="CC254" s="1838"/>
      <c r="CD254" s="1837"/>
      <c r="CE254" s="1838"/>
      <c r="CF254" s="1839"/>
      <c r="CG254" s="1840"/>
      <c r="CH254" s="1837"/>
      <c r="CI254" s="1838"/>
      <c r="CJ254" s="1837"/>
      <c r="CK254" s="1838"/>
      <c r="CL254" s="1839"/>
      <c r="CM254" s="1840"/>
      <c r="CN254" s="1837"/>
      <c r="CO254" s="1838"/>
      <c r="CP254" s="1843"/>
      <c r="CQ254" s="1838"/>
      <c r="CR254" s="1839"/>
      <c r="CS254" s="1840"/>
      <c r="CT254" s="1837"/>
      <c r="CU254" s="1838"/>
      <c r="CV254" s="1837"/>
      <c r="CW254" s="1838"/>
      <c r="CX254" s="1839"/>
      <c r="CY254" s="1840"/>
      <c r="CZ254" s="1837"/>
      <c r="DA254" s="1838"/>
      <c r="DB254" s="1837"/>
      <c r="DC254" s="1838"/>
      <c r="DD254" s="1839"/>
      <c r="DE254" s="1840"/>
      <c r="DF254" s="1837"/>
      <c r="DG254" s="1838"/>
      <c r="DH254" s="1837"/>
      <c r="DI254" s="1838"/>
      <c r="DJ254" s="1839"/>
      <c r="DK254" s="1840"/>
      <c r="DL254" s="1837"/>
      <c r="DM254" s="1838"/>
      <c r="DN254" s="1837"/>
      <c r="DO254" s="1838"/>
      <c r="DP254" s="1839"/>
      <c r="DQ254" s="1840"/>
      <c r="DR254" s="1837"/>
      <c r="DS254" s="1838"/>
      <c r="DT254" s="1837"/>
      <c r="DU254" s="1838"/>
      <c r="DV254" s="1839" t="s">
        <v>15552</v>
      </c>
      <c r="DW254" s="1840"/>
      <c r="DX254" s="1837"/>
      <c r="DY254" s="1838"/>
      <c r="DZ254" s="1837"/>
      <c r="EA254" s="1838"/>
      <c r="EB254" s="1839"/>
      <c r="EC254" s="1840"/>
      <c r="ED254" s="1837"/>
      <c r="EE254" s="1838"/>
      <c r="EF254" s="1837"/>
      <c r="EG254" s="1838"/>
      <c r="EH254" s="1839"/>
      <c r="EI254" s="1840" t="s">
        <v>8145</v>
      </c>
      <c r="EJ254" s="1837"/>
      <c r="EK254" s="1838"/>
      <c r="EL254" s="1837"/>
      <c r="EM254" s="1838"/>
      <c r="EN254" s="1839"/>
      <c r="EO254" s="1840"/>
      <c r="EP254" s="1837"/>
      <c r="EQ254" s="1838"/>
      <c r="ER254" s="1837"/>
      <c r="ES254" s="1838"/>
      <c r="ET254" s="1839"/>
      <c r="EU254" s="1840"/>
      <c r="EV254" s="1837"/>
      <c r="EW254" s="1838"/>
      <c r="EX254" s="1837"/>
      <c r="EY254" s="1838"/>
      <c r="EZ254" s="1839"/>
      <c r="FA254" s="1840"/>
      <c r="FB254" s="1837"/>
      <c r="FC254" s="1838"/>
      <c r="FD254" s="1837"/>
      <c r="FE254" s="1838"/>
      <c r="FF254" s="1839"/>
      <c r="FG254" s="1840"/>
      <c r="FH254" s="1837"/>
      <c r="FI254" s="1838"/>
      <c r="FJ254" s="1837"/>
      <c r="FK254" s="1838"/>
      <c r="FL254" s="1839"/>
      <c r="FM254" s="1840"/>
      <c r="FN254" s="1837"/>
      <c r="FO254" s="1838"/>
      <c r="FP254" s="1837"/>
      <c r="FQ254" s="1838"/>
      <c r="FR254" s="1839"/>
      <c r="FS254" s="1840"/>
      <c r="FT254" s="1837"/>
      <c r="FU254" s="1838"/>
      <c r="FV254" s="1837"/>
      <c r="FW254" s="1838"/>
      <c r="FX254" s="1839"/>
      <c r="FY254" s="1840"/>
      <c r="FZ254" s="1837"/>
      <c r="GA254" s="1838"/>
      <c r="GB254" s="1837"/>
      <c r="GC254" s="1838"/>
      <c r="GD254" s="1839"/>
      <c r="GE254" s="1840"/>
      <c r="GF254" s="1837"/>
      <c r="GG254" s="1838"/>
      <c r="GH254" s="1837"/>
      <c r="GI254" s="1838"/>
      <c r="GJ254" s="1839"/>
      <c r="GK254" s="1840"/>
      <c r="GL254" s="1837"/>
      <c r="GM254" s="1838"/>
      <c r="GN254" s="1837"/>
      <c r="GO254" s="1838"/>
      <c r="GP254" s="1839"/>
    </row>
    <row r="255" spans="1:198" ht="20.100000000000001" hidden="1" customHeight="1" outlineLevel="1" collapsed="1">
      <c r="A255" s="2709"/>
      <c r="B255" s="2612"/>
      <c r="C255" s="1836">
        <v>12</v>
      </c>
      <c r="D255" s="2614" t="str">
        <f>実績!C1357&amp;"("&amp;SUBSTITUTE(実績!W1357&amp;")","有限会社 ","")</f>
        <v>ヤマザワ新・谷地(石山建築研究所)</v>
      </c>
      <c r="E255" s="2617"/>
      <c r="F255" s="2617"/>
      <c r="G255" s="2617"/>
      <c r="H255" s="2617"/>
      <c r="I255" s="2617"/>
      <c r="J255" s="2617"/>
      <c r="K255" s="2617"/>
      <c r="L255" s="2617"/>
      <c r="M255" s="2617"/>
      <c r="N255" s="2617"/>
      <c r="O255" s="2617"/>
      <c r="P255" s="2617"/>
      <c r="Q255" s="2617"/>
      <c r="R255" s="2622"/>
      <c r="S255" s="1837"/>
      <c r="T255" s="1837"/>
      <c r="U255" s="1838"/>
      <c r="V255" s="1837"/>
      <c r="W255" s="1838"/>
      <c r="X255" s="1839"/>
      <c r="Y255" s="1837"/>
      <c r="Z255" s="1837"/>
      <c r="AA255" s="1838"/>
      <c r="AB255" s="1837"/>
      <c r="AC255" s="1838"/>
      <c r="AD255" s="1837"/>
      <c r="AE255" s="1840"/>
      <c r="AF255" s="1837"/>
      <c r="AG255" s="1838"/>
      <c r="AH255" s="1837"/>
      <c r="AI255" s="1838"/>
      <c r="AJ255" s="1839"/>
      <c r="AK255" s="1837"/>
      <c r="AL255" s="1837"/>
      <c r="AM255" s="1838"/>
      <c r="AN255" s="1837"/>
      <c r="AO255" s="1838"/>
      <c r="AP255" s="1837"/>
      <c r="AQ255" s="1841"/>
      <c r="AR255" s="1837"/>
      <c r="AS255" s="1838"/>
      <c r="AT255" s="1837"/>
      <c r="AU255" s="1838"/>
      <c r="AV255" s="1839"/>
      <c r="AW255" s="1840"/>
      <c r="AX255" s="1837"/>
      <c r="AY255" s="1838"/>
      <c r="AZ255" s="1837"/>
      <c r="BA255" s="1838"/>
      <c r="BB255" s="1839"/>
      <c r="BC255" s="1837"/>
      <c r="BD255" s="1837"/>
      <c r="BE255" s="1838"/>
      <c r="BF255" s="1837"/>
      <c r="BG255" s="1838"/>
      <c r="BH255" s="1837"/>
      <c r="BI255" s="1840"/>
      <c r="BJ255" s="1837"/>
      <c r="BK255" s="1838"/>
      <c r="BL255" s="1837"/>
      <c r="BM255" s="1838"/>
      <c r="BN255" s="1839"/>
      <c r="BO255" s="1840"/>
      <c r="BP255" s="1837"/>
      <c r="BQ255" s="1838"/>
      <c r="BR255" s="1842"/>
      <c r="BS255" s="1838"/>
      <c r="BT255" s="1839"/>
      <c r="BU255" s="1840"/>
      <c r="BV255" s="1837"/>
      <c r="BW255" s="1838"/>
      <c r="BX255" s="1837"/>
      <c r="BY255" s="1838"/>
      <c r="BZ255" s="1839"/>
      <c r="CA255" s="1840"/>
      <c r="CB255" s="1837"/>
      <c r="CC255" s="1838"/>
      <c r="CD255" s="1837"/>
      <c r="CE255" s="1838"/>
      <c r="CF255" s="1839"/>
      <c r="CG255" s="1840"/>
      <c r="CH255" s="1837"/>
      <c r="CI255" s="1838"/>
      <c r="CJ255" s="1837"/>
      <c r="CK255" s="1838"/>
      <c r="CL255" s="1839"/>
      <c r="CM255" s="1840"/>
      <c r="CN255" s="1837"/>
      <c r="CO255" s="1838"/>
      <c r="CP255" s="1843"/>
      <c r="CQ255" s="1838"/>
      <c r="CR255" s="1839"/>
      <c r="CS255" s="1840"/>
      <c r="CT255" s="1837"/>
      <c r="CU255" s="1838"/>
      <c r="CV255" s="1837"/>
      <c r="CW255" s="1838"/>
      <c r="CX255" s="1839"/>
      <c r="CY255" s="1840"/>
      <c r="CZ255" s="1837"/>
      <c r="DA255" s="1838"/>
      <c r="DB255" s="1837"/>
      <c r="DC255" s="1838"/>
      <c r="DD255" s="1839"/>
      <c r="DE255" s="1840"/>
      <c r="DF255" s="1837"/>
      <c r="DG255" s="1838"/>
      <c r="DH255" s="1837"/>
      <c r="DI255" s="1838"/>
      <c r="DJ255" s="1839"/>
      <c r="DK255" s="1840"/>
      <c r="DL255" s="1837"/>
      <c r="DM255" s="1838"/>
      <c r="DN255" s="1837"/>
      <c r="DO255" s="1838"/>
      <c r="DP255" s="1839"/>
      <c r="DQ255" s="1840"/>
      <c r="DR255" s="1837"/>
      <c r="DS255" s="1838"/>
      <c r="DT255" s="1837"/>
      <c r="DU255" s="1838"/>
      <c r="DV255" s="1839" t="s">
        <v>15532</v>
      </c>
      <c r="DW255" s="1840"/>
      <c r="DX255" s="1837"/>
      <c r="DY255" s="1838" t="s">
        <v>15513</v>
      </c>
      <c r="DZ255" s="1837"/>
      <c r="EA255" s="1838"/>
      <c r="EB255" s="1839"/>
      <c r="EC255" s="1840"/>
      <c r="ED255" s="1837"/>
      <c r="EE255" s="1838"/>
      <c r="EF255" s="1837"/>
      <c r="EG255" s="1838"/>
      <c r="EH255" s="1839"/>
      <c r="EI255" s="1840" t="s">
        <v>8145</v>
      </c>
      <c r="EJ255" s="1837"/>
      <c r="EK255" s="1838"/>
      <c r="EL255" s="1837"/>
      <c r="EM255" s="1838"/>
      <c r="EN255" s="1839"/>
      <c r="EO255" s="1840"/>
      <c r="EP255" s="1837"/>
      <c r="EQ255" s="1838"/>
      <c r="ER255" s="1837"/>
      <c r="ES255" s="1838"/>
      <c r="ET255" s="1844"/>
      <c r="EU255" s="1840"/>
      <c r="EV255" s="1837"/>
      <c r="EW255" s="1838"/>
      <c r="EX255" s="1837"/>
      <c r="EY255" s="1838"/>
      <c r="EZ255" s="1844"/>
      <c r="FA255" s="1840"/>
      <c r="FB255" s="1837"/>
      <c r="FC255" s="1838"/>
      <c r="FD255" s="1837"/>
      <c r="FE255" s="1838"/>
      <c r="FF255" s="1844"/>
      <c r="FG255" s="1840"/>
      <c r="FH255" s="1837"/>
      <c r="FI255" s="1838"/>
      <c r="FJ255" s="1837"/>
      <c r="FK255" s="1838"/>
      <c r="FL255" s="1844"/>
      <c r="FM255" s="1840"/>
      <c r="FN255" s="1837"/>
      <c r="FO255" s="1838"/>
      <c r="FP255" s="1837"/>
      <c r="FQ255" s="1838"/>
      <c r="FR255" s="1844"/>
      <c r="FS255" s="1840"/>
      <c r="FT255" s="1837"/>
      <c r="FU255" s="1838"/>
      <c r="FV255" s="1837"/>
      <c r="FW255" s="1838"/>
      <c r="FX255" s="1844"/>
      <c r="FY255" s="1840"/>
      <c r="FZ255" s="1837"/>
      <c r="GA255" s="1838"/>
      <c r="GB255" s="1837"/>
      <c r="GC255" s="1838"/>
      <c r="GD255" s="1844"/>
      <c r="GE255" s="1840"/>
      <c r="GF255" s="1837"/>
      <c r="GG255" s="1838"/>
      <c r="GH255" s="1837"/>
      <c r="GI255" s="1838"/>
      <c r="GJ255" s="1844"/>
      <c r="GK255" s="1840"/>
      <c r="GL255" s="1837"/>
      <c r="GM255" s="1838"/>
      <c r="GN255" s="1837"/>
      <c r="GO255" s="1838"/>
      <c r="GP255" s="1844"/>
    </row>
    <row r="256" spans="1:198" ht="20.100000000000001" hidden="1" customHeight="1" outlineLevel="1">
      <c r="A256" s="2709"/>
      <c r="B256" s="2612"/>
      <c r="C256" s="1836">
        <v>13</v>
      </c>
      <c r="D256" s="2614" t="str">
        <f>実績!C1363&amp;"("&amp;SUBSTITUTE(実績!R1363&amp;")","株式会社 ","")</f>
        <v>カナモト小浜営業所(吉光組)</v>
      </c>
      <c r="E256" s="2617"/>
      <c r="F256" s="2617"/>
      <c r="G256" s="2617"/>
      <c r="H256" s="2617"/>
      <c r="I256" s="2617"/>
      <c r="J256" s="2617"/>
      <c r="K256" s="2617"/>
      <c r="L256" s="2617"/>
      <c r="M256" s="2617"/>
      <c r="N256" s="2617"/>
      <c r="O256" s="2617"/>
      <c r="P256" s="2617"/>
      <c r="Q256" s="2617"/>
      <c r="R256" s="2622"/>
      <c r="S256" s="1837"/>
      <c r="T256" s="1837"/>
      <c r="U256" s="1837"/>
      <c r="V256" s="1837"/>
      <c r="W256" s="1837"/>
      <c r="X256" s="1837"/>
      <c r="Y256" s="1837"/>
      <c r="Z256" s="1837"/>
      <c r="AA256" s="1837"/>
      <c r="AB256" s="1837"/>
      <c r="AC256" s="1837"/>
      <c r="AD256" s="1837"/>
      <c r="AE256" s="1837"/>
      <c r="AF256" s="1837"/>
      <c r="AG256" s="1837"/>
      <c r="AH256" s="1837"/>
      <c r="AI256" s="1837"/>
      <c r="AJ256" s="1837"/>
      <c r="AK256" s="1837"/>
      <c r="AL256" s="1837"/>
      <c r="AM256" s="1837"/>
      <c r="AN256" s="1837"/>
      <c r="AO256" s="1837"/>
      <c r="AP256" s="1837"/>
      <c r="AQ256" s="1837"/>
      <c r="AR256" s="1837"/>
      <c r="AS256" s="1837"/>
      <c r="AT256" s="1837"/>
      <c r="AU256" s="1837"/>
      <c r="AV256" s="1837"/>
      <c r="AW256" s="1837"/>
      <c r="AX256" s="1837"/>
      <c r="AY256" s="1837"/>
      <c r="AZ256" s="1837"/>
      <c r="BA256" s="1837"/>
      <c r="BB256" s="1837"/>
      <c r="BC256" s="1837"/>
      <c r="BD256" s="1837"/>
      <c r="BE256" s="1837"/>
      <c r="BF256" s="1837"/>
      <c r="BG256" s="1837"/>
      <c r="BH256" s="1837"/>
      <c r="BI256" s="1837"/>
      <c r="BJ256" s="1837"/>
      <c r="BK256" s="1837"/>
      <c r="BL256" s="1837"/>
      <c r="BM256" s="1837"/>
      <c r="BN256" s="1837"/>
      <c r="BO256" s="1837"/>
      <c r="BP256" s="1837"/>
      <c r="BQ256" s="1837"/>
      <c r="BR256" s="1837"/>
      <c r="BS256" s="1837"/>
      <c r="BT256" s="1837"/>
      <c r="BU256" s="1837"/>
      <c r="BV256" s="1837"/>
      <c r="BW256" s="1837"/>
      <c r="BX256" s="1837"/>
      <c r="BY256" s="1837"/>
      <c r="BZ256" s="1837"/>
      <c r="CA256" s="1837"/>
      <c r="CB256" s="1837"/>
      <c r="CC256" s="1837"/>
      <c r="CD256" s="1837"/>
      <c r="CE256" s="1837"/>
      <c r="CF256" s="1837"/>
      <c r="CG256" s="1837"/>
      <c r="CH256" s="1837"/>
      <c r="CI256" s="1837"/>
      <c r="CJ256" s="1837"/>
      <c r="CK256" s="1837"/>
      <c r="CL256" s="1837"/>
      <c r="CM256" s="1837"/>
      <c r="CN256" s="1837"/>
      <c r="CO256" s="1837"/>
      <c r="CP256" s="1843"/>
      <c r="CQ256" s="1837"/>
      <c r="CR256" s="1837"/>
      <c r="CS256" s="1837"/>
      <c r="CT256" s="1837"/>
      <c r="CU256" s="1837"/>
      <c r="CV256" s="1837"/>
      <c r="CW256" s="1837"/>
      <c r="CX256" s="1837"/>
      <c r="CY256" s="1840"/>
      <c r="CZ256" s="1837"/>
      <c r="DA256" s="1838"/>
      <c r="DB256" s="1837"/>
      <c r="DC256" s="1838"/>
      <c r="DD256" s="1839"/>
      <c r="DE256" s="1840"/>
      <c r="DF256" s="1837"/>
      <c r="DG256" s="1838"/>
      <c r="DH256" s="1837"/>
      <c r="DI256" s="1838"/>
      <c r="DJ256" s="1844"/>
      <c r="DK256" s="1840"/>
      <c r="DL256" s="1837"/>
      <c r="DM256" s="1838"/>
      <c r="DN256" s="1837"/>
      <c r="DO256" s="1838"/>
      <c r="DP256" s="1839"/>
      <c r="DQ256" s="1840"/>
      <c r="DR256" s="1837"/>
      <c r="DS256" s="1838"/>
      <c r="DT256" s="1837"/>
      <c r="DU256" s="1838"/>
      <c r="DV256" s="1839"/>
      <c r="DW256" s="1840"/>
      <c r="DX256" s="1837"/>
      <c r="DY256" s="1838" t="s">
        <v>15716</v>
      </c>
      <c r="DZ256" s="1837"/>
      <c r="EA256" s="1838"/>
      <c r="EB256" s="1844"/>
      <c r="EC256" s="1840" t="s">
        <v>15624</v>
      </c>
      <c r="ED256" s="1837"/>
      <c r="EE256" s="1838"/>
      <c r="EF256" s="1837"/>
      <c r="EG256" s="1838"/>
      <c r="EH256" s="1844"/>
      <c r="EI256" s="1840"/>
      <c r="EJ256" s="1837"/>
      <c r="EK256" s="1838"/>
      <c r="EL256" s="1837"/>
      <c r="EM256" s="1838"/>
      <c r="EN256" s="1844"/>
      <c r="EO256" s="1840"/>
      <c r="EP256" s="1837"/>
      <c r="EQ256" s="1838"/>
      <c r="ER256" s="1837"/>
      <c r="ES256" s="1838"/>
      <c r="ET256" s="1839"/>
      <c r="EU256" s="1840"/>
      <c r="EV256" s="1837"/>
      <c r="EW256" s="1838"/>
      <c r="EX256" s="1837"/>
      <c r="EY256" s="1838"/>
      <c r="EZ256" s="1839"/>
      <c r="FA256" s="1840"/>
      <c r="FB256" s="1837"/>
      <c r="FC256" s="1838"/>
      <c r="FD256" s="1837"/>
      <c r="FE256" s="1838"/>
      <c r="FF256" s="1839"/>
      <c r="FG256" s="1840"/>
      <c r="FH256" s="1837"/>
      <c r="FI256" s="1838"/>
      <c r="FJ256" s="1837"/>
      <c r="FK256" s="1838"/>
      <c r="FL256" s="1839"/>
      <c r="FM256" s="1840"/>
      <c r="FN256" s="1837"/>
      <c r="FO256" s="1838"/>
      <c r="FP256" s="1837"/>
      <c r="FQ256" s="1838"/>
      <c r="FR256" s="1839"/>
      <c r="FS256" s="1840"/>
      <c r="FT256" s="1837"/>
      <c r="FU256" s="1838"/>
      <c r="FV256" s="1837"/>
      <c r="FW256" s="1838"/>
      <c r="FX256" s="1839"/>
      <c r="FY256" s="1840"/>
      <c r="FZ256" s="1837"/>
      <c r="GA256" s="1838"/>
      <c r="GB256" s="1837"/>
      <c r="GC256" s="1838"/>
      <c r="GD256" s="1839"/>
      <c r="GE256" s="1840"/>
      <c r="GF256" s="1837"/>
      <c r="GG256" s="1838"/>
      <c r="GH256" s="1837"/>
      <c r="GI256" s="1838"/>
      <c r="GJ256" s="1839"/>
      <c r="GK256" s="1840"/>
      <c r="GL256" s="1837"/>
      <c r="GM256" s="1838"/>
      <c r="GN256" s="1837"/>
      <c r="GO256" s="1838"/>
      <c r="GP256" s="1839"/>
    </row>
    <row r="257" spans="1:198" ht="20.100000000000001" hidden="1" customHeight="1" outlineLevel="1">
      <c r="A257" s="2709"/>
      <c r="B257" s="2612"/>
      <c r="C257" s="1836">
        <v>1</v>
      </c>
      <c r="D257" s="2614" t="str">
        <f>実績!C1362&amp;"("&amp;SUBSTITUTE(実績!R1362&amp;")","株式会社 ","")</f>
        <v>ネクステージ春日部(NAG設計同人)</v>
      </c>
      <c r="E257" s="2617"/>
      <c r="F257" s="2617"/>
      <c r="G257" s="2617"/>
      <c r="H257" s="2617"/>
      <c r="I257" s="2617"/>
      <c r="J257" s="2617"/>
      <c r="K257" s="2617"/>
      <c r="L257" s="2617"/>
      <c r="M257" s="2617"/>
      <c r="N257" s="2617"/>
      <c r="O257" s="2617"/>
      <c r="P257" s="2617"/>
      <c r="Q257" s="2617"/>
      <c r="R257" s="2622"/>
      <c r="S257" s="1837"/>
      <c r="T257" s="1837"/>
      <c r="U257" s="1837"/>
      <c r="V257" s="1837"/>
      <c r="W257" s="1837"/>
      <c r="X257" s="1837"/>
      <c r="Y257" s="1837"/>
      <c r="Z257" s="1837"/>
      <c r="AA257" s="1837"/>
      <c r="AB257" s="1837"/>
      <c r="AC257" s="1837"/>
      <c r="AD257" s="1837"/>
      <c r="AE257" s="1837"/>
      <c r="AF257" s="1837"/>
      <c r="AG257" s="1837"/>
      <c r="AH257" s="1837"/>
      <c r="AI257" s="1837"/>
      <c r="AJ257" s="1837"/>
      <c r="AK257" s="1837"/>
      <c r="AL257" s="1837"/>
      <c r="AM257" s="1837"/>
      <c r="AN257" s="1837"/>
      <c r="AO257" s="1837"/>
      <c r="AP257" s="1837"/>
      <c r="AQ257" s="1837"/>
      <c r="AR257" s="1837"/>
      <c r="AS257" s="1837"/>
      <c r="AT257" s="1837"/>
      <c r="AU257" s="1837"/>
      <c r="AV257" s="1837"/>
      <c r="AW257" s="1837"/>
      <c r="AX257" s="1837"/>
      <c r="AY257" s="1837"/>
      <c r="AZ257" s="1837"/>
      <c r="BA257" s="1837"/>
      <c r="BB257" s="1837"/>
      <c r="BC257" s="1837"/>
      <c r="BD257" s="1837"/>
      <c r="BE257" s="1837"/>
      <c r="BF257" s="1837"/>
      <c r="BG257" s="1837"/>
      <c r="BH257" s="1837"/>
      <c r="BI257" s="1837"/>
      <c r="BJ257" s="1837"/>
      <c r="BK257" s="1837"/>
      <c r="BL257" s="1837"/>
      <c r="BM257" s="1837"/>
      <c r="BN257" s="1837"/>
      <c r="BO257" s="1837"/>
      <c r="BP257" s="1837"/>
      <c r="BQ257" s="1837"/>
      <c r="BR257" s="1837"/>
      <c r="BS257" s="1837"/>
      <c r="BT257" s="1837"/>
      <c r="BU257" s="1837"/>
      <c r="BV257" s="1837"/>
      <c r="BW257" s="1837"/>
      <c r="BX257" s="1837"/>
      <c r="BY257" s="1837"/>
      <c r="BZ257" s="1837"/>
      <c r="CA257" s="1837"/>
      <c r="CB257" s="1837"/>
      <c r="CC257" s="1837"/>
      <c r="CD257" s="1837"/>
      <c r="CE257" s="1837"/>
      <c r="CF257" s="1837"/>
      <c r="CG257" s="1837"/>
      <c r="CH257" s="1837"/>
      <c r="CI257" s="1837"/>
      <c r="CJ257" s="1837"/>
      <c r="CK257" s="1837"/>
      <c r="CL257" s="1837"/>
      <c r="CM257" s="1837"/>
      <c r="CN257" s="1837"/>
      <c r="CO257" s="1837"/>
      <c r="CP257" s="1843"/>
      <c r="CQ257" s="1837"/>
      <c r="CR257" s="1837"/>
      <c r="CS257" s="1837"/>
      <c r="CT257" s="1837"/>
      <c r="CU257" s="1837"/>
      <c r="CV257" s="1837"/>
      <c r="CW257" s="1837"/>
      <c r="CX257" s="1837"/>
      <c r="CY257" s="1840"/>
      <c r="CZ257" s="1837"/>
      <c r="DA257" s="1838"/>
      <c r="DB257" s="1837"/>
      <c r="DC257" s="1838"/>
      <c r="DD257" s="1839"/>
      <c r="DE257" s="1840"/>
      <c r="DF257" s="1837"/>
      <c r="DG257" s="1838"/>
      <c r="DH257" s="1837"/>
      <c r="DI257" s="1838"/>
      <c r="DJ257" s="1844"/>
      <c r="DK257" s="1840"/>
      <c r="DL257" s="1837"/>
      <c r="DM257" s="1838"/>
      <c r="DN257" s="1837"/>
      <c r="DO257" s="1838"/>
      <c r="DP257" s="1839"/>
      <c r="DQ257" s="1840"/>
      <c r="DR257" s="1837"/>
      <c r="DS257" s="1838"/>
      <c r="DT257" s="1837"/>
      <c r="DU257" s="1838"/>
      <c r="DV257" s="1844"/>
      <c r="DW257" s="1840"/>
      <c r="DX257" s="1837"/>
      <c r="DY257" s="1838"/>
      <c r="DZ257" s="1837" t="s">
        <v>15721</v>
      </c>
      <c r="EA257" s="1838"/>
      <c r="EB257" s="1844"/>
      <c r="EC257" s="1840"/>
      <c r="ED257" s="1837"/>
      <c r="EE257" s="1838"/>
      <c r="EF257" s="1837"/>
      <c r="EG257" s="1838"/>
      <c r="EH257" s="1844"/>
      <c r="EI257" s="1840"/>
      <c r="EJ257" s="1837"/>
      <c r="EK257" s="1838"/>
      <c r="EL257" s="1837"/>
      <c r="EM257" s="1838"/>
      <c r="EN257" s="1844"/>
      <c r="EO257" s="1840"/>
      <c r="EP257" s="1837"/>
      <c r="EQ257" s="1838"/>
      <c r="ER257" s="1837"/>
      <c r="ES257" s="1838"/>
      <c r="ET257" s="1839"/>
      <c r="EU257" s="1840"/>
      <c r="EV257" s="1837"/>
      <c r="EW257" s="1838"/>
      <c r="EX257" s="1837"/>
      <c r="EY257" s="1838"/>
      <c r="EZ257" s="1839"/>
      <c r="FA257" s="1840"/>
      <c r="FB257" s="1837"/>
      <c r="FC257" s="1838"/>
      <c r="FD257" s="1837"/>
      <c r="FE257" s="1838"/>
      <c r="FF257" s="1839"/>
      <c r="FG257" s="1840"/>
      <c r="FH257" s="1837"/>
      <c r="FI257" s="1838"/>
      <c r="FJ257" s="1837"/>
      <c r="FK257" s="1838"/>
      <c r="FL257" s="1839"/>
      <c r="FM257" s="1840"/>
      <c r="FN257" s="1837"/>
      <c r="FO257" s="1838"/>
      <c r="FP257" s="1837"/>
      <c r="FQ257" s="1838"/>
      <c r="FR257" s="1839"/>
      <c r="FS257" s="1840"/>
      <c r="FT257" s="1837"/>
      <c r="FU257" s="1838"/>
      <c r="FV257" s="1837"/>
      <c r="FW257" s="1838"/>
      <c r="FX257" s="1839"/>
      <c r="FY257" s="1840"/>
      <c r="FZ257" s="1837"/>
      <c r="GA257" s="1838"/>
      <c r="GB257" s="1837"/>
      <c r="GC257" s="1838"/>
      <c r="GD257" s="1839"/>
      <c r="GE257" s="1840"/>
      <c r="GF257" s="1837"/>
      <c r="GG257" s="1838"/>
      <c r="GH257" s="1837"/>
      <c r="GI257" s="1838"/>
      <c r="GJ257" s="1839"/>
      <c r="GK257" s="1840"/>
      <c r="GL257" s="1837"/>
      <c r="GM257" s="1838"/>
      <c r="GN257" s="1837"/>
      <c r="GO257" s="1838"/>
      <c r="GP257" s="1839"/>
    </row>
    <row r="258" spans="1:198" ht="20.100000000000001" hidden="1" customHeight="1" outlineLevel="1" collapsed="1">
      <c r="A258" s="2709"/>
      <c r="B258" s="2612"/>
      <c r="C258" s="1836">
        <v>2</v>
      </c>
      <c r="D258" s="2614" t="str">
        <f>実績!C1359&amp;"("&amp;SUBSTITUTE(実績!AB1359&amp;")","株式会社 ","")</f>
        <v>スーパーマルハチ新大阪(UCM)</v>
      </c>
      <c r="E258" s="2617"/>
      <c r="F258" s="2617"/>
      <c r="G258" s="2617"/>
      <c r="H258" s="2617"/>
      <c r="I258" s="2617"/>
      <c r="J258" s="2617"/>
      <c r="K258" s="2617"/>
      <c r="L258" s="2617"/>
      <c r="M258" s="2617"/>
      <c r="N258" s="2617"/>
      <c r="O258" s="2617"/>
      <c r="P258" s="2617"/>
      <c r="Q258" s="2617"/>
      <c r="R258" s="2622"/>
      <c r="S258" s="1837"/>
      <c r="T258" s="1837"/>
      <c r="U258" s="1837"/>
      <c r="V258" s="1837"/>
      <c r="W258" s="1837"/>
      <c r="X258" s="1837"/>
      <c r="Y258" s="1837"/>
      <c r="Z258" s="1837"/>
      <c r="AA258" s="1837"/>
      <c r="AB258" s="1837"/>
      <c r="AC258" s="1837"/>
      <c r="AD258" s="1837"/>
      <c r="AE258" s="1837"/>
      <c r="AF258" s="1837"/>
      <c r="AG258" s="1837"/>
      <c r="AH258" s="1837"/>
      <c r="AI258" s="1837"/>
      <c r="AJ258" s="1837"/>
      <c r="AK258" s="1837"/>
      <c r="AL258" s="1837"/>
      <c r="AM258" s="1837"/>
      <c r="AN258" s="1837"/>
      <c r="AO258" s="1837"/>
      <c r="AP258" s="1837"/>
      <c r="AQ258" s="1837"/>
      <c r="AR258" s="1837"/>
      <c r="AS258" s="1837"/>
      <c r="AT258" s="1837"/>
      <c r="AU258" s="1837"/>
      <c r="AV258" s="1837"/>
      <c r="AW258" s="1837"/>
      <c r="AX258" s="1837"/>
      <c r="AY258" s="1837"/>
      <c r="AZ258" s="1837"/>
      <c r="BA258" s="1837"/>
      <c r="BB258" s="1837"/>
      <c r="BC258" s="1837"/>
      <c r="BD258" s="1837"/>
      <c r="BE258" s="1837"/>
      <c r="BF258" s="1837"/>
      <c r="BG258" s="1837"/>
      <c r="BH258" s="1837"/>
      <c r="BI258" s="1837"/>
      <c r="BJ258" s="1837"/>
      <c r="BK258" s="1837"/>
      <c r="BL258" s="1837"/>
      <c r="BM258" s="1837"/>
      <c r="BN258" s="1837"/>
      <c r="BO258" s="1837"/>
      <c r="BP258" s="1837"/>
      <c r="BQ258" s="1837"/>
      <c r="BR258" s="1837"/>
      <c r="BS258" s="1837"/>
      <c r="BT258" s="1837"/>
      <c r="BU258" s="1837"/>
      <c r="BV258" s="1837"/>
      <c r="BW258" s="1837"/>
      <c r="BX258" s="1837"/>
      <c r="BY258" s="1837"/>
      <c r="BZ258" s="1837"/>
      <c r="CA258" s="1837"/>
      <c r="CB258" s="1837"/>
      <c r="CC258" s="1837"/>
      <c r="CD258" s="1837"/>
      <c r="CE258" s="1837"/>
      <c r="CF258" s="1837"/>
      <c r="CG258" s="1837"/>
      <c r="CH258" s="1837"/>
      <c r="CI258" s="1837"/>
      <c r="CJ258" s="1837"/>
      <c r="CK258" s="1837"/>
      <c r="CL258" s="1837"/>
      <c r="CM258" s="1837"/>
      <c r="CN258" s="1837"/>
      <c r="CO258" s="1837"/>
      <c r="CP258" s="1843"/>
      <c r="CQ258" s="1837"/>
      <c r="CR258" s="1837"/>
      <c r="CS258" s="1837"/>
      <c r="CT258" s="1837"/>
      <c r="CU258" s="1837"/>
      <c r="CV258" s="1837"/>
      <c r="CW258" s="1837"/>
      <c r="CX258" s="1837"/>
      <c r="CY258" s="1840"/>
      <c r="CZ258" s="1837"/>
      <c r="DA258" s="1838"/>
      <c r="DB258" s="1837"/>
      <c r="DC258" s="1838"/>
      <c r="DD258" s="1839"/>
      <c r="DE258" s="1840"/>
      <c r="DF258" s="1837"/>
      <c r="DG258" s="1838"/>
      <c r="DH258" s="1837"/>
      <c r="DI258" s="1838"/>
      <c r="DJ258" s="1844"/>
      <c r="DK258" s="1840"/>
      <c r="DL258" s="1837"/>
      <c r="DM258" s="1838"/>
      <c r="DN258" s="1837"/>
      <c r="DO258" s="1838"/>
      <c r="DP258" s="1839"/>
      <c r="DQ258" s="1840"/>
      <c r="DR258" s="1837"/>
      <c r="DS258" s="1838"/>
      <c r="DT258" s="1837"/>
      <c r="DU258" s="1838"/>
      <c r="DV258" s="1844"/>
      <c r="DW258" s="1840"/>
      <c r="DX258" s="1837"/>
      <c r="DY258" s="1838"/>
      <c r="DZ258" s="1837" t="s">
        <v>15762</v>
      </c>
      <c r="EA258" s="1838"/>
      <c r="EB258" s="1844"/>
      <c r="EC258" s="1840" t="s">
        <v>8145</v>
      </c>
      <c r="ED258" s="1837"/>
      <c r="EE258" s="1838"/>
      <c r="EF258" s="1837"/>
      <c r="EG258" s="1838"/>
      <c r="EH258" s="1844"/>
      <c r="EI258" s="1840"/>
      <c r="EJ258" s="1837"/>
      <c r="EK258" s="1838"/>
      <c r="EL258" s="1837"/>
      <c r="EM258" s="1838"/>
      <c r="EN258" s="1844"/>
      <c r="EO258" s="1840"/>
      <c r="EP258" s="1837"/>
      <c r="EQ258" s="1838"/>
      <c r="ER258" s="1837"/>
      <c r="ES258" s="1838"/>
      <c r="ET258" s="1839"/>
      <c r="EU258" s="1840"/>
      <c r="EV258" s="1837"/>
      <c r="EW258" s="1838"/>
      <c r="EX258" s="1837"/>
      <c r="EY258" s="1838"/>
      <c r="EZ258" s="1839"/>
      <c r="FA258" s="1840"/>
      <c r="FB258" s="1837"/>
      <c r="FC258" s="1838"/>
      <c r="FD258" s="1837"/>
      <c r="FE258" s="1838"/>
      <c r="FF258" s="1839"/>
      <c r="FG258" s="1840"/>
      <c r="FH258" s="1837"/>
      <c r="FI258" s="1838"/>
      <c r="FJ258" s="1837"/>
      <c r="FK258" s="1838"/>
      <c r="FL258" s="1839"/>
      <c r="FM258" s="1840"/>
      <c r="FN258" s="1837"/>
      <c r="FO258" s="1838"/>
      <c r="FP258" s="1837"/>
      <c r="FQ258" s="1838"/>
      <c r="FR258" s="1839"/>
      <c r="FS258" s="1840"/>
      <c r="FT258" s="1837"/>
      <c r="FU258" s="1838"/>
      <c r="FV258" s="1837"/>
      <c r="FW258" s="1838"/>
      <c r="FX258" s="1839"/>
      <c r="FY258" s="1840"/>
      <c r="FZ258" s="1837"/>
      <c r="GA258" s="1838"/>
      <c r="GB258" s="1837"/>
      <c r="GC258" s="1838"/>
      <c r="GD258" s="1839"/>
      <c r="GE258" s="1840"/>
      <c r="GF258" s="1837"/>
      <c r="GG258" s="1838"/>
      <c r="GH258" s="1837"/>
      <c r="GI258" s="1838"/>
      <c r="GJ258" s="1839"/>
      <c r="GK258" s="1840"/>
      <c r="GL258" s="1837"/>
      <c r="GM258" s="1838"/>
      <c r="GN258" s="1837"/>
      <c r="GO258" s="1838"/>
      <c r="GP258" s="1839"/>
    </row>
    <row r="259" spans="1:198" ht="20.100000000000001" hidden="1" customHeight="1" outlineLevel="1">
      <c r="A259" s="2709"/>
      <c r="B259" s="2612"/>
      <c r="C259" s="1836">
        <v>3</v>
      </c>
      <c r="D259" s="2614" t="str">
        <f>実績!C1360&amp;"("&amp;SUBSTITUTE(実績!AB1360&amp;")","株式会社 ","")</f>
        <v>エンドレステック 港町倉庫(ナカノフドー建設)</v>
      </c>
      <c r="E259" s="2617"/>
      <c r="F259" s="2617"/>
      <c r="G259" s="2617"/>
      <c r="H259" s="2617"/>
      <c r="I259" s="2617"/>
      <c r="J259" s="2617"/>
      <c r="K259" s="2617"/>
      <c r="L259" s="2617"/>
      <c r="M259" s="2617"/>
      <c r="N259" s="2617"/>
      <c r="O259" s="2617"/>
      <c r="P259" s="2617"/>
      <c r="Q259" s="2617"/>
      <c r="R259" s="2622"/>
      <c r="S259" s="1837"/>
      <c r="T259" s="1837"/>
      <c r="U259" s="1838"/>
      <c r="V259" s="1837"/>
      <c r="W259" s="1838"/>
      <c r="X259" s="1839"/>
      <c r="Y259" s="1837"/>
      <c r="Z259" s="1837"/>
      <c r="AA259" s="1838"/>
      <c r="AB259" s="1837"/>
      <c r="AC259" s="1838"/>
      <c r="AD259" s="1837"/>
      <c r="AE259" s="1840"/>
      <c r="AF259" s="1837"/>
      <c r="AG259" s="1838"/>
      <c r="AH259" s="1837"/>
      <c r="AI259" s="1838"/>
      <c r="AJ259" s="1839"/>
      <c r="AK259" s="1837"/>
      <c r="AL259" s="1837"/>
      <c r="AM259" s="1838"/>
      <c r="AN259" s="1837"/>
      <c r="AO259" s="1838"/>
      <c r="AP259" s="1837"/>
      <c r="AQ259" s="1841"/>
      <c r="AR259" s="1837"/>
      <c r="AS259" s="1838"/>
      <c r="AT259" s="1837"/>
      <c r="AU259" s="1838"/>
      <c r="AV259" s="1839"/>
      <c r="AW259" s="1840"/>
      <c r="AX259" s="1837"/>
      <c r="AY259" s="1838"/>
      <c r="AZ259" s="1837"/>
      <c r="BA259" s="1838"/>
      <c r="BB259" s="1839"/>
      <c r="BC259" s="1837"/>
      <c r="BD259" s="1837"/>
      <c r="BE259" s="1838"/>
      <c r="BF259" s="1837"/>
      <c r="BG259" s="1838"/>
      <c r="BH259" s="1837"/>
      <c r="BI259" s="1840"/>
      <c r="BJ259" s="1837"/>
      <c r="BK259" s="1838"/>
      <c r="BL259" s="1837"/>
      <c r="BM259" s="1838"/>
      <c r="BN259" s="1839"/>
      <c r="BO259" s="1840"/>
      <c r="BP259" s="1837"/>
      <c r="BQ259" s="1838"/>
      <c r="BR259" s="1842"/>
      <c r="BS259" s="1838"/>
      <c r="BT259" s="1839"/>
      <c r="BU259" s="1840"/>
      <c r="BV259" s="1837"/>
      <c r="BW259" s="1838"/>
      <c r="BX259" s="1837"/>
      <c r="BY259" s="1838"/>
      <c r="BZ259" s="1839"/>
      <c r="CA259" s="1840"/>
      <c r="CB259" s="1837"/>
      <c r="CC259" s="1838"/>
      <c r="CD259" s="1837"/>
      <c r="CE259" s="1838"/>
      <c r="CF259" s="1839"/>
      <c r="CG259" s="1840"/>
      <c r="CH259" s="1837"/>
      <c r="CI259" s="1838"/>
      <c r="CJ259" s="1837"/>
      <c r="CK259" s="1838"/>
      <c r="CL259" s="1839"/>
      <c r="CM259" s="1840"/>
      <c r="CN259" s="1837"/>
      <c r="CO259" s="1838"/>
      <c r="CP259" s="1843"/>
      <c r="CQ259" s="1838"/>
      <c r="CR259" s="1839"/>
      <c r="CS259" s="1840"/>
      <c r="CT259" s="1837"/>
      <c r="CU259" s="1838"/>
      <c r="CV259" s="1837"/>
      <c r="CW259" s="1838"/>
      <c r="CX259" s="1839"/>
      <c r="CY259" s="1840"/>
      <c r="CZ259" s="1837"/>
      <c r="DA259" s="1838"/>
      <c r="DB259" s="1837"/>
      <c r="DC259" s="1838"/>
      <c r="DD259" s="1839"/>
      <c r="DE259" s="1840"/>
      <c r="DF259" s="1837"/>
      <c r="DG259" s="1838"/>
      <c r="DH259" s="1837"/>
      <c r="DI259" s="1838"/>
      <c r="DJ259" s="1839"/>
      <c r="DK259" s="1840"/>
      <c r="DL259" s="1837"/>
      <c r="DM259" s="1838"/>
      <c r="DN259" s="1837"/>
      <c r="DO259" s="1838"/>
      <c r="DP259" s="1839"/>
      <c r="DQ259" s="1840"/>
      <c r="DR259" s="1837"/>
      <c r="DS259" s="1838"/>
      <c r="DT259" s="1837"/>
      <c r="DU259" s="1838"/>
      <c r="DV259" s="1839"/>
      <c r="DW259" s="1840"/>
      <c r="DX259" s="1837"/>
      <c r="DY259" s="1838"/>
      <c r="DZ259" s="1837"/>
      <c r="EA259" s="1838"/>
      <c r="EB259" s="1839"/>
      <c r="EC259" s="1840"/>
      <c r="ED259" s="1837"/>
      <c r="EE259" s="1838"/>
      <c r="EF259" s="1837"/>
      <c r="EG259" s="1838"/>
      <c r="EH259" s="1839"/>
      <c r="EI259" s="1840" t="s">
        <v>15531</v>
      </c>
      <c r="EJ259" s="1837"/>
      <c r="EK259" s="1838"/>
      <c r="EL259" s="1837"/>
      <c r="EM259" s="1838"/>
      <c r="EN259" s="1839"/>
      <c r="EO259" s="1840"/>
      <c r="EP259" s="1837"/>
      <c r="EQ259" s="1838"/>
      <c r="ER259" s="1837"/>
      <c r="ES259" s="1838"/>
      <c r="ET259" s="1839"/>
      <c r="EU259" s="1840"/>
      <c r="EV259" s="1837"/>
      <c r="EW259" s="1838"/>
      <c r="EX259" s="1837"/>
      <c r="EY259" s="1838"/>
      <c r="EZ259" s="1839"/>
      <c r="FA259" s="1840"/>
      <c r="FB259" s="1837"/>
      <c r="FC259" s="1838"/>
      <c r="FD259" s="1837"/>
      <c r="FE259" s="1838"/>
      <c r="FF259" s="1839"/>
      <c r="FG259" s="1840"/>
      <c r="FH259" s="1837"/>
      <c r="FI259" s="1838"/>
      <c r="FJ259" s="1837"/>
      <c r="FK259" s="1838"/>
      <c r="FL259" s="1839"/>
      <c r="FM259" s="1840"/>
      <c r="FN259" s="1837"/>
      <c r="FO259" s="1838"/>
      <c r="FP259" s="1837"/>
      <c r="FQ259" s="1838"/>
      <c r="FR259" s="1839"/>
      <c r="FS259" s="1840"/>
      <c r="FT259" s="1837"/>
      <c r="FU259" s="1838"/>
      <c r="FV259" s="1837"/>
      <c r="FW259" s="1838"/>
      <c r="FX259" s="1839"/>
      <c r="FY259" s="1840"/>
      <c r="FZ259" s="1837"/>
      <c r="GA259" s="1838"/>
      <c r="GB259" s="1837"/>
      <c r="GC259" s="1838"/>
      <c r="GD259" s="1839"/>
      <c r="GE259" s="1840"/>
      <c r="GF259" s="1837"/>
      <c r="GG259" s="1838"/>
      <c r="GH259" s="1837"/>
      <c r="GI259" s="1838"/>
      <c r="GJ259" s="1839"/>
      <c r="GK259" s="1840"/>
      <c r="GL259" s="1837"/>
      <c r="GM259" s="1838"/>
      <c r="GN259" s="1837"/>
      <c r="GO259" s="1838"/>
      <c r="GP259" s="1839"/>
    </row>
    <row r="260" spans="1:198" ht="20.100000000000001" hidden="1" customHeight="1" outlineLevel="1">
      <c r="A260" s="2709"/>
      <c r="B260" s="2612"/>
      <c r="C260" s="1836">
        <v>4</v>
      </c>
      <c r="D260" s="2614" t="str">
        <f>実績!C1334&amp;"("&amp;SUBSTITUTE(実績!R1334&amp;")"," 株式会社","")</f>
        <v>VM美原南インター(日本建設)</v>
      </c>
      <c r="E260" s="2617"/>
      <c r="F260" s="2617"/>
      <c r="G260" s="2617"/>
      <c r="H260" s="2617"/>
      <c r="I260" s="2617"/>
      <c r="J260" s="2617"/>
      <c r="K260" s="2617"/>
      <c r="L260" s="2617"/>
      <c r="M260" s="2617"/>
      <c r="N260" s="2617"/>
      <c r="O260" s="2617"/>
      <c r="P260" s="2617"/>
      <c r="Q260" s="2617"/>
      <c r="R260" s="2641"/>
      <c r="S260" s="1837"/>
      <c r="T260" s="1837"/>
      <c r="U260" s="1838"/>
      <c r="V260" s="1837"/>
      <c r="W260" s="1838"/>
      <c r="X260" s="1839"/>
      <c r="Y260" s="1837"/>
      <c r="Z260" s="1837"/>
      <c r="AA260" s="1838"/>
      <c r="AB260" s="1837"/>
      <c r="AC260" s="1838"/>
      <c r="AD260" s="1837"/>
      <c r="AE260" s="1840"/>
      <c r="AF260" s="1837"/>
      <c r="AG260" s="1838"/>
      <c r="AH260" s="1837"/>
      <c r="AI260" s="1838"/>
      <c r="AJ260" s="1839"/>
      <c r="AK260" s="1837"/>
      <c r="AL260" s="1837"/>
      <c r="AM260" s="1838"/>
      <c r="AN260" s="1837"/>
      <c r="AO260" s="1838"/>
      <c r="AP260" s="1837"/>
      <c r="AQ260" s="1841"/>
      <c r="AR260" s="1837"/>
      <c r="AS260" s="1838"/>
      <c r="AT260" s="1837"/>
      <c r="AU260" s="1838"/>
      <c r="AV260" s="1839"/>
      <c r="AW260" s="1840"/>
      <c r="AX260" s="1837"/>
      <c r="AY260" s="1838"/>
      <c r="AZ260" s="1837"/>
      <c r="BA260" s="1838"/>
      <c r="BB260" s="1839"/>
      <c r="BC260" s="1837"/>
      <c r="BD260" s="1837"/>
      <c r="BE260" s="1838"/>
      <c r="BF260" s="1837"/>
      <c r="BG260" s="1838"/>
      <c r="BH260" s="1837"/>
      <c r="BI260" s="1840"/>
      <c r="BJ260" s="1837"/>
      <c r="BK260" s="1838"/>
      <c r="BL260" s="1837"/>
      <c r="BM260" s="1838"/>
      <c r="BN260" s="1839"/>
      <c r="BO260" s="1840"/>
      <c r="BP260" s="1837"/>
      <c r="BQ260" s="1838"/>
      <c r="BR260" s="1842"/>
      <c r="BS260" s="1838"/>
      <c r="BT260" s="1839"/>
      <c r="BU260" s="1840"/>
      <c r="BV260" s="1837"/>
      <c r="BW260" s="1838"/>
      <c r="BX260" s="1837"/>
      <c r="BY260" s="1838"/>
      <c r="BZ260" s="1839"/>
      <c r="CA260" s="1840"/>
      <c r="CB260" s="1837"/>
      <c r="CC260" s="1838"/>
      <c r="CD260" s="1837"/>
      <c r="CE260" s="1838"/>
      <c r="CF260" s="1839"/>
      <c r="CG260" s="1840"/>
      <c r="CH260" s="1837"/>
      <c r="CI260" s="1838"/>
      <c r="CJ260" s="1837"/>
      <c r="CK260" s="1838"/>
      <c r="CL260" s="1839"/>
      <c r="CM260" s="1840"/>
      <c r="CN260" s="1837"/>
      <c r="CO260" s="1838"/>
      <c r="CP260" s="1843"/>
      <c r="CQ260" s="1838"/>
      <c r="CR260" s="1839"/>
      <c r="CS260" s="1840"/>
      <c r="CT260" s="1837"/>
      <c r="CU260" s="1838"/>
      <c r="CV260" s="1837"/>
      <c r="CW260" s="1838"/>
      <c r="CX260" s="1839"/>
      <c r="CY260" s="1840"/>
      <c r="CZ260" s="1837"/>
      <c r="DA260" s="1838"/>
      <c r="DB260" s="1837"/>
      <c r="DC260" s="1838"/>
      <c r="DD260" s="1839"/>
      <c r="DE260" s="1840"/>
      <c r="DF260" s="1837"/>
      <c r="DG260" s="1838"/>
      <c r="DH260" s="1837"/>
      <c r="DI260" s="1838"/>
      <c r="DJ260" s="1839"/>
      <c r="DK260" s="1840"/>
      <c r="DL260" s="1837"/>
      <c r="DM260" s="1838" t="s">
        <v>14875</v>
      </c>
      <c r="DN260" s="1837"/>
      <c r="DO260" s="1838"/>
      <c r="DP260" s="1839"/>
      <c r="DQ260" s="1840" t="s">
        <v>15147</v>
      </c>
      <c r="DR260" s="1837"/>
      <c r="DS260" s="1838"/>
      <c r="DT260" s="1837"/>
      <c r="DU260" s="1838"/>
      <c r="DV260" s="1839"/>
      <c r="DW260" s="1840"/>
      <c r="DX260" s="1837"/>
      <c r="DY260" s="1838"/>
      <c r="DZ260" s="1837" t="s">
        <v>8250</v>
      </c>
      <c r="EA260" s="1838"/>
      <c r="EB260" s="1839"/>
      <c r="EC260" s="1840"/>
      <c r="ED260" s="1837"/>
      <c r="EE260" s="1838"/>
      <c r="EF260" s="1837"/>
      <c r="EG260" s="1838"/>
      <c r="EH260" s="1839"/>
      <c r="EI260" s="1840"/>
      <c r="EJ260" s="1837"/>
      <c r="EK260" s="1838"/>
      <c r="EL260" s="1837" t="s">
        <v>15557</v>
      </c>
      <c r="EM260" s="1838"/>
      <c r="EN260" s="1839"/>
      <c r="EO260" s="1840"/>
      <c r="EP260" s="1837"/>
      <c r="EQ260" s="1838"/>
      <c r="ER260" s="1837"/>
      <c r="ES260" s="1838"/>
      <c r="ET260" s="1839"/>
      <c r="EU260" s="1840"/>
      <c r="EV260" s="1837"/>
      <c r="EW260" s="1838"/>
      <c r="EX260" s="1837"/>
      <c r="EY260" s="1838"/>
      <c r="EZ260" s="1839"/>
      <c r="FA260" s="1840"/>
      <c r="FB260" s="1837"/>
      <c r="FC260" s="1838"/>
      <c r="FD260" s="1837"/>
      <c r="FE260" s="1838"/>
      <c r="FF260" s="1839"/>
      <c r="FG260" s="1840"/>
      <c r="FH260" s="1837"/>
      <c r="FI260" s="1838"/>
      <c r="FJ260" s="1837"/>
      <c r="FK260" s="1838"/>
      <c r="FL260" s="1839"/>
      <c r="FM260" s="1840"/>
      <c r="FN260" s="1837"/>
      <c r="FO260" s="1838"/>
      <c r="FP260" s="1837"/>
      <c r="FQ260" s="1838"/>
      <c r="FR260" s="1839"/>
      <c r="FS260" s="1840"/>
      <c r="FT260" s="1837"/>
      <c r="FU260" s="1838"/>
      <c r="FV260" s="1837"/>
      <c r="FW260" s="1838"/>
      <c r="FX260" s="1839"/>
      <c r="FY260" s="1840"/>
      <c r="FZ260" s="1837"/>
      <c r="GA260" s="1838"/>
      <c r="GB260" s="1837"/>
      <c r="GC260" s="1838"/>
      <c r="GD260" s="1839"/>
      <c r="GE260" s="1840"/>
      <c r="GF260" s="1837"/>
      <c r="GG260" s="1838"/>
      <c r="GH260" s="1837"/>
      <c r="GI260" s="1838"/>
      <c r="GJ260" s="1839"/>
      <c r="GK260" s="1840"/>
      <c r="GL260" s="1837"/>
      <c r="GM260" s="1838"/>
      <c r="GN260" s="1837"/>
      <c r="GO260" s="1838"/>
      <c r="GP260" s="1839"/>
    </row>
    <row r="261" spans="1:198" ht="20.100000000000001" hidden="1" customHeight="1" outlineLevel="1" collapsed="1">
      <c r="A261" s="2709"/>
      <c r="B261" s="2612"/>
      <c r="C261" s="1836">
        <v>5</v>
      </c>
      <c r="D261" s="2614" t="str">
        <f>実績!C1368&amp;"("&amp;SUBSTITUTE(実績!AB1368&amp;")","株式会社 ","")</f>
        <v>丸栄水産 株式会社(ナカノフドー建設)</v>
      </c>
      <c r="E261" s="2617"/>
      <c r="F261" s="2617"/>
      <c r="G261" s="2617"/>
      <c r="H261" s="2617"/>
      <c r="I261" s="2617"/>
      <c r="J261" s="2617"/>
      <c r="K261" s="2617"/>
      <c r="L261" s="2617"/>
      <c r="M261" s="2617"/>
      <c r="N261" s="2617"/>
      <c r="O261" s="2617"/>
      <c r="P261" s="2617"/>
      <c r="Q261" s="2617"/>
      <c r="R261" s="2641"/>
      <c r="S261" s="1837"/>
      <c r="T261" s="1837"/>
      <c r="U261" s="1837"/>
      <c r="V261" s="1837"/>
      <c r="W261" s="1837"/>
      <c r="X261" s="1837"/>
      <c r="Y261" s="1837"/>
      <c r="Z261" s="1837"/>
      <c r="AA261" s="1837"/>
      <c r="AB261" s="1837"/>
      <c r="AC261" s="1837"/>
      <c r="AD261" s="1837"/>
      <c r="AE261" s="1837"/>
      <c r="AF261" s="1837"/>
      <c r="AG261" s="1837"/>
      <c r="AH261" s="1837"/>
      <c r="AI261" s="1837"/>
      <c r="AJ261" s="1837"/>
      <c r="AK261" s="1837"/>
      <c r="AL261" s="1837"/>
      <c r="AM261" s="1837"/>
      <c r="AN261" s="1837"/>
      <c r="AO261" s="1837"/>
      <c r="AP261" s="1837"/>
      <c r="AQ261" s="1837"/>
      <c r="AR261" s="1837"/>
      <c r="AS261" s="1837"/>
      <c r="AT261" s="1837"/>
      <c r="AU261" s="1837"/>
      <c r="AV261" s="1837"/>
      <c r="AW261" s="1837"/>
      <c r="AX261" s="1837"/>
      <c r="AY261" s="1837"/>
      <c r="AZ261" s="1837"/>
      <c r="BA261" s="1837"/>
      <c r="BB261" s="1837"/>
      <c r="BC261" s="1837"/>
      <c r="BD261" s="1837"/>
      <c r="BE261" s="1837"/>
      <c r="BF261" s="1837"/>
      <c r="BG261" s="1837"/>
      <c r="BH261" s="1837"/>
      <c r="BI261" s="1837"/>
      <c r="BJ261" s="1837"/>
      <c r="BK261" s="1837"/>
      <c r="BL261" s="1837"/>
      <c r="BM261" s="1837"/>
      <c r="BN261" s="1837"/>
      <c r="BO261" s="1837"/>
      <c r="BP261" s="1837"/>
      <c r="BQ261" s="1837"/>
      <c r="BR261" s="1837"/>
      <c r="BS261" s="1837"/>
      <c r="BT261" s="1837"/>
      <c r="BU261" s="1837"/>
      <c r="BV261" s="1837"/>
      <c r="BW261" s="1837"/>
      <c r="BX261" s="1837"/>
      <c r="BY261" s="1837"/>
      <c r="BZ261" s="1837"/>
      <c r="CA261" s="1837"/>
      <c r="CB261" s="1837"/>
      <c r="CC261" s="1837"/>
      <c r="CD261" s="1837"/>
      <c r="CE261" s="1837"/>
      <c r="CF261" s="1837"/>
      <c r="CG261" s="1837"/>
      <c r="CH261" s="1837"/>
      <c r="CI261" s="1837"/>
      <c r="CJ261" s="1837"/>
      <c r="CK261" s="1837"/>
      <c r="CL261" s="1837"/>
      <c r="CM261" s="1837"/>
      <c r="CN261" s="1837"/>
      <c r="CO261" s="1837"/>
      <c r="CP261" s="1843"/>
      <c r="CQ261" s="1837"/>
      <c r="CR261" s="1837"/>
      <c r="CS261" s="1837"/>
      <c r="CT261" s="1837"/>
      <c r="CU261" s="1837"/>
      <c r="CV261" s="1837"/>
      <c r="CW261" s="1837"/>
      <c r="CX261" s="1837"/>
      <c r="CY261" s="1840"/>
      <c r="CZ261" s="1837"/>
      <c r="DA261" s="1838"/>
      <c r="DB261" s="1837"/>
      <c r="DC261" s="1838"/>
      <c r="DD261" s="1839"/>
      <c r="DE261" s="1840"/>
      <c r="DF261" s="1837"/>
      <c r="DG261" s="1838"/>
      <c r="DH261" s="1837"/>
      <c r="DI261" s="1838"/>
      <c r="DJ261" s="1844"/>
      <c r="DK261" s="1840"/>
      <c r="DL261" s="1837"/>
      <c r="DM261" s="1838"/>
      <c r="DN261" s="1837"/>
      <c r="DO261" s="1838"/>
      <c r="DP261" s="1839"/>
      <c r="DQ261" s="1840"/>
      <c r="DR261" s="1837"/>
      <c r="DS261" s="1838"/>
      <c r="DT261" s="1837"/>
      <c r="DU261" s="1838"/>
      <c r="DV261" s="1844"/>
      <c r="DW261" s="1840"/>
      <c r="DX261" s="1837"/>
      <c r="DY261" s="1838"/>
      <c r="DZ261" s="1837" t="s">
        <v>8250</v>
      </c>
      <c r="EA261" s="1838"/>
      <c r="EB261" s="1844"/>
      <c r="EC261" s="1840"/>
      <c r="ED261" s="1837"/>
      <c r="EE261" s="1838"/>
      <c r="EF261" s="1837"/>
      <c r="EG261" s="1838" t="s">
        <v>15745</v>
      </c>
      <c r="EH261" s="1844"/>
      <c r="EI261" s="1840"/>
      <c r="EJ261" s="1837"/>
      <c r="EK261" s="1838"/>
      <c r="EL261" s="1837"/>
      <c r="EM261" s="1838"/>
      <c r="EN261" s="1844"/>
      <c r="EO261" s="1840"/>
      <c r="EP261" s="1837"/>
      <c r="EQ261" s="1838"/>
      <c r="ER261" s="1837"/>
      <c r="ES261" s="1838"/>
      <c r="ET261" s="1839"/>
      <c r="EU261" s="1840"/>
      <c r="EV261" s="1837"/>
      <c r="EW261" s="1838"/>
      <c r="EX261" s="1837"/>
      <c r="EY261" s="1838"/>
      <c r="EZ261" s="1839"/>
      <c r="FA261" s="1840"/>
      <c r="FB261" s="1837"/>
      <c r="FC261" s="1838"/>
      <c r="FD261" s="1837"/>
      <c r="FE261" s="1838"/>
      <c r="FF261" s="1839"/>
      <c r="FG261" s="1840"/>
      <c r="FH261" s="1837"/>
      <c r="FI261" s="1838"/>
      <c r="FJ261" s="1837"/>
      <c r="FK261" s="1838"/>
      <c r="FL261" s="1839"/>
      <c r="FM261" s="1840"/>
      <c r="FN261" s="1837"/>
      <c r="FO261" s="1838"/>
      <c r="FP261" s="1837"/>
      <c r="FQ261" s="1838"/>
      <c r="FR261" s="1839"/>
      <c r="FS261" s="1840"/>
      <c r="FT261" s="1837"/>
      <c r="FU261" s="1838"/>
      <c r="FV261" s="1837"/>
      <c r="FW261" s="1838"/>
      <c r="FX261" s="1839"/>
      <c r="FY261" s="1840"/>
      <c r="FZ261" s="1837"/>
      <c r="GA261" s="1838"/>
      <c r="GB261" s="1837"/>
      <c r="GC261" s="1838"/>
      <c r="GD261" s="1839"/>
      <c r="GE261" s="1840"/>
      <c r="GF261" s="1837"/>
      <c r="GG261" s="1838"/>
      <c r="GH261" s="1837"/>
      <c r="GI261" s="1838"/>
      <c r="GJ261" s="1839"/>
      <c r="GK261" s="1840"/>
      <c r="GL261" s="1837"/>
      <c r="GM261" s="1838"/>
      <c r="GN261" s="1837"/>
      <c r="GO261" s="1838"/>
      <c r="GP261" s="1839"/>
    </row>
    <row r="262" spans="1:198" ht="20.100000000000001" hidden="1" customHeight="1" outlineLevel="1">
      <c r="A262" s="2709"/>
      <c r="B262" s="2612"/>
      <c r="C262" s="1836">
        <v>6</v>
      </c>
      <c r="D262" s="2614" t="str">
        <f>実績!C1364&amp;"("&amp;SUBSTITUTE(実績!R1364&amp;")","株式会社 ","")</f>
        <v>特別養護老人ホーム 美野里陽だまり館(ケイ・アーキテクツ)</v>
      </c>
      <c r="E262" s="2617"/>
      <c r="F262" s="2617"/>
      <c r="G262" s="2617"/>
      <c r="H262" s="2617"/>
      <c r="I262" s="2617"/>
      <c r="J262" s="2617"/>
      <c r="K262" s="2617"/>
      <c r="L262" s="2617"/>
      <c r="M262" s="2617"/>
      <c r="N262" s="2617"/>
      <c r="O262" s="2617"/>
      <c r="P262" s="2617"/>
      <c r="Q262" s="2617"/>
      <c r="R262" s="2622"/>
      <c r="S262" s="1837"/>
      <c r="T262" s="1837"/>
      <c r="U262" s="1837"/>
      <c r="V262" s="1837"/>
      <c r="W262" s="1837"/>
      <c r="X262" s="1837"/>
      <c r="Y262" s="1837"/>
      <c r="Z262" s="1837"/>
      <c r="AA262" s="1837"/>
      <c r="AB262" s="1837"/>
      <c r="AC262" s="1837"/>
      <c r="AD262" s="1837"/>
      <c r="AE262" s="1837"/>
      <c r="AF262" s="1837"/>
      <c r="AG262" s="1837"/>
      <c r="AH262" s="1837"/>
      <c r="AI262" s="1837"/>
      <c r="AJ262" s="1837"/>
      <c r="AK262" s="1837"/>
      <c r="AL262" s="1837"/>
      <c r="AM262" s="1837"/>
      <c r="AN262" s="1837"/>
      <c r="AO262" s="1837"/>
      <c r="AP262" s="1837"/>
      <c r="AQ262" s="1837"/>
      <c r="AR262" s="1837"/>
      <c r="AS262" s="1837"/>
      <c r="AT262" s="1837"/>
      <c r="AU262" s="1837"/>
      <c r="AV262" s="1837"/>
      <c r="AW262" s="1837"/>
      <c r="AX262" s="1837"/>
      <c r="AY262" s="1837"/>
      <c r="AZ262" s="1837"/>
      <c r="BA262" s="1837"/>
      <c r="BB262" s="1837"/>
      <c r="BC262" s="1837"/>
      <c r="BD262" s="1837"/>
      <c r="BE262" s="1837"/>
      <c r="BF262" s="1837"/>
      <c r="BG262" s="1837"/>
      <c r="BH262" s="1837"/>
      <c r="BI262" s="1837"/>
      <c r="BJ262" s="1837"/>
      <c r="BK262" s="1837"/>
      <c r="BL262" s="1837"/>
      <c r="BM262" s="1837"/>
      <c r="BN262" s="1837"/>
      <c r="BO262" s="1837"/>
      <c r="BP262" s="1837"/>
      <c r="BQ262" s="1837"/>
      <c r="BR262" s="1837"/>
      <c r="BS262" s="1837"/>
      <c r="BT262" s="1837"/>
      <c r="BU262" s="1837"/>
      <c r="BV262" s="1837"/>
      <c r="BW262" s="1837"/>
      <c r="BX262" s="1837"/>
      <c r="BY262" s="1837"/>
      <c r="BZ262" s="1837"/>
      <c r="CA262" s="1837"/>
      <c r="CB262" s="1837"/>
      <c r="CC262" s="1837"/>
      <c r="CD262" s="1837"/>
      <c r="CE262" s="1837"/>
      <c r="CF262" s="1837"/>
      <c r="CG262" s="1837"/>
      <c r="CH262" s="1837"/>
      <c r="CI262" s="1837"/>
      <c r="CJ262" s="1837"/>
      <c r="CK262" s="1837"/>
      <c r="CL262" s="1837"/>
      <c r="CM262" s="1837"/>
      <c r="CN262" s="1837"/>
      <c r="CO262" s="1837"/>
      <c r="CP262" s="1843"/>
      <c r="CQ262" s="1837"/>
      <c r="CR262" s="1837"/>
      <c r="CS262" s="1837"/>
      <c r="CT262" s="1837"/>
      <c r="CU262" s="1837"/>
      <c r="CV262" s="1837"/>
      <c r="CW262" s="1837"/>
      <c r="CX262" s="1837"/>
      <c r="CY262" s="1840"/>
      <c r="CZ262" s="1837"/>
      <c r="DA262" s="1838"/>
      <c r="DB262" s="1837"/>
      <c r="DC262" s="1838"/>
      <c r="DD262" s="1839"/>
      <c r="DE262" s="1840"/>
      <c r="DF262" s="1837"/>
      <c r="DG262" s="1838"/>
      <c r="DH262" s="1837"/>
      <c r="DI262" s="1838"/>
      <c r="DJ262" s="1844"/>
      <c r="DK262" s="1840"/>
      <c r="DL262" s="1837"/>
      <c r="DM262" s="1838"/>
      <c r="DN262" s="1837"/>
      <c r="DO262" s="1838"/>
      <c r="DP262" s="1839"/>
      <c r="DQ262" s="1840"/>
      <c r="DR262" s="1837"/>
      <c r="DS262" s="1838"/>
      <c r="DT262" s="1837"/>
      <c r="DU262" s="1838"/>
      <c r="DV262" s="1844"/>
      <c r="DW262" s="1840"/>
      <c r="DX262" s="1837"/>
      <c r="DY262" s="1838"/>
      <c r="DZ262" s="1837"/>
      <c r="EA262" s="1838" t="s">
        <v>15830</v>
      </c>
      <c r="EB262" s="1844"/>
      <c r="EC262" s="1840"/>
      <c r="ED262" s="1837"/>
      <c r="EE262" s="1838"/>
      <c r="EF262" s="1837" t="s">
        <v>15847</v>
      </c>
      <c r="EG262" s="1838"/>
      <c r="EH262" s="1844"/>
      <c r="EI262" s="1840"/>
      <c r="EJ262" s="1837"/>
      <c r="EK262" s="1838"/>
      <c r="EL262" s="1837" t="s">
        <v>8145</v>
      </c>
      <c r="EM262" s="1838"/>
      <c r="EN262" s="1844"/>
      <c r="EO262" s="1840"/>
      <c r="EP262" s="1837"/>
      <c r="EQ262" s="1838"/>
      <c r="ER262" s="1837"/>
      <c r="ES262" s="1838"/>
      <c r="ET262" s="1839"/>
      <c r="EU262" s="1840"/>
      <c r="EV262" s="1837"/>
      <c r="EW262" s="1838"/>
      <c r="EX262" s="1837"/>
      <c r="EY262" s="1838"/>
      <c r="EZ262" s="1839"/>
      <c r="FA262" s="1840"/>
      <c r="FB262" s="1837"/>
      <c r="FC262" s="1838"/>
      <c r="FD262" s="1837"/>
      <c r="FE262" s="1838"/>
      <c r="FF262" s="1839"/>
      <c r="FG262" s="1840"/>
      <c r="FH262" s="1837"/>
      <c r="FI262" s="1838"/>
      <c r="FJ262" s="1837"/>
      <c r="FK262" s="1838"/>
      <c r="FL262" s="1839"/>
      <c r="FM262" s="1840"/>
      <c r="FN262" s="1837"/>
      <c r="FO262" s="1838"/>
      <c r="FP262" s="1837"/>
      <c r="FQ262" s="1838"/>
      <c r="FR262" s="1839"/>
      <c r="FS262" s="1840"/>
      <c r="FT262" s="1837"/>
      <c r="FU262" s="1838"/>
      <c r="FV262" s="1837"/>
      <c r="FW262" s="1838"/>
      <c r="FX262" s="1839"/>
      <c r="FY262" s="1840"/>
      <c r="FZ262" s="1837"/>
      <c r="GA262" s="1838"/>
      <c r="GB262" s="1837"/>
      <c r="GC262" s="1838"/>
      <c r="GD262" s="1839"/>
      <c r="GE262" s="1840"/>
      <c r="GF262" s="1837"/>
      <c r="GG262" s="1838"/>
      <c r="GH262" s="1837"/>
      <c r="GI262" s="1838"/>
      <c r="GJ262" s="1839"/>
      <c r="GK262" s="1840"/>
      <c r="GL262" s="1837"/>
      <c r="GM262" s="1838"/>
      <c r="GN262" s="1837"/>
      <c r="GO262" s="1838"/>
      <c r="GP262" s="1839"/>
    </row>
    <row r="263" spans="1:198" ht="20.100000000000001" hidden="1" customHeight="1" outlineLevel="1">
      <c r="A263" s="2709"/>
      <c r="B263" s="2612"/>
      <c r="C263" s="1836">
        <v>7</v>
      </c>
      <c r="D263" s="2614" t="str">
        <f>実績!C1366&amp;"("&amp;SUBSTITUTE(実績!R1366&amp;")","株式会社 ","")</f>
        <v>コスモ石油株式会社 堺製油所 常駐協力会社建屋(淺川組)</v>
      </c>
      <c r="E263" s="2617"/>
      <c r="F263" s="2617"/>
      <c r="G263" s="2617"/>
      <c r="H263" s="2617"/>
      <c r="I263" s="2617"/>
      <c r="J263" s="2617"/>
      <c r="K263" s="2617"/>
      <c r="L263" s="2617"/>
      <c r="M263" s="2617"/>
      <c r="N263" s="2617"/>
      <c r="O263" s="2617"/>
      <c r="P263" s="2617"/>
      <c r="Q263" s="2617"/>
      <c r="R263" s="2622"/>
      <c r="S263" s="1837"/>
      <c r="T263" s="1837"/>
      <c r="U263" s="1837"/>
      <c r="V263" s="1837"/>
      <c r="W263" s="1837"/>
      <c r="X263" s="1837"/>
      <c r="Y263" s="1837"/>
      <c r="Z263" s="1837"/>
      <c r="AA263" s="1837"/>
      <c r="AB263" s="1837"/>
      <c r="AC263" s="1837"/>
      <c r="AD263" s="1837"/>
      <c r="AE263" s="1837"/>
      <c r="AF263" s="1837"/>
      <c r="AG263" s="1837"/>
      <c r="AH263" s="1837"/>
      <c r="AI263" s="1837"/>
      <c r="AJ263" s="1837"/>
      <c r="AK263" s="1837"/>
      <c r="AL263" s="1837"/>
      <c r="AM263" s="1837"/>
      <c r="AN263" s="1837"/>
      <c r="AO263" s="1837"/>
      <c r="AP263" s="1837"/>
      <c r="AQ263" s="1837"/>
      <c r="AR263" s="1837"/>
      <c r="AS263" s="1837"/>
      <c r="AT263" s="1837"/>
      <c r="AU263" s="1837"/>
      <c r="AV263" s="1837"/>
      <c r="AW263" s="1837"/>
      <c r="AX263" s="1837"/>
      <c r="AY263" s="1837"/>
      <c r="AZ263" s="1837"/>
      <c r="BA263" s="1837"/>
      <c r="BB263" s="1837"/>
      <c r="BC263" s="1837"/>
      <c r="BD263" s="1837"/>
      <c r="BE263" s="1837"/>
      <c r="BF263" s="1837"/>
      <c r="BG263" s="1837"/>
      <c r="BH263" s="1837"/>
      <c r="BI263" s="1837"/>
      <c r="BJ263" s="1837"/>
      <c r="BK263" s="1837"/>
      <c r="BL263" s="1837"/>
      <c r="BM263" s="1837"/>
      <c r="BN263" s="1837"/>
      <c r="BO263" s="1837"/>
      <c r="BP263" s="1837"/>
      <c r="BQ263" s="1837"/>
      <c r="BR263" s="1837"/>
      <c r="BS263" s="1837"/>
      <c r="BT263" s="1837"/>
      <c r="BU263" s="1837"/>
      <c r="BV263" s="1837"/>
      <c r="BW263" s="1837"/>
      <c r="BX263" s="1837"/>
      <c r="BY263" s="1837"/>
      <c r="BZ263" s="1837"/>
      <c r="CA263" s="1837"/>
      <c r="CB263" s="1837"/>
      <c r="CC263" s="1837"/>
      <c r="CD263" s="1837"/>
      <c r="CE263" s="1837"/>
      <c r="CF263" s="1837"/>
      <c r="CG263" s="1837"/>
      <c r="CH263" s="1837"/>
      <c r="CI263" s="1837"/>
      <c r="CJ263" s="1837"/>
      <c r="CK263" s="1837"/>
      <c r="CL263" s="1837"/>
      <c r="CM263" s="1837"/>
      <c r="CN263" s="1837"/>
      <c r="CO263" s="1837"/>
      <c r="CP263" s="1843"/>
      <c r="CQ263" s="1837"/>
      <c r="CR263" s="1837"/>
      <c r="CS263" s="1837"/>
      <c r="CT263" s="1837"/>
      <c r="CU263" s="1837"/>
      <c r="CV263" s="1837"/>
      <c r="CW263" s="1837"/>
      <c r="CX263" s="1837"/>
      <c r="CY263" s="1840"/>
      <c r="CZ263" s="1837"/>
      <c r="DA263" s="1838"/>
      <c r="DB263" s="1837"/>
      <c r="DC263" s="1838"/>
      <c r="DD263" s="1839"/>
      <c r="DE263" s="1840"/>
      <c r="DF263" s="1837"/>
      <c r="DG263" s="1838"/>
      <c r="DH263" s="1837"/>
      <c r="DI263" s="1838"/>
      <c r="DJ263" s="1844"/>
      <c r="DK263" s="1840"/>
      <c r="DL263" s="1837"/>
      <c r="DM263" s="1838"/>
      <c r="DN263" s="1837"/>
      <c r="DO263" s="1838"/>
      <c r="DP263" s="1839"/>
      <c r="DQ263" s="1840"/>
      <c r="DR263" s="1837"/>
      <c r="DS263" s="1838"/>
      <c r="DT263" s="1837"/>
      <c r="DU263" s="1838"/>
      <c r="DV263" s="1844"/>
      <c r="DW263" s="1840"/>
      <c r="DX263" s="1837"/>
      <c r="DY263" s="1838"/>
      <c r="DZ263" s="1837"/>
      <c r="EA263" s="1838" t="s">
        <v>15796</v>
      </c>
      <c r="EB263" s="1844"/>
      <c r="EC263" s="1840"/>
      <c r="ED263" s="1837"/>
      <c r="EE263" s="1838"/>
      <c r="EF263" s="1837" t="s">
        <v>15797</v>
      </c>
      <c r="EG263" s="1838"/>
      <c r="EH263" s="1844"/>
      <c r="EI263" s="1840"/>
      <c r="EJ263" s="1837"/>
      <c r="EK263" s="1838"/>
      <c r="EL263" s="1837"/>
      <c r="EM263" s="1838"/>
      <c r="EN263" s="1844"/>
      <c r="EO263" s="1840"/>
      <c r="EP263" s="1837"/>
      <c r="EQ263" s="1838"/>
      <c r="ER263" s="1837"/>
      <c r="ES263" s="1838"/>
      <c r="ET263" s="1839"/>
      <c r="EU263" s="1840"/>
      <c r="EV263" s="1837"/>
      <c r="EW263" s="1838"/>
      <c r="EX263" s="1837"/>
      <c r="EY263" s="1838"/>
      <c r="EZ263" s="1839"/>
      <c r="FA263" s="1840"/>
      <c r="FB263" s="1837"/>
      <c r="FC263" s="1838"/>
      <c r="FD263" s="1837"/>
      <c r="FE263" s="1838"/>
      <c r="FF263" s="1839"/>
      <c r="FG263" s="1840"/>
      <c r="FH263" s="1837"/>
      <c r="FI263" s="1838"/>
      <c r="FJ263" s="1837"/>
      <c r="FK263" s="1838"/>
      <c r="FL263" s="1839"/>
      <c r="FM263" s="1840"/>
      <c r="FN263" s="1837"/>
      <c r="FO263" s="1838"/>
      <c r="FP263" s="1837"/>
      <c r="FQ263" s="1838"/>
      <c r="FR263" s="1839"/>
      <c r="FS263" s="1840"/>
      <c r="FT263" s="1837"/>
      <c r="FU263" s="1838"/>
      <c r="FV263" s="1837"/>
      <c r="FW263" s="1838"/>
      <c r="FX263" s="1839"/>
      <c r="FY263" s="1840"/>
      <c r="FZ263" s="1837"/>
      <c r="GA263" s="1838"/>
      <c r="GB263" s="1837"/>
      <c r="GC263" s="1838"/>
      <c r="GD263" s="1839"/>
      <c r="GE263" s="1840"/>
      <c r="GF263" s="1837"/>
      <c r="GG263" s="1838"/>
      <c r="GH263" s="1837"/>
      <c r="GI263" s="1838"/>
      <c r="GJ263" s="1839"/>
      <c r="GK263" s="1840"/>
      <c r="GL263" s="1837"/>
      <c r="GM263" s="1838"/>
      <c r="GN263" s="1837"/>
      <c r="GO263" s="1838"/>
      <c r="GP263" s="1839"/>
    </row>
    <row r="264" spans="1:198" ht="20.100000000000001" hidden="1" customHeight="1" outlineLevel="1" collapsed="1">
      <c r="A264" s="2709"/>
      <c r="B264" s="2612"/>
      <c r="C264" s="1836">
        <v>8</v>
      </c>
      <c r="D264" s="2614" t="str">
        <f>実績!C1367&amp;"("&amp;SUBSTITUTE(実績!R1367&amp;")","株式会社 ","")</f>
        <v>ケーズデンキ北上(建築企画)</v>
      </c>
      <c r="E264" s="2617"/>
      <c r="F264" s="2617"/>
      <c r="G264" s="2617"/>
      <c r="H264" s="2617"/>
      <c r="I264" s="2617"/>
      <c r="J264" s="2617"/>
      <c r="K264" s="2617"/>
      <c r="L264" s="2617"/>
      <c r="M264" s="2617"/>
      <c r="N264" s="2617"/>
      <c r="O264" s="2617"/>
      <c r="P264" s="2617"/>
      <c r="Q264" s="2617"/>
      <c r="R264" s="2622"/>
      <c r="S264" s="1837"/>
      <c r="T264" s="1837"/>
      <c r="U264" s="1837"/>
      <c r="V264" s="1837"/>
      <c r="W264" s="1837"/>
      <c r="X264" s="1837"/>
      <c r="Y264" s="1837"/>
      <c r="Z264" s="1837"/>
      <c r="AA264" s="1837"/>
      <c r="AB264" s="1837"/>
      <c r="AC264" s="1837"/>
      <c r="AD264" s="1837"/>
      <c r="AE264" s="1837"/>
      <c r="AF264" s="1837"/>
      <c r="AG264" s="1837"/>
      <c r="AH264" s="1837"/>
      <c r="AI264" s="1837"/>
      <c r="AJ264" s="1837"/>
      <c r="AK264" s="1837"/>
      <c r="AL264" s="1837"/>
      <c r="AM264" s="1837"/>
      <c r="AN264" s="1837"/>
      <c r="AO264" s="1837"/>
      <c r="AP264" s="1837"/>
      <c r="AQ264" s="1837"/>
      <c r="AR264" s="1837"/>
      <c r="AS264" s="1837"/>
      <c r="AT264" s="1837"/>
      <c r="AU264" s="1837"/>
      <c r="AV264" s="1837"/>
      <c r="AW264" s="1837"/>
      <c r="AX264" s="1837"/>
      <c r="AY264" s="1837"/>
      <c r="AZ264" s="1837"/>
      <c r="BA264" s="1837"/>
      <c r="BB264" s="1837"/>
      <c r="BC264" s="1837"/>
      <c r="BD264" s="1837"/>
      <c r="BE264" s="1837"/>
      <c r="BF264" s="1837"/>
      <c r="BG264" s="1837"/>
      <c r="BH264" s="1837"/>
      <c r="BI264" s="1837"/>
      <c r="BJ264" s="1837"/>
      <c r="BK264" s="1837"/>
      <c r="BL264" s="1837"/>
      <c r="BM264" s="1837"/>
      <c r="BN264" s="1837"/>
      <c r="BO264" s="1837"/>
      <c r="BP264" s="1837"/>
      <c r="BQ264" s="1837"/>
      <c r="BR264" s="1837"/>
      <c r="BS264" s="1837"/>
      <c r="BT264" s="1837"/>
      <c r="BU264" s="1837"/>
      <c r="BV264" s="1837"/>
      <c r="BW264" s="1837"/>
      <c r="BX264" s="1837"/>
      <c r="BY264" s="1837"/>
      <c r="BZ264" s="1837"/>
      <c r="CA264" s="1837"/>
      <c r="CB264" s="1837"/>
      <c r="CC264" s="1837"/>
      <c r="CD264" s="1837"/>
      <c r="CE264" s="1837"/>
      <c r="CF264" s="1837"/>
      <c r="CG264" s="1837"/>
      <c r="CH264" s="1837"/>
      <c r="CI264" s="1837"/>
      <c r="CJ264" s="1837"/>
      <c r="CK264" s="1837"/>
      <c r="CL264" s="1837"/>
      <c r="CM264" s="1837"/>
      <c r="CN264" s="1837"/>
      <c r="CO264" s="1837"/>
      <c r="CP264" s="1843"/>
      <c r="CQ264" s="1837"/>
      <c r="CR264" s="1837"/>
      <c r="CS264" s="1837"/>
      <c r="CT264" s="1837"/>
      <c r="CU264" s="1837"/>
      <c r="CV264" s="1837"/>
      <c r="CW264" s="1837"/>
      <c r="CX264" s="1837"/>
      <c r="CY264" s="1840"/>
      <c r="CZ264" s="1837"/>
      <c r="DA264" s="1838"/>
      <c r="DB264" s="1837"/>
      <c r="DC264" s="1838"/>
      <c r="DD264" s="1839"/>
      <c r="DE264" s="1840"/>
      <c r="DF264" s="1837"/>
      <c r="DG264" s="1838"/>
      <c r="DH264" s="1837"/>
      <c r="DI264" s="1838"/>
      <c r="DJ264" s="1844"/>
      <c r="DK264" s="1840"/>
      <c r="DL264" s="1837"/>
      <c r="DM264" s="1838"/>
      <c r="DN264" s="1837"/>
      <c r="DO264" s="1838"/>
      <c r="DP264" s="1839"/>
      <c r="DQ264" s="1840"/>
      <c r="DR264" s="1837"/>
      <c r="DS264" s="1838"/>
      <c r="DT264" s="1837"/>
      <c r="DU264" s="1838"/>
      <c r="DV264" s="1844"/>
      <c r="DW264" s="1840"/>
      <c r="DX264" s="1837"/>
      <c r="DY264" s="1838"/>
      <c r="DZ264" s="1837" t="s">
        <v>15822</v>
      </c>
      <c r="EA264" s="1838"/>
      <c r="EB264" s="1865" t="s">
        <v>15904</v>
      </c>
      <c r="EC264" s="1840"/>
      <c r="ED264" s="1837"/>
      <c r="EE264" s="1838"/>
      <c r="EF264" s="1837"/>
      <c r="EG264" s="1838"/>
      <c r="EH264" s="1844"/>
      <c r="EI264" s="1840"/>
      <c r="EJ264" s="1837"/>
      <c r="EK264" s="1838"/>
      <c r="EL264" s="1837"/>
      <c r="EM264" s="1838"/>
      <c r="EN264" s="1844"/>
      <c r="EO264" s="1840"/>
      <c r="EP264" s="1837"/>
      <c r="EQ264" s="1838"/>
      <c r="ER264" s="1842" t="s">
        <v>8145</v>
      </c>
      <c r="ES264" s="1838"/>
      <c r="ET264" s="1839"/>
      <c r="EU264" s="1840"/>
      <c r="EV264" s="1837"/>
      <c r="EW264" s="1838"/>
      <c r="EX264" s="1837"/>
      <c r="EY264" s="1838"/>
      <c r="EZ264" s="1839"/>
      <c r="FA264" s="1840"/>
      <c r="FB264" s="1837"/>
      <c r="FC264" s="1838"/>
      <c r="FD264" s="1837"/>
      <c r="FE264" s="1838"/>
      <c r="FF264" s="1839"/>
      <c r="FG264" s="1840"/>
      <c r="FH264" s="1837"/>
      <c r="FI264" s="1838"/>
      <c r="FJ264" s="1837"/>
      <c r="FK264" s="1838"/>
      <c r="FL264" s="1839"/>
      <c r="FM264" s="1840"/>
      <c r="FN264" s="1837"/>
      <c r="FO264" s="1838"/>
      <c r="FP264" s="1837"/>
      <c r="FQ264" s="1838"/>
      <c r="FR264" s="1839"/>
      <c r="FS264" s="1840"/>
      <c r="FT264" s="1837"/>
      <c r="FU264" s="1838"/>
      <c r="FV264" s="1837"/>
      <c r="FW264" s="1838"/>
      <c r="FX264" s="1839"/>
      <c r="FY264" s="1840"/>
      <c r="FZ264" s="1837"/>
      <c r="GA264" s="1838"/>
      <c r="GB264" s="1837"/>
      <c r="GC264" s="1838"/>
      <c r="GD264" s="1839"/>
      <c r="GE264" s="1840"/>
      <c r="GF264" s="1837"/>
      <c r="GG264" s="1838"/>
      <c r="GH264" s="1837"/>
      <c r="GI264" s="1838"/>
      <c r="GJ264" s="1839"/>
      <c r="GK264" s="1840"/>
      <c r="GL264" s="1837"/>
      <c r="GM264" s="1838"/>
      <c r="GN264" s="1837"/>
      <c r="GO264" s="1838"/>
      <c r="GP264" s="1839"/>
    </row>
    <row r="265" spans="1:198" ht="20.100000000000001" hidden="1" customHeight="1" outlineLevel="1" collapsed="1">
      <c r="A265" s="2709"/>
      <c r="B265" s="2612"/>
      <c r="C265" s="1836">
        <v>1</v>
      </c>
      <c r="D265" s="2614" t="str">
        <f>実績!C1371&amp;"("&amp;SUBSTITUTE(実績!R1371&amp;")","有限会社 ","")</f>
        <v>テックランドNew羽生(髙田建築設計)</v>
      </c>
      <c r="E265" s="2617"/>
      <c r="F265" s="2617"/>
      <c r="G265" s="2617"/>
      <c r="H265" s="2617"/>
      <c r="I265" s="2617"/>
      <c r="J265" s="2617"/>
      <c r="K265" s="2617"/>
      <c r="L265" s="2617"/>
      <c r="M265" s="2617"/>
      <c r="N265" s="2617"/>
      <c r="O265" s="2617"/>
      <c r="P265" s="2617"/>
      <c r="Q265" s="2617"/>
      <c r="R265" s="2622"/>
      <c r="S265" s="1837"/>
      <c r="T265" s="1837"/>
      <c r="U265" s="1837"/>
      <c r="V265" s="1837"/>
      <c r="W265" s="1837"/>
      <c r="X265" s="1837"/>
      <c r="Y265" s="1837"/>
      <c r="Z265" s="1837"/>
      <c r="AA265" s="1837"/>
      <c r="AB265" s="1837"/>
      <c r="AC265" s="1837"/>
      <c r="AD265" s="1837"/>
      <c r="AE265" s="1837"/>
      <c r="AF265" s="1837"/>
      <c r="AG265" s="1837"/>
      <c r="AH265" s="1837"/>
      <c r="AI265" s="1837"/>
      <c r="AJ265" s="1837"/>
      <c r="AK265" s="1837"/>
      <c r="AL265" s="1837"/>
      <c r="AM265" s="1837"/>
      <c r="AN265" s="1837"/>
      <c r="AO265" s="1837"/>
      <c r="AP265" s="1837"/>
      <c r="AQ265" s="1837"/>
      <c r="AR265" s="1837"/>
      <c r="AS265" s="1837"/>
      <c r="AT265" s="1837"/>
      <c r="AU265" s="1837"/>
      <c r="AV265" s="1837"/>
      <c r="AW265" s="1837"/>
      <c r="AX265" s="1837"/>
      <c r="AY265" s="1837"/>
      <c r="AZ265" s="1837"/>
      <c r="BA265" s="1837"/>
      <c r="BB265" s="1837"/>
      <c r="BC265" s="1837"/>
      <c r="BD265" s="1837"/>
      <c r="BE265" s="1837"/>
      <c r="BF265" s="1837"/>
      <c r="BG265" s="1837"/>
      <c r="BH265" s="1837"/>
      <c r="BI265" s="1837"/>
      <c r="BJ265" s="1837"/>
      <c r="BK265" s="1837"/>
      <c r="BL265" s="1837"/>
      <c r="BM265" s="1837"/>
      <c r="BN265" s="1837"/>
      <c r="BO265" s="1837"/>
      <c r="BP265" s="1837"/>
      <c r="BQ265" s="1837"/>
      <c r="BR265" s="1837"/>
      <c r="BS265" s="1837"/>
      <c r="BT265" s="1837"/>
      <c r="BU265" s="1837"/>
      <c r="BV265" s="1837"/>
      <c r="BW265" s="1837"/>
      <c r="BX265" s="1837"/>
      <c r="BY265" s="1837"/>
      <c r="BZ265" s="1837"/>
      <c r="CA265" s="1837"/>
      <c r="CB265" s="1837"/>
      <c r="CC265" s="1837"/>
      <c r="CD265" s="1837"/>
      <c r="CE265" s="1837"/>
      <c r="CF265" s="1837"/>
      <c r="CG265" s="1837"/>
      <c r="CH265" s="1837"/>
      <c r="CI265" s="1837"/>
      <c r="CJ265" s="1837"/>
      <c r="CK265" s="1837"/>
      <c r="CL265" s="1837"/>
      <c r="CM265" s="1837"/>
      <c r="CN265" s="1837"/>
      <c r="CO265" s="1837"/>
      <c r="CP265" s="1843"/>
      <c r="CQ265" s="1837"/>
      <c r="CR265" s="1837"/>
      <c r="CS265" s="1837"/>
      <c r="CT265" s="1837"/>
      <c r="CU265" s="1837"/>
      <c r="CV265" s="1837"/>
      <c r="CW265" s="1837"/>
      <c r="CX265" s="1837"/>
      <c r="CY265" s="1840"/>
      <c r="CZ265" s="1837"/>
      <c r="DA265" s="1838"/>
      <c r="DB265" s="1837"/>
      <c r="DC265" s="1838"/>
      <c r="DD265" s="1839"/>
      <c r="DE265" s="1840"/>
      <c r="DF265" s="1837"/>
      <c r="DG265" s="1838"/>
      <c r="DH265" s="1837"/>
      <c r="DI265" s="1838"/>
      <c r="DJ265" s="1844"/>
      <c r="DK265" s="1840"/>
      <c r="DL265" s="1837"/>
      <c r="DM265" s="1838"/>
      <c r="DN265" s="1837"/>
      <c r="DO265" s="1838"/>
      <c r="DP265" s="1839"/>
      <c r="DQ265" s="1840"/>
      <c r="DR265" s="1837"/>
      <c r="DS265" s="1838"/>
      <c r="DT265" s="1837"/>
      <c r="DU265" s="1838"/>
      <c r="DV265" s="1844"/>
      <c r="DW265" s="1840"/>
      <c r="DX265" s="1837"/>
      <c r="DY265" s="1838"/>
      <c r="DZ265" s="1837"/>
      <c r="EA265" s="1838"/>
      <c r="EB265" s="1865"/>
      <c r="EC265" s="1840"/>
      <c r="ED265" s="1837"/>
      <c r="EE265" s="1838"/>
      <c r="EF265" s="1837"/>
      <c r="EG265" s="1838"/>
      <c r="EH265" s="1844"/>
      <c r="EI265" s="1840"/>
      <c r="EJ265" s="1837"/>
      <c r="EK265" s="1838"/>
      <c r="EL265" s="1837"/>
      <c r="EM265" s="1838"/>
      <c r="EN265" s="1844"/>
      <c r="EO265" s="1840" t="s">
        <v>16020</v>
      </c>
      <c r="EP265" s="1837"/>
      <c r="EQ265" s="1838"/>
      <c r="ER265" s="1837"/>
      <c r="ES265" s="1838"/>
      <c r="ET265" s="1839"/>
      <c r="EU265" s="1840"/>
      <c r="EV265" s="1837"/>
      <c r="EW265" s="1838"/>
      <c r="EX265" s="1837"/>
      <c r="EY265" s="1838"/>
      <c r="EZ265" s="1839"/>
      <c r="FA265" s="1840"/>
      <c r="FB265" s="1837"/>
      <c r="FC265" s="1838"/>
      <c r="FD265" s="1837"/>
      <c r="FE265" s="1838"/>
      <c r="FF265" s="1839"/>
      <c r="FG265" s="1840"/>
      <c r="FH265" s="1837"/>
      <c r="FI265" s="1838"/>
      <c r="FJ265" s="1837"/>
      <c r="FK265" s="1838"/>
      <c r="FL265" s="1839"/>
      <c r="FM265" s="1840"/>
      <c r="FN265" s="1837"/>
      <c r="FO265" s="1838"/>
      <c r="FP265" s="1837"/>
      <c r="FQ265" s="1838"/>
      <c r="FR265" s="1839"/>
      <c r="FS265" s="1840"/>
      <c r="FT265" s="1837"/>
      <c r="FU265" s="1838"/>
      <c r="FV265" s="1837"/>
      <c r="FW265" s="1838"/>
      <c r="FX265" s="1839"/>
      <c r="FY265" s="1840"/>
      <c r="FZ265" s="1837"/>
      <c r="GA265" s="1838"/>
      <c r="GB265" s="1837"/>
      <c r="GC265" s="1838"/>
      <c r="GD265" s="1839"/>
      <c r="GE265" s="1840"/>
      <c r="GF265" s="1837"/>
      <c r="GG265" s="1838"/>
      <c r="GH265" s="1837"/>
      <c r="GI265" s="1838"/>
      <c r="GJ265" s="1839"/>
      <c r="GK265" s="1840"/>
      <c r="GL265" s="1837"/>
      <c r="GM265" s="1838"/>
      <c r="GN265" s="1837"/>
      <c r="GO265" s="1838"/>
      <c r="GP265" s="1839"/>
    </row>
    <row r="266" spans="1:198" ht="20.100000000000001" hidden="1" customHeight="1" outlineLevel="1">
      <c r="A266" s="2709"/>
      <c r="B266" s="2612"/>
      <c r="C266" s="1836">
        <v>2</v>
      </c>
      <c r="D266" s="2614" t="str">
        <f>実績!C1372&amp;"("&amp;SUBSTITUTE(実績!W1372&amp;")","株式会社 ","")</f>
        <v>ツルハドラッグ角館(アスコ建築構造室)</v>
      </c>
      <c r="E266" s="2617"/>
      <c r="F266" s="2617"/>
      <c r="G266" s="2617"/>
      <c r="H266" s="2617"/>
      <c r="I266" s="2617"/>
      <c r="J266" s="2617"/>
      <c r="K266" s="2617"/>
      <c r="L266" s="2617"/>
      <c r="M266" s="2617"/>
      <c r="N266" s="2617"/>
      <c r="O266" s="2617"/>
      <c r="P266" s="2617"/>
      <c r="Q266" s="2617"/>
      <c r="R266" s="2622"/>
      <c r="S266" s="1837"/>
      <c r="T266" s="1837"/>
      <c r="U266" s="1837"/>
      <c r="V266" s="1837"/>
      <c r="W266" s="1837"/>
      <c r="X266" s="1837"/>
      <c r="Y266" s="1837"/>
      <c r="Z266" s="1837"/>
      <c r="AA266" s="1837"/>
      <c r="AB266" s="1837"/>
      <c r="AC266" s="1837"/>
      <c r="AD266" s="1837"/>
      <c r="AE266" s="1837"/>
      <c r="AF266" s="1837"/>
      <c r="AG266" s="1837"/>
      <c r="AH266" s="1837"/>
      <c r="AI266" s="1837"/>
      <c r="AJ266" s="1837"/>
      <c r="AK266" s="1837"/>
      <c r="AL266" s="1837"/>
      <c r="AM266" s="1837"/>
      <c r="AN266" s="1837"/>
      <c r="AO266" s="1837"/>
      <c r="AP266" s="1837"/>
      <c r="AQ266" s="1837"/>
      <c r="AR266" s="1837"/>
      <c r="AS266" s="1837"/>
      <c r="AT266" s="1837"/>
      <c r="AU266" s="1837"/>
      <c r="AV266" s="1837"/>
      <c r="AW266" s="1837"/>
      <c r="AX266" s="1837"/>
      <c r="AY266" s="1837"/>
      <c r="AZ266" s="1837"/>
      <c r="BA266" s="1837"/>
      <c r="BB266" s="1837"/>
      <c r="BC266" s="1837"/>
      <c r="BD266" s="1837"/>
      <c r="BE266" s="1837"/>
      <c r="BF266" s="1837"/>
      <c r="BG266" s="1837"/>
      <c r="BH266" s="1837"/>
      <c r="BI266" s="1837"/>
      <c r="BJ266" s="1837"/>
      <c r="BK266" s="1837"/>
      <c r="BL266" s="1837"/>
      <c r="BM266" s="1837"/>
      <c r="BN266" s="1837"/>
      <c r="BO266" s="1837"/>
      <c r="BP266" s="1837"/>
      <c r="BQ266" s="1837"/>
      <c r="BR266" s="1837"/>
      <c r="BS266" s="1837"/>
      <c r="BT266" s="1837"/>
      <c r="BU266" s="1837"/>
      <c r="BV266" s="1837"/>
      <c r="BW266" s="1837"/>
      <c r="BX266" s="1837"/>
      <c r="BY266" s="1837"/>
      <c r="BZ266" s="1837"/>
      <c r="CA266" s="1837"/>
      <c r="CB266" s="1837"/>
      <c r="CC266" s="1837"/>
      <c r="CD266" s="1837"/>
      <c r="CE266" s="1837"/>
      <c r="CF266" s="1837"/>
      <c r="CG266" s="1837"/>
      <c r="CH266" s="1837"/>
      <c r="CI266" s="1837"/>
      <c r="CJ266" s="1837"/>
      <c r="CK266" s="1837"/>
      <c r="CL266" s="1837"/>
      <c r="CM266" s="1837"/>
      <c r="CN266" s="1837"/>
      <c r="CO266" s="1837"/>
      <c r="CP266" s="1843"/>
      <c r="CQ266" s="1837"/>
      <c r="CR266" s="1837"/>
      <c r="CS266" s="1837"/>
      <c r="CT266" s="1837"/>
      <c r="CU266" s="1837"/>
      <c r="CV266" s="1837"/>
      <c r="CW266" s="1837"/>
      <c r="CX266" s="1837"/>
      <c r="CY266" s="1840"/>
      <c r="CZ266" s="1837"/>
      <c r="DA266" s="1838"/>
      <c r="DB266" s="1837"/>
      <c r="DC266" s="1838"/>
      <c r="DD266" s="1839"/>
      <c r="DE266" s="1840"/>
      <c r="DF266" s="1837"/>
      <c r="DG266" s="1838"/>
      <c r="DH266" s="1837"/>
      <c r="DI266" s="1838"/>
      <c r="DJ266" s="1844"/>
      <c r="DK266" s="1840"/>
      <c r="DL266" s="1837"/>
      <c r="DM266" s="1838"/>
      <c r="DN266" s="1837"/>
      <c r="DO266" s="1838"/>
      <c r="DP266" s="1839"/>
      <c r="DQ266" s="1840"/>
      <c r="DR266" s="1837"/>
      <c r="DS266" s="1838"/>
      <c r="DT266" s="1837"/>
      <c r="DU266" s="1838"/>
      <c r="DV266" s="1844"/>
      <c r="DW266" s="1840"/>
      <c r="DX266" s="1837"/>
      <c r="DY266" s="1838"/>
      <c r="DZ266" s="1837"/>
      <c r="EA266" s="1838"/>
      <c r="EB266" s="1844"/>
      <c r="EC266" s="1840" t="s">
        <v>15931</v>
      </c>
      <c r="ED266" s="1837"/>
      <c r="EE266" s="1838"/>
      <c r="EF266" s="1837"/>
      <c r="EG266" s="1838"/>
      <c r="EH266" s="1844"/>
      <c r="EI266" s="1840"/>
      <c r="EJ266" s="1837"/>
      <c r="EK266" s="1838"/>
      <c r="EL266" s="1837"/>
      <c r="EM266" s="1838"/>
      <c r="EN266" s="1844"/>
      <c r="EO266" s="1840" t="s">
        <v>15932</v>
      </c>
      <c r="EP266" s="1837"/>
      <c r="EQ266" s="1838"/>
      <c r="ER266" s="1837"/>
      <c r="ES266" s="1838"/>
      <c r="ET266" s="1839"/>
      <c r="EU266" s="1840"/>
      <c r="EV266" s="1837"/>
      <c r="EW266" s="1838"/>
      <c r="EX266" s="1837"/>
      <c r="EY266" s="1838"/>
      <c r="EZ266" s="1839"/>
      <c r="FA266" s="1840"/>
      <c r="FB266" s="1837"/>
      <c r="FC266" s="1838"/>
      <c r="FD266" s="1837"/>
      <c r="FE266" s="1838"/>
      <c r="FF266" s="1839"/>
      <c r="FG266" s="1840"/>
      <c r="FH266" s="1837"/>
      <c r="FI266" s="1838"/>
      <c r="FJ266" s="1837"/>
      <c r="FK266" s="1838"/>
      <c r="FL266" s="1839"/>
      <c r="FM266" s="1840"/>
      <c r="FN266" s="1837"/>
      <c r="FO266" s="1838"/>
      <c r="FP266" s="1837"/>
      <c r="FQ266" s="1838"/>
      <c r="FR266" s="1839"/>
      <c r="FS266" s="1840"/>
      <c r="FT266" s="1837"/>
      <c r="FU266" s="1838"/>
      <c r="FV266" s="1837"/>
      <c r="FW266" s="1838"/>
      <c r="FX266" s="1839"/>
      <c r="FY266" s="1840"/>
      <c r="FZ266" s="1837"/>
      <c r="GA266" s="1838"/>
      <c r="GB266" s="1837"/>
      <c r="GC266" s="1838"/>
      <c r="GD266" s="1839"/>
      <c r="GE266" s="1840"/>
      <c r="GF266" s="1837"/>
      <c r="GG266" s="1838"/>
      <c r="GH266" s="1837"/>
      <c r="GI266" s="1838"/>
      <c r="GJ266" s="1839"/>
      <c r="GK266" s="1840"/>
      <c r="GL266" s="1837"/>
      <c r="GM266" s="1838"/>
      <c r="GN266" s="1837"/>
      <c r="GO266" s="1838"/>
      <c r="GP266" s="1839"/>
    </row>
    <row r="267" spans="1:198" ht="20.100000000000001" hidden="1" customHeight="1" outlineLevel="1" collapsed="1">
      <c r="A267" s="2709"/>
      <c r="B267" s="2612"/>
      <c r="C267" s="1836">
        <v>3</v>
      </c>
      <c r="D267" s="2614" t="str">
        <f>実績!C1379&amp;"("&amp;SUBSTITUTE(実績!AB1379&amp;")","株式会社 ","")</f>
        <v>ツルハドラッグ新川3条(トーテック)</v>
      </c>
      <c r="E267" s="2617"/>
      <c r="F267" s="2617"/>
      <c r="G267" s="2617"/>
      <c r="H267" s="2617"/>
      <c r="I267" s="2617"/>
      <c r="J267" s="2617"/>
      <c r="K267" s="2617"/>
      <c r="L267" s="2617"/>
      <c r="M267" s="2617"/>
      <c r="N267" s="2617"/>
      <c r="O267" s="2617"/>
      <c r="P267" s="2617"/>
      <c r="Q267" s="2617"/>
      <c r="R267" s="2622"/>
      <c r="S267" s="1837"/>
      <c r="T267" s="1837"/>
      <c r="U267" s="1837"/>
      <c r="V267" s="1837"/>
      <c r="W267" s="1837"/>
      <c r="X267" s="1837"/>
      <c r="Y267" s="1837"/>
      <c r="Z267" s="1837"/>
      <c r="AA267" s="1837"/>
      <c r="AB267" s="1837"/>
      <c r="AC267" s="1837"/>
      <c r="AD267" s="1837"/>
      <c r="AE267" s="1837"/>
      <c r="AF267" s="1837"/>
      <c r="AG267" s="1837"/>
      <c r="AH267" s="1837"/>
      <c r="AI267" s="1837"/>
      <c r="AJ267" s="1837"/>
      <c r="AK267" s="1837"/>
      <c r="AL267" s="1837"/>
      <c r="AM267" s="1837"/>
      <c r="AN267" s="1837"/>
      <c r="AO267" s="1837"/>
      <c r="AP267" s="1837"/>
      <c r="AQ267" s="1837"/>
      <c r="AR267" s="1837"/>
      <c r="AS267" s="1837"/>
      <c r="AT267" s="1837"/>
      <c r="AU267" s="1837"/>
      <c r="AV267" s="1837"/>
      <c r="AW267" s="1837"/>
      <c r="AX267" s="1837"/>
      <c r="AY267" s="1837"/>
      <c r="AZ267" s="1837"/>
      <c r="BA267" s="1837"/>
      <c r="BB267" s="1837"/>
      <c r="BC267" s="1837"/>
      <c r="BD267" s="1837"/>
      <c r="BE267" s="1837"/>
      <c r="BF267" s="1837"/>
      <c r="BG267" s="1837"/>
      <c r="BH267" s="1837"/>
      <c r="BI267" s="1837"/>
      <c r="BJ267" s="1837"/>
      <c r="BK267" s="1837"/>
      <c r="BL267" s="1837"/>
      <c r="BM267" s="1837"/>
      <c r="BN267" s="1837"/>
      <c r="BO267" s="1837"/>
      <c r="BP267" s="1837"/>
      <c r="BQ267" s="1837"/>
      <c r="BR267" s="1837"/>
      <c r="BS267" s="1837"/>
      <c r="BT267" s="1837"/>
      <c r="BU267" s="1837"/>
      <c r="BV267" s="1837"/>
      <c r="BW267" s="1837"/>
      <c r="BX267" s="1837"/>
      <c r="BY267" s="1837"/>
      <c r="BZ267" s="1837"/>
      <c r="CA267" s="1837"/>
      <c r="CB267" s="1837"/>
      <c r="CC267" s="1837"/>
      <c r="CD267" s="1837"/>
      <c r="CE267" s="1837"/>
      <c r="CF267" s="1837"/>
      <c r="CG267" s="1837"/>
      <c r="CH267" s="1837"/>
      <c r="CI267" s="1837"/>
      <c r="CJ267" s="1837"/>
      <c r="CK267" s="1837"/>
      <c r="CL267" s="1837"/>
      <c r="CM267" s="1837"/>
      <c r="CN267" s="1837"/>
      <c r="CO267" s="1837"/>
      <c r="CP267" s="1843"/>
      <c r="CQ267" s="1837"/>
      <c r="CR267" s="1837"/>
      <c r="CS267" s="1837"/>
      <c r="CT267" s="1837"/>
      <c r="CU267" s="1837"/>
      <c r="CV267" s="1837"/>
      <c r="CW267" s="1837"/>
      <c r="CX267" s="1837"/>
      <c r="CY267" s="1840"/>
      <c r="CZ267" s="1837"/>
      <c r="DA267" s="1838"/>
      <c r="DB267" s="1837"/>
      <c r="DC267" s="1838"/>
      <c r="DD267" s="1839"/>
      <c r="DE267" s="1840"/>
      <c r="DF267" s="1837"/>
      <c r="DG267" s="1838"/>
      <c r="DH267" s="1837"/>
      <c r="DI267" s="1838"/>
      <c r="DJ267" s="1844"/>
      <c r="DK267" s="1840"/>
      <c r="DL267" s="1837"/>
      <c r="DM267" s="1838"/>
      <c r="DN267" s="1837"/>
      <c r="DO267" s="1838"/>
      <c r="DP267" s="1839"/>
      <c r="DQ267" s="1840"/>
      <c r="DR267" s="1837"/>
      <c r="DS267" s="1838"/>
      <c r="DT267" s="1837"/>
      <c r="DU267" s="1838"/>
      <c r="DV267" s="1844"/>
      <c r="DW267" s="1838"/>
      <c r="DX267" s="1837"/>
      <c r="DY267" s="1838"/>
      <c r="DZ267" s="1837"/>
      <c r="EA267" s="1838"/>
      <c r="EB267" s="1844"/>
      <c r="EC267" s="1840"/>
      <c r="ED267" s="1837"/>
      <c r="EE267" s="1838"/>
      <c r="EF267" s="1837"/>
      <c r="EG267" s="1838"/>
      <c r="EH267" s="1844"/>
      <c r="EI267" s="1840"/>
      <c r="EJ267" s="1837"/>
      <c r="EK267" s="1838"/>
      <c r="EL267" s="1837"/>
      <c r="EM267" s="1838"/>
      <c r="EN267" s="1844"/>
      <c r="EO267" s="1840"/>
      <c r="EP267" s="1837"/>
      <c r="EQ267" s="1838"/>
      <c r="ER267" s="1837"/>
      <c r="ES267" s="1838"/>
      <c r="ET267" s="1839"/>
      <c r="EU267" s="1840"/>
      <c r="EV267" s="1837"/>
      <c r="EW267" s="1838"/>
      <c r="EX267" s="1837"/>
      <c r="EY267" s="1838"/>
      <c r="EZ267" s="1839"/>
      <c r="FA267" s="1840"/>
      <c r="FB267" s="1837"/>
      <c r="FC267" s="1838"/>
      <c r="FD267" s="1837"/>
      <c r="FE267" s="1838"/>
      <c r="FF267" s="1839"/>
      <c r="FG267" s="1840"/>
      <c r="FH267" s="1837"/>
      <c r="FI267" s="1838"/>
      <c r="FJ267" s="1837"/>
      <c r="FK267" s="1838"/>
      <c r="FL267" s="1839"/>
      <c r="FM267" s="1840"/>
      <c r="FN267" s="1837"/>
      <c r="FO267" s="1838"/>
      <c r="FP267" s="1837"/>
      <c r="FQ267" s="1838"/>
      <c r="FR267" s="1839"/>
      <c r="FS267" s="1840"/>
      <c r="FT267" s="1837"/>
      <c r="FU267" s="1838"/>
      <c r="FV267" s="1837"/>
      <c r="FW267" s="1838"/>
      <c r="FX267" s="1839"/>
      <c r="FY267" s="1840"/>
      <c r="FZ267" s="1837"/>
      <c r="GA267" s="1838"/>
      <c r="GB267" s="1837"/>
      <c r="GC267" s="1838"/>
      <c r="GD267" s="1839"/>
      <c r="GE267" s="1840"/>
      <c r="GF267" s="1837"/>
      <c r="GG267" s="1838"/>
      <c r="GH267" s="1837"/>
      <c r="GI267" s="1838"/>
      <c r="GJ267" s="1839"/>
      <c r="GK267" s="1840"/>
      <c r="GL267" s="1837"/>
      <c r="GM267" s="1838"/>
      <c r="GN267" s="1837"/>
      <c r="GO267" s="1838"/>
      <c r="GP267" s="1839"/>
    </row>
    <row r="268" spans="1:198" ht="20.100000000000001" hidden="1" customHeight="1" outlineLevel="1" collapsed="1">
      <c r="A268" s="2709"/>
      <c r="B268" s="2612"/>
      <c r="C268" s="1836">
        <v>4</v>
      </c>
      <c r="D268" s="2614" t="str">
        <f>実績!C1381&amp;"("&amp;SUBSTITUTE(実績!R1381&amp;")","株式会社 ","")</f>
        <v>神姫バス(二神建築事務所)</v>
      </c>
      <c r="E268" s="2617"/>
      <c r="F268" s="2617"/>
      <c r="G268" s="2617"/>
      <c r="H268" s="2617"/>
      <c r="I268" s="2617"/>
      <c r="J268" s="2617"/>
      <c r="K268" s="2617"/>
      <c r="L268" s="2617"/>
      <c r="M268" s="2617"/>
      <c r="N268" s="2617"/>
      <c r="O268" s="2617"/>
      <c r="P268" s="2617"/>
      <c r="Q268" s="2617"/>
      <c r="R268" s="2622"/>
      <c r="S268" s="1837"/>
      <c r="T268" s="1837"/>
      <c r="U268" s="1837"/>
      <c r="V268" s="1837"/>
      <c r="W268" s="1837"/>
      <c r="X268" s="1837"/>
      <c r="Y268" s="1837"/>
      <c r="Z268" s="1837"/>
      <c r="AA268" s="1837"/>
      <c r="AB268" s="1837"/>
      <c r="AC268" s="1837"/>
      <c r="AD268" s="1837"/>
      <c r="AE268" s="1837"/>
      <c r="AF268" s="1837"/>
      <c r="AG268" s="1837"/>
      <c r="AH268" s="1837"/>
      <c r="AI268" s="1837"/>
      <c r="AJ268" s="1837"/>
      <c r="AK268" s="1837"/>
      <c r="AL268" s="1837"/>
      <c r="AM268" s="1837"/>
      <c r="AN268" s="1837"/>
      <c r="AO268" s="1837"/>
      <c r="AP268" s="1837"/>
      <c r="AQ268" s="1837"/>
      <c r="AR268" s="1837"/>
      <c r="AS268" s="1837"/>
      <c r="AT268" s="1837"/>
      <c r="AU268" s="1837"/>
      <c r="AV268" s="1837"/>
      <c r="AW268" s="1837"/>
      <c r="AX268" s="1837"/>
      <c r="AY268" s="1837"/>
      <c r="AZ268" s="1837"/>
      <c r="BA268" s="1837"/>
      <c r="BB268" s="1837"/>
      <c r="BC268" s="1837"/>
      <c r="BD268" s="1837"/>
      <c r="BE268" s="1837"/>
      <c r="BF268" s="1837"/>
      <c r="BG268" s="1837"/>
      <c r="BH268" s="1837"/>
      <c r="BI268" s="1837"/>
      <c r="BJ268" s="1837"/>
      <c r="BK268" s="1837"/>
      <c r="BL268" s="1837"/>
      <c r="BM268" s="1837"/>
      <c r="BN268" s="1837"/>
      <c r="BO268" s="1837"/>
      <c r="BP268" s="1837"/>
      <c r="BQ268" s="1837"/>
      <c r="BR268" s="1837"/>
      <c r="BS268" s="1837"/>
      <c r="BT268" s="1837"/>
      <c r="BU268" s="1837"/>
      <c r="BV268" s="1837"/>
      <c r="BW268" s="1837"/>
      <c r="BX268" s="1837"/>
      <c r="BY268" s="1837"/>
      <c r="BZ268" s="1837"/>
      <c r="CA268" s="1837"/>
      <c r="CB268" s="1837"/>
      <c r="CC268" s="1837"/>
      <c r="CD268" s="1837"/>
      <c r="CE268" s="1837"/>
      <c r="CF268" s="1837"/>
      <c r="CG268" s="1837"/>
      <c r="CH268" s="1837"/>
      <c r="CI268" s="1837"/>
      <c r="CJ268" s="1837"/>
      <c r="CK268" s="1837"/>
      <c r="CL268" s="1837"/>
      <c r="CM268" s="1837"/>
      <c r="CN268" s="1837"/>
      <c r="CO268" s="1837"/>
      <c r="CP268" s="1843"/>
      <c r="CQ268" s="1837"/>
      <c r="CR268" s="1837"/>
      <c r="CS268" s="1837"/>
      <c r="CT268" s="1837"/>
      <c r="CU268" s="1837"/>
      <c r="CV268" s="1837"/>
      <c r="CW268" s="1837"/>
      <c r="CX268" s="1837"/>
      <c r="CY268" s="1840"/>
      <c r="CZ268" s="1837"/>
      <c r="DA268" s="1838"/>
      <c r="DB268" s="1837"/>
      <c r="DC268" s="1838"/>
      <c r="DD268" s="1839"/>
      <c r="DE268" s="1840"/>
      <c r="DF268" s="1837"/>
      <c r="DG268" s="1838"/>
      <c r="DH268" s="1837"/>
      <c r="DI268" s="1838"/>
      <c r="DJ268" s="1844"/>
      <c r="DK268" s="1840"/>
      <c r="DL268" s="1837"/>
      <c r="DM268" s="1838"/>
      <c r="DN268" s="1837"/>
      <c r="DO268" s="1838"/>
      <c r="DP268" s="1839"/>
      <c r="DQ268" s="1840"/>
      <c r="DR268" s="1837"/>
      <c r="DS268" s="1838"/>
      <c r="DT268" s="1837"/>
      <c r="DU268" s="1838"/>
      <c r="DV268" s="1844"/>
      <c r="DW268" s="1838"/>
      <c r="DX268" s="1837"/>
      <c r="DY268" s="1838"/>
      <c r="DZ268" s="1837"/>
      <c r="EA268" s="1838"/>
      <c r="EB268" s="1844"/>
      <c r="EC268" s="1840"/>
      <c r="ED268" s="1837"/>
      <c r="EE268" s="1838"/>
      <c r="EF268" s="1837" t="s">
        <v>16202</v>
      </c>
      <c r="EG268" s="1838"/>
      <c r="EH268" s="1844"/>
      <c r="EI268" s="1840" t="s">
        <v>15916</v>
      </c>
      <c r="EJ268" s="1837"/>
      <c r="EK268" s="1838"/>
      <c r="EL268" s="1837"/>
      <c r="EM268" s="1838"/>
      <c r="EN268" s="1844"/>
      <c r="EO268" s="1840"/>
      <c r="EP268" s="1837"/>
      <c r="EQ268" s="1838"/>
      <c r="ER268" s="1837" t="s">
        <v>15917</v>
      </c>
      <c r="ES268" s="1838"/>
      <c r="ET268" s="1839"/>
      <c r="EU268" s="1840"/>
      <c r="EV268" s="1837"/>
      <c r="EW268" s="1838"/>
      <c r="EX268" s="1837"/>
      <c r="EY268" s="1838"/>
      <c r="EZ268" s="1839"/>
      <c r="FA268" s="1840"/>
      <c r="FB268" s="1837"/>
      <c r="FC268" s="1838"/>
      <c r="FD268" s="1837"/>
      <c r="FE268" s="1838"/>
      <c r="FF268" s="1839"/>
      <c r="FG268" s="1840"/>
      <c r="FH268" s="1837"/>
      <c r="FI268" s="1838"/>
      <c r="FJ268" s="1837"/>
      <c r="FK268" s="1838"/>
      <c r="FL268" s="1839"/>
      <c r="FM268" s="1840"/>
      <c r="FN268" s="1837"/>
      <c r="FO268" s="1838"/>
      <c r="FP268" s="1837"/>
      <c r="FQ268" s="1838"/>
      <c r="FR268" s="1839"/>
      <c r="FS268" s="1840"/>
      <c r="FT268" s="1837"/>
      <c r="FU268" s="1838"/>
      <c r="FV268" s="1837"/>
      <c r="FW268" s="1838"/>
      <c r="FX268" s="1839"/>
      <c r="FY268" s="1840"/>
      <c r="FZ268" s="1837"/>
      <c r="GA268" s="1838"/>
      <c r="GB268" s="1837"/>
      <c r="GC268" s="1838"/>
      <c r="GD268" s="1839"/>
      <c r="GE268" s="1840"/>
      <c r="GF268" s="1837"/>
      <c r="GG268" s="1838"/>
      <c r="GH268" s="1837"/>
      <c r="GI268" s="1838"/>
      <c r="GJ268" s="1839"/>
      <c r="GK268" s="1840"/>
      <c r="GL268" s="1837"/>
      <c r="GM268" s="1838"/>
      <c r="GN268" s="1837"/>
      <c r="GO268" s="1838"/>
      <c r="GP268" s="1839"/>
    </row>
    <row r="269" spans="1:198" ht="20.100000000000001" hidden="1" customHeight="1" outlineLevel="1">
      <c r="A269" s="2709"/>
      <c r="B269" s="2612"/>
      <c r="C269" s="1836">
        <v>5</v>
      </c>
      <c r="D269" s="2614" t="str">
        <f>実績!C1373&amp;"("&amp;SUBSTITUTE(実績!R1373&amp;")"," 一級建築士事務所","")</f>
        <v>ＪＡにしみの海津北支店(全農岐阜)</v>
      </c>
      <c r="E269" s="2617"/>
      <c r="F269" s="2617"/>
      <c r="G269" s="2617"/>
      <c r="H269" s="2617"/>
      <c r="I269" s="2617"/>
      <c r="J269" s="2617"/>
      <c r="K269" s="2617"/>
      <c r="L269" s="2617"/>
      <c r="M269" s="2617"/>
      <c r="N269" s="2617"/>
      <c r="O269" s="2617"/>
      <c r="P269" s="2617"/>
      <c r="Q269" s="2617"/>
      <c r="R269" s="2622"/>
      <c r="S269" s="1837"/>
      <c r="T269" s="1837"/>
      <c r="U269" s="1837"/>
      <c r="V269" s="1837"/>
      <c r="W269" s="1837"/>
      <c r="X269" s="1837"/>
      <c r="Y269" s="1837"/>
      <c r="Z269" s="1837"/>
      <c r="AA269" s="1837"/>
      <c r="AB269" s="1837"/>
      <c r="AC269" s="1837"/>
      <c r="AD269" s="1837"/>
      <c r="AE269" s="1837"/>
      <c r="AF269" s="1837"/>
      <c r="AG269" s="1837"/>
      <c r="AH269" s="1837"/>
      <c r="AI269" s="1837"/>
      <c r="AJ269" s="1837"/>
      <c r="AK269" s="1837"/>
      <c r="AL269" s="1837"/>
      <c r="AM269" s="1837"/>
      <c r="AN269" s="1837"/>
      <c r="AO269" s="1837"/>
      <c r="AP269" s="1837"/>
      <c r="AQ269" s="1837"/>
      <c r="AR269" s="1837"/>
      <c r="AS269" s="1837"/>
      <c r="AT269" s="1837"/>
      <c r="AU269" s="1837"/>
      <c r="AV269" s="1837"/>
      <c r="AW269" s="1837"/>
      <c r="AX269" s="1837"/>
      <c r="AY269" s="1837"/>
      <c r="AZ269" s="1837"/>
      <c r="BA269" s="1837"/>
      <c r="BB269" s="1837"/>
      <c r="BC269" s="1837"/>
      <c r="BD269" s="1837"/>
      <c r="BE269" s="1837"/>
      <c r="BF269" s="1837"/>
      <c r="BG269" s="1837"/>
      <c r="BH269" s="1837"/>
      <c r="BI269" s="1837"/>
      <c r="BJ269" s="1837"/>
      <c r="BK269" s="1837"/>
      <c r="BL269" s="1837"/>
      <c r="BM269" s="1837"/>
      <c r="BN269" s="1837"/>
      <c r="BO269" s="1837"/>
      <c r="BP269" s="1837"/>
      <c r="BQ269" s="1837"/>
      <c r="BR269" s="1837"/>
      <c r="BS269" s="1837"/>
      <c r="BT269" s="1837"/>
      <c r="BU269" s="1837"/>
      <c r="BV269" s="1837"/>
      <c r="BW269" s="1837"/>
      <c r="BX269" s="1837"/>
      <c r="BY269" s="1837"/>
      <c r="BZ269" s="1837"/>
      <c r="CA269" s="1837"/>
      <c r="CB269" s="1837"/>
      <c r="CC269" s="1837"/>
      <c r="CD269" s="1837"/>
      <c r="CE269" s="1837"/>
      <c r="CF269" s="1837"/>
      <c r="CG269" s="1837"/>
      <c r="CH269" s="1837"/>
      <c r="CI269" s="1837"/>
      <c r="CJ269" s="1837"/>
      <c r="CK269" s="1837"/>
      <c r="CL269" s="1837"/>
      <c r="CM269" s="1837"/>
      <c r="CN269" s="1837"/>
      <c r="CO269" s="1837"/>
      <c r="CP269" s="1843"/>
      <c r="CQ269" s="1837"/>
      <c r="CR269" s="1837"/>
      <c r="CS269" s="1837"/>
      <c r="CT269" s="1837"/>
      <c r="CU269" s="1837"/>
      <c r="CV269" s="1837"/>
      <c r="CW269" s="1837"/>
      <c r="CX269" s="1837"/>
      <c r="CY269" s="1840"/>
      <c r="CZ269" s="1837"/>
      <c r="DA269" s="1838"/>
      <c r="DB269" s="1837"/>
      <c r="DC269" s="1838"/>
      <c r="DD269" s="1839"/>
      <c r="DE269" s="1840"/>
      <c r="DF269" s="1837"/>
      <c r="DG269" s="1838"/>
      <c r="DH269" s="1837"/>
      <c r="DI269" s="1838"/>
      <c r="DJ269" s="1844"/>
      <c r="DK269" s="1840"/>
      <c r="DL269" s="1837"/>
      <c r="DM269" s="1838"/>
      <c r="DN269" s="1837"/>
      <c r="DO269" s="1838"/>
      <c r="DP269" s="1839"/>
      <c r="DQ269" s="1840"/>
      <c r="DR269" s="1837"/>
      <c r="DS269" s="1838"/>
      <c r="DT269" s="1837"/>
      <c r="DU269" s="1838"/>
      <c r="DV269" s="1844"/>
      <c r="DW269" s="1838"/>
      <c r="DX269" s="1837"/>
      <c r="DY269" s="1838"/>
      <c r="DZ269" s="1837"/>
      <c r="EA269" s="1838"/>
      <c r="EB269" s="1844"/>
      <c r="EC269" s="1840"/>
      <c r="ED269" s="1837"/>
      <c r="EE269" s="1838"/>
      <c r="EF269" s="1837"/>
      <c r="EG269" s="1838"/>
      <c r="EH269" s="1844"/>
      <c r="EI269" s="1840"/>
      <c r="EJ269" s="1837"/>
      <c r="EK269" s="1838"/>
      <c r="EL269" s="1837"/>
      <c r="EM269" s="1838"/>
      <c r="EN269" s="1844"/>
      <c r="EO269" s="1840" t="s">
        <v>15863</v>
      </c>
      <c r="EP269" s="1837"/>
      <c r="EQ269" s="1838"/>
      <c r="ER269" s="1837"/>
      <c r="ES269" s="1838"/>
      <c r="ET269" s="1839"/>
      <c r="EU269" s="1840"/>
      <c r="EV269" s="1837"/>
      <c r="EW269" s="1838"/>
      <c r="EX269" s="1837"/>
      <c r="EY269" s="1838"/>
      <c r="EZ269" s="1839"/>
      <c r="FA269" s="1840"/>
      <c r="FB269" s="1837"/>
      <c r="FC269" s="1838"/>
      <c r="FD269" s="1837"/>
      <c r="FE269" s="1838"/>
      <c r="FF269" s="1839"/>
      <c r="FG269" s="1840"/>
      <c r="FH269" s="1837"/>
      <c r="FI269" s="1838"/>
      <c r="FJ269" s="1837"/>
      <c r="FK269" s="1838"/>
      <c r="FL269" s="1839"/>
      <c r="FM269" s="1840"/>
      <c r="FN269" s="1837"/>
      <c r="FO269" s="1838"/>
      <c r="FP269" s="1837"/>
      <c r="FQ269" s="1838"/>
      <c r="FR269" s="1839"/>
      <c r="FS269" s="1840"/>
      <c r="FT269" s="1837"/>
      <c r="FU269" s="1838"/>
      <c r="FV269" s="1837"/>
      <c r="FW269" s="1838"/>
      <c r="FX269" s="1839"/>
      <c r="FY269" s="1840"/>
      <c r="FZ269" s="1837"/>
      <c r="GA269" s="1838"/>
      <c r="GB269" s="1837"/>
      <c r="GC269" s="1838"/>
      <c r="GD269" s="1839"/>
      <c r="GE269" s="1840"/>
      <c r="GF269" s="1837"/>
      <c r="GG269" s="1838"/>
      <c r="GH269" s="1837"/>
      <c r="GI269" s="1838"/>
      <c r="GJ269" s="1839"/>
      <c r="GK269" s="1840"/>
      <c r="GL269" s="1837"/>
      <c r="GM269" s="1838"/>
      <c r="GN269" s="1837"/>
      <c r="GO269" s="1838"/>
      <c r="GP269" s="1839"/>
    </row>
    <row r="270" spans="1:198" ht="20.100000000000001" hidden="1" customHeight="1" outlineLevel="1" collapsed="1">
      <c r="A270" s="2709"/>
      <c r="B270" s="2612"/>
      <c r="C270" s="1836">
        <v>6</v>
      </c>
      <c r="D270" s="2614" t="str">
        <f>実績!C1369&amp;"("&amp;SUBSTITUTE(実績!R1369&amp;")","株式会社 ","")</f>
        <v>ホンダカーズ徳島三軒屋(アトリエ豊岡)</v>
      </c>
      <c r="E270" s="2617"/>
      <c r="F270" s="2617"/>
      <c r="G270" s="2617"/>
      <c r="H270" s="2617"/>
      <c r="I270" s="2617"/>
      <c r="J270" s="2617"/>
      <c r="K270" s="2617"/>
      <c r="L270" s="2617"/>
      <c r="M270" s="2617"/>
      <c r="N270" s="2617"/>
      <c r="O270" s="2617"/>
      <c r="P270" s="2617"/>
      <c r="Q270" s="2617"/>
      <c r="R270" s="2641"/>
      <c r="S270" s="1837"/>
      <c r="T270" s="1837"/>
      <c r="U270" s="1837"/>
      <c r="V270" s="1837"/>
      <c r="W270" s="1837"/>
      <c r="X270" s="1837"/>
      <c r="Y270" s="1837"/>
      <c r="Z270" s="1837"/>
      <c r="AA270" s="1837"/>
      <c r="AB270" s="1837"/>
      <c r="AC270" s="1837"/>
      <c r="AD270" s="1837"/>
      <c r="AE270" s="1837"/>
      <c r="AF270" s="1837"/>
      <c r="AG270" s="1837"/>
      <c r="AH270" s="1837"/>
      <c r="AI270" s="1837"/>
      <c r="AJ270" s="1837"/>
      <c r="AK270" s="1837"/>
      <c r="AL270" s="1837"/>
      <c r="AM270" s="1837"/>
      <c r="AN270" s="1837"/>
      <c r="AO270" s="1837"/>
      <c r="AP270" s="1837"/>
      <c r="AQ270" s="1837"/>
      <c r="AR270" s="1837"/>
      <c r="AS270" s="1837"/>
      <c r="AT270" s="1837"/>
      <c r="AU270" s="1837"/>
      <c r="AV270" s="1837"/>
      <c r="AW270" s="1837"/>
      <c r="AX270" s="1837"/>
      <c r="AY270" s="1837"/>
      <c r="AZ270" s="1837"/>
      <c r="BA270" s="1837"/>
      <c r="BB270" s="1837"/>
      <c r="BC270" s="1837"/>
      <c r="BD270" s="1837"/>
      <c r="BE270" s="1837"/>
      <c r="BF270" s="1837"/>
      <c r="BG270" s="1837"/>
      <c r="BH270" s="1837"/>
      <c r="BI270" s="1837"/>
      <c r="BJ270" s="1837"/>
      <c r="BK270" s="1837"/>
      <c r="BL270" s="1837"/>
      <c r="BM270" s="1837"/>
      <c r="BN270" s="1837"/>
      <c r="BO270" s="1837"/>
      <c r="BP270" s="1837"/>
      <c r="BQ270" s="1837"/>
      <c r="BR270" s="1837"/>
      <c r="BS270" s="1837"/>
      <c r="BT270" s="1837"/>
      <c r="BU270" s="1837"/>
      <c r="BV270" s="1837"/>
      <c r="BW270" s="1837"/>
      <c r="BX270" s="1837"/>
      <c r="BY270" s="1837"/>
      <c r="BZ270" s="1837"/>
      <c r="CA270" s="1837"/>
      <c r="CB270" s="1837"/>
      <c r="CC270" s="1837"/>
      <c r="CD270" s="1837"/>
      <c r="CE270" s="1837"/>
      <c r="CF270" s="1837"/>
      <c r="CG270" s="1837"/>
      <c r="CH270" s="1837"/>
      <c r="CI270" s="1837"/>
      <c r="CJ270" s="1837"/>
      <c r="CK270" s="1837"/>
      <c r="CL270" s="1837"/>
      <c r="CM270" s="1837"/>
      <c r="CN270" s="1837"/>
      <c r="CO270" s="1837"/>
      <c r="CP270" s="1843"/>
      <c r="CQ270" s="1837"/>
      <c r="CR270" s="1837"/>
      <c r="CS270" s="1837"/>
      <c r="CT270" s="1837"/>
      <c r="CU270" s="1837"/>
      <c r="CV270" s="1837"/>
      <c r="CW270" s="1837"/>
      <c r="CX270" s="1837"/>
      <c r="CY270" s="1840"/>
      <c r="CZ270" s="1837"/>
      <c r="DA270" s="1838"/>
      <c r="DB270" s="1837"/>
      <c r="DC270" s="1838"/>
      <c r="DD270" s="1839"/>
      <c r="DE270" s="1840"/>
      <c r="DF270" s="1837"/>
      <c r="DG270" s="1838"/>
      <c r="DH270" s="1837"/>
      <c r="DI270" s="1838"/>
      <c r="DJ270" s="1844"/>
      <c r="DK270" s="1840"/>
      <c r="DL270" s="1837"/>
      <c r="DM270" s="1838"/>
      <c r="DN270" s="1837"/>
      <c r="DO270" s="1838"/>
      <c r="DP270" s="1839"/>
      <c r="DQ270" s="1840"/>
      <c r="DR270" s="1837"/>
      <c r="DS270" s="1838"/>
      <c r="DT270" s="1837"/>
      <c r="DU270" s="1838"/>
      <c r="DV270" s="1844"/>
      <c r="DW270" s="1840"/>
      <c r="DX270" s="1837"/>
      <c r="DY270" s="1838"/>
      <c r="DZ270" s="1837"/>
      <c r="EA270" s="1838"/>
      <c r="EB270" s="1865"/>
      <c r="EC270" s="1840" t="s">
        <v>15976</v>
      </c>
      <c r="ED270" s="1837"/>
      <c r="EE270" s="1838"/>
      <c r="EF270" s="1837"/>
      <c r="EG270" s="1838"/>
      <c r="EH270" s="1865" t="s">
        <v>16587</v>
      </c>
      <c r="EI270" s="1840"/>
      <c r="EJ270" s="1837"/>
      <c r="EK270" s="1838"/>
      <c r="EL270" s="1837"/>
      <c r="EM270" s="1838"/>
      <c r="EN270" s="1844"/>
      <c r="EO270" s="1840" t="s">
        <v>15975</v>
      </c>
      <c r="EP270" s="1837"/>
      <c r="EQ270" s="1838"/>
      <c r="ER270" s="1837"/>
      <c r="ES270" s="1838"/>
      <c r="ET270" s="1839"/>
      <c r="EU270" s="1840"/>
      <c r="EV270" s="1837"/>
      <c r="EW270" s="1838"/>
      <c r="EX270" s="1837"/>
      <c r="EY270" s="1838"/>
      <c r="EZ270" s="1839"/>
      <c r="FA270" s="1840"/>
      <c r="FB270" s="1837"/>
      <c r="FC270" s="1838"/>
      <c r="FD270" s="1837"/>
      <c r="FE270" s="1838"/>
      <c r="FF270" s="1839"/>
      <c r="FG270" s="1840"/>
      <c r="FH270" s="1837"/>
      <c r="FI270" s="1838"/>
      <c r="FJ270" s="1837"/>
      <c r="FK270" s="1838"/>
      <c r="FL270" s="1839"/>
      <c r="FM270" s="1840"/>
      <c r="FN270" s="1837"/>
      <c r="FO270" s="1838"/>
      <c r="FP270" s="1837"/>
      <c r="FQ270" s="1838"/>
      <c r="FR270" s="1839"/>
      <c r="FS270" s="1840"/>
      <c r="FT270" s="1837"/>
      <c r="FU270" s="1838"/>
      <c r="FV270" s="1837"/>
      <c r="FW270" s="1838"/>
      <c r="FX270" s="1839"/>
      <c r="FY270" s="1840"/>
      <c r="FZ270" s="1837"/>
      <c r="GA270" s="1838"/>
      <c r="GB270" s="1837"/>
      <c r="GC270" s="1838"/>
      <c r="GD270" s="1839"/>
      <c r="GE270" s="1840"/>
      <c r="GF270" s="1837"/>
      <c r="GG270" s="1838"/>
      <c r="GH270" s="1837"/>
      <c r="GI270" s="1838"/>
      <c r="GJ270" s="1839"/>
      <c r="GK270" s="1840"/>
      <c r="GL270" s="1837"/>
      <c r="GM270" s="1838"/>
      <c r="GN270" s="1837"/>
      <c r="GO270" s="1838"/>
      <c r="GP270" s="1839"/>
    </row>
    <row r="271" spans="1:198" ht="20.100000000000001" hidden="1" customHeight="1" outlineLevel="1">
      <c r="A271" s="2709"/>
      <c r="B271" s="2612"/>
      <c r="C271" s="1836">
        <v>7</v>
      </c>
      <c r="D271" s="2614" t="str">
        <f>実績!C1341&amp;"("&amp;SUBSTITUTE(実績!R1341&amp;")"," 株式会社","")</f>
        <v>気仙沼営業所低温配送センター(旧:東北陸運)(日東工営)</v>
      </c>
      <c r="E271" s="2617"/>
      <c r="F271" s="2617"/>
      <c r="G271" s="2617"/>
      <c r="H271" s="2617"/>
      <c r="I271" s="2617"/>
      <c r="J271" s="2617"/>
      <c r="K271" s="2617"/>
      <c r="L271" s="2617"/>
      <c r="M271" s="2617"/>
      <c r="N271" s="2617"/>
      <c r="O271" s="2617"/>
      <c r="P271" s="2617"/>
      <c r="Q271" s="2617"/>
      <c r="R271" s="2622"/>
      <c r="S271" s="1837"/>
      <c r="T271" s="1837"/>
      <c r="U271" s="1838"/>
      <c r="V271" s="1837"/>
      <c r="W271" s="1838"/>
      <c r="X271" s="1839"/>
      <c r="Y271" s="1837"/>
      <c r="Z271" s="1837"/>
      <c r="AA271" s="1838"/>
      <c r="AB271" s="1837"/>
      <c r="AC271" s="1838"/>
      <c r="AD271" s="1837"/>
      <c r="AE271" s="1840"/>
      <c r="AF271" s="1837"/>
      <c r="AG271" s="1838"/>
      <c r="AH271" s="1837"/>
      <c r="AI271" s="1838"/>
      <c r="AJ271" s="1839"/>
      <c r="AK271" s="1837"/>
      <c r="AL271" s="1837"/>
      <c r="AM271" s="1838"/>
      <c r="AN271" s="1837"/>
      <c r="AO271" s="1838"/>
      <c r="AP271" s="1837"/>
      <c r="AQ271" s="1841"/>
      <c r="AR271" s="1837"/>
      <c r="AS271" s="1838"/>
      <c r="AT271" s="1837"/>
      <c r="AU271" s="1838"/>
      <c r="AV271" s="1839"/>
      <c r="AW271" s="1840"/>
      <c r="AX271" s="1837"/>
      <c r="AY271" s="1838"/>
      <c r="AZ271" s="1837"/>
      <c r="BA271" s="1838"/>
      <c r="BB271" s="1839"/>
      <c r="BC271" s="1837"/>
      <c r="BD271" s="1837"/>
      <c r="BE271" s="1838"/>
      <c r="BF271" s="1837"/>
      <c r="BG271" s="1838"/>
      <c r="BH271" s="1837"/>
      <c r="BI271" s="1840"/>
      <c r="BJ271" s="1837"/>
      <c r="BK271" s="1838"/>
      <c r="BL271" s="1837"/>
      <c r="BM271" s="1838"/>
      <c r="BN271" s="1839"/>
      <c r="BO271" s="1840"/>
      <c r="BP271" s="1837"/>
      <c r="BQ271" s="1838"/>
      <c r="BR271" s="1842"/>
      <c r="BS271" s="1838"/>
      <c r="BT271" s="1839"/>
      <c r="BU271" s="1840"/>
      <c r="BV271" s="1837"/>
      <c r="BW271" s="1838"/>
      <c r="BX271" s="1837"/>
      <c r="BY271" s="1838"/>
      <c r="BZ271" s="1839"/>
      <c r="CA271" s="1840"/>
      <c r="CB271" s="1837"/>
      <c r="CC271" s="1838"/>
      <c r="CD271" s="1837"/>
      <c r="CE271" s="1838"/>
      <c r="CF271" s="1839"/>
      <c r="CG271" s="1840"/>
      <c r="CH271" s="1837"/>
      <c r="CI271" s="1838"/>
      <c r="CJ271" s="1837"/>
      <c r="CK271" s="1838"/>
      <c r="CL271" s="1839"/>
      <c r="CM271" s="1840"/>
      <c r="CN271" s="1837"/>
      <c r="CO271" s="1838"/>
      <c r="CP271" s="1843"/>
      <c r="CQ271" s="1838"/>
      <c r="CR271" s="1839"/>
      <c r="CS271" s="1840"/>
      <c r="CT271" s="1837"/>
      <c r="CU271" s="1838"/>
      <c r="CV271" s="1837"/>
      <c r="CW271" s="1838"/>
      <c r="CX271" s="1839"/>
      <c r="CY271" s="1840"/>
      <c r="CZ271" s="1837"/>
      <c r="DA271" s="1838"/>
      <c r="DB271" s="1837"/>
      <c r="DC271" s="1838"/>
      <c r="DD271" s="1839"/>
      <c r="DE271" s="1840"/>
      <c r="DF271" s="1837"/>
      <c r="DG271" s="1838"/>
      <c r="DH271" s="1837"/>
      <c r="DI271" s="1838"/>
      <c r="DJ271" s="1839"/>
      <c r="DK271" s="1840"/>
      <c r="DL271" s="1837" t="s">
        <v>15072</v>
      </c>
      <c r="DM271" s="1838"/>
      <c r="DN271" s="1837"/>
      <c r="DO271" s="1838"/>
      <c r="DP271" s="1839"/>
      <c r="DQ271" s="1840"/>
      <c r="DR271" s="1837"/>
      <c r="DS271" s="1838"/>
      <c r="DT271" s="1837"/>
      <c r="DU271" s="1838"/>
      <c r="DV271" s="1844"/>
      <c r="DW271" s="1840"/>
      <c r="DX271" s="1837"/>
      <c r="DY271" s="1838"/>
      <c r="DZ271" s="1837" t="s">
        <v>15905</v>
      </c>
      <c r="EA271" s="1838"/>
      <c r="EB271" s="1844"/>
      <c r="EC271" s="1840"/>
      <c r="ED271" s="1837"/>
      <c r="EE271" s="1838"/>
      <c r="EF271" s="1837"/>
      <c r="EG271" s="1838"/>
      <c r="EH271" s="1844"/>
      <c r="EI271" s="1840"/>
      <c r="EJ271" s="1837"/>
      <c r="EK271" s="1838"/>
      <c r="EL271" s="1837"/>
      <c r="EM271" s="1838"/>
      <c r="EN271" s="1844"/>
      <c r="EO271" s="1840"/>
      <c r="EP271" s="1837"/>
      <c r="EQ271" s="1838"/>
      <c r="ER271" s="1837"/>
      <c r="ES271" s="1838"/>
      <c r="ET271" s="1844"/>
      <c r="EU271" s="1840"/>
      <c r="EV271" s="1837"/>
      <c r="EW271" s="1838"/>
      <c r="EX271" s="1837"/>
      <c r="EY271" s="1838"/>
      <c r="EZ271" s="1844"/>
      <c r="FA271" s="1840"/>
      <c r="FB271" s="1837"/>
      <c r="FC271" s="1838"/>
      <c r="FD271" s="1837"/>
      <c r="FE271" s="1838"/>
      <c r="FF271" s="1844"/>
      <c r="FG271" s="1840"/>
      <c r="FH271" s="1837"/>
      <c r="FI271" s="1838"/>
      <c r="FJ271" s="1837"/>
      <c r="FK271" s="1838"/>
      <c r="FL271" s="1844"/>
      <c r="FM271" s="1840"/>
      <c r="FN271" s="1837"/>
      <c r="FO271" s="1838"/>
      <c r="FP271" s="1837"/>
      <c r="FQ271" s="1838"/>
      <c r="FR271" s="1844"/>
      <c r="FS271" s="1840"/>
      <c r="FT271" s="1837"/>
      <c r="FU271" s="1838"/>
      <c r="FV271" s="1837"/>
      <c r="FW271" s="1838"/>
      <c r="FX271" s="1844"/>
      <c r="FY271" s="1840"/>
      <c r="FZ271" s="1837"/>
      <c r="GA271" s="1838"/>
      <c r="GB271" s="1837"/>
      <c r="GC271" s="1838"/>
      <c r="GD271" s="1844"/>
      <c r="GE271" s="1840"/>
      <c r="GF271" s="1837"/>
      <c r="GG271" s="1838"/>
      <c r="GH271" s="1837"/>
      <c r="GI271" s="1838"/>
      <c r="GJ271" s="1844"/>
      <c r="GK271" s="1840"/>
      <c r="GL271" s="1837"/>
      <c r="GM271" s="1838"/>
      <c r="GN271" s="1837"/>
      <c r="GO271" s="1838"/>
      <c r="GP271" s="1844"/>
    </row>
    <row r="272" spans="1:198" ht="20.100000000000001" hidden="1" customHeight="1" outlineLevel="1" collapsed="1">
      <c r="A272" s="2709"/>
      <c r="B272" s="2612"/>
      <c r="C272" s="1836">
        <v>8</v>
      </c>
      <c r="D272" s="2614" t="str">
        <f>実績!C1382&amp;"("&amp;SUBSTITUTE(実績!R1382&amp;")"," 株式会社","")</f>
        <v>北電系統用レドックスフロー蓄電池計画(岩田地崎建設)</v>
      </c>
      <c r="E272" s="2617"/>
      <c r="F272" s="2617"/>
      <c r="G272" s="2617"/>
      <c r="H272" s="2617"/>
      <c r="I272" s="2617"/>
      <c r="J272" s="2617"/>
      <c r="K272" s="2617"/>
      <c r="L272" s="2617"/>
      <c r="M272" s="2617"/>
      <c r="N272" s="2617"/>
      <c r="O272" s="2617"/>
      <c r="P272" s="2617"/>
      <c r="Q272" s="2617"/>
      <c r="R272" s="2622"/>
      <c r="S272" s="1837"/>
      <c r="T272" s="1837"/>
      <c r="U272" s="1837"/>
      <c r="V272" s="1837"/>
      <c r="W272" s="1837"/>
      <c r="X272" s="1837"/>
      <c r="Y272" s="1837"/>
      <c r="Z272" s="1837"/>
      <c r="AA272" s="1837"/>
      <c r="AB272" s="1837"/>
      <c r="AC272" s="1837"/>
      <c r="AD272" s="1837"/>
      <c r="AE272" s="1837"/>
      <c r="AF272" s="1837"/>
      <c r="AG272" s="1837"/>
      <c r="AH272" s="1837"/>
      <c r="AI272" s="1837"/>
      <c r="AJ272" s="1837"/>
      <c r="AK272" s="1837"/>
      <c r="AL272" s="1837"/>
      <c r="AM272" s="1837"/>
      <c r="AN272" s="1837"/>
      <c r="AO272" s="1837"/>
      <c r="AP272" s="1837"/>
      <c r="AQ272" s="1837"/>
      <c r="AR272" s="1837"/>
      <c r="AS272" s="1837"/>
      <c r="AT272" s="1837"/>
      <c r="AU272" s="1837"/>
      <c r="AV272" s="1837"/>
      <c r="AW272" s="1837"/>
      <c r="AX272" s="1837"/>
      <c r="AY272" s="1837"/>
      <c r="AZ272" s="1837"/>
      <c r="BA272" s="1837"/>
      <c r="BB272" s="1837"/>
      <c r="BC272" s="1837"/>
      <c r="BD272" s="1837"/>
      <c r="BE272" s="1837"/>
      <c r="BF272" s="1837"/>
      <c r="BG272" s="1837"/>
      <c r="BH272" s="1837"/>
      <c r="BI272" s="1837"/>
      <c r="BJ272" s="1837"/>
      <c r="BK272" s="1837"/>
      <c r="BL272" s="1837"/>
      <c r="BM272" s="1837"/>
      <c r="BN272" s="1837"/>
      <c r="BO272" s="1837"/>
      <c r="BP272" s="1837"/>
      <c r="BQ272" s="1837"/>
      <c r="BR272" s="1837"/>
      <c r="BS272" s="1837"/>
      <c r="BT272" s="1837"/>
      <c r="BU272" s="1837"/>
      <c r="BV272" s="1837"/>
      <c r="BW272" s="1837"/>
      <c r="BX272" s="1837"/>
      <c r="BY272" s="1837"/>
      <c r="BZ272" s="1837"/>
      <c r="CA272" s="1837"/>
      <c r="CB272" s="1837"/>
      <c r="CC272" s="1837"/>
      <c r="CD272" s="1837"/>
      <c r="CE272" s="1837"/>
      <c r="CF272" s="1837"/>
      <c r="CG272" s="1837"/>
      <c r="CH272" s="1837"/>
      <c r="CI272" s="1837"/>
      <c r="CJ272" s="1837"/>
      <c r="CK272" s="1837"/>
      <c r="CL272" s="1837"/>
      <c r="CM272" s="1837"/>
      <c r="CN272" s="1837"/>
      <c r="CO272" s="1837"/>
      <c r="CP272" s="1843"/>
      <c r="CQ272" s="1837"/>
      <c r="CR272" s="1837"/>
      <c r="CS272" s="1837"/>
      <c r="CT272" s="1837"/>
      <c r="CU272" s="1837"/>
      <c r="CV272" s="1837"/>
      <c r="CW272" s="1837"/>
      <c r="CX272" s="1837"/>
      <c r="CY272" s="1840"/>
      <c r="CZ272" s="1837"/>
      <c r="DA272" s="1838"/>
      <c r="DB272" s="1837"/>
      <c r="DC272" s="1838"/>
      <c r="DD272" s="1839"/>
      <c r="DE272" s="1840"/>
      <c r="DF272" s="1837"/>
      <c r="DG272" s="1838"/>
      <c r="DH272" s="1837"/>
      <c r="DI272" s="1838"/>
      <c r="DJ272" s="1839"/>
      <c r="DK272" s="1840"/>
      <c r="DL272" s="1837"/>
      <c r="DM272" s="1838"/>
      <c r="DN272" s="1837"/>
      <c r="DO272" s="1838"/>
      <c r="DP272" s="1839"/>
      <c r="DQ272" s="1840"/>
      <c r="DR272" s="1837"/>
      <c r="DS272" s="1838"/>
      <c r="DT272" s="1837"/>
      <c r="DU272" s="1838"/>
      <c r="DV272" s="1839"/>
      <c r="DW272" s="1840"/>
      <c r="DX272" s="1837"/>
      <c r="DY272" s="1838"/>
      <c r="DZ272" s="1837"/>
      <c r="EA272" s="1838"/>
      <c r="EB272" s="1839"/>
      <c r="EC272" s="1840"/>
      <c r="ED272" s="1842"/>
      <c r="EE272" s="1838"/>
      <c r="EF272" s="1837"/>
      <c r="EG272" s="1838"/>
      <c r="EH272" s="1844"/>
      <c r="EI272" s="1840" t="s">
        <v>16164</v>
      </c>
      <c r="EJ272" s="1837"/>
      <c r="EK272" s="1838"/>
      <c r="EL272" s="1837"/>
      <c r="EM272" s="1838"/>
      <c r="EN272" s="1844"/>
      <c r="EO272" s="1840"/>
      <c r="EP272" s="1837"/>
      <c r="EQ272" s="1838"/>
      <c r="ER272" s="1837"/>
      <c r="ES272" s="1838"/>
      <c r="ET272" s="1839"/>
      <c r="EU272" s="1840"/>
      <c r="EV272" s="1837"/>
      <c r="EW272" s="1838"/>
      <c r="EX272" s="1837"/>
      <c r="EY272" s="1838"/>
      <c r="EZ272" s="1839"/>
      <c r="FA272" s="1840"/>
      <c r="FB272" s="1837"/>
      <c r="FC272" s="1838"/>
      <c r="FD272" s="1837"/>
      <c r="FE272" s="1838"/>
      <c r="FF272" s="1839"/>
      <c r="FG272" s="1840"/>
      <c r="FH272" s="1837"/>
      <c r="FI272" s="1838"/>
      <c r="FJ272" s="1837"/>
      <c r="FK272" s="1838"/>
      <c r="FL272" s="1839"/>
      <c r="FM272" s="1840"/>
      <c r="FN272" s="1837"/>
      <c r="FO272" s="1838"/>
      <c r="FP272" s="1837"/>
      <c r="FQ272" s="1838"/>
      <c r="FR272" s="1839"/>
      <c r="FS272" s="1840"/>
      <c r="FT272" s="1837"/>
      <c r="FU272" s="1838"/>
      <c r="FV272" s="1837"/>
      <c r="FW272" s="1838"/>
      <c r="FX272" s="1839"/>
      <c r="FY272" s="1840"/>
      <c r="FZ272" s="1837"/>
      <c r="GA272" s="1838"/>
      <c r="GB272" s="1837"/>
      <c r="GC272" s="1838"/>
      <c r="GD272" s="1839"/>
      <c r="GE272" s="1840"/>
      <c r="GF272" s="1837"/>
      <c r="GG272" s="1838"/>
      <c r="GH272" s="1837"/>
      <c r="GI272" s="1838"/>
      <c r="GJ272" s="1839"/>
      <c r="GK272" s="1840"/>
      <c r="GL272" s="1837"/>
      <c r="GM272" s="1838"/>
      <c r="GN272" s="1837"/>
      <c r="GO272" s="1838"/>
      <c r="GP272" s="1839"/>
    </row>
    <row r="273" spans="1:198" ht="20.100000000000001" hidden="1" customHeight="1" outlineLevel="1">
      <c r="A273" s="2709"/>
      <c r="B273" s="2612"/>
      <c r="C273" s="1836">
        <v>9</v>
      </c>
      <c r="D273" s="2614" t="str">
        <f>実績!C1392&amp;"("&amp;SUBSTITUTE(実績!W1392&amp;")","株式会社 ","")</f>
        <v>静岡市聖一色(千代田設計)</v>
      </c>
      <c r="E273" s="2617"/>
      <c r="F273" s="2617"/>
      <c r="G273" s="2617"/>
      <c r="H273" s="2617"/>
      <c r="I273" s="2617"/>
      <c r="J273" s="2617"/>
      <c r="K273" s="2617"/>
      <c r="L273" s="2617"/>
      <c r="M273" s="2617"/>
      <c r="N273" s="2617"/>
      <c r="O273" s="2617"/>
      <c r="P273" s="2617"/>
      <c r="Q273" s="2617"/>
      <c r="R273" s="2622"/>
      <c r="S273" s="1837"/>
      <c r="T273" s="1837"/>
      <c r="U273" s="1838"/>
      <c r="V273" s="1837"/>
      <c r="W273" s="1838"/>
      <c r="X273" s="1839"/>
      <c r="Y273" s="1837"/>
      <c r="Z273" s="1837"/>
      <c r="AA273" s="1838"/>
      <c r="AB273" s="1837"/>
      <c r="AC273" s="1838"/>
      <c r="AD273" s="1837"/>
      <c r="AE273" s="1840"/>
      <c r="AF273" s="1837"/>
      <c r="AG273" s="1838"/>
      <c r="AH273" s="1837"/>
      <c r="AI273" s="1838"/>
      <c r="AJ273" s="1839"/>
      <c r="AK273" s="1837"/>
      <c r="AL273" s="1837"/>
      <c r="AM273" s="1838"/>
      <c r="AN273" s="1837"/>
      <c r="AO273" s="1838"/>
      <c r="AP273" s="1837"/>
      <c r="AQ273" s="1841"/>
      <c r="AR273" s="1837"/>
      <c r="AS273" s="1838"/>
      <c r="AT273" s="1837"/>
      <c r="AU273" s="1838"/>
      <c r="AV273" s="1839"/>
      <c r="AW273" s="1840"/>
      <c r="AX273" s="1837"/>
      <c r="AY273" s="1838"/>
      <c r="AZ273" s="1837"/>
      <c r="BA273" s="1838"/>
      <c r="BB273" s="1839"/>
      <c r="BC273" s="1837"/>
      <c r="BD273" s="1837"/>
      <c r="BE273" s="1838"/>
      <c r="BF273" s="1837"/>
      <c r="BG273" s="1838"/>
      <c r="BH273" s="1837"/>
      <c r="BI273" s="1840"/>
      <c r="BJ273" s="1837"/>
      <c r="BK273" s="1838"/>
      <c r="BL273" s="1837"/>
      <c r="BM273" s="1838"/>
      <c r="BN273" s="1839"/>
      <c r="BO273" s="1840"/>
      <c r="BP273" s="1837"/>
      <c r="BQ273" s="1838"/>
      <c r="BR273" s="1842"/>
      <c r="BS273" s="1838"/>
      <c r="BT273" s="1839"/>
      <c r="BU273" s="1840"/>
      <c r="BV273" s="1837"/>
      <c r="BW273" s="1838"/>
      <c r="BX273" s="1837"/>
      <c r="BY273" s="1838"/>
      <c r="BZ273" s="1839"/>
      <c r="CA273" s="1840"/>
      <c r="CB273" s="1837"/>
      <c r="CC273" s="1838"/>
      <c r="CD273" s="1837"/>
      <c r="CE273" s="1838"/>
      <c r="CF273" s="1839"/>
      <c r="CG273" s="1840"/>
      <c r="CH273" s="1837"/>
      <c r="CI273" s="1838"/>
      <c r="CJ273" s="1837"/>
      <c r="CK273" s="1838"/>
      <c r="CL273" s="1839"/>
      <c r="CM273" s="1840"/>
      <c r="CN273" s="1837"/>
      <c r="CO273" s="1838"/>
      <c r="CP273" s="1843"/>
      <c r="CQ273" s="1838"/>
      <c r="CR273" s="1839"/>
      <c r="CS273" s="1840"/>
      <c r="CT273" s="1837"/>
      <c r="CU273" s="1838"/>
      <c r="CV273" s="1837"/>
      <c r="CW273" s="1838"/>
      <c r="CX273" s="1839"/>
      <c r="CY273" s="1840"/>
      <c r="CZ273" s="1837"/>
      <c r="DA273" s="1838"/>
      <c r="DB273" s="1837"/>
      <c r="DC273" s="1838"/>
      <c r="DD273" s="1839"/>
      <c r="DE273" s="1840"/>
      <c r="DF273" s="1837"/>
      <c r="DG273" s="1838"/>
      <c r="DH273" s="1837"/>
      <c r="DI273" s="1838"/>
      <c r="DJ273" s="1839"/>
      <c r="DK273" s="1840"/>
      <c r="DL273" s="1837"/>
      <c r="DM273" s="1838"/>
      <c r="DN273" s="1837"/>
      <c r="DO273" s="1838"/>
      <c r="DP273" s="1839"/>
      <c r="DQ273" s="1840"/>
      <c r="DR273" s="1837"/>
      <c r="DS273" s="1838"/>
      <c r="DT273" s="1837"/>
      <c r="DU273" s="1838"/>
      <c r="DV273" s="1839"/>
      <c r="DW273" s="1840"/>
      <c r="DX273" s="1837"/>
      <c r="DY273" s="1838"/>
      <c r="DZ273" s="1837"/>
      <c r="EA273" s="1838"/>
      <c r="EB273" s="1839"/>
      <c r="EC273" s="1840"/>
      <c r="ED273" s="1842"/>
      <c r="EE273" s="1838"/>
      <c r="EF273" s="1837"/>
      <c r="EG273" s="1838"/>
      <c r="EH273" s="1839" t="s">
        <v>16596</v>
      </c>
      <c r="EI273" s="1840"/>
      <c r="EJ273" s="1837"/>
      <c r="EK273" s="1838"/>
      <c r="EL273" s="1837"/>
      <c r="EM273" s="1838"/>
      <c r="EN273" s="1839"/>
      <c r="EO273" s="1840"/>
      <c r="EP273" s="1837"/>
      <c r="EQ273" s="1838"/>
      <c r="ER273" s="1837"/>
      <c r="ES273" s="1838"/>
      <c r="ET273" s="1839"/>
      <c r="EU273" s="1840"/>
      <c r="EV273" s="1837"/>
      <c r="EW273" s="1838"/>
      <c r="EX273" s="1837"/>
      <c r="EY273" s="1838"/>
      <c r="EZ273" s="1839"/>
      <c r="FA273" s="1840"/>
      <c r="FB273" s="1837"/>
      <c r="FC273" s="1838"/>
      <c r="FD273" s="1837"/>
      <c r="FE273" s="1838"/>
      <c r="FF273" s="1844"/>
      <c r="FG273" s="1840"/>
      <c r="FH273" s="1837"/>
      <c r="FI273" s="1838"/>
      <c r="FJ273" s="1837"/>
      <c r="FK273" s="1838"/>
      <c r="FL273" s="1844"/>
      <c r="FM273" s="1840"/>
      <c r="FN273" s="1837"/>
      <c r="FO273" s="1838"/>
      <c r="FP273" s="1837"/>
      <c r="FQ273" s="1838"/>
      <c r="FR273" s="1844"/>
      <c r="FS273" s="1840"/>
      <c r="FT273" s="1837"/>
      <c r="FU273" s="1838"/>
      <c r="FV273" s="1837"/>
      <c r="FW273" s="1838"/>
      <c r="FX273" s="1844"/>
      <c r="FY273" s="1840"/>
      <c r="FZ273" s="1837"/>
      <c r="GA273" s="1838"/>
      <c r="GB273" s="1837"/>
      <c r="GC273" s="1838"/>
      <c r="GD273" s="1844"/>
      <c r="GE273" s="1840"/>
      <c r="GF273" s="1837"/>
      <c r="GG273" s="1838"/>
      <c r="GH273" s="1837"/>
      <c r="GI273" s="1838"/>
      <c r="GJ273" s="1844"/>
      <c r="GK273" s="1840"/>
      <c r="GL273" s="1837"/>
      <c r="GM273" s="1838"/>
      <c r="GN273" s="1837"/>
      <c r="GO273" s="1838"/>
      <c r="GP273" s="1844"/>
    </row>
    <row r="274" spans="1:198" ht="20.100000000000001" hidden="1" customHeight="1" outlineLevel="1">
      <c r="A274" s="2709"/>
      <c r="B274" s="2612"/>
      <c r="C274" s="1836">
        <v>1</v>
      </c>
      <c r="D274" s="2614" t="str">
        <f>実績!C1380&amp;"("&amp;SUBSTITUTE(実績!W1380&amp;")","株式会社 ","")</f>
        <v>医療法人 光愛会 渡辺眼科クリニック(慧建築事務所)</v>
      </c>
      <c r="E274" s="2617"/>
      <c r="F274" s="2617"/>
      <c r="G274" s="2617"/>
      <c r="H274" s="2617"/>
      <c r="I274" s="2617"/>
      <c r="J274" s="2617"/>
      <c r="K274" s="2617"/>
      <c r="L274" s="2617"/>
      <c r="M274" s="2617"/>
      <c r="N274" s="2617"/>
      <c r="O274" s="2617"/>
      <c r="P274" s="2617"/>
      <c r="Q274" s="2617"/>
      <c r="R274" s="2622"/>
      <c r="S274" s="1837"/>
      <c r="T274" s="1837"/>
      <c r="U274" s="1837"/>
      <c r="V274" s="1837"/>
      <c r="W274" s="1837"/>
      <c r="X274" s="1837"/>
      <c r="Y274" s="1837"/>
      <c r="Z274" s="1837"/>
      <c r="AA274" s="1837"/>
      <c r="AB274" s="1837"/>
      <c r="AC274" s="1837"/>
      <c r="AD274" s="1837"/>
      <c r="AE274" s="1837"/>
      <c r="AF274" s="1837"/>
      <c r="AG274" s="1837"/>
      <c r="AH274" s="1837"/>
      <c r="AI274" s="1837"/>
      <c r="AJ274" s="1837"/>
      <c r="AK274" s="1837"/>
      <c r="AL274" s="1837"/>
      <c r="AM274" s="1837"/>
      <c r="AN274" s="1837"/>
      <c r="AO274" s="1837"/>
      <c r="AP274" s="1837"/>
      <c r="AQ274" s="1837"/>
      <c r="AR274" s="1837"/>
      <c r="AS274" s="1837"/>
      <c r="AT274" s="1837"/>
      <c r="AU274" s="1837"/>
      <c r="AV274" s="1837"/>
      <c r="AW274" s="1837"/>
      <c r="AX274" s="1837"/>
      <c r="AY274" s="1837"/>
      <c r="AZ274" s="1837"/>
      <c r="BA274" s="1837"/>
      <c r="BB274" s="1837"/>
      <c r="BC274" s="1837"/>
      <c r="BD274" s="1837"/>
      <c r="BE274" s="1837"/>
      <c r="BF274" s="1837"/>
      <c r="BG274" s="1837"/>
      <c r="BH274" s="1837"/>
      <c r="BI274" s="1837"/>
      <c r="BJ274" s="1837"/>
      <c r="BK274" s="1837"/>
      <c r="BL274" s="1837"/>
      <c r="BM274" s="1837"/>
      <c r="BN274" s="1837"/>
      <c r="BO274" s="1837"/>
      <c r="BP274" s="1837"/>
      <c r="BQ274" s="1837"/>
      <c r="BR274" s="1837"/>
      <c r="BS274" s="1837"/>
      <c r="BT274" s="1837"/>
      <c r="BU274" s="1837"/>
      <c r="BV274" s="1837"/>
      <c r="BW274" s="1837"/>
      <c r="BX274" s="1837"/>
      <c r="BY274" s="1837"/>
      <c r="BZ274" s="1837"/>
      <c r="CA274" s="1837"/>
      <c r="CB274" s="1837"/>
      <c r="CC274" s="1837"/>
      <c r="CD274" s="1837"/>
      <c r="CE274" s="1837"/>
      <c r="CF274" s="1837"/>
      <c r="CG274" s="1837"/>
      <c r="CH274" s="1837"/>
      <c r="CI274" s="1837"/>
      <c r="CJ274" s="1837"/>
      <c r="CK274" s="1837"/>
      <c r="CL274" s="1837"/>
      <c r="CM274" s="1837"/>
      <c r="CN274" s="1837"/>
      <c r="CO274" s="1837"/>
      <c r="CP274" s="1843"/>
      <c r="CQ274" s="1837"/>
      <c r="CR274" s="1837"/>
      <c r="CS274" s="1837"/>
      <c r="CT274" s="1837"/>
      <c r="CU274" s="1837"/>
      <c r="CV274" s="1837"/>
      <c r="CW274" s="1837"/>
      <c r="CX274" s="1837"/>
      <c r="CY274" s="1840"/>
      <c r="CZ274" s="1837"/>
      <c r="DA274" s="1838"/>
      <c r="DB274" s="1837"/>
      <c r="DC274" s="1838"/>
      <c r="DD274" s="1839"/>
      <c r="DE274" s="1840"/>
      <c r="DF274" s="1837"/>
      <c r="DG274" s="1838"/>
      <c r="DH274" s="1837"/>
      <c r="DI274" s="1838"/>
      <c r="DJ274" s="1844"/>
      <c r="DK274" s="1840"/>
      <c r="DL274" s="1837"/>
      <c r="DM274" s="1838"/>
      <c r="DN274" s="1837"/>
      <c r="DO274" s="1838"/>
      <c r="DP274" s="1839"/>
      <c r="DQ274" s="1840"/>
      <c r="DR274" s="1837"/>
      <c r="DS274" s="1838"/>
      <c r="DT274" s="1837"/>
      <c r="DU274" s="1838"/>
      <c r="DV274" s="1844"/>
      <c r="DW274" s="1840"/>
      <c r="DX274" s="1837"/>
      <c r="DY274" s="1838"/>
      <c r="DZ274" s="1837"/>
      <c r="EA274" s="1838"/>
      <c r="EB274" s="1844"/>
      <c r="EC274" s="1840"/>
      <c r="ED274" s="1842"/>
      <c r="EE274" s="1838"/>
      <c r="EF274" s="1837"/>
      <c r="EG274" s="1838"/>
      <c r="EH274" s="1844"/>
      <c r="EI274" s="1840"/>
      <c r="EJ274" s="1837"/>
      <c r="EK274" s="1838"/>
      <c r="EL274" s="1837"/>
      <c r="EM274" s="1838"/>
      <c r="EN274" s="1844"/>
      <c r="EO274" s="1840"/>
      <c r="EP274" s="1837"/>
      <c r="EQ274" s="1838"/>
      <c r="ER274" s="1837"/>
      <c r="ES274" s="1838"/>
      <c r="ET274" s="1839"/>
      <c r="EU274" s="1840"/>
      <c r="EV274" s="1837"/>
      <c r="EW274" s="1838"/>
      <c r="EX274" s="1837"/>
      <c r="EY274" s="1838"/>
      <c r="EZ274" s="1839"/>
      <c r="FA274" s="1840"/>
      <c r="FB274" s="1837"/>
      <c r="FC274" s="1838"/>
      <c r="FD274" s="1837"/>
      <c r="FE274" s="1838"/>
      <c r="FF274" s="1839"/>
      <c r="FG274" s="1840"/>
      <c r="FH274" s="1837"/>
      <c r="FI274" s="1838"/>
      <c r="FJ274" s="1837"/>
      <c r="FK274" s="1838"/>
      <c r="FL274" s="1839"/>
      <c r="FM274" s="1840"/>
      <c r="FN274" s="1837"/>
      <c r="FO274" s="1838"/>
      <c r="FP274" s="1837"/>
      <c r="FQ274" s="1838"/>
      <c r="FR274" s="1839"/>
      <c r="FS274" s="1840"/>
      <c r="FT274" s="1837"/>
      <c r="FU274" s="1838"/>
      <c r="FV274" s="1837"/>
      <c r="FW274" s="1838"/>
      <c r="FX274" s="1839"/>
      <c r="FY274" s="1840"/>
      <c r="FZ274" s="1837"/>
      <c r="GA274" s="1838"/>
      <c r="GB274" s="1837"/>
      <c r="GC274" s="1838"/>
      <c r="GD274" s="1839"/>
      <c r="GE274" s="1840"/>
      <c r="GF274" s="1837"/>
      <c r="GG274" s="1838"/>
      <c r="GH274" s="1837"/>
      <c r="GI274" s="1838"/>
      <c r="GJ274" s="1839"/>
      <c r="GK274" s="1840"/>
      <c r="GL274" s="1837"/>
      <c r="GM274" s="1838"/>
      <c r="GN274" s="1837"/>
      <c r="GO274" s="1838"/>
      <c r="GP274" s="1839"/>
    </row>
    <row r="275" spans="1:198" ht="20.100000000000001" hidden="1" customHeight="1" outlineLevel="1" collapsed="1">
      <c r="A275" s="2709"/>
      <c r="B275" s="2612"/>
      <c r="C275" s="1836">
        <v>2</v>
      </c>
      <c r="D275" s="2614" t="str">
        <f>実績!C1365&amp;"("&amp;SUBSTITUTE(実績!AB1365&amp;")"," 株式会社","")</f>
        <v>与那原商業施設 ﾄﾞﾗｲﾌﾞｽﾙｰ上屋(金秀建設)</v>
      </c>
      <c r="E275" s="2617"/>
      <c r="F275" s="2617"/>
      <c r="G275" s="2617"/>
      <c r="H275" s="2617"/>
      <c r="I275" s="2617"/>
      <c r="J275" s="2617"/>
      <c r="K275" s="2617"/>
      <c r="L275" s="2617"/>
      <c r="M275" s="2617"/>
      <c r="N275" s="2617"/>
      <c r="O275" s="2617"/>
      <c r="P275" s="2617"/>
      <c r="Q275" s="2617"/>
      <c r="R275" s="2622"/>
      <c r="S275" s="1837"/>
      <c r="T275" s="1837"/>
      <c r="U275" s="1838"/>
      <c r="V275" s="1837"/>
      <c r="W275" s="1838"/>
      <c r="X275" s="1839"/>
      <c r="Y275" s="1837"/>
      <c r="Z275" s="1837"/>
      <c r="AA275" s="1838"/>
      <c r="AB275" s="1837"/>
      <c r="AC275" s="1838"/>
      <c r="AD275" s="1837"/>
      <c r="AE275" s="1840"/>
      <c r="AF275" s="1837"/>
      <c r="AG275" s="1838"/>
      <c r="AH275" s="1837"/>
      <c r="AI275" s="1838"/>
      <c r="AJ275" s="1839"/>
      <c r="AK275" s="1837"/>
      <c r="AL275" s="1837"/>
      <c r="AM275" s="1838"/>
      <c r="AN275" s="1837"/>
      <c r="AO275" s="1838"/>
      <c r="AP275" s="1837"/>
      <c r="AQ275" s="1841"/>
      <c r="AR275" s="1837"/>
      <c r="AS275" s="1838"/>
      <c r="AT275" s="1837"/>
      <c r="AU275" s="1838"/>
      <c r="AV275" s="1839"/>
      <c r="AW275" s="1840"/>
      <c r="AX275" s="1837"/>
      <c r="AY275" s="1838"/>
      <c r="AZ275" s="1837"/>
      <c r="BA275" s="1838"/>
      <c r="BB275" s="1839"/>
      <c r="BC275" s="1837"/>
      <c r="BD275" s="1837"/>
      <c r="BE275" s="1838"/>
      <c r="BF275" s="1837"/>
      <c r="BG275" s="1838"/>
      <c r="BH275" s="1837"/>
      <c r="BI275" s="1840"/>
      <c r="BJ275" s="1837"/>
      <c r="BK275" s="1838"/>
      <c r="BL275" s="1837"/>
      <c r="BM275" s="1838"/>
      <c r="BN275" s="1839"/>
      <c r="BO275" s="1840"/>
      <c r="BP275" s="1837"/>
      <c r="BQ275" s="1838"/>
      <c r="BR275" s="1842"/>
      <c r="BS275" s="1838"/>
      <c r="BT275" s="1839"/>
      <c r="BU275" s="1840"/>
      <c r="BV275" s="1837"/>
      <c r="BW275" s="1838"/>
      <c r="BX275" s="1837"/>
      <c r="BY275" s="1838"/>
      <c r="BZ275" s="1839"/>
      <c r="CA275" s="1840"/>
      <c r="CB275" s="1837"/>
      <c r="CC275" s="1838"/>
      <c r="CD275" s="1837"/>
      <c r="CE275" s="1838"/>
      <c r="CF275" s="1839"/>
      <c r="CG275" s="1840"/>
      <c r="CH275" s="1837"/>
      <c r="CI275" s="1838"/>
      <c r="CJ275" s="1837"/>
      <c r="CK275" s="1838"/>
      <c r="CL275" s="1839"/>
      <c r="CM275" s="1840"/>
      <c r="CN275" s="1837"/>
      <c r="CO275" s="1838"/>
      <c r="CP275" s="1843"/>
      <c r="CQ275" s="1838"/>
      <c r="CR275" s="1839"/>
      <c r="CS275" s="1840" t="s">
        <v>10546</v>
      </c>
      <c r="CT275" s="1837"/>
      <c r="CU275" s="1838"/>
      <c r="CV275" s="1837"/>
      <c r="CW275" s="1838"/>
      <c r="CX275" s="1839"/>
      <c r="CY275" s="1840"/>
      <c r="CZ275" s="1837"/>
      <c r="DA275" s="1838"/>
      <c r="DB275" s="1837"/>
      <c r="DC275" s="1838"/>
      <c r="DD275" s="1839"/>
      <c r="DE275" s="1840"/>
      <c r="DF275" s="1837"/>
      <c r="DG275" s="1838"/>
      <c r="DH275" s="1837"/>
      <c r="DI275" s="1838"/>
      <c r="DJ275" s="1839"/>
      <c r="DK275" s="1840"/>
      <c r="DL275" s="1837"/>
      <c r="DM275" s="1838"/>
      <c r="DN275" s="1837"/>
      <c r="DO275" s="1838"/>
      <c r="DP275" s="1839"/>
      <c r="DQ275" s="1840" t="s">
        <v>8644</v>
      </c>
      <c r="DR275" s="1837"/>
      <c r="DS275" s="1838"/>
      <c r="DT275" s="1837"/>
      <c r="DU275" s="1838"/>
      <c r="DV275" s="1844"/>
      <c r="DW275" s="1840"/>
      <c r="DX275" s="1837"/>
      <c r="DY275" s="1838"/>
      <c r="DZ275" s="1837"/>
      <c r="EA275" s="1838"/>
      <c r="EB275" s="1844"/>
      <c r="EC275" s="1840"/>
      <c r="ED275" s="1842"/>
      <c r="EE275" s="1838"/>
      <c r="EF275" s="1837"/>
      <c r="EG275" s="1838"/>
      <c r="EH275" s="1844"/>
      <c r="EI275" s="1840"/>
      <c r="EJ275" s="1837"/>
      <c r="EK275" s="1838" t="s">
        <v>16653</v>
      </c>
      <c r="EL275" s="1837"/>
      <c r="EM275" s="1838"/>
      <c r="EN275" s="1844"/>
      <c r="EO275" s="1840"/>
      <c r="EP275" s="1837"/>
      <c r="EQ275" s="1838"/>
      <c r="ER275" s="1837"/>
      <c r="ES275" s="1838"/>
      <c r="ET275" s="1844"/>
      <c r="EU275" s="1840" t="s">
        <v>16654</v>
      </c>
      <c r="EV275" s="1837"/>
      <c r="EW275" s="1838"/>
      <c r="EX275" s="1837"/>
      <c r="EY275" s="1838"/>
      <c r="EZ275" s="1844"/>
      <c r="FA275" s="1840"/>
      <c r="FB275" s="1837"/>
      <c r="FC275" s="1838"/>
      <c r="FD275" s="1837"/>
      <c r="FE275" s="1838"/>
      <c r="FF275" s="1844"/>
      <c r="FG275" s="1840"/>
      <c r="FH275" s="1837"/>
      <c r="FI275" s="1838"/>
      <c r="FJ275" s="1837"/>
      <c r="FK275" s="1838"/>
      <c r="FL275" s="1844"/>
      <c r="FM275" s="1840"/>
      <c r="FN275" s="1837"/>
      <c r="FO275" s="1838"/>
      <c r="FP275" s="1837"/>
      <c r="FQ275" s="1838"/>
      <c r="FR275" s="1844"/>
      <c r="FS275" s="1840"/>
      <c r="FT275" s="1837"/>
      <c r="FU275" s="1838"/>
      <c r="FV275" s="1837"/>
      <c r="FW275" s="1838"/>
      <c r="FX275" s="1844"/>
      <c r="FY275" s="1840"/>
      <c r="FZ275" s="1837"/>
      <c r="GA275" s="1838"/>
      <c r="GB275" s="1837"/>
      <c r="GC275" s="1838"/>
      <c r="GD275" s="1844"/>
      <c r="GE275" s="1840"/>
      <c r="GF275" s="1837"/>
      <c r="GG275" s="1838"/>
      <c r="GH275" s="1837"/>
      <c r="GI275" s="1838"/>
      <c r="GJ275" s="1844"/>
      <c r="GK275" s="1840"/>
      <c r="GL275" s="1837"/>
      <c r="GM275" s="1838"/>
      <c r="GN275" s="1837"/>
      <c r="GO275" s="1838"/>
      <c r="GP275" s="1844"/>
    </row>
    <row r="276" spans="1:198" ht="20.100000000000001" hidden="1" customHeight="1" outlineLevel="1" collapsed="1">
      <c r="A276" s="2709"/>
      <c r="B276" s="2612"/>
      <c r="C276" s="1836">
        <v>3</v>
      </c>
      <c r="D276" s="2614" t="str">
        <f>実績!C1395&amp;"("&amp;SUBSTITUTE(実績!R1395&amp;")"," 株式会社","")</f>
        <v>マルト平尼子 SM棟(クレハ錦建設)</v>
      </c>
      <c r="E276" s="2617"/>
      <c r="F276" s="2617"/>
      <c r="G276" s="2617"/>
      <c r="H276" s="2617"/>
      <c r="I276" s="2617"/>
      <c r="J276" s="2617"/>
      <c r="K276" s="2617"/>
      <c r="L276" s="2617"/>
      <c r="M276" s="2617"/>
      <c r="N276" s="2617"/>
      <c r="O276" s="2617"/>
      <c r="P276" s="2617"/>
      <c r="Q276" s="2617"/>
      <c r="R276" s="2622"/>
      <c r="S276" s="1837"/>
      <c r="T276" s="1837"/>
      <c r="U276" s="1838"/>
      <c r="V276" s="1837"/>
      <c r="W276" s="1838"/>
      <c r="X276" s="1839"/>
      <c r="Y276" s="1837"/>
      <c r="Z276" s="1837"/>
      <c r="AA276" s="1838"/>
      <c r="AB276" s="1837"/>
      <c r="AC276" s="1838"/>
      <c r="AD276" s="1837"/>
      <c r="AE276" s="1840"/>
      <c r="AF276" s="1837"/>
      <c r="AG276" s="1838"/>
      <c r="AH276" s="1837"/>
      <c r="AI276" s="1838"/>
      <c r="AJ276" s="1839"/>
      <c r="AK276" s="1837"/>
      <c r="AL276" s="1837"/>
      <c r="AM276" s="1838"/>
      <c r="AN276" s="1837"/>
      <c r="AO276" s="1838"/>
      <c r="AP276" s="1837"/>
      <c r="AQ276" s="1841"/>
      <c r="AR276" s="1837"/>
      <c r="AS276" s="1838"/>
      <c r="AT276" s="1837"/>
      <c r="AU276" s="1838"/>
      <c r="AV276" s="1839"/>
      <c r="AW276" s="1840"/>
      <c r="AX276" s="1837"/>
      <c r="AY276" s="1838"/>
      <c r="AZ276" s="1837"/>
      <c r="BA276" s="1838"/>
      <c r="BB276" s="1839"/>
      <c r="BC276" s="1837"/>
      <c r="BD276" s="1837"/>
      <c r="BE276" s="1838"/>
      <c r="BF276" s="1837"/>
      <c r="BG276" s="1838"/>
      <c r="BH276" s="1837"/>
      <c r="BI276" s="1840"/>
      <c r="BJ276" s="1837"/>
      <c r="BK276" s="1838"/>
      <c r="BL276" s="1837"/>
      <c r="BM276" s="1838"/>
      <c r="BN276" s="1839"/>
      <c r="BO276" s="1840"/>
      <c r="BP276" s="1837"/>
      <c r="BQ276" s="1838"/>
      <c r="BR276" s="1842"/>
      <c r="BS276" s="1838"/>
      <c r="BT276" s="1839"/>
      <c r="BU276" s="1840"/>
      <c r="BV276" s="1837"/>
      <c r="BW276" s="1838"/>
      <c r="BX276" s="1837"/>
      <c r="BY276" s="1838"/>
      <c r="BZ276" s="1839"/>
      <c r="CA276" s="1840"/>
      <c r="CB276" s="1837"/>
      <c r="CC276" s="1838"/>
      <c r="CD276" s="1837"/>
      <c r="CE276" s="1838"/>
      <c r="CF276" s="1839"/>
      <c r="CG276" s="1840"/>
      <c r="CH276" s="1837"/>
      <c r="CI276" s="1838"/>
      <c r="CJ276" s="1837"/>
      <c r="CK276" s="1838"/>
      <c r="CL276" s="1839"/>
      <c r="CM276" s="1840"/>
      <c r="CN276" s="1837"/>
      <c r="CO276" s="1838"/>
      <c r="CP276" s="1843"/>
      <c r="CQ276" s="1838"/>
      <c r="CR276" s="1839"/>
      <c r="CS276" s="1840"/>
      <c r="CT276" s="1837"/>
      <c r="CU276" s="1838"/>
      <c r="CV276" s="1837"/>
      <c r="CW276" s="1838"/>
      <c r="CX276" s="1839"/>
      <c r="CY276" s="1840"/>
      <c r="CZ276" s="1837"/>
      <c r="DA276" s="1838"/>
      <c r="DB276" s="1837"/>
      <c r="DC276" s="1838"/>
      <c r="DD276" s="1839"/>
      <c r="DE276" s="1840"/>
      <c r="DF276" s="1837"/>
      <c r="DG276" s="1838"/>
      <c r="DH276" s="1837"/>
      <c r="DI276" s="1838"/>
      <c r="DJ276" s="1839"/>
      <c r="DK276" s="1840"/>
      <c r="DL276" s="1837"/>
      <c r="DM276" s="1838"/>
      <c r="DN276" s="1837"/>
      <c r="DO276" s="1838"/>
      <c r="DP276" s="1839"/>
      <c r="DQ276" s="1840"/>
      <c r="DR276" s="1837"/>
      <c r="DS276" s="1838"/>
      <c r="DT276" s="1837"/>
      <c r="DU276" s="1838"/>
      <c r="DV276" s="1839"/>
      <c r="DW276" s="1840"/>
      <c r="DX276" s="1837"/>
      <c r="DY276" s="1838"/>
      <c r="DZ276" s="1837"/>
      <c r="EA276" s="1838"/>
      <c r="EB276" s="1839"/>
      <c r="EC276" s="1840"/>
      <c r="ED276" s="1837"/>
      <c r="EE276" s="1838"/>
      <c r="EF276" s="1837"/>
      <c r="EG276" s="1838"/>
      <c r="EH276" s="1839"/>
      <c r="EI276" s="1840"/>
      <c r="EJ276" s="1837"/>
      <c r="EK276" s="1838"/>
      <c r="EL276" s="1837" t="s">
        <v>16698</v>
      </c>
      <c r="EM276" s="1838"/>
      <c r="EN276" s="1839"/>
      <c r="EO276" s="1840"/>
      <c r="EP276" s="1837"/>
      <c r="EQ276" s="1838"/>
      <c r="ER276" s="1837"/>
      <c r="ES276" s="1838" t="s">
        <v>16699</v>
      </c>
      <c r="ET276" s="1839"/>
      <c r="EU276" s="1840"/>
      <c r="EV276" s="1837"/>
      <c r="EW276" s="1838"/>
      <c r="EX276" s="1837"/>
      <c r="EY276" s="1838"/>
      <c r="EZ276" s="1839"/>
      <c r="FA276" s="1840"/>
      <c r="FB276" s="1837"/>
      <c r="FC276" s="1838"/>
      <c r="FD276" s="1837"/>
      <c r="FE276" s="1838"/>
      <c r="FF276" s="1839"/>
      <c r="FG276" s="1840"/>
      <c r="FH276" s="1837"/>
      <c r="FI276" s="1838"/>
      <c r="FJ276" s="1837"/>
      <c r="FK276" s="1838"/>
      <c r="FL276" s="1839"/>
      <c r="FM276" s="1840"/>
      <c r="FN276" s="1837"/>
      <c r="FO276" s="1838"/>
      <c r="FP276" s="1837"/>
      <c r="FQ276" s="1838"/>
      <c r="FR276" s="1839"/>
      <c r="FS276" s="1840"/>
      <c r="FT276" s="1837"/>
      <c r="FU276" s="1838"/>
      <c r="FV276" s="1837"/>
      <c r="FW276" s="1838"/>
      <c r="FX276" s="1839"/>
      <c r="FY276" s="1840"/>
      <c r="FZ276" s="1837"/>
      <c r="GA276" s="1838"/>
      <c r="GB276" s="1837"/>
      <c r="GC276" s="1838"/>
      <c r="GD276" s="1839"/>
      <c r="GE276" s="1840"/>
      <c r="GF276" s="1837"/>
      <c r="GG276" s="1838"/>
      <c r="GH276" s="1837"/>
      <c r="GI276" s="1838"/>
      <c r="GJ276" s="1839"/>
      <c r="GK276" s="1840"/>
      <c r="GL276" s="1837"/>
      <c r="GM276" s="1838"/>
      <c r="GN276" s="1837"/>
      <c r="GO276" s="1838"/>
      <c r="GP276" s="1839"/>
    </row>
    <row r="277" spans="1:198" ht="20.100000000000001" hidden="1" customHeight="1" outlineLevel="1">
      <c r="A277" s="2709"/>
      <c r="B277" s="2612"/>
      <c r="C277" s="1836">
        <v>4</v>
      </c>
      <c r="D277" s="2614" t="str">
        <f>実績!C1398&amp;"("&amp;SUBSTITUTE(実績!R1398&amp;")","株式会社 ","")</f>
        <v>第二配送センター(朝日建装)</v>
      </c>
      <c r="E277" s="2617"/>
      <c r="F277" s="2617"/>
      <c r="G277" s="2617"/>
      <c r="H277" s="2617"/>
      <c r="I277" s="2617"/>
      <c r="J277" s="2617"/>
      <c r="K277" s="2617"/>
      <c r="L277" s="2617"/>
      <c r="M277" s="2617"/>
      <c r="N277" s="2617"/>
      <c r="O277" s="2617"/>
      <c r="P277" s="2617"/>
      <c r="Q277" s="2617"/>
      <c r="R277" s="2622"/>
      <c r="S277" s="1837"/>
      <c r="T277" s="1837"/>
      <c r="U277" s="1837"/>
      <c r="V277" s="1837"/>
      <c r="W277" s="1837"/>
      <c r="X277" s="1837"/>
      <c r="Y277" s="1837"/>
      <c r="Z277" s="1837"/>
      <c r="AA277" s="1837"/>
      <c r="AB277" s="1837"/>
      <c r="AC277" s="1837"/>
      <c r="AD277" s="1837"/>
      <c r="AE277" s="1837"/>
      <c r="AF277" s="1837"/>
      <c r="AG277" s="1837"/>
      <c r="AH277" s="1837"/>
      <c r="AI277" s="1837"/>
      <c r="AJ277" s="1837"/>
      <c r="AK277" s="1837"/>
      <c r="AL277" s="1837"/>
      <c r="AM277" s="1837"/>
      <c r="AN277" s="1837"/>
      <c r="AO277" s="1837"/>
      <c r="AP277" s="1837"/>
      <c r="AQ277" s="1837"/>
      <c r="AR277" s="1837"/>
      <c r="AS277" s="1837"/>
      <c r="AT277" s="1837"/>
      <c r="AU277" s="1837"/>
      <c r="AV277" s="1837"/>
      <c r="AW277" s="1837"/>
      <c r="AX277" s="1837"/>
      <c r="AY277" s="1837"/>
      <c r="AZ277" s="1837"/>
      <c r="BA277" s="1837"/>
      <c r="BB277" s="1837"/>
      <c r="BC277" s="1837"/>
      <c r="BD277" s="1837"/>
      <c r="BE277" s="1837"/>
      <c r="BF277" s="1837"/>
      <c r="BG277" s="1837"/>
      <c r="BH277" s="1837"/>
      <c r="BI277" s="1837"/>
      <c r="BJ277" s="1837"/>
      <c r="BK277" s="1837"/>
      <c r="BL277" s="1837"/>
      <c r="BM277" s="1837"/>
      <c r="BN277" s="1837"/>
      <c r="BO277" s="1837"/>
      <c r="BP277" s="1837"/>
      <c r="BQ277" s="1837"/>
      <c r="BR277" s="1837"/>
      <c r="BS277" s="1837"/>
      <c r="BT277" s="1837"/>
      <c r="BU277" s="1837"/>
      <c r="BV277" s="1837"/>
      <c r="BW277" s="1837"/>
      <c r="BX277" s="1837"/>
      <c r="BY277" s="1837"/>
      <c r="BZ277" s="1837"/>
      <c r="CA277" s="1837"/>
      <c r="CB277" s="1837"/>
      <c r="CC277" s="1837"/>
      <c r="CD277" s="1837"/>
      <c r="CE277" s="1837"/>
      <c r="CF277" s="1837"/>
      <c r="CG277" s="1837"/>
      <c r="CH277" s="1837"/>
      <c r="CI277" s="1837"/>
      <c r="CJ277" s="1837"/>
      <c r="CK277" s="1837"/>
      <c r="CL277" s="1837"/>
      <c r="CM277" s="1837"/>
      <c r="CN277" s="1837"/>
      <c r="CO277" s="1837"/>
      <c r="CP277" s="1843"/>
      <c r="CQ277" s="1837"/>
      <c r="CR277" s="1837"/>
      <c r="CS277" s="1837"/>
      <c r="CT277" s="1837"/>
      <c r="CU277" s="1837"/>
      <c r="CV277" s="1837"/>
      <c r="CW277" s="1837"/>
      <c r="CX277" s="1837"/>
      <c r="CY277" s="1840"/>
      <c r="CZ277" s="1837"/>
      <c r="DA277" s="1838"/>
      <c r="DB277" s="1837"/>
      <c r="DC277" s="1838"/>
      <c r="DD277" s="1839"/>
      <c r="DE277" s="1840"/>
      <c r="DF277" s="1837"/>
      <c r="DG277" s="1838"/>
      <c r="DH277" s="1837"/>
      <c r="DI277" s="1838"/>
      <c r="DJ277" s="1839"/>
      <c r="DK277" s="1840"/>
      <c r="DL277" s="1837"/>
      <c r="DM277" s="1838"/>
      <c r="DN277" s="1837"/>
      <c r="DO277" s="1838"/>
      <c r="DP277" s="1839"/>
      <c r="DQ277" s="1840"/>
      <c r="DR277" s="1837"/>
      <c r="DS277" s="1838"/>
      <c r="DT277" s="1837"/>
      <c r="DU277" s="1838"/>
      <c r="DV277" s="1839"/>
      <c r="DW277" s="1840"/>
      <c r="DX277" s="1837"/>
      <c r="DY277" s="1838"/>
      <c r="DZ277" s="1837"/>
      <c r="EA277" s="1838"/>
      <c r="EB277" s="1839"/>
      <c r="EC277" s="1840"/>
      <c r="ED277" s="1842"/>
      <c r="EE277" s="1838"/>
      <c r="EF277" s="1837"/>
      <c r="EG277" s="1838"/>
      <c r="EH277" s="1839"/>
      <c r="EI277" s="1840"/>
      <c r="EJ277" s="1837"/>
      <c r="EK277" s="1838"/>
      <c r="EL277" s="1837" t="s">
        <v>9291</v>
      </c>
      <c r="EM277" s="1838"/>
      <c r="EN277" s="1844"/>
      <c r="EO277" s="1840" t="s">
        <v>16761</v>
      </c>
      <c r="EP277" s="1837"/>
      <c r="EQ277" s="1838"/>
      <c r="ER277" s="1837"/>
      <c r="ES277" s="1838"/>
      <c r="ET277" s="1844" t="s">
        <v>16762</v>
      </c>
      <c r="EU277" s="1840"/>
      <c r="EV277" s="1837"/>
      <c r="EW277" s="1838"/>
      <c r="EX277" s="1837"/>
      <c r="EY277" s="1838"/>
      <c r="EZ277" s="1839"/>
      <c r="FA277" s="1840"/>
      <c r="FB277" s="1837"/>
      <c r="FC277" s="1838"/>
      <c r="FD277" s="1837"/>
      <c r="FE277" s="1838"/>
      <c r="FF277" s="1839"/>
      <c r="FG277" s="1840"/>
      <c r="FH277" s="1837"/>
      <c r="FI277" s="1838"/>
      <c r="FJ277" s="1837"/>
      <c r="FK277" s="1838"/>
      <c r="FL277" s="1839"/>
      <c r="FM277" s="1840"/>
      <c r="FN277" s="1837"/>
      <c r="FO277" s="1838"/>
      <c r="FP277" s="1837"/>
      <c r="FQ277" s="1838"/>
      <c r="FR277" s="1839"/>
      <c r="FS277" s="1840"/>
      <c r="FT277" s="1837"/>
      <c r="FU277" s="1838"/>
      <c r="FV277" s="1837"/>
      <c r="FW277" s="1838"/>
      <c r="FX277" s="1839"/>
      <c r="FY277" s="1840"/>
      <c r="FZ277" s="1837"/>
      <c r="GA277" s="1838"/>
      <c r="GB277" s="1837"/>
      <c r="GC277" s="1838"/>
      <c r="GD277" s="1839"/>
      <c r="GE277" s="1840"/>
      <c r="GF277" s="1837"/>
      <c r="GG277" s="1838"/>
      <c r="GH277" s="1837"/>
      <c r="GI277" s="1838"/>
      <c r="GJ277" s="1839"/>
      <c r="GK277" s="1840"/>
      <c r="GL277" s="1837"/>
      <c r="GM277" s="1838"/>
      <c r="GN277" s="1837"/>
      <c r="GO277" s="1838"/>
      <c r="GP277" s="1839"/>
    </row>
    <row r="278" spans="1:198" ht="20.100000000000001" hidden="1" customHeight="1" outlineLevel="1">
      <c r="A278" s="2709"/>
      <c r="B278" s="2612"/>
      <c r="C278" s="1836">
        <v>5</v>
      </c>
      <c r="D278" s="2614" t="str">
        <f>実績!C1397&amp;"("&amp;SUBSTITUTE(実績!R1397&amp;")"," 一級建築士事務所","")</f>
        <v>JAしまね種子選穀センター(選穀センター棟・下屋棟)(全農西日本)</v>
      </c>
      <c r="E278" s="2617"/>
      <c r="F278" s="2617"/>
      <c r="G278" s="2617"/>
      <c r="H278" s="2617"/>
      <c r="I278" s="2617"/>
      <c r="J278" s="2617"/>
      <c r="K278" s="2617"/>
      <c r="L278" s="2617"/>
      <c r="M278" s="2617"/>
      <c r="N278" s="2617"/>
      <c r="O278" s="2617"/>
      <c r="P278" s="2617"/>
      <c r="Q278" s="2617"/>
      <c r="R278" s="2622"/>
      <c r="S278" s="1837"/>
      <c r="T278" s="1837"/>
      <c r="U278" s="1837"/>
      <c r="V278" s="1837"/>
      <c r="W278" s="1837"/>
      <c r="X278" s="1837"/>
      <c r="Y278" s="1837"/>
      <c r="Z278" s="1837"/>
      <c r="AA278" s="1837"/>
      <c r="AB278" s="1837"/>
      <c r="AC278" s="1837"/>
      <c r="AD278" s="1837"/>
      <c r="AE278" s="1837"/>
      <c r="AF278" s="1837"/>
      <c r="AG278" s="1837"/>
      <c r="AH278" s="1837"/>
      <c r="AI278" s="1837"/>
      <c r="AJ278" s="1837"/>
      <c r="AK278" s="1837"/>
      <c r="AL278" s="1837"/>
      <c r="AM278" s="1837"/>
      <c r="AN278" s="1837"/>
      <c r="AO278" s="1837"/>
      <c r="AP278" s="1837"/>
      <c r="AQ278" s="1837"/>
      <c r="AR278" s="1837"/>
      <c r="AS278" s="1837"/>
      <c r="AT278" s="1837"/>
      <c r="AU278" s="1837"/>
      <c r="AV278" s="1837"/>
      <c r="AW278" s="1837"/>
      <c r="AX278" s="1837"/>
      <c r="AY278" s="1837"/>
      <c r="AZ278" s="1837"/>
      <c r="BA278" s="1837"/>
      <c r="BB278" s="1837"/>
      <c r="BC278" s="1837"/>
      <c r="BD278" s="1837"/>
      <c r="BE278" s="1837"/>
      <c r="BF278" s="1837"/>
      <c r="BG278" s="1837"/>
      <c r="BH278" s="1837"/>
      <c r="BI278" s="1837"/>
      <c r="BJ278" s="1837"/>
      <c r="BK278" s="1837"/>
      <c r="BL278" s="1837"/>
      <c r="BM278" s="1837"/>
      <c r="BN278" s="1837"/>
      <c r="BO278" s="1837"/>
      <c r="BP278" s="1837"/>
      <c r="BQ278" s="1837"/>
      <c r="BR278" s="1837"/>
      <c r="BS278" s="1837"/>
      <c r="BT278" s="1837"/>
      <c r="BU278" s="1837"/>
      <c r="BV278" s="1837"/>
      <c r="BW278" s="1837"/>
      <c r="BX278" s="1837"/>
      <c r="BY278" s="1837"/>
      <c r="BZ278" s="1837"/>
      <c r="CA278" s="1837"/>
      <c r="CB278" s="1837"/>
      <c r="CC278" s="1837"/>
      <c r="CD278" s="1837"/>
      <c r="CE278" s="1837"/>
      <c r="CF278" s="1837"/>
      <c r="CG278" s="1837"/>
      <c r="CH278" s="1837"/>
      <c r="CI278" s="1837"/>
      <c r="CJ278" s="1837"/>
      <c r="CK278" s="1837"/>
      <c r="CL278" s="1837"/>
      <c r="CM278" s="1837"/>
      <c r="CN278" s="1837"/>
      <c r="CO278" s="1837"/>
      <c r="CP278" s="1843"/>
      <c r="CQ278" s="1837"/>
      <c r="CR278" s="1837"/>
      <c r="CS278" s="1837"/>
      <c r="CT278" s="1837"/>
      <c r="CU278" s="1837"/>
      <c r="CV278" s="1837"/>
      <c r="CW278" s="1837"/>
      <c r="CX278" s="1837"/>
      <c r="CY278" s="1840"/>
      <c r="CZ278" s="1837"/>
      <c r="DA278" s="1838"/>
      <c r="DB278" s="1837"/>
      <c r="DC278" s="1838"/>
      <c r="DD278" s="1839"/>
      <c r="DE278" s="1840"/>
      <c r="DF278" s="1837"/>
      <c r="DG278" s="1838"/>
      <c r="DH278" s="1837"/>
      <c r="DI278" s="1838"/>
      <c r="DJ278" s="1844"/>
      <c r="DK278" s="1840"/>
      <c r="DL278" s="1837"/>
      <c r="DM278" s="1838"/>
      <c r="DN278" s="1837"/>
      <c r="DO278" s="1838"/>
      <c r="DP278" s="1839"/>
      <c r="DQ278" s="1840"/>
      <c r="DR278" s="1837"/>
      <c r="DS278" s="1838"/>
      <c r="DT278" s="1837"/>
      <c r="DU278" s="1838"/>
      <c r="DV278" s="1844"/>
      <c r="DW278" s="1840"/>
      <c r="DX278" s="1837"/>
      <c r="DY278" s="1838"/>
      <c r="DZ278" s="1837"/>
      <c r="EA278" s="1838"/>
      <c r="EB278" s="1844"/>
      <c r="EC278" s="1840"/>
      <c r="ED278" s="1837"/>
      <c r="EE278" s="1838"/>
      <c r="EF278" s="1837"/>
      <c r="EG278" s="1838"/>
      <c r="EH278" s="1844"/>
      <c r="EI278" s="1840"/>
      <c r="EJ278" s="1837"/>
      <c r="EK278" s="1838"/>
      <c r="EL278" s="1837" t="s">
        <v>16871</v>
      </c>
      <c r="EM278" s="1838"/>
      <c r="EN278" s="1844"/>
      <c r="EO278" s="1840"/>
      <c r="EP278" s="1837"/>
      <c r="EQ278" s="1838"/>
      <c r="ER278" s="1837"/>
      <c r="ES278" s="1838"/>
      <c r="ET278" s="1839"/>
      <c r="EU278" s="1840"/>
      <c r="EV278" s="1837"/>
      <c r="EW278" s="1838"/>
      <c r="EX278" s="1837"/>
      <c r="EY278" s="1838"/>
      <c r="EZ278" s="1844"/>
      <c r="FA278" s="1840"/>
      <c r="FB278" s="1837"/>
      <c r="FC278" s="1838"/>
      <c r="FD278" s="1837"/>
      <c r="FE278" s="1838"/>
      <c r="FF278" s="1844"/>
      <c r="FG278" s="1840"/>
      <c r="FH278" s="1837"/>
      <c r="FI278" s="1838"/>
      <c r="FJ278" s="1837"/>
      <c r="FK278" s="1838"/>
      <c r="FL278" s="1844"/>
      <c r="FM278" s="1840"/>
      <c r="FN278" s="1837"/>
      <c r="FO278" s="1838"/>
      <c r="FP278" s="1837"/>
      <c r="FQ278" s="1838"/>
      <c r="FR278" s="1844"/>
      <c r="FS278" s="1840"/>
      <c r="FT278" s="1837"/>
      <c r="FU278" s="1838"/>
      <c r="FV278" s="1837"/>
      <c r="FW278" s="1838"/>
      <c r="FX278" s="1844"/>
      <c r="FY278" s="1840"/>
      <c r="FZ278" s="1837"/>
      <c r="GA278" s="1838"/>
      <c r="GB278" s="1837"/>
      <c r="GC278" s="1838"/>
      <c r="GD278" s="1844"/>
      <c r="GE278" s="1840"/>
      <c r="GF278" s="1837"/>
      <c r="GG278" s="1838"/>
      <c r="GH278" s="1837"/>
      <c r="GI278" s="1838"/>
      <c r="GJ278" s="1844"/>
      <c r="GK278" s="1840"/>
      <c r="GL278" s="1837"/>
      <c r="GM278" s="1838"/>
      <c r="GN278" s="1837"/>
      <c r="GO278" s="1838"/>
      <c r="GP278" s="1844"/>
    </row>
    <row r="279" spans="1:198" ht="20.100000000000001" hidden="1" customHeight="1" outlineLevel="1">
      <c r="A279" s="2709"/>
      <c r="B279" s="2612"/>
      <c r="C279" s="1836">
        <v>6</v>
      </c>
      <c r="D279" s="2614" t="str">
        <f>実績!C1391&amp;"("&amp;SUBSTITUTE(実績!R1391&amp;")"," 株式会社","")</f>
        <v>MCCポーアイ工場(中設エンジ)</v>
      </c>
      <c r="E279" s="2617"/>
      <c r="F279" s="2617"/>
      <c r="G279" s="2617"/>
      <c r="H279" s="2617"/>
      <c r="I279" s="2617"/>
      <c r="J279" s="2617"/>
      <c r="K279" s="2617"/>
      <c r="L279" s="2617"/>
      <c r="M279" s="2617"/>
      <c r="N279" s="2617"/>
      <c r="O279" s="2617"/>
      <c r="P279" s="2617"/>
      <c r="Q279" s="2617"/>
      <c r="R279" s="2622"/>
      <c r="S279" s="1837"/>
      <c r="T279" s="1837"/>
      <c r="U279" s="1838"/>
      <c r="V279" s="1837"/>
      <c r="W279" s="1838"/>
      <c r="X279" s="1839"/>
      <c r="Y279" s="1837"/>
      <c r="Z279" s="1837"/>
      <c r="AA279" s="1838"/>
      <c r="AB279" s="1837"/>
      <c r="AC279" s="1838"/>
      <c r="AD279" s="1837"/>
      <c r="AE279" s="1840"/>
      <c r="AF279" s="1837"/>
      <c r="AG279" s="1838"/>
      <c r="AH279" s="1837"/>
      <c r="AI279" s="1838"/>
      <c r="AJ279" s="1839"/>
      <c r="AK279" s="1837"/>
      <c r="AL279" s="1837"/>
      <c r="AM279" s="1838"/>
      <c r="AN279" s="1837"/>
      <c r="AO279" s="1838"/>
      <c r="AP279" s="1837"/>
      <c r="AQ279" s="1841"/>
      <c r="AR279" s="1837"/>
      <c r="AS279" s="1838"/>
      <c r="AT279" s="1837"/>
      <c r="AU279" s="1838"/>
      <c r="AV279" s="1839"/>
      <c r="AW279" s="1840"/>
      <c r="AX279" s="1837"/>
      <c r="AY279" s="1838"/>
      <c r="AZ279" s="1837"/>
      <c r="BA279" s="1838"/>
      <c r="BB279" s="1839"/>
      <c r="BC279" s="1837"/>
      <c r="BD279" s="1837"/>
      <c r="BE279" s="1838"/>
      <c r="BF279" s="1837"/>
      <c r="BG279" s="1838"/>
      <c r="BH279" s="1837"/>
      <c r="BI279" s="1840"/>
      <c r="BJ279" s="1837"/>
      <c r="BK279" s="1838"/>
      <c r="BL279" s="1837"/>
      <c r="BM279" s="1838"/>
      <c r="BN279" s="1839"/>
      <c r="BO279" s="1840"/>
      <c r="BP279" s="1837"/>
      <c r="BQ279" s="1838"/>
      <c r="BR279" s="1842"/>
      <c r="BS279" s="1838"/>
      <c r="BT279" s="1839"/>
      <c r="BU279" s="1840"/>
      <c r="BV279" s="1837"/>
      <c r="BW279" s="1838"/>
      <c r="BX279" s="1837"/>
      <c r="BY279" s="1838"/>
      <c r="BZ279" s="1839"/>
      <c r="CA279" s="1840"/>
      <c r="CB279" s="1837"/>
      <c r="CC279" s="1838"/>
      <c r="CD279" s="1837"/>
      <c r="CE279" s="1838"/>
      <c r="CF279" s="1839"/>
      <c r="CG279" s="1840"/>
      <c r="CH279" s="1837"/>
      <c r="CI279" s="1838"/>
      <c r="CJ279" s="1837"/>
      <c r="CK279" s="1838"/>
      <c r="CL279" s="1839"/>
      <c r="CM279" s="1840"/>
      <c r="CN279" s="1837"/>
      <c r="CO279" s="1838"/>
      <c r="CP279" s="1843"/>
      <c r="CQ279" s="1838"/>
      <c r="CR279" s="1839"/>
      <c r="CS279" s="1840"/>
      <c r="CT279" s="1837"/>
      <c r="CU279" s="1838"/>
      <c r="CV279" s="1837"/>
      <c r="CW279" s="1838"/>
      <c r="CX279" s="1839"/>
      <c r="CY279" s="1840"/>
      <c r="CZ279" s="1837"/>
      <c r="DA279" s="1838"/>
      <c r="DB279" s="1837"/>
      <c r="DC279" s="1838"/>
      <c r="DD279" s="1839"/>
      <c r="DE279" s="1840"/>
      <c r="DF279" s="1837"/>
      <c r="DG279" s="1838"/>
      <c r="DH279" s="1837"/>
      <c r="DI279" s="1838"/>
      <c r="DJ279" s="1839"/>
      <c r="DK279" s="1840"/>
      <c r="DL279" s="1837"/>
      <c r="DM279" s="1838"/>
      <c r="DN279" s="1837"/>
      <c r="DO279" s="1838"/>
      <c r="DP279" s="1839"/>
      <c r="DQ279" s="1840"/>
      <c r="DR279" s="1837"/>
      <c r="DS279" s="1838"/>
      <c r="DT279" s="1837"/>
      <c r="DU279" s="1838"/>
      <c r="DV279" s="1839"/>
      <c r="DW279" s="1840"/>
      <c r="DX279" s="1837"/>
      <c r="DY279" s="1838"/>
      <c r="DZ279" s="1837"/>
      <c r="EA279" s="1838"/>
      <c r="EB279" s="1839"/>
      <c r="EC279" s="1840"/>
      <c r="ED279" s="1842"/>
      <c r="EE279" s="1838"/>
      <c r="EF279" s="1837"/>
      <c r="EG279" s="1838"/>
      <c r="EH279" s="1839"/>
      <c r="EI279" s="1840"/>
      <c r="EJ279" s="1837"/>
      <c r="EK279" s="1838"/>
      <c r="EL279" s="1837" t="s">
        <v>16844</v>
      </c>
      <c r="EM279" s="1838"/>
      <c r="EN279" s="1839"/>
      <c r="EO279" s="1840"/>
      <c r="EP279" s="1837"/>
      <c r="EQ279" s="1838"/>
      <c r="ER279" s="1837"/>
      <c r="ES279" s="1838"/>
      <c r="ET279" s="1839"/>
      <c r="EU279" s="1840"/>
      <c r="EV279" s="1837"/>
      <c r="EW279" s="1838"/>
      <c r="EX279" s="1837"/>
      <c r="EY279" s="1838"/>
      <c r="EZ279" s="1839"/>
      <c r="FA279" s="1840"/>
      <c r="FB279" s="1837"/>
      <c r="FC279" s="1838"/>
      <c r="FD279" s="1837"/>
      <c r="FE279" s="1838"/>
      <c r="FF279" s="1844"/>
      <c r="FG279" s="1840" t="s">
        <v>16606</v>
      </c>
      <c r="FH279" s="1837"/>
      <c r="FI279" s="1838"/>
      <c r="FJ279" s="1837"/>
      <c r="FK279" s="1838"/>
      <c r="FL279" s="1844"/>
      <c r="FM279" s="1840"/>
      <c r="FN279" s="1837"/>
      <c r="FO279" s="1838"/>
      <c r="FP279" s="1837"/>
      <c r="FQ279" s="1838"/>
      <c r="FR279" s="1844"/>
      <c r="FS279" s="1840"/>
      <c r="FT279" s="1837"/>
      <c r="FU279" s="1838"/>
      <c r="FV279" s="1837"/>
      <c r="FW279" s="1838"/>
      <c r="FX279" s="1844"/>
      <c r="FY279" s="1840"/>
      <c r="FZ279" s="1837"/>
      <c r="GA279" s="1838"/>
      <c r="GB279" s="1837"/>
      <c r="GC279" s="1838"/>
      <c r="GD279" s="1844"/>
      <c r="GE279" s="1840"/>
      <c r="GF279" s="1837"/>
      <c r="GG279" s="1838"/>
      <c r="GH279" s="1837"/>
      <c r="GI279" s="1838"/>
      <c r="GJ279" s="1844"/>
      <c r="GK279" s="1840"/>
      <c r="GL279" s="1837"/>
      <c r="GM279" s="1838"/>
      <c r="GN279" s="1837"/>
      <c r="GO279" s="1838"/>
      <c r="GP279" s="1844"/>
    </row>
    <row r="280" spans="1:198" ht="20.100000000000001" hidden="1" customHeight="1" outlineLevel="1" collapsed="1">
      <c r="A280" s="2709"/>
      <c r="B280" s="2612"/>
      <c r="C280" s="1836">
        <v>7</v>
      </c>
      <c r="D280" s="2614" t="str">
        <f>実績!C1404&amp;"("&amp;SUBSTITUTE(実績!W1404&amp;")","株式会社 ","")</f>
        <v>オームラ新会館(清水一磨建築設計室)</v>
      </c>
      <c r="E280" s="2617"/>
      <c r="F280" s="2617"/>
      <c r="G280" s="2617"/>
      <c r="H280" s="2617"/>
      <c r="I280" s="2617"/>
      <c r="J280" s="2617"/>
      <c r="K280" s="2617"/>
      <c r="L280" s="2617"/>
      <c r="M280" s="2617"/>
      <c r="N280" s="2617"/>
      <c r="O280" s="2617"/>
      <c r="P280" s="2617"/>
      <c r="Q280" s="2617"/>
      <c r="R280" s="2641"/>
      <c r="S280" s="1837"/>
      <c r="T280" s="1837"/>
      <c r="U280" s="1837"/>
      <c r="V280" s="1837"/>
      <c r="W280" s="1837"/>
      <c r="X280" s="1837"/>
      <c r="Y280" s="1837"/>
      <c r="Z280" s="1837"/>
      <c r="AA280" s="1837"/>
      <c r="AB280" s="1837"/>
      <c r="AC280" s="1837"/>
      <c r="AD280" s="1837"/>
      <c r="AE280" s="1837"/>
      <c r="AF280" s="1837"/>
      <c r="AG280" s="1837"/>
      <c r="AH280" s="1837"/>
      <c r="AI280" s="1837"/>
      <c r="AJ280" s="1837"/>
      <c r="AK280" s="1837"/>
      <c r="AL280" s="1837"/>
      <c r="AM280" s="1837"/>
      <c r="AN280" s="1837"/>
      <c r="AO280" s="1837"/>
      <c r="AP280" s="1837"/>
      <c r="AQ280" s="1837"/>
      <c r="AR280" s="1837"/>
      <c r="AS280" s="1837"/>
      <c r="AT280" s="1837"/>
      <c r="AU280" s="1837"/>
      <c r="AV280" s="1837"/>
      <c r="AW280" s="1837"/>
      <c r="AX280" s="1837"/>
      <c r="AY280" s="1837"/>
      <c r="AZ280" s="1837"/>
      <c r="BA280" s="1837"/>
      <c r="BB280" s="1837"/>
      <c r="BC280" s="1837"/>
      <c r="BD280" s="1837"/>
      <c r="BE280" s="1837"/>
      <c r="BF280" s="1837"/>
      <c r="BG280" s="1837"/>
      <c r="BH280" s="1837"/>
      <c r="BI280" s="1837"/>
      <c r="BJ280" s="1837"/>
      <c r="BK280" s="1837"/>
      <c r="BL280" s="1837"/>
      <c r="BM280" s="1837"/>
      <c r="BN280" s="1837"/>
      <c r="BO280" s="1837"/>
      <c r="BP280" s="1837"/>
      <c r="BQ280" s="1837"/>
      <c r="BR280" s="1837"/>
      <c r="BS280" s="1837"/>
      <c r="BT280" s="1837"/>
      <c r="BU280" s="1837"/>
      <c r="BV280" s="1837"/>
      <c r="BW280" s="1837"/>
      <c r="BX280" s="1837"/>
      <c r="BY280" s="1837"/>
      <c r="BZ280" s="1837"/>
      <c r="CA280" s="1837"/>
      <c r="CB280" s="1837"/>
      <c r="CC280" s="1837"/>
      <c r="CD280" s="1837"/>
      <c r="CE280" s="1837"/>
      <c r="CF280" s="1837"/>
      <c r="CG280" s="1837"/>
      <c r="CH280" s="1837"/>
      <c r="CI280" s="1837"/>
      <c r="CJ280" s="1837"/>
      <c r="CK280" s="1837"/>
      <c r="CL280" s="1837"/>
      <c r="CM280" s="1837"/>
      <c r="CN280" s="1837"/>
      <c r="CO280" s="1837"/>
      <c r="CP280" s="1843"/>
      <c r="CQ280" s="1837"/>
      <c r="CR280" s="1837"/>
      <c r="CS280" s="1837"/>
      <c r="CT280" s="1837"/>
      <c r="CU280" s="1837"/>
      <c r="CV280" s="1837"/>
      <c r="CW280" s="1837"/>
      <c r="CX280" s="1837"/>
      <c r="CY280" s="1840"/>
      <c r="CZ280" s="1837"/>
      <c r="DA280" s="1838"/>
      <c r="DB280" s="1837"/>
      <c r="DC280" s="1838"/>
      <c r="DD280" s="1839"/>
      <c r="DE280" s="1840"/>
      <c r="DF280" s="1837"/>
      <c r="DG280" s="1838"/>
      <c r="DH280" s="1837"/>
      <c r="DI280" s="1838"/>
      <c r="DJ280" s="1839"/>
      <c r="DK280" s="1840"/>
      <c r="DL280" s="1837"/>
      <c r="DM280" s="1838"/>
      <c r="DN280" s="1837"/>
      <c r="DO280" s="1838"/>
      <c r="DP280" s="1839"/>
      <c r="DQ280" s="1840"/>
      <c r="DR280" s="1837"/>
      <c r="DS280" s="1838"/>
      <c r="DT280" s="1837"/>
      <c r="DU280" s="1838"/>
      <c r="DV280" s="1839"/>
      <c r="DW280" s="1840"/>
      <c r="DX280" s="1837"/>
      <c r="DY280" s="1838"/>
      <c r="DZ280" s="1837"/>
      <c r="EA280" s="1838"/>
      <c r="EB280" s="1839"/>
      <c r="EC280" s="1840"/>
      <c r="ED280" s="1842"/>
      <c r="EE280" s="1838"/>
      <c r="EF280" s="1837"/>
      <c r="EG280" s="1838"/>
      <c r="EH280" s="1839"/>
      <c r="EI280" s="1840"/>
      <c r="EJ280" s="1837"/>
      <c r="EK280" s="1838"/>
      <c r="EL280" s="1837"/>
      <c r="EM280" s="1838"/>
      <c r="EN280" s="1844"/>
      <c r="EO280" s="1840" t="s">
        <v>8250</v>
      </c>
      <c r="EP280" s="1837"/>
      <c r="EQ280" s="1838"/>
      <c r="ER280" s="1837"/>
      <c r="ES280" s="1838"/>
      <c r="ET280" s="1839"/>
      <c r="EU280" s="1840"/>
      <c r="EV280" s="1837"/>
      <c r="EW280" s="1838"/>
      <c r="EX280" s="1837" t="s">
        <v>16954</v>
      </c>
      <c r="EY280" s="1838"/>
      <c r="EZ280" s="1839"/>
      <c r="FA280" s="1840"/>
      <c r="FB280" s="1837"/>
      <c r="FC280" s="1838"/>
      <c r="FD280" s="1837"/>
      <c r="FE280" s="1838"/>
      <c r="FF280" s="1839"/>
      <c r="FG280" s="1840"/>
      <c r="FH280" s="1837"/>
      <c r="FI280" s="1838"/>
      <c r="FJ280" s="1837"/>
      <c r="FK280" s="1838"/>
      <c r="FL280" s="1839"/>
      <c r="FM280" s="1840"/>
      <c r="FN280" s="1837"/>
      <c r="FO280" s="1838"/>
      <c r="FP280" s="1837"/>
      <c r="FQ280" s="1838"/>
      <c r="FR280" s="1839"/>
      <c r="FS280" s="1840"/>
      <c r="FT280" s="1837"/>
      <c r="FU280" s="1838"/>
      <c r="FV280" s="1837"/>
      <c r="FW280" s="1838"/>
      <c r="FX280" s="1839"/>
      <c r="FY280" s="1840"/>
      <c r="FZ280" s="1837"/>
      <c r="GA280" s="1838"/>
      <c r="GB280" s="1837"/>
      <c r="GC280" s="1838"/>
      <c r="GD280" s="1839"/>
      <c r="GE280" s="1840"/>
      <c r="GF280" s="1837"/>
      <c r="GG280" s="1838"/>
      <c r="GH280" s="1837"/>
      <c r="GI280" s="1838"/>
      <c r="GJ280" s="1839"/>
      <c r="GK280" s="1840"/>
      <c r="GL280" s="1837"/>
      <c r="GM280" s="1838"/>
      <c r="GN280" s="1837"/>
      <c r="GO280" s="1838"/>
      <c r="GP280" s="1839"/>
    </row>
    <row r="281" spans="1:198" ht="20.100000000000001" hidden="1" customHeight="1" outlineLevel="1">
      <c r="A281" s="2709"/>
      <c r="B281" s="2612"/>
      <c r="C281" s="1836">
        <v>8</v>
      </c>
      <c r="D281" s="2614" t="str">
        <f>実績!C1403&amp;"("&amp;SUBSTITUTE(実績!W1403&amp;")","株式会社 ","")</f>
        <v>ツルハドラッグ本町4丁目(アスコ建築構造室)</v>
      </c>
      <c r="E281" s="2617"/>
      <c r="F281" s="2617"/>
      <c r="G281" s="2617"/>
      <c r="H281" s="2617"/>
      <c r="I281" s="2617"/>
      <c r="J281" s="2617"/>
      <c r="K281" s="2617"/>
      <c r="L281" s="2617"/>
      <c r="M281" s="2617"/>
      <c r="N281" s="2617"/>
      <c r="O281" s="2617"/>
      <c r="P281" s="2617"/>
      <c r="Q281" s="2617"/>
      <c r="R281" s="2622"/>
      <c r="S281" s="1837"/>
      <c r="T281" s="1837"/>
      <c r="U281" s="1837"/>
      <c r="V281" s="1837"/>
      <c r="W281" s="1837"/>
      <c r="X281" s="1837"/>
      <c r="Y281" s="1837"/>
      <c r="Z281" s="1837"/>
      <c r="AA281" s="1837"/>
      <c r="AB281" s="1837"/>
      <c r="AC281" s="1837"/>
      <c r="AD281" s="1837"/>
      <c r="AE281" s="1837"/>
      <c r="AF281" s="1837"/>
      <c r="AG281" s="1837"/>
      <c r="AH281" s="1837"/>
      <c r="AI281" s="1837"/>
      <c r="AJ281" s="1837"/>
      <c r="AK281" s="1837"/>
      <c r="AL281" s="1837"/>
      <c r="AM281" s="1837"/>
      <c r="AN281" s="1837"/>
      <c r="AO281" s="1837"/>
      <c r="AP281" s="1837"/>
      <c r="AQ281" s="1837"/>
      <c r="AR281" s="1837"/>
      <c r="AS281" s="1837"/>
      <c r="AT281" s="1837"/>
      <c r="AU281" s="1837"/>
      <c r="AV281" s="1837"/>
      <c r="AW281" s="1837"/>
      <c r="AX281" s="1837"/>
      <c r="AY281" s="1837"/>
      <c r="AZ281" s="1837"/>
      <c r="BA281" s="1837"/>
      <c r="BB281" s="1837"/>
      <c r="BC281" s="1837"/>
      <c r="BD281" s="1837"/>
      <c r="BE281" s="1837"/>
      <c r="BF281" s="1837"/>
      <c r="BG281" s="1837"/>
      <c r="BH281" s="1837"/>
      <c r="BI281" s="1837"/>
      <c r="BJ281" s="1837"/>
      <c r="BK281" s="1837"/>
      <c r="BL281" s="1837"/>
      <c r="BM281" s="1837"/>
      <c r="BN281" s="1837"/>
      <c r="BO281" s="1837"/>
      <c r="BP281" s="1837"/>
      <c r="BQ281" s="1837"/>
      <c r="BR281" s="1837"/>
      <c r="BS281" s="1837"/>
      <c r="BT281" s="1837"/>
      <c r="BU281" s="1837"/>
      <c r="BV281" s="1837"/>
      <c r="BW281" s="1837"/>
      <c r="BX281" s="1837"/>
      <c r="BY281" s="1837"/>
      <c r="BZ281" s="1837"/>
      <c r="CA281" s="1837"/>
      <c r="CB281" s="1837"/>
      <c r="CC281" s="1837"/>
      <c r="CD281" s="1837"/>
      <c r="CE281" s="1837"/>
      <c r="CF281" s="1837"/>
      <c r="CG281" s="1837"/>
      <c r="CH281" s="1837"/>
      <c r="CI281" s="1837"/>
      <c r="CJ281" s="1837"/>
      <c r="CK281" s="1837"/>
      <c r="CL281" s="1837"/>
      <c r="CM281" s="1837"/>
      <c r="CN281" s="1837"/>
      <c r="CO281" s="1837"/>
      <c r="CP281" s="1843"/>
      <c r="CQ281" s="1837"/>
      <c r="CR281" s="1837"/>
      <c r="CS281" s="1837"/>
      <c r="CT281" s="1837"/>
      <c r="CU281" s="1837"/>
      <c r="CV281" s="1837"/>
      <c r="CW281" s="1837"/>
      <c r="CX281" s="1837"/>
      <c r="CY281" s="1840"/>
      <c r="CZ281" s="1837"/>
      <c r="DA281" s="1838"/>
      <c r="DB281" s="1837"/>
      <c r="DC281" s="1838"/>
      <c r="DD281" s="1839"/>
      <c r="DE281" s="1840"/>
      <c r="DF281" s="1837"/>
      <c r="DG281" s="1838"/>
      <c r="DH281" s="1837"/>
      <c r="DI281" s="1838"/>
      <c r="DJ281" s="1839"/>
      <c r="DK281" s="1840"/>
      <c r="DL281" s="1837"/>
      <c r="DM281" s="1838"/>
      <c r="DN281" s="1837"/>
      <c r="DO281" s="1838"/>
      <c r="DP281" s="1839"/>
      <c r="DQ281" s="1840"/>
      <c r="DR281" s="1837"/>
      <c r="DS281" s="1838"/>
      <c r="DT281" s="1837"/>
      <c r="DU281" s="1838"/>
      <c r="DV281" s="1839"/>
      <c r="DW281" s="1840"/>
      <c r="DX281" s="1837"/>
      <c r="DY281" s="1838"/>
      <c r="DZ281" s="1837"/>
      <c r="EA281" s="1838"/>
      <c r="EB281" s="1839"/>
      <c r="EC281" s="1840"/>
      <c r="ED281" s="1842"/>
      <c r="EE281" s="1838"/>
      <c r="EF281" s="1837"/>
      <c r="EG281" s="1838"/>
      <c r="EH281" s="1839"/>
      <c r="EI281" s="1840"/>
      <c r="EJ281" s="1837"/>
      <c r="EK281" s="1838"/>
      <c r="EL281" s="1837"/>
      <c r="EM281" s="1838"/>
      <c r="EN281" s="1844"/>
      <c r="EO281" s="1840" t="s">
        <v>8250</v>
      </c>
      <c r="EP281" s="1837"/>
      <c r="EQ281" s="1838"/>
      <c r="ER281" s="1837"/>
      <c r="ES281" s="1838"/>
      <c r="ET281" s="1839"/>
      <c r="EU281" s="1840"/>
      <c r="EV281" s="1837"/>
      <c r="EW281" s="1838"/>
      <c r="EX281" s="1837"/>
      <c r="EY281" s="1838"/>
      <c r="EZ281" s="1839"/>
      <c r="FA281" s="1840"/>
      <c r="FB281" s="1837"/>
      <c r="FC281" s="1838"/>
      <c r="FD281" s="1837"/>
      <c r="FE281" s="1838"/>
      <c r="FF281" s="1839"/>
      <c r="FG281" s="1840"/>
      <c r="FH281" s="1837"/>
      <c r="FI281" s="1838"/>
      <c r="FJ281" s="1837"/>
      <c r="FK281" s="1838"/>
      <c r="FL281" s="1839"/>
      <c r="FM281" s="1840"/>
      <c r="FN281" s="1837"/>
      <c r="FO281" s="1838"/>
      <c r="FP281" s="1837"/>
      <c r="FQ281" s="1838"/>
      <c r="FR281" s="1839"/>
      <c r="FS281" s="1840"/>
      <c r="FT281" s="1837"/>
      <c r="FU281" s="1838"/>
      <c r="FV281" s="1837"/>
      <c r="FW281" s="1838"/>
      <c r="FX281" s="1839"/>
      <c r="FY281" s="1840"/>
      <c r="FZ281" s="1837"/>
      <c r="GA281" s="1838"/>
      <c r="GB281" s="1837"/>
      <c r="GC281" s="1838"/>
      <c r="GD281" s="1839"/>
      <c r="GE281" s="1840"/>
      <c r="GF281" s="1837"/>
      <c r="GG281" s="1838"/>
      <c r="GH281" s="1837"/>
      <c r="GI281" s="1838"/>
      <c r="GJ281" s="1839"/>
      <c r="GK281" s="1840"/>
      <c r="GL281" s="1837"/>
      <c r="GM281" s="1838"/>
      <c r="GN281" s="1837"/>
      <c r="GO281" s="1838"/>
      <c r="GP281" s="1839"/>
    </row>
    <row r="282" spans="1:198" ht="20.100000000000001" hidden="1" customHeight="1" outlineLevel="1">
      <c r="A282" s="2709"/>
      <c r="B282" s="2612"/>
      <c r="C282" s="1836">
        <v>9</v>
      </c>
      <c r="D282" s="2614" t="str">
        <f>実績!C1402&amp;"("&amp;SUBSTITUTE(実績!R1402&amp;")","株式会社 ","")</f>
        <v>ネクステージ丸池(秀和建築設計事務所)</v>
      </c>
      <c r="E282" s="2617"/>
      <c r="F282" s="2617"/>
      <c r="G282" s="2617"/>
      <c r="H282" s="2617"/>
      <c r="I282" s="2617"/>
      <c r="J282" s="2617"/>
      <c r="K282" s="2617"/>
      <c r="L282" s="2617"/>
      <c r="M282" s="2617"/>
      <c r="N282" s="2617"/>
      <c r="O282" s="2617"/>
      <c r="P282" s="2617"/>
      <c r="Q282" s="2617"/>
      <c r="R282" s="2622"/>
      <c r="S282" s="1837"/>
      <c r="T282" s="1837"/>
      <c r="U282" s="1837"/>
      <c r="V282" s="1837"/>
      <c r="W282" s="1837"/>
      <c r="X282" s="1837"/>
      <c r="Y282" s="1837"/>
      <c r="Z282" s="1837"/>
      <c r="AA282" s="1837"/>
      <c r="AB282" s="1837"/>
      <c r="AC282" s="1837"/>
      <c r="AD282" s="1837"/>
      <c r="AE282" s="1837"/>
      <c r="AF282" s="1837"/>
      <c r="AG282" s="1837"/>
      <c r="AH282" s="1837"/>
      <c r="AI282" s="1837"/>
      <c r="AJ282" s="1837"/>
      <c r="AK282" s="1837"/>
      <c r="AL282" s="1837"/>
      <c r="AM282" s="1837"/>
      <c r="AN282" s="1837"/>
      <c r="AO282" s="1837"/>
      <c r="AP282" s="1837"/>
      <c r="AQ282" s="1837"/>
      <c r="AR282" s="1837"/>
      <c r="AS282" s="1837"/>
      <c r="AT282" s="1837"/>
      <c r="AU282" s="1837"/>
      <c r="AV282" s="1837"/>
      <c r="AW282" s="1837"/>
      <c r="AX282" s="1837"/>
      <c r="AY282" s="1837"/>
      <c r="AZ282" s="1837"/>
      <c r="BA282" s="1837"/>
      <c r="BB282" s="1837"/>
      <c r="BC282" s="1837"/>
      <c r="BD282" s="1837"/>
      <c r="BE282" s="1837"/>
      <c r="BF282" s="1837"/>
      <c r="BG282" s="1837"/>
      <c r="BH282" s="1837"/>
      <c r="BI282" s="1837"/>
      <c r="BJ282" s="1837"/>
      <c r="BK282" s="1837"/>
      <c r="BL282" s="1837"/>
      <c r="BM282" s="1837"/>
      <c r="BN282" s="1837"/>
      <c r="BO282" s="1837"/>
      <c r="BP282" s="1837"/>
      <c r="BQ282" s="1837"/>
      <c r="BR282" s="1837"/>
      <c r="BS282" s="1837"/>
      <c r="BT282" s="1837"/>
      <c r="BU282" s="1837"/>
      <c r="BV282" s="1837"/>
      <c r="BW282" s="1837"/>
      <c r="BX282" s="1837"/>
      <c r="BY282" s="1837"/>
      <c r="BZ282" s="1837"/>
      <c r="CA282" s="1837"/>
      <c r="CB282" s="1837"/>
      <c r="CC282" s="1837"/>
      <c r="CD282" s="1837"/>
      <c r="CE282" s="1837"/>
      <c r="CF282" s="1837"/>
      <c r="CG282" s="1837"/>
      <c r="CH282" s="1837"/>
      <c r="CI282" s="1837"/>
      <c r="CJ282" s="1837"/>
      <c r="CK282" s="1837"/>
      <c r="CL282" s="1837"/>
      <c r="CM282" s="1837"/>
      <c r="CN282" s="1837"/>
      <c r="CO282" s="1837"/>
      <c r="CP282" s="1843"/>
      <c r="CQ282" s="1837"/>
      <c r="CR282" s="1837"/>
      <c r="CS282" s="1837"/>
      <c r="CT282" s="1837"/>
      <c r="CU282" s="1837"/>
      <c r="CV282" s="1837"/>
      <c r="CW282" s="1837"/>
      <c r="CX282" s="1837"/>
      <c r="CY282" s="1840"/>
      <c r="CZ282" s="1837"/>
      <c r="DA282" s="1838"/>
      <c r="DB282" s="1837"/>
      <c r="DC282" s="1838"/>
      <c r="DD282" s="1839"/>
      <c r="DE282" s="1840"/>
      <c r="DF282" s="1837"/>
      <c r="DG282" s="1838"/>
      <c r="DH282" s="1837"/>
      <c r="DI282" s="1838"/>
      <c r="DJ282" s="1839"/>
      <c r="DK282" s="1840"/>
      <c r="DL282" s="1837"/>
      <c r="DM282" s="1838"/>
      <c r="DN282" s="1837"/>
      <c r="DO282" s="1838"/>
      <c r="DP282" s="1839"/>
      <c r="DQ282" s="1840"/>
      <c r="DR282" s="1837"/>
      <c r="DS282" s="1838"/>
      <c r="DT282" s="1837"/>
      <c r="DU282" s="1838"/>
      <c r="DV282" s="1839"/>
      <c r="DW282" s="1840"/>
      <c r="DX282" s="1837"/>
      <c r="DY282" s="1838"/>
      <c r="DZ282" s="1837"/>
      <c r="EA282" s="1838"/>
      <c r="EB282" s="1839"/>
      <c r="EC282" s="1840"/>
      <c r="ED282" s="1842"/>
      <c r="EE282" s="1838"/>
      <c r="EF282" s="1837"/>
      <c r="EG282" s="1838"/>
      <c r="EH282" s="1839"/>
      <c r="EI282" s="1840"/>
      <c r="EJ282" s="1837"/>
      <c r="EK282" s="1838"/>
      <c r="EL282" s="1837"/>
      <c r="EM282" s="1838"/>
      <c r="EN282" s="1844"/>
      <c r="EO282" s="1840" t="s">
        <v>16885</v>
      </c>
      <c r="EP282" s="1837"/>
      <c r="EQ282" s="1838"/>
      <c r="ER282" s="1837"/>
      <c r="ES282" s="1838"/>
      <c r="ET282" s="1839"/>
      <c r="EU282" s="1840"/>
      <c r="EV282" s="1837"/>
      <c r="EW282" s="1838"/>
      <c r="EX282" s="1837" t="s">
        <v>16954</v>
      </c>
      <c r="EY282" s="1838"/>
      <c r="EZ282" s="1839"/>
      <c r="FA282" s="1840"/>
      <c r="FB282" s="1837"/>
      <c r="FC282" s="1838"/>
      <c r="FD282" s="1837"/>
      <c r="FE282" s="1838"/>
      <c r="FF282" s="1839"/>
      <c r="FG282" s="1840"/>
      <c r="FH282" s="1837"/>
      <c r="FI282" s="1838"/>
      <c r="FJ282" s="1837"/>
      <c r="FK282" s="1838"/>
      <c r="FL282" s="1839"/>
      <c r="FM282" s="1840"/>
      <c r="FN282" s="1837"/>
      <c r="FO282" s="1838"/>
      <c r="FP282" s="1837"/>
      <c r="FQ282" s="1838"/>
      <c r="FR282" s="1839"/>
      <c r="FS282" s="1840"/>
      <c r="FT282" s="1837"/>
      <c r="FU282" s="1838"/>
      <c r="FV282" s="1837"/>
      <c r="FW282" s="1838"/>
      <c r="FX282" s="1839"/>
      <c r="FY282" s="1840"/>
      <c r="FZ282" s="1837"/>
      <c r="GA282" s="1838"/>
      <c r="GB282" s="1837"/>
      <c r="GC282" s="1838"/>
      <c r="GD282" s="1839"/>
      <c r="GE282" s="1840"/>
      <c r="GF282" s="1837"/>
      <c r="GG282" s="1838"/>
      <c r="GH282" s="1837"/>
      <c r="GI282" s="1838"/>
      <c r="GJ282" s="1839"/>
      <c r="GK282" s="1840"/>
      <c r="GL282" s="1837"/>
      <c r="GM282" s="1838"/>
      <c r="GN282" s="1837"/>
      <c r="GO282" s="1838"/>
      <c r="GP282" s="1839"/>
    </row>
    <row r="283" spans="1:198" ht="20.100000000000001" hidden="1" customHeight="1" outlineLevel="1">
      <c r="A283" s="2709"/>
      <c r="B283" s="2612"/>
      <c r="C283" s="1836">
        <v>10</v>
      </c>
      <c r="D283" s="2614" t="str">
        <f>実績!C1405&amp;"("&amp;SUBSTITUTE(実績!R1405&amp;")"," 一級建築士事務所","")</f>
        <v>JAしまね種子選穀センター(種子生産高度化施設棟)(全農西日本)</v>
      </c>
      <c r="E283" s="2617"/>
      <c r="F283" s="2617"/>
      <c r="G283" s="2617"/>
      <c r="H283" s="2617"/>
      <c r="I283" s="2617"/>
      <c r="J283" s="2617"/>
      <c r="K283" s="2617"/>
      <c r="L283" s="2617"/>
      <c r="M283" s="2617"/>
      <c r="N283" s="2617"/>
      <c r="O283" s="2617"/>
      <c r="P283" s="2617"/>
      <c r="Q283" s="2617"/>
      <c r="R283" s="2641"/>
      <c r="S283" s="1837"/>
      <c r="T283" s="1837"/>
      <c r="U283" s="1837"/>
      <c r="V283" s="1837"/>
      <c r="W283" s="1837"/>
      <c r="X283" s="1837"/>
      <c r="Y283" s="1837"/>
      <c r="Z283" s="1837"/>
      <c r="AA283" s="1837"/>
      <c r="AB283" s="1837"/>
      <c r="AC283" s="1837"/>
      <c r="AD283" s="1837"/>
      <c r="AE283" s="1837"/>
      <c r="AF283" s="1837"/>
      <c r="AG283" s="1837"/>
      <c r="AH283" s="1837"/>
      <c r="AI283" s="1837"/>
      <c r="AJ283" s="1837"/>
      <c r="AK283" s="1837"/>
      <c r="AL283" s="1837"/>
      <c r="AM283" s="1837"/>
      <c r="AN283" s="1837"/>
      <c r="AO283" s="1837"/>
      <c r="AP283" s="1837"/>
      <c r="AQ283" s="1837"/>
      <c r="AR283" s="1837"/>
      <c r="AS283" s="1837"/>
      <c r="AT283" s="1837"/>
      <c r="AU283" s="1837"/>
      <c r="AV283" s="1837"/>
      <c r="AW283" s="1837"/>
      <c r="AX283" s="1837"/>
      <c r="AY283" s="1837"/>
      <c r="AZ283" s="1837"/>
      <c r="BA283" s="1837"/>
      <c r="BB283" s="1837"/>
      <c r="BC283" s="1837"/>
      <c r="BD283" s="1837"/>
      <c r="BE283" s="1837"/>
      <c r="BF283" s="1837"/>
      <c r="BG283" s="1837"/>
      <c r="BH283" s="1837"/>
      <c r="BI283" s="1837"/>
      <c r="BJ283" s="1837"/>
      <c r="BK283" s="1837"/>
      <c r="BL283" s="1837"/>
      <c r="BM283" s="1837"/>
      <c r="BN283" s="1837"/>
      <c r="BO283" s="1837"/>
      <c r="BP283" s="1837"/>
      <c r="BQ283" s="1837"/>
      <c r="BR283" s="1837"/>
      <c r="BS283" s="1837"/>
      <c r="BT283" s="1837"/>
      <c r="BU283" s="1837"/>
      <c r="BV283" s="1837"/>
      <c r="BW283" s="1837"/>
      <c r="BX283" s="1837"/>
      <c r="BY283" s="1837"/>
      <c r="BZ283" s="1837"/>
      <c r="CA283" s="1837"/>
      <c r="CB283" s="1837"/>
      <c r="CC283" s="1837"/>
      <c r="CD283" s="1837"/>
      <c r="CE283" s="1837"/>
      <c r="CF283" s="1837"/>
      <c r="CG283" s="1837"/>
      <c r="CH283" s="1837"/>
      <c r="CI283" s="1837"/>
      <c r="CJ283" s="1837"/>
      <c r="CK283" s="1837"/>
      <c r="CL283" s="1837"/>
      <c r="CM283" s="1837"/>
      <c r="CN283" s="1837"/>
      <c r="CO283" s="1837"/>
      <c r="CP283" s="1843"/>
      <c r="CQ283" s="1837"/>
      <c r="CR283" s="1837"/>
      <c r="CS283" s="1837"/>
      <c r="CT283" s="1837"/>
      <c r="CU283" s="1837"/>
      <c r="CV283" s="1837"/>
      <c r="CW283" s="1837"/>
      <c r="CX283" s="1837"/>
      <c r="CY283" s="1840"/>
      <c r="CZ283" s="1837"/>
      <c r="DA283" s="1838"/>
      <c r="DB283" s="1837"/>
      <c r="DC283" s="1838"/>
      <c r="DD283" s="1839"/>
      <c r="DE283" s="1840"/>
      <c r="DF283" s="1837"/>
      <c r="DG283" s="1838"/>
      <c r="DH283" s="1837"/>
      <c r="DI283" s="1838"/>
      <c r="DJ283" s="1839"/>
      <c r="DK283" s="1840"/>
      <c r="DL283" s="1837"/>
      <c r="DM283" s="1838"/>
      <c r="DN283" s="1837"/>
      <c r="DO283" s="1838"/>
      <c r="DP283" s="1839"/>
      <c r="DQ283" s="1840"/>
      <c r="DR283" s="1837"/>
      <c r="DS283" s="1838"/>
      <c r="DT283" s="1837"/>
      <c r="DU283" s="1838"/>
      <c r="DV283" s="1839"/>
      <c r="DW283" s="1840"/>
      <c r="DX283" s="1837"/>
      <c r="DY283" s="1838"/>
      <c r="DZ283" s="1837"/>
      <c r="EA283" s="1838"/>
      <c r="EB283" s="1839"/>
      <c r="EC283" s="1840"/>
      <c r="ED283" s="1842"/>
      <c r="EE283" s="1838"/>
      <c r="EF283" s="1837"/>
      <c r="EG283" s="1838"/>
      <c r="EH283" s="1839"/>
      <c r="EI283" s="1840"/>
      <c r="EJ283" s="1837"/>
      <c r="EK283" s="1838"/>
      <c r="EL283" s="1837"/>
      <c r="EM283" s="1838"/>
      <c r="EN283" s="1844"/>
      <c r="EO283" s="1840"/>
      <c r="EP283" s="1837"/>
      <c r="EQ283" s="1838"/>
      <c r="ER283" s="1837"/>
      <c r="ES283" s="1838"/>
      <c r="ET283" s="1839"/>
      <c r="EU283" s="1840"/>
      <c r="EV283" s="1837"/>
      <c r="EW283" s="1838"/>
      <c r="EX283" s="1837"/>
      <c r="EY283" s="1838"/>
      <c r="EZ283" s="1839"/>
      <c r="FA283" s="1840"/>
      <c r="FB283" s="1837"/>
      <c r="FC283" s="1838"/>
      <c r="FD283" s="1837"/>
      <c r="FE283" s="1838"/>
      <c r="FF283" s="1839"/>
      <c r="FG283" s="1840"/>
      <c r="FH283" s="1837"/>
      <c r="FI283" s="1838"/>
      <c r="FJ283" s="1837"/>
      <c r="FK283" s="1838"/>
      <c r="FL283" s="1839"/>
      <c r="FM283" s="1840"/>
      <c r="FN283" s="1837"/>
      <c r="FO283" s="1838"/>
      <c r="FP283" s="1837"/>
      <c r="FQ283" s="1838"/>
      <c r="FR283" s="1839"/>
      <c r="FS283" s="1840"/>
      <c r="FT283" s="1837"/>
      <c r="FU283" s="1838"/>
      <c r="FV283" s="1837"/>
      <c r="FW283" s="1838"/>
      <c r="FX283" s="1839"/>
      <c r="FY283" s="1840"/>
      <c r="FZ283" s="1837"/>
      <c r="GA283" s="1838"/>
      <c r="GB283" s="1837"/>
      <c r="GC283" s="1838"/>
      <c r="GD283" s="1839"/>
      <c r="GE283" s="1840"/>
      <c r="GF283" s="1837"/>
      <c r="GG283" s="1838"/>
      <c r="GH283" s="1837"/>
      <c r="GI283" s="1838"/>
      <c r="GJ283" s="1839"/>
      <c r="GK283" s="1840"/>
      <c r="GL283" s="1837"/>
      <c r="GM283" s="1838"/>
      <c r="GN283" s="1837"/>
      <c r="GO283" s="1838"/>
      <c r="GP283" s="1839"/>
    </row>
    <row r="284" spans="1:198" ht="20.100000000000001" hidden="1" customHeight="1" outlineLevel="1">
      <c r="A284" s="2709"/>
      <c r="B284" s="2612"/>
      <c r="C284" s="1836">
        <v>11</v>
      </c>
      <c r="D284" s="2614" t="str">
        <f>実績!C1400&amp;"("&amp;SUBSTITUTE(実績!R1400&amp;")","株式会社 ","")</f>
        <v>バルチラジャパン株式会社富山工場(WPJ)(三由建設 株式会社)</v>
      </c>
      <c r="E284" s="2617"/>
      <c r="F284" s="2617"/>
      <c r="G284" s="2617"/>
      <c r="H284" s="2617"/>
      <c r="I284" s="2617"/>
      <c r="J284" s="2617"/>
      <c r="K284" s="2617"/>
      <c r="L284" s="2617"/>
      <c r="M284" s="2617"/>
      <c r="N284" s="2617"/>
      <c r="O284" s="2617"/>
      <c r="P284" s="2617"/>
      <c r="Q284" s="2617"/>
      <c r="R284" s="2622"/>
      <c r="S284" s="1837"/>
      <c r="T284" s="1837"/>
      <c r="U284" s="1837"/>
      <c r="V284" s="1837"/>
      <c r="W284" s="1837"/>
      <c r="X284" s="1837"/>
      <c r="Y284" s="1837"/>
      <c r="Z284" s="1837"/>
      <c r="AA284" s="1837"/>
      <c r="AB284" s="1837"/>
      <c r="AC284" s="1837"/>
      <c r="AD284" s="1837"/>
      <c r="AE284" s="1837"/>
      <c r="AF284" s="1837"/>
      <c r="AG284" s="1837"/>
      <c r="AH284" s="1837"/>
      <c r="AI284" s="1837"/>
      <c r="AJ284" s="1837"/>
      <c r="AK284" s="1837"/>
      <c r="AL284" s="1837"/>
      <c r="AM284" s="1837"/>
      <c r="AN284" s="1837"/>
      <c r="AO284" s="1837"/>
      <c r="AP284" s="1837"/>
      <c r="AQ284" s="1837"/>
      <c r="AR284" s="1837"/>
      <c r="AS284" s="1837"/>
      <c r="AT284" s="1837"/>
      <c r="AU284" s="1837"/>
      <c r="AV284" s="1837"/>
      <c r="AW284" s="1837"/>
      <c r="AX284" s="1837"/>
      <c r="AY284" s="1837"/>
      <c r="AZ284" s="1837"/>
      <c r="BA284" s="1837"/>
      <c r="BB284" s="1837"/>
      <c r="BC284" s="1837"/>
      <c r="BD284" s="1837"/>
      <c r="BE284" s="1837"/>
      <c r="BF284" s="1837"/>
      <c r="BG284" s="1837"/>
      <c r="BH284" s="1837"/>
      <c r="BI284" s="1837"/>
      <c r="BJ284" s="1837"/>
      <c r="BK284" s="1837"/>
      <c r="BL284" s="1837"/>
      <c r="BM284" s="1837"/>
      <c r="BN284" s="1837"/>
      <c r="BO284" s="1837"/>
      <c r="BP284" s="1837"/>
      <c r="BQ284" s="1837"/>
      <c r="BR284" s="1837"/>
      <c r="BS284" s="1837"/>
      <c r="BT284" s="1837"/>
      <c r="BU284" s="1837"/>
      <c r="BV284" s="1837"/>
      <c r="BW284" s="1837"/>
      <c r="BX284" s="1837"/>
      <c r="BY284" s="1837"/>
      <c r="BZ284" s="1837"/>
      <c r="CA284" s="1837"/>
      <c r="CB284" s="1837"/>
      <c r="CC284" s="1837"/>
      <c r="CD284" s="1837"/>
      <c r="CE284" s="1837"/>
      <c r="CF284" s="1837"/>
      <c r="CG284" s="1837"/>
      <c r="CH284" s="1837"/>
      <c r="CI284" s="1837"/>
      <c r="CJ284" s="1837"/>
      <c r="CK284" s="1837"/>
      <c r="CL284" s="1837"/>
      <c r="CM284" s="1837"/>
      <c r="CN284" s="1837"/>
      <c r="CO284" s="1837"/>
      <c r="CP284" s="1843"/>
      <c r="CQ284" s="1837"/>
      <c r="CR284" s="1837"/>
      <c r="CS284" s="1837"/>
      <c r="CT284" s="1837"/>
      <c r="CU284" s="1837"/>
      <c r="CV284" s="1837"/>
      <c r="CW284" s="1837"/>
      <c r="CX284" s="1837"/>
      <c r="CY284" s="1840"/>
      <c r="CZ284" s="1837"/>
      <c r="DA284" s="1838"/>
      <c r="DB284" s="1837"/>
      <c r="DC284" s="1838"/>
      <c r="DD284" s="1839"/>
      <c r="DE284" s="1840"/>
      <c r="DF284" s="1837"/>
      <c r="DG284" s="1838"/>
      <c r="DH284" s="1837"/>
      <c r="DI284" s="1838"/>
      <c r="DJ284" s="1844"/>
      <c r="DK284" s="1840"/>
      <c r="DL284" s="1837"/>
      <c r="DM284" s="1838"/>
      <c r="DN284" s="1837"/>
      <c r="DO284" s="1838"/>
      <c r="DP284" s="1839"/>
      <c r="DQ284" s="1840"/>
      <c r="DR284" s="1837"/>
      <c r="DS284" s="1838"/>
      <c r="DT284" s="1837"/>
      <c r="DU284" s="1838"/>
      <c r="DV284" s="1844"/>
      <c r="DW284" s="1840"/>
      <c r="DX284" s="1837"/>
      <c r="DY284" s="1838"/>
      <c r="DZ284" s="1837"/>
      <c r="EA284" s="1838"/>
      <c r="EB284" s="1844"/>
      <c r="EC284" s="1840"/>
      <c r="ED284" s="1837"/>
      <c r="EE284" s="1838"/>
      <c r="EF284" s="1837"/>
      <c r="EG284" s="1838"/>
      <c r="EH284" s="1844"/>
      <c r="EI284" s="1840"/>
      <c r="EJ284" s="1837"/>
      <c r="EK284" s="1838"/>
      <c r="EL284" s="1837"/>
      <c r="EM284" s="1838"/>
      <c r="EN284" s="1865" t="s">
        <v>16904</v>
      </c>
      <c r="EO284" s="1840"/>
      <c r="EP284" s="1837"/>
      <c r="EQ284" s="1838"/>
      <c r="ER284" s="1837"/>
      <c r="ES284" s="1838"/>
      <c r="ET284" s="1839"/>
      <c r="EU284" s="1840"/>
      <c r="EV284" s="1837"/>
      <c r="EW284" s="1838"/>
      <c r="EX284" s="1837"/>
      <c r="EY284" s="1838"/>
      <c r="EZ284" s="1844" t="s">
        <v>17079</v>
      </c>
      <c r="FA284" s="1840"/>
      <c r="FB284" s="1837"/>
      <c r="FC284" s="1838"/>
      <c r="FD284" s="1837"/>
      <c r="FE284" s="1838"/>
      <c r="FF284" s="1839"/>
      <c r="FG284" s="1840"/>
      <c r="FH284" s="1837"/>
      <c r="FI284" s="1838"/>
      <c r="FJ284" s="1837"/>
      <c r="FK284" s="1838"/>
      <c r="FL284" s="1839"/>
      <c r="FM284" s="1840"/>
      <c r="FN284" s="1837"/>
      <c r="FO284" s="1838"/>
      <c r="FP284" s="1837"/>
      <c r="FQ284" s="1838"/>
      <c r="FR284" s="1839"/>
      <c r="FS284" s="1840"/>
      <c r="FT284" s="1837"/>
      <c r="FU284" s="1838"/>
      <c r="FV284" s="1837"/>
      <c r="FW284" s="1838"/>
      <c r="FX284" s="1839"/>
      <c r="FY284" s="1840"/>
      <c r="FZ284" s="1837"/>
      <c r="GA284" s="1838"/>
      <c r="GB284" s="1837"/>
      <c r="GC284" s="1838"/>
      <c r="GD284" s="1839"/>
      <c r="GE284" s="1840"/>
      <c r="GF284" s="1837"/>
      <c r="GG284" s="1838"/>
      <c r="GH284" s="1837"/>
      <c r="GI284" s="1838"/>
      <c r="GJ284" s="1839"/>
      <c r="GK284" s="1840"/>
      <c r="GL284" s="1837"/>
      <c r="GM284" s="1838"/>
      <c r="GN284" s="1837"/>
      <c r="GO284" s="1838"/>
      <c r="GP284" s="1839"/>
    </row>
    <row r="285" spans="1:198" ht="20.100000000000001" hidden="1" customHeight="1" outlineLevel="1" collapsed="1">
      <c r="A285" s="2709"/>
      <c r="B285" s="2612"/>
      <c r="C285" s="1836">
        <v>12</v>
      </c>
      <c r="D285" s="2614" t="str">
        <f>実績!C1383&amp;"("&amp;SUBSTITUTE(実績!R1383&amp;")","有限会社 ","")</f>
        <v>関西マツダ千里(基建築設計事務所)</v>
      </c>
      <c r="E285" s="2617"/>
      <c r="F285" s="2617"/>
      <c r="G285" s="2617"/>
      <c r="H285" s="2617"/>
      <c r="I285" s="2617"/>
      <c r="J285" s="2617"/>
      <c r="K285" s="2617"/>
      <c r="L285" s="2617"/>
      <c r="M285" s="2617"/>
      <c r="N285" s="2617"/>
      <c r="O285" s="2617"/>
      <c r="P285" s="2617"/>
      <c r="Q285" s="2617"/>
      <c r="R285" s="2622"/>
      <c r="S285" s="1837"/>
      <c r="T285" s="1837"/>
      <c r="U285" s="1838"/>
      <c r="V285" s="1837"/>
      <c r="W285" s="1838"/>
      <c r="X285" s="1839"/>
      <c r="Y285" s="1837"/>
      <c r="Z285" s="1837"/>
      <c r="AA285" s="1838"/>
      <c r="AB285" s="1837"/>
      <c r="AC285" s="1838"/>
      <c r="AD285" s="1837"/>
      <c r="AE285" s="1840"/>
      <c r="AF285" s="1837"/>
      <c r="AG285" s="1838"/>
      <c r="AH285" s="1837"/>
      <c r="AI285" s="1838"/>
      <c r="AJ285" s="1839"/>
      <c r="AK285" s="1837"/>
      <c r="AL285" s="1837"/>
      <c r="AM285" s="1838"/>
      <c r="AN285" s="1837"/>
      <c r="AO285" s="1838"/>
      <c r="AP285" s="1837"/>
      <c r="AQ285" s="1841"/>
      <c r="AR285" s="1837"/>
      <c r="AS285" s="1838"/>
      <c r="AT285" s="1837"/>
      <c r="AU285" s="1838"/>
      <c r="AV285" s="1839"/>
      <c r="AW285" s="1840"/>
      <c r="AX285" s="1837"/>
      <c r="AY285" s="1838"/>
      <c r="AZ285" s="1837"/>
      <c r="BA285" s="1838"/>
      <c r="BB285" s="1839"/>
      <c r="BC285" s="1837"/>
      <c r="BD285" s="1837"/>
      <c r="BE285" s="1838"/>
      <c r="BF285" s="1837"/>
      <c r="BG285" s="1838"/>
      <c r="BH285" s="1837"/>
      <c r="BI285" s="1840"/>
      <c r="BJ285" s="1837"/>
      <c r="BK285" s="1838"/>
      <c r="BL285" s="1837"/>
      <c r="BM285" s="1838"/>
      <c r="BN285" s="1839"/>
      <c r="BO285" s="1840"/>
      <c r="BP285" s="1837"/>
      <c r="BQ285" s="1838"/>
      <c r="BR285" s="1842"/>
      <c r="BS285" s="1838"/>
      <c r="BT285" s="1839"/>
      <c r="BU285" s="1840"/>
      <c r="BV285" s="1837"/>
      <c r="BW285" s="1838"/>
      <c r="BX285" s="1837"/>
      <c r="BY285" s="1838"/>
      <c r="BZ285" s="1839"/>
      <c r="CA285" s="1840"/>
      <c r="CB285" s="1837"/>
      <c r="CC285" s="1838"/>
      <c r="CD285" s="1837"/>
      <c r="CE285" s="1838"/>
      <c r="CF285" s="1839"/>
      <c r="CG285" s="1840"/>
      <c r="CH285" s="1837"/>
      <c r="CI285" s="1838"/>
      <c r="CJ285" s="1837"/>
      <c r="CK285" s="1838"/>
      <c r="CL285" s="1839"/>
      <c r="CM285" s="1840"/>
      <c r="CN285" s="1837"/>
      <c r="CO285" s="1838"/>
      <c r="CP285" s="1843"/>
      <c r="CQ285" s="1838"/>
      <c r="CR285" s="1839"/>
      <c r="CS285" s="1840"/>
      <c r="CT285" s="1837"/>
      <c r="CU285" s="1838"/>
      <c r="CV285" s="1837"/>
      <c r="CW285" s="1838"/>
      <c r="CX285" s="1839"/>
      <c r="CY285" s="1840"/>
      <c r="CZ285" s="1837"/>
      <c r="DA285" s="1838"/>
      <c r="DB285" s="1837"/>
      <c r="DC285" s="1838"/>
      <c r="DD285" s="1839"/>
      <c r="DE285" s="1840"/>
      <c r="DF285" s="1837"/>
      <c r="DG285" s="1838"/>
      <c r="DH285" s="1837"/>
      <c r="DI285" s="1838"/>
      <c r="DJ285" s="1839"/>
      <c r="DK285" s="1840"/>
      <c r="DL285" s="1837"/>
      <c r="DM285" s="1838"/>
      <c r="DN285" s="1837"/>
      <c r="DO285" s="1838"/>
      <c r="DP285" s="1839"/>
      <c r="DQ285" s="1840"/>
      <c r="DR285" s="1837"/>
      <c r="DS285" s="1838"/>
      <c r="DT285" s="1837"/>
      <c r="DU285" s="1838"/>
      <c r="DV285" s="1839"/>
      <c r="DW285" s="1840"/>
      <c r="DX285" s="1837"/>
      <c r="DY285" s="1838"/>
      <c r="DZ285" s="1837"/>
      <c r="EA285" s="1838"/>
      <c r="EB285" s="1839"/>
      <c r="EC285" s="1840"/>
      <c r="ED285" s="1842"/>
      <c r="EE285" s="1838"/>
      <c r="EF285" s="1837"/>
      <c r="EG285" s="1838"/>
      <c r="EH285" s="1844"/>
      <c r="EI285" s="1840"/>
      <c r="EJ285" s="1837"/>
      <c r="EK285" s="1838"/>
      <c r="EL285" s="1837"/>
      <c r="EM285" s="1838"/>
      <c r="EN285" s="1839"/>
      <c r="EO285" s="1840"/>
      <c r="EP285" s="1837"/>
      <c r="EQ285" s="1838"/>
      <c r="ER285" s="1837"/>
      <c r="ES285" s="1838"/>
      <c r="ET285" s="1839"/>
      <c r="EU285" s="1840"/>
      <c r="EV285" s="1837"/>
      <c r="EW285" s="1838"/>
      <c r="EX285" s="1837"/>
      <c r="EY285" s="1838"/>
      <c r="EZ285" s="1839"/>
      <c r="FA285" s="1840"/>
      <c r="FB285" s="1837"/>
      <c r="FC285" s="1838"/>
      <c r="FD285" s="1837"/>
      <c r="FE285" s="1838"/>
      <c r="FF285" s="1844"/>
      <c r="FG285" s="1840"/>
      <c r="FH285" s="1837"/>
      <c r="FI285" s="1838"/>
      <c r="FJ285" s="1837"/>
      <c r="FK285" s="1838"/>
      <c r="FL285" s="1844"/>
      <c r="FM285" s="1840"/>
      <c r="FN285" s="1837"/>
      <c r="FO285" s="1838"/>
      <c r="FP285" s="1837"/>
      <c r="FQ285" s="1838"/>
      <c r="FR285" s="1844"/>
      <c r="FS285" s="1840"/>
      <c r="FT285" s="1837"/>
      <c r="FU285" s="1838"/>
      <c r="FV285" s="1837"/>
      <c r="FW285" s="1838"/>
      <c r="FX285" s="1844"/>
      <c r="FY285" s="1840" t="s">
        <v>17154</v>
      </c>
      <c r="FZ285" s="1837"/>
      <c r="GA285" s="1838"/>
      <c r="GB285" s="1837"/>
      <c r="GC285" s="1838"/>
      <c r="GD285" s="1844"/>
      <c r="GE285" s="1840" t="s">
        <v>8145</v>
      </c>
      <c r="GF285" s="1837"/>
      <c r="GG285" s="1838"/>
      <c r="GH285" s="1837"/>
      <c r="GI285" s="1838"/>
      <c r="GJ285" s="1844"/>
      <c r="GK285" s="1840"/>
      <c r="GL285" s="1837"/>
      <c r="GM285" s="1838"/>
      <c r="GN285" s="1837"/>
      <c r="GO285" s="1838"/>
      <c r="GP285" s="1844"/>
    </row>
    <row r="286" spans="1:198" ht="20.100000000000001" hidden="1" customHeight="1" outlineLevel="1">
      <c r="A286" s="2709"/>
      <c r="B286" s="2612"/>
      <c r="C286" s="1836">
        <v>1</v>
      </c>
      <c r="D286" s="2614" t="str">
        <f>実績!C1406&amp;"("&amp;SUBSTITUTE(実績!R1406&amp;")","株式会社 ","")</f>
        <v>マルハチ若江岩田(ジー・プラン)</v>
      </c>
      <c r="E286" s="2617"/>
      <c r="F286" s="2617"/>
      <c r="G286" s="2617"/>
      <c r="H286" s="2617"/>
      <c r="I286" s="2617"/>
      <c r="J286" s="2617"/>
      <c r="K286" s="2617"/>
      <c r="L286" s="2617"/>
      <c r="M286" s="2617"/>
      <c r="N286" s="2617"/>
      <c r="O286" s="2617"/>
      <c r="P286" s="2617"/>
      <c r="Q286" s="2617"/>
      <c r="R286" s="2622"/>
      <c r="S286" s="1837"/>
      <c r="T286" s="1837"/>
      <c r="U286" s="1837"/>
      <c r="V286" s="1837"/>
      <c r="W286" s="1837"/>
      <c r="X286" s="1837"/>
      <c r="Y286" s="1837"/>
      <c r="Z286" s="1837"/>
      <c r="AA286" s="1837"/>
      <c r="AB286" s="1837"/>
      <c r="AC286" s="1837"/>
      <c r="AD286" s="1837"/>
      <c r="AE286" s="1837"/>
      <c r="AF286" s="1837"/>
      <c r="AG286" s="1837"/>
      <c r="AH286" s="1837"/>
      <c r="AI286" s="1837"/>
      <c r="AJ286" s="1837"/>
      <c r="AK286" s="1837"/>
      <c r="AL286" s="1837"/>
      <c r="AM286" s="1837"/>
      <c r="AN286" s="1837"/>
      <c r="AO286" s="1837"/>
      <c r="AP286" s="1837"/>
      <c r="AQ286" s="1837"/>
      <c r="AR286" s="1837"/>
      <c r="AS286" s="1837"/>
      <c r="AT286" s="1837"/>
      <c r="AU286" s="1837"/>
      <c r="AV286" s="1837"/>
      <c r="AW286" s="1837"/>
      <c r="AX286" s="1837"/>
      <c r="AY286" s="1837"/>
      <c r="AZ286" s="1837"/>
      <c r="BA286" s="1837"/>
      <c r="BB286" s="1837"/>
      <c r="BC286" s="1837"/>
      <c r="BD286" s="1837"/>
      <c r="BE286" s="1837"/>
      <c r="BF286" s="1837"/>
      <c r="BG286" s="1837"/>
      <c r="BH286" s="1837"/>
      <c r="BI286" s="1837"/>
      <c r="BJ286" s="1837"/>
      <c r="BK286" s="1837"/>
      <c r="BL286" s="1837"/>
      <c r="BM286" s="1837"/>
      <c r="BN286" s="1837"/>
      <c r="BO286" s="1837"/>
      <c r="BP286" s="1837"/>
      <c r="BQ286" s="1837"/>
      <c r="BR286" s="1837"/>
      <c r="BS286" s="1837"/>
      <c r="BT286" s="1837"/>
      <c r="BU286" s="1837"/>
      <c r="BV286" s="1837"/>
      <c r="BW286" s="1837"/>
      <c r="BX286" s="1837"/>
      <c r="BY286" s="1837"/>
      <c r="BZ286" s="1837"/>
      <c r="CA286" s="1837"/>
      <c r="CB286" s="1837"/>
      <c r="CC286" s="1837"/>
      <c r="CD286" s="1837"/>
      <c r="CE286" s="1837"/>
      <c r="CF286" s="1837"/>
      <c r="CG286" s="1837"/>
      <c r="CH286" s="1837"/>
      <c r="CI286" s="1837"/>
      <c r="CJ286" s="1837"/>
      <c r="CK286" s="1837"/>
      <c r="CL286" s="1837"/>
      <c r="CM286" s="1837"/>
      <c r="CN286" s="1837"/>
      <c r="CO286" s="1837"/>
      <c r="CP286" s="1843"/>
      <c r="CQ286" s="1837"/>
      <c r="CR286" s="1837"/>
      <c r="CS286" s="1837"/>
      <c r="CT286" s="1837"/>
      <c r="CU286" s="1837"/>
      <c r="CV286" s="1837"/>
      <c r="CW286" s="1837"/>
      <c r="CX286" s="1837"/>
      <c r="CY286" s="1840"/>
      <c r="CZ286" s="1837"/>
      <c r="DA286" s="1838"/>
      <c r="DB286" s="1837"/>
      <c r="DC286" s="1838"/>
      <c r="DD286" s="1839"/>
      <c r="DE286" s="1840"/>
      <c r="DF286" s="1837"/>
      <c r="DG286" s="1838"/>
      <c r="DH286" s="1837"/>
      <c r="DI286" s="1838"/>
      <c r="DJ286" s="1839"/>
      <c r="DK286" s="1840"/>
      <c r="DL286" s="1837"/>
      <c r="DM286" s="1838"/>
      <c r="DN286" s="1837"/>
      <c r="DO286" s="1838"/>
      <c r="DP286" s="1839"/>
      <c r="DQ286" s="1840"/>
      <c r="DR286" s="1837"/>
      <c r="DS286" s="1838"/>
      <c r="DT286" s="1837"/>
      <c r="DU286" s="1838"/>
      <c r="DV286" s="1839"/>
      <c r="DW286" s="1840"/>
      <c r="DX286" s="1837"/>
      <c r="DY286" s="1838"/>
      <c r="DZ286" s="1837"/>
      <c r="EA286" s="1838"/>
      <c r="EB286" s="1839"/>
      <c r="EC286" s="1840"/>
      <c r="ED286" s="1842"/>
      <c r="EE286" s="1838"/>
      <c r="EF286" s="1837"/>
      <c r="EG286" s="1838"/>
      <c r="EH286" s="1839"/>
      <c r="EI286" s="1840"/>
      <c r="EJ286" s="1837"/>
      <c r="EK286" s="1838"/>
      <c r="EL286" s="1837"/>
      <c r="EM286" s="1838"/>
      <c r="EN286" s="1844"/>
      <c r="EO286" s="1840"/>
      <c r="EP286" s="1837"/>
      <c r="EQ286" s="1838"/>
      <c r="ER286" s="1837"/>
      <c r="ES286" s="1838"/>
      <c r="ET286" s="1839"/>
      <c r="EU286" s="1840"/>
      <c r="EV286" s="1837"/>
      <c r="EW286" s="1838"/>
      <c r="EX286" s="1837" t="s">
        <v>8145</v>
      </c>
      <c r="EY286" s="1838"/>
      <c r="EZ286" s="1839"/>
      <c r="FA286" s="1840"/>
      <c r="FB286" s="1837"/>
      <c r="FC286" s="1838"/>
      <c r="FD286" s="1837"/>
      <c r="FE286" s="1838"/>
      <c r="FF286" s="1839"/>
      <c r="FG286" s="1840"/>
      <c r="FH286" s="1837"/>
      <c r="FI286" s="1838"/>
      <c r="FJ286" s="1837"/>
      <c r="FK286" s="1838"/>
      <c r="FL286" s="1839"/>
      <c r="FM286" s="1840"/>
      <c r="FN286" s="1837"/>
      <c r="FO286" s="1838"/>
      <c r="FP286" s="1837"/>
      <c r="FQ286" s="1838"/>
      <c r="FR286" s="1839"/>
      <c r="FS286" s="1840"/>
      <c r="FT286" s="1837"/>
      <c r="FU286" s="1838"/>
      <c r="FV286" s="1837"/>
      <c r="FW286" s="1838"/>
      <c r="FX286" s="1839"/>
      <c r="FY286" s="1840"/>
      <c r="FZ286" s="1837"/>
      <c r="GA286" s="1838"/>
      <c r="GB286" s="1837"/>
      <c r="GC286" s="1838"/>
      <c r="GD286" s="1839"/>
      <c r="GE286" s="1840"/>
      <c r="GF286" s="1837"/>
      <c r="GG286" s="1838"/>
      <c r="GH286" s="1837"/>
      <c r="GI286" s="1838"/>
      <c r="GJ286" s="1839"/>
      <c r="GK286" s="1840"/>
      <c r="GL286" s="1837"/>
      <c r="GM286" s="1838"/>
      <c r="GN286" s="1837"/>
      <c r="GO286" s="1838"/>
      <c r="GP286" s="1839"/>
    </row>
    <row r="287" spans="1:198" ht="20.100000000000001" hidden="1" customHeight="1" outlineLevel="1">
      <c r="A287" s="2709"/>
      <c r="B287" s="2612"/>
      <c r="C287" s="1836">
        <v>2</v>
      </c>
      <c r="D287" s="2614" t="str">
        <f>実績!C1407&amp;"("&amp;SUBSTITUTE(実績!R1407&amp;")"," 株式会社","")</f>
        <v>パーク・アベニュー神戸三田 自走式駐車場(雄健工業)</v>
      </c>
      <c r="E287" s="2617"/>
      <c r="F287" s="2617"/>
      <c r="G287" s="2617"/>
      <c r="H287" s="2617"/>
      <c r="I287" s="2617"/>
      <c r="J287" s="2617"/>
      <c r="K287" s="2617"/>
      <c r="L287" s="2617"/>
      <c r="M287" s="2617"/>
      <c r="N287" s="2617"/>
      <c r="O287" s="2617"/>
      <c r="P287" s="2617"/>
      <c r="Q287" s="2617"/>
      <c r="R287" s="2622"/>
      <c r="S287" s="1837"/>
      <c r="T287" s="1837"/>
      <c r="U287" s="1837"/>
      <c r="V287" s="1837"/>
      <c r="W287" s="1837"/>
      <c r="X287" s="1837"/>
      <c r="Y287" s="1837"/>
      <c r="Z287" s="1837"/>
      <c r="AA287" s="1837"/>
      <c r="AB287" s="1837"/>
      <c r="AC287" s="1837"/>
      <c r="AD287" s="1837"/>
      <c r="AE287" s="1837"/>
      <c r="AF287" s="1837"/>
      <c r="AG287" s="1837"/>
      <c r="AH287" s="1837"/>
      <c r="AI287" s="1837"/>
      <c r="AJ287" s="1837"/>
      <c r="AK287" s="1837"/>
      <c r="AL287" s="1837"/>
      <c r="AM287" s="1837"/>
      <c r="AN287" s="1837"/>
      <c r="AO287" s="1837"/>
      <c r="AP287" s="1837"/>
      <c r="AQ287" s="1837"/>
      <c r="AR287" s="1837"/>
      <c r="AS287" s="1837"/>
      <c r="AT287" s="1837"/>
      <c r="AU287" s="1837"/>
      <c r="AV287" s="1837"/>
      <c r="AW287" s="1837"/>
      <c r="AX287" s="1837"/>
      <c r="AY287" s="1837"/>
      <c r="AZ287" s="1837"/>
      <c r="BA287" s="1837"/>
      <c r="BB287" s="1837"/>
      <c r="BC287" s="1837"/>
      <c r="BD287" s="1837"/>
      <c r="BE287" s="1837"/>
      <c r="BF287" s="1837"/>
      <c r="BG287" s="1837"/>
      <c r="BH287" s="1837"/>
      <c r="BI287" s="1837"/>
      <c r="BJ287" s="1837"/>
      <c r="BK287" s="1837"/>
      <c r="BL287" s="1837"/>
      <c r="BM287" s="1837"/>
      <c r="BN287" s="1837"/>
      <c r="BO287" s="1837"/>
      <c r="BP287" s="1837"/>
      <c r="BQ287" s="1837"/>
      <c r="BR287" s="1837"/>
      <c r="BS287" s="1837"/>
      <c r="BT287" s="1837"/>
      <c r="BU287" s="1837"/>
      <c r="BV287" s="1837"/>
      <c r="BW287" s="1837"/>
      <c r="BX287" s="1837"/>
      <c r="BY287" s="1837"/>
      <c r="BZ287" s="1837"/>
      <c r="CA287" s="1837"/>
      <c r="CB287" s="1837"/>
      <c r="CC287" s="1837"/>
      <c r="CD287" s="1837"/>
      <c r="CE287" s="1837"/>
      <c r="CF287" s="1837"/>
      <c r="CG287" s="1837"/>
      <c r="CH287" s="1837"/>
      <c r="CI287" s="1837"/>
      <c r="CJ287" s="1837"/>
      <c r="CK287" s="1837"/>
      <c r="CL287" s="1837"/>
      <c r="CM287" s="1837"/>
      <c r="CN287" s="1837"/>
      <c r="CO287" s="1837"/>
      <c r="CP287" s="1843"/>
      <c r="CQ287" s="1837"/>
      <c r="CR287" s="1837"/>
      <c r="CS287" s="1837"/>
      <c r="CT287" s="1837"/>
      <c r="CU287" s="1837"/>
      <c r="CV287" s="1837"/>
      <c r="CW287" s="1837"/>
      <c r="CX287" s="1837"/>
      <c r="CY287" s="1840"/>
      <c r="CZ287" s="1837"/>
      <c r="DA287" s="1838"/>
      <c r="DB287" s="1837"/>
      <c r="DC287" s="1838"/>
      <c r="DD287" s="1839"/>
      <c r="DE287" s="1840"/>
      <c r="DF287" s="1837"/>
      <c r="DG287" s="1838"/>
      <c r="DH287" s="1837"/>
      <c r="DI287" s="1838"/>
      <c r="DJ287" s="1839"/>
      <c r="DK287" s="1840"/>
      <c r="DL287" s="1837"/>
      <c r="DM287" s="1838"/>
      <c r="DN287" s="1837"/>
      <c r="DO287" s="1838"/>
      <c r="DP287" s="1839"/>
      <c r="DQ287" s="1840"/>
      <c r="DR287" s="1837"/>
      <c r="DS287" s="1838"/>
      <c r="DT287" s="1837"/>
      <c r="DU287" s="1838"/>
      <c r="DV287" s="1839"/>
      <c r="DW287" s="1840"/>
      <c r="DX287" s="1837"/>
      <c r="DY287" s="1838"/>
      <c r="DZ287" s="1837"/>
      <c r="EA287" s="1838"/>
      <c r="EB287" s="1839"/>
      <c r="EC287" s="1840"/>
      <c r="ED287" s="1842"/>
      <c r="EE287" s="1838"/>
      <c r="EF287" s="1837"/>
      <c r="EG287" s="1838"/>
      <c r="EH287" s="1839"/>
      <c r="EI287" s="1840"/>
      <c r="EJ287" s="1837"/>
      <c r="EK287" s="1838"/>
      <c r="EL287" s="1837"/>
      <c r="EM287" s="1838"/>
      <c r="EN287" s="1844"/>
      <c r="EO287" s="1840"/>
      <c r="EP287" s="1837" t="s">
        <v>17140</v>
      </c>
      <c r="EQ287" s="1838"/>
      <c r="ER287" s="1837"/>
      <c r="ES287" s="1838"/>
      <c r="ET287" s="1839"/>
      <c r="EU287" s="1840"/>
      <c r="EV287" s="1837"/>
      <c r="EW287" s="1838"/>
      <c r="EX287" s="1837"/>
      <c r="EY287" s="1838"/>
      <c r="EZ287" s="1839"/>
      <c r="FA287" s="1840"/>
      <c r="FB287" s="1837"/>
      <c r="FC287" s="1838"/>
      <c r="FD287" s="1837"/>
      <c r="FE287" s="1838"/>
      <c r="FF287" s="1839"/>
      <c r="FG287" s="1840"/>
      <c r="FH287" s="1837"/>
      <c r="FI287" s="1838"/>
      <c r="FJ287" s="1837"/>
      <c r="FK287" s="1838"/>
      <c r="FL287" s="1839"/>
      <c r="FM287" s="1840"/>
      <c r="FN287" s="1837"/>
      <c r="FO287" s="1838"/>
      <c r="FP287" s="1837"/>
      <c r="FQ287" s="1838"/>
      <c r="FR287" s="1839"/>
      <c r="FS287" s="1840"/>
      <c r="FT287" s="1837"/>
      <c r="FU287" s="1838"/>
      <c r="FV287" s="1837"/>
      <c r="FW287" s="1838"/>
      <c r="FX287" s="1839"/>
      <c r="FY287" s="1840"/>
      <c r="FZ287" s="1837"/>
      <c r="GA287" s="1838"/>
      <c r="GB287" s="1837"/>
      <c r="GC287" s="1838"/>
      <c r="GD287" s="1839"/>
      <c r="GE287" s="1840"/>
      <c r="GF287" s="1837"/>
      <c r="GG287" s="1838"/>
      <c r="GH287" s="1837"/>
      <c r="GI287" s="1838"/>
      <c r="GJ287" s="1839"/>
      <c r="GK287" s="1840"/>
      <c r="GL287" s="1837"/>
      <c r="GM287" s="1838"/>
      <c r="GN287" s="1837"/>
      <c r="GO287" s="1838"/>
      <c r="GP287" s="1839"/>
    </row>
    <row r="288" spans="1:198" ht="20.100000000000001" hidden="1" customHeight="1" outlineLevel="1">
      <c r="A288" s="2709"/>
      <c r="B288" s="2612"/>
      <c r="C288" s="1836">
        <v>3</v>
      </c>
      <c r="D288" s="2614" t="str">
        <f>実績!C1414&amp;"("&amp;SUBSTITUTE(実績!AB1414&amp;")"," 株式会社","")</f>
        <v>第2ひかりこども園(鎌田建設)</v>
      </c>
      <c r="E288" s="2617"/>
      <c r="F288" s="2617"/>
      <c r="G288" s="2617"/>
      <c r="H288" s="2617"/>
      <c r="I288" s="2617"/>
      <c r="J288" s="2617"/>
      <c r="K288" s="2617"/>
      <c r="L288" s="2617"/>
      <c r="M288" s="2617"/>
      <c r="N288" s="2617"/>
      <c r="O288" s="2617"/>
      <c r="P288" s="2617"/>
      <c r="Q288" s="2617"/>
      <c r="R288" s="2622"/>
      <c r="S288" s="1837"/>
      <c r="T288" s="1837"/>
      <c r="U288" s="1837"/>
      <c r="V288" s="1837"/>
      <c r="W288" s="1837"/>
      <c r="X288" s="1837"/>
      <c r="Y288" s="1837"/>
      <c r="Z288" s="1837"/>
      <c r="AA288" s="1837"/>
      <c r="AB288" s="1837"/>
      <c r="AC288" s="1837"/>
      <c r="AD288" s="1837"/>
      <c r="AE288" s="1837"/>
      <c r="AF288" s="1837"/>
      <c r="AG288" s="1837"/>
      <c r="AH288" s="1837"/>
      <c r="AI288" s="1837"/>
      <c r="AJ288" s="1837"/>
      <c r="AK288" s="1837"/>
      <c r="AL288" s="1837"/>
      <c r="AM288" s="1837"/>
      <c r="AN288" s="1837"/>
      <c r="AO288" s="1837"/>
      <c r="AP288" s="1837"/>
      <c r="AQ288" s="1837"/>
      <c r="AR288" s="1837"/>
      <c r="AS288" s="1837"/>
      <c r="AT288" s="1837"/>
      <c r="AU288" s="1837"/>
      <c r="AV288" s="1837"/>
      <c r="AW288" s="1837"/>
      <c r="AX288" s="1837"/>
      <c r="AY288" s="1837"/>
      <c r="AZ288" s="1837"/>
      <c r="BA288" s="1837"/>
      <c r="BB288" s="1837"/>
      <c r="BC288" s="1837"/>
      <c r="BD288" s="1837"/>
      <c r="BE288" s="1837"/>
      <c r="BF288" s="1837"/>
      <c r="BG288" s="1837"/>
      <c r="BH288" s="1837"/>
      <c r="BI288" s="1837"/>
      <c r="BJ288" s="1837"/>
      <c r="BK288" s="1837"/>
      <c r="BL288" s="1837"/>
      <c r="BM288" s="1837"/>
      <c r="BN288" s="1837"/>
      <c r="BO288" s="1837"/>
      <c r="BP288" s="1837"/>
      <c r="BQ288" s="1837"/>
      <c r="BR288" s="1837"/>
      <c r="BS288" s="1837"/>
      <c r="BT288" s="1837"/>
      <c r="BU288" s="1837"/>
      <c r="BV288" s="1837"/>
      <c r="BW288" s="1837"/>
      <c r="BX288" s="1837"/>
      <c r="BY288" s="1837"/>
      <c r="BZ288" s="1837"/>
      <c r="CA288" s="1837"/>
      <c r="CB288" s="1837"/>
      <c r="CC288" s="1837"/>
      <c r="CD288" s="1837"/>
      <c r="CE288" s="1837"/>
      <c r="CF288" s="1837"/>
      <c r="CG288" s="1837"/>
      <c r="CH288" s="1837"/>
      <c r="CI288" s="1837"/>
      <c r="CJ288" s="1837"/>
      <c r="CK288" s="1837"/>
      <c r="CL288" s="1837"/>
      <c r="CM288" s="1837"/>
      <c r="CN288" s="1837"/>
      <c r="CO288" s="1837"/>
      <c r="CP288" s="1843"/>
      <c r="CQ288" s="1837"/>
      <c r="CR288" s="1837"/>
      <c r="CS288" s="1837"/>
      <c r="CT288" s="1837"/>
      <c r="CU288" s="1837"/>
      <c r="CV288" s="1837"/>
      <c r="CW288" s="1837"/>
      <c r="CX288" s="1837"/>
      <c r="CY288" s="1840"/>
      <c r="CZ288" s="1837"/>
      <c r="DA288" s="1838"/>
      <c r="DB288" s="1837"/>
      <c r="DC288" s="1838"/>
      <c r="DD288" s="1839"/>
      <c r="DE288" s="1840"/>
      <c r="DF288" s="1837"/>
      <c r="DG288" s="1838"/>
      <c r="DH288" s="1837"/>
      <c r="DI288" s="1838"/>
      <c r="DJ288" s="1844"/>
      <c r="DK288" s="1840"/>
      <c r="DL288" s="1837"/>
      <c r="DM288" s="1838"/>
      <c r="DN288" s="1837"/>
      <c r="DO288" s="1838"/>
      <c r="DP288" s="1839"/>
      <c r="DQ288" s="1840"/>
      <c r="DR288" s="1837"/>
      <c r="DS288" s="1838"/>
      <c r="DT288" s="1837"/>
      <c r="DU288" s="1838"/>
      <c r="DV288" s="1844"/>
      <c r="DW288" s="1840"/>
      <c r="DX288" s="1837"/>
      <c r="DY288" s="1838"/>
      <c r="DZ288" s="1837"/>
      <c r="EA288" s="1838"/>
      <c r="EB288" s="1844"/>
      <c r="EC288" s="1840"/>
      <c r="ED288" s="1837"/>
      <c r="EE288" s="1838"/>
      <c r="EF288" s="1837"/>
      <c r="EG288" s="1838"/>
      <c r="EH288" s="1844"/>
      <c r="EI288" s="1840"/>
      <c r="EJ288" s="1837"/>
      <c r="EK288" s="1838"/>
      <c r="EL288" s="1837"/>
      <c r="EM288" s="1838"/>
      <c r="EN288" s="1844"/>
      <c r="EO288" s="1840"/>
      <c r="EP288" s="1837" t="s">
        <v>9472</v>
      </c>
      <c r="EQ288" s="1838"/>
      <c r="ER288" s="1837"/>
      <c r="ES288" s="1838"/>
      <c r="ET288" s="1839"/>
      <c r="EU288" s="1840"/>
      <c r="EV288" s="1837"/>
      <c r="EW288" s="1838"/>
      <c r="EX288" s="1837"/>
      <c r="EY288" s="1838"/>
      <c r="EZ288" s="1844"/>
      <c r="FA288" s="1840" t="s">
        <v>17206</v>
      </c>
      <c r="FB288" s="1837"/>
      <c r="FC288" s="1838"/>
      <c r="FD288" s="1837"/>
      <c r="FE288" s="1838"/>
      <c r="FF288" s="1844"/>
      <c r="FG288" s="1840"/>
      <c r="FH288" s="1837"/>
      <c r="FI288" s="1838"/>
      <c r="FJ288" s="1837"/>
      <c r="FK288" s="1838"/>
      <c r="FL288" s="1844"/>
      <c r="FM288" s="1840"/>
      <c r="FN288" s="1837"/>
      <c r="FO288" s="1838"/>
      <c r="FP288" s="1837"/>
      <c r="FQ288" s="1838"/>
      <c r="FR288" s="1844"/>
      <c r="FS288" s="1840"/>
      <c r="FT288" s="1837"/>
      <c r="FU288" s="1838"/>
      <c r="FV288" s="1837"/>
      <c r="FW288" s="1838"/>
      <c r="FX288" s="1844"/>
      <c r="FY288" s="1840"/>
      <c r="FZ288" s="1837"/>
      <c r="GA288" s="1838"/>
      <c r="GB288" s="1837"/>
      <c r="GC288" s="1838"/>
      <c r="GD288" s="1844"/>
      <c r="GE288" s="1840"/>
      <c r="GF288" s="1837"/>
      <c r="GG288" s="1838"/>
      <c r="GH288" s="1837"/>
      <c r="GI288" s="1838"/>
      <c r="GJ288" s="1844"/>
      <c r="GK288" s="1840"/>
      <c r="GL288" s="1837"/>
      <c r="GM288" s="1838"/>
      <c r="GN288" s="1837"/>
      <c r="GO288" s="1838"/>
      <c r="GP288" s="1844"/>
    </row>
    <row r="289" spans="1:198" ht="20.100000000000001" hidden="1" customHeight="1" outlineLevel="1">
      <c r="A289" s="2709"/>
      <c r="B289" s="2612"/>
      <c r="C289" s="1836">
        <v>4</v>
      </c>
      <c r="D289" s="2614" t="str">
        <f>実績!C1408&amp;"("&amp;SUBSTITUTE(実績!R1408&amp;")","株式会社 ","")</f>
        <v>スギ薬局 都島中通(宇野設計)</v>
      </c>
      <c r="E289" s="2617"/>
      <c r="F289" s="2617"/>
      <c r="G289" s="2617"/>
      <c r="H289" s="2617"/>
      <c r="I289" s="2617"/>
      <c r="J289" s="2617"/>
      <c r="K289" s="2617"/>
      <c r="L289" s="2617"/>
      <c r="M289" s="2617"/>
      <c r="N289" s="2617"/>
      <c r="O289" s="2617"/>
      <c r="P289" s="2617"/>
      <c r="Q289" s="2617"/>
      <c r="R289" s="2641"/>
      <c r="S289" s="1837"/>
      <c r="T289" s="1837"/>
      <c r="U289" s="1837"/>
      <c r="V289" s="1837"/>
      <c r="W289" s="1837"/>
      <c r="X289" s="1837"/>
      <c r="Y289" s="1837"/>
      <c r="Z289" s="1837"/>
      <c r="AA289" s="1837"/>
      <c r="AB289" s="1837"/>
      <c r="AC289" s="1837"/>
      <c r="AD289" s="1837"/>
      <c r="AE289" s="1837"/>
      <c r="AF289" s="1837"/>
      <c r="AG289" s="1837"/>
      <c r="AH289" s="1837"/>
      <c r="AI289" s="1837"/>
      <c r="AJ289" s="1837"/>
      <c r="AK289" s="1837"/>
      <c r="AL289" s="1837"/>
      <c r="AM289" s="1837"/>
      <c r="AN289" s="1837"/>
      <c r="AO289" s="1837"/>
      <c r="AP289" s="1837"/>
      <c r="AQ289" s="1837"/>
      <c r="AR289" s="1837"/>
      <c r="AS289" s="1837"/>
      <c r="AT289" s="1837"/>
      <c r="AU289" s="1837"/>
      <c r="AV289" s="1837"/>
      <c r="AW289" s="1837"/>
      <c r="AX289" s="1837"/>
      <c r="AY289" s="1837"/>
      <c r="AZ289" s="1837"/>
      <c r="BA289" s="1837"/>
      <c r="BB289" s="1837"/>
      <c r="BC289" s="1837"/>
      <c r="BD289" s="1837"/>
      <c r="BE289" s="1837"/>
      <c r="BF289" s="1837"/>
      <c r="BG289" s="1837"/>
      <c r="BH289" s="1837"/>
      <c r="BI289" s="1837"/>
      <c r="BJ289" s="1837"/>
      <c r="BK289" s="1837"/>
      <c r="BL289" s="1837"/>
      <c r="BM289" s="1837"/>
      <c r="BN289" s="1837"/>
      <c r="BO289" s="1837"/>
      <c r="BP289" s="1837"/>
      <c r="BQ289" s="1837"/>
      <c r="BR289" s="1837"/>
      <c r="BS289" s="1837"/>
      <c r="BT289" s="1837"/>
      <c r="BU289" s="1837"/>
      <c r="BV289" s="1837"/>
      <c r="BW289" s="1837"/>
      <c r="BX289" s="1837"/>
      <c r="BY289" s="1837"/>
      <c r="BZ289" s="1837"/>
      <c r="CA289" s="1837"/>
      <c r="CB289" s="1837"/>
      <c r="CC289" s="1837"/>
      <c r="CD289" s="1837"/>
      <c r="CE289" s="1837"/>
      <c r="CF289" s="1837"/>
      <c r="CG289" s="1837"/>
      <c r="CH289" s="1837"/>
      <c r="CI289" s="1837"/>
      <c r="CJ289" s="1837"/>
      <c r="CK289" s="1837"/>
      <c r="CL289" s="1837"/>
      <c r="CM289" s="1837"/>
      <c r="CN289" s="1837"/>
      <c r="CO289" s="1837"/>
      <c r="CP289" s="1843"/>
      <c r="CQ289" s="1837"/>
      <c r="CR289" s="1837"/>
      <c r="CS289" s="1837"/>
      <c r="CT289" s="1837"/>
      <c r="CU289" s="1837"/>
      <c r="CV289" s="1837"/>
      <c r="CW289" s="1837"/>
      <c r="CX289" s="1837"/>
      <c r="CY289" s="1840"/>
      <c r="CZ289" s="1837"/>
      <c r="DA289" s="1838"/>
      <c r="DB289" s="1837"/>
      <c r="DC289" s="1838"/>
      <c r="DD289" s="1839"/>
      <c r="DE289" s="1840"/>
      <c r="DF289" s="1837"/>
      <c r="DG289" s="1838"/>
      <c r="DH289" s="1837"/>
      <c r="DI289" s="1838"/>
      <c r="DJ289" s="1839"/>
      <c r="DK289" s="1840"/>
      <c r="DL289" s="1837"/>
      <c r="DM289" s="1838"/>
      <c r="DN289" s="1837"/>
      <c r="DO289" s="1838"/>
      <c r="DP289" s="1839"/>
      <c r="DQ289" s="1840"/>
      <c r="DR289" s="1837"/>
      <c r="DS289" s="1838"/>
      <c r="DT289" s="1837"/>
      <c r="DU289" s="1838"/>
      <c r="DV289" s="1839"/>
      <c r="DW289" s="1840"/>
      <c r="DX289" s="1837"/>
      <c r="DY289" s="1838"/>
      <c r="DZ289" s="1837"/>
      <c r="EA289" s="1838"/>
      <c r="EB289" s="1839"/>
      <c r="EC289" s="1840"/>
      <c r="ED289" s="1842"/>
      <c r="EE289" s="1838"/>
      <c r="EF289" s="1837"/>
      <c r="EG289" s="1838"/>
      <c r="EH289" s="1839"/>
      <c r="EI289" s="1840"/>
      <c r="EJ289" s="1837"/>
      <c r="EK289" s="1838"/>
      <c r="EL289" s="1837"/>
      <c r="EM289" s="1838"/>
      <c r="EN289" s="1844"/>
      <c r="EO289" s="1840"/>
      <c r="EP289" s="1837"/>
      <c r="EQ289" s="1838"/>
      <c r="ER289" s="1837"/>
      <c r="ES289" s="1838"/>
      <c r="ET289" s="1839"/>
      <c r="EU289" s="1840"/>
      <c r="EV289" s="1837"/>
      <c r="EW289" s="1838"/>
      <c r="EX289" s="1837"/>
      <c r="EY289" s="1838"/>
      <c r="EZ289" s="1839"/>
      <c r="FA289" s="1840"/>
      <c r="FB289" s="1837"/>
      <c r="FC289" s="1838"/>
      <c r="FD289" s="1837"/>
      <c r="FE289" s="1838"/>
      <c r="FF289" s="1839"/>
      <c r="FG289" s="1840"/>
      <c r="FH289" s="1837"/>
      <c r="FI289" s="1838"/>
      <c r="FJ289" s="1837"/>
      <c r="FK289" s="1838"/>
      <c r="FL289" s="1839"/>
      <c r="FM289" s="1840"/>
      <c r="FN289" s="1837"/>
      <c r="FO289" s="1838"/>
      <c r="FP289" s="1837"/>
      <c r="FQ289" s="1838"/>
      <c r="FR289" s="1839"/>
      <c r="FS289" s="1840"/>
      <c r="FT289" s="1837"/>
      <c r="FU289" s="1838"/>
      <c r="FV289" s="1837"/>
      <c r="FW289" s="1838"/>
      <c r="FX289" s="1839"/>
      <c r="FY289" s="1840"/>
      <c r="FZ289" s="1837"/>
      <c r="GA289" s="1838"/>
      <c r="GB289" s="1837"/>
      <c r="GC289" s="1838"/>
      <c r="GD289" s="1839"/>
      <c r="GE289" s="1840"/>
      <c r="GF289" s="1837"/>
      <c r="GG289" s="1838"/>
      <c r="GH289" s="1837"/>
      <c r="GI289" s="1838"/>
      <c r="GJ289" s="1839"/>
      <c r="GK289" s="1840"/>
      <c r="GL289" s="1837"/>
      <c r="GM289" s="1838"/>
      <c r="GN289" s="1837"/>
      <c r="GO289" s="1838"/>
      <c r="GP289" s="1839"/>
    </row>
    <row r="290" spans="1:198" ht="20.100000000000001" hidden="1" customHeight="1" outlineLevel="1">
      <c r="A290" s="2709"/>
      <c r="B290" s="2612"/>
      <c r="C290" s="1836">
        <v>5</v>
      </c>
      <c r="D290" s="2614" t="str">
        <f>実績!C1410&amp;"("&amp;SUBSTITUTE(実績!W1410&amp;")","株式会社 ","")</f>
        <v>富永商事(株)北海道支店物流センター(横河システム建築)</v>
      </c>
      <c r="E290" s="2617"/>
      <c r="F290" s="2617"/>
      <c r="G290" s="2617"/>
      <c r="H290" s="2617"/>
      <c r="I290" s="2617"/>
      <c r="J290" s="2617"/>
      <c r="K290" s="2617"/>
      <c r="L290" s="2617"/>
      <c r="M290" s="2617"/>
      <c r="N290" s="2617"/>
      <c r="O290" s="2617"/>
      <c r="P290" s="2617"/>
      <c r="Q290" s="2617"/>
      <c r="R290" s="2622"/>
      <c r="S290" s="1837"/>
      <c r="T290" s="1837"/>
      <c r="U290" s="1837"/>
      <c r="V290" s="1837"/>
      <c r="W290" s="1837"/>
      <c r="X290" s="1837"/>
      <c r="Y290" s="1837"/>
      <c r="Z290" s="1837"/>
      <c r="AA290" s="1837"/>
      <c r="AB290" s="1837"/>
      <c r="AC290" s="1837"/>
      <c r="AD290" s="1837"/>
      <c r="AE290" s="1837"/>
      <c r="AF290" s="1837"/>
      <c r="AG290" s="1837"/>
      <c r="AH290" s="1837"/>
      <c r="AI290" s="1837"/>
      <c r="AJ290" s="1837"/>
      <c r="AK290" s="1837"/>
      <c r="AL290" s="1837"/>
      <c r="AM290" s="1837"/>
      <c r="AN290" s="1837"/>
      <c r="AO290" s="1837"/>
      <c r="AP290" s="1837"/>
      <c r="AQ290" s="1837"/>
      <c r="AR290" s="1837"/>
      <c r="AS290" s="1837"/>
      <c r="AT290" s="1837"/>
      <c r="AU290" s="1837"/>
      <c r="AV290" s="1837"/>
      <c r="AW290" s="1837"/>
      <c r="AX290" s="1837"/>
      <c r="AY290" s="1837"/>
      <c r="AZ290" s="1837"/>
      <c r="BA290" s="1837"/>
      <c r="BB290" s="1837"/>
      <c r="BC290" s="1837"/>
      <c r="BD290" s="1837"/>
      <c r="BE290" s="1837"/>
      <c r="BF290" s="1837"/>
      <c r="BG290" s="1837"/>
      <c r="BH290" s="1837"/>
      <c r="BI290" s="1837"/>
      <c r="BJ290" s="1837"/>
      <c r="BK290" s="1837"/>
      <c r="BL290" s="1837"/>
      <c r="BM290" s="1837"/>
      <c r="BN290" s="1837"/>
      <c r="BO290" s="1837"/>
      <c r="BP290" s="1837"/>
      <c r="BQ290" s="1837"/>
      <c r="BR290" s="1837"/>
      <c r="BS290" s="1837"/>
      <c r="BT290" s="1837"/>
      <c r="BU290" s="1837"/>
      <c r="BV290" s="1837"/>
      <c r="BW290" s="1837"/>
      <c r="BX290" s="1837"/>
      <c r="BY290" s="1837"/>
      <c r="BZ290" s="1837"/>
      <c r="CA290" s="1837"/>
      <c r="CB290" s="1837"/>
      <c r="CC290" s="1837"/>
      <c r="CD290" s="1837"/>
      <c r="CE290" s="1837"/>
      <c r="CF290" s="1837"/>
      <c r="CG290" s="1837"/>
      <c r="CH290" s="1837"/>
      <c r="CI290" s="1837"/>
      <c r="CJ290" s="1837"/>
      <c r="CK290" s="1837"/>
      <c r="CL290" s="1837"/>
      <c r="CM290" s="1837"/>
      <c r="CN290" s="1837"/>
      <c r="CO290" s="1837"/>
      <c r="CP290" s="1843"/>
      <c r="CQ290" s="1837"/>
      <c r="CR290" s="1837"/>
      <c r="CS290" s="1837"/>
      <c r="CT290" s="1837"/>
      <c r="CU290" s="1837"/>
      <c r="CV290" s="1837"/>
      <c r="CW290" s="1837"/>
      <c r="CX290" s="1837"/>
      <c r="CY290" s="1840"/>
      <c r="CZ290" s="1837"/>
      <c r="DA290" s="1838"/>
      <c r="DB290" s="1837"/>
      <c r="DC290" s="1838"/>
      <c r="DD290" s="1839"/>
      <c r="DE290" s="1840"/>
      <c r="DF290" s="1837"/>
      <c r="DG290" s="1838"/>
      <c r="DH290" s="1837"/>
      <c r="DI290" s="1838"/>
      <c r="DJ290" s="1844"/>
      <c r="DK290" s="1840"/>
      <c r="DL290" s="1837"/>
      <c r="DM290" s="1838"/>
      <c r="DN290" s="1837"/>
      <c r="DO290" s="1838"/>
      <c r="DP290" s="1839"/>
      <c r="DQ290" s="1840"/>
      <c r="DR290" s="1837"/>
      <c r="DS290" s="1838"/>
      <c r="DT290" s="1837"/>
      <c r="DU290" s="1838"/>
      <c r="DV290" s="1844"/>
      <c r="DW290" s="1840"/>
      <c r="DX290" s="1837"/>
      <c r="DY290" s="1838"/>
      <c r="DZ290" s="1837"/>
      <c r="EA290" s="1838"/>
      <c r="EB290" s="1844"/>
      <c r="EC290" s="1840"/>
      <c r="ED290" s="1837"/>
      <c r="EE290" s="1838"/>
      <c r="EF290" s="1837"/>
      <c r="EG290" s="1838"/>
      <c r="EH290" s="1844"/>
      <c r="EI290" s="1840"/>
      <c r="EJ290" s="1837"/>
      <c r="EK290" s="1838"/>
      <c r="EL290" s="1837"/>
      <c r="EM290" s="1838"/>
      <c r="EN290" s="1844"/>
      <c r="EO290" s="1840"/>
      <c r="EP290" s="1837" t="s">
        <v>17049</v>
      </c>
      <c r="EQ290" s="1838"/>
      <c r="ER290" s="1837"/>
      <c r="ES290" s="1838"/>
      <c r="ET290" s="1839"/>
      <c r="EU290" s="1840"/>
      <c r="EV290" s="1837"/>
      <c r="EW290" s="1838"/>
      <c r="EX290" s="1837"/>
      <c r="EY290" s="1838"/>
      <c r="EZ290" s="1844"/>
      <c r="FA290" s="1840"/>
      <c r="FB290" s="1837"/>
      <c r="FC290" s="1838"/>
      <c r="FD290" s="1837"/>
      <c r="FE290" s="1838"/>
      <c r="FF290" s="1844"/>
      <c r="FG290" s="1840" t="s">
        <v>8145</v>
      </c>
      <c r="FH290" s="1837"/>
      <c r="FI290" s="1838"/>
      <c r="FJ290" s="1837"/>
      <c r="FK290" s="1838"/>
      <c r="FL290" s="1844"/>
      <c r="FM290" s="1840"/>
      <c r="FN290" s="1837"/>
      <c r="FO290" s="1838"/>
      <c r="FP290" s="1837"/>
      <c r="FQ290" s="1838"/>
      <c r="FR290" s="1844"/>
      <c r="FS290" s="1840"/>
      <c r="FT290" s="1837"/>
      <c r="FU290" s="1838"/>
      <c r="FV290" s="1837"/>
      <c r="FW290" s="1838"/>
      <c r="FX290" s="1844"/>
      <c r="FY290" s="1840"/>
      <c r="FZ290" s="1837"/>
      <c r="GA290" s="1838"/>
      <c r="GB290" s="1837"/>
      <c r="GC290" s="1838"/>
      <c r="GD290" s="1844"/>
      <c r="GE290" s="1840"/>
      <c r="GF290" s="1837"/>
      <c r="GG290" s="1838"/>
      <c r="GH290" s="1837"/>
      <c r="GI290" s="1838"/>
      <c r="GJ290" s="1844"/>
      <c r="GK290" s="1840"/>
      <c r="GL290" s="1837"/>
      <c r="GM290" s="1838"/>
      <c r="GN290" s="1837"/>
      <c r="GO290" s="1838"/>
      <c r="GP290" s="1844"/>
    </row>
    <row r="291" spans="1:198" ht="20.100000000000001" hidden="1" customHeight="1" outlineLevel="1" collapsed="1">
      <c r="A291" s="2709"/>
      <c r="B291" s="2612"/>
      <c r="C291" s="1836"/>
      <c r="D291" s="2614" t="str">
        <f>実績!C1390&amp;"("&amp;SUBSTITUTE(実績!W1390&amp;")","株式会社 ","")</f>
        <v>デンカ株式会社 QC保存倉庫(横河システム建築)</v>
      </c>
      <c r="E291" s="2617"/>
      <c r="F291" s="2617"/>
      <c r="G291" s="2617"/>
      <c r="H291" s="2617"/>
      <c r="I291" s="2617"/>
      <c r="J291" s="2617"/>
      <c r="K291" s="2617"/>
      <c r="L291" s="2617"/>
      <c r="M291" s="2617"/>
      <c r="N291" s="2617"/>
      <c r="O291" s="2617"/>
      <c r="P291" s="2617"/>
      <c r="Q291" s="2617"/>
      <c r="R291" s="2622"/>
      <c r="S291" s="1837"/>
      <c r="T291" s="1837"/>
      <c r="U291" s="1838"/>
      <c r="V291" s="1837"/>
      <c r="W291" s="1838"/>
      <c r="X291" s="1839"/>
      <c r="Y291" s="1837"/>
      <c r="Z291" s="1837"/>
      <c r="AA291" s="1838"/>
      <c r="AB291" s="1837"/>
      <c r="AC291" s="1838"/>
      <c r="AD291" s="1837"/>
      <c r="AE291" s="1840"/>
      <c r="AF291" s="1837"/>
      <c r="AG291" s="1838"/>
      <c r="AH291" s="1837"/>
      <c r="AI291" s="1838"/>
      <c r="AJ291" s="1839"/>
      <c r="AK291" s="1837"/>
      <c r="AL291" s="1837"/>
      <c r="AM291" s="1838"/>
      <c r="AN291" s="1837"/>
      <c r="AO291" s="1838"/>
      <c r="AP291" s="1837"/>
      <c r="AQ291" s="1841"/>
      <c r="AR291" s="1837"/>
      <c r="AS291" s="1838"/>
      <c r="AT291" s="1837"/>
      <c r="AU291" s="1838"/>
      <c r="AV291" s="1839"/>
      <c r="AW291" s="1840"/>
      <c r="AX291" s="1837"/>
      <c r="AY291" s="1838"/>
      <c r="AZ291" s="1837"/>
      <c r="BA291" s="1838"/>
      <c r="BB291" s="1839"/>
      <c r="BC291" s="1837"/>
      <c r="BD291" s="1837"/>
      <c r="BE291" s="1838"/>
      <c r="BF291" s="1837"/>
      <c r="BG291" s="1838"/>
      <c r="BH291" s="1837"/>
      <c r="BI291" s="1840"/>
      <c r="BJ291" s="1837"/>
      <c r="BK291" s="1838"/>
      <c r="BL291" s="1837"/>
      <c r="BM291" s="1838"/>
      <c r="BN291" s="1839"/>
      <c r="BO291" s="1840"/>
      <c r="BP291" s="1837"/>
      <c r="BQ291" s="1838"/>
      <c r="BR291" s="1842"/>
      <c r="BS291" s="1838"/>
      <c r="BT291" s="1839"/>
      <c r="BU291" s="1840"/>
      <c r="BV291" s="1837"/>
      <c r="BW291" s="1838"/>
      <c r="BX291" s="1837"/>
      <c r="BY291" s="1838"/>
      <c r="BZ291" s="1839"/>
      <c r="CA291" s="1840"/>
      <c r="CB291" s="1837"/>
      <c r="CC291" s="1838"/>
      <c r="CD291" s="1837"/>
      <c r="CE291" s="1838"/>
      <c r="CF291" s="1839"/>
      <c r="CG291" s="1840"/>
      <c r="CH291" s="1837"/>
      <c r="CI291" s="1838"/>
      <c r="CJ291" s="1837"/>
      <c r="CK291" s="1838"/>
      <c r="CL291" s="1839"/>
      <c r="CM291" s="1840"/>
      <c r="CN291" s="1837"/>
      <c r="CO291" s="1838"/>
      <c r="CP291" s="1843"/>
      <c r="CQ291" s="1838"/>
      <c r="CR291" s="1839"/>
      <c r="CS291" s="1840"/>
      <c r="CT291" s="1837"/>
      <c r="CU291" s="1838"/>
      <c r="CV291" s="1837"/>
      <c r="CW291" s="1838"/>
      <c r="CX291" s="1839"/>
      <c r="CY291" s="1840"/>
      <c r="CZ291" s="1837"/>
      <c r="DA291" s="1838"/>
      <c r="DB291" s="1837"/>
      <c r="DC291" s="1838"/>
      <c r="DD291" s="1839"/>
      <c r="DE291" s="1840"/>
      <c r="DF291" s="1837"/>
      <c r="DG291" s="1838"/>
      <c r="DH291" s="1837"/>
      <c r="DI291" s="1838"/>
      <c r="DJ291" s="1839"/>
      <c r="DK291" s="1840"/>
      <c r="DL291" s="1837"/>
      <c r="DM291" s="1838"/>
      <c r="DN291" s="1837"/>
      <c r="DO291" s="1838"/>
      <c r="DP291" s="1839"/>
      <c r="DQ291" s="1840"/>
      <c r="DR291" s="1837"/>
      <c r="DS291" s="1838"/>
      <c r="DT291" s="1837"/>
      <c r="DU291" s="1838"/>
      <c r="DV291" s="1839"/>
      <c r="DW291" s="1840"/>
      <c r="DX291" s="1837"/>
      <c r="DY291" s="1838"/>
      <c r="DZ291" s="1837"/>
      <c r="EA291" s="1838"/>
      <c r="EB291" s="1839"/>
      <c r="EC291" s="1840"/>
      <c r="ED291" s="1842"/>
      <c r="EE291" s="1838"/>
      <c r="EF291" s="1837"/>
      <c r="EG291" s="1838"/>
      <c r="EH291" s="1844"/>
      <c r="EI291" s="1840"/>
      <c r="EJ291" s="1837"/>
      <c r="EK291" s="1838"/>
      <c r="EL291" s="1837"/>
      <c r="EM291" s="1838"/>
      <c r="EN291" s="1839"/>
      <c r="EO291" s="1840"/>
      <c r="EP291" s="1837"/>
      <c r="EQ291" s="1838"/>
      <c r="ER291" s="1837"/>
      <c r="ES291" s="1838"/>
      <c r="ET291" s="1839"/>
      <c r="EU291" s="1840" t="s">
        <v>16572</v>
      </c>
      <c r="EV291" s="1837"/>
      <c r="EW291" s="1838"/>
      <c r="EX291" s="1837"/>
      <c r="EY291" s="1838"/>
      <c r="EZ291" s="1839"/>
      <c r="FA291" s="1840"/>
      <c r="FB291" s="1837"/>
      <c r="FC291" s="1838"/>
      <c r="FD291" s="1837"/>
      <c r="FE291" s="1838"/>
      <c r="FF291" s="1844"/>
      <c r="FG291" s="1840"/>
      <c r="FH291" s="1837"/>
      <c r="FI291" s="1838"/>
      <c r="FJ291" s="1837"/>
      <c r="FK291" s="1838"/>
      <c r="FL291" s="1844"/>
      <c r="FM291" s="1840"/>
      <c r="FN291" s="1837"/>
      <c r="FO291" s="1838"/>
      <c r="FP291" s="1837"/>
      <c r="FQ291" s="1838"/>
      <c r="FR291" s="1844"/>
      <c r="FS291" s="1840"/>
      <c r="FT291" s="1837"/>
      <c r="FU291" s="1838"/>
      <c r="FV291" s="1837"/>
      <c r="FW291" s="1838"/>
      <c r="FX291" s="1844"/>
      <c r="FY291" s="1840"/>
      <c r="FZ291" s="1837"/>
      <c r="GA291" s="1838"/>
      <c r="GB291" s="1837"/>
      <c r="GC291" s="1838"/>
      <c r="GD291" s="1844"/>
      <c r="GE291" s="1840"/>
      <c r="GF291" s="1837"/>
      <c r="GG291" s="1838"/>
      <c r="GH291" s="1837"/>
      <c r="GI291" s="1838"/>
      <c r="GJ291" s="1844"/>
      <c r="GK291" s="1840"/>
      <c r="GL291" s="1837"/>
      <c r="GM291" s="1838"/>
      <c r="GN291" s="1837"/>
      <c r="GO291" s="1838"/>
      <c r="GP291" s="1844"/>
    </row>
    <row r="292" spans="1:198" ht="20.100000000000001" hidden="1" customHeight="1" outlineLevel="1">
      <c r="A292" s="2709"/>
      <c r="B292" s="2612"/>
      <c r="C292" s="1836"/>
      <c r="D292" s="2614" t="str">
        <f>実績!C1416&amp;"("&amp;SUBSTITUTE(実績!R1416&amp;")"," 一級建築士事務所","")</f>
        <v>さいたま市緑区美園 整備工場(アールデザインワークス)</v>
      </c>
      <c r="E292" s="2617"/>
      <c r="F292" s="2617"/>
      <c r="G292" s="2617"/>
      <c r="H292" s="2617"/>
      <c r="I292" s="2617"/>
      <c r="J292" s="2617"/>
      <c r="K292" s="2617"/>
      <c r="L292" s="2617"/>
      <c r="M292" s="2617"/>
      <c r="N292" s="2617"/>
      <c r="O292" s="2617"/>
      <c r="P292" s="2617"/>
      <c r="Q292" s="2617"/>
      <c r="R292" s="2622"/>
      <c r="S292" s="1837"/>
      <c r="T292" s="1837"/>
      <c r="U292" s="1838"/>
      <c r="V292" s="1837"/>
      <c r="W292" s="1838"/>
      <c r="X292" s="1839"/>
      <c r="Y292" s="1837"/>
      <c r="Z292" s="1837"/>
      <c r="AA292" s="1838"/>
      <c r="AB292" s="1837"/>
      <c r="AC292" s="1838"/>
      <c r="AD292" s="1837"/>
      <c r="AE292" s="1840"/>
      <c r="AF292" s="1837"/>
      <c r="AG292" s="1838"/>
      <c r="AH292" s="1837"/>
      <c r="AI292" s="1838"/>
      <c r="AJ292" s="1839"/>
      <c r="AK292" s="1837"/>
      <c r="AL292" s="1837"/>
      <c r="AM292" s="1838"/>
      <c r="AN292" s="1837"/>
      <c r="AO292" s="1838"/>
      <c r="AP292" s="1837"/>
      <c r="AQ292" s="1841"/>
      <c r="AR292" s="1837"/>
      <c r="AS292" s="1838"/>
      <c r="AT292" s="1837"/>
      <c r="AU292" s="1838"/>
      <c r="AV292" s="1839"/>
      <c r="AW292" s="1840"/>
      <c r="AX292" s="1837"/>
      <c r="AY292" s="1838"/>
      <c r="AZ292" s="1837"/>
      <c r="BA292" s="1838"/>
      <c r="BB292" s="1839"/>
      <c r="BC292" s="1837"/>
      <c r="BD292" s="1837"/>
      <c r="BE292" s="1838"/>
      <c r="BF292" s="1837"/>
      <c r="BG292" s="1838"/>
      <c r="BH292" s="1837"/>
      <c r="BI292" s="1840"/>
      <c r="BJ292" s="1837"/>
      <c r="BK292" s="1838"/>
      <c r="BL292" s="1837"/>
      <c r="BM292" s="1838"/>
      <c r="BN292" s="1839"/>
      <c r="BO292" s="1840"/>
      <c r="BP292" s="1837"/>
      <c r="BQ292" s="1838"/>
      <c r="BR292" s="1842"/>
      <c r="BS292" s="1838"/>
      <c r="BT292" s="1839"/>
      <c r="BU292" s="1840"/>
      <c r="BV292" s="1837"/>
      <c r="BW292" s="1838"/>
      <c r="BX292" s="1837"/>
      <c r="BY292" s="1838"/>
      <c r="BZ292" s="1839"/>
      <c r="CA292" s="1840"/>
      <c r="CB292" s="1837"/>
      <c r="CC292" s="1838"/>
      <c r="CD292" s="1837"/>
      <c r="CE292" s="1838"/>
      <c r="CF292" s="1839"/>
      <c r="CG292" s="1840"/>
      <c r="CH292" s="1837"/>
      <c r="CI292" s="1838"/>
      <c r="CJ292" s="1837"/>
      <c r="CK292" s="1838"/>
      <c r="CL292" s="1839"/>
      <c r="CM292" s="1840"/>
      <c r="CN292" s="1837"/>
      <c r="CO292" s="1838"/>
      <c r="CP292" s="1843"/>
      <c r="CQ292" s="1838"/>
      <c r="CR292" s="1839"/>
      <c r="CS292" s="1840"/>
      <c r="CT292" s="1837"/>
      <c r="CU292" s="1838"/>
      <c r="CV292" s="1837"/>
      <c r="CW292" s="1838"/>
      <c r="CX292" s="1839"/>
      <c r="CY292" s="1840"/>
      <c r="CZ292" s="1837"/>
      <c r="DA292" s="1838"/>
      <c r="DB292" s="1837"/>
      <c r="DC292" s="1838"/>
      <c r="DD292" s="1839"/>
      <c r="DE292" s="1840"/>
      <c r="DF292" s="1837"/>
      <c r="DG292" s="1838"/>
      <c r="DH292" s="1837"/>
      <c r="DI292" s="1838"/>
      <c r="DJ292" s="1839"/>
      <c r="DK292" s="1840"/>
      <c r="DL292" s="1837"/>
      <c r="DM292" s="1838"/>
      <c r="DN292" s="1837"/>
      <c r="DO292" s="1838"/>
      <c r="DP292" s="1839"/>
      <c r="DQ292" s="1840"/>
      <c r="DR292" s="1837"/>
      <c r="DS292" s="1838"/>
      <c r="DT292" s="1837"/>
      <c r="DU292" s="1838"/>
      <c r="DV292" s="1839"/>
      <c r="DW292" s="1840"/>
      <c r="DX292" s="1837"/>
      <c r="DY292" s="1838"/>
      <c r="DZ292" s="1837"/>
      <c r="EA292" s="1838"/>
      <c r="EB292" s="1839"/>
      <c r="EC292" s="1840"/>
      <c r="ED292" s="1837"/>
      <c r="EE292" s="1838"/>
      <c r="EF292" s="1837"/>
      <c r="EG292" s="1838"/>
      <c r="EH292" s="1839"/>
      <c r="EI292" s="1840"/>
      <c r="EJ292" s="1837"/>
      <c r="EK292" s="1838"/>
      <c r="EL292" s="1837"/>
      <c r="EM292" s="1838"/>
      <c r="EN292" s="1839"/>
      <c r="EO292" s="1840"/>
      <c r="EP292" s="1837"/>
      <c r="EQ292" s="1838"/>
      <c r="ER292" s="1837"/>
      <c r="ES292" s="1838"/>
      <c r="ET292" s="1839"/>
      <c r="EU292" s="1840"/>
      <c r="EV292" s="1837"/>
      <c r="EW292" s="1838"/>
      <c r="EX292" s="1837"/>
      <c r="EY292" s="1838"/>
      <c r="EZ292" s="1839"/>
      <c r="FA292" s="1840"/>
      <c r="FB292" s="1837"/>
      <c r="FC292" s="1838"/>
      <c r="FD292" s="1837"/>
      <c r="FE292" s="1838"/>
      <c r="FF292" s="1839"/>
      <c r="FG292" s="1840"/>
      <c r="FH292" s="1837"/>
      <c r="FI292" s="1838"/>
      <c r="FJ292" s="1837"/>
      <c r="FK292" s="1838"/>
      <c r="FL292" s="1839"/>
      <c r="FM292" s="1840" t="s">
        <v>17133</v>
      </c>
      <c r="FN292" s="1837"/>
      <c r="FO292" s="1838"/>
      <c r="FP292" s="1837"/>
      <c r="FQ292" s="1838"/>
      <c r="FR292" s="1839"/>
      <c r="FS292" s="1840"/>
      <c r="FT292" s="1837"/>
      <c r="FU292" s="1838"/>
      <c r="FV292" s="1837"/>
      <c r="FW292" s="1838"/>
      <c r="FX292" s="1839"/>
      <c r="FY292" s="1840"/>
      <c r="FZ292" s="1837"/>
      <c r="GA292" s="1838"/>
      <c r="GB292" s="1837"/>
      <c r="GC292" s="1838"/>
      <c r="GD292" s="1839"/>
      <c r="GE292" s="1840"/>
      <c r="GF292" s="1837"/>
      <c r="GG292" s="1838"/>
      <c r="GH292" s="1837"/>
      <c r="GI292" s="1838"/>
      <c r="GJ292" s="1839"/>
      <c r="GK292" s="1840"/>
      <c r="GL292" s="1837"/>
      <c r="GM292" s="1838"/>
      <c r="GN292" s="1837"/>
      <c r="GO292" s="1838"/>
      <c r="GP292" s="1839"/>
    </row>
    <row r="293" spans="1:198" ht="20.100000000000001" hidden="1" customHeight="1" outlineLevel="1">
      <c r="A293" s="2709"/>
      <c r="B293" s="2612"/>
      <c r="C293" s="1836"/>
      <c r="D293" s="2614" t="str">
        <f>実績!C1413&amp;"("&amp;SUBSTITUTE(実績!W1413&amp;")","株式会社 ","")</f>
        <v>南九州酒販(株)加治木支店(横河システム建築)</v>
      </c>
      <c r="E293" s="2617"/>
      <c r="F293" s="2617"/>
      <c r="G293" s="2617"/>
      <c r="H293" s="2617"/>
      <c r="I293" s="2617"/>
      <c r="J293" s="2617"/>
      <c r="K293" s="2617"/>
      <c r="L293" s="2617"/>
      <c r="M293" s="2617"/>
      <c r="N293" s="2617"/>
      <c r="O293" s="2617"/>
      <c r="P293" s="2617"/>
      <c r="Q293" s="2617"/>
      <c r="R293" s="2622"/>
      <c r="S293" s="1837"/>
      <c r="T293" s="1837"/>
      <c r="U293" s="1837"/>
      <c r="V293" s="1837"/>
      <c r="W293" s="1837"/>
      <c r="X293" s="1837"/>
      <c r="Y293" s="1837"/>
      <c r="Z293" s="1837"/>
      <c r="AA293" s="1837"/>
      <c r="AB293" s="1837"/>
      <c r="AC293" s="1837"/>
      <c r="AD293" s="1837"/>
      <c r="AE293" s="1837"/>
      <c r="AF293" s="1837"/>
      <c r="AG293" s="1837"/>
      <c r="AH293" s="1837"/>
      <c r="AI293" s="1837"/>
      <c r="AJ293" s="1837"/>
      <c r="AK293" s="1837"/>
      <c r="AL293" s="1837"/>
      <c r="AM293" s="1837"/>
      <c r="AN293" s="1837"/>
      <c r="AO293" s="1837"/>
      <c r="AP293" s="1837"/>
      <c r="AQ293" s="1837"/>
      <c r="AR293" s="1837"/>
      <c r="AS293" s="1837"/>
      <c r="AT293" s="1837"/>
      <c r="AU293" s="1837"/>
      <c r="AV293" s="1837"/>
      <c r="AW293" s="1837"/>
      <c r="AX293" s="1837"/>
      <c r="AY293" s="1837"/>
      <c r="AZ293" s="1837"/>
      <c r="BA293" s="1837"/>
      <c r="BB293" s="1837"/>
      <c r="BC293" s="1837"/>
      <c r="BD293" s="1837"/>
      <c r="BE293" s="1837"/>
      <c r="BF293" s="1837"/>
      <c r="BG293" s="1837"/>
      <c r="BH293" s="1837"/>
      <c r="BI293" s="1837"/>
      <c r="BJ293" s="1837"/>
      <c r="BK293" s="1837"/>
      <c r="BL293" s="1837"/>
      <c r="BM293" s="1837"/>
      <c r="BN293" s="1837"/>
      <c r="BO293" s="1837"/>
      <c r="BP293" s="1837"/>
      <c r="BQ293" s="1837"/>
      <c r="BR293" s="1837"/>
      <c r="BS293" s="1837"/>
      <c r="BT293" s="1837"/>
      <c r="BU293" s="1837"/>
      <c r="BV293" s="1837"/>
      <c r="BW293" s="1837"/>
      <c r="BX293" s="1837"/>
      <c r="BY293" s="1837"/>
      <c r="BZ293" s="1837"/>
      <c r="CA293" s="1837"/>
      <c r="CB293" s="1837"/>
      <c r="CC293" s="1837"/>
      <c r="CD293" s="1837"/>
      <c r="CE293" s="1837"/>
      <c r="CF293" s="1837"/>
      <c r="CG293" s="1837"/>
      <c r="CH293" s="1837"/>
      <c r="CI293" s="1837"/>
      <c r="CJ293" s="1837"/>
      <c r="CK293" s="1837"/>
      <c r="CL293" s="1837"/>
      <c r="CM293" s="1837"/>
      <c r="CN293" s="1837"/>
      <c r="CO293" s="1837"/>
      <c r="CP293" s="1843"/>
      <c r="CQ293" s="1837"/>
      <c r="CR293" s="1837"/>
      <c r="CS293" s="1837"/>
      <c r="CT293" s="1837"/>
      <c r="CU293" s="1837"/>
      <c r="CV293" s="1837"/>
      <c r="CW293" s="1837"/>
      <c r="CX293" s="1837"/>
      <c r="CY293" s="1840"/>
      <c r="CZ293" s="1837"/>
      <c r="DA293" s="1838"/>
      <c r="DB293" s="1837"/>
      <c r="DC293" s="1838"/>
      <c r="DD293" s="1839"/>
      <c r="DE293" s="1840"/>
      <c r="DF293" s="1837"/>
      <c r="DG293" s="1838"/>
      <c r="DH293" s="1837"/>
      <c r="DI293" s="1838"/>
      <c r="DJ293" s="1844"/>
      <c r="DK293" s="1840"/>
      <c r="DL293" s="1837"/>
      <c r="DM293" s="1838"/>
      <c r="DN293" s="1837"/>
      <c r="DO293" s="1838"/>
      <c r="DP293" s="1839"/>
      <c r="DQ293" s="1840"/>
      <c r="DR293" s="1837"/>
      <c r="DS293" s="1838"/>
      <c r="DT293" s="1837"/>
      <c r="DU293" s="1838"/>
      <c r="DV293" s="1844"/>
      <c r="DW293" s="1840"/>
      <c r="DX293" s="1837"/>
      <c r="DY293" s="1838"/>
      <c r="DZ293" s="1837"/>
      <c r="EA293" s="1838"/>
      <c r="EB293" s="1844"/>
      <c r="EC293" s="1840"/>
      <c r="ED293" s="1837"/>
      <c r="EE293" s="1838"/>
      <c r="EF293" s="1837"/>
      <c r="EG293" s="1838"/>
      <c r="EH293" s="1844"/>
      <c r="EI293" s="1840"/>
      <c r="EJ293" s="1837"/>
      <c r="EK293" s="1838"/>
      <c r="EL293" s="1837"/>
      <c r="EM293" s="1838"/>
      <c r="EN293" s="1844"/>
      <c r="EO293" s="1840"/>
      <c r="EP293" s="1837" t="s">
        <v>9472</v>
      </c>
      <c r="EQ293" s="1838"/>
      <c r="ER293" s="1837"/>
      <c r="ES293" s="1838"/>
      <c r="ET293" s="1839"/>
      <c r="EU293" s="1840"/>
      <c r="EV293" s="1837"/>
      <c r="EW293" s="1838"/>
      <c r="EX293" s="1837"/>
      <c r="EY293" s="1838"/>
      <c r="EZ293" s="1844"/>
      <c r="FA293" s="1840" t="s">
        <v>8145</v>
      </c>
      <c r="FB293" s="1837"/>
      <c r="FC293" s="1838"/>
      <c r="FD293" s="1837"/>
      <c r="FE293" s="1838"/>
      <c r="FF293" s="1844"/>
      <c r="FG293" s="1840"/>
      <c r="FH293" s="1837"/>
      <c r="FI293" s="1838"/>
      <c r="FJ293" s="1837"/>
      <c r="FK293" s="1838"/>
      <c r="FL293" s="1844"/>
      <c r="FM293" s="1840"/>
      <c r="FN293" s="1837"/>
      <c r="FO293" s="1838"/>
      <c r="FP293" s="1837"/>
      <c r="FQ293" s="1838"/>
      <c r="FR293" s="1844"/>
      <c r="FS293" s="1840"/>
      <c r="FT293" s="1837"/>
      <c r="FU293" s="1838"/>
      <c r="FV293" s="1837"/>
      <c r="FW293" s="1838"/>
      <c r="FX293" s="1844"/>
      <c r="FY293" s="1840"/>
      <c r="FZ293" s="1837"/>
      <c r="GA293" s="1838"/>
      <c r="GB293" s="1837"/>
      <c r="GC293" s="1838"/>
      <c r="GD293" s="1844"/>
      <c r="GE293" s="1840"/>
      <c r="GF293" s="1837"/>
      <c r="GG293" s="1838"/>
      <c r="GH293" s="1837"/>
      <c r="GI293" s="1838"/>
      <c r="GJ293" s="1844"/>
      <c r="GK293" s="1840"/>
      <c r="GL293" s="1837"/>
      <c r="GM293" s="1838"/>
      <c r="GN293" s="1837"/>
      <c r="GO293" s="1838"/>
      <c r="GP293" s="1844"/>
    </row>
    <row r="294" spans="1:198" ht="20.100000000000001" hidden="1" customHeight="1" outlineLevel="1">
      <c r="A294" s="2709"/>
      <c r="B294" s="2612"/>
      <c r="C294" s="1836"/>
      <c r="D294" s="2614" t="str">
        <f>実績!C1418&amp;"("&amp;SUBSTITUTE(実績!R1418&amp;")","有限会社 ","")</f>
        <v>Vdrug鳴子北(中部設計)</v>
      </c>
      <c r="E294" s="2617"/>
      <c r="F294" s="2617"/>
      <c r="G294" s="2617"/>
      <c r="H294" s="2617"/>
      <c r="I294" s="2617"/>
      <c r="J294" s="2617"/>
      <c r="K294" s="2617"/>
      <c r="L294" s="2617"/>
      <c r="M294" s="2617"/>
      <c r="N294" s="2617"/>
      <c r="O294" s="2617"/>
      <c r="P294" s="2617"/>
      <c r="Q294" s="2617"/>
      <c r="R294" s="2622"/>
      <c r="S294" s="1837"/>
      <c r="T294" s="1837"/>
      <c r="U294" s="1838"/>
      <c r="V294" s="1837"/>
      <c r="W294" s="1838"/>
      <c r="X294" s="1839"/>
      <c r="Y294" s="1837"/>
      <c r="Z294" s="1837"/>
      <c r="AA294" s="1838"/>
      <c r="AB294" s="1837"/>
      <c r="AC294" s="1838"/>
      <c r="AD294" s="1837"/>
      <c r="AE294" s="1840"/>
      <c r="AF294" s="1837"/>
      <c r="AG294" s="1838"/>
      <c r="AH294" s="1837"/>
      <c r="AI294" s="1838"/>
      <c r="AJ294" s="1839"/>
      <c r="AK294" s="1837"/>
      <c r="AL294" s="1837"/>
      <c r="AM294" s="1838"/>
      <c r="AN294" s="1837"/>
      <c r="AO294" s="1838"/>
      <c r="AP294" s="1837"/>
      <c r="AQ294" s="1841"/>
      <c r="AR294" s="1837"/>
      <c r="AS294" s="1838"/>
      <c r="AT294" s="1837"/>
      <c r="AU294" s="1838"/>
      <c r="AV294" s="1839"/>
      <c r="AW294" s="1840"/>
      <c r="AX294" s="1837"/>
      <c r="AY294" s="1838"/>
      <c r="AZ294" s="1837"/>
      <c r="BA294" s="1838"/>
      <c r="BB294" s="1839"/>
      <c r="BC294" s="1837"/>
      <c r="BD294" s="1837"/>
      <c r="BE294" s="1838"/>
      <c r="BF294" s="1837"/>
      <c r="BG294" s="1838"/>
      <c r="BH294" s="1837"/>
      <c r="BI294" s="1840"/>
      <c r="BJ294" s="1837"/>
      <c r="BK294" s="1838"/>
      <c r="BL294" s="1837"/>
      <c r="BM294" s="1838"/>
      <c r="BN294" s="1839"/>
      <c r="BO294" s="1840"/>
      <c r="BP294" s="1837"/>
      <c r="BQ294" s="1838"/>
      <c r="BR294" s="1842"/>
      <c r="BS294" s="1838"/>
      <c r="BT294" s="1839"/>
      <c r="BU294" s="1840"/>
      <c r="BV294" s="1837"/>
      <c r="BW294" s="1838"/>
      <c r="BX294" s="1837"/>
      <c r="BY294" s="1838"/>
      <c r="BZ294" s="1839"/>
      <c r="CA294" s="1840"/>
      <c r="CB294" s="1837"/>
      <c r="CC294" s="1838"/>
      <c r="CD294" s="1837"/>
      <c r="CE294" s="1838"/>
      <c r="CF294" s="1839"/>
      <c r="CG294" s="1840"/>
      <c r="CH294" s="1837"/>
      <c r="CI294" s="1838"/>
      <c r="CJ294" s="1837"/>
      <c r="CK294" s="1838"/>
      <c r="CL294" s="1839"/>
      <c r="CM294" s="1840"/>
      <c r="CN294" s="1837"/>
      <c r="CO294" s="1838"/>
      <c r="CP294" s="1843"/>
      <c r="CQ294" s="1838"/>
      <c r="CR294" s="1839"/>
      <c r="CS294" s="1840"/>
      <c r="CT294" s="1837"/>
      <c r="CU294" s="1838"/>
      <c r="CV294" s="1837"/>
      <c r="CW294" s="1838"/>
      <c r="CX294" s="1839"/>
      <c r="CY294" s="1840"/>
      <c r="CZ294" s="1837"/>
      <c r="DA294" s="1838"/>
      <c r="DB294" s="1837"/>
      <c r="DC294" s="1838"/>
      <c r="DD294" s="1839"/>
      <c r="DE294" s="1840"/>
      <c r="DF294" s="1837"/>
      <c r="DG294" s="1838"/>
      <c r="DH294" s="1837"/>
      <c r="DI294" s="1838"/>
      <c r="DJ294" s="1839"/>
      <c r="DK294" s="1840"/>
      <c r="DL294" s="1837"/>
      <c r="DM294" s="1838"/>
      <c r="DN294" s="1837"/>
      <c r="DO294" s="1838"/>
      <c r="DP294" s="1839"/>
      <c r="DQ294" s="1840"/>
      <c r="DR294" s="1837"/>
      <c r="DS294" s="1838"/>
      <c r="DT294" s="1837"/>
      <c r="DU294" s="1838"/>
      <c r="DV294" s="1839"/>
      <c r="DW294" s="1840"/>
      <c r="DX294" s="1837"/>
      <c r="DY294" s="1838"/>
      <c r="DZ294" s="1837"/>
      <c r="EA294" s="1838"/>
      <c r="EB294" s="1839"/>
      <c r="EC294" s="1840"/>
      <c r="ED294" s="1837"/>
      <c r="EE294" s="1838"/>
      <c r="EF294" s="1837"/>
      <c r="EG294" s="1838"/>
      <c r="EH294" s="1839"/>
      <c r="EI294" s="1840"/>
      <c r="EJ294" s="1837"/>
      <c r="EK294" s="1838"/>
      <c r="EL294" s="1837"/>
      <c r="EM294" s="1838"/>
      <c r="EN294" s="1839"/>
      <c r="EO294" s="1840"/>
      <c r="EP294" s="1837"/>
      <c r="EQ294" s="1838"/>
      <c r="ER294" s="1837" t="s">
        <v>8626</v>
      </c>
      <c r="ES294" s="1838"/>
      <c r="ET294" s="1839"/>
      <c r="EU294" s="1840"/>
      <c r="EV294" s="1837"/>
      <c r="EW294" s="1838"/>
      <c r="EX294" s="1837" t="s">
        <v>17154</v>
      </c>
      <c r="EY294" s="1838"/>
      <c r="EZ294" s="1839"/>
      <c r="FA294" s="1840"/>
      <c r="FB294" s="1837"/>
      <c r="FC294" s="1838"/>
      <c r="FD294" s="1837"/>
      <c r="FE294" s="1838"/>
      <c r="FF294" s="1839"/>
      <c r="FG294" s="1840"/>
      <c r="FH294" s="1837"/>
      <c r="FI294" s="1838"/>
      <c r="FJ294" s="1837"/>
      <c r="FK294" s="1838"/>
      <c r="FL294" s="1839"/>
      <c r="FM294" s="1840"/>
      <c r="FN294" s="1837"/>
      <c r="FO294" s="1838"/>
      <c r="FP294" s="1837"/>
      <c r="FQ294" s="1838"/>
      <c r="FR294" s="1839"/>
      <c r="FS294" s="1840"/>
      <c r="FT294" s="1837"/>
      <c r="FU294" s="1838"/>
      <c r="FV294" s="1837"/>
      <c r="FW294" s="1838"/>
      <c r="FX294" s="1839"/>
      <c r="FY294" s="1840"/>
      <c r="FZ294" s="1837"/>
      <c r="GA294" s="1838"/>
      <c r="GB294" s="1837"/>
      <c r="GC294" s="1838"/>
      <c r="GD294" s="1839"/>
      <c r="GE294" s="1840"/>
      <c r="GF294" s="1837"/>
      <c r="GG294" s="1838"/>
      <c r="GH294" s="1837"/>
      <c r="GI294" s="1838"/>
      <c r="GJ294" s="1839"/>
      <c r="GK294" s="1840"/>
      <c r="GL294" s="1837"/>
      <c r="GM294" s="1838"/>
      <c r="GN294" s="1837"/>
      <c r="GO294" s="1838"/>
      <c r="GP294" s="1839"/>
    </row>
    <row r="295" spans="1:198" ht="20.100000000000001" hidden="1" customHeight="1" outlineLevel="1" collapsed="1">
      <c r="A295" s="2709"/>
      <c r="B295" s="2612"/>
      <c r="C295" s="1836"/>
      <c r="D295" s="2614" t="str">
        <f>実績!C1420&amp;"("&amp;SUBSTITUTE(実績!W1420&amp;")","株式会社 ","")</f>
        <v>小西咲佃工場(エスパス建築事務所)</v>
      </c>
      <c r="E295" s="2617"/>
      <c r="F295" s="2617"/>
      <c r="G295" s="2617"/>
      <c r="H295" s="2617"/>
      <c r="I295" s="2617"/>
      <c r="J295" s="2617"/>
      <c r="K295" s="2617"/>
      <c r="L295" s="2617"/>
      <c r="M295" s="2617"/>
      <c r="N295" s="2617"/>
      <c r="O295" s="2617"/>
      <c r="P295" s="2617"/>
      <c r="Q295" s="2617"/>
      <c r="R295" s="2622"/>
      <c r="S295" s="1837"/>
      <c r="T295" s="1837"/>
      <c r="U295" s="1838"/>
      <c r="V295" s="1837"/>
      <c r="W295" s="1838"/>
      <c r="X295" s="1839"/>
      <c r="Y295" s="1837"/>
      <c r="Z295" s="1837"/>
      <c r="AA295" s="1838"/>
      <c r="AB295" s="1837"/>
      <c r="AC295" s="1838"/>
      <c r="AD295" s="1837"/>
      <c r="AE295" s="1840"/>
      <c r="AF295" s="1837"/>
      <c r="AG295" s="1838"/>
      <c r="AH295" s="1837"/>
      <c r="AI295" s="1838"/>
      <c r="AJ295" s="1839"/>
      <c r="AK295" s="1837"/>
      <c r="AL295" s="1837"/>
      <c r="AM295" s="1838"/>
      <c r="AN295" s="1837"/>
      <c r="AO295" s="1838"/>
      <c r="AP295" s="1837"/>
      <c r="AQ295" s="1841"/>
      <c r="AR295" s="1837"/>
      <c r="AS295" s="1838"/>
      <c r="AT295" s="1837"/>
      <c r="AU295" s="1838"/>
      <c r="AV295" s="1839"/>
      <c r="AW295" s="1840"/>
      <c r="AX295" s="1837"/>
      <c r="AY295" s="1838"/>
      <c r="AZ295" s="1837"/>
      <c r="BA295" s="1838"/>
      <c r="BB295" s="1839"/>
      <c r="BC295" s="1837"/>
      <c r="BD295" s="1837"/>
      <c r="BE295" s="1838"/>
      <c r="BF295" s="1837"/>
      <c r="BG295" s="1838"/>
      <c r="BH295" s="1837"/>
      <c r="BI295" s="1840"/>
      <c r="BJ295" s="1837"/>
      <c r="BK295" s="1838"/>
      <c r="BL295" s="1837"/>
      <c r="BM295" s="1838"/>
      <c r="BN295" s="1839"/>
      <c r="BO295" s="1840"/>
      <c r="BP295" s="1837"/>
      <c r="BQ295" s="1838"/>
      <c r="BR295" s="1842"/>
      <c r="BS295" s="1838"/>
      <c r="BT295" s="1839"/>
      <c r="BU295" s="1840"/>
      <c r="BV295" s="1837"/>
      <c r="BW295" s="1838"/>
      <c r="BX295" s="1837"/>
      <c r="BY295" s="1838"/>
      <c r="BZ295" s="1839"/>
      <c r="CA295" s="1840"/>
      <c r="CB295" s="1837"/>
      <c r="CC295" s="1838"/>
      <c r="CD295" s="1837"/>
      <c r="CE295" s="1838"/>
      <c r="CF295" s="1839"/>
      <c r="CG295" s="1840"/>
      <c r="CH295" s="1837"/>
      <c r="CI295" s="1838"/>
      <c r="CJ295" s="1837"/>
      <c r="CK295" s="1838"/>
      <c r="CL295" s="1839"/>
      <c r="CM295" s="1840"/>
      <c r="CN295" s="1837"/>
      <c r="CO295" s="1838"/>
      <c r="CP295" s="1843"/>
      <c r="CQ295" s="1838"/>
      <c r="CR295" s="1839"/>
      <c r="CS295" s="1840"/>
      <c r="CT295" s="1837"/>
      <c r="CU295" s="1838"/>
      <c r="CV295" s="1837"/>
      <c r="CW295" s="1838"/>
      <c r="CX295" s="1839"/>
      <c r="CY295" s="1840"/>
      <c r="CZ295" s="1837"/>
      <c r="DA295" s="1838"/>
      <c r="DB295" s="1837"/>
      <c r="DC295" s="1838"/>
      <c r="DD295" s="1839"/>
      <c r="DE295" s="1840"/>
      <c r="DF295" s="1837"/>
      <c r="DG295" s="1838"/>
      <c r="DH295" s="1837"/>
      <c r="DI295" s="1838"/>
      <c r="DJ295" s="1839"/>
      <c r="DK295" s="1840"/>
      <c r="DL295" s="1837"/>
      <c r="DM295" s="1838"/>
      <c r="DN295" s="1837"/>
      <c r="DO295" s="1838"/>
      <c r="DP295" s="1839"/>
      <c r="DQ295" s="1840"/>
      <c r="DR295" s="1837"/>
      <c r="DS295" s="1838"/>
      <c r="DT295" s="1837"/>
      <c r="DU295" s="1838"/>
      <c r="DV295" s="1839"/>
      <c r="DW295" s="1840"/>
      <c r="DX295" s="1837"/>
      <c r="DY295" s="1838"/>
      <c r="DZ295" s="1837"/>
      <c r="EA295" s="1838"/>
      <c r="EB295" s="1839"/>
      <c r="EC295" s="1840"/>
      <c r="ED295" s="1837"/>
      <c r="EE295" s="1838"/>
      <c r="EF295" s="1837"/>
      <c r="EG295" s="1838"/>
      <c r="EH295" s="1839"/>
      <c r="EI295" s="1840"/>
      <c r="EJ295" s="1837"/>
      <c r="EK295" s="1838"/>
      <c r="EL295" s="1837"/>
      <c r="EM295" s="1838"/>
      <c r="EN295" s="1839"/>
      <c r="EO295" s="1840"/>
      <c r="EP295" s="1837"/>
      <c r="EQ295" s="1838"/>
      <c r="ER295" s="1837"/>
      <c r="ES295" s="1838"/>
      <c r="ET295" s="1839" t="s">
        <v>17501</v>
      </c>
      <c r="EU295" s="1840"/>
      <c r="EV295" s="1837"/>
      <c r="EW295" s="1838"/>
      <c r="EX295" s="1837"/>
      <c r="EY295" s="1838"/>
      <c r="EZ295" s="1839"/>
      <c r="FA295" s="1840"/>
      <c r="FB295" s="1837"/>
      <c r="FC295" s="1838"/>
      <c r="FD295" s="1837"/>
      <c r="FE295" s="1838"/>
      <c r="FF295" s="1839"/>
      <c r="FG295" s="1840" t="s">
        <v>8145</v>
      </c>
      <c r="FH295" s="1837"/>
      <c r="FI295" s="1838"/>
      <c r="FJ295" s="1837"/>
      <c r="FK295" s="1838"/>
      <c r="FL295" s="1839"/>
      <c r="FM295" s="1840"/>
      <c r="FN295" s="1837"/>
      <c r="FO295" s="1838"/>
      <c r="FP295" s="1837"/>
      <c r="FQ295" s="1838"/>
      <c r="FR295" s="1839"/>
      <c r="FS295" s="1840"/>
      <c r="FT295" s="1837"/>
      <c r="FU295" s="1838"/>
      <c r="FV295" s="1837"/>
      <c r="FW295" s="1838"/>
      <c r="FX295" s="1839"/>
      <c r="FY295" s="1840"/>
      <c r="FZ295" s="1837"/>
      <c r="GA295" s="1838"/>
      <c r="GB295" s="1837"/>
      <c r="GC295" s="1838"/>
      <c r="GD295" s="1839"/>
      <c r="GE295" s="1840"/>
      <c r="GF295" s="1837"/>
      <c r="GG295" s="1838"/>
      <c r="GH295" s="1837"/>
      <c r="GI295" s="1838"/>
      <c r="GJ295" s="1839"/>
      <c r="GK295" s="1840"/>
      <c r="GL295" s="1837"/>
      <c r="GM295" s="1838"/>
      <c r="GN295" s="1837"/>
      <c r="GO295" s="1838"/>
      <c r="GP295" s="1839"/>
    </row>
    <row r="296" spans="1:198" ht="20.100000000000001" hidden="1" customHeight="1" outlineLevel="1">
      <c r="A296" s="2709"/>
      <c r="B296" s="2612"/>
      <c r="C296" s="1836"/>
      <c r="D296" s="2614" t="str">
        <f>実績!C1422&amp;"("&amp;SUBSTITUTE(実績!W1422&amp;")","株式会社 ","")</f>
        <v>康井精機本社隣敷地新工場(横河システム建築)</v>
      </c>
      <c r="E296" s="2617"/>
      <c r="F296" s="2617"/>
      <c r="G296" s="2617"/>
      <c r="H296" s="2617"/>
      <c r="I296" s="2617"/>
      <c r="J296" s="2617"/>
      <c r="K296" s="2617"/>
      <c r="L296" s="2617"/>
      <c r="M296" s="2617"/>
      <c r="N296" s="2617"/>
      <c r="O296" s="2617"/>
      <c r="P296" s="2617"/>
      <c r="Q296" s="2617"/>
      <c r="R296" s="2622"/>
      <c r="S296" s="1837"/>
      <c r="T296" s="1837"/>
      <c r="U296" s="1837"/>
      <c r="V296" s="1837"/>
      <c r="W296" s="1837"/>
      <c r="X296" s="1837"/>
      <c r="Y296" s="1837"/>
      <c r="Z296" s="1837"/>
      <c r="AA296" s="1837"/>
      <c r="AB296" s="1837"/>
      <c r="AC296" s="1837"/>
      <c r="AD296" s="1837"/>
      <c r="AE296" s="1837"/>
      <c r="AF296" s="1837"/>
      <c r="AG296" s="1837"/>
      <c r="AH296" s="1837"/>
      <c r="AI296" s="1837"/>
      <c r="AJ296" s="1837"/>
      <c r="AK296" s="1837"/>
      <c r="AL296" s="1837"/>
      <c r="AM296" s="1837"/>
      <c r="AN296" s="1837"/>
      <c r="AO296" s="1837"/>
      <c r="AP296" s="1837"/>
      <c r="AQ296" s="1837"/>
      <c r="AR296" s="1837"/>
      <c r="AS296" s="1837"/>
      <c r="AT296" s="1837"/>
      <c r="AU296" s="1837"/>
      <c r="AV296" s="1837"/>
      <c r="AW296" s="1837"/>
      <c r="AX296" s="1837"/>
      <c r="AY296" s="1837"/>
      <c r="AZ296" s="1837"/>
      <c r="BA296" s="1837"/>
      <c r="BB296" s="1837"/>
      <c r="BC296" s="1837"/>
      <c r="BD296" s="1837"/>
      <c r="BE296" s="1837"/>
      <c r="BF296" s="1837"/>
      <c r="BG296" s="1837"/>
      <c r="BH296" s="1837"/>
      <c r="BI296" s="1837"/>
      <c r="BJ296" s="1837"/>
      <c r="BK296" s="1837"/>
      <c r="BL296" s="1837"/>
      <c r="BM296" s="1837"/>
      <c r="BN296" s="1837"/>
      <c r="BO296" s="1837"/>
      <c r="BP296" s="1837"/>
      <c r="BQ296" s="1837"/>
      <c r="BR296" s="1837"/>
      <c r="BS296" s="1837"/>
      <c r="BT296" s="1837"/>
      <c r="BU296" s="1837"/>
      <c r="BV296" s="1837"/>
      <c r="BW296" s="1837"/>
      <c r="BX296" s="1837"/>
      <c r="BY296" s="1837"/>
      <c r="BZ296" s="1837"/>
      <c r="CA296" s="1837"/>
      <c r="CB296" s="1837"/>
      <c r="CC296" s="1837"/>
      <c r="CD296" s="1837"/>
      <c r="CE296" s="1837"/>
      <c r="CF296" s="1837"/>
      <c r="CG296" s="1837"/>
      <c r="CH296" s="1837"/>
      <c r="CI296" s="1837"/>
      <c r="CJ296" s="1837"/>
      <c r="CK296" s="1837"/>
      <c r="CL296" s="1837"/>
      <c r="CM296" s="1837"/>
      <c r="CN296" s="1837"/>
      <c r="CO296" s="1837"/>
      <c r="CP296" s="1843"/>
      <c r="CQ296" s="1837"/>
      <c r="CR296" s="1837"/>
      <c r="CS296" s="1837"/>
      <c r="CT296" s="1837"/>
      <c r="CU296" s="1837"/>
      <c r="CV296" s="1837"/>
      <c r="CW296" s="1837"/>
      <c r="CX296" s="1837"/>
      <c r="CY296" s="1840"/>
      <c r="CZ296" s="1837"/>
      <c r="DA296" s="1838"/>
      <c r="DB296" s="1837"/>
      <c r="DC296" s="1838"/>
      <c r="DD296" s="1839"/>
      <c r="DE296" s="1840"/>
      <c r="DF296" s="1837"/>
      <c r="DG296" s="1838"/>
      <c r="DH296" s="1837"/>
      <c r="DI296" s="1838"/>
      <c r="DJ296" s="1844"/>
      <c r="DK296" s="1840"/>
      <c r="DL296" s="1837"/>
      <c r="DM296" s="1838"/>
      <c r="DN296" s="1837"/>
      <c r="DO296" s="1838"/>
      <c r="DP296" s="1839"/>
      <c r="DQ296" s="1840"/>
      <c r="DR296" s="1837"/>
      <c r="DS296" s="1838"/>
      <c r="DT296" s="1837"/>
      <c r="DU296" s="1838"/>
      <c r="DV296" s="1844"/>
      <c r="DW296" s="1840"/>
      <c r="DX296" s="1837"/>
      <c r="DY296" s="1838"/>
      <c r="DZ296" s="1837"/>
      <c r="EA296" s="1838"/>
      <c r="EB296" s="1844"/>
      <c r="EC296" s="1840"/>
      <c r="ED296" s="1837"/>
      <c r="EE296" s="1838"/>
      <c r="EF296" s="1837"/>
      <c r="EG296" s="1838"/>
      <c r="EH296" s="1844"/>
      <c r="EI296" s="1840"/>
      <c r="EJ296" s="1837"/>
      <c r="EK296" s="1838"/>
      <c r="EL296" s="1837"/>
      <c r="EM296" s="1838"/>
      <c r="EN296" s="1844"/>
      <c r="EO296" s="1840"/>
      <c r="EP296" s="1837"/>
      <c r="EQ296" s="1838"/>
      <c r="ER296" s="1837"/>
      <c r="ES296" s="1838"/>
      <c r="ET296" s="1839"/>
      <c r="EU296" s="1840" t="s">
        <v>17501</v>
      </c>
      <c r="EV296" s="1837"/>
      <c r="EW296" s="1838"/>
      <c r="EX296" s="1837"/>
      <c r="EY296" s="1838"/>
      <c r="EZ296" s="1844"/>
      <c r="FA296" s="1840"/>
      <c r="FB296" s="1837"/>
      <c r="FC296" s="1838"/>
      <c r="FD296" s="1837"/>
      <c r="FE296" s="1838"/>
      <c r="FF296" s="1844"/>
      <c r="FG296" s="1840" t="s">
        <v>17271</v>
      </c>
      <c r="FH296" s="1837"/>
      <c r="FI296" s="1838"/>
      <c r="FJ296" s="1837"/>
      <c r="FK296" s="1838"/>
      <c r="FL296" s="1844"/>
      <c r="FM296" s="1840"/>
      <c r="FN296" s="1837"/>
      <c r="FO296" s="1838"/>
      <c r="FP296" s="1837"/>
      <c r="FQ296" s="1838"/>
      <c r="FR296" s="1844"/>
      <c r="FS296" s="1840"/>
      <c r="FT296" s="1837"/>
      <c r="FU296" s="1838"/>
      <c r="FV296" s="1837"/>
      <c r="FW296" s="1838"/>
      <c r="FX296" s="1844"/>
      <c r="FY296" s="1840"/>
      <c r="FZ296" s="1837"/>
      <c r="GA296" s="1838"/>
      <c r="GB296" s="1837"/>
      <c r="GC296" s="1838"/>
      <c r="GD296" s="1844"/>
      <c r="GE296" s="1840"/>
      <c r="GF296" s="1837"/>
      <c r="GG296" s="1838"/>
      <c r="GH296" s="1837"/>
      <c r="GI296" s="1838"/>
      <c r="GJ296" s="1844"/>
      <c r="GK296" s="1840"/>
      <c r="GL296" s="1837"/>
      <c r="GM296" s="1838"/>
      <c r="GN296" s="1837"/>
      <c r="GO296" s="1838"/>
      <c r="GP296" s="1844"/>
    </row>
    <row r="297" spans="1:198" ht="20.100000000000001" hidden="1" customHeight="1" outlineLevel="1">
      <c r="A297" s="2709"/>
      <c r="B297" s="2612"/>
      <c r="C297" s="1836"/>
      <c r="D297" s="2614" t="str">
        <f>実績!C1401&amp;"("&amp;SUBSTITUTE(実績!R1401&amp;")","株式会社 ","")</f>
        <v>長尾製缶所 本社第二工場(有田川)(蔵建築設計事務所)</v>
      </c>
      <c r="E297" s="2617"/>
      <c r="F297" s="2617"/>
      <c r="G297" s="2617"/>
      <c r="H297" s="2617"/>
      <c r="I297" s="2617"/>
      <c r="J297" s="2617"/>
      <c r="K297" s="2617"/>
      <c r="L297" s="2617"/>
      <c r="M297" s="2617"/>
      <c r="N297" s="2617"/>
      <c r="O297" s="2617"/>
      <c r="P297" s="2617"/>
      <c r="Q297" s="2617"/>
      <c r="R297" s="2622"/>
      <c r="S297" s="1837"/>
      <c r="T297" s="1837"/>
      <c r="U297" s="1838"/>
      <c r="V297" s="1837"/>
      <c r="W297" s="1838"/>
      <c r="X297" s="1839"/>
      <c r="Y297" s="1837"/>
      <c r="Z297" s="1837"/>
      <c r="AA297" s="1838"/>
      <c r="AB297" s="1837"/>
      <c r="AC297" s="1838"/>
      <c r="AD297" s="1837"/>
      <c r="AE297" s="1840"/>
      <c r="AF297" s="1837"/>
      <c r="AG297" s="1838"/>
      <c r="AH297" s="1837"/>
      <c r="AI297" s="1838"/>
      <c r="AJ297" s="1839"/>
      <c r="AK297" s="1837"/>
      <c r="AL297" s="1837"/>
      <c r="AM297" s="1838"/>
      <c r="AN297" s="1837"/>
      <c r="AO297" s="1838"/>
      <c r="AP297" s="1837"/>
      <c r="AQ297" s="1841"/>
      <c r="AR297" s="1837"/>
      <c r="AS297" s="1838"/>
      <c r="AT297" s="1837"/>
      <c r="AU297" s="1838"/>
      <c r="AV297" s="1839"/>
      <c r="AW297" s="1840"/>
      <c r="AX297" s="1837"/>
      <c r="AY297" s="1838"/>
      <c r="AZ297" s="1837"/>
      <c r="BA297" s="1838"/>
      <c r="BB297" s="1839"/>
      <c r="BC297" s="1837"/>
      <c r="BD297" s="1837"/>
      <c r="BE297" s="1838"/>
      <c r="BF297" s="1837"/>
      <c r="BG297" s="1838"/>
      <c r="BH297" s="1837"/>
      <c r="BI297" s="1840"/>
      <c r="BJ297" s="1837"/>
      <c r="BK297" s="1838"/>
      <c r="BL297" s="1837"/>
      <c r="BM297" s="1838"/>
      <c r="BN297" s="1839"/>
      <c r="BO297" s="1840"/>
      <c r="BP297" s="1837"/>
      <c r="BQ297" s="1838"/>
      <c r="BR297" s="1842"/>
      <c r="BS297" s="1838"/>
      <c r="BT297" s="1839"/>
      <c r="BU297" s="1840"/>
      <c r="BV297" s="1837"/>
      <c r="BW297" s="1838"/>
      <c r="BX297" s="1837"/>
      <c r="BY297" s="1838"/>
      <c r="BZ297" s="1839"/>
      <c r="CA297" s="1840"/>
      <c r="CB297" s="1837"/>
      <c r="CC297" s="1838"/>
      <c r="CD297" s="1837"/>
      <c r="CE297" s="1838"/>
      <c r="CF297" s="1839"/>
      <c r="CG297" s="1840"/>
      <c r="CH297" s="1837"/>
      <c r="CI297" s="1838"/>
      <c r="CJ297" s="1837"/>
      <c r="CK297" s="1838"/>
      <c r="CL297" s="1839"/>
      <c r="CM297" s="1840"/>
      <c r="CN297" s="1837"/>
      <c r="CO297" s="1838"/>
      <c r="CP297" s="1843"/>
      <c r="CQ297" s="1838"/>
      <c r="CR297" s="1839"/>
      <c r="CS297" s="1840"/>
      <c r="CT297" s="1837"/>
      <c r="CU297" s="1838"/>
      <c r="CV297" s="1837"/>
      <c r="CW297" s="1838"/>
      <c r="CX297" s="1839"/>
      <c r="CY297" s="1840"/>
      <c r="CZ297" s="1837"/>
      <c r="DA297" s="1838"/>
      <c r="DB297" s="1837"/>
      <c r="DC297" s="1838"/>
      <c r="DD297" s="1839"/>
      <c r="DE297" s="1840"/>
      <c r="DF297" s="1837"/>
      <c r="DG297" s="1838"/>
      <c r="DH297" s="1837"/>
      <c r="DI297" s="1838"/>
      <c r="DJ297" s="1839"/>
      <c r="DK297" s="1840"/>
      <c r="DL297" s="1837"/>
      <c r="DM297" s="1838"/>
      <c r="DN297" s="1837"/>
      <c r="DO297" s="1838"/>
      <c r="DP297" s="1839"/>
      <c r="DQ297" s="1840"/>
      <c r="DR297" s="1837"/>
      <c r="DS297" s="1838"/>
      <c r="DT297" s="1837"/>
      <c r="DU297" s="1838"/>
      <c r="DV297" s="1839"/>
      <c r="DW297" s="1840"/>
      <c r="DX297" s="1837"/>
      <c r="DY297" s="1838"/>
      <c r="DZ297" s="1837"/>
      <c r="EA297" s="1838"/>
      <c r="EB297" s="1839"/>
      <c r="EC297" s="1840"/>
      <c r="ED297" s="1837"/>
      <c r="EE297" s="1838"/>
      <c r="EF297" s="1837"/>
      <c r="EG297" s="1838"/>
      <c r="EH297" s="1839"/>
      <c r="EI297" s="1840"/>
      <c r="EJ297" s="1837"/>
      <c r="EK297" s="1838"/>
      <c r="EL297" s="1837"/>
      <c r="EM297" s="1838"/>
      <c r="EN297" s="1844"/>
      <c r="EO297" s="1840"/>
      <c r="EP297" s="1837"/>
      <c r="EQ297" s="1838"/>
      <c r="ER297" s="1837"/>
      <c r="ES297" s="1838"/>
      <c r="ET297" s="1839"/>
      <c r="EU297" s="1840"/>
      <c r="EV297" s="1837"/>
      <c r="EW297" s="1838"/>
      <c r="EX297" s="1837"/>
      <c r="EY297" s="1838"/>
      <c r="EZ297" s="1839"/>
      <c r="FA297" s="1840"/>
      <c r="FB297" s="1837"/>
      <c r="FC297" s="1838"/>
      <c r="FD297" s="1837" t="s">
        <v>16831</v>
      </c>
      <c r="FE297" s="1838"/>
      <c r="FF297" s="1839"/>
      <c r="FG297" s="1840"/>
      <c r="FH297" s="1837"/>
      <c r="FI297" s="1838"/>
      <c r="FJ297" s="1837"/>
      <c r="FK297" s="1838"/>
      <c r="FL297" s="1839"/>
      <c r="FM297" s="1840"/>
      <c r="FN297" s="1837"/>
      <c r="FO297" s="1838"/>
      <c r="FP297" s="1837"/>
      <c r="FQ297" s="1838"/>
      <c r="FR297" s="1839"/>
      <c r="FS297" s="1840"/>
      <c r="FT297" s="1837"/>
      <c r="FU297" s="1838"/>
      <c r="FV297" s="1837"/>
      <c r="FW297" s="1838"/>
      <c r="FX297" s="1839"/>
      <c r="FY297" s="1840"/>
      <c r="FZ297" s="1837"/>
      <c r="GA297" s="1838"/>
      <c r="GB297" s="1837"/>
      <c r="GC297" s="1838"/>
      <c r="GD297" s="1839"/>
      <c r="GE297" s="1840"/>
      <c r="GF297" s="1837"/>
      <c r="GG297" s="1838"/>
      <c r="GH297" s="1837"/>
      <c r="GI297" s="1838"/>
      <c r="GJ297" s="1839"/>
      <c r="GK297" s="1840"/>
      <c r="GL297" s="1837"/>
      <c r="GM297" s="1838"/>
      <c r="GN297" s="1837"/>
      <c r="GO297" s="1838"/>
      <c r="GP297" s="1839"/>
    </row>
    <row r="298" spans="1:198" ht="20.100000000000001" hidden="1" customHeight="1" outlineLevel="1">
      <c r="A298" s="2709"/>
      <c r="B298" s="2612"/>
      <c r="C298" s="1836"/>
      <c r="D298" s="2614" t="str">
        <f>実績!C1425&amp;"("&amp;SUBSTITUTE(実績!R1425&amp;")","有限会社 ","")</f>
        <v>㈱ハーディック事務所・倉庫(大川設計工房)</v>
      </c>
      <c r="E298" s="2617"/>
      <c r="F298" s="2617"/>
      <c r="G298" s="2617"/>
      <c r="H298" s="2617"/>
      <c r="I298" s="2617"/>
      <c r="J298" s="2617"/>
      <c r="K298" s="2617"/>
      <c r="L298" s="2617"/>
      <c r="M298" s="2617"/>
      <c r="N298" s="2617"/>
      <c r="O298" s="2617"/>
      <c r="P298" s="2617"/>
      <c r="Q298" s="2617"/>
      <c r="R298" s="2622"/>
      <c r="S298" s="1837"/>
      <c r="T298" s="1837"/>
      <c r="U298" s="1838"/>
      <c r="V298" s="1837"/>
      <c r="W298" s="1838"/>
      <c r="X298" s="1839"/>
      <c r="Y298" s="1837"/>
      <c r="Z298" s="1837"/>
      <c r="AA298" s="1838"/>
      <c r="AB298" s="1837"/>
      <c r="AC298" s="1838"/>
      <c r="AD298" s="1837"/>
      <c r="AE298" s="1840"/>
      <c r="AF298" s="1837"/>
      <c r="AG298" s="1838"/>
      <c r="AH298" s="1837"/>
      <c r="AI298" s="1838"/>
      <c r="AJ298" s="1839"/>
      <c r="AK298" s="1837"/>
      <c r="AL298" s="1837"/>
      <c r="AM298" s="1838"/>
      <c r="AN298" s="1837"/>
      <c r="AO298" s="1838"/>
      <c r="AP298" s="1837"/>
      <c r="AQ298" s="1841"/>
      <c r="AR298" s="1837"/>
      <c r="AS298" s="1838"/>
      <c r="AT298" s="1837"/>
      <c r="AU298" s="1838"/>
      <c r="AV298" s="1839"/>
      <c r="AW298" s="1840"/>
      <c r="AX298" s="1837"/>
      <c r="AY298" s="1838"/>
      <c r="AZ298" s="1837"/>
      <c r="BA298" s="1838"/>
      <c r="BB298" s="1839"/>
      <c r="BC298" s="1837"/>
      <c r="BD298" s="1837"/>
      <c r="BE298" s="1838"/>
      <c r="BF298" s="1837"/>
      <c r="BG298" s="1838"/>
      <c r="BH298" s="1837"/>
      <c r="BI298" s="1840"/>
      <c r="BJ298" s="1837"/>
      <c r="BK298" s="1838"/>
      <c r="BL298" s="1837"/>
      <c r="BM298" s="1838"/>
      <c r="BN298" s="1839"/>
      <c r="BO298" s="1840"/>
      <c r="BP298" s="1837"/>
      <c r="BQ298" s="1838"/>
      <c r="BR298" s="1842"/>
      <c r="BS298" s="1838"/>
      <c r="BT298" s="1839"/>
      <c r="BU298" s="1840"/>
      <c r="BV298" s="1837"/>
      <c r="BW298" s="1838"/>
      <c r="BX298" s="1837"/>
      <c r="BY298" s="1838"/>
      <c r="BZ298" s="1839"/>
      <c r="CA298" s="1840"/>
      <c r="CB298" s="1837"/>
      <c r="CC298" s="1838"/>
      <c r="CD298" s="1837"/>
      <c r="CE298" s="1838"/>
      <c r="CF298" s="1839"/>
      <c r="CG298" s="1840"/>
      <c r="CH298" s="1837"/>
      <c r="CI298" s="1838"/>
      <c r="CJ298" s="1837"/>
      <c r="CK298" s="1838"/>
      <c r="CL298" s="1839"/>
      <c r="CM298" s="1840"/>
      <c r="CN298" s="1837"/>
      <c r="CO298" s="1838"/>
      <c r="CP298" s="1843"/>
      <c r="CQ298" s="1838"/>
      <c r="CR298" s="1839"/>
      <c r="CS298" s="1840"/>
      <c r="CT298" s="1837"/>
      <c r="CU298" s="1838"/>
      <c r="CV298" s="1837"/>
      <c r="CW298" s="1838"/>
      <c r="CX298" s="1839"/>
      <c r="CY298" s="1840"/>
      <c r="CZ298" s="1837"/>
      <c r="DA298" s="1838"/>
      <c r="DB298" s="1837"/>
      <c r="DC298" s="1838"/>
      <c r="DD298" s="1839"/>
      <c r="DE298" s="1840"/>
      <c r="DF298" s="1837"/>
      <c r="DG298" s="1838"/>
      <c r="DH298" s="1837"/>
      <c r="DI298" s="1838"/>
      <c r="DJ298" s="1839"/>
      <c r="DK298" s="1840"/>
      <c r="DL298" s="1837"/>
      <c r="DM298" s="1838"/>
      <c r="DN298" s="1837"/>
      <c r="DO298" s="1838"/>
      <c r="DP298" s="1839"/>
      <c r="DQ298" s="1840"/>
      <c r="DR298" s="1837"/>
      <c r="DS298" s="1838"/>
      <c r="DT298" s="1837"/>
      <c r="DU298" s="1838"/>
      <c r="DV298" s="1839"/>
      <c r="DW298" s="1840"/>
      <c r="DX298" s="1837"/>
      <c r="DY298" s="1838"/>
      <c r="DZ298" s="1837"/>
      <c r="EA298" s="1838"/>
      <c r="EB298" s="1839"/>
      <c r="EC298" s="1840"/>
      <c r="ED298" s="1837"/>
      <c r="EE298" s="1838"/>
      <c r="EF298" s="1837"/>
      <c r="EG298" s="1838"/>
      <c r="EH298" s="1839"/>
      <c r="EI298" s="1840"/>
      <c r="EJ298" s="1837"/>
      <c r="EK298" s="1838"/>
      <c r="EL298" s="1837"/>
      <c r="EM298" s="1838"/>
      <c r="EN298" s="1839"/>
      <c r="EO298" s="1840"/>
      <c r="EP298" s="1837"/>
      <c r="EQ298" s="1838"/>
      <c r="ER298" s="1837"/>
      <c r="ES298" s="1838"/>
      <c r="ET298" s="1839"/>
      <c r="EU298" s="1840" t="s">
        <v>17078</v>
      </c>
      <c r="EV298" s="1837"/>
      <c r="EW298" s="1838"/>
      <c r="EX298" s="1837"/>
      <c r="EY298" s="1838"/>
      <c r="EZ298" s="1839"/>
      <c r="FA298" s="1840" t="s">
        <v>8145</v>
      </c>
      <c r="FB298" s="1837"/>
      <c r="FC298" s="1838"/>
      <c r="FD298" s="1837"/>
      <c r="FE298" s="1838"/>
      <c r="FF298" s="1839"/>
      <c r="FG298" s="1840"/>
      <c r="FH298" s="1837"/>
      <c r="FI298" s="1838"/>
      <c r="FJ298" s="1837"/>
      <c r="FK298" s="1838"/>
      <c r="FL298" s="1839"/>
      <c r="FM298" s="1840"/>
      <c r="FN298" s="1837"/>
      <c r="FO298" s="1838"/>
      <c r="FP298" s="1837"/>
      <c r="FQ298" s="1838"/>
      <c r="FR298" s="1839"/>
      <c r="FS298" s="1840"/>
      <c r="FT298" s="1837"/>
      <c r="FU298" s="1838"/>
      <c r="FV298" s="1837"/>
      <c r="FW298" s="1838"/>
      <c r="FX298" s="1839"/>
      <c r="FY298" s="1840"/>
      <c r="FZ298" s="1837"/>
      <c r="GA298" s="1838"/>
      <c r="GB298" s="1837"/>
      <c r="GC298" s="1838"/>
      <c r="GD298" s="1839"/>
      <c r="GE298" s="1840"/>
      <c r="GF298" s="1837"/>
      <c r="GG298" s="1838"/>
      <c r="GH298" s="1837"/>
      <c r="GI298" s="1838"/>
      <c r="GJ298" s="1839"/>
      <c r="GK298" s="1840"/>
      <c r="GL298" s="1837"/>
      <c r="GM298" s="1838"/>
      <c r="GN298" s="1837"/>
      <c r="GO298" s="1838"/>
      <c r="GP298" s="1839"/>
    </row>
    <row r="299" spans="1:198" ht="20.100000000000001" hidden="1" customHeight="1" outlineLevel="1">
      <c r="A299" s="2709"/>
      <c r="B299" s="2612"/>
      <c r="C299" s="1836"/>
      <c r="D299" s="2614" t="str">
        <f>実績!C1424&amp;"("&amp;SUBSTITUTE(実績!W1424&amp;")","株式会社 ","")</f>
        <v>羽生市複合商業施設Ａ棟(山鹿建築構造設計事務所)</v>
      </c>
      <c r="E299" s="2617"/>
      <c r="F299" s="2617"/>
      <c r="G299" s="2617"/>
      <c r="H299" s="2617"/>
      <c r="I299" s="2617"/>
      <c r="J299" s="2617"/>
      <c r="K299" s="2617"/>
      <c r="L299" s="2617"/>
      <c r="M299" s="2617"/>
      <c r="N299" s="2617"/>
      <c r="O299" s="2617"/>
      <c r="P299" s="2617"/>
      <c r="Q299" s="2617"/>
      <c r="R299" s="2622"/>
      <c r="S299" s="1837"/>
      <c r="T299" s="1837"/>
      <c r="U299" s="1838"/>
      <c r="V299" s="1837"/>
      <c r="W299" s="1838"/>
      <c r="X299" s="1839"/>
      <c r="Y299" s="1837"/>
      <c r="Z299" s="1837"/>
      <c r="AA299" s="1838"/>
      <c r="AB299" s="1837"/>
      <c r="AC299" s="1838"/>
      <c r="AD299" s="1837"/>
      <c r="AE299" s="1840"/>
      <c r="AF299" s="1837"/>
      <c r="AG299" s="1838"/>
      <c r="AH299" s="1837"/>
      <c r="AI299" s="1838"/>
      <c r="AJ299" s="1839"/>
      <c r="AK299" s="1837"/>
      <c r="AL299" s="1837"/>
      <c r="AM299" s="1838"/>
      <c r="AN299" s="1837"/>
      <c r="AO299" s="1838"/>
      <c r="AP299" s="1837"/>
      <c r="AQ299" s="1841"/>
      <c r="AR299" s="1837"/>
      <c r="AS299" s="1838"/>
      <c r="AT299" s="1837"/>
      <c r="AU299" s="1838"/>
      <c r="AV299" s="1839"/>
      <c r="AW299" s="1840"/>
      <c r="AX299" s="1837"/>
      <c r="AY299" s="1838"/>
      <c r="AZ299" s="1837"/>
      <c r="BA299" s="1838"/>
      <c r="BB299" s="1839"/>
      <c r="BC299" s="1837"/>
      <c r="BD299" s="1837"/>
      <c r="BE299" s="1838"/>
      <c r="BF299" s="1837"/>
      <c r="BG299" s="1838"/>
      <c r="BH299" s="1837"/>
      <c r="BI299" s="1840"/>
      <c r="BJ299" s="1837"/>
      <c r="BK299" s="1838"/>
      <c r="BL299" s="1837"/>
      <c r="BM299" s="1838"/>
      <c r="BN299" s="1839"/>
      <c r="BO299" s="1840"/>
      <c r="BP299" s="1837"/>
      <c r="BQ299" s="1838"/>
      <c r="BR299" s="1842"/>
      <c r="BS299" s="1838"/>
      <c r="BT299" s="1839"/>
      <c r="BU299" s="1840"/>
      <c r="BV299" s="1837"/>
      <c r="BW299" s="1838"/>
      <c r="BX299" s="1837"/>
      <c r="BY299" s="1838"/>
      <c r="BZ299" s="1839"/>
      <c r="CA299" s="1840"/>
      <c r="CB299" s="1837"/>
      <c r="CC299" s="1838"/>
      <c r="CD299" s="1837"/>
      <c r="CE299" s="1838"/>
      <c r="CF299" s="1839"/>
      <c r="CG299" s="1840"/>
      <c r="CH299" s="1837"/>
      <c r="CI299" s="1838"/>
      <c r="CJ299" s="1837"/>
      <c r="CK299" s="1838"/>
      <c r="CL299" s="1839"/>
      <c r="CM299" s="1840"/>
      <c r="CN299" s="1837"/>
      <c r="CO299" s="1838"/>
      <c r="CP299" s="1843"/>
      <c r="CQ299" s="1838"/>
      <c r="CR299" s="1839"/>
      <c r="CS299" s="1840"/>
      <c r="CT299" s="1837"/>
      <c r="CU299" s="1838"/>
      <c r="CV299" s="1837"/>
      <c r="CW299" s="1838"/>
      <c r="CX299" s="1839"/>
      <c r="CY299" s="1840"/>
      <c r="CZ299" s="1837"/>
      <c r="DA299" s="1838"/>
      <c r="DB299" s="1837"/>
      <c r="DC299" s="1838"/>
      <c r="DD299" s="1839"/>
      <c r="DE299" s="1840"/>
      <c r="DF299" s="1837"/>
      <c r="DG299" s="1838"/>
      <c r="DH299" s="1837"/>
      <c r="DI299" s="1838"/>
      <c r="DJ299" s="1839"/>
      <c r="DK299" s="1840"/>
      <c r="DL299" s="1837"/>
      <c r="DM299" s="1838"/>
      <c r="DN299" s="1837"/>
      <c r="DO299" s="1838"/>
      <c r="DP299" s="1839"/>
      <c r="DQ299" s="1840"/>
      <c r="DR299" s="1837"/>
      <c r="DS299" s="1838"/>
      <c r="DT299" s="1837"/>
      <c r="DU299" s="1838"/>
      <c r="DV299" s="1839"/>
      <c r="DW299" s="1840"/>
      <c r="DX299" s="1837"/>
      <c r="DY299" s="1838"/>
      <c r="DZ299" s="1837"/>
      <c r="EA299" s="1838"/>
      <c r="EB299" s="1839"/>
      <c r="EC299" s="1840"/>
      <c r="ED299" s="1837"/>
      <c r="EE299" s="1838"/>
      <c r="EF299" s="1837"/>
      <c r="EG299" s="1838"/>
      <c r="EH299" s="1839"/>
      <c r="EI299" s="1840"/>
      <c r="EJ299" s="1837"/>
      <c r="EK299" s="1838"/>
      <c r="EL299" s="1837"/>
      <c r="EM299" s="1838"/>
      <c r="EN299" s="1839"/>
      <c r="EO299" s="1840"/>
      <c r="EP299" s="1837"/>
      <c r="EQ299" s="1838"/>
      <c r="ER299" s="1837"/>
      <c r="ES299" s="1838"/>
      <c r="ET299" s="1839"/>
      <c r="EU299" s="1840"/>
      <c r="EV299" s="1837"/>
      <c r="EW299" s="1838"/>
      <c r="EX299" s="1837"/>
      <c r="EY299" s="1838"/>
      <c r="EZ299" s="1839"/>
      <c r="FA299" s="1840"/>
      <c r="FB299" s="1837"/>
      <c r="FC299" s="1838"/>
      <c r="FD299" s="1837"/>
      <c r="FE299" s="1838"/>
      <c r="FF299" s="1839"/>
      <c r="FG299" s="1840"/>
      <c r="FH299" s="1837"/>
      <c r="FI299" s="1838"/>
      <c r="FJ299" s="1837"/>
      <c r="FK299" s="1838"/>
      <c r="FL299" s="1839"/>
      <c r="FM299" s="1840"/>
      <c r="FN299" s="1837"/>
      <c r="FO299" s="1838"/>
      <c r="FP299" s="1837"/>
      <c r="FQ299" s="1838"/>
      <c r="FR299" s="1839"/>
      <c r="FS299" s="1840"/>
      <c r="FT299" s="1837"/>
      <c r="FU299" s="1838"/>
      <c r="FV299" s="1837"/>
      <c r="FW299" s="1838"/>
      <c r="FX299" s="1839"/>
      <c r="FY299" s="1840"/>
      <c r="FZ299" s="1837"/>
      <c r="GA299" s="1838"/>
      <c r="GB299" s="1837"/>
      <c r="GC299" s="1838"/>
      <c r="GD299" s="1839"/>
      <c r="GE299" s="1840"/>
      <c r="GF299" s="1837"/>
      <c r="GG299" s="1838"/>
      <c r="GH299" s="1837"/>
      <c r="GI299" s="1838"/>
      <c r="GJ299" s="1839"/>
      <c r="GK299" s="1840"/>
      <c r="GL299" s="1837"/>
      <c r="GM299" s="1838"/>
      <c r="GN299" s="1837"/>
      <c r="GO299" s="1838"/>
      <c r="GP299" s="1839"/>
    </row>
    <row r="300" spans="1:198" ht="20.100000000000001" hidden="1" customHeight="1" outlineLevel="1">
      <c r="A300" s="2709"/>
      <c r="B300" s="2612"/>
      <c r="C300" s="1836"/>
      <c r="D300" s="2614" t="str">
        <f>実績!C1423&amp;"("&amp;SUBSTITUTE(実績!W1423&amp;")","株式会社 ","")</f>
        <v>雪印メグミルク㈱阿見工場第Ⅱ倉庫(オー・エヌ・オー大野設計)</v>
      </c>
      <c r="E300" s="2617"/>
      <c r="F300" s="2617"/>
      <c r="G300" s="2617"/>
      <c r="H300" s="2617"/>
      <c r="I300" s="2617"/>
      <c r="J300" s="2617"/>
      <c r="K300" s="2617"/>
      <c r="L300" s="2617"/>
      <c r="M300" s="2617"/>
      <c r="N300" s="2617"/>
      <c r="O300" s="2617"/>
      <c r="P300" s="2617"/>
      <c r="Q300" s="2617"/>
      <c r="R300" s="2622"/>
      <c r="S300" s="1837"/>
      <c r="T300" s="1837"/>
      <c r="U300" s="1838"/>
      <c r="V300" s="1837"/>
      <c r="W300" s="1838"/>
      <c r="X300" s="1839"/>
      <c r="Y300" s="1837"/>
      <c r="Z300" s="1837"/>
      <c r="AA300" s="1838"/>
      <c r="AB300" s="1837"/>
      <c r="AC300" s="1838"/>
      <c r="AD300" s="1837"/>
      <c r="AE300" s="1840"/>
      <c r="AF300" s="1837"/>
      <c r="AG300" s="1838"/>
      <c r="AH300" s="1837"/>
      <c r="AI300" s="1838"/>
      <c r="AJ300" s="1839"/>
      <c r="AK300" s="1837"/>
      <c r="AL300" s="1837"/>
      <c r="AM300" s="1838"/>
      <c r="AN300" s="1837"/>
      <c r="AO300" s="1838"/>
      <c r="AP300" s="1837"/>
      <c r="AQ300" s="1841"/>
      <c r="AR300" s="1837"/>
      <c r="AS300" s="1838"/>
      <c r="AT300" s="1837"/>
      <c r="AU300" s="1838"/>
      <c r="AV300" s="1839"/>
      <c r="AW300" s="1840"/>
      <c r="AX300" s="1837"/>
      <c r="AY300" s="1838"/>
      <c r="AZ300" s="1837"/>
      <c r="BA300" s="1838"/>
      <c r="BB300" s="1839"/>
      <c r="BC300" s="1837"/>
      <c r="BD300" s="1837"/>
      <c r="BE300" s="1838"/>
      <c r="BF300" s="1837"/>
      <c r="BG300" s="1838"/>
      <c r="BH300" s="1837"/>
      <c r="BI300" s="1840"/>
      <c r="BJ300" s="1837"/>
      <c r="BK300" s="1838"/>
      <c r="BL300" s="1837"/>
      <c r="BM300" s="1838"/>
      <c r="BN300" s="1839"/>
      <c r="BO300" s="1840"/>
      <c r="BP300" s="1837"/>
      <c r="BQ300" s="1838"/>
      <c r="BR300" s="1842"/>
      <c r="BS300" s="1838"/>
      <c r="BT300" s="1839"/>
      <c r="BU300" s="1840"/>
      <c r="BV300" s="1837"/>
      <c r="BW300" s="1838"/>
      <c r="BX300" s="1837"/>
      <c r="BY300" s="1838"/>
      <c r="BZ300" s="1839"/>
      <c r="CA300" s="1840"/>
      <c r="CB300" s="1837"/>
      <c r="CC300" s="1838"/>
      <c r="CD300" s="1837"/>
      <c r="CE300" s="1838"/>
      <c r="CF300" s="1839"/>
      <c r="CG300" s="1840"/>
      <c r="CH300" s="1837"/>
      <c r="CI300" s="1838"/>
      <c r="CJ300" s="1837"/>
      <c r="CK300" s="1838"/>
      <c r="CL300" s="1839"/>
      <c r="CM300" s="1840"/>
      <c r="CN300" s="1837"/>
      <c r="CO300" s="1838"/>
      <c r="CP300" s="1843"/>
      <c r="CQ300" s="1838"/>
      <c r="CR300" s="1839"/>
      <c r="CS300" s="1840"/>
      <c r="CT300" s="1837"/>
      <c r="CU300" s="1838"/>
      <c r="CV300" s="1837"/>
      <c r="CW300" s="1838"/>
      <c r="CX300" s="1839"/>
      <c r="CY300" s="1840"/>
      <c r="CZ300" s="1837"/>
      <c r="DA300" s="1838"/>
      <c r="DB300" s="1837"/>
      <c r="DC300" s="1838"/>
      <c r="DD300" s="1839"/>
      <c r="DE300" s="1840"/>
      <c r="DF300" s="1837"/>
      <c r="DG300" s="1838"/>
      <c r="DH300" s="1837"/>
      <c r="DI300" s="1838"/>
      <c r="DJ300" s="1839"/>
      <c r="DK300" s="1840"/>
      <c r="DL300" s="1837"/>
      <c r="DM300" s="1838"/>
      <c r="DN300" s="1837"/>
      <c r="DO300" s="1838"/>
      <c r="DP300" s="1839"/>
      <c r="DQ300" s="1840"/>
      <c r="DR300" s="1837"/>
      <c r="DS300" s="1838"/>
      <c r="DT300" s="1837"/>
      <c r="DU300" s="1838"/>
      <c r="DV300" s="1839"/>
      <c r="DW300" s="1840"/>
      <c r="DX300" s="1837"/>
      <c r="DY300" s="1838"/>
      <c r="DZ300" s="1837"/>
      <c r="EA300" s="1838"/>
      <c r="EB300" s="1839"/>
      <c r="EC300" s="1840"/>
      <c r="ED300" s="1837"/>
      <c r="EE300" s="1838"/>
      <c r="EF300" s="1837"/>
      <c r="EG300" s="1838"/>
      <c r="EH300" s="1839"/>
      <c r="EI300" s="1840"/>
      <c r="EJ300" s="1837"/>
      <c r="EK300" s="1838"/>
      <c r="EL300" s="1837"/>
      <c r="EM300" s="1838"/>
      <c r="EN300" s="1839"/>
      <c r="EO300" s="1840"/>
      <c r="EP300" s="1837"/>
      <c r="EQ300" s="1838"/>
      <c r="ER300" s="1837"/>
      <c r="ES300" s="1838" t="s">
        <v>8575</v>
      </c>
      <c r="ET300" s="1839"/>
      <c r="EU300" s="1840" t="s">
        <v>17401</v>
      </c>
      <c r="EV300" s="1837"/>
      <c r="EW300" s="1838"/>
      <c r="EX300" s="1837"/>
      <c r="EY300" s="1838"/>
      <c r="EZ300" s="1839"/>
      <c r="FA300" s="1840"/>
      <c r="FB300" s="1837"/>
      <c r="FC300" s="1838"/>
      <c r="FD300" s="1837"/>
      <c r="FE300" s="1838"/>
      <c r="FF300" s="1839"/>
      <c r="FG300" s="1840"/>
      <c r="FH300" s="1837"/>
      <c r="FI300" s="1838"/>
      <c r="FJ300" s="1837"/>
      <c r="FK300" s="1838"/>
      <c r="FL300" s="1844" t="s">
        <v>17488</v>
      </c>
      <c r="FM300" s="1840"/>
      <c r="FN300" s="1837"/>
      <c r="FO300" s="1838"/>
      <c r="FP300" s="1837"/>
      <c r="FQ300" s="1838"/>
      <c r="FR300" s="1839"/>
      <c r="FS300" s="1840"/>
      <c r="FT300" s="1837"/>
      <c r="FU300" s="1838"/>
      <c r="FV300" s="1837"/>
      <c r="FW300" s="1838"/>
      <c r="FX300" s="1839"/>
      <c r="FY300" s="1840"/>
      <c r="FZ300" s="1837"/>
      <c r="GA300" s="1838"/>
      <c r="GB300" s="1837"/>
      <c r="GC300" s="1838"/>
      <c r="GD300" s="1839"/>
      <c r="GE300" s="1840"/>
      <c r="GF300" s="1837"/>
      <c r="GG300" s="1838"/>
      <c r="GH300" s="1837"/>
      <c r="GI300" s="1838"/>
      <c r="GJ300" s="1839"/>
      <c r="GK300" s="1840"/>
      <c r="GL300" s="1837"/>
      <c r="GM300" s="1838"/>
      <c r="GN300" s="1837"/>
      <c r="GO300" s="1838"/>
      <c r="GP300" s="1839"/>
    </row>
    <row r="301" spans="1:198" ht="20.100000000000001" hidden="1" customHeight="1" outlineLevel="1" collapsed="1">
      <c r="A301" s="2709"/>
      <c r="B301" s="2612"/>
      <c r="C301" s="1836"/>
      <c r="D301" s="2614" t="str">
        <f>実績!C1389&amp;"("&amp;SUBSTITUTE(実績!AB1389&amp;")","株式会社 ","")</f>
        <v>広島西ＳＣ(増岡組)</v>
      </c>
      <c r="E301" s="2617"/>
      <c r="F301" s="2617"/>
      <c r="G301" s="2617"/>
      <c r="H301" s="2617"/>
      <c r="I301" s="2617"/>
      <c r="J301" s="2617"/>
      <c r="K301" s="2617"/>
      <c r="L301" s="2617"/>
      <c r="M301" s="2617"/>
      <c r="N301" s="2617"/>
      <c r="O301" s="2617"/>
      <c r="P301" s="2617"/>
      <c r="Q301" s="2617"/>
      <c r="R301" s="2622"/>
      <c r="S301" s="1837"/>
      <c r="T301" s="1837"/>
      <c r="U301" s="1837"/>
      <c r="V301" s="1837"/>
      <c r="W301" s="1837"/>
      <c r="X301" s="1837"/>
      <c r="Y301" s="1837"/>
      <c r="Z301" s="1837"/>
      <c r="AA301" s="1837"/>
      <c r="AB301" s="1837"/>
      <c r="AC301" s="1837"/>
      <c r="AD301" s="1837"/>
      <c r="AE301" s="1837"/>
      <c r="AF301" s="1837"/>
      <c r="AG301" s="1837"/>
      <c r="AH301" s="1837"/>
      <c r="AI301" s="1837"/>
      <c r="AJ301" s="1837"/>
      <c r="AK301" s="1837"/>
      <c r="AL301" s="1837"/>
      <c r="AM301" s="1837"/>
      <c r="AN301" s="1837"/>
      <c r="AO301" s="1837"/>
      <c r="AP301" s="1837"/>
      <c r="AQ301" s="1837"/>
      <c r="AR301" s="1837"/>
      <c r="AS301" s="1837"/>
      <c r="AT301" s="1837"/>
      <c r="AU301" s="1837"/>
      <c r="AV301" s="1837"/>
      <c r="AW301" s="1837"/>
      <c r="AX301" s="1837"/>
      <c r="AY301" s="1837"/>
      <c r="AZ301" s="1837"/>
      <c r="BA301" s="1837"/>
      <c r="BB301" s="1837"/>
      <c r="BC301" s="1837"/>
      <c r="BD301" s="1837"/>
      <c r="BE301" s="1837"/>
      <c r="BF301" s="1837"/>
      <c r="BG301" s="1837"/>
      <c r="BH301" s="1837"/>
      <c r="BI301" s="1837"/>
      <c r="BJ301" s="1837"/>
      <c r="BK301" s="1837"/>
      <c r="BL301" s="1837"/>
      <c r="BM301" s="1837"/>
      <c r="BN301" s="1837"/>
      <c r="BO301" s="1837"/>
      <c r="BP301" s="1837"/>
      <c r="BQ301" s="1837"/>
      <c r="BR301" s="1837"/>
      <c r="BS301" s="1837"/>
      <c r="BT301" s="1837"/>
      <c r="BU301" s="1837"/>
      <c r="BV301" s="1837"/>
      <c r="BW301" s="1837"/>
      <c r="BX301" s="1837"/>
      <c r="BY301" s="1837"/>
      <c r="BZ301" s="1837"/>
      <c r="CA301" s="1837"/>
      <c r="CB301" s="1837"/>
      <c r="CC301" s="1837"/>
      <c r="CD301" s="1837"/>
      <c r="CE301" s="1837"/>
      <c r="CF301" s="1837"/>
      <c r="CG301" s="1837"/>
      <c r="CH301" s="1837"/>
      <c r="CI301" s="1837"/>
      <c r="CJ301" s="1837"/>
      <c r="CK301" s="1837"/>
      <c r="CL301" s="1837"/>
      <c r="CM301" s="1837"/>
      <c r="CN301" s="1837"/>
      <c r="CO301" s="1837"/>
      <c r="CP301" s="1843"/>
      <c r="CQ301" s="1837"/>
      <c r="CR301" s="1837"/>
      <c r="CS301" s="1837"/>
      <c r="CT301" s="1837"/>
      <c r="CU301" s="1837"/>
      <c r="CV301" s="1837"/>
      <c r="CW301" s="1837"/>
      <c r="CX301" s="1837"/>
      <c r="CY301" s="1840"/>
      <c r="CZ301" s="1837"/>
      <c r="DA301" s="1838"/>
      <c r="DB301" s="1837"/>
      <c r="DC301" s="1838"/>
      <c r="DD301" s="1839"/>
      <c r="DE301" s="1840"/>
      <c r="DF301" s="1837"/>
      <c r="DG301" s="1838"/>
      <c r="DH301" s="1837"/>
      <c r="DI301" s="1838"/>
      <c r="DJ301" s="1839"/>
      <c r="DK301" s="1840"/>
      <c r="DL301" s="1837"/>
      <c r="DM301" s="1838"/>
      <c r="DN301" s="1837"/>
      <c r="DO301" s="1838"/>
      <c r="DP301" s="1839"/>
      <c r="DQ301" s="1840"/>
      <c r="DR301" s="1837"/>
      <c r="DS301" s="1838"/>
      <c r="DT301" s="1837"/>
      <c r="DU301" s="1838"/>
      <c r="DV301" s="1839"/>
      <c r="DW301" s="1840"/>
      <c r="DX301" s="1837"/>
      <c r="DY301" s="1838"/>
      <c r="DZ301" s="1837"/>
      <c r="EA301" s="1838"/>
      <c r="EB301" s="1839"/>
      <c r="EC301" s="1840"/>
      <c r="ED301" s="1837"/>
      <c r="EE301" s="1838"/>
      <c r="EF301" s="1837"/>
      <c r="EG301" s="1838"/>
      <c r="EH301" s="1865" t="s">
        <v>16571</v>
      </c>
      <c r="EI301" s="1840"/>
      <c r="EJ301" s="1837"/>
      <c r="EK301" s="1838"/>
      <c r="EL301" s="1837"/>
      <c r="EM301" s="1838"/>
      <c r="EN301" s="1844"/>
      <c r="EO301" s="1840"/>
      <c r="EP301" s="1837"/>
      <c r="EQ301" s="1838"/>
      <c r="ER301" s="1837"/>
      <c r="ES301" s="1838"/>
      <c r="ET301" s="1839"/>
      <c r="EU301" s="1840"/>
      <c r="EV301" s="1837"/>
      <c r="EW301" s="1838"/>
      <c r="EX301" s="1837"/>
      <c r="EY301" s="1838"/>
      <c r="EZ301" s="1839"/>
      <c r="FA301" s="1840"/>
      <c r="FB301" s="1837"/>
      <c r="FC301" s="1838"/>
      <c r="FD301" s="1837"/>
      <c r="FE301" s="1838"/>
      <c r="FF301" s="1839"/>
      <c r="FG301" s="1840"/>
      <c r="FH301" s="1837"/>
      <c r="FI301" s="1838"/>
      <c r="FJ301" s="1837"/>
      <c r="FK301" s="1838"/>
      <c r="FL301" s="1844"/>
      <c r="FM301" s="1840"/>
      <c r="FN301" s="1837"/>
      <c r="FO301" s="1838"/>
      <c r="FP301" s="1837" t="s">
        <v>16762</v>
      </c>
      <c r="FQ301" s="1838"/>
      <c r="FR301" s="1844"/>
      <c r="FS301" s="1840"/>
      <c r="FT301" s="1837"/>
      <c r="FU301" s="1838"/>
      <c r="FV301" s="1837"/>
      <c r="FW301" s="1838"/>
      <c r="FX301" s="1844"/>
      <c r="FY301" s="1840"/>
      <c r="FZ301" s="1837"/>
      <c r="GA301" s="1838"/>
      <c r="GB301" s="1837"/>
      <c r="GC301" s="1838"/>
      <c r="GD301" s="1844"/>
      <c r="GE301" s="1840"/>
      <c r="GF301" s="1837"/>
      <c r="GG301" s="1838"/>
      <c r="GH301" s="1837"/>
      <c r="GI301" s="1838"/>
      <c r="GJ301" s="1844"/>
      <c r="GK301" s="1840"/>
      <c r="GL301" s="1837"/>
      <c r="GM301" s="1838"/>
      <c r="GN301" s="1837"/>
      <c r="GO301" s="1838"/>
      <c r="GP301" s="1844"/>
    </row>
    <row r="302" spans="1:198" ht="20.100000000000001" hidden="1" customHeight="1" outlineLevel="1">
      <c r="A302" s="2709"/>
      <c r="B302" s="2612"/>
      <c r="C302" s="1836"/>
      <c r="D302" s="2614" t="str">
        <f>実績!C1429&amp;"("&amp;SUBSTITUTE(実績!R1429&amp;")","株式会社 ","")</f>
        <v>清水物産(株)北海道生鮮工場(総合プランニングセンター)</v>
      </c>
      <c r="E302" s="2617"/>
      <c r="F302" s="2617"/>
      <c r="G302" s="2617"/>
      <c r="H302" s="2617"/>
      <c r="I302" s="2617"/>
      <c r="J302" s="2617"/>
      <c r="K302" s="2617"/>
      <c r="L302" s="2617"/>
      <c r="M302" s="2617"/>
      <c r="N302" s="2617"/>
      <c r="O302" s="2617"/>
      <c r="P302" s="2617"/>
      <c r="Q302" s="2617"/>
      <c r="R302" s="2622"/>
      <c r="S302" s="1837"/>
      <c r="T302" s="1837"/>
      <c r="U302" s="1838"/>
      <c r="V302" s="1837"/>
      <c r="W302" s="1838"/>
      <c r="X302" s="1839"/>
      <c r="Y302" s="1837"/>
      <c r="Z302" s="1837"/>
      <c r="AA302" s="1838"/>
      <c r="AB302" s="1837"/>
      <c r="AC302" s="1838"/>
      <c r="AD302" s="1837"/>
      <c r="AE302" s="1840"/>
      <c r="AF302" s="1837"/>
      <c r="AG302" s="1838"/>
      <c r="AH302" s="1837"/>
      <c r="AI302" s="1838"/>
      <c r="AJ302" s="1839"/>
      <c r="AK302" s="1837"/>
      <c r="AL302" s="1837"/>
      <c r="AM302" s="1838"/>
      <c r="AN302" s="1837"/>
      <c r="AO302" s="1838"/>
      <c r="AP302" s="1837"/>
      <c r="AQ302" s="1841"/>
      <c r="AR302" s="1837"/>
      <c r="AS302" s="1838"/>
      <c r="AT302" s="1837"/>
      <c r="AU302" s="1838"/>
      <c r="AV302" s="1839"/>
      <c r="AW302" s="1840"/>
      <c r="AX302" s="1837"/>
      <c r="AY302" s="1838"/>
      <c r="AZ302" s="1837"/>
      <c r="BA302" s="1838"/>
      <c r="BB302" s="1839"/>
      <c r="BC302" s="1837"/>
      <c r="BD302" s="1837"/>
      <c r="BE302" s="1838"/>
      <c r="BF302" s="1837"/>
      <c r="BG302" s="1838"/>
      <c r="BH302" s="1837"/>
      <c r="BI302" s="1840"/>
      <c r="BJ302" s="1837"/>
      <c r="BK302" s="1838"/>
      <c r="BL302" s="1837"/>
      <c r="BM302" s="1838"/>
      <c r="BN302" s="1839"/>
      <c r="BO302" s="1840"/>
      <c r="BP302" s="1837"/>
      <c r="BQ302" s="1838"/>
      <c r="BR302" s="1842"/>
      <c r="BS302" s="1838"/>
      <c r="BT302" s="1839"/>
      <c r="BU302" s="1840"/>
      <c r="BV302" s="1837"/>
      <c r="BW302" s="1838"/>
      <c r="BX302" s="1837"/>
      <c r="BY302" s="1838"/>
      <c r="BZ302" s="1839"/>
      <c r="CA302" s="1840"/>
      <c r="CB302" s="1837"/>
      <c r="CC302" s="1838"/>
      <c r="CD302" s="1837"/>
      <c r="CE302" s="1838"/>
      <c r="CF302" s="1839"/>
      <c r="CG302" s="1840"/>
      <c r="CH302" s="1837"/>
      <c r="CI302" s="1838"/>
      <c r="CJ302" s="1837"/>
      <c r="CK302" s="1838"/>
      <c r="CL302" s="1839"/>
      <c r="CM302" s="1840"/>
      <c r="CN302" s="1837"/>
      <c r="CO302" s="1838"/>
      <c r="CP302" s="1843"/>
      <c r="CQ302" s="1838"/>
      <c r="CR302" s="1839"/>
      <c r="CS302" s="1840"/>
      <c r="CT302" s="1837"/>
      <c r="CU302" s="1838"/>
      <c r="CV302" s="1837"/>
      <c r="CW302" s="1838"/>
      <c r="CX302" s="1839"/>
      <c r="CY302" s="1840"/>
      <c r="CZ302" s="1837"/>
      <c r="DA302" s="1838"/>
      <c r="DB302" s="1837"/>
      <c r="DC302" s="1838"/>
      <c r="DD302" s="1839"/>
      <c r="DE302" s="1840"/>
      <c r="DF302" s="1837"/>
      <c r="DG302" s="1838"/>
      <c r="DH302" s="1837"/>
      <c r="DI302" s="1838"/>
      <c r="DJ302" s="1839"/>
      <c r="DK302" s="1840"/>
      <c r="DL302" s="1837"/>
      <c r="DM302" s="1838"/>
      <c r="DN302" s="1837"/>
      <c r="DO302" s="1838"/>
      <c r="DP302" s="1839"/>
      <c r="DQ302" s="1840"/>
      <c r="DR302" s="1837"/>
      <c r="DS302" s="1838"/>
      <c r="DT302" s="1837"/>
      <c r="DU302" s="1838"/>
      <c r="DV302" s="1839"/>
      <c r="DW302" s="1840"/>
      <c r="DX302" s="1837"/>
      <c r="DY302" s="1838"/>
      <c r="DZ302" s="1837"/>
      <c r="EA302" s="1838"/>
      <c r="EB302" s="1839"/>
      <c r="EC302" s="1840"/>
      <c r="ED302" s="1837"/>
      <c r="EE302" s="1838"/>
      <c r="EF302" s="1837"/>
      <c r="EG302" s="1838"/>
      <c r="EH302" s="1839"/>
      <c r="EI302" s="1840"/>
      <c r="EJ302" s="1837"/>
      <c r="EK302" s="1838"/>
      <c r="EL302" s="1837"/>
      <c r="EM302" s="1838"/>
      <c r="EN302" s="1839"/>
      <c r="EO302" s="1840"/>
      <c r="EP302" s="1837"/>
      <c r="EQ302" s="1838"/>
      <c r="ER302" s="1837"/>
      <c r="ES302" s="1838"/>
      <c r="ET302" s="1839"/>
      <c r="EU302" s="1840"/>
      <c r="EV302" s="1837" t="s">
        <v>17501</v>
      </c>
      <c r="EW302" s="1838"/>
      <c r="EX302" s="1837"/>
      <c r="EY302" s="1838"/>
      <c r="EZ302" s="1839"/>
      <c r="FA302" s="1840"/>
      <c r="FB302" s="1837"/>
      <c r="FC302" s="1838"/>
      <c r="FD302" s="1837" t="s">
        <v>17488</v>
      </c>
      <c r="FE302" s="1838"/>
      <c r="FF302" s="1839"/>
      <c r="FG302" s="1840"/>
      <c r="FH302" s="1837"/>
      <c r="FI302" s="1838"/>
      <c r="FJ302" s="1837"/>
      <c r="FK302" s="1838"/>
      <c r="FL302" s="1844"/>
      <c r="FM302" s="1840"/>
      <c r="FN302" s="1837"/>
      <c r="FO302" s="1838"/>
      <c r="FP302" s="1837"/>
      <c r="FQ302" s="1838"/>
      <c r="FR302" s="1839"/>
      <c r="FS302" s="1840"/>
      <c r="FT302" s="1837"/>
      <c r="FU302" s="1838"/>
      <c r="FV302" s="1837"/>
      <c r="FW302" s="1838"/>
      <c r="FX302" s="1839"/>
      <c r="FY302" s="1840"/>
      <c r="FZ302" s="1837"/>
      <c r="GA302" s="1838"/>
      <c r="GB302" s="1837"/>
      <c r="GC302" s="1838"/>
      <c r="GD302" s="1837"/>
      <c r="GE302" s="1840"/>
      <c r="GF302" s="1837"/>
      <c r="GG302" s="1838"/>
      <c r="GH302" s="1837"/>
      <c r="GI302" s="1838"/>
      <c r="GJ302" s="1837"/>
      <c r="GK302" s="1840"/>
      <c r="GL302" s="1837"/>
      <c r="GM302" s="1838"/>
      <c r="GN302" s="1837"/>
      <c r="GO302" s="1838"/>
      <c r="GP302" s="1837"/>
    </row>
    <row r="303" spans="1:198" ht="20.100000000000001" hidden="1" customHeight="1" outlineLevel="1">
      <c r="A303" s="2709"/>
      <c r="B303" s="2612"/>
      <c r="C303" s="1836"/>
      <c r="D303" s="2614" t="str">
        <f>実績!C1430&amp;"("&amp;SUBSTITUTE(実績!R1430&amp;")","株式会社","")</f>
        <v>㈱サエキ新三郷整備工場(オネストアーク )</v>
      </c>
      <c r="E303" s="2617"/>
      <c r="F303" s="2617"/>
      <c r="G303" s="2617"/>
      <c r="H303" s="2617"/>
      <c r="I303" s="2617"/>
      <c r="J303" s="2617"/>
      <c r="K303" s="2617"/>
      <c r="L303" s="2617"/>
      <c r="M303" s="2617"/>
      <c r="N303" s="2617"/>
      <c r="O303" s="2617"/>
      <c r="P303" s="2617"/>
      <c r="Q303" s="2617"/>
      <c r="R303" s="2622"/>
      <c r="S303" s="1837"/>
      <c r="T303" s="1837"/>
      <c r="U303" s="1838"/>
      <c r="V303" s="1837"/>
      <c r="W303" s="1838"/>
      <c r="X303" s="1839"/>
      <c r="Y303" s="1837"/>
      <c r="Z303" s="1837"/>
      <c r="AA303" s="1838"/>
      <c r="AB303" s="1837"/>
      <c r="AC303" s="1838"/>
      <c r="AD303" s="1837"/>
      <c r="AE303" s="1840"/>
      <c r="AF303" s="1837"/>
      <c r="AG303" s="1838"/>
      <c r="AH303" s="1837"/>
      <c r="AI303" s="1838"/>
      <c r="AJ303" s="1839"/>
      <c r="AK303" s="1837"/>
      <c r="AL303" s="1837"/>
      <c r="AM303" s="1838"/>
      <c r="AN303" s="1837"/>
      <c r="AO303" s="1838"/>
      <c r="AP303" s="1837"/>
      <c r="AQ303" s="1841"/>
      <c r="AR303" s="1837"/>
      <c r="AS303" s="1838"/>
      <c r="AT303" s="1837"/>
      <c r="AU303" s="1838"/>
      <c r="AV303" s="1839"/>
      <c r="AW303" s="1840"/>
      <c r="AX303" s="1837"/>
      <c r="AY303" s="1838"/>
      <c r="AZ303" s="1837"/>
      <c r="BA303" s="1838"/>
      <c r="BB303" s="1839"/>
      <c r="BC303" s="1837"/>
      <c r="BD303" s="1837"/>
      <c r="BE303" s="1838"/>
      <c r="BF303" s="1837"/>
      <c r="BG303" s="1838"/>
      <c r="BH303" s="1837"/>
      <c r="BI303" s="1840"/>
      <c r="BJ303" s="1837"/>
      <c r="BK303" s="1838"/>
      <c r="BL303" s="1837"/>
      <c r="BM303" s="1838"/>
      <c r="BN303" s="1839"/>
      <c r="BO303" s="1840"/>
      <c r="BP303" s="1837"/>
      <c r="BQ303" s="1838"/>
      <c r="BR303" s="1842"/>
      <c r="BS303" s="1838"/>
      <c r="BT303" s="1839"/>
      <c r="BU303" s="1840"/>
      <c r="BV303" s="1837"/>
      <c r="BW303" s="1838"/>
      <c r="BX303" s="1837"/>
      <c r="BY303" s="1838"/>
      <c r="BZ303" s="1839"/>
      <c r="CA303" s="1840"/>
      <c r="CB303" s="1837"/>
      <c r="CC303" s="1838"/>
      <c r="CD303" s="1837"/>
      <c r="CE303" s="1838"/>
      <c r="CF303" s="1839"/>
      <c r="CG303" s="1840"/>
      <c r="CH303" s="1837"/>
      <c r="CI303" s="1838"/>
      <c r="CJ303" s="1837"/>
      <c r="CK303" s="1838"/>
      <c r="CL303" s="1839"/>
      <c r="CM303" s="1840"/>
      <c r="CN303" s="1837"/>
      <c r="CO303" s="1838"/>
      <c r="CP303" s="1843"/>
      <c r="CQ303" s="1838"/>
      <c r="CR303" s="1839"/>
      <c r="CS303" s="1840"/>
      <c r="CT303" s="1837"/>
      <c r="CU303" s="1838"/>
      <c r="CV303" s="1837"/>
      <c r="CW303" s="1838"/>
      <c r="CX303" s="1839"/>
      <c r="CY303" s="1840"/>
      <c r="CZ303" s="1837"/>
      <c r="DA303" s="1838"/>
      <c r="DB303" s="1837"/>
      <c r="DC303" s="1838"/>
      <c r="DD303" s="1839"/>
      <c r="DE303" s="1840"/>
      <c r="DF303" s="1837"/>
      <c r="DG303" s="1838"/>
      <c r="DH303" s="1837"/>
      <c r="DI303" s="1838"/>
      <c r="DJ303" s="1839"/>
      <c r="DK303" s="1840"/>
      <c r="DL303" s="1837"/>
      <c r="DM303" s="1838"/>
      <c r="DN303" s="1837"/>
      <c r="DO303" s="1838"/>
      <c r="DP303" s="1839"/>
      <c r="DQ303" s="1840"/>
      <c r="DR303" s="1837"/>
      <c r="DS303" s="1838"/>
      <c r="DT303" s="1837"/>
      <c r="DU303" s="1838"/>
      <c r="DV303" s="1839"/>
      <c r="DW303" s="1840"/>
      <c r="DX303" s="1837"/>
      <c r="DY303" s="1838"/>
      <c r="DZ303" s="1837"/>
      <c r="EA303" s="1838"/>
      <c r="EB303" s="1839"/>
      <c r="EC303" s="1840"/>
      <c r="ED303" s="1837"/>
      <c r="EE303" s="1838"/>
      <c r="EF303" s="1837"/>
      <c r="EG303" s="1838"/>
      <c r="EH303" s="1839"/>
      <c r="EI303" s="1840"/>
      <c r="EJ303" s="1837"/>
      <c r="EK303" s="1838"/>
      <c r="EL303" s="1837"/>
      <c r="EM303" s="1838"/>
      <c r="EN303" s="1839"/>
      <c r="EO303" s="1840"/>
      <c r="EP303" s="1837"/>
      <c r="EQ303" s="1838"/>
      <c r="ER303" s="1837"/>
      <c r="ES303" s="1838"/>
      <c r="ET303" s="1839"/>
      <c r="EU303" s="1840" t="s">
        <v>17598</v>
      </c>
      <c r="EV303" s="1837"/>
      <c r="EW303" s="1838"/>
      <c r="EX303" s="1837"/>
      <c r="EY303" s="1838"/>
      <c r="EZ303" s="1839"/>
      <c r="FA303" s="1840"/>
      <c r="FB303" s="1837"/>
      <c r="FC303" s="1838"/>
      <c r="FD303" s="1837"/>
      <c r="FE303" s="1838"/>
      <c r="FF303" s="1839"/>
      <c r="FG303" s="1840"/>
      <c r="FH303" s="1837"/>
      <c r="FI303" s="1838"/>
      <c r="FJ303" s="1837" t="s">
        <v>17630</v>
      </c>
      <c r="FK303" s="1838"/>
      <c r="FL303" s="1839"/>
      <c r="FM303" s="1840"/>
      <c r="FN303" s="1837"/>
      <c r="FO303" s="1838"/>
      <c r="FP303" s="1837"/>
      <c r="FQ303" s="1838"/>
      <c r="FR303" s="1839"/>
      <c r="FS303" s="1840"/>
      <c r="FT303" s="1837"/>
      <c r="FU303" s="1838"/>
      <c r="FV303" s="1837"/>
      <c r="FW303" s="1838"/>
      <c r="FX303" s="1839"/>
      <c r="FY303" s="1840"/>
      <c r="FZ303" s="1837"/>
      <c r="GA303" s="1838"/>
      <c r="GB303" s="1837"/>
      <c r="GC303" s="1838"/>
      <c r="GD303" s="1839"/>
      <c r="GE303" s="1840"/>
      <c r="GF303" s="1837"/>
      <c r="GG303" s="1838"/>
      <c r="GH303" s="1837"/>
      <c r="GI303" s="1838"/>
      <c r="GJ303" s="1839"/>
      <c r="GK303" s="1840"/>
      <c r="GL303" s="1837"/>
      <c r="GM303" s="1838"/>
      <c r="GN303" s="1837"/>
      <c r="GO303" s="1838"/>
      <c r="GP303" s="1839"/>
    </row>
    <row r="304" spans="1:198" ht="20.100000000000001" hidden="1" customHeight="1" outlineLevel="1" collapsed="1">
      <c r="A304" s="2709"/>
      <c r="B304" s="2612"/>
      <c r="C304" s="1836"/>
      <c r="D304" s="2614" t="str">
        <f>実績!C1394&amp;"("&amp;SUBSTITUTE(実績!R1394&amp;")","株式会社 ","")</f>
        <v>マルハン八王子(河野設計東京)</v>
      </c>
      <c r="E304" s="2617"/>
      <c r="F304" s="2617"/>
      <c r="G304" s="2617"/>
      <c r="H304" s="2617"/>
      <c r="I304" s="2617"/>
      <c r="J304" s="2617"/>
      <c r="K304" s="2617"/>
      <c r="L304" s="2617"/>
      <c r="M304" s="2617"/>
      <c r="N304" s="2617"/>
      <c r="O304" s="2617"/>
      <c r="P304" s="2617"/>
      <c r="Q304" s="2617"/>
      <c r="R304" s="2622"/>
      <c r="S304" s="1837"/>
      <c r="T304" s="1837"/>
      <c r="U304" s="1837"/>
      <c r="V304" s="1837"/>
      <c r="W304" s="1837"/>
      <c r="X304" s="1837"/>
      <c r="Y304" s="1837"/>
      <c r="Z304" s="1837"/>
      <c r="AA304" s="1837"/>
      <c r="AB304" s="1837"/>
      <c r="AC304" s="1837"/>
      <c r="AD304" s="1837"/>
      <c r="AE304" s="1837"/>
      <c r="AF304" s="1837"/>
      <c r="AG304" s="1837"/>
      <c r="AH304" s="1837"/>
      <c r="AI304" s="1837"/>
      <c r="AJ304" s="1837"/>
      <c r="AK304" s="1837"/>
      <c r="AL304" s="1837"/>
      <c r="AM304" s="1837"/>
      <c r="AN304" s="1837"/>
      <c r="AO304" s="1837"/>
      <c r="AP304" s="1837"/>
      <c r="AQ304" s="1837"/>
      <c r="AR304" s="1837"/>
      <c r="AS304" s="1837"/>
      <c r="AT304" s="1837"/>
      <c r="AU304" s="1837"/>
      <c r="AV304" s="1837"/>
      <c r="AW304" s="1837"/>
      <c r="AX304" s="1837"/>
      <c r="AY304" s="1837"/>
      <c r="AZ304" s="1837"/>
      <c r="BA304" s="1837"/>
      <c r="BB304" s="1837"/>
      <c r="BC304" s="1837"/>
      <c r="BD304" s="1837"/>
      <c r="BE304" s="1837"/>
      <c r="BF304" s="1837"/>
      <c r="BG304" s="1837"/>
      <c r="BH304" s="1837"/>
      <c r="BI304" s="1837"/>
      <c r="BJ304" s="1837"/>
      <c r="BK304" s="1837"/>
      <c r="BL304" s="1837"/>
      <c r="BM304" s="1837"/>
      <c r="BN304" s="1837"/>
      <c r="BO304" s="1837"/>
      <c r="BP304" s="1837"/>
      <c r="BQ304" s="1837"/>
      <c r="BR304" s="1837"/>
      <c r="BS304" s="1837"/>
      <c r="BT304" s="1837"/>
      <c r="BU304" s="1837"/>
      <c r="BV304" s="1837"/>
      <c r="BW304" s="1837"/>
      <c r="BX304" s="1837"/>
      <c r="BY304" s="1837"/>
      <c r="BZ304" s="1837"/>
      <c r="CA304" s="1837"/>
      <c r="CB304" s="1837"/>
      <c r="CC304" s="1837"/>
      <c r="CD304" s="1837"/>
      <c r="CE304" s="1837"/>
      <c r="CF304" s="1837"/>
      <c r="CG304" s="1837"/>
      <c r="CH304" s="1837"/>
      <c r="CI304" s="1837"/>
      <c r="CJ304" s="1837"/>
      <c r="CK304" s="1837"/>
      <c r="CL304" s="1837"/>
      <c r="CM304" s="1837"/>
      <c r="CN304" s="1837"/>
      <c r="CO304" s="1837"/>
      <c r="CP304" s="1843"/>
      <c r="CQ304" s="1837"/>
      <c r="CR304" s="1837"/>
      <c r="CS304" s="1837"/>
      <c r="CT304" s="1837"/>
      <c r="CU304" s="1837"/>
      <c r="CV304" s="1837"/>
      <c r="CW304" s="1837"/>
      <c r="CX304" s="1837"/>
      <c r="CY304" s="1840"/>
      <c r="CZ304" s="1837"/>
      <c r="DA304" s="1838"/>
      <c r="DB304" s="1837"/>
      <c r="DC304" s="1838"/>
      <c r="DD304" s="1839"/>
      <c r="DE304" s="1840"/>
      <c r="DF304" s="1837"/>
      <c r="DG304" s="1838"/>
      <c r="DH304" s="1837"/>
      <c r="DI304" s="1838"/>
      <c r="DJ304" s="1839"/>
      <c r="DK304" s="1840"/>
      <c r="DL304" s="1837"/>
      <c r="DM304" s="1838"/>
      <c r="DN304" s="1837"/>
      <c r="DO304" s="1838"/>
      <c r="DP304" s="1839"/>
      <c r="DQ304" s="1840"/>
      <c r="DR304" s="1837"/>
      <c r="DS304" s="1838"/>
      <c r="DT304" s="1837"/>
      <c r="DU304" s="1838"/>
      <c r="DV304" s="1839"/>
      <c r="DW304" s="1840"/>
      <c r="DX304" s="1837"/>
      <c r="DY304" s="1838"/>
      <c r="DZ304" s="1837"/>
      <c r="EA304" s="1838"/>
      <c r="EB304" s="1839"/>
      <c r="EC304" s="1840"/>
      <c r="ED304" s="1842"/>
      <c r="EE304" s="1838"/>
      <c r="EF304" s="1837"/>
      <c r="EG304" s="1838"/>
      <c r="EH304" s="1839"/>
      <c r="EI304" s="1840"/>
      <c r="EJ304" s="1837"/>
      <c r="EK304" s="1838"/>
      <c r="EL304" s="1837" t="s">
        <v>16763</v>
      </c>
      <c r="EM304" s="1838"/>
      <c r="EN304" s="1839"/>
      <c r="EO304" s="1840"/>
      <c r="EP304" s="1837"/>
      <c r="EQ304" s="1838"/>
      <c r="ER304" s="1837" t="s">
        <v>16200</v>
      </c>
      <c r="ES304" s="1838"/>
      <c r="ET304" s="1839"/>
      <c r="EU304" s="1840"/>
      <c r="EV304" s="1837"/>
      <c r="EW304" s="1838"/>
      <c r="EX304" s="1837"/>
      <c r="EY304" s="1838"/>
      <c r="EZ304" s="1839"/>
      <c r="FA304" s="1840"/>
      <c r="FB304" s="1837"/>
      <c r="FC304" s="1838"/>
      <c r="FD304" s="1837" t="s">
        <v>16201</v>
      </c>
      <c r="FE304" s="1838"/>
      <c r="FF304" s="1839"/>
      <c r="FG304" s="1840"/>
      <c r="FH304" s="1837"/>
      <c r="FI304" s="1838"/>
      <c r="FJ304" s="1837"/>
      <c r="FK304" s="1838"/>
      <c r="FL304" s="1839"/>
      <c r="FM304" s="1840"/>
      <c r="FN304" s="1837"/>
      <c r="FO304" s="1838"/>
      <c r="FP304" s="1837"/>
      <c r="FQ304" s="1838"/>
      <c r="FR304" s="1839"/>
      <c r="FS304" s="1840"/>
      <c r="FT304" s="1837"/>
      <c r="FU304" s="1838"/>
      <c r="FV304" s="1837"/>
      <c r="FW304" s="1838"/>
      <c r="FX304" s="1839"/>
      <c r="FY304" s="1840"/>
      <c r="FZ304" s="1837"/>
      <c r="GA304" s="1838"/>
      <c r="GB304" s="1837"/>
      <c r="GC304" s="1838"/>
      <c r="GD304" s="1839"/>
      <c r="GE304" s="1840"/>
      <c r="GF304" s="1837"/>
      <c r="GG304" s="1838"/>
      <c r="GH304" s="1837"/>
      <c r="GI304" s="1838"/>
      <c r="GJ304" s="1839"/>
      <c r="GK304" s="1840"/>
      <c r="GL304" s="1837"/>
      <c r="GM304" s="1838"/>
      <c r="GN304" s="1837"/>
      <c r="GO304" s="1838"/>
      <c r="GP304" s="1839"/>
    </row>
    <row r="305" spans="1:198" ht="20.100000000000001" hidden="1" customHeight="1" outlineLevel="1">
      <c r="A305" s="2709"/>
      <c r="B305" s="2612"/>
      <c r="C305" s="1836"/>
      <c r="D305" s="2614" t="str">
        <f>実績!C1432&amp;"("&amp;SUBSTITUTE(実績!W1432&amp;")","株式会社 ","")</f>
        <v>アレーズ秋桜計画(奥野設計)</v>
      </c>
      <c r="E305" s="2617"/>
      <c r="F305" s="2617"/>
      <c r="G305" s="2617"/>
      <c r="H305" s="2617"/>
      <c r="I305" s="2617"/>
      <c r="J305" s="2617"/>
      <c r="K305" s="2617"/>
      <c r="L305" s="2617"/>
      <c r="M305" s="2617"/>
      <c r="N305" s="2617"/>
      <c r="O305" s="2617"/>
      <c r="P305" s="2617"/>
      <c r="Q305" s="2617"/>
      <c r="R305" s="2622"/>
      <c r="S305" s="1837"/>
      <c r="T305" s="1837"/>
      <c r="U305" s="1838"/>
      <c r="V305" s="1837"/>
      <c r="W305" s="1838"/>
      <c r="X305" s="1839"/>
      <c r="Y305" s="1837"/>
      <c r="Z305" s="1837"/>
      <c r="AA305" s="1838"/>
      <c r="AB305" s="1837"/>
      <c r="AC305" s="1838"/>
      <c r="AD305" s="1837"/>
      <c r="AE305" s="1840"/>
      <c r="AF305" s="1837"/>
      <c r="AG305" s="1838"/>
      <c r="AH305" s="1837"/>
      <c r="AI305" s="1838"/>
      <c r="AJ305" s="1839"/>
      <c r="AK305" s="1837"/>
      <c r="AL305" s="1837"/>
      <c r="AM305" s="1838"/>
      <c r="AN305" s="1837"/>
      <c r="AO305" s="1838"/>
      <c r="AP305" s="1837"/>
      <c r="AQ305" s="1841"/>
      <c r="AR305" s="1837"/>
      <c r="AS305" s="1838"/>
      <c r="AT305" s="1837"/>
      <c r="AU305" s="1838"/>
      <c r="AV305" s="1839"/>
      <c r="AW305" s="1840"/>
      <c r="AX305" s="1837"/>
      <c r="AY305" s="1838"/>
      <c r="AZ305" s="1837"/>
      <c r="BA305" s="1838"/>
      <c r="BB305" s="1839"/>
      <c r="BC305" s="1837"/>
      <c r="BD305" s="1837"/>
      <c r="BE305" s="1838"/>
      <c r="BF305" s="1837"/>
      <c r="BG305" s="1838"/>
      <c r="BH305" s="1837"/>
      <c r="BI305" s="1840"/>
      <c r="BJ305" s="1837"/>
      <c r="BK305" s="1838"/>
      <c r="BL305" s="1837"/>
      <c r="BM305" s="1838"/>
      <c r="BN305" s="1839"/>
      <c r="BO305" s="1840"/>
      <c r="BP305" s="1837"/>
      <c r="BQ305" s="1838"/>
      <c r="BR305" s="1842"/>
      <c r="BS305" s="1838"/>
      <c r="BT305" s="1839"/>
      <c r="BU305" s="1840"/>
      <c r="BV305" s="1837"/>
      <c r="BW305" s="1838"/>
      <c r="BX305" s="1837"/>
      <c r="BY305" s="1838"/>
      <c r="BZ305" s="1839"/>
      <c r="CA305" s="1840"/>
      <c r="CB305" s="1837"/>
      <c r="CC305" s="1838"/>
      <c r="CD305" s="1837"/>
      <c r="CE305" s="1838"/>
      <c r="CF305" s="1839"/>
      <c r="CG305" s="1840"/>
      <c r="CH305" s="1837"/>
      <c r="CI305" s="1838"/>
      <c r="CJ305" s="1837"/>
      <c r="CK305" s="1838"/>
      <c r="CL305" s="1839"/>
      <c r="CM305" s="1840"/>
      <c r="CN305" s="1837"/>
      <c r="CO305" s="1838"/>
      <c r="CP305" s="1843"/>
      <c r="CQ305" s="1838"/>
      <c r="CR305" s="1839"/>
      <c r="CS305" s="1840"/>
      <c r="CT305" s="1837"/>
      <c r="CU305" s="1838"/>
      <c r="CV305" s="1837"/>
      <c r="CW305" s="1838"/>
      <c r="CX305" s="1839"/>
      <c r="CY305" s="1840"/>
      <c r="CZ305" s="1837"/>
      <c r="DA305" s="1838"/>
      <c r="DB305" s="1837"/>
      <c r="DC305" s="1838"/>
      <c r="DD305" s="1839"/>
      <c r="DE305" s="1840"/>
      <c r="DF305" s="1837"/>
      <c r="DG305" s="1838"/>
      <c r="DH305" s="1837"/>
      <c r="DI305" s="1838"/>
      <c r="DJ305" s="1839"/>
      <c r="DK305" s="1840"/>
      <c r="DL305" s="1837"/>
      <c r="DM305" s="1838"/>
      <c r="DN305" s="1837"/>
      <c r="DO305" s="1838"/>
      <c r="DP305" s="1839"/>
      <c r="DQ305" s="1840"/>
      <c r="DR305" s="1837"/>
      <c r="DS305" s="1838"/>
      <c r="DT305" s="1837"/>
      <c r="DU305" s="1838"/>
      <c r="DV305" s="1839"/>
      <c r="DW305" s="1840"/>
      <c r="DX305" s="1837"/>
      <c r="DY305" s="1838"/>
      <c r="DZ305" s="1837"/>
      <c r="EA305" s="1838"/>
      <c r="EB305" s="1839"/>
      <c r="EC305" s="1840"/>
      <c r="ED305" s="1837"/>
      <c r="EE305" s="1838"/>
      <c r="EF305" s="1837"/>
      <c r="EG305" s="1838"/>
      <c r="EH305" s="1839"/>
      <c r="EI305" s="1840"/>
      <c r="EJ305" s="1837"/>
      <c r="EK305" s="1838"/>
      <c r="EL305" s="1837"/>
      <c r="EM305" s="1838"/>
      <c r="EN305" s="1839"/>
      <c r="EO305" s="1840"/>
      <c r="EP305" s="1837"/>
      <c r="EQ305" s="1838"/>
      <c r="ER305" s="1837"/>
      <c r="ES305" s="1838"/>
      <c r="ET305" s="1839"/>
      <c r="EU305" s="1840"/>
      <c r="EV305" s="1837"/>
      <c r="EW305" s="1838"/>
      <c r="EX305" s="1837"/>
      <c r="EY305" s="1838"/>
      <c r="EZ305" s="1839"/>
      <c r="FA305" s="1840" t="s">
        <v>17665</v>
      </c>
      <c r="FB305" s="1837"/>
      <c r="FC305" s="1838"/>
      <c r="FD305" s="1837"/>
      <c r="FE305" s="1838"/>
      <c r="FF305" s="1839"/>
      <c r="FG305" s="1840"/>
      <c r="FH305" s="1837"/>
      <c r="FI305" s="1838"/>
      <c r="FJ305" s="1837"/>
      <c r="FK305" s="1838"/>
      <c r="FL305" s="1839"/>
      <c r="FM305" s="1840" t="s">
        <v>17677</v>
      </c>
      <c r="FN305" s="1837"/>
      <c r="FO305" s="1838"/>
      <c r="FP305" s="1837"/>
      <c r="FQ305" s="1838"/>
      <c r="FR305" s="1839"/>
      <c r="FS305" s="1840"/>
      <c r="FT305" s="1837"/>
      <c r="FU305" s="1838"/>
      <c r="FV305" s="1837"/>
      <c r="FW305" s="1838"/>
      <c r="FX305" s="1839"/>
      <c r="FY305" s="1840" t="s">
        <v>17678</v>
      </c>
      <c r="FZ305" s="1837"/>
      <c r="GA305" s="1838"/>
      <c r="GB305" s="1837"/>
      <c r="GC305" s="1838"/>
      <c r="GD305" s="1839"/>
      <c r="GE305" s="1840"/>
      <c r="GF305" s="1837"/>
      <c r="GG305" s="1838"/>
      <c r="GH305" s="1837"/>
      <c r="GI305" s="1838"/>
      <c r="GJ305" s="1839"/>
      <c r="GK305" s="1840"/>
      <c r="GL305" s="1837"/>
      <c r="GM305" s="1838"/>
      <c r="GN305" s="1837"/>
      <c r="GO305" s="1838"/>
      <c r="GP305" s="1839"/>
    </row>
    <row r="306" spans="1:198" ht="20.100000000000001" hidden="1" customHeight="1" outlineLevel="1">
      <c r="A306" s="2709"/>
      <c r="B306" s="2612"/>
      <c r="C306" s="1836"/>
      <c r="D306" s="2614" t="str">
        <f>実績!C1428&amp;"("&amp;SUBSTITUTE(実績!R1428&amp;")"," 株式会社","")</f>
        <v>杉松産業株式会社様工場(東海インプル建設)</v>
      </c>
      <c r="E306" s="2617"/>
      <c r="F306" s="2617"/>
      <c r="G306" s="2617"/>
      <c r="H306" s="2617"/>
      <c r="I306" s="2617"/>
      <c r="J306" s="2617"/>
      <c r="K306" s="2617"/>
      <c r="L306" s="2617"/>
      <c r="M306" s="2617"/>
      <c r="N306" s="2617"/>
      <c r="O306" s="2617"/>
      <c r="P306" s="2617"/>
      <c r="Q306" s="2617"/>
      <c r="R306" s="2622"/>
      <c r="S306" s="1837"/>
      <c r="T306" s="1837"/>
      <c r="U306" s="1837"/>
      <c r="V306" s="1837"/>
      <c r="W306" s="1837"/>
      <c r="X306" s="1837"/>
      <c r="Y306" s="1837"/>
      <c r="Z306" s="1837"/>
      <c r="AA306" s="1837"/>
      <c r="AB306" s="1837"/>
      <c r="AC306" s="1837"/>
      <c r="AD306" s="1837"/>
      <c r="AE306" s="1837"/>
      <c r="AF306" s="1837"/>
      <c r="AG306" s="1837"/>
      <c r="AH306" s="1837"/>
      <c r="AI306" s="1837"/>
      <c r="AJ306" s="1837"/>
      <c r="AK306" s="1837"/>
      <c r="AL306" s="1837"/>
      <c r="AM306" s="1837"/>
      <c r="AN306" s="1837"/>
      <c r="AO306" s="1837"/>
      <c r="AP306" s="1837"/>
      <c r="AQ306" s="1837"/>
      <c r="AR306" s="1837"/>
      <c r="AS306" s="1837"/>
      <c r="AT306" s="1837"/>
      <c r="AU306" s="1837"/>
      <c r="AV306" s="1837"/>
      <c r="AW306" s="1837"/>
      <c r="AX306" s="1837"/>
      <c r="AY306" s="1837"/>
      <c r="AZ306" s="1837"/>
      <c r="BA306" s="1837"/>
      <c r="BB306" s="1837"/>
      <c r="BC306" s="1837"/>
      <c r="BD306" s="1837"/>
      <c r="BE306" s="1837"/>
      <c r="BF306" s="1837"/>
      <c r="BG306" s="1837"/>
      <c r="BH306" s="1837"/>
      <c r="BI306" s="1837"/>
      <c r="BJ306" s="1837"/>
      <c r="BK306" s="1837"/>
      <c r="BL306" s="1837"/>
      <c r="BM306" s="1837"/>
      <c r="BN306" s="1837"/>
      <c r="BO306" s="1837"/>
      <c r="BP306" s="1837"/>
      <c r="BQ306" s="1837"/>
      <c r="BR306" s="1837"/>
      <c r="BS306" s="1837"/>
      <c r="BT306" s="1837"/>
      <c r="BU306" s="1837"/>
      <c r="BV306" s="1837"/>
      <c r="BW306" s="1837"/>
      <c r="BX306" s="1837"/>
      <c r="BY306" s="1837"/>
      <c r="BZ306" s="1837"/>
      <c r="CA306" s="1837"/>
      <c r="CB306" s="1837"/>
      <c r="CC306" s="1837"/>
      <c r="CD306" s="1837"/>
      <c r="CE306" s="1837"/>
      <c r="CF306" s="1837"/>
      <c r="CG306" s="1837"/>
      <c r="CH306" s="1837"/>
      <c r="CI306" s="1837"/>
      <c r="CJ306" s="1837"/>
      <c r="CK306" s="1837"/>
      <c r="CL306" s="1837"/>
      <c r="CM306" s="1837"/>
      <c r="CN306" s="1837"/>
      <c r="CO306" s="1837"/>
      <c r="CP306" s="1843"/>
      <c r="CQ306" s="1837"/>
      <c r="CR306" s="1837"/>
      <c r="CS306" s="1837"/>
      <c r="CT306" s="1837"/>
      <c r="CU306" s="1837"/>
      <c r="CV306" s="1837"/>
      <c r="CW306" s="1837"/>
      <c r="CX306" s="1837"/>
      <c r="CY306" s="1840"/>
      <c r="CZ306" s="1837"/>
      <c r="DA306" s="1838"/>
      <c r="DB306" s="1837"/>
      <c r="DC306" s="1838"/>
      <c r="DD306" s="1839"/>
      <c r="DE306" s="1840"/>
      <c r="DF306" s="1837"/>
      <c r="DG306" s="1838"/>
      <c r="DH306" s="1837"/>
      <c r="DI306" s="1838"/>
      <c r="DJ306" s="1844"/>
      <c r="DK306" s="1840"/>
      <c r="DL306" s="1837"/>
      <c r="DM306" s="1838"/>
      <c r="DN306" s="1837"/>
      <c r="DO306" s="1838"/>
      <c r="DP306" s="1839"/>
      <c r="DQ306" s="1840"/>
      <c r="DR306" s="1837"/>
      <c r="DS306" s="1838"/>
      <c r="DT306" s="1837"/>
      <c r="DU306" s="1838"/>
      <c r="DV306" s="1844"/>
      <c r="DW306" s="1840"/>
      <c r="DX306" s="1837"/>
      <c r="DY306" s="1838"/>
      <c r="DZ306" s="1837"/>
      <c r="EA306" s="1838"/>
      <c r="EB306" s="1844"/>
      <c r="EC306" s="1840"/>
      <c r="ED306" s="1837"/>
      <c r="EE306" s="1838"/>
      <c r="EF306" s="1837"/>
      <c r="EG306" s="1838"/>
      <c r="EH306" s="1844"/>
      <c r="EI306" s="1840"/>
      <c r="EJ306" s="1837"/>
      <c r="EK306" s="1838"/>
      <c r="EL306" s="1837"/>
      <c r="EM306" s="1838"/>
      <c r="EN306" s="1844"/>
      <c r="EO306" s="1840"/>
      <c r="EP306" s="1837"/>
      <c r="EQ306" s="1838"/>
      <c r="ER306" s="1837"/>
      <c r="ES306" s="1838"/>
      <c r="ET306" s="1839"/>
      <c r="EU306" s="1840"/>
      <c r="EV306" s="1837"/>
      <c r="EW306" s="1838" t="s">
        <v>17655</v>
      </c>
      <c r="EX306" s="1837"/>
      <c r="EY306" s="1838"/>
      <c r="EZ306" s="1844"/>
      <c r="FA306" s="1840"/>
      <c r="FB306" s="1837"/>
      <c r="FC306" s="1838"/>
      <c r="FD306" s="1837"/>
      <c r="FE306" s="1838"/>
      <c r="FF306" s="1844"/>
      <c r="FG306" s="1840"/>
      <c r="FH306" s="1837"/>
      <c r="FI306" s="1838"/>
      <c r="FJ306" s="1837"/>
      <c r="FK306" s="1838"/>
      <c r="FL306" s="1844"/>
      <c r="FM306" s="1840"/>
      <c r="FN306" s="1837"/>
      <c r="FO306" s="1838"/>
      <c r="FP306" s="1837"/>
      <c r="FQ306" s="1838"/>
      <c r="FR306" s="1844"/>
      <c r="FS306" s="1840"/>
      <c r="FT306" s="1837"/>
      <c r="FU306" s="1838"/>
      <c r="FV306" s="1837" t="s">
        <v>8145</v>
      </c>
      <c r="FW306" s="1838"/>
      <c r="FX306" s="1844"/>
      <c r="FY306" s="1840"/>
      <c r="FZ306" s="1837"/>
      <c r="GA306" s="1838"/>
      <c r="GB306" s="1837"/>
      <c r="GC306" s="1838"/>
      <c r="GD306" s="1844"/>
      <c r="GE306" s="1840"/>
      <c r="GF306" s="1837"/>
      <c r="GG306" s="1838"/>
      <c r="GH306" s="1837"/>
      <c r="GI306" s="1838"/>
      <c r="GJ306" s="1844"/>
      <c r="GK306" s="1840"/>
      <c r="GL306" s="1837"/>
      <c r="GM306" s="1838"/>
      <c r="GN306" s="1837"/>
      <c r="GO306" s="1838"/>
      <c r="GP306" s="1844"/>
    </row>
    <row r="307" spans="1:198" ht="20.100000000000001" hidden="1" customHeight="1" outlineLevel="1" collapsed="1">
      <c r="A307" s="2709"/>
      <c r="B307" s="2612"/>
      <c r="C307" s="1836"/>
      <c r="D307" s="2614" t="str">
        <f>実績!C1434&amp;"("&amp;SUBSTITUTE(実績!R1434&amp;")","株式会社 ","")</f>
        <v>ハローズ西条大町(サービス2)(山陽設計)</v>
      </c>
      <c r="E307" s="2617"/>
      <c r="F307" s="2617"/>
      <c r="G307" s="2617"/>
      <c r="H307" s="2617"/>
      <c r="I307" s="2617"/>
      <c r="J307" s="2617"/>
      <c r="K307" s="2617"/>
      <c r="L307" s="2617"/>
      <c r="M307" s="2617"/>
      <c r="N307" s="2617"/>
      <c r="O307" s="2617"/>
      <c r="P307" s="2617"/>
      <c r="Q307" s="2617"/>
      <c r="R307" s="2622"/>
      <c r="S307" s="1837"/>
      <c r="T307" s="1837"/>
      <c r="U307" s="1838"/>
      <c r="V307" s="1837"/>
      <c r="W307" s="1838"/>
      <c r="X307" s="1839"/>
      <c r="Y307" s="1837"/>
      <c r="Z307" s="1837"/>
      <c r="AA307" s="1838"/>
      <c r="AB307" s="1837"/>
      <c r="AC307" s="1838"/>
      <c r="AD307" s="1837"/>
      <c r="AE307" s="1840"/>
      <c r="AF307" s="1837"/>
      <c r="AG307" s="1838"/>
      <c r="AH307" s="1837"/>
      <c r="AI307" s="1838"/>
      <c r="AJ307" s="1839"/>
      <c r="AK307" s="1837"/>
      <c r="AL307" s="1837"/>
      <c r="AM307" s="1838"/>
      <c r="AN307" s="1837"/>
      <c r="AO307" s="1838"/>
      <c r="AP307" s="1837"/>
      <c r="AQ307" s="1841"/>
      <c r="AR307" s="1837"/>
      <c r="AS307" s="1838"/>
      <c r="AT307" s="1837"/>
      <c r="AU307" s="1838"/>
      <c r="AV307" s="1839"/>
      <c r="AW307" s="1840"/>
      <c r="AX307" s="1837"/>
      <c r="AY307" s="1838"/>
      <c r="AZ307" s="1837"/>
      <c r="BA307" s="1838"/>
      <c r="BB307" s="1839"/>
      <c r="BC307" s="1837"/>
      <c r="BD307" s="1837"/>
      <c r="BE307" s="1838"/>
      <c r="BF307" s="1837"/>
      <c r="BG307" s="1838"/>
      <c r="BH307" s="1837"/>
      <c r="BI307" s="1840"/>
      <c r="BJ307" s="1837"/>
      <c r="BK307" s="1838"/>
      <c r="BL307" s="1837"/>
      <c r="BM307" s="1838"/>
      <c r="BN307" s="1839"/>
      <c r="BO307" s="1840"/>
      <c r="BP307" s="1837"/>
      <c r="BQ307" s="1838"/>
      <c r="BR307" s="1842"/>
      <c r="BS307" s="1838"/>
      <c r="BT307" s="1839"/>
      <c r="BU307" s="1840"/>
      <c r="BV307" s="1837"/>
      <c r="BW307" s="1838"/>
      <c r="BX307" s="1837"/>
      <c r="BY307" s="1838"/>
      <c r="BZ307" s="1839"/>
      <c r="CA307" s="1840"/>
      <c r="CB307" s="1837"/>
      <c r="CC307" s="1838"/>
      <c r="CD307" s="1837"/>
      <c r="CE307" s="1838"/>
      <c r="CF307" s="1839"/>
      <c r="CG307" s="1840"/>
      <c r="CH307" s="1837"/>
      <c r="CI307" s="1838"/>
      <c r="CJ307" s="1837"/>
      <c r="CK307" s="1838"/>
      <c r="CL307" s="1839"/>
      <c r="CM307" s="1840"/>
      <c r="CN307" s="1837"/>
      <c r="CO307" s="1838"/>
      <c r="CP307" s="1843"/>
      <c r="CQ307" s="1838"/>
      <c r="CR307" s="1839"/>
      <c r="CS307" s="1840"/>
      <c r="CT307" s="1837"/>
      <c r="CU307" s="1838"/>
      <c r="CV307" s="1837"/>
      <c r="CW307" s="1838"/>
      <c r="CX307" s="1839"/>
      <c r="CY307" s="1840"/>
      <c r="CZ307" s="1837"/>
      <c r="DA307" s="1838"/>
      <c r="DB307" s="1837"/>
      <c r="DC307" s="1838"/>
      <c r="DD307" s="1839"/>
      <c r="DE307" s="1840"/>
      <c r="DF307" s="1837"/>
      <c r="DG307" s="1838"/>
      <c r="DH307" s="1837"/>
      <c r="DI307" s="1838"/>
      <c r="DJ307" s="1839"/>
      <c r="DK307" s="1840"/>
      <c r="DL307" s="1837"/>
      <c r="DM307" s="1838"/>
      <c r="DN307" s="1837"/>
      <c r="DO307" s="1838"/>
      <c r="DP307" s="1839"/>
      <c r="DQ307" s="1840"/>
      <c r="DR307" s="1837"/>
      <c r="DS307" s="1838"/>
      <c r="DT307" s="1837"/>
      <c r="DU307" s="1838"/>
      <c r="DV307" s="1839"/>
      <c r="DW307" s="1840"/>
      <c r="DX307" s="1837"/>
      <c r="DY307" s="1838"/>
      <c r="DZ307" s="1837"/>
      <c r="EA307" s="1838"/>
      <c r="EB307" s="1839"/>
      <c r="EC307" s="1840"/>
      <c r="ED307" s="1837"/>
      <c r="EE307" s="1838"/>
      <c r="EF307" s="1837"/>
      <c r="EG307" s="1838"/>
      <c r="EH307" s="1839"/>
      <c r="EI307" s="1840"/>
      <c r="EJ307" s="1837"/>
      <c r="EK307" s="1838"/>
      <c r="EL307" s="1837"/>
      <c r="EM307" s="1838"/>
      <c r="EN307" s="1839"/>
      <c r="EO307" s="1840"/>
      <c r="EP307" s="1837"/>
      <c r="EQ307" s="1838"/>
      <c r="ER307" s="1837"/>
      <c r="ES307" s="1838"/>
      <c r="ET307" s="1839"/>
      <c r="EU307" s="1840"/>
      <c r="EV307" s="1837"/>
      <c r="EW307" s="1838"/>
      <c r="EX307" s="1837" t="s">
        <v>17721</v>
      </c>
      <c r="EY307" s="1838"/>
      <c r="EZ307" s="1839"/>
      <c r="FA307" s="1840"/>
      <c r="FB307" s="1837"/>
      <c r="FC307" s="1838"/>
      <c r="FD307" s="1837"/>
      <c r="FE307" s="1838"/>
      <c r="FF307" s="1839"/>
      <c r="FG307" s="1840" t="s">
        <v>17737</v>
      </c>
      <c r="FH307" s="1837"/>
      <c r="FI307" s="1838"/>
      <c r="FJ307" s="1837"/>
      <c r="FK307" s="1838"/>
      <c r="FL307" s="1839"/>
      <c r="FM307" s="1840"/>
      <c r="FN307" s="1837"/>
      <c r="FO307" s="1838"/>
      <c r="FP307" s="1837"/>
      <c r="FQ307" s="1838"/>
      <c r="FR307" s="1839"/>
      <c r="FS307" s="1840"/>
      <c r="FT307" s="1837"/>
      <c r="FU307" s="1838"/>
      <c r="FV307" s="1837"/>
      <c r="FW307" s="1838"/>
      <c r="FX307" s="1839"/>
      <c r="FY307" s="1840"/>
      <c r="FZ307" s="1837"/>
      <c r="GA307" s="1838"/>
      <c r="GB307" s="1837"/>
      <c r="GC307" s="1838"/>
      <c r="GD307" s="1839"/>
      <c r="GE307" s="1840"/>
      <c r="GF307" s="1837"/>
      <c r="GG307" s="1838"/>
      <c r="GH307" s="1837"/>
      <c r="GI307" s="1838"/>
      <c r="GJ307" s="1839"/>
      <c r="GK307" s="1840"/>
      <c r="GL307" s="1837"/>
      <c r="GM307" s="1838"/>
      <c r="GN307" s="1837"/>
      <c r="GO307" s="1838"/>
      <c r="GP307" s="1839"/>
    </row>
    <row r="308" spans="1:198" ht="20.100000000000001" hidden="1" customHeight="1" outlineLevel="1">
      <c r="A308" s="2709"/>
      <c r="B308" s="2612"/>
      <c r="C308" s="1836"/>
      <c r="D308" s="2614" t="str">
        <f>実績!C1426&amp;"("&amp;SUBSTITUTE(実績!R1426&amp;")"," 一級建築士事務所","")</f>
        <v>ニシカタヤ低温倉庫(全農新潟)</v>
      </c>
      <c r="E308" s="2617"/>
      <c r="F308" s="2617"/>
      <c r="G308" s="2617"/>
      <c r="H308" s="2617"/>
      <c r="I308" s="2617"/>
      <c r="J308" s="2617"/>
      <c r="K308" s="2617"/>
      <c r="L308" s="2617"/>
      <c r="M308" s="2617"/>
      <c r="N308" s="2617"/>
      <c r="O308" s="2617"/>
      <c r="P308" s="2617"/>
      <c r="Q308" s="2617"/>
      <c r="R308" s="2622"/>
      <c r="S308" s="1837"/>
      <c r="T308" s="1837"/>
      <c r="U308" s="1838"/>
      <c r="V308" s="1837"/>
      <c r="W308" s="1838"/>
      <c r="X308" s="1839"/>
      <c r="Y308" s="1837"/>
      <c r="Z308" s="1837"/>
      <c r="AA308" s="1838"/>
      <c r="AB308" s="1837"/>
      <c r="AC308" s="1838"/>
      <c r="AD308" s="1837"/>
      <c r="AE308" s="1840"/>
      <c r="AF308" s="1837"/>
      <c r="AG308" s="1838"/>
      <c r="AH308" s="1837"/>
      <c r="AI308" s="1838"/>
      <c r="AJ308" s="1839"/>
      <c r="AK308" s="1837"/>
      <c r="AL308" s="1837"/>
      <c r="AM308" s="1838"/>
      <c r="AN308" s="1837"/>
      <c r="AO308" s="1838"/>
      <c r="AP308" s="1837"/>
      <c r="AQ308" s="1841"/>
      <c r="AR308" s="1837"/>
      <c r="AS308" s="1838"/>
      <c r="AT308" s="1837"/>
      <c r="AU308" s="1838"/>
      <c r="AV308" s="1839"/>
      <c r="AW308" s="1840"/>
      <c r="AX308" s="1837"/>
      <c r="AY308" s="1838"/>
      <c r="AZ308" s="1837"/>
      <c r="BA308" s="1838"/>
      <c r="BB308" s="1839"/>
      <c r="BC308" s="1837"/>
      <c r="BD308" s="1837"/>
      <c r="BE308" s="1838"/>
      <c r="BF308" s="1837"/>
      <c r="BG308" s="1838"/>
      <c r="BH308" s="1837"/>
      <c r="BI308" s="1840"/>
      <c r="BJ308" s="1837"/>
      <c r="BK308" s="1838"/>
      <c r="BL308" s="1837"/>
      <c r="BM308" s="1838"/>
      <c r="BN308" s="1839"/>
      <c r="BO308" s="1840"/>
      <c r="BP308" s="1837"/>
      <c r="BQ308" s="1838"/>
      <c r="BR308" s="1842"/>
      <c r="BS308" s="1838"/>
      <c r="BT308" s="1839"/>
      <c r="BU308" s="1840"/>
      <c r="BV308" s="1837"/>
      <c r="BW308" s="1838"/>
      <c r="BX308" s="1837"/>
      <c r="BY308" s="1838"/>
      <c r="BZ308" s="1839"/>
      <c r="CA308" s="1840"/>
      <c r="CB308" s="1837"/>
      <c r="CC308" s="1838"/>
      <c r="CD308" s="1837"/>
      <c r="CE308" s="1838"/>
      <c r="CF308" s="1839"/>
      <c r="CG308" s="1840"/>
      <c r="CH308" s="1837"/>
      <c r="CI308" s="1838"/>
      <c r="CJ308" s="1837"/>
      <c r="CK308" s="1838"/>
      <c r="CL308" s="1839"/>
      <c r="CM308" s="1840"/>
      <c r="CN308" s="1837"/>
      <c r="CO308" s="1838"/>
      <c r="CP308" s="1843"/>
      <c r="CQ308" s="1838"/>
      <c r="CR308" s="1839"/>
      <c r="CS308" s="1840"/>
      <c r="CT308" s="1837"/>
      <c r="CU308" s="1838"/>
      <c r="CV308" s="1837"/>
      <c r="CW308" s="1838"/>
      <c r="CX308" s="1839"/>
      <c r="CY308" s="1840"/>
      <c r="CZ308" s="1837"/>
      <c r="DA308" s="1838"/>
      <c r="DB308" s="1837"/>
      <c r="DC308" s="1838"/>
      <c r="DD308" s="1839"/>
      <c r="DE308" s="1840"/>
      <c r="DF308" s="1837"/>
      <c r="DG308" s="1838"/>
      <c r="DH308" s="1837"/>
      <c r="DI308" s="1838"/>
      <c r="DJ308" s="1839"/>
      <c r="DK308" s="1840"/>
      <c r="DL308" s="1837"/>
      <c r="DM308" s="1838"/>
      <c r="DN308" s="1837"/>
      <c r="DO308" s="1838"/>
      <c r="DP308" s="1839"/>
      <c r="DQ308" s="1840"/>
      <c r="DR308" s="1837"/>
      <c r="DS308" s="1838"/>
      <c r="DT308" s="1837"/>
      <c r="DU308" s="1838"/>
      <c r="DV308" s="1839"/>
      <c r="DW308" s="1840"/>
      <c r="DX308" s="1837"/>
      <c r="DY308" s="1838"/>
      <c r="DZ308" s="1837"/>
      <c r="EA308" s="1838"/>
      <c r="EB308" s="1839"/>
      <c r="EC308" s="1840"/>
      <c r="ED308" s="1837"/>
      <c r="EE308" s="1838"/>
      <c r="EF308" s="1837"/>
      <c r="EG308" s="1838"/>
      <c r="EH308" s="1839"/>
      <c r="EI308" s="1840"/>
      <c r="EJ308" s="1837"/>
      <c r="EK308" s="1838"/>
      <c r="EL308" s="1837"/>
      <c r="EM308" s="1838"/>
      <c r="EN308" s="1839"/>
      <c r="EO308" s="1840"/>
      <c r="EP308" s="1837"/>
      <c r="EQ308" s="1838"/>
      <c r="ER308" s="1837"/>
      <c r="ES308" s="1838"/>
      <c r="ET308" s="1839"/>
      <c r="EU308" s="1840"/>
      <c r="EV308" s="1837"/>
      <c r="EW308" s="1838"/>
      <c r="EX308" s="1837" t="s">
        <v>17725</v>
      </c>
      <c r="EY308" s="1838"/>
      <c r="EZ308" s="1839"/>
      <c r="FA308" s="1840"/>
      <c r="FB308" s="1837"/>
      <c r="FC308" s="1838"/>
      <c r="FD308" s="1837"/>
      <c r="FE308" s="1838"/>
      <c r="FF308" s="1839"/>
      <c r="FG308" s="1840"/>
      <c r="FH308" s="1837"/>
      <c r="FI308" s="1838" t="s">
        <v>17405</v>
      </c>
      <c r="FJ308" s="1837"/>
      <c r="FK308" s="1838"/>
      <c r="FL308" s="1839"/>
      <c r="FM308" s="1840" t="s">
        <v>17406</v>
      </c>
      <c r="FN308" s="1837"/>
      <c r="FO308" s="1838"/>
      <c r="FP308" s="1837"/>
      <c r="FQ308" s="1838"/>
      <c r="FR308" s="1839"/>
      <c r="FS308" s="1840"/>
      <c r="FT308" s="1837"/>
      <c r="FU308" s="1838"/>
      <c r="FV308" s="1837"/>
      <c r="FW308" s="1838"/>
      <c r="FX308" s="1839"/>
      <c r="FY308" s="1840"/>
      <c r="FZ308" s="1837"/>
      <c r="GA308" s="1838"/>
      <c r="GB308" s="1837"/>
      <c r="GC308" s="1838"/>
      <c r="GD308" s="1839"/>
      <c r="GE308" s="1840"/>
      <c r="GF308" s="1837"/>
      <c r="GG308" s="1838"/>
      <c r="GH308" s="1837"/>
      <c r="GI308" s="1838"/>
      <c r="GJ308" s="1839"/>
      <c r="GK308" s="1840"/>
      <c r="GL308" s="1837"/>
      <c r="GM308" s="1838"/>
      <c r="GN308" s="1837"/>
      <c r="GO308" s="1838"/>
      <c r="GP308" s="1839"/>
    </row>
    <row r="309" spans="1:198" ht="20.100000000000001" hidden="1" customHeight="1" outlineLevel="1">
      <c r="A309" s="2709"/>
      <c r="B309" s="2612"/>
      <c r="C309" s="1836"/>
      <c r="D309" s="2614" t="str">
        <f>実績!C1375&amp;"("&amp;SUBSTITUTE(実績!W1375&amp;")"," 株式会社","")</f>
        <v>池澤加工六地蔵JV倉庫(日鉄物産システム建築)</v>
      </c>
      <c r="E309" s="2617"/>
      <c r="F309" s="2617"/>
      <c r="G309" s="2617"/>
      <c r="H309" s="2617"/>
      <c r="I309" s="2617"/>
      <c r="J309" s="2617"/>
      <c r="K309" s="2617"/>
      <c r="L309" s="2617"/>
      <c r="M309" s="2617"/>
      <c r="N309" s="2617"/>
      <c r="O309" s="2617"/>
      <c r="P309" s="2617"/>
      <c r="Q309" s="2617"/>
      <c r="R309" s="2641"/>
      <c r="S309" s="1837"/>
      <c r="T309" s="1837"/>
      <c r="U309" s="1837"/>
      <c r="V309" s="1837"/>
      <c r="W309" s="1837"/>
      <c r="X309" s="1837"/>
      <c r="Y309" s="1837"/>
      <c r="Z309" s="1837"/>
      <c r="AA309" s="1837"/>
      <c r="AB309" s="1837"/>
      <c r="AC309" s="1837"/>
      <c r="AD309" s="1837"/>
      <c r="AE309" s="1837"/>
      <c r="AF309" s="1837"/>
      <c r="AG309" s="1837"/>
      <c r="AH309" s="1837"/>
      <c r="AI309" s="1837"/>
      <c r="AJ309" s="1837"/>
      <c r="AK309" s="1837"/>
      <c r="AL309" s="1837"/>
      <c r="AM309" s="1837"/>
      <c r="AN309" s="1837"/>
      <c r="AO309" s="1837"/>
      <c r="AP309" s="1837"/>
      <c r="AQ309" s="1837"/>
      <c r="AR309" s="1837"/>
      <c r="AS309" s="1837"/>
      <c r="AT309" s="1837"/>
      <c r="AU309" s="1837"/>
      <c r="AV309" s="1837"/>
      <c r="AW309" s="1837"/>
      <c r="AX309" s="1837"/>
      <c r="AY309" s="1837"/>
      <c r="AZ309" s="1837"/>
      <c r="BA309" s="1837"/>
      <c r="BB309" s="1837"/>
      <c r="BC309" s="1837"/>
      <c r="BD309" s="1837"/>
      <c r="BE309" s="1837"/>
      <c r="BF309" s="1837"/>
      <c r="BG309" s="1837"/>
      <c r="BH309" s="1837"/>
      <c r="BI309" s="1837"/>
      <c r="BJ309" s="1837"/>
      <c r="BK309" s="1837"/>
      <c r="BL309" s="1837"/>
      <c r="BM309" s="1837"/>
      <c r="BN309" s="1837"/>
      <c r="BO309" s="1837"/>
      <c r="BP309" s="1837"/>
      <c r="BQ309" s="1837"/>
      <c r="BR309" s="1837"/>
      <c r="BS309" s="1837"/>
      <c r="BT309" s="1837"/>
      <c r="BU309" s="1837"/>
      <c r="BV309" s="1837"/>
      <c r="BW309" s="1837"/>
      <c r="BX309" s="1837"/>
      <c r="BY309" s="1837"/>
      <c r="BZ309" s="1837"/>
      <c r="CA309" s="1837"/>
      <c r="CB309" s="1837"/>
      <c r="CC309" s="1837"/>
      <c r="CD309" s="1837"/>
      <c r="CE309" s="1837"/>
      <c r="CF309" s="1837"/>
      <c r="CG309" s="1837"/>
      <c r="CH309" s="1837"/>
      <c r="CI309" s="1837"/>
      <c r="CJ309" s="1837"/>
      <c r="CK309" s="1837"/>
      <c r="CL309" s="1837"/>
      <c r="CM309" s="1837"/>
      <c r="CN309" s="1837"/>
      <c r="CO309" s="1837"/>
      <c r="CP309" s="1843"/>
      <c r="CQ309" s="1837"/>
      <c r="CR309" s="1837"/>
      <c r="CS309" s="1837"/>
      <c r="CT309" s="1837"/>
      <c r="CU309" s="1837"/>
      <c r="CV309" s="1837"/>
      <c r="CW309" s="1837"/>
      <c r="CX309" s="1837"/>
      <c r="CY309" s="1840"/>
      <c r="CZ309" s="1837"/>
      <c r="DA309" s="1838"/>
      <c r="DB309" s="1837"/>
      <c r="DC309" s="1838"/>
      <c r="DD309" s="1839"/>
      <c r="DE309" s="1840"/>
      <c r="DF309" s="1837"/>
      <c r="DG309" s="1838"/>
      <c r="DH309" s="1837"/>
      <c r="DI309" s="1838"/>
      <c r="DJ309" s="1844"/>
      <c r="DK309" s="1840"/>
      <c r="DL309" s="1837"/>
      <c r="DM309" s="1838"/>
      <c r="DN309" s="1837"/>
      <c r="DO309" s="1838"/>
      <c r="DP309" s="1839"/>
      <c r="DQ309" s="1840"/>
      <c r="DR309" s="1837"/>
      <c r="DS309" s="1838"/>
      <c r="DT309" s="1837"/>
      <c r="DU309" s="1838"/>
      <c r="DV309" s="1844"/>
      <c r="DW309" s="1840"/>
      <c r="DX309" s="1837"/>
      <c r="DY309" s="1838"/>
      <c r="DZ309" s="1837"/>
      <c r="EA309" s="1838"/>
      <c r="EB309" s="1844"/>
      <c r="EC309" s="1840"/>
      <c r="ED309" s="1842"/>
      <c r="EE309" s="1838"/>
      <c r="EF309" s="1837"/>
      <c r="EG309" s="1838"/>
      <c r="EH309" s="1844"/>
      <c r="EI309" s="1840"/>
      <c r="EJ309" s="1837"/>
      <c r="EK309" s="1838"/>
      <c r="EL309" s="1837"/>
      <c r="EM309" s="1838"/>
      <c r="EN309" s="1844"/>
      <c r="EO309" s="1840"/>
      <c r="EP309" s="1837"/>
      <c r="EQ309" s="1838"/>
      <c r="ER309" s="1837"/>
      <c r="ES309" s="1838"/>
      <c r="ET309" s="1839"/>
      <c r="EU309" s="1840" t="s">
        <v>8575</v>
      </c>
      <c r="EV309" s="1837"/>
      <c r="EW309" s="1838"/>
      <c r="EX309" s="1837"/>
      <c r="EY309" s="1838" t="s">
        <v>17537</v>
      </c>
      <c r="EZ309" s="1839"/>
      <c r="FA309" s="1840"/>
      <c r="FB309" s="1837"/>
      <c r="FC309" s="1838"/>
      <c r="FD309" s="1837"/>
      <c r="FE309" s="1838"/>
      <c r="FF309" s="1839"/>
      <c r="FG309" s="1840" t="s">
        <v>16821</v>
      </c>
      <c r="FH309" s="1837"/>
      <c r="FI309" s="1838"/>
      <c r="FJ309" s="1837"/>
      <c r="FK309" s="1838"/>
      <c r="FL309" s="1839"/>
      <c r="FM309" s="1840"/>
      <c r="FN309" s="1837"/>
      <c r="FO309" s="1838"/>
      <c r="FP309" s="1837"/>
      <c r="FQ309" s="1838"/>
      <c r="FR309" s="1839"/>
      <c r="FS309" s="1840"/>
      <c r="FT309" s="1837"/>
      <c r="FU309" s="1838"/>
      <c r="FV309" s="1837"/>
      <c r="FW309" s="1838"/>
      <c r="FX309" s="1839"/>
      <c r="FY309" s="1840"/>
      <c r="FZ309" s="1837"/>
      <c r="GA309" s="1838"/>
      <c r="GB309" s="1837"/>
      <c r="GC309" s="1838"/>
      <c r="GD309" s="1839"/>
      <c r="GE309" s="1840"/>
      <c r="GF309" s="1837"/>
      <c r="GG309" s="1838"/>
      <c r="GH309" s="1837"/>
      <c r="GI309" s="1838"/>
      <c r="GJ309" s="1839"/>
      <c r="GK309" s="1840"/>
      <c r="GL309" s="1837"/>
      <c r="GM309" s="1838"/>
      <c r="GN309" s="1837"/>
      <c r="GO309" s="1838"/>
      <c r="GP309" s="1839"/>
    </row>
    <row r="310" spans="1:198" ht="20.100000000000001" hidden="1" customHeight="1" outlineLevel="1">
      <c r="A310" s="2709"/>
      <c r="B310" s="2612"/>
      <c r="C310" s="1836"/>
      <c r="D310" s="2614" t="str">
        <f>実績!C1433&amp;"("&amp;SUBSTITUTE(実績!W1433&amp;")","株式会社 ","")</f>
        <v>三共化学工業(株)倉庫(横河システム建築)</v>
      </c>
      <c r="E310" s="2617"/>
      <c r="F310" s="2617"/>
      <c r="G310" s="2617"/>
      <c r="H310" s="2617"/>
      <c r="I310" s="2617"/>
      <c r="J310" s="2617"/>
      <c r="K310" s="2617"/>
      <c r="L310" s="2617"/>
      <c r="M310" s="2617"/>
      <c r="N310" s="2617"/>
      <c r="O310" s="2617"/>
      <c r="P310" s="2617"/>
      <c r="Q310" s="2617"/>
      <c r="R310" s="2622"/>
      <c r="S310" s="1837"/>
      <c r="T310" s="1837"/>
      <c r="U310" s="1837"/>
      <c r="V310" s="1837"/>
      <c r="W310" s="1837"/>
      <c r="X310" s="1837"/>
      <c r="Y310" s="1837"/>
      <c r="Z310" s="1837"/>
      <c r="AA310" s="1837"/>
      <c r="AB310" s="1837"/>
      <c r="AC310" s="1837"/>
      <c r="AD310" s="1837"/>
      <c r="AE310" s="1837"/>
      <c r="AF310" s="1837"/>
      <c r="AG310" s="1837"/>
      <c r="AH310" s="1837"/>
      <c r="AI310" s="1837"/>
      <c r="AJ310" s="1837"/>
      <c r="AK310" s="1837"/>
      <c r="AL310" s="1837"/>
      <c r="AM310" s="1837"/>
      <c r="AN310" s="1837"/>
      <c r="AO310" s="1837"/>
      <c r="AP310" s="1837"/>
      <c r="AQ310" s="1837"/>
      <c r="AR310" s="1837"/>
      <c r="AS310" s="1837"/>
      <c r="AT310" s="1837"/>
      <c r="AU310" s="1837"/>
      <c r="AV310" s="1837"/>
      <c r="AW310" s="1837"/>
      <c r="AX310" s="1837"/>
      <c r="AY310" s="1837"/>
      <c r="AZ310" s="1837"/>
      <c r="BA310" s="1837"/>
      <c r="BB310" s="1837"/>
      <c r="BC310" s="1837"/>
      <c r="BD310" s="1837"/>
      <c r="BE310" s="1837"/>
      <c r="BF310" s="1837"/>
      <c r="BG310" s="1837"/>
      <c r="BH310" s="1837"/>
      <c r="BI310" s="1837"/>
      <c r="BJ310" s="1837"/>
      <c r="BK310" s="1837"/>
      <c r="BL310" s="1837"/>
      <c r="BM310" s="1837"/>
      <c r="BN310" s="1837"/>
      <c r="BO310" s="1837"/>
      <c r="BP310" s="1837"/>
      <c r="BQ310" s="1837"/>
      <c r="BR310" s="1837"/>
      <c r="BS310" s="1837"/>
      <c r="BT310" s="1837"/>
      <c r="BU310" s="1837"/>
      <c r="BV310" s="1837"/>
      <c r="BW310" s="1837"/>
      <c r="BX310" s="1837"/>
      <c r="BY310" s="1837"/>
      <c r="BZ310" s="1837"/>
      <c r="CA310" s="1837"/>
      <c r="CB310" s="1837"/>
      <c r="CC310" s="1837"/>
      <c r="CD310" s="1837"/>
      <c r="CE310" s="1837"/>
      <c r="CF310" s="1837"/>
      <c r="CG310" s="1837"/>
      <c r="CH310" s="1837"/>
      <c r="CI310" s="1837"/>
      <c r="CJ310" s="1837"/>
      <c r="CK310" s="1837"/>
      <c r="CL310" s="1837"/>
      <c r="CM310" s="1837"/>
      <c r="CN310" s="1837"/>
      <c r="CO310" s="1837"/>
      <c r="CP310" s="1843"/>
      <c r="CQ310" s="1837"/>
      <c r="CR310" s="1837"/>
      <c r="CS310" s="1837"/>
      <c r="CT310" s="1837"/>
      <c r="CU310" s="1837"/>
      <c r="CV310" s="1837"/>
      <c r="CW310" s="1837"/>
      <c r="CX310" s="1837"/>
      <c r="CY310" s="1840"/>
      <c r="CZ310" s="1837"/>
      <c r="DA310" s="1838"/>
      <c r="DB310" s="1837"/>
      <c r="DC310" s="1838"/>
      <c r="DD310" s="1839"/>
      <c r="DE310" s="1840"/>
      <c r="DF310" s="1837"/>
      <c r="DG310" s="1838"/>
      <c r="DH310" s="1837"/>
      <c r="DI310" s="1838"/>
      <c r="DJ310" s="1844"/>
      <c r="DK310" s="1840"/>
      <c r="DL310" s="1837"/>
      <c r="DM310" s="1838"/>
      <c r="DN310" s="1837"/>
      <c r="DO310" s="1838"/>
      <c r="DP310" s="1839"/>
      <c r="DQ310" s="1840"/>
      <c r="DR310" s="1837"/>
      <c r="DS310" s="1838"/>
      <c r="DT310" s="1837"/>
      <c r="DU310" s="1838"/>
      <c r="DV310" s="1844"/>
      <c r="DW310" s="1840"/>
      <c r="DX310" s="1837"/>
      <c r="DY310" s="1838"/>
      <c r="DZ310" s="1837"/>
      <c r="EA310" s="1838"/>
      <c r="EB310" s="1844"/>
      <c r="EC310" s="1840"/>
      <c r="ED310" s="1837"/>
      <c r="EE310" s="1838"/>
      <c r="EF310" s="1837"/>
      <c r="EG310" s="1838"/>
      <c r="EH310" s="1844"/>
      <c r="EI310" s="1840"/>
      <c r="EJ310" s="1837"/>
      <c r="EK310" s="1838"/>
      <c r="EL310" s="1837"/>
      <c r="EM310" s="1838"/>
      <c r="EN310" s="1844"/>
      <c r="EO310" s="1840"/>
      <c r="EP310" s="1837"/>
      <c r="EQ310" s="1838"/>
      <c r="ER310" s="1837"/>
      <c r="ES310" s="1838"/>
      <c r="ET310" s="1839"/>
      <c r="EU310" s="1840"/>
      <c r="EV310" s="1837"/>
      <c r="EW310" s="1838"/>
      <c r="EX310" s="1837"/>
      <c r="EY310" s="1838"/>
      <c r="EZ310" s="1844"/>
      <c r="FA310" s="1840" t="s">
        <v>17578</v>
      </c>
      <c r="FB310" s="1837"/>
      <c r="FC310" s="1838"/>
      <c r="FD310" s="1837"/>
      <c r="FE310" s="1838"/>
      <c r="FF310" s="1844"/>
      <c r="FG310" s="1840"/>
      <c r="FH310" s="1837"/>
      <c r="FI310" s="1838"/>
      <c r="FJ310" s="1837"/>
      <c r="FK310" s="1838"/>
      <c r="FL310" s="1844"/>
      <c r="FM310" s="1840"/>
      <c r="FN310" s="1837"/>
      <c r="FO310" s="1838"/>
      <c r="FP310" s="1837"/>
      <c r="FQ310" s="1838"/>
      <c r="FR310" s="1844"/>
      <c r="FS310" s="1840"/>
      <c r="FT310" s="1837"/>
      <c r="FU310" s="1838"/>
      <c r="FV310" s="1837"/>
      <c r="FW310" s="1838"/>
      <c r="FX310" s="1844"/>
      <c r="FY310" s="1840"/>
      <c r="FZ310" s="1837"/>
      <c r="GA310" s="1838"/>
      <c r="GB310" s="1837"/>
      <c r="GC310" s="1838"/>
      <c r="GD310" s="1844"/>
      <c r="GE310" s="1840"/>
      <c r="GF310" s="1837"/>
      <c r="GG310" s="1838"/>
      <c r="GH310" s="1837"/>
      <c r="GI310" s="1838"/>
      <c r="GJ310" s="1844"/>
      <c r="GK310" s="1840"/>
      <c r="GL310" s="1837"/>
      <c r="GM310" s="1838"/>
      <c r="GN310" s="1837"/>
      <c r="GO310" s="1838"/>
      <c r="GP310" s="1844"/>
    </row>
    <row r="311" spans="1:198" ht="20.100000000000001" hidden="1" customHeight="1" outlineLevel="1">
      <c r="A311" s="2709"/>
      <c r="B311" s="2612"/>
      <c r="C311" s="1836"/>
      <c r="D311" s="2614" t="str">
        <f>実績!C1421&amp;"("&amp;SUBSTITUTE(実績!R1421&amp;")","株式会社 ","")</f>
        <v>東習志野テナントビル(河野設計福岡)</v>
      </c>
      <c r="E311" s="2617"/>
      <c r="F311" s="2617"/>
      <c r="G311" s="2617"/>
      <c r="H311" s="2617"/>
      <c r="I311" s="2617"/>
      <c r="J311" s="2617"/>
      <c r="K311" s="2617"/>
      <c r="L311" s="2617"/>
      <c r="M311" s="2617"/>
      <c r="N311" s="2617"/>
      <c r="O311" s="2617"/>
      <c r="P311" s="2617"/>
      <c r="Q311" s="2617"/>
      <c r="R311" s="2622"/>
      <c r="S311" s="1837"/>
      <c r="T311" s="1837"/>
      <c r="U311" s="1838"/>
      <c r="V311" s="1837"/>
      <c r="W311" s="1838"/>
      <c r="X311" s="1839"/>
      <c r="Y311" s="1837"/>
      <c r="Z311" s="1837"/>
      <c r="AA311" s="1838"/>
      <c r="AB311" s="1837"/>
      <c r="AC311" s="1838"/>
      <c r="AD311" s="1837"/>
      <c r="AE311" s="1840"/>
      <c r="AF311" s="1837"/>
      <c r="AG311" s="1838"/>
      <c r="AH311" s="1837"/>
      <c r="AI311" s="1838"/>
      <c r="AJ311" s="1839"/>
      <c r="AK311" s="1837"/>
      <c r="AL311" s="1837"/>
      <c r="AM311" s="1838"/>
      <c r="AN311" s="1837"/>
      <c r="AO311" s="1838"/>
      <c r="AP311" s="1837"/>
      <c r="AQ311" s="1841"/>
      <c r="AR311" s="1837"/>
      <c r="AS311" s="1838"/>
      <c r="AT311" s="1837"/>
      <c r="AU311" s="1838"/>
      <c r="AV311" s="1839"/>
      <c r="AW311" s="1840"/>
      <c r="AX311" s="1837"/>
      <c r="AY311" s="1838"/>
      <c r="AZ311" s="1837"/>
      <c r="BA311" s="1838"/>
      <c r="BB311" s="1839"/>
      <c r="BC311" s="1837"/>
      <c r="BD311" s="1837"/>
      <c r="BE311" s="1838"/>
      <c r="BF311" s="1837"/>
      <c r="BG311" s="1838"/>
      <c r="BH311" s="1837"/>
      <c r="BI311" s="1840"/>
      <c r="BJ311" s="1837"/>
      <c r="BK311" s="1838"/>
      <c r="BL311" s="1837"/>
      <c r="BM311" s="1838"/>
      <c r="BN311" s="1839"/>
      <c r="BO311" s="1840"/>
      <c r="BP311" s="1837"/>
      <c r="BQ311" s="1838"/>
      <c r="BR311" s="1842"/>
      <c r="BS311" s="1838"/>
      <c r="BT311" s="1839"/>
      <c r="BU311" s="1840"/>
      <c r="BV311" s="1837"/>
      <c r="BW311" s="1838"/>
      <c r="BX311" s="1837"/>
      <c r="BY311" s="1838"/>
      <c r="BZ311" s="1839"/>
      <c r="CA311" s="1840"/>
      <c r="CB311" s="1837"/>
      <c r="CC311" s="1838"/>
      <c r="CD311" s="1837"/>
      <c r="CE311" s="1838"/>
      <c r="CF311" s="1839"/>
      <c r="CG311" s="1840"/>
      <c r="CH311" s="1837"/>
      <c r="CI311" s="1838"/>
      <c r="CJ311" s="1837"/>
      <c r="CK311" s="1838"/>
      <c r="CL311" s="1839"/>
      <c r="CM311" s="1840"/>
      <c r="CN311" s="1837"/>
      <c r="CO311" s="1838"/>
      <c r="CP311" s="1843"/>
      <c r="CQ311" s="1838"/>
      <c r="CR311" s="1839"/>
      <c r="CS311" s="1840"/>
      <c r="CT311" s="1837"/>
      <c r="CU311" s="1838"/>
      <c r="CV311" s="1837"/>
      <c r="CW311" s="1838"/>
      <c r="CX311" s="1839"/>
      <c r="CY311" s="1840"/>
      <c r="CZ311" s="1837"/>
      <c r="DA311" s="1838"/>
      <c r="DB311" s="1837"/>
      <c r="DC311" s="1838"/>
      <c r="DD311" s="1839"/>
      <c r="DE311" s="1840"/>
      <c r="DF311" s="1837"/>
      <c r="DG311" s="1838"/>
      <c r="DH311" s="1837"/>
      <c r="DI311" s="1838"/>
      <c r="DJ311" s="1839"/>
      <c r="DK311" s="1840"/>
      <c r="DL311" s="1837"/>
      <c r="DM311" s="1838"/>
      <c r="DN311" s="1837"/>
      <c r="DO311" s="1838"/>
      <c r="DP311" s="1839"/>
      <c r="DQ311" s="1840"/>
      <c r="DR311" s="1837"/>
      <c r="DS311" s="1838"/>
      <c r="DT311" s="1837"/>
      <c r="DU311" s="1838"/>
      <c r="DV311" s="1839"/>
      <c r="DW311" s="1840"/>
      <c r="DX311" s="1837"/>
      <c r="DY311" s="1838"/>
      <c r="DZ311" s="1837"/>
      <c r="EA311" s="1838"/>
      <c r="EB311" s="1839"/>
      <c r="EC311" s="1840"/>
      <c r="ED311" s="1837"/>
      <c r="EE311" s="1838"/>
      <c r="EF311" s="1837"/>
      <c r="EG311" s="1838"/>
      <c r="EH311" s="1839"/>
      <c r="EI311" s="1840"/>
      <c r="EJ311" s="1837"/>
      <c r="EK311" s="1838"/>
      <c r="EL311" s="1837"/>
      <c r="EM311" s="1838"/>
      <c r="EN311" s="1839"/>
      <c r="EO311" s="1840"/>
      <c r="EP311" s="1837"/>
      <c r="EQ311" s="1838"/>
      <c r="ER311" s="1837"/>
      <c r="ES311" s="1838"/>
      <c r="ET311" s="1839" t="s">
        <v>8575</v>
      </c>
      <c r="EU311" s="1840"/>
      <c r="EV311" s="1837"/>
      <c r="EW311" s="1838"/>
      <c r="EX311" s="1837"/>
      <c r="EY311" s="1838"/>
      <c r="EZ311" s="1844"/>
      <c r="FA311" s="1840"/>
      <c r="FB311" s="1837"/>
      <c r="FC311" s="1838"/>
      <c r="FD311" s="1837" t="s">
        <v>17779</v>
      </c>
      <c r="FE311" s="1838"/>
      <c r="FF311" s="1839"/>
      <c r="FG311" s="1840"/>
      <c r="FH311" s="1837"/>
      <c r="FI311" s="1838"/>
      <c r="FJ311" s="1837"/>
      <c r="FK311" s="1838"/>
      <c r="FL311" s="1839"/>
      <c r="FM311" s="1840"/>
      <c r="FN311" s="1837"/>
      <c r="FO311" s="1838"/>
      <c r="FP311" s="1837"/>
      <c r="FQ311" s="1838"/>
      <c r="FR311" s="1839"/>
      <c r="FS311" s="1840"/>
      <c r="FT311" s="1837"/>
      <c r="FU311" s="1838"/>
      <c r="FV311" s="1837"/>
      <c r="FW311" s="1838"/>
      <c r="FX311" s="1839"/>
      <c r="FY311" s="1840"/>
      <c r="FZ311" s="1837"/>
      <c r="GA311" s="1838"/>
      <c r="GB311" s="1837"/>
      <c r="GC311" s="1838"/>
      <c r="GD311" s="1839"/>
      <c r="GE311" s="1840"/>
      <c r="GF311" s="1837"/>
      <c r="GG311" s="1838"/>
      <c r="GH311" s="1837"/>
      <c r="GI311" s="1838"/>
      <c r="GJ311" s="1839"/>
      <c r="GK311" s="1840"/>
      <c r="GL311" s="1837"/>
      <c r="GM311" s="1838"/>
      <c r="GN311" s="1837"/>
      <c r="GO311" s="1838"/>
      <c r="GP311" s="1839"/>
    </row>
    <row r="312" spans="1:198" ht="20.100000000000001" hidden="1" customHeight="1" outlineLevel="1">
      <c r="A312" s="2709"/>
      <c r="B312" s="2612"/>
      <c r="C312" s="1836"/>
      <c r="D312" s="2614" t="str">
        <f>実績!C1399&amp;"("&amp;SUBSTITUTE(実績!AB1399&amp;")"," 株式会社","")</f>
        <v>キタセキひたちなか(日本建設)</v>
      </c>
      <c r="E312" s="2617"/>
      <c r="F312" s="2617"/>
      <c r="G312" s="2617"/>
      <c r="H312" s="2617"/>
      <c r="I312" s="2617"/>
      <c r="J312" s="2617"/>
      <c r="K312" s="2617"/>
      <c r="L312" s="2617"/>
      <c r="M312" s="2617"/>
      <c r="N312" s="2617"/>
      <c r="O312" s="2617"/>
      <c r="P312" s="2617"/>
      <c r="Q312" s="2617"/>
      <c r="R312" s="2622"/>
      <c r="S312" s="1837"/>
      <c r="T312" s="1837"/>
      <c r="U312" s="1837"/>
      <c r="V312" s="1837"/>
      <c r="W312" s="1837"/>
      <c r="X312" s="1837"/>
      <c r="Y312" s="1837"/>
      <c r="Z312" s="1837"/>
      <c r="AA312" s="1837"/>
      <c r="AB312" s="1837"/>
      <c r="AC312" s="1837"/>
      <c r="AD312" s="1837"/>
      <c r="AE312" s="1837"/>
      <c r="AF312" s="1837"/>
      <c r="AG312" s="1837"/>
      <c r="AH312" s="1837"/>
      <c r="AI312" s="1837"/>
      <c r="AJ312" s="1837"/>
      <c r="AK312" s="1837"/>
      <c r="AL312" s="1837"/>
      <c r="AM312" s="1837"/>
      <c r="AN312" s="1837"/>
      <c r="AO312" s="1837"/>
      <c r="AP312" s="1837"/>
      <c r="AQ312" s="1837"/>
      <c r="AR312" s="1837"/>
      <c r="AS312" s="1837"/>
      <c r="AT312" s="1837"/>
      <c r="AU312" s="1837"/>
      <c r="AV312" s="1837"/>
      <c r="AW312" s="1837"/>
      <c r="AX312" s="1837"/>
      <c r="AY312" s="1837"/>
      <c r="AZ312" s="1837"/>
      <c r="BA312" s="1837"/>
      <c r="BB312" s="1837"/>
      <c r="BC312" s="1837"/>
      <c r="BD312" s="1837"/>
      <c r="BE312" s="1837"/>
      <c r="BF312" s="1837"/>
      <c r="BG312" s="1837"/>
      <c r="BH312" s="1837"/>
      <c r="BI312" s="1837"/>
      <c r="BJ312" s="1837"/>
      <c r="BK312" s="1837"/>
      <c r="BL312" s="1837"/>
      <c r="BM312" s="1837"/>
      <c r="BN312" s="1837"/>
      <c r="BO312" s="1837"/>
      <c r="BP312" s="1837"/>
      <c r="BQ312" s="1837"/>
      <c r="BR312" s="1837"/>
      <c r="BS312" s="1837"/>
      <c r="BT312" s="1837"/>
      <c r="BU312" s="1837"/>
      <c r="BV312" s="1837"/>
      <c r="BW312" s="1837"/>
      <c r="BX312" s="1837"/>
      <c r="BY312" s="1837"/>
      <c r="BZ312" s="1837"/>
      <c r="CA312" s="1837"/>
      <c r="CB312" s="1837"/>
      <c r="CC312" s="1837"/>
      <c r="CD312" s="1837"/>
      <c r="CE312" s="1837"/>
      <c r="CF312" s="1837"/>
      <c r="CG312" s="1837"/>
      <c r="CH312" s="1837"/>
      <c r="CI312" s="1837"/>
      <c r="CJ312" s="1837"/>
      <c r="CK312" s="1837"/>
      <c r="CL312" s="1837"/>
      <c r="CM312" s="1837"/>
      <c r="CN312" s="1837"/>
      <c r="CO312" s="1837"/>
      <c r="CP312" s="1843"/>
      <c r="CQ312" s="1837"/>
      <c r="CR312" s="1837"/>
      <c r="CS312" s="1837"/>
      <c r="CT312" s="1837"/>
      <c r="CU312" s="1837"/>
      <c r="CV312" s="1837"/>
      <c r="CW312" s="1837"/>
      <c r="CX312" s="1837"/>
      <c r="CY312" s="1840"/>
      <c r="CZ312" s="1837"/>
      <c r="DA312" s="1838"/>
      <c r="DB312" s="1837"/>
      <c r="DC312" s="1838"/>
      <c r="DD312" s="1839"/>
      <c r="DE312" s="1840"/>
      <c r="DF312" s="1837"/>
      <c r="DG312" s="1838"/>
      <c r="DH312" s="1837"/>
      <c r="DI312" s="1838"/>
      <c r="DJ312" s="1839"/>
      <c r="DK312" s="1840"/>
      <c r="DL312" s="1837"/>
      <c r="DM312" s="1838"/>
      <c r="DN312" s="1837"/>
      <c r="DO312" s="1838"/>
      <c r="DP312" s="1839"/>
      <c r="DQ312" s="1840"/>
      <c r="DR312" s="1837"/>
      <c r="DS312" s="1838"/>
      <c r="DT312" s="1837"/>
      <c r="DU312" s="1838"/>
      <c r="DV312" s="1839"/>
      <c r="DW312" s="1840"/>
      <c r="DX312" s="1837"/>
      <c r="DY312" s="1838"/>
      <c r="DZ312" s="1837"/>
      <c r="EA312" s="1838"/>
      <c r="EB312" s="1839"/>
      <c r="EC312" s="1840"/>
      <c r="ED312" s="1842"/>
      <c r="EE312" s="1838"/>
      <c r="EF312" s="1837"/>
      <c r="EG312" s="1838"/>
      <c r="EH312" s="1839"/>
      <c r="EI312" s="1840"/>
      <c r="EJ312" s="1837"/>
      <c r="EK312" s="1838" t="s">
        <v>16734</v>
      </c>
      <c r="EL312" s="1837"/>
      <c r="EM312" s="1838"/>
      <c r="EN312" s="1844"/>
      <c r="EO312" s="1840"/>
      <c r="EP312" s="1837"/>
      <c r="EQ312" s="1838"/>
      <c r="ER312" s="1837" t="s">
        <v>16733</v>
      </c>
      <c r="ES312" s="1838"/>
      <c r="ET312" s="1839"/>
      <c r="EU312" s="1840"/>
      <c r="EV312" s="1837"/>
      <c r="EW312" s="1838"/>
      <c r="EX312" s="1837"/>
      <c r="EY312" s="1838"/>
      <c r="EZ312" s="1839"/>
      <c r="FA312" s="1840"/>
      <c r="FB312" s="1837"/>
      <c r="FC312" s="1838"/>
      <c r="FD312" s="1837"/>
      <c r="FE312" s="1838"/>
      <c r="FF312" s="1839"/>
      <c r="FG312" s="1840" t="s">
        <v>16732</v>
      </c>
      <c r="FH312" s="1837"/>
      <c r="FI312" s="1838"/>
      <c r="FJ312" s="1837"/>
      <c r="FK312" s="1838"/>
      <c r="FL312" s="1839"/>
      <c r="FM312" s="1840"/>
      <c r="FN312" s="1837"/>
      <c r="FO312" s="1838"/>
      <c r="FP312" s="1837"/>
      <c r="FQ312" s="1838"/>
      <c r="FR312" s="1839"/>
      <c r="FS312" s="1840"/>
      <c r="FT312" s="1837"/>
      <c r="FU312" s="1838"/>
      <c r="FV312" s="1837"/>
      <c r="FW312" s="1838"/>
      <c r="FX312" s="1839"/>
      <c r="FY312" s="1840"/>
      <c r="FZ312" s="1837"/>
      <c r="GA312" s="1838"/>
      <c r="GB312" s="1837"/>
      <c r="GC312" s="1838"/>
      <c r="GD312" s="1839"/>
      <c r="GE312" s="1840"/>
      <c r="GF312" s="1837"/>
      <c r="GG312" s="1838"/>
      <c r="GH312" s="1837"/>
      <c r="GI312" s="1838"/>
      <c r="GJ312" s="1839"/>
      <c r="GK312" s="1840"/>
      <c r="GL312" s="1837"/>
      <c r="GM312" s="1838"/>
      <c r="GN312" s="1837"/>
      <c r="GO312" s="1838"/>
      <c r="GP312" s="1839"/>
    </row>
    <row r="313" spans="1:198" ht="20.100000000000001" hidden="1" customHeight="1" outlineLevel="1" collapsed="1">
      <c r="A313" s="2709"/>
      <c r="B313" s="2612"/>
      <c r="C313" s="1836"/>
      <c r="D313" s="2614" t="str">
        <f>実績!C1436&amp;"("&amp;SUBSTITUTE(実績!R1436&amp;")","株式会社 ","")</f>
        <v>日建リ－ス工業㈱ 新潟工場(ｳｯﾄﾞﾌﾟﾗｽﾁｯｸﾃｸﾉﾛｼﾞｰ)(植木組)</v>
      </c>
      <c r="E313" s="2617"/>
      <c r="F313" s="2617"/>
      <c r="G313" s="2617"/>
      <c r="H313" s="2617"/>
      <c r="I313" s="2617"/>
      <c r="J313" s="2617"/>
      <c r="K313" s="2617"/>
      <c r="L313" s="2617"/>
      <c r="M313" s="2617"/>
      <c r="N313" s="2617"/>
      <c r="O313" s="2617"/>
      <c r="P313" s="2617"/>
      <c r="Q313" s="2617"/>
      <c r="R313" s="2622"/>
      <c r="S313" s="1837"/>
      <c r="T313" s="1837"/>
      <c r="U313" s="1837"/>
      <c r="V313" s="1837"/>
      <c r="W313" s="1837"/>
      <c r="X313" s="1837"/>
      <c r="Y313" s="1837"/>
      <c r="Z313" s="1837"/>
      <c r="AA313" s="1837"/>
      <c r="AB313" s="1837"/>
      <c r="AC313" s="1837"/>
      <c r="AD313" s="1837"/>
      <c r="AE313" s="1837"/>
      <c r="AF313" s="1837"/>
      <c r="AG313" s="1837"/>
      <c r="AH313" s="1837"/>
      <c r="AI313" s="1837"/>
      <c r="AJ313" s="1837"/>
      <c r="AK313" s="1837"/>
      <c r="AL313" s="1837"/>
      <c r="AM313" s="1837"/>
      <c r="AN313" s="1837"/>
      <c r="AO313" s="1837"/>
      <c r="AP313" s="1837"/>
      <c r="AQ313" s="1837"/>
      <c r="AR313" s="1837"/>
      <c r="AS313" s="1837"/>
      <c r="AT313" s="1837"/>
      <c r="AU313" s="1837"/>
      <c r="AV313" s="1837"/>
      <c r="AW313" s="1837"/>
      <c r="AX313" s="1837"/>
      <c r="AY313" s="1837"/>
      <c r="AZ313" s="1837"/>
      <c r="BA313" s="1837"/>
      <c r="BB313" s="1837"/>
      <c r="BC313" s="1837"/>
      <c r="BD313" s="1837"/>
      <c r="BE313" s="1837"/>
      <c r="BF313" s="1837"/>
      <c r="BG313" s="1837"/>
      <c r="BH313" s="1837"/>
      <c r="BI313" s="1837"/>
      <c r="BJ313" s="1837"/>
      <c r="BK313" s="1837"/>
      <c r="BL313" s="1837"/>
      <c r="BM313" s="1837"/>
      <c r="BN313" s="1837"/>
      <c r="BO313" s="1837"/>
      <c r="BP313" s="1837"/>
      <c r="BQ313" s="1837"/>
      <c r="BR313" s="1837"/>
      <c r="BS313" s="1837"/>
      <c r="BT313" s="1837"/>
      <c r="BU313" s="1837"/>
      <c r="BV313" s="1837"/>
      <c r="BW313" s="1837"/>
      <c r="BX313" s="1837"/>
      <c r="BY313" s="1837"/>
      <c r="BZ313" s="1837"/>
      <c r="CA313" s="1837"/>
      <c r="CB313" s="1837"/>
      <c r="CC313" s="1837"/>
      <c r="CD313" s="1837"/>
      <c r="CE313" s="1837"/>
      <c r="CF313" s="1837"/>
      <c r="CG313" s="1837"/>
      <c r="CH313" s="1837"/>
      <c r="CI313" s="1837"/>
      <c r="CJ313" s="1837"/>
      <c r="CK313" s="1837"/>
      <c r="CL313" s="1837"/>
      <c r="CM313" s="1837"/>
      <c r="CN313" s="1837"/>
      <c r="CO313" s="1837"/>
      <c r="CP313" s="1843"/>
      <c r="CQ313" s="1837"/>
      <c r="CR313" s="1837"/>
      <c r="CS313" s="1837"/>
      <c r="CT313" s="1837"/>
      <c r="CU313" s="1837"/>
      <c r="CV313" s="1837"/>
      <c r="CW313" s="1837"/>
      <c r="CX313" s="1837"/>
      <c r="CY313" s="1840"/>
      <c r="CZ313" s="1837"/>
      <c r="DA313" s="1838"/>
      <c r="DB313" s="1837"/>
      <c r="DC313" s="1838"/>
      <c r="DD313" s="1839"/>
      <c r="DE313" s="1840"/>
      <c r="DF313" s="1837"/>
      <c r="DG313" s="1838"/>
      <c r="DH313" s="1837"/>
      <c r="DI313" s="1838"/>
      <c r="DJ313" s="1844"/>
      <c r="DK313" s="1840"/>
      <c r="DL313" s="1837"/>
      <c r="DM313" s="1838"/>
      <c r="DN313" s="1837"/>
      <c r="DO313" s="1838"/>
      <c r="DP313" s="1839"/>
      <c r="DQ313" s="1840"/>
      <c r="DR313" s="1837"/>
      <c r="DS313" s="1838"/>
      <c r="DT313" s="1837"/>
      <c r="DU313" s="1838"/>
      <c r="DV313" s="1844"/>
      <c r="DW313" s="1840"/>
      <c r="DX313" s="1837"/>
      <c r="DY313" s="1838"/>
      <c r="DZ313" s="1837"/>
      <c r="EA313" s="1838"/>
      <c r="EB313" s="1844"/>
      <c r="EC313" s="1840"/>
      <c r="ED313" s="1837"/>
      <c r="EE313" s="1838"/>
      <c r="EF313" s="1837"/>
      <c r="EG313" s="1838"/>
      <c r="EH313" s="1844"/>
      <c r="EI313" s="1840"/>
      <c r="EJ313" s="1837"/>
      <c r="EK313" s="1838"/>
      <c r="EL313" s="1837"/>
      <c r="EM313" s="1838"/>
      <c r="EN313" s="1844"/>
      <c r="EO313" s="1840"/>
      <c r="EP313" s="1837"/>
      <c r="EQ313" s="1838"/>
      <c r="ER313" s="1837"/>
      <c r="ES313" s="1838"/>
      <c r="ET313" s="1839"/>
      <c r="EU313" s="1840"/>
      <c r="EV313" s="1837"/>
      <c r="EW313" s="1838"/>
      <c r="EX313" s="1837"/>
      <c r="EY313" s="1838" t="s">
        <v>17579</v>
      </c>
      <c r="EZ313" s="1844"/>
      <c r="FA313" s="1840"/>
      <c r="FB313" s="1837"/>
      <c r="FC313" s="1838" t="s">
        <v>17580</v>
      </c>
      <c r="FD313" s="1837"/>
      <c r="FE313" s="1838"/>
      <c r="FF313" s="1844"/>
      <c r="FG313" s="1840"/>
      <c r="FH313" s="1837"/>
      <c r="FI313" s="1838"/>
      <c r="FJ313" s="1837"/>
      <c r="FK313" s="1838"/>
      <c r="FL313" s="1844"/>
      <c r="FM313" s="1840"/>
      <c r="FN313" s="1837"/>
      <c r="FO313" s="1838"/>
      <c r="FP313" s="1837"/>
      <c r="FQ313" s="1838"/>
      <c r="FR313" s="1844"/>
      <c r="FS313" s="1840"/>
      <c r="FT313" s="1837"/>
      <c r="FU313" s="1838"/>
      <c r="FV313" s="1837"/>
      <c r="FW313" s="1838"/>
      <c r="FX313" s="1844"/>
      <c r="FY313" s="1840"/>
      <c r="FZ313" s="1837"/>
      <c r="GA313" s="1838"/>
      <c r="GB313" s="1837"/>
      <c r="GC313" s="1838"/>
      <c r="GD313" s="1844"/>
      <c r="GE313" s="1840"/>
      <c r="GF313" s="1837"/>
      <c r="GG313" s="1838"/>
      <c r="GH313" s="1837"/>
      <c r="GI313" s="1838"/>
      <c r="GJ313" s="1844"/>
      <c r="GK313" s="1840"/>
      <c r="GL313" s="1837"/>
      <c r="GM313" s="1838"/>
      <c r="GN313" s="1837"/>
      <c r="GO313" s="1838"/>
      <c r="GP313" s="1844"/>
    </row>
    <row r="314" spans="1:198" ht="20.100000000000001" hidden="1" customHeight="1" outlineLevel="1" collapsed="1">
      <c r="A314" s="2709"/>
      <c r="B314" s="2612"/>
      <c r="C314" s="1836"/>
      <c r="D314" s="2614" t="str">
        <f>実績!C1437&amp;"("&amp;SUBSTITUTE(実績!R1437&amp;")","株式会社 ","")</f>
        <v>館脇倉庫(T&amp;N北海道設計事務所)</v>
      </c>
      <c r="E314" s="2617"/>
      <c r="F314" s="2617"/>
      <c r="G314" s="2617"/>
      <c r="H314" s="2617"/>
      <c r="I314" s="2617"/>
      <c r="J314" s="2617"/>
      <c r="K314" s="2617"/>
      <c r="L314" s="2617"/>
      <c r="M314" s="2617"/>
      <c r="N314" s="2617"/>
      <c r="O314" s="2617"/>
      <c r="P314" s="2617"/>
      <c r="Q314" s="2617"/>
      <c r="R314" s="2622"/>
      <c r="S314" s="1837"/>
      <c r="T314" s="1837"/>
      <c r="U314" s="1837"/>
      <c r="V314" s="1837"/>
      <c r="W314" s="1837"/>
      <c r="X314" s="1837"/>
      <c r="Y314" s="1837"/>
      <c r="Z314" s="1837"/>
      <c r="AA314" s="1837"/>
      <c r="AB314" s="1837"/>
      <c r="AC314" s="1837"/>
      <c r="AD314" s="1837"/>
      <c r="AE314" s="1837"/>
      <c r="AF314" s="1837"/>
      <c r="AG314" s="1837"/>
      <c r="AH314" s="1837"/>
      <c r="AI314" s="1837"/>
      <c r="AJ314" s="1837"/>
      <c r="AK314" s="1837"/>
      <c r="AL314" s="1837"/>
      <c r="AM314" s="1837"/>
      <c r="AN314" s="1837"/>
      <c r="AO314" s="1837"/>
      <c r="AP314" s="1837"/>
      <c r="AQ314" s="1837"/>
      <c r="AR314" s="1837"/>
      <c r="AS314" s="1837"/>
      <c r="AT314" s="1837"/>
      <c r="AU314" s="1837"/>
      <c r="AV314" s="1837"/>
      <c r="AW314" s="1837"/>
      <c r="AX314" s="1837"/>
      <c r="AY314" s="1837"/>
      <c r="AZ314" s="1837"/>
      <c r="BA314" s="1837"/>
      <c r="BB314" s="1837"/>
      <c r="BC314" s="1837"/>
      <c r="BD314" s="1837"/>
      <c r="BE314" s="1837"/>
      <c r="BF314" s="1837"/>
      <c r="BG314" s="1837"/>
      <c r="BH314" s="1837"/>
      <c r="BI314" s="1837"/>
      <c r="BJ314" s="1837"/>
      <c r="BK314" s="1837"/>
      <c r="BL314" s="1837"/>
      <c r="BM314" s="1837"/>
      <c r="BN314" s="1837"/>
      <c r="BO314" s="1837"/>
      <c r="BP314" s="1837"/>
      <c r="BQ314" s="1837"/>
      <c r="BR314" s="1837"/>
      <c r="BS314" s="1837"/>
      <c r="BT314" s="1837"/>
      <c r="BU314" s="1837"/>
      <c r="BV314" s="1837"/>
      <c r="BW314" s="1837"/>
      <c r="BX314" s="1837"/>
      <c r="BY314" s="1837"/>
      <c r="BZ314" s="1837"/>
      <c r="CA314" s="1837"/>
      <c r="CB314" s="1837"/>
      <c r="CC314" s="1837"/>
      <c r="CD314" s="1837"/>
      <c r="CE314" s="1837"/>
      <c r="CF314" s="1837"/>
      <c r="CG314" s="1837"/>
      <c r="CH314" s="1837"/>
      <c r="CI314" s="1837"/>
      <c r="CJ314" s="1837"/>
      <c r="CK314" s="1837"/>
      <c r="CL314" s="1837"/>
      <c r="CM314" s="1837"/>
      <c r="CN314" s="1837"/>
      <c r="CO314" s="1837"/>
      <c r="CP314" s="1843"/>
      <c r="CQ314" s="1837"/>
      <c r="CR314" s="1837"/>
      <c r="CS314" s="1837"/>
      <c r="CT314" s="1837"/>
      <c r="CU314" s="1837"/>
      <c r="CV314" s="1837"/>
      <c r="CW314" s="1837"/>
      <c r="CX314" s="1837"/>
      <c r="CY314" s="1840"/>
      <c r="CZ314" s="1837"/>
      <c r="DA314" s="1838"/>
      <c r="DB314" s="1837"/>
      <c r="DC314" s="1838"/>
      <c r="DD314" s="1839"/>
      <c r="DE314" s="1840"/>
      <c r="DF314" s="1837"/>
      <c r="DG314" s="1838"/>
      <c r="DH314" s="1837"/>
      <c r="DI314" s="1838"/>
      <c r="DJ314" s="1844"/>
      <c r="DK314" s="1840"/>
      <c r="DL314" s="1837"/>
      <c r="DM314" s="1838"/>
      <c r="DN314" s="1837"/>
      <c r="DO314" s="1838"/>
      <c r="DP314" s="1839"/>
      <c r="DQ314" s="1840"/>
      <c r="DR314" s="1837"/>
      <c r="DS314" s="1838"/>
      <c r="DT314" s="1837"/>
      <c r="DU314" s="1838"/>
      <c r="DV314" s="1844"/>
      <c r="DW314" s="1840"/>
      <c r="DX314" s="1837"/>
      <c r="DY314" s="1838"/>
      <c r="DZ314" s="1837"/>
      <c r="EA314" s="1838"/>
      <c r="EB314" s="1844"/>
      <c r="EC314" s="1840"/>
      <c r="ED314" s="1837"/>
      <c r="EE314" s="1838"/>
      <c r="EF314" s="1837"/>
      <c r="EG314" s="1838"/>
      <c r="EH314" s="1844"/>
      <c r="EI314" s="1840"/>
      <c r="EJ314" s="1837"/>
      <c r="EK314" s="1838"/>
      <c r="EL314" s="1837"/>
      <c r="EM314" s="1838"/>
      <c r="EN314" s="1844"/>
      <c r="EO314" s="1840"/>
      <c r="EP314" s="1837"/>
      <c r="EQ314" s="1838"/>
      <c r="ER314" s="1837"/>
      <c r="ES314" s="1838"/>
      <c r="ET314" s="1839"/>
      <c r="EU314" s="1840"/>
      <c r="EV314" s="1837"/>
      <c r="EW314" s="1838"/>
      <c r="EX314" s="1837"/>
      <c r="EY314" s="1838"/>
      <c r="EZ314" s="1844"/>
      <c r="FA314" s="1840" t="s">
        <v>8250</v>
      </c>
      <c r="FB314" s="1837"/>
      <c r="FC314" s="1838"/>
      <c r="FD314" s="1837"/>
      <c r="FE314" s="1838"/>
      <c r="FF314" s="1844"/>
      <c r="FG314" s="1840"/>
      <c r="FH314" s="1837"/>
      <c r="FI314" s="1838"/>
      <c r="FJ314" s="1837"/>
      <c r="FK314" s="1838"/>
      <c r="FL314" s="1844"/>
      <c r="FM314" s="1840"/>
      <c r="FN314" s="1837"/>
      <c r="FO314" s="1838"/>
      <c r="FP314" s="1837"/>
      <c r="FQ314" s="1838"/>
      <c r="FR314" s="1844"/>
      <c r="FS314" s="1840"/>
      <c r="FT314" s="1837"/>
      <c r="FU314" s="1838"/>
      <c r="FV314" s="1837"/>
      <c r="FW314" s="1838"/>
      <c r="FX314" s="1844"/>
      <c r="FY314" s="1840"/>
      <c r="FZ314" s="1837"/>
      <c r="GA314" s="1838"/>
      <c r="GB314" s="1837"/>
      <c r="GC314" s="1838"/>
      <c r="GD314" s="1844"/>
      <c r="GE314" s="1840"/>
      <c r="GF314" s="1837"/>
      <c r="GG314" s="1838"/>
      <c r="GH314" s="1837"/>
      <c r="GI314" s="1838"/>
      <c r="GJ314" s="1844"/>
      <c r="GK314" s="1840"/>
      <c r="GL314" s="1837"/>
      <c r="GM314" s="1838"/>
      <c r="GN314" s="1837"/>
      <c r="GO314" s="1838"/>
      <c r="GP314" s="1844"/>
    </row>
    <row r="315" spans="1:198" ht="20.100000000000001" hidden="1" customHeight="1" outlineLevel="1" thickBot="1">
      <c r="A315" s="2709"/>
      <c r="B315" s="2612"/>
      <c r="C315" s="1836"/>
      <c r="D315" s="2614" t="str">
        <f>実績!C1435&amp;"("&amp;SUBSTITUTE(実績!R1435&amp;")","株式会社 ","")</f>
        <v>ダイレックス商工センター(ユーアイ設計)</v>
      </c>
      <c r="E315" s="2617"/>
      <c r="F315" s="2617"/>
      <c r="G315" s="2617"/>
      <c r="H315" s="2617"/>
      <c r="I315" s="2617"/>
      <c r="J315" s="2617"/>
      <c r="K315" s="2617"/>
      <c r="L315" s="2617"/>
      <c r="M315" s="2617"/>
      <c r="N315" s="2617"/>
      <c r="O315" s="2617"/>
      <c r="P315" s="2617"/>
      <c r="Q315" s="2617"/>
      <c r="R315" s="2622"/>
      <c r="S315" s="1837"/>
      <c r="T315" s="1837"/>
      <c r="U315" s="1837"/>
      <c r="V315" s="1837"/>
      <c r="W315" s="1837"/>
      <c r="X315" s="1837"/>
      <c r="Y315" s="1837"/>
      <c r="Z315" s="1837"/>
      <c r="AA315" s="1837"/>
      <c r="AB315" s="1837"/>
      <c r="AC315" s="1837"/>
      <c r="AD315" s="1837"/>
      <c r="AE315" s="1837"/>
      <c r="AF315" s="1837"/>
      <c r="AG315" s="1837"/>
      <c r="AH315" s="1837"/>
      <c r="AI315" s="1837"/>
      <c r="AJ315" s="1837"/>
      <c r="AK315" s="1837"/>
      <c r="AL315" s="1837"/>
      <c r="AM315" s="1837"/>
      <c r="AN315" s="1837"/>
      <c r="AO315" s="1837"/>
      <c r="AP315" s="1837"/>
      <c r="AQ315" s="1837"/>
      <c r="AR315" s="1837"/>
      <c r="AS315" s="1837"/>
      <c r="AT315" s="1837"/>
      <c r="AU315" s="1837"/>
      <c r="AV315" s="1837"/>
      <c r="AW315" s="1837"/>
      <c r="AX315" s="1837"/>
      <c r="AY315" s="1837"/>
      <c r="AZ315" s="1837"/>
      <c r="BA315" s="1837"/>
      <c r="BB315" s="1837"/>
      <c r="BC315" s="1837"/>
      <c r="BD315" s="1837"/>
      <c r="BE315" s="1837"/>
      <c r="BF315" s="1837"/>
      <c r="BG315" s="1837"/>
      <c r="BH315" s="1837"/>
      <c r="BI315" s="1837"/>
      <c r="BJ315" s="1837"/>
      <c r="BK315" s="1837"/>
      <c r="BL315" s="1837"/>
      <c r="BM315" s="1837"/>
      <c r="BN315" s="1837"/>
      <c r="BO315" s="1837"/>
      <c r="BP315" s="1837"/>
      <c r="BQ315" s="1837"/>
      <c r="BR315" s="1837"/>
      <c r="BS315" s="1837"/>
      <c r="BT315" s="1837"/>
      <c r="BU315" s="1837"/>
      <c r="BV315" s="1837"/>
      <c r="BW315" s="1837"/>
      <c r="BX315" s="1837"/>
      <c r="BY315" s="1837"/>
      <c r="BZ315" s="1837"/>
      <c r="CA315" s="1837"/>
      <c r="CB315" s="1837"/>
      <c r="CC315" s="1837"/>
      <c r="CD315" s="1837"/>
      <c r="CE315" s="1837"/>
      <c r="CF315" s="1837"/>
      <c r="CG315" s="1837"/>
      <c r="CH315" s="1837"/>
      <c r="CI315" s="1837"/>
      <c r="CJ315" s="1837"/>
      <c r="CK315" s="1837"/>
      <c r="CL315" s="1837"/>
      <c r="CM315" s="1837"/>
      <c r="CN315" s="1837"/>
      <c r="CO315" s="1837"/>
      <c r="CP315" s="1843"/>
      <c r="CQ315" s="1837"/>
      <c r="CR315" s="1837"/>
      <c r="CS315" s="1837"/>
      <c r="CT315" s="1837"/>
      <c r="CU315" s="1837"/>
      <c r="CV315" s="1837"/>
      <c r="CW315" s="1837"/>
      <c r="CX315" s="1837"/>
      <c r="CY315" s="1840"/>
      <c r="CZ315" s="1837"/>
      <c r="DA315" s="1838"/>
      <c r="DB315" s="1837"/>
      <c r="DC315" s="1838"/>
      <c r="DD315" s="1839"/>
      <c r="DE315" s="1840"/>
      <c r="DF315" s="1837"/>
      <c r="DG315" s="1838"/>
      <c r="DH315" s="1837"/>
      <c r="DI315" s="1838"/>
      <c r="DJ315" s="1844"/>
      <c r="DK315" s="1840"/>
      <c r="DL315" s="1837"/>
      <c r="DM315" s="1838"/>
      <c r="DN315" s="1837"/>
      <c r="DO315" s="1838"/>
      <c r="DP315" s="1839"/>
      <c r="DQ315" s="1840"/>
      <c r="DR315" s="1837"/>
      <c r="DS315" s="1838"/>
      <c r="DT315" s="1837"/>
      <c r="DU315" s="1838"/>
      <c r="DV315" s="1844"/>
      <c r="DW315" s="1840"/>
      <c r="DX315" s="1837"/>
      <c r="DY315" s="1838"/>
      <c r="DZ315" s="1837"/>
      <c r="EA315" s="1838"/>
      <c r="EB315" s="1844"/>
      <c r="EC315" s="1840"/>
      <c r="ED315" s="1837"/>
      <c r="EE315" s="1838"/>
      <c r="EF315" s="1837"/>
      <c r="EG315" s="1838"/>
      <c r="EH315" s="1844"/>
      <c r="EI315" s="1840"/>
      <c r="EJ315" s="1837"/>
      <c r="EK315" s="1838"/>
      <c r="EL315" s="1837"/>
      <c r="EM315" s="1838"/>
      <c r="EN315" s="1844"/>
      <c r="EO315" s="1840"/>
      <c r="EP315" s="1837"/>
      <c r="EQ315" s="1838"/>
      <c r="ER315" s="1837"/>
      <c r="ES315" s="1838"/>
      <c r="ET315" s="1839"/>
      <c r="EU315" s="1840"/>
      <c r="EV315" s="1837"/>
      <c r="EW315" s="1838"/>
      <c r="EX315" s="1837"/>
      <c r="EY315" s="1838"/>
      <c r="EZ315" s="1844"/>
      <c r="FA315" s="1840" t="s">
        <v>17732</v>
      </c>
      <c r="FB315" s="1837"/>
      <c r="FC315" s="1838"/>
      <c r="FD315" s="1837"/>
      <c r="FE315" s="1838" t="s">
        <v>17733</v>
      </c>
      <c r="FF315" s="1844"/>
      <c r="FG315" s="1840"/>
      <c r="FH315" s="1837"/>
      <c r="FI315" s="1838"/>
      <c r="FJ315" s="1837"/>
      <c r="FK315" s="1838"/>
      <c r="FL315" s="1844"/>
      <c r="FM315" s="1840"/>
      <c r="FN315" s="1837"/>
      <c r="FO315" s="1838"/>
      <c r="FP315" s="1837"/>
      <c r="FQ315" s="1838"/>
      <c r="FR315" s="1844"/>
      <c r="FS315" s="1840"/>
      <c r="FT315" s="1837"/>
      <c r="FU315" s="1838"/>
      <c r="FV315" s="1837"/>
      <c r="FW315" s="1838"/>
      <c r="FX315" s="1844"/>
      <c r="FY315" s="1840"/>
      <c r="FZ315" s="1837"/>
      <c r="GA315" s="1838"/>
      <c r="GB315" s="1837"/>
      <c r="GC315" s="1838"/>
      <c r="GD315" s="1844"/>
      <c r="GE315" s="1840"/>
      <c r="GF315" s="1837"/>
      <c r="GG315" s="1838"/>
      <c r="GH315" s="1837"/>
      <c r="GI315" s="1838"/>
      <c r="GJ315" s="1844"/>
      <c r="GK315" s="1840" t="s">
        <v>17900</v>
      </c>
      <c r="GL315" s="1837"/>
      <c r="GM315" s="1838"/>
      <c r="GN315" s="1837"/>
      <c r="GO315" s="1838"/>
      <c r="GP315" s="1844"/>
    </row>
    <row r="316" spans="1:198" ht="20.100000000000001" hidden="1" customHeight="1" outlineLevel="1" collapsed="1">
      <c r="A316" s="2709"/>
      <c r="B316" s="2612"/>
      <c r="C316" s="1836"/>
      <c r="D316" s="2614" t="str">
        <f>実績!C1438&amp;"("&amp;SUBSTITUTE(実績!R1438&amp;")","株式会社 ","")</f>
        <v>ヤマザワ高砂(甲(きのえ)設計事務所)</v>
      </c>
      <c r="E316" s="2617"/>
      <c r="F316" s="2617"/>
      <c r="G316" s="2617"/>
      <c r="H316" s="2617"/>
      <c r="I316" s="2617"/>
      <c r="J316" s="2617"/>
      <c r="K316" s="2617"/>
      <c r="L316" s="2617"/>
      <c r="M316" s="2617"/>
      <c r="N316" s="2617"/>
      <c r="O316" s="2617"/>
      <c r="P316" s="2617"/>
      <c r="Q316" s="2617"/>
      <c r="R316" s="2622"/>
      <c r="S316" s="1837"/>
      <c r="T316" s="1837"/>
      <c r="U316" s="1838"/>
      <c r="V316" s="1837"/>
      <c r="W316" s="1838"/>
      <c r="X316" s="1839"/>
      <c r="Y316" s="1837"/>
      <c r="Z316" s="1837"/>
      <c r="AA316" s="1838"/>
      <c r="AB316" s="1837"/>
      <c r="AC316" s="1838"/>
      <c r="AD316" s="1837"/>
      <c r="AE316" s="1840"/>
      <c r="AF316" s="1837"/>
      <c r="AG316" s="1838"/>
      <c r="AH316" s="1837"/>
      <c r="AI316" s="1838"/>
      <c r="AJ316" s="1839"/>
      <c r="AK316" s="1837"/>
      <c r="AL316" s="1837"/>
      <c r="AM316" s="1838"/>
      <c r="AN316" s="1837"/>
      <c r="AO316" s="1838"/>
      <c r="AP316" s="1837"/>
      <c r="AQ316" s="1841"/>
      <c r="AR316" s="1837"/>
      <c r="AS316" s="1838"/>
      <c r="AT316" s="1837"/>
      <c r="AU316" s="1838"/>
      <c r="AV316" s="1839"/>
      <c r="AW316" s="1840"/>
      <c r="AX316" s="1837"/>
      <c r="AY316" s="1838"/>
      <c r="AZ316" s="1837"/>
      <c r="BA316" s="1838"/>
      <c r="BB316" s="1839"/>
      <c r="BC316" s="1837"/>
      <c r="BD316" s="1837"/>
      <c r="BE316" s="1838"/>
      <c r="BF316" s="1837"/>
      <c r="BG316" s="1838"/>
      <c r="BH316" s="1837"/>
      <c r="BI316" s="1840"/>
      <c r="BJ316" s="1837"/>
      <c r="BK316" s="1838"/>
      <c r="BL316" s="1837"/>
      <c r="BM316" s="1838"/>
      <c r="BN316" s="1839"/>
      <c r="BO316" s="1840"/>
      <c r="BP316" s="1837"/>
      <c r="BQ316" s="1838"/>
      <c r="BR316" s="1842"/>
      <c r="BS316" s="1838"/>
      <c r="BT316" s="1839"/>
      <c r="BU316" s="1840"/>
      <c r="BV316" s="1837"/>
      <c r="BW316" s="1838"/>
      <c r="BX316" s="1837"/>
      <c r="BY316" s="1838"/>
      <c r="BZ316" s="1839"/>
      <c r="CA316" s="1840"/>
      <c r="CB316" s="1837"/>
      <c r="CC316" s="1838"/>
      <c r="CD316" s="1837"/>
      <c r="CE316" s="1838"/>
      <c r="CF316" s="1839"/>
      <c r="CG316" s="1840"/>
      <c r="CH316" s="1837"/>
      <c r="CI316" s="1838"/>
      <c r="CJ316" s="1837"/>
      <c r="CK316" s="1838"/>
      <c r="CL316" s="1839"/>
      <c r="CM316" s="1840"/>
      <c r="CN316" s="1837"/>
      <c r="CO316" s="1838"/>
      <c r="CP316" s="1843"/>
      <c r="CQ316" s="1838"/>
      <c r="CR316" s="1839"/>
      <c r="CS316" s="1840"/>
      <c r="CT316" s="1837"/>
      <c r="CU316" s="1838"/>
      <c r="CV316" s="1837"/>
      <c r="CW316" s="1838"/>
      <c r="CX316" s="1839"/>
      <c r="CY316" s="1840"/>
      <c r="CZ316" s="1837"/>
      <c r="DA316" s="1838"/>
      <c r="DB316" s="1837"/>
      <c r="DC316" s="1838"/>
      <c r="DD316" s="1839"/>
      <c r="DE316" s="1840"/>
      <c r="DF316" s="1837"/>
      <c r="DG316" s="1838"/>
      <c r="DH316" s="1837"/>
      <c r="DI316" s="1838"/>
      <c r="DJ316" s="1839"/>
      <c r="DK316" s="1840"/>
      <c r="DL316" s="1837"/>
      <c r="DM316" s="1838"/>
      <c r="DN316" s="1837"/>
      <c r="DO316" s="1838"/>
      <c r="DP316" s="1839"/>
      <c r="DQ316" s="1840"/>
      <c r="DR316" s="1837"/>
      <c r="DS316" s="1838"/>
      <c r="DT316" s="1837"/>
      <c r="DU316" s="1838"/>
      <c r="DV316" s="1839"/>
      <c r="DW316" s="1840"/>
      <c r="DX316" s="1837"/>
      <c r="DY316" s="1838"/>
      <c r="DZ316" s="1837"/>
      <c r="EA316" s="1838"/>
      <c r="EB316" s="1839"/>
      <c r="EC316" s="1840"/>
      <c r="ED316" s="1837"/>
      <c r="EE316" s="1838"/>
      <c r="EF316" s="1837"/>
      <c r="EG316" s="1838"/>
      <c r="EH316" s="1839"/>
      <c r="EI316" s="1840"/>
      <c r="EJ316" s="1837"/>
      <c r="EK316" s="1838"/>
      <c r="EL316" s="1837"/>
      <c r="EM316" s="1838"/>
      <c r="EN316" s="1839"/>
      <c r="EO316" s="1840"/>
      <c r="EP316" s="1837"/>
      <c r="EQ316" s="1838"/>
      <c r="ER316" s="1837"/>
      <c r="ES316" s="1838"/>
      <c r="ET316" s="1839"/>
      <c r="EU316" s="1840"/>
      <c r="EV316" s="1837"/>
      <c r="EW316" s="1838"/>
      <c r="EX316" s="1837"/>
      <c r="EY316" s="1838"/>
      <c r="EZ316" s="1839"/>
      <c r="FA316" s="1840"/>
      <c r="FB316" s="1837" t="s">
        <v>17738</v>
      </c>
      <c r="FC316" s="1838"/>
      <c r="FD316" s="1837"/>
      <c r="FE316" s="1838"/>
      <c r="FF316" s="1839"/>
      <c r="FG316" s="1840"/>
      <c r="FH316" s="1837"/>
      <c r="FI316" s="1838"/>
      <c r="FJ316" s="1837" t="s">
        <v>17739</v>
      </c>
      <c r="FK316" s="1838"/>
      <c r="FL316" s="1839"/>
      <c r="FM316" s="1840"/>
      <c r="FN316" s="1837"/>
      <c r="FO316" s="1838"/>
      <c r="FP316" s="1837"/>
      <c r="FQ316" s="1838"/>
      <c r="FR316" s="1839"/>
      <c r="FS316" s="1840"/>
      <c r="FT316" s="1837"/>
      <c r="FU316" s="1838"/>
      <c r="FV316" s="1837"/>
      <c r="FW316" s="1838"/>
      <c r="FX316" s="1844"/>
      <c r="FY316" s="1840"/>
      <c r="FZ316" s="1837"/>
      <c r="GA316" s="1838"/>
      <c r="GB316" s="1837"/>
      <c r="GC316" s="1838"/>
      <c r="GD316" s="1844"/>
      <c r="GE316" s="1840"/>
      <c r="GF316" s="1837"/>
      <c r="GG316" s="1838"/>
      <c r="GH316" s="1837"/>
      <c r="GI316" s="1838"/>
      <c r="GJ316" s="1844"/>
      <c r="GK316" s="1840"/>
      <c r="GL316" s="1837"/>
      <c r="GM316" s="1838"/>
      <c r="GN316" s="1837"/>
      <c r="GO316" s="1838"/>
      <c r="GP316" s="1844"/>
    </row>
    <row r="317" spans="1:198" ht="20.100000000000001" hidden="1" customHeight="1" outlineLevel="1">
      <c r="A317" s="2709"/>
      <c r="B317" s="2612"/>
      <c r="C317" s="1836"/>
      <c r="D317" s="2614" t="str">
        <f>実績!C1443&amp;"("&amp;SUBSTITUTE(実績!R1443&amp;")"," 株式会社","")</f>
        <v>医療法人美之会人工透析診療所(積水ハウス)</v>
      </c>
      <c r="E317" s="2617"/>
      <c r="F317" s="2617"/>
      <c r="G317" s="2617"/>
      <c r="H317" s="2617"/>
      <c r="I317" s="2617"/>
      <c r="J317" s="2617"/>
      <c r="K317" s="2617"/>
      <c r="L317" s="2617"/>
      <c r="M317" s="2617"/>
      <c r="N317" s="2617"/>
      <c r="O317" s="2617"/>
      <c r="P317" s="2617"/>
      <c r="Q317" s="2617"/>
      <c r="R317" s="2622"/>
      <c r="S317" s="1837"/>
      <c r="T317" s="1837"/>
      <c r="U317" s="1838"/>
      <c r="V317" s="1837"/>
      <c r="W317" s="1838"/>
      <c r="X317" s="1839"/>
      <c r="Y317" s="1837"/>
      <c r="Z317" s="1837"/>
      <c r="AA317" s="1838"/>
      <c r="AB317" s="1837"/>
      <c r="AC317" s="1838"/>
      <c r="AD317" s="1837"/>
      <c r="AE317" s="1840"/>
      <c r="AF317" s="1837"/>
      <c r="AG317" s="1838"/>
      <c r="AH317" s="1837"/>
      <c r="AI317" s="1838"/>
      <c r="AJ317" s="1839"/>
      <c r="AK317" s="1837"/>
      <c r="AL317" s="1837"/>
      <c r="AM317" s="1838"/>
      <c r="AN317" s="1837"/>
      <c r="AO317" s="1838"/>
      <c r="AP317" s="1837"/>
      <c r="AQ317" s="1841"/>
      <c r="AR317" s="1837"/>
      <c r="AS317" s="1838"/>
      <c r="AT317" s="1837"/>
      <c r="AU317" s="1838"/>
      <c r="AV317" s="1839"/>
      <c r="AW317" s="1840"/>
      <c r="AX317" s="1837"/>
      <c r="AY317" s="1838"/>
      <c r="AZ317" s="1837"/>
      <c r="BA317" s="1838"/>
      <c r="BB317" s="1839"/>
      <c r="BC317" s="1837"/>
      <c r="BD317" s="1837"/>
      <c r="BE317" s="1838"/>
      <c r="BF317" s="1837"/>
      <c r="BG317" s="1838"/>
      <c r="BH317" s="1837"/>
      <c r="BI317" s="1840"/>
      <c r="BJ317" s="1837"/>
      <c r="BK317" s="1838"/>
      <c r="BL317" s="1837"/>
      <c r="BM317" s="1838"/>
      <c r="BN317" s="1839"/>
      <c r="BO317" s="1840"/>
      <c r="BP317" s="1837"/>
      <c r="BQ317" s="1838"/>
      <c r="BR317" s="1842"/>
      <c r="BS317" s="1838"/>
      <c r="BT317" s="1839"/>
      <c r="BU317" s="1840"/>
      <c r="BV317" s="1837"/>
      <c r="BW317" s="1838"/>
      <c r="BX317" s="1837"/>
      <c r="BY317" s="1838"/>
      <c r="BZ317" s="1839"/>
      <c r="CA317" s="1840"/>
      <c r="CB317" s="1837"/>
      <c r="CC317" s="1838"/>
      <c r="CD317" s="1837"/>
      <c r="CE317" s="1838"/>
      <c r="CF317" s="1839"/>
      <c r="CG317" s="1840"/>
      <c r="CH317" s="1837"/>
      <c r="CI317" s="1838"/>
      <c r="CJ317" s="1837"/>
      <c r="CK317" s="1838"/>
      <c r="CL317" s="1839"/>
      <c r="CM317" s="1840"/>
      <c r="CN317" s="1837"/>
      <c r="CO317" s="1838"/>
      <c r="CP317" s="1843"/>
      <c r="CQ317" s="1838"/>
      <c r="CR317" s="1839"/>
      <c r="CS317" s="1840"/>
      <c r="CT317" s="1837"/>
      <c r="CU317" s="1838"/>
      <c r="CV317" s="1837"/>
      <c r="CW317" s="1838"/>
      <c r="CX317" s="1839"/>
      <c r="CY317" s="1840"/>
      <c r="CZ317" s="1837"/>
      <c r="DA317" s="1838"/>
      <c r="DB317" s="1837"/>
      <c r="DC317" s="1838"/>
      <c r="DD317" s="1839"/>
      <c r="DE317" s="1840"/>
      <c r="DF317" s="1837"/>
      <c r="DG317" s="1838"/>
      <c r="DH317" s="1837"/>
      <c r="DI317" s="1838"/>
      <c r="DJ317" s="1839"/>
      <c r="DK317" s="1840"/>
      <c r="DL317" s="1837"/>
      <c r="DM317" s="1838"/>
      <c r="DN317" s="1837"/>
      <c r="DO317" s="1838"/>
      <c r="DP317" s="1839"/>
      <c r="DQ317" s="1840"/>
      <c r="DR317" s="1837"/>
      <c r="DS317" s="1838"/>
      <c r="DT317" s="1837"/>
      <c r="DU317" s="1838"/>
      <c r="DV317" s="1839"/>
      <c r="DW317" s="1840"/>
      <c r="DX317" s="1837"/>
      <c r="DY317" s="1838"/>
      <c r="DZ317" s="1837"/>
      <c r="EA317" s="1838"/>
      <c r="EB317" s="1839"/>
      <c r="EC317" s="1840"/>
      <c r="ED317" s="1837"/>
      <c r="EE317" s="1838"/>
      <c r="EF317" s="1837"/>
      <c r="EG317" s="1838"/>
      <c r="EH317" s="1839"/>
      <c r="EI317" s="1840"/>
      <c r="EJ317" s="1837"/>
      <c r="EK317" s="1838"/>
      <c r="EL317" s="1837"/>
      <c r="EM317" s="1838"/>
      <c r="EN317" s="1839"/>
      <c r="EO317" s="1840"/>
      <c r="EP317" s="1837"/>
      <c r="EQ317" s="1838"/>
      <c r="ER317" s="1837"/>
      <c r="ES317" s="1838"/>
      <c r="ET317" s="1839"/>
      <c r="EU317" s="1840"/>
      <c r="EV317" s="1837"/>
      <c r="EW317" s="1838"/>
      <c r="EX317" s="1837"/>
      <c r="EY317" s="1838"/>
      <c r="EZ317" s="1839"/>
      <c r="FA317" s="1840"/>
      <c r="FB317" s="1837"/>
      <c r="FC317" s="1935"/>
      <c r="FD317" s="1837"/>
      <c r="FE317" s="1838"/>
      <c r="FF317" s="1839"/>
      <c r="FG317" s="1840" t="s">
        <v>17870</v>
      </c>
      <c r="FH317" s="1837"/>
      <c r="FI317" s="1838"/>
      <c r="FJ317" s="1837"/>
      <c r="FK317" s="1838"/>
      <c r="FL317" s="1839"/>
      <c r="FM317" s="1840"/>
      <c r="FN317" s="1837"/>
      <c r="FO317" s="1838"/>
      <c r="FP317" s="1837"/>
      <c r="FQ317" s="1838"/>
      <c r="FR317" s="1839"/>
      <c r="FS317" s="1840"/>
      <c r="FT317" s="1837"/>
      <c r="FU317" s="1838"/>
      <c r="FV317" s="1837"/>
      <c r="FW317" s="1838"/>
      <c r="FX317" s="1844"/>
      <c r="FY317" s="1840"/>
      <c r="FZ317" s="1837"/>
      <c r="GA317" s="1838"/>
      <c r="GB317" s="1837"/>
      <c r="GC317" s="1838"/>
      <c r="GD317" s="1844"/>
      <c r="GE317" s="1840"/>
      <c r="GF317" s="1837"/>
      <c r="GG317" s="1838"/>
      <c r="GH317" s="1837"/>
      <c r="GI317" s="1838"/>
      <c r="GJ317" s="1844"/>
      <c r="GK317" s="1840"/>
      <c r="GL317" s="1837"/>
      <c r="GM317" s="1838"/>
      <c r="GN317" s="1837"/>
      <c r="GO317" s="1838"/>
      <c r="GP317" s="1844"/>
    </row>
    <row r="318" spans="1:198" ht="20.100000000000001" hidden="1" customHeight="1" outlineLevel="1" thickBot="1">
      <c r="A318" s="2709"/>
      <c r="B318" s="2613"/>
      <c r="C318" s="1866"/>
      <c r="D318" s="2697" t="str">
        <f>実績!C1411&amp;"("&amp;SUBSTITUTE(実績!W1411&amp;")","株式会社 ","")</f>
        <v>伊勢原新工場(淺沼組)</v>
      </c>
      <c r="E318" s="2698"/>
      <c r="F318" s="2698"/>
      <c r="G318" s="2698"/>
      <c r="H318" s="2698"/>
      <c r="I318" s="2698"/>
      <c r="J318" s="2698"/>
      <c r="K318" s="2698"/>
      <c r="L318" s="2698"/>
      <c r="M318" s="2698"/>
      <c r="N318" s="2698"/>
      <c r="O318" s="2698"/>
      <c r="P318" s="2698"/>
      <c r="Q318" s="2698"/>
      <c r="R318" s="2699"/>
      <c r="S318" s="1867"/>
      <c r="T318" s="1867"/>
      <c r="U318" s="1867"/>
      <c r="V318" s="1867"/>
      <c r="W318" s="1867"/>
      <c r="X318" s="1867"/>
      <c r="Y318" s="1867"/>
      <c r="Z318" s="1867"/>
      <c r="AA318" s="1867"/>
      <c r="AB318" s="1867"/>
      <c r="AC318" s="1867"/>
      <c r="AD318" s="1867"/>
      <c r="AE318" s="1867"/>
      <c r="AF318" s="1867"/>
      <c r="AG318" s="1867"/>
      <c r="AH318" s="1867"/>
      <c r="AI318" s="1867"/>
      <c r="AJ318" s="1867"/>
      <c r="AK318" s="1867"/>
      <c r="AL318" s="1867"/>
      <c r="AM318" s="1867"/>
      <c r="AN318" s="1867"/>
      <c r="AO318" s="1867"/>
      <c r="AP318" s="1867"/>
      <c r="AQ318" s="1867"/>
      <c r="AR318" s="1867"/>
      <c r="AS318" s="1867"/>
      <c r="AT318" s="1867"/>
      <c r="AU318" s="1867"/>
      <c r="AV318" s="1867"/>
      <c r="AW318" s="1867"/>
      <c r="AX318" s="1867"/>
      <c r="AY318" s="1867"/>
      <c r="AZ318" s="1867"/>
      <c r="BA318" s="1867"/>
      <c r="BB318" s="1867"/>
      <c r="BC318" s="1867"/>
      <c r="BD318" s="1867"/>
      <c r="BE318" s="1867"/>
      <c r="BF318" s="1867"/>
      <c r="BG318" s="1867"/>
      <c r="BH318" s="1867"/>
      <c r="BI318" s="1867"/>
      <c r="BJ318" s="1867"/>
      <c r="BK318" s="1867"/>
      <c r="BL318" s="1867"/>
      <c r="BM318" s="1867"/>
      <c r="BN318" s="1867"/>
      <c r="BO318" s="1867"/>
      <c r="BP318" s="1867"/>
      <c r="BQ318" s="1867"/>
      <c r="BR318" s="1867"/>
      <c r="BS318" s="1867"/>
      <c r="BT318" s="1867"/>
      <c r="BU318" s="1867"/>
      <c r="BV318" s="1867"/>
      <c r="BW318" s="1867"/>
      <c r="BX318" s="1867"/>
      <c r="BY318" s="1867"/>
      <c r="BZ318" s="1867"/>
      <c r="CA318" s="1867"/>
      <c r="CB318" s="1867"/>
      <c r="CC318" s="1867"/>
      <c r="CD318" s="1867"/>
      <c r="CE318" s="1867"/>
      <c r="CF318" s="1867"/>
      <c r="CG318" s="1867"/>
      <c r="CH318" s="1867"/>
      <c r="CI318" s="1867"/>
      <c r="CJ318" s="1867"/>
      <c r="CK318" s="1867"/>
      <c r="CL318" s="1867"/>
      <c r="CM318" s="1867"/>
      <c r="CN318" s="1867"/>
      <c r="CO318" s="1867"/>
      <c r="CP318" s="1871"/>
      <c r="CQ318" s="1867"/>
      <c r="CR318" s="1867"/>
      <c r="CS318" s="1867"/>
      <c r="CT318" s="1867"/>
      <c r="CU318" s="1867"/>
      <c r="CV318" s="1867"/>
      <c r="CW318" s="1867"/>
      <c r="CX318" s="1867"/>
      <c r="CY318" s="1870"/>
      <c r="CZ318" s="1867"/>
      <c r="DA318" s="1868"/>
      <c r="DB318" s="1867"/>
      <c r="DC318" s="1868"/>
      <c r="DD318" s="1869"/>
      <c r="DE318" s="1870"/>
      <c r="DF318" s="1867"/>
      <c r="DG318" s="1868"/>
      <c r="DH318" s="1867"/>
      <c r="DI318" s="1868"/>
      <c r="DJ318" s="1875"/>
      <c r="DK318" s="1870"/>
      <c r="DL318" s="1867"/>
      <c r="DM318" s="1868"/>
      <c r="DN318" s="1867"/>
      <c r="DO318" s="1868"/>
      <c r="DP318" s="1869"/>
      <c r="DQ318" s="1870"/>
      <c r="DR318" s="1867"/>
      <c r="DS318" s="1868"/>
      <c r="DT318" s="1867"/>
      <c r="DU318" s="1868"/>
      <c r="DV318" s="1875"/>
      <c r="DW318" s="1870"/>
      <c r="DX318" s="1867"/>
      <c r="DY318" s="1868"/>
      <c r="DZ318" s="1867"/>
      <c r="EA318" s="1868"/>
      <c r="EB318" s="1875"/>
      <c r="EC318" s="1870"/>
      <c r="ED318" s="1867"/>
      <c r="EE318" s="1868"/>
      <c r="EF318" s="1867"/>
      <c r="EG318" s="1868"/>
      <c r="EH318" s="1875"/>
      <c r="EI318" s="1870"/>
      <c r="EJ318" s="1867"/>
      <c r="EK318" s="1868"/>
      <c r="EL318" s="1867"/>
      <c r="EM318" s="1868"/>
      <c r="EN318" s="1875"/>
      <c r="EO318" s="1870"/>
      <c r="EP318" s="1867"/>
      <c r="EQ318" s="1868"/>
      <c r="ER318" s="1867"/>
      <c r="ES318" s="1868"/>
      <c r="ET318" s="1869"/>
      <c r="EU318" s="1870"/>
      <c r="EV318" s="1867"/>
      <c r="EW318" s="1868"/>
      <c r="EX318" s="1867"/>
      <c r="EY318" s="1868"/>
      <c r="EZ318" s="1869"/>
      <c r="FA318" s="1870"/>
      <c r="FB318" s="1867"/>
      <c r="FC318" s="1868"/>
      <c r="FD318" s="1867" t="s">
        <v>17778</v>
      </c>
      <c r="FE318" s="1868"/>
      <c r="FF318" s="1875"/>
      <c r="FG318" s="1870"/>
      <c r="FH318" s="1867"/>
      <c r="FI318" s="1868"/>
      <c r="FJ318" s="1867"/>
      <c r="FK318" s="1868"/>
      <c r="FL318" s="1875"/>
      <c r="FM318" s="1870"/>
      <c r="FN318" s="1867"/>
      <c r="FO318" s="1868"/>
      <c r="FP318" s="1867"/>
      <c r="FQ318" s="1868"/>
      <c r="FR318" s="1875"/>
      <c r="FS318" s="1870"/>
      <c r="FT318" s="1867"/>
      <c r="FU318" s="1868" t="s">
        <v>17051</v>
      </c>
      <c r="FV318" s="1867"/>
      <c r="FW318" s="1868"/>
      <c r="FX318" s="1875"/>
      <c r="FY318" s="1870"/>
      <c r="FZ318" s="1867"/>
      <c r="GA318" s="1868"/>
      <c r="GB318" s="1867"/>
      <c r="GC318" s="1868"/>
      <c r="GD318" s="1875"/>
      <c r="GE318" s="1870"/>
      <c r="GF318" s="1867"/>
      <c r="GG318" s="1868"/>
      <c r="GH318" s="1867"/>
      <c r="GI318" s="1868"/>
      <c r="GJ318" s="1875"/>
      <c r="GK318" s="1870"/>
      <c r="GL318" s="1867"/>
      <c r="GM318" s="1868"/>
      <c r="GN318" s="1867"/>
      <c r="GO318" s="1868"/>
      <c r="GP318" s="1875"/>
    </row>
    <row r="319" spans="1:198" ht="20.100000000000001" customHeight="1" collapsed="1">
      <c r="A319" s="2709"/>
      <c r="B319" s="2760" t="s">
        <v>9811</v>
      </c>
      <c r="C319" s="1941" t="s">
        <v>17957</v>
      </c>
      <c r="D319" s="2746" t="str">
        <f>実績!C1442&amp;"("&amp;SUBSTITUTE(実績!W1442&amp;")","株式会社 ","")</f>
        <v>ﾎｸｴﾂ自動車販売㈱修理工(a.s.t atelier)</v>
      </c>
      <c r="E319" s="2747"/>
      <c r="F319" s="2747"/>
      <c r="G319" s="2747"/>
      <c r="H319" s="2747"/>
      <c r="I319" s="2747"/>
      <c r="J319" s="2747"/>
      <c r="K319" s="2747"/>
      <c r="L319" s="2747"/>
      <c r="M319" s="2747"/>
      <c r="N319" s="2747"/>
      <c r="O319" s="2747"/>
      <c r="P319" s="2747"/>
      <c r="Q319" s="2747"/>
      <c r="R319" s="2748"/>
      <c r="S319" s="1101"/>
      <c r="T319" s="1101"/>
      <c r="U319" s="1102"/>
      <c r="V319" s="1101"/>
      <c r="W319" s="1102"/>
      <c r="X319" s="1103"/>
      <c r="Y319" s="1101"/>
      <c r="Z319" s="1101"/>
      <c r="AA319" s="1102"/>
      <c r="AB319" s="1101"/>
      <c r="AC319" s="1102"/>
      <c r="AD319" s="1101"/>
      <c r="AE319" s="1104"/>
      <c r="AF319" s="1101"/>
      <c r="AG319" s="1102"/>
      <c r="AH319" s="1101"/>
      <c r="AI319" s="1102"/>
      <c r="AJ319" s="1103"/>
      <c r="AK319" s="1101"/>
      <c r="AL319" s="1101"/>
      <c r="AM319" s="1102"/>
      <c r="AN319" s="1101"/>
      <c r="AO319" s="1102"/>
      <c r="AP319" s="1101"/>
      <c r="AQ319" s="1105"/>
      <c r="AR319" s="1101"/>
      <c r="AS319" s="1102"/>
      <c r="AT319" s="1101"/>
      <c r="AU319" s="1102"/>
      <c r="AV319" s="1103"/>
      <c r="AW319" s="1104"/>
      <c r="AX319" s="1101"/>
      <c r="AY319" s="1102"/>
      <c r="AZ319" s="1101"/>
      <c r="BA319" s="1102"/>
      <c r="BB319" s="1103"/>
      <c r="BC319" s="1101"/>
      <c r="BD319" s="1101"/>
      <c r="BE319" s="1102"/>
      <c r="BF319" s="1101"/>
      <c r="BG319" s="1102"/>
      <c r="BH319" s="1101"/>
      <c r="BI319" s="1104"/>
      <c r="BJ319" s="1101"/>
      <c r="BK319" s="1102"/>
      <c r="BL319" s="1101"/>
      <c r="BM319" s="1102"/>
      <c r="BN319" s="1103"/>
      <c r="BO319" s="1104"/>
      <c r="BP319" s="1101"/>
      <c r="BQ319" s="1102"/>
      <c r="BR319" s="1106"/>
      <c r="BS319" s="1102"/>
      <c r="BT319" s="1103"/>
      <c r="BU319" s="1104"/>
      <c r="BV319" s="1101"/>
      <c r="BW319" s="1102"/>
      <c r="BX319" s="1101"/>
      <c r="BY319" s="1102"/>
      <c r="BZ319" s="1103"/>
      <c r="CA319" s="1104"/>
      <c r="CB319" s="1101"/>
      <c r="CC319" s="1102"/>
      <c r="CD319" s="1101"/>
      <c r="CE319" s="1102"/>
      <c r="CF319" s="1103"/>
      <c r="CG319" s="1104"/>
      <c r="CH319" s="1101"/>
      <c r="CI319" s="1102"/>
      <c r="CJ319" s="1101"/>
      <c r="CK319" s="1102"/>
      <c r="CL319" s="1103"/>
      <c r="CM319" s="1104"/>
      <c r="CN319" s="1101"/>
      <c r="CO319" s="1102"/>
      <c r="CP319" s="1107"/>
      <c r="CQ319" s="1102"/>
      <c r="CR319" s="1103"/>
      <c r="CS319" s="1104"/>
      <c r="CT319" s="1101"/>
      <c r="CU319" s="1102"/>
      <c r="CV319" s="1101"/>
      <c r="CW319" s="1102"/>
      <c r="CX319" s="1103"/>
      <c r="CY319" s="1104"/>
      <c r="CZ319" s="1101"/>
      <c r="DA319" s="1102"/>
      <c r="DB319" s="1101"/>
      <c r="DC319" s="1102"/>
      <c r="DD319" s="1103"/>
      <c r="DE319" s="1104"/>
      <c r="DF319" s="1101"/>
      <c r="DG319" s="1102"/>
      <c r="DH319" s="1101"/>
      <c r="DI319" s="1102"/>
      <c r="DJ319" s="1103"/>
      <c r="DK319" s="1104"/>
      <c r="DL319" s="1101"/>
      <c r="DM319" s="1102"/>
      <c r="DN319" s="1101"/>
      <c r="DO319" s="1102"/>
      <c r="DP319" s="1103"/>
      <c r="DQ319" s="1104"/>
      <c r="DR319" s="1101"/>
      <c r="DS319" s="1102"/>
      <c r="DT319" s="1101"/>
      <c r="DU319" s="1102"/>
      <c r="DV319" s="1103"/>
      <c r="DW319" s="1104"/>
      <c r="DX319" s="1101"/>
      <c r="DY319" s="1102"/>
      <c r="DZ319" s="1101"/>
      <c r="EA319" s="1102"/>
      <c r="EB319" s="1103"/>
      <c r="EC319" s="1104"/>
      <c r="ED319" s="1101"/>
      <c r="EE319" s="1102"/>
      <c r="EF319" s="1101"/>
      <c r="EG319" s="1102"/>
      <c r="EH319" s="1103"/>
      <c r="EI319" s="1943"/>
      <c r="EJ319" s="1942"/>
      <c r="EK319" s="1944"/>
      <c r="EL319" s="1942"/>
      <c r="EM319" s="1944"/>
      <c r="EN319" s="1945"/>
      <c r="EO319" s="1943"/>
      <c r="EP319" s="1942"/>
      <c r="EQ319" s="1944"/>
      <c r="ER319" s="1942"/>
      <c r="ES319" s="1944"/>
      <c r="ET319" s="1945"/>
      <c r="EU319" s="1943"/>
      <c r="EV319" s="1942"/>
      <c r="EW319" s="1944"/>
      <c r="EX319" s="1942"/>
      <c r="EY319" s="1944"/>
      <c r="EZ319" s="1945"/>
      <c r="FA319" s="1943"/>
      <c r="FB319" s="1942"/>
      <c r="FC319" s="1949"/>
      <c r="FD319" s="1942"/>
      <c r="FE319" s="1944"/>
      <c r="FF319" s="1946" t="s">
        <v>17960</v>
      </c>
      <c r="FG319" s="1943"/>
      <c r="FH319" s="1942"/>
      <c r="FI319" s="1944"/>
      <c r="FJ319" s="1942"/>
      <c r="FK319" s="1944"/>
      <c r="FL319" s="1946" t="s">
        <v>17961</v>
      </c>
      <c r="FM319" s="1943"/>
      <c r="FN319" s="1942"/>
      <c r="FO319" s="1944"/>
      <c r="FP319" s="1942"/>
      <c r="FQ319" s="1944"/>
      <c r="FR319" s="1945"/>
      <c r="FS319" s="1943"/>
      <c r="FT319" s="1942"/>
      <c r="FU319" s="1944"/>
      <c r="FV319" s="1942"/>
      <c r="FW319" s="1944"/>
      <c r="FX319" s="1946"/>
      <c r="FY319" s="1943"/>
      <c r="FZ319" s="1942"/>
      <c r="GA319" s="1944"/>
      <c r="GB319" s="1942"/>
      <c r="GC319" s="1944"/>
      <c r="GD319" s="1946"/>
      <c r="GE319" s="1943"/>
      <c r="GF319" s="1942"/>
      <c r="GG319" s="1944"/>
      <c r="GH319" s="1942"/>
      <c r="GI319" s="1944"/>
      <c r="GJ319" s="1946"/>
      <c r="GK319" s="1943"/>
      <c r="GL319" s="1942"/>
      <c r="GM319" s="1944"/>
      <c r="GN319" s="1942"/>
      <c r="GO319" s="1944"/>
      <c r="GP319" s="1946"/>
    </row>
    <row r="320" spans="1:198" ht="20.100000000000001" customHeight="1">
      <c r="A320" s="2709"/>
      <c r="B320" s="2761"/>
      <c r="C320" s="168" t="s">
        <v>18139</v>
      </c>
      <c r="D320" s="2763" t="str">
        <f>実績!C1447&amp;"("&amp;SUBSTITUTE(実績!R1447&amp;")","株式会社 ","")</f>
        <v>日本酪農協同(株)徳島工場(JA設計)</v>
      </c>
      <c r="E320" s="2764"/>
      <c r="F320" s="2764"/>
      <c r="G320" s="2764"/>
      <c r="H320" s="2764"/>
      <c r="I320" s="2764"/>
      <c r="J320" s="2764"/>
      <c r="K320" s="2764"/>
      <c r="L320" s="2764"/>
      <c r="M320" s="2764"/>
      <c r="N320" s="2764"/>
      <c r="O320" s="2764"/>
      <c r="P320" s="2764"/>
      <c r="Q320" s="2764"/>
      <c r="R320" s="2765"/>
      <c r="S320" s="26"/>
      <c r="T320" s="26"/>
      <c r="U320" s="54"/>
      <c r="V320" s="26"/>
      <c r="W320" s="54"/>
      <c r="X320" s="55"/>
      <c r="Y320" s="26"/>
      <c r="Z320" s="26"/>
      <c r="AA320" s="54"/>
      <c r="AB320" s="26"/>
      <c r="AC320" s="54"/>
      <c r="AD320" s="26"/>
      <c r="AE320" s="56"/>
      <c r="AF320" s="26"/>
      <c r="AG320" s="54"/>
      <c r="AH320" s="26"/>
      <c r="AI320" s="54"/>
      <c r="AJ320" s="55"/>
      <c r="AK320" s="26"/>
      <c r="AL320" s="26"/>
      <c r="AM320" s="54"/>
      <c r="AN320" s="26"/>
      <c r="AO320" s="54"/>
      <c r="AP320" s="26"/>
      <c r="AQ320" s="53"/>
      <c r="AR320" s="26"/>
      <c r="AS320" s="54"/>
      <c r="AT320" s="26"/>
      <c r="AU320" s="54"/>
      <c r="AV320" s="55"/>
      <c r="AW320" s="56"/>
      <c r="AX320" s="26"/>
      <c r="AY320" s="54"/>
      <c r="AZ320" s="26"/>
      <c r="BA320" s="54"/>
      <c r="BB320" s="55"/>
      <c r="BC320" s="26"/>
      <c r="BD320" s="26"/>
      <c r="BE320" s="54"/>
      <c r="BF320" s="26"/>
      <c r="BG320" s="54"/>
      <c r="BH320" s="26"/>
      <c r="BI320" s="56"/>
      <c r="BJ320" s="26"/>
      <c r="BK320" s="54"/>
      <c r="BL320" s="26"/>
      <c r="BM320" s="54"/>
      <c r="BN320" s="55"/>
      <c r="BO320" s="56"/>
      <c r="BP320" s="26"/>
      <c r="BQ320" s="54"/>
      <c r="BR320" s="70"/>
      <c r="BS320" s="54"/>
      <c r="BT320" s="55"/>
      <c r="BU320" s="56"/>
      <c r="BV320" s="26"/>
      <c r="BW320" s="54"/>
      <c r="BX320" s="26"/>
      <c r="BY320" s="54"/>
      <c r="BZ320" s="55"/>
      <c r="CA320" s="56"/>
      <c r="CB320" s="26"/>
      <c r="CC320" s="54"/>
      <c r="CD320" s="26"/>
      <c r="CE320" s="54"/>
      <c r="CF320" s="55"/>
      <c r="CG320" s="56"/>
      <c r="CH320" s="26"/>
      <c r="CI320" s="54"/>
      <c r="CJ320" s="26"/>
      <c r="CK320" s="54"/>
      <c r="CL320" s="55"/>
      <c r="CM320" s="56"/>
      <c r="CN320" s="26"/>
      <c r="CO320" s="54"/>
      <c r="CP320" s="118"/>
      <c r="CQ320" s="54"/>
      <c r="CR320" s="55"/>
      <c r="CS320" s="56"/>
      <c r="CT320" s="26"/>
      <c r="CU320" s="54"/>
      <c r="CV320" s="26"/>
      <c r="CW320" s="54"/>
      <c r="CX320" s="55"/>
      <c r="CY320" s="56"/>
      <c r="CZ320" s="26"/>
      <c r="DA320" s="54"/>
      <c r="DB320" s="26"/>
      <c r="DC320" s="54"/>
      <c r="DD320" s="55"/>
      <c r="DE320" s="56"/>
      <c r="DF320" s="26"/>
      <c r="DG320" s="54"/>
      <c r="DH320" s="26"/>
      <c r="DI320" s="54"/>
      <c r="DJ320" s="55"/>
      <c r="DK320" s="56"/>
      <c r="DL320" s="26"/>
      <c r="DM320" s="54"/>
      <c r="DN320" s="26"/>
      <c r="DO320" s="54"/>
      <c r="DP320" s="55"/>
      <c r="DQ320" s="56"/>
      <c r="DR320" s="26"/>
      <c r="DS320" s="54"/>
      <c r="DT320" s="26"/>
      <c r="DU320" s="54"/>
      <c r="DV320" s="55"/>
      <c r="DW320" s="56"/>
      <c r="DX320" s="26"/>
      <c r="DY320" s="54"/>
      <c r="DZ320" s="26"/>
      <c r="EA320" s="54"/>
      <c r="EB320" s="55"/>
      <c r="EC320" s="56"/>
      <c r="ED320" s="26"/>
      <c r="EE320" s="54"/>
      <c r="EF320" s="26"/>
      <c r="EG320" s="54"/>
      <c r="EH320" s="55"/>
      <c r="EI320" s="158"/>
      <c r="EJ320" s="159"/>
      <c r="EK320" s="160"/>
      <c r="EL320" s="159"/>
      <c r="EM320" s="160"/>
      <c r="EN320" s="161"/>
      <c r="EO320" s="158"/>
      <c r="EP320" s="159"/>
      <c r="EQ320" s="160"/>
      <c r="ER320" s="159"/>
      <c r="ES320" s="160"/>
      <c r="ET320" s="161"/>
      <c r="EU320" s="158"/>
      <c r="EV320" s="159"/>
      <c r="EW320" s="160"/>
      <c r="EX320" s="159"/>
      <c r="EY320" s="160"/>
      <c r="EZ320" s="161"/>
      <c r="FA320" s="158"/>
      <c r="FB320" s="159"/>
      <c r="FC320" s="1897"/>
      <c r="FD320" s="159"/>
      <c r="FE320" s="160"/>
      <c r="FF320" s="162" t="s">
        <v>18116</v>
      </c>
      <c r="FG320" s="158"/>
      <c r="FH320" s="159"/>
      <c r="FI320" s="160"/>
      <c r="FJ320" s="159"/>
      <c r="FK320" s="160"/>
      <c r="FL320" s="161"/>
      <c r="FM320" s="158"/>
      <c r="FN320" s="159"/>
      <c r="FO320" s="160"/>
      <c r="FP320" s="159"/>
      <c r="FQ320" s="160"/>
      <c r="FR320" s="161"/>
      <c r="FS320" s="158"/>
      <c r="FT320" s="159"/>
      <c r="FU320" s="160" t="s">
        <v>18122</v>
      </c>
      <c r="FV320" s="159"/>
      <c r="FW320" s="160"/>
      <c r="FX320" s="162"/>
      <c r="FY320" s="158"/>
      <c r="FZ320" s="159"/>
      <c r="GA320" s="160"/>
      <c r="GB320" s="159"/>
      <c r="GC320" s="160"/>
      <c r="GD320" s="162"/>
      <c r="GE320" s="158"/>
      <c r="GF320" s="159"/>
      <c r="GG320" s="160"/>
      <c r="GH320" s="159"/>
      <c r="GI320" s="160"/>
      <c r="GJ320" s="162"/>
      <c r="GK320" s="158"/>
      <c r="GL320" s="159"/>
      <c r="GM320" s="160"/>
      <c r="GN320" s="159"/>
      <c r="GO320" s="160"/>
      <c r="GP320" s="162"/>
    </row>
    <row r="321" spans="1:198" ht="20.100000000000001" customHeight="1">
      <c r="A321" s="2709"/>
      <c r="B321" s="2761"/>
      <c r="C321" s="168" t="s">
        <v>18052</v>
      </c>
      <c r="D321" s="2608" t="str">
        <f>実績!C1446&amp;"("&amp;SUBSTITUTE(実績!R1446&amp;")","株式会社 ","")</f>
        <v>伊勢化学工業(沖田建築設計事務所)</v>
      </c>
      <c r="E321" s="2609"/>
      <c r="F321" s="2609"/>
      <c r="G321" s="2609"/>
      <c r="H321" s="2609"/>
      <c r="I321" s="2609"/>
      <c r="J321" s="2609"/>
      <c r="K321" s="2609"/>
      <c r="L321" s="2609"/>
      <c r="M321" s="2609"/>
      <c r="N321" s="2609"/>
      <c r="O321" s="2609"/>
      <c r="P321" s="2609"/>
      <c r="Q321" s="2609"/>
      <c r="R321" s="2610"/>
      <c r="S321" s="26"/>
      <c r="T321" s="26"/>
      <c r="U321" s="54"/>
      <c r="V321" s="26"/>
      <c r="W321" s="54"/>
      <c r="X321" s="55"/>
      <c r="Y321" s="26"/>
      <c r="Z321" s="26"/>
      <c r="AA321" s="54"/>
      <c r="AB321" s="26"/>
      <c r="AC321" s="54"/>
      <c r="AD321" s="26"/>
      <c r="AE321" s="56"/>
      <c r="AF321" s="26"/>
      <c r="AG321" s="54"/>
      <c r="AH321" s="26"/>
      <c r="AI321" s="54"/>
      <c r="AJ321" s="55"/>
      <c r="AK321" s="26"/>
      <c r="AL321" s="26"/>
      <c r="AM321" s="54"/>
      <c r="AN321" s="26"/>
      <c r="AO321" s="54"/>
      <c r="AP321" s="26"/>
      <c r="AQ321" s="53"/>
      <c r="AR321" s="26"/>
      <c r="AS321" s="54"/>
      <c r="AT321" s="26"/>
      <c r="AU321" s="54"/>
      <c r="AV321" s="55"/>
      <c r="AW321" s="56"/>
      <c r="AX321" s="26"/>
      <c r="AY321" s="54"/>
      <c r="AZ321" s="26"/>
      <c r="BA321" s="54"/>
      <c r="BB321" s="55"/>
      <c r="BC321" s="26"/>
      <c r="BD321" s="26"/>
      <c r="BE321" s="54"/>
      <c r="BF321" s="26"/>
      <c r="BG321" s="54"/>
      <c r="BH321" s="26"/>
      <c r="BI321" s="56"/>
      <c r="BJ321" s="26"/>
      <c r="BK321" s="54"/>
      <c r="BL321" s="26"/>
      <c r="BM321" s="54"/>
      <c r="BN321" s="55"/>
      <c r="BO321" s="56"/>
      <c r="BP321" s="26"/>
      <c r="BQ321" s="54"/>
      <c r="BR321" s="70"/>
      <c r="BS321" s="54"/>
      <c r="BT321" s="55"/>
      <c r="BU321" s="56"/>
      <c r="BV321" s="26"/>
      <c r="BW321" s="54"/>
      <c r="BX321" s="26"/>
      <c r="BY321" s="54"/>
      <c r="BZ321" s="55"/>
      <c r="CA321" s="56"/>
      <c r="CB321" s="26"/>
      <c r="CC321" s="54"/>
      <c r="CD321" s="26"/>
      <c r="CE321" s="54"/>
      <c r="CF321" s="55"/>
      <c r="CG321" s="56"/>
      <c r="CH321" s="26"/>
      <c r="CI321" s="54"/>
      <c r="CJ321" s="26"/>
      <c r="CK321" s="54"/>
      <c r="CL321" s="55"/>
      <c r="CM321" s="56"/>
      <c r="CN321" s="26"/>
      <c r="CO321" s="54"/>
      <c r="CP321" s="118"/>
      <c r="CQ321" s="54"/>
      <c r="CR321" s="55"/>
      <c r="CS321" s="56"/>
      <c r="CT321" s="26"/>
      <c r="CU321" s="54"/>
      <c r="CV321" s="26"/>
      <c r="CW321" s="54"/>
      <c r="CX321" s="55"/>
      <c r="CY321" s="56"/>
      <c r="CZ321" s="26"/>
      <c r="DA321" s="54"/>
      <c r="DB321" s="26"/>
      <c r="DC321" s="54"/>
      <c r="DD321" s="55"/>
      <c r="DE321" s="56"/>
      <c r="DF321" s="26"/>
      <c r="DG321" s="54"/>
      <c r="DH321" s="26"/>
      <c r="DI321" s="54"/>
      <c r="DJ321" s="55"/>
      <c r="DK321" s="56"/>
      <c r="DL321" s="26"/>
      <c r="DM321" s="54"/>
      <c r="DN321" s="26"/>
      <c r="DO321" s="54"/>
      <c r="DP321" s="55"/>
      <c r="DQ321" s="56"/>
      <c r="DR321" s="26"/>
      <c r="DS321" s="54"/>
      <c r="DT321" s="26"/>
      <c r="DU321" s="54"/>
      <c r="DV321" s="55"/>
      <c r="DW321" s="56"/>
      <c r="DX321" s="26"/>
      <c r="DY321" s="54"/>
      <c r="DZ321" s="26"/>
      <c r="EA321" s="54"/>
      <c r="EB321" s="55"/>
      <c r="EC321" s="56"/>
      <c r="ED321" s="26"/>
      <c r="EE321" s="54"/>
      <c r="EF321" s="26"/>
      <c r="EG321" s="54"/>
      <c r="EH321" s="55"/>
      <c r="EI321" s="158"/>
      <c r="EJ321" s="159"/>
      <c r="EK321" s="160"/>
      <c r="EL321" s="159"/>
      <c r="EM321" s="160"/>
      <c r="EN321" s="161"/>
      <c r="EO321" s="158"/>
      <c r="EP321" s="159"/>
      <c r="EQ321" s="160"/>
      <c r="ER321" s="159"/>
      <c r="ES321" s="160"/>
      <c r="ET321" s="161"/>
      <c r="EU321" s="158"/>
      <c r="EV321" s="159"/>
      <c r="EW321" s="160"/>
      <c r="EX321" s="159"/>
      <c r="EY321" s="160"/>
      <c r="EZ321" s="161"/>
      <c r="FA321" s="158"/>
      <c r="FB321" s="159"/>
      <c r="FC321" s="1897"/>
      <c r="FD321" s="159"/>
      <c r="FE321" s="160"/>
      <c r="FF321" s="162"/>
      <c r="FG321" s="158"/>
      <c r="FH321" s="159"/>
      <c r="FI321" s="160"/>
      <c r="FJ321" s="159"/>
      <c r="FK321" s="160"/>
      <c r="FL321" s="161"/>
      <c r="FM321" s="158"/>
      <c r="FN321" s="159"/>
      <c r="FO321" s="160"/>
      <c r="FP321" s="159"/>
      <c r="FQ321" s="160"/>
      <c r="FR321" s="161"/>
      <c r="FS321" s="158" t="s">
        <v>18080</v>
      </c>
      <c r="FT321" s="159"/>
      <c r="FU321" s="160"/>
      <c r="FV321" s="159"/>
      <c r="FW321" s="160"/>
      <c r="FX321" s="162"/>
      <c r="FY321" s="158"/>
      <c r="FZ321" s="159"/>
      <c r="GA321" s="160"/>
      <c r="GB321" s="159"/>
      <c r="GC321" s="160"/>
      <c r="GD321" s="162"/>
      <c r="GE321" s="158"/>
      <c r="GF321" s="159"/>
      <c r="GG321" s="160"/>
      <c r="GH321" s="159"/>
      <c r="GI321" s="160"/>
      <c r="GJ321" s="162"/>
      <c r="GK321" s="158"/>
      <c r="GL321" s="159"/>
      <c r="GM321" s="160"/>
      <c r="GN321" s="159"/>
      <c r="GO321" s="160"/>
      <c r="GP321" s="162"/>
    </row>
    <row r="322" spans="1:198" ht="20.100000000000001" customHeight="1">
      <c r="A322" s="2709"/>
      <c r="B322" s="2761"/>
      <c r="C322" s="168" t="s">
        <v>17141</v>
      </c>
      <c r="D322" s="2608" t="str">
        <f>実績!C1445&amp;"("&amp;SUBSTITUTE(実績!R1445&amp;")","有限会社 ","")</f>
        <v>キャニオンスパイス(CAS建築事務所)</v>
      </c>
      <c r="E322" s="2609"/>
      <c r="F322" s="2609"/>
      <c r="G322" s="2609"/>
      <c r="H322" s="2609"/>
      <c r="I322" s="2609"/>
      <c r="J322" s="2609"/>
      <c r="K322" s="2609"/>
      <c r="L322" s="2609"/>
      <c r="M322" s="2609"/>
      <c r="N322" s="2609"/>
      <c r="O322" s="2609"/>
      <c r="P322" s="2609"/>
      <c r="Q322" s="2609"/>
      <c r="R322" s="2610"/>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118"/>
      <c r="CQ322" s="26"/>
      <c r="CR322" s="26"/>
      <c r="CS322" s="26"/>
      <c r="CT322" s="26"/>
      <c r="CU322" s="26"/>
      <c r="CV322" s="26"/>
      <c r="CW322" s="26"/>
      <c r="CX322" s="26"/>
      <c r="CY322" s="56"/>
      <c r="CZ322" s="26"/>
      <c r="DA322" s="54"/>
      <c r="DB322" s="26"/>
      <c r="DC322" s="54"/>
      <c r="DD322" s="55"/>
      <c r="DE322" s="56"/>
      <c r="DF322" s="26"/>
      <c r="DG322" s="54"/>
      <c r="DH322" s="26"/>
      <c r="DI322" s="54"/>
      <c r="DJ322" s="55"/>
      <c r="DK322" s="56"/>
      <c r="DL322" s="26"/>
      <c r="DM322" s="54"/>
      <c r="DN322" s="26"/>
      <c r="DO322" s="54"/>
      <c r="DP322" s="55"/>
      <c r="DQ322" s="56"/>
      <c r="DR322" s="26"/>
      <c r="DS322" s="54"/>
      <c r="DT322" s="26"/>
      <c r="DU322" s="54"/>
      <c r="DV322" s="55"/>
      <c r="DW322" s="56"/>
      <c r="DX322" s="26"/>
      <c r="DY322" s="54"/>
      <c r="DZ322" s="26"/>
      <c r="EA322" s="54"/>
      <c r="EB322" s="55"/>
      <c r="EC322" s="56"/>
      <c r="ED322" s="26"/>
      <c r="EE322" s="54"/>
      <c r="EF322" s="26"/>
      <c r="EG322" s="54"/>
      <c r="EH322" s="55"/>
      <c r="EI322" s="158"/>
      <c r="EJ322" s="159"/>
      <c r="EK322" s="160"/>
      <c r="EL322" s="159"/>
      <c r="EM322" s="160"/>
      <c r="EN322" s="161"/>
      <c r="EO322" s="158"/>
      <c r="EP322" s="159"/>
      <c r="EQ322" s="160"/>
      <c r="ER322" s="159"/>
      <c r="ES322" s="160"/>
      <c r="ET322" s="161"/>
      <c r="EU322" s="158"/>
      <c r="EV322" s="159"/>
      <c r="EW322" s="160"/>
      <c r="EX322" s="159"/>
      <c r="EY322" s="160"/>
      <c r="EZ322" s="161"/>
      <c r="FA322" s="158"/>
      <c r="FB322" s="159"/>
      <c r="FC322" s="1897"/>
      <c r="FD322" s="159"/>
      <c r="FE322" s="160"/>
      <c r="FF322" s="162"/>
      <c r="FG322" s="158"/>
      <c r="FH322" s="159" t="s">
        <v>18138</v>
      </c>
      <c r="FI322" s="160"/>
      <c r="FJ322" s="159"/>
      <c r="FK322" s="160"/>
      <c r="FL322" s="162"/>
      <c r="FM322" s="158"/>
      <c r="FN322" s="159"/>
      <c r="FO322" s="160"/>
      <c r="FP322" s="159"/>
      <c r="FQ322" s="160"/>
      <c r="FR322" s="161"/>
      <c r="FS322" s="158"/>
      <c r="FT322" s="159"/>
      <c r="FU322" s="160"/>
      <c r="FV322" s="159"/>
      <c r="FW322" s="160"/>
      <c r="FX322" s="162"/>
      <c r="FY322" s="158"/>
      <c r="FZ322" s="159"/>
      <c r="GA322" s="160"/>
      <c r="GB322" s="159"/>
      <c r="GC322" s="160"/>
      <c r="GD322" s="162"/>
      <c r="GE322" s="158"/>
      <c r="GF322" s="159"/>
      <c r="GG322" s="160"/>
      <c r="GH322" s="159"/>
      <c r="GI322" s="160"/>
      <c r="GJ322" s="162"/>
      <c r="GK322" s="158"/>
      <c r="GL322" s="159"/>
      <c r="GM322" s="160"/>
      <c r="GN322" s="159"/>
      <c r="GO322" s="160"/>
      <c r="GP322" s="162"/>
    </row>
    <row r="323" spans="1:198" ht="20.100000000000001" customHeight="1" thickBot="1">
      <c r="A323" s="2709"/>
      <c r="B323" s="2762"/>
      <c r="C323" s="1826" t="s">
        <v>18053</v>
      </c>
      <c r="D323" s="2731" t="str">
        <f>実績!C1440&amp;"("&amp;SUBSTITUTE(実績!R1440&amp;")","株式会社 ","")</f>
        <v>オートバックス秋田(建築企画)</v>
      </c>
      <c r="E323" s="2732"/>
      <c r="F323" s="2732"/>
      <c r="G323" s="2732"/>
      <c r="H323" s="2732"/>
      <c r="I323" s="2732"/>
      <c r="J323" s="2732"/>
      <c r="K323" s="2732"/>
      <c r="L323" s="2732"/>
      <c r="M323" s="2732"/>
      <c r="N323" s="2732"/>
      <c r="O323" s="2732"/>
      <c r="P323" s="2732"/>
      <c r="Q323" s="2732"/>
      <c r="R323" s="2733"/>
      <c r="S323" s="164"/>
      <c r="T323" s="164"/>
      <c r="U323" s="164"/>
      <c r="V323" s="164"/>
      <c r="W323" s="164"/>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c r="BL323" s="164"/>
      <c r="BM323" s="164"/>
      <c r="BN323" s="164"/>
      <c r="BO323" s="164"/>
      <c r="BP323" s="164"/>
      <c r="BQ323" s="164"/>
      <c r="BR323" s="164"/>
      <c r="BS323" s="164"/>
      <c r="BT323" s="164"/>
      <c r="BU323" s="164"/>
      <c r="BV323" s="164"/>
      <c r="BW323" s="164"/>
      <c r="BX323" s="164"/>
      <c r="BY323" s="164"/>
      <c r="BZ323" s="164"/>
      <c r="CA323" s="164"/>
      <c r="CB323" s="164"/>
      <c r="CC323" s="164"/>
      <c r="CD323" s="164"/>
      <c r="CE323" s="164"/>
      <c r="CF323" s="164"/>
      <c r="CG323" s="164"/>
      <c r="CH323" s="164"/>
      <c r="CI323" s="164"/>
      <c r="CJ323" s="164"/>
      <c r="CK323" s="164"/>
      <c r="CL323" s="164"/>
      <c r="CM323" s="164"/>
      <c r="CN323" s="164"/>
      <c r="CO323" s="164"/>
      <c r="CP323" s="269"/>
      <c r="CQ323" s="164"/>
      <c r="CR323" s="164"/>
      <c r="CS323" s="164"/>
      <c r="CT323" s="164"/>
      <c r="CU323" s="164"/>
      <c r="CV323" s="164"/>
      <c r="CW323" s="164"/>
      <c r="CX323" s="164"/>
      <c r="CY323" s="163"/>
      <c r="CZ323" s="164"/>
      <c r="DA323" s="165"/>
      <c r="DB323" s="164"/>
      <c r="DC323" s="165"/>
      <c r="DD323" s="166"/>
      <c r="DE323" s="163"/>
      <c r="DF323" s="164"/>
      <c r="DG323" s="165"/>
      <c r="DH323" s="164"/>
      <c r="DI323" s="165"/>
      <c r="DJ323" s="1265"/>
      <c r="DK323" s="163"/>
      <c r="DL323" s="164"/>
      <c r="DM323" s="165"/>
      <c r="DN323" s="164"/>
      <c r="DO323" s="165"/>
      <c r="DP323" s="166"/>
      <c r="DQ323" s="163"/>
      <c r="DR323" s="164"/>
      <c r="DS323" s="165"/>
      <c r="DT323" s="164"/>
      <c r="DU323" s="165"/>
      <c r="DV323" s="1265"/>
      <c r="DW323" s="163"/>
      <c r="DX323" s="164"/>
      <c r="DY323" s="165"/>
      <c r="DZ323" s="164"/>
      <c r="EA323" s="165"/>
      <c r="EB323" s="1265"/>
      <c r="EC323" s="163"/>
      <c r="ED323" s="164"/>
      <c r="EE323" s="165"/>
      <c r="EF323" s="164"/>
      <c r="EG323" s="165"/>
      <c r="EH323" s="1265"/>
      <c r="EI323" s="163"/>
      <c r="EJ323" s="164"/>
      <c r="EK323" s="165"/>
      <c r="EL323" s="164"/>
      <c r="EM323" s="165"/>
      <c r="EN323" s="1265"/>
      <c r="EO323" s="163"/>
      <c r="EP323" s="164"/>
      <c r="EQ323" s="165"/>
      <c r="ER323" s="164"/>
      <c r="ES323" s="165"/>
      <c r="ET323" s="166"/>
      <c r="EU323" s="163"/>
      <c r="EV323" s="164"/>
      <c r="EW323" s="165"/>
      <c r="EX323" s="164"/>
      <c r="EY323" s="165"/>
      <c r="EZ323" s="1265"/>
      <c r="FA323" s="163"/>
      <c r="FB323" s="164"/>
      <c r="FC323" s="165"/>
      <c r="FD323" s="164"/>
      <c r="FE323" s="165"/>
      <c r="FF323" s="1265"/>
      <c r="FG323" s="163" t="s">
        <v>18140</v>
      </c>
      <c r="FH323" s="164"/>
      <c r="FI323" s="165"/>
      <c r="FJ323" s="164" t="s">
        <v>18134</v>
      </c>
      <c r="FK323" s="165"/>
      <c r="FL323" s="1265"/>
      <c r="FM323" s="163"/>
      <c r="FN323" s="164"/>
      <c r="FO323" s="165"/>
      <c r="FP323" s="164"/>
      <c r="FQ323" s="165"/>
      <c r="FR323" s="1265"/>
      <c r="FS323" s="163"/>
      <c r="FT323" s="164"/>
      <c r="FU323" s="165"/>
      <c r="FV323" s="164"/>
      <c r="FW323" s="165"/>
      <c r="FX323" s="1265"/>
      <c r="FY323" s="163" t="s">
        <v>17780</v>
      </c>
      <c r="FZ323" s="164"/>
      <c r="GA323" s="165"/>
      <c r="GB323" s="164"/>
      <c r="GC323" s="165"/>
      <c r="GD323" s="1265"/>
      <c r="GE323" s="163"/>
      <c r="GF323" s="164"/>
      <c r="GG323" s="165"/>
      <c r="GH323" s="164"/>
      <c r="GI323" s="165"/>
      <c r="GJ323" s="1265"/>
      <c r="GK323" s="163"/>
      <c r="GL323" s="164"/>
      <c r="GM323" s="165"/>
      <c r="GN323" s="164"/>
      <c r="GO323" s="165"/>
      <c r="GP323" s="1265"/>
    </row>
    <row r="324" spans="1:198" ht="20.100000000000001" customHeight="1">
      <c r="A324" s="2709"/>
      <c r="B324" s="2623" t="s">
        <v>17962</v>
      </c>
      <c r="C324" s="1934" t="s">
        <v>18054</v>
      </c>
      <c r="D324" s="2736" t="str">
        <f>実績!C1444&amp;"("&amp;SUBSTITUTE(実績!R1444&amp;")"," 株式会社","")</f>
        <v>宇治田原町 倉庫(SIN建築設計)</v>
      </c>
      <c r="E324" s="2737"/>
      <c r="F324" s="2737"/>
      <c r="G324" s="2737"/>
      <c r="H324" s="2737"/>
      <c r="I324" s="2737"/>
      <c r="J324" s="2737"/>
      <c r="K324" s="2737"/>
      <c r="L324" s="2737"/>
      <c r="M324" s="2737"/>
      <c r="N324" s="2737"/>
      <c r="O324" s="2737"/>
      <c r="P324" s="2737"/>
      <c r="Q324" s="2737"/>
      <c r="R324" s="2745"/>
      <c r="S324" s="1910"/>
      <c r="T324" s="1910"/>
      <c r="U324" s="1910"/>
      <c r="V324" s="1910"/>
      <c r="W324" s="1910"/>
      <c r="X324" s="1910"/>
      <c r="Y324" s="1910"/>
      <c r="Z324" s="1910"/>
      <c r="AA324" s="1910"/>
      <c r="AB324" s="1910"/>
      <c r="AC324" s="1910"/>
      <c r="AD324" s="1910"/>
      <c r="AE324" s="1910"/>
      <c r="AF324" s="1910"/>
      <c r="AG324" s="1910"/>
      <c r="AH324" s="1910"/>
      <c r="AI324" s="1910"/>
      <c r="AJ324" s="1910"/>
      <c r="AK324" s="1910"/>
      <c r="AL324" s="1910"/>
      <c r="AM324" s="1910"/>
      <c r="AN324" s="1910"/>
      <c r="AO324" s="1910"/>
      <c r="AP324" s="1910"/>
      <c r="AQ324" s="1910"/>
      <c r="AR324" s="1910"/>
      <c r="AS324" s="1910"/>
      <c r="AT324" s="1910"/>
      <c r="AU324" s="1910"/>
      <c r="AV324" s="1910"/>
      <c r="AW324" s="1910"/>
      <c r="AX324" s="1910"/>
      <c r="AY324" s="1910"/>
      <c r="AZ324" s="1910"/>
      <c r="BA324" s="1910"/>
      <c r="BB324" s="1910"/>
      <c r="BC324" s="1910"/>
      <c r="BD324" s="1910"/>
      <c r="BE324" s="1910"/>
      <c r="BF324" s="1910"/>
      <c r="BG324" s="1910"/>
      <c r="BH324" s="1910"/>
      <c r="BI324" s="1910"/>
      <c r="BJ324" s="1910"/>
      <c r="BK324" s="1910"/>
      <c r="BL324" s="1910"/>
      <c r="BM324" s="1910"/>
      <c r="BN324" s="1910"/>
      <c r="BO324" s="1910"/>
      <c r="BP324" s="1910"/>
      <c r="BQ324" s="1910"/>
      <c r="BR324" s="1910"/>
      <c r="BS324" s="1910"/>
      <c r="BT324" s="1910"/>
      <c r="BU324" s="1910"/>
      <c r="BV324" s="1910"/>
      <c r="BW324" s="1910"/>
      <c r="BX324" s="1910"/>
      <c r="BY324" s="1910"/>
      <c r="BZ324" s="1910"/>
      <c r="CA324" s="1910"/>
      <c r="CB324" s="1910"/>
      <c r="CC324" s="1910"/>
      <c r="CD324" s="1910"/>
      <c r="CE324" s="1910"/>
      <c r="CF324" s="1910"/>
      <c r="CG324" s="1910"/>
      <c r="CH324" s="1910"/>
      <c r="CI324" s="1910"/>
      <c r="CJ324" s="1910"/>
      <c r="CK324" s="1910"/>
      <c r="CL324" s="1910"/>
      <c r="CM324" s="1910"/>
      <c r="CN324" s="1910"/>
      <c r="CO324" s="1910"/>
      <c r="CP324" s="1948"/>
      <c r="CQ324" s="1910"/>
      <c r="CR324" s="1910"/>
      <c r="CS324" s="1910"/>
      <c r="CT324" s="1910"/>
      <c r="CU324" s="1910"/>
      <c r="CV324" s="1910"/>
      <c r="CW324" s="1910"/>
      <c r="CX324" s="1910"/>
      <c r="CY324" s="1911"/>
      <c r="CZ324" s="1910"/>
      <c r="DA324" s="1912"/>
      <c r="DB324" s="1910"/>
      <c r="DC324" s="1912"/>
      <c r="DD324" s="1913"/>
      <c r="DE324" s="1911"/>
      <c r="DF324" s="1910"/>
      <c r="DG324" s="1912"/>
      <c r="DH324" s="1910"/>
      <c r="DI324" s="1912"/>
      <c r="DJ324" s="1914"/>
      <c r="DK324" s="1911"/>
      <c r="DL324" s="1910"/>
      <c r="DM324" s="1912"/>
      <c r="DN324" s="1910"/>
      <c r="DO324" s="1912"/>
      <c r="DP324" s="1913"/>
      <c r="DQ324" s="1911"/>
      <c r="DR324" s="1910"/>
      <c r="DS324" s="1912"/>
      <c r="DT324" s="1910"/>
      <c r="DU324" s="1912"/>
      <c r="DV324" s="1914"/>
      <c r="DW324" s="1911"/>
      <c r="DX324" s="1910"/>
      <c r="DY324" s="1912"/>
      <c r="DZ324" s="1910"/>
      <c r="EA324" s="1912"/>
      <c r="EB324" s="1914"/>
      <c r="EC324" s="1911"/>
      <c r="ED324" s="1910"/>
      <c r="EE324" s="1912"/>
      <c r="EF324" s="1910"/>
      <c r="EG324" s="1912"/>
      <c r="EH324" s="1914"/>
      <c r="EI324" s="1911"/>
      <c r="EJ324" s="1910"/>
      <c r="EK324" s="1912"/>
      <c r="EL324" s="1910"/>
      <c r="EM324" s="1912"/>
      <c r="EN324" s="1914"/>
      <c r="EO324" s="1911"/>
      <c r="EP324" s="1910"/>
      <c r="EQ324" s="1912"/>
      <c r="ER324" s="1910"/>
      <c r="ES324" s="1912"/>
      <c r="ET324" s="1913"/>
      <c r="EU324" s="1911"/>
      <c r="EV324" s="1910"/>
      <c r="EW324" s="1912"/>
      <c r="EX324" s="1910"/>
      <c r="EY324" s="1912"/>
      <c r="EZ324" s="1914"/>
      <c r="FA324" s="1911"/>
      <c r="FB324" s="1910"/>
      <c r="FC324" s="1912"/>
      <c r="FD324" s="1910"/>
      <c r="FE324" s="1912"/>
      <c r="FF324" s="1979" t="s">
        <v>18135</v>
      </c>
      <c r="FG324" s="1911"/>
      <c r="FH324" s="1910"/>
      <c r="FI324" s="1912"/>
      <c r="FJ324" s="1910"/>
      <c r="FK324" s="1912" t="s">
        <v>18134</v>
      </c>
      <c r="FL324" s="1914"/>
      <c r="FM324" s="1911"/>
      <c r="FN324" s="1910"/>
      <c r="FO324" s="1912"/>
      <c r="FP324" s="1910"/>
      <c r="FQ324" s="1912"/>
      <c r="FR324" s="1914"/>
      <c r="FS324" s="1911"/>
      <c r="FT324" s="1910"/>
      <c r="FU324" s="1912" t="s">
        <v>17870</v>
      </c>
      <c r="FV324" s="1910"/>
      <c r="FW324" s="1912"/>
      <c r="FX324" s="1914"/>
      <c r="FY324" s="1911"/>
      <c r="FZ324" s="1910"/>
      <c r="GA324" s="1912"/>
      <c r="GB324" s="1910"/>
      <c r="GC324" s="1912"/>
      <c r="GD324" s="1914"/>
      <c r="GE324" s="1911"/>
      <c r="GF324" s="1910"/>
      <c r="GG324" s="1912"/>
      <c r="GH324" s="1910"/>
      <c r="GI324" s="1912"/>
      <c r="GJ324" s="1914"/>
      <c r="GK324" s="1911"/>
      <c r="GL324" s="1910"/>
      <c r="GM324" s="1912"/>
      <c r="GN324" s="1910"/>
      <c r="GO324" s="1912"/>
      <c r="GP324" s="1914"/>
    </row>
    <row r="325" spans="1:198" ht="20.100000000000001" customHeight="1">
      <c r="A325" s="2709"/>
      <c r="B325" s="2623"/>
      <c r="C325" s="168" t="s">
        <v>18055</v>
      </c>
      <c r="D325" s="2608" t="str">
        <f>実績!C1427&amp;"("&amp;SUBSTITUTE(実績!R1427&amp;")","株式会社 ","")</f>
        <v>北海道クボタ岩見沢営業所(中田建築設計)</v>
      </c>
      <c r="E325" s="2609"/>
      <c r="F325" s="2609"/>
      <c r="G325" s="2609"/>
      <c r="H325" s="2609"/>
      <c r="I325" s="2609"/>
      <c r="J325" s="2609"/>
      <c r="K325" s="2609"/>
      <c r="L325" s="2609"/>
      <c r="M325" s="2609"/>
      <c r="N325" s="2609"/>
      <c r="O325" s="2609"/>
      <c r="P325" s="2609"/>
      <c r="Q325" s="2609"/>
      <c r="R325" s="2700"/>
      <c r="S325" s="159"/>
      <c r="T325" s="159"/>
      <c r="U325" s="159"/>
      <c r="V325" s="159"/>
      <c r="W325" s="159"/>
      <c r="X325" s="159"/>
      <c r="Y325" s="159"/>
      <c r="Z325" s="159"/>
      <c r="AA325" s="159"/>
      <c r="AB325" s="159"/>
      <c r="AC325" s="159"/>
      <c r="AD325" s="159"/>
      <c r="AE325" s="159"/>
      <c r="AF325" s="159"/>
      <c r="AG325" s="159"/>
      <c r="AH325" s="159"/>
      <c r="AI325" s="159"/>
      <c r="AJ325" s="159"/>
      <c r="AK325" s="159"/>
      <c r="AL325" s="159"/>
      <c r="AM325" s="159"/>
      <c r="AN325" s="159"/>
      <c r="AO325" s="159"/>
      <c r="AP325" s="159"/>
      <c r="AQ325" s="159"/>
      <c r="AR325" s="159"/>
      <c r="AS325" s="159"/>
      <c r="AT325" s="159"/>
      <c r="AU325" s="159"/>
      <c r="AV325" s="159"/>
      <c r="AW325" s="159"/>
      <c r="AX325" s="159"/>
      <c r="AY325" s="159"/>
      <c r="AZ325" s="159"/>
      <c r="BA325" s="159"/>
      <c r="BB325" s="159"/>
      <c r="BC325" s="159"/>
      <c r="BD325" s="159"/>
      <c r="BE325" s="159"/>
      <c r="BF325" s="159"/>
      <c r="BG325" s="159"/>
      <c r="BH325" s="159"/>
      <c r="BI325" s="159"/>
      <c r="BJ325" s="159"/>
      <c r="BK325" s="159"/>
      <c r="BL325" s="159"/>
      <c r="BM325" s="159"/>
      <c r="BN325" s="159"/>
      <c r="BO325" s="159"/>
      <c r="BP325" s="159"/>
      <c r="BQ325" s="159"/>
      <c r="BR325" s="159"/>
      <c r="BS325" s="159"/>
      <c r="BT325" s="159"/>
      <c r="BU325" s="159"/>
      <c r="BV325" s="159"/>
      <c r="BW325" s="159"/>
      <c r="BX325" s="159"/>
      <c r="BY325" s="159"/>
      <c r="BZ325" s="159"/>
      <c r="CA325" s="159"/>
      <c r="CB325" s="159"/>
      <c r="CC325" s="159"/>
      <c r="CD325" s="159"/>
      <c r="CE325" s="159"/>
      <c r="CF325" s="159"/>
      <c r="CG325" s="159"/>
      <c r="CH325" s="159"/>
      <c r="CI325" s="159"/>
      <c r="CJ325" s="159"/>
      <c r="CK325" s="159"/>
      <c r="CL325" s="159"/>
      <c r="CM325" s="159"/>
      <c r="CN325" s="159"/>
      <c r="CO325" s="159"/>
      <c r="CP325" s="198"/>
      <c r="CQ325" s="159"/>
      <c r="CR325" s="159"/>
      <c r="CS325" s="159"/>
      <c r="CT325" s="159"/>
      <c r="CU325" s="159"/>
      <c r="CV325" s="159"/>
      <c r="CW325" s="159"/>
      <c r="CX325" s="159"/>
      <c r="CY325" s="158"/>
      <c r="CZ325" s="159"/>
      <c r="DA325" s="160"/>
      <c r="DB325" s="159"/>
      <c r="DC325" s="160"/>
      <c r="DD325" s="161"/>
      <c r="DE325" s="158"/>
      <c r="DF325" s="159"/>
      <c r="DG325" s="160"/>
      <c r="DH325" s="159"/>
      <c r="DI325" s="160"/>
      <c r="DJ325" s="162"/>
      <c r="DK325" s="158"/>
      <c r="DL325" s="159"/>
      <c r="DM325" s="160"/>
      <c r="DN325" s="159"/>
      <c r="DO325" s="160"/>
      <c r="DP325" s="161"/>
      <c r="DQ325" s="158"/>
      <c r="DR325" s="159"/>
      <c r="DS325" s="160"/>
      <c r="DT325" s="159"/>
      <c r="DU325" s="160"/>
      <c r="DV325" s="162"/>
      <c r="DW325" s="158"/>
      <c r="DX325" s="159"/>
      <c r="DY325" s="160"/>
      <c r="DZ325" s="159"/>
      <c r="EA325" s="160"/>
      <c r="EB325" s="162"/>
      <c r="EC325" s="158"/>
      <c r="ED325" s="159"/>
      <c r="EE325" s="160"/>
      <c r="EF325" s="159"/>
      <c r="EG325" s="160"/>
      <c r="EH325" s="162"/>
      <c r="EI325" s="158"/>
      <c r="EJ325" s="159"/>
      <c r="EK325" s="160"/>
      <c r="EL325" s="159"/>
      <c r="EM325" s="160"/>
      <c r="EN325" s="162"/>
      <c r="EO325" s="158"/>
      <c r="EP325" s="159"/>
      <c r="EQ325" s="160"/>
      <c r="ER325" s="159"/>
      <c r="ES325" s="160"/>
      <c r="ET325" s="161"/>
      <c r="EU325" s="158"/>
      <c r="EV325" s="159"/>
      <c r="EW325" s="160"/>
      <c r="EX325" s="159"/>
      <c r="EY325" s="160"/>
      <c r="EZ325" s="162"/>
      <c r="FA325" s="158"/>
      <c r="FB325" s="159"/>
      <c r="FC325" s="160"/>
      <c r="FD325" s="159"/>
      <c r="FE325" s="160"/>
      <c r="FF325" s="162"/>
      <c r="FG325" s="158"/>
      <c r="FH325" s="159"/>
      <c r="FI325" s="160"/>
      <c r="FJ325" s="159"/>
      <c r="FK325" s="160"/>
      <c r="FL325" s="162"/>
      <c r="FM325" s="158"/>
      <c r="FN325" s="159"/>
      <c r="FO325" s="160"/>
      <c r="FP325" s="159"/>
      <c r="FQ325" s="160"/>
      <c r="FR325" s="162" t="s">
        <v>17501</v>
      </c>
      <c r="FS325" s="158"/>
      <c r="FT325" s="159"/>
      <c r="FU325" s="160"/>
      <c r="FV325" s="159"/>
      <c r="FW325" s="160"/>
      <c r="FX325" s="162"/>
      <c r="FY325" s="158"/>
      <c r="FZ325" s="159"/>
      <c r="GA325" s="160"/>
      <c r="GB325" s="159"/>
      <c r="GC325" s="160"/>
      <c r="GD325" s="162"/>
      <c r="GE325" s="158"/>
      <c r="GF325" s="159"/>
      <c r="GG325" s="160"/>
      <c r="GH325" s="159"/>
      <c r="GI325" s="160"/>
      <c r="GJ325" s="162"/>
      <c r="GK325" s="158"/>
      <c r="GL325" s="159"/>
      <c r="GM325" s="160"/>
      <c r="GN325" s="159"/>
      <c r="GO325" s="160"/>
      <c r="GP325" s="162"/>
    </row>
    <row r="326" spans="1:198" ht="20.100000000000001" customHeight="1">
      <c r="A326" s="2709"/>
      <c r="B326" s="2623"/>
      <c r="C326" s="168" t="s">
        <v>18056</v>
      </c>
      <c r="D326" s="2608" t="str">
        <f>実績!C1417&amp;"("&amp;SUBSTITUTE(実績!R1417&amp;")","株式会社 ","")</f>
        <v>バロー近江八幡(上野山都市設計)</v>
      </c>
      <c r="E326" s="2609"/>
      <c r="F326" s="2609"/>
      <c r="G326" s="2609"/>
      <c r="H326" s="2609"/>
      <c r="I326" s="2609"/>
      <c r="J326" s="2609"/>
      <c r="K326" s="2609"/>
      <c r="L326" s="2609"/>
      <c r="M326" s="2609"/>
      <c r="N326" s="2609"/>
      <c r="O326" s="2609"/>
      <c r="P326" s="2609"/>
      <c r="Q326" s="2609"/>
      <c r="R326" s="2700"/>
      <c r="S326" s="159"/>
      <c r="T326" s="159"/>
      <c r="U326" s="159"/>
      <c r="V326" s="159"/>
      <c r="W326" s="159"/>
      <c r="X326" s="159"/>
      <c r="Y326" s="159"/>
      <c r="Z326" s="159"/>
      <c r="AA326" s="159"/>
      <c r="AB326" s="159"/>
      <c r="AC326" s="159"/>
      <c r="AD326" s="159"/>
      <c r="AE326" s="159"/>
      <c r="AF326" s="159"/>
      <c r="AG326" s="159"/>
      <c r="AH326" s="159"/>
      <c r="AI326" s="159"/>
      <c r="AJ326" s="159"/>
      <c r="AK326" s="159"/>
      <c r="AL326" s="159"/>
      <c r="AM326" s="159"/>
      <c r="AN326" s="159"/>
      <c r="AO326" s="159"/>
      <c r="AP326" s="159"/>
      <c r="AQ326" s="159"/>
      <c r="AR326" s="159"/>
      <c r="AS326" s="159"/>
      <c r="AT326" s="159"/>
      <c r="AU326" s="159"/>
      <c r="AV326" s="159"/>
      <c r="AW326" s="159"/>
      <c r="AX326" s="159"/>
      <c r="AY326" s="159"/>
      <c r="AZ326" s="159"/>
      <c r="BA326" s="159"/>
      <c r="BB326" s="159"/>
      <c r="BC326" s="159"/>
      <c r="BD326" s="159"/>
      <c r="BE326" s="159"/>
      <c r="BF326" s="159"/>
      <c r="BG326" s="159"/>
      <c r="BH326" s="159"/>
      <c r="BI326" s="159"/>
      <c r="BJ326" s="159"/>
      <c r="BK326" s="159"/>
      <c r="BL326" s="159"/>
      <c r="BM326" s="159"/>
      <c r="BN326" s="159"/>
      <c r="BO326" s="159"/>
      <c r="BP326" s="159"/>
      <c r="BQ326" s="159"/>
      <c r="BR326" s="159"/>
      <c r="BS326" s="159"/>
      <c r="BT326" s="159"/>
      <c r="BU326" s="159"/>
      <c r="BV326" s="159"/>
      <c r="BW326" s="159"/>
      <c r="BX326" s="159"/>
      <c r="BY326" s="159"/>
      <c r="BZ326" s="159"/>
      <c r="CA326" s="159"/>
      <c r="CB326" s="159"/>
      <c r="CC326" s="159"/>
      <c r="CD326" s="159"/>
      <c r="CE326" s="159"/>
      <c r="CF326" s="159"/>
      <c r="CG326" s="159"/>
      <c r="CH326" s="159"/>
      <c r="CI326" s="159"/>
      <c r="CJ326" s="159"/>
      <c r="CK326" s="159"/>
      <c r="CL326" s="159"/>
      <c r="CM326" s="159"/>
      <c r="CN326" s="159"/>
      <c r="CO326" s="159"/>
      <c r="CP326" s="198"/>
      <c r="CQ326" s="159"/>
      <c r="CR326" s="159"/>
      <c r="CS326" s="159"/>
      <c r="CT326" s="159"/>
      <c r="CU326" s="159"/>
      <c r="CV326" s="159"/>
      <c r="CW326" s="159"/>
      <c r="CX326" s="159"/>
      <c r="CY326" s="158"/>
      <c r="CZ326" s="159"/>
      <c r="DA326" s="160"/>
      <c r="DB326" s="159"/>
      <c r="DC326" s="160"/>
      <c r="DD326" s="161"/>
      <c r="DE326" s="158"/>
      <c r="DF326" s="159"/>
      <c r="DG326" s="160"/>
      <c r="DH326" s="159"/>
      <c r="DI326" s="160"/>
      <c r="DJ326" s="162"/>
      <c r="DK326" s="158"/>
      <c r="DL326" s="159"/>
      <c r="DM326" s="160"/>
      <c r="DN326" s="159"/>
      <c r="DO326" s="160"/>
      <c r="DP326" s="161"/>
      <c r="DQ326" s="158"/>
      <c r="DR326" s="159"/>
      <c r="DS326" s="160"/>
      <c r="DT326" s="159"/>
      <c r="DU326" s="160"/>
      <c r="DV326" s="162"/>
      <c r="DW326" s="158"/>
      <c r="DX326" s="159"/>
      <c r="DY326" s="160"/>
      <c r="DZ326" s="159"/>
      <c r="EA326" s="160"/>
      <c r="EB326" s="162"/>
      <c r="EC326" s="158"/>
      <c r="ED326" s="159"/>
      <c r="EE326" s="160"/>
      <c r="EF326" s="159"/>
      <c r="EG326" s="160"/>
      <c r="EH326" s="162"/>
      <c r="EI326" s="158"/>
      <c r="EJ326" s="159"/>
      <c r="EK326" s="160"/>
      <c r="EL326" s="159"/>
      <c r="EM326" s="160"/>
      <c r="EN326" s="162"/>
      <c r="EO326" s="158"/>
      <c r="EP326" s="159" t="s">
        <v>16982</v>
      </c>
      <c r="EQ326" s="160"/>
      <c r="ER326" s="159"/>
      <c r="ES326" s="160"/>
      <c r="ET326" s="161"/>
      <c r="EU326" s="158"/>
      <c r="EV326" s="159"/>
      <c r="EW326" s="160"/>
      <c r="EX326" s="159"/>
      <c r="EY326" s="160"/>
      <c r="EZ326" s="162"/>
      <c r="FA326" s="158"/>
      <c r="FB326" s="159"/>
      <c r="FC326" s="160"/>
      <c r="FD326" s="159"/>
      <c r="FE326" s="160"/>
      <c r="FF326" s="162"/>
      <c r="FG326" s="158"/>
      <c r="FH326" s="159"/>
      <c r="FI326" s="160"/>
      <c r="FJ326" s="159"/>
      <c r="FK326" s="160"/>
      <c r="FL326" s="162"/>
      <c r="FM326" s="158"/>
      <c r="FN326" s="159"/>
      <c r="FO326" s="160"/>
      <c r="FP326" s="159"/>
      <c r="FQ326" s="160"/>
      <c r="FR326" s="162" t="s">
        <v>17560</v>
      </c>
      <c r="FS326" s="158"/>
      <c r="FT326" s="159"/>
      <c r="FU326" s="160"/>
      <c r="FV326" s="159"/>
      <c r="FW326" s="160"/>
      <c r="FX326" s="162"/>
      <c r="FY326" s="158"/>
      <c r="FZ326" s="159"/>
      <c r="GA326" s="160"/>
      <c r="GB326" s="159"/>
      <c r="GC326" s="160"/>
      <c r="GD326" s="162"/>
      <c r="GE326" s="158" t="s">
        <v>17673</v>
      </c>
      <c r="GF326" s="159"/>
      <c r="GG326" s="160"/>
      <c r="GH326" s="159"/>
      <c r="GI326" s="160"/>
      <c r="GJ326" s="162"/>
      <c r="GK326" s="158"/>
      <c r="GL326" s="159"/>
      <c r="GM326" s="160"/>
      <c r="GN326" s="159"/>
      <c r="GO326" s="160"/>
      <c r="GP326" s="162"/>
    </row>
    <row r="327" spans="1:198" ht="20.100000000000001" customHeight="1">
      <c r="A327" s="2709"/>
      <c r="B327" s="2623"/>
      <c r="C327" s="168" t="s">
        <v>18093</v>
      </c>
      <c r="D327" s="2608" t="str">
        <f>実績!C1419&amp;"("&amp;SUBSTITUTE(実績!R1419&amp;")","株式会社 ","")</f>
        <v>仙台発酵の里(山本建築設計事務所)</v>
      </c>
      <c r="E327" s="2609"/>
      <c r="F327" s="2609"/>
      <c r="G327" s="2609"/>
      <c r="H327" s="2609"/>
      <c r="I327" s="2609"/>
      <c r="J327" s="2609"/>
      <c r="K327" s="2609"/>
      <c r="L327" s="2609"/>
      <c r="M327" s="2609"/>
      <c r="N327" s="2609"/>
      <c r="O327" s="2609"/>
      <c r="P327" s="2609"/>
      <c r="Q327" s="2609"/>
      <c r="R327" s="2700"/>
      <c r="S327" s="159"/>
      <c r="T327" s="159"/>
      <c r="U327" s="160"/>
      <c r="V327" s="159"/>
      <c r="W327" s="160"/>
      <c r="X327" s="161"/>
      <c r="Y327" s="159"/>
      <c r="Z327" s="159"/>
      <c r="AA327" s="160"/>
      <c r="AB327" s="159"/>
      <c r="AC327" s="160"/>
      <c r="AD327" s="159"/>
      <c r="AE327" s="158"/>
      <c r="AF327" s="159"/>
      <c r="AG327" s="160"/>
      <c r="AH327" s="159"/>
      <c r="AI327" s="160"/>
      <c r="AJ327" s="161"/>
      <c r="AK327" s="159"/>
      <c r="AL327" s="159"/>
      <c r="AM327" s="160"/>
      <c r="AN327" s="159"/>
      <c r="AO327" s="160"/>
      <c r="AP327" s="159"/>
      <c r="AQ327" s="1272"/>
      <c r="AR327" s="159"/>
      <c r="AS327" s="160"/>
      <c r="AT327" s="159"/>
      <c r="AU327" s="160"/>
      <c r="AV327" s="161"/>
      <c r="AW327" s="158"/>
      <c r="AX327" s="159"/>
      <c r="AY327" s="160"/>
      <c r="AZ327" s="159"/>
      <c r="BA327" s="160"/>
      <c r="BB327" s="161"/>
      <c r="BC327" s="159"/>
      <c r="BD327" s="159"/>
      <c r="BE327" s="160"/>
      <c r="BF327" s="159"/>
      <c r="BG327" s="160"/>
      <c r="BH327" s="159"/>
      <c r="BI327" s="158"/>
      <c r="BJ327" s="159"/>
      <c r="BK327" s="160"/>
      <c r="BL327" s="159"/>
      <c r="BM327" s="160"/>
      <c r="BN327" s="161"/>
      <c r="BO327" s="158"/>
      <c r="BP327" s="159"/>
      <c r="BQ327" s="160"/>
      <c r="BR327" s="197"/>
      <c r="BS327" s="160"/>
      <c r="BT327" s="161"/>
      <c r="BU327" s="158"/>
      <c r="BV327" s="159"/>
      <c r="BW327" s="160"/>
      <c r="BX327" s="159"/>
      <c r="BY327" s="160"/>
      <c r="BZ327" s="161"/>
      <c r="CA327" s="158"/>
      <c r="CB327" s="159"/>
      <c r="CC327" s="160"/>
      <c r="CD327" s="159"/>
      <c r="CE327" s="160"/>
      <c r="CF327" s="161"/>
      <c r="CG327" s="158"/>
      <c r="CH327" s="159"/>
      <c r="CI327" s="160"/>
      <c r="CJ327" s="159"/>
      <c r="CK327" s="160"/>
      <c r="CL327" s="161"/>
      <c r="CM327" s="158"/>
      <c r="CN327" s="159"/>
      <c r="CO327" s="160"/>
      <c r="CP327" s="198"/>
      <c r="CQ327" s="160"/>
      <c r="CR327" s="161"/>
      <c r="CS327" s="158"/>
      <c r="CT327" s="159"/>
      <c r="CU327" s="160"/>
      <c r="CV327" s="159"/>
      <c r="CW327" s="160"/>
      <c r="CX327" s="161"/>
      <c r="CY327" s="158"/>
      <c r="CZ327" s="159"/>
      <c r="DA327" s="160"/>
      <c r="DB327" s="159"/>
      <c r="DC327" s="160"/>
      <c r="DD327" s="161"/>
      <c r="DE327" s="158"/>
      <c r="DF327" s="159"/>
      <c r="DG327" s="160"/>
      <c r="DH327" s="159"/>
      <c r="DI327" s="160"/>
      <c r="DJ327" s="161"/>
      <c r="DK327" s="158"/>
      <c r="DL327" s="159"/>
      <c r="DM327" s="160"/>
      <c r="DN327" s="159"/>
      <c r="DO327" s="160"/>
      <c r="DP327" s="161"/>
      <c r="DQ327" s="158"/>
      <c r="DR327" s="159"/>
      <c r="DS327" s="160"/>
      <c r="DT327" s="159"/>
      <c r="DU327" s="160"/>
      <c r="DV327" s="161"/>
      <c r="DW327" s="158"/>
      <c r="DX327" s="159"/>
      <c r="DY327" s="160"/>
      <c r="DZ327" s="159"/>
      <c r="EA327" s="160"/>
      <c r="EB327" s="161"/>
      <c r="EC327" s="158"/>
      <c r="ED327" s="159"/>
      <c r="EE327" s="160"/>
      <c r="EF327" s="159"/>
      <c r="EG327" s="160"/>
      <c r="EH327" s="161"/>
      <c r="EI327" s="158"/>
      <c r="EJ327" s="159"/>
      <c r="EK327" s="160"/>
      <c r="EL327" s="159"/>
      <c r="EM327" s="160"/>
      <c r="EN327" s="161"/>
      <c r="EO327" s="158"/>
      <c r="EP327" s="159"/>
      <c r="EQ327" s="160"/>
      <c r="ER327" s="159"/>
      <c r="ES327" s="160" t="s">
        <v>17325</v>
      </c>
      <c r="ET327" s="161"/>
      <c r="EU327" s="158"/>
      <c r="EV327" s="159"/>
      <c r="EW327" s="160"/>
      <c r="EX327" s="159"/>
      <c r="EY327" s="160" t="s">
        <v>17680</v>
      </c>
      <c r="EZ327" s="161"/>
      <c r="FA327" s="158"/>
      <c r="FB327" s="159"/>
      <c r="FC327" s="160"/>
      <c r="FD327" s="159"/>
      <c r="FE327" s="160"/>
      <c r="FF327" s="161"/>
      <c r="FG327" s="158"/>
      <c r="FH327" s="159"/>
      <c r="FI327" s="160"/>
      <c r="FJ327" s="159"/>
      <c r="FK327" s="160"/>
      <c r="FL327" s="161"/>
      <c r="FM327" s="158"/>
      <c r="FN327" s="159"/>
      <c r="FO327" s="160"/>
      <c r="FP327" s="159"/>
      <c r="FQ327" s="160"/>
      <c r="FR327" s="161"/>
      <c r="FS327" s="158"/>
      <c r="FT327" s="159"/>
      <c r="FU327" s="160" t="s">
        <v>8145</v>
      </c>
      <c r="FV327" s="159"/>
      <c r="FW327" s="160"/>
      <c r="FX327" s="161"/>
      <c r="FY327" s="158"/>
      <c r="FZ327" s="159"/>
      <c r="GA327" s="160"/>
      <c r="GB327" s="159"/>
      <c r="GC327" s="160"/>
      <c r="GD327" s="161"/>
      <c r="GE327" s="158"/>
      <c r="GF327" s="159"/>
      <c r="GG327" s="160"/>
      <c r="GH327" s="159"/>
      <c r="GI327" s="160"/>
      <c r="GJ327" s="161"/>
      <c r="GK327" s="158"/>
      <c r="GL327" s="159"/>
      <c r="GM327" s="160"/>
      <c r="GN327" s="159"/>
      <c r="GO327" s="160"/>
      <c r="GP327" s="161"/>
    </row>
    <row r="328" spans="1:198" ht="20.100000000000001" customHeight="1" thickBot="1">
      <c r="A328" s="1973"/>
      <c r="B328" s="2624"/>
      <c r="C328" s="168" t="s">
        <v>18115</v>
      </c>
      <c r="D328" s="2731" t="str">
        <f>実績!C1412&amp;"("&amp;SUBSTITUTE(実績!R1412&amp;")","株式会社 ","")</f>
        <v>カネダ様城南島工場(フケタ設計)</v>
      </c>
      <c r="E328" s="2732"/>
      <c r="F328" s="2732"/>
      <c r="G328" s="2732"/>
      <c r="H328" s="2732"/>
      <c r="I328" s="2732"/>
      <c r="J328" s="2732"/>
      <c r="K328" s="2732"/>
      <c r="L328" s="2732"/>
      <c r="M328" s="2732"/>
      <c r="N328" s="2732"/>
      <c r="O328" s="2732"/>
      <c r="P328" s="2732"/>
      <c r="Q328" s="2732"/>
      <c r="R328" s="2735"/>
      <c r="S328" s="164"/>
      <c r="T328" s="164"/>
      <c r="U328" s="164"/>
      <c r="V328" s="164"/>
      <c r="W328" s="164"/>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c r="BL328" s="164"/>
      <c r="BM328" s="164"/>
      <c r="BN328" s="164"/>
      <c r="BO328" s="164"/>
      <c r="BP328" s="164"/>
      <c r="BQ328" s="164"/>
      <c r="BR328" s="164"/>
      <c r="BS328" s="164"/>
      <c r="BT328" s="164"/>
      <c r="BU328" s="164"/>
      <c r="BV328" s="164"/>
      <c r="BW328" s="164"/>
      <c r="BX328" s="164"/>
      <c r="BY328" s="164"/>
      <c r="BZ328" s="164"/>
      <c r="CA328" s="164"/>
      <c r="CB328" s="164"/>
      <c r="CC328" s="164"/>
      <c r="CD328" s="164"/>
      <c r="CE328" s="164"/>
      <c r="CF328" s="164"/>
      <c r="CG328" s="164"/>
      <c r="CH328" s="164"/>
      <c r="CI328" s="164"/>
      <c r="CJ328" s="164"/>
      <c r="CK328" s="164"/>
      <c r="CL328" s="164"/>
      <c r="CM328" s="164"/>
      <c r="CN328" s="164"/>
      <c r="CO328" s="164"/>
      <c r="CP328" s="269"/>
      <c r="CQ328" s="164"/>
      <c r="CR328" s="164"/>
      <c r="CS328" s="164"/>
      <c r="CT328" s="164"/>
      <c r="CU328" s="164"/>
      <c r="CV328" s="164"/>
      <c r="CW328" s="164"/>
      <c r="CX328" s="164"/>
      <c r="CY328" s="163"/>
      <c r="CZ328" s="164"/>
      <c r="DA328" s="165"/>
      <c r="DB328" s="164"/>
      <c r="DC328" s="165"/>
      <c r="DD328" s="166"/>
      <c r="DE328" s="163"/>
      <c r="DF328" s="164"/>
      <c r="DG328" s="165"/>
      <c r="DH328" s="164"/>
      <c r="DI328" s="165"/>
      <c r="DJ328" s="166"/>
      <c r="DK328" s="163"/>
      <c r="DL328" s="164"/>
      <c r="DM328" s="165"/>
      <c r="DN328" s="164"/>
      <c r="DO328" s="165"/>
      <c r="DP328" s="166"/>
      <c r="DQ328" s="163"/>
      <c r="DR328" s="164"/>
      <c r="DS328" s="165"/>
      <c r="DT328" s="164"/>
      <c r="DU328" s="165"/>
      <c r="DV328" s="166"/>
      <c r="DW328" s="163"/>
      <c r="DX328" s="164"/>
      <c r="DY328" s="165"/>
      <c r="DZ328" s="164"/>
      <c r="EA328" s="165"/>
      <c r="EB328" s="166"/>
      <c r="EC328" s="163"/>
      <c r="ED328" s="1947"/>
      <c r="EE328" s="165"/>
      <c r="EF328" s="164"/>
      <c r="EG328" s="165"/>
      <c r="EH328" s="166"/>
      <c r="EI328" s="163"/>
      <c r="EJ328" s="164"/>
      <c r="EK328" s="165"/>
      <c r="EL328" s="164"/>
      <c r="EM328" s="165"/>
      <c r="EN328" s="1265"/>
      <c r="EO328" s="163"/>
      <c r="EP328" s="164"/>
      <c r="EQ328" s="165"/>
      <c r="ER328" s="164" t="s">
        <v>14875</v>
      </c>
      <c r="ES328" s="165"/>
      <c r="ET328" s="166"/>
      <c r="EU328" s="163"/>
      <c r="EV328" s="164"/>
      <c r="EW328" s="165"/>
      <c r="EX328" s="164"/>
      <c r="EY328" s="165"/>
      <c r="EZ328" s="166"/>
      <c r="FA328" s="163"/>
      <c r="FB328" s="164"/>
      <c r="FC328" s="165"/>
      <c r="FD328" s="164"/>
      <c r="FE328" s="165"/>
      <c r="FF328" s="166"/>
      <c r="FG328" s="163"/>
      <c r="FH328" s="164"/>
      <c r="FI328" s="165"/>
      <c r="FJ328" s="164"/>
      <c r="FK328" s="165"/>
      <c r="FL328" s="166"/>
      <c r="FM328" s="163"/>
      <c r="FN328" s="164"/>
      <c r="FO328" s="165"/>
      <c r="FP328" s="164"/>
      <c r="FQ328" s="165"/>
      <c r="FR328" s="166"/>
      <c r="FS328" s="163"/>
      <c r="FT328" s="164"/>
      <c r="FU328" s="165"/>
      <c r="FV328" s="164"/>
      <c r="FW328" s="165"/>
      <c r="FX328" s="166"/>
      <c r="FY328" s="163"/>
      <c r="FZ328" s="164"/>
      <c r="GA328" s="165"/>
      <c r="GB328" s="164"/>
      <c r="GC328" s="165"/>
      <c r="GD328" s="166"/>
      <c r="GE328" s="163"/>
      <c r="GF328" s="164"/>
      <c r="GG328" s="165"/>
      <c r="GH328" s="164"/>
      <c r="GI328" s="165"/>
      <c r="GJ328" s="166"/>
      <c r="GK328" s="163"/>
      <c r="GL328" s="164"/>
      <c r="GM328" s="165"/>
      <c r="GN328" s="164"/>
      <c r="GO328" s="165"/>
      <c r="GP328" s="166"/>
    </row>
    <row r="329" spans="1:198" ht="20.100000000000001" customHeight="1" thickBot="1">
      <c r="A329" s="2771" t="s">
        <v>10544</v>
      </c>
      <c r="B329" s="1285" t="s">
        <v>15707</v>
      </c>
      <c r="C329" s="1286"/>
      <c r="D329" s="2742" t="str">
        <f>実績!C1453&amp;"("&amp;SUBSTITUTE(実績!AB1453&amp;")","株式会社 ","")</f>
        <v>BMW米子(カーダクレッセ)</v>
      </c>
      <c r="E329" s="2743"/>
      <c r="F329" s="2743"/>
      <c r="G329" s="2743"/>
      <c r="H329" s="2743"/>
      <c r="I329" s="2743"/>
      <c r="J329" s="2743"/>
      <c r="K329" s="2743"/>
      <c r="L329" s="2743"/>
      <c r="M329" s="2743"/>
      <c r="N329" s="2743"/>
      <c r="O329" s="2743"/>
      <c r="P329" s="2743"/>
      <c r="Q329" s="2743"/>
      <c r="R329" s="2744"/>
      <c r="S329" s="1287"/>
      <c r="T329" s="1287"/>
      <c r="U329" s="1288"/>
      <c r="V329" s="1287"/>
      <c r="W329" s="1288"/>
      <c r="X329" s="1289"/>
      <c r="Y329" s="1287"/>
      <c r="Z329" s="1287"/>
      <c r="AA329" s="1288"/>
      <c r="AB329" s="1287"/>
      <c r="AC329" s="1288"/>
      <c r="AD329" s="1287"/>
      <c r="AE329" s="1290"/>
      <c r="AF329" s="1287"/>
      <c r="AG329" s="1288"/>
      <c r="AH329" s="1287"/>
      <c r="AI329" s="1288"/>
      <c r="AJ329" s="1289"/>
      <c r="AK329" s="1287"/>
      <c r="AL329" s="1287"/>
      <c r="AM329" s="1288"/>
      <c r="AN329" s="1287"/>
      <c r="AO329" s="1288"/>
      <c r="AP329" s="1287"/>
      <c r="AQ329" s="1291"/>
      <c r="AR329" s="1287"/>
      <c r="AS329" s="1288"/>
      <c r="AT329" s="1287"/>
      <c r="AU329" s="1288"/>
      <c r="AV329" s="1289"/>
      <c r="AW329" s="1290"/>
      <c r="AX329" s="1287"/>
      <c r="AY329" s="1288"/>
      <c r="AZ329" s="1287"/>
      <c r="BA329" s="1288"/>
      <c r="BB329" s="1289"/>
      <c r="BC329" s="1287"/>
      <c r="BD329" s="1287"/>
      <c r="BE329" s="1288"/>
      <c r="BF329" s="1287"/>
      <c r="BG329" s="1288"/>
      <c r="BH329" s="1287"/>
      <c r="BI329" s="1290"/>
      <c r="BJ329" s="1287"/>
      <c r="BK329" s="1288"/>
      <c r="BL329" s="1287"/>
      <c r="BM329" s="1288"/>
      <c r="BN329" s="1289"/>
      <c r="BO329" s="1290"/>
      <c r="BP329" s="1287"/>
      <c r="BQ329" s="1288"/>
      <c r="BR329" s="1292"/>
      <c r="BS329" s="1288"/>
      <c r="BT329" s="1289"/>
      <c r="BU329" s="1290"/>
      <c r="BV329" s="1287"/>
      <c r="BW329" s="1288"/>
      <c r="BX329" s="1287"/>
      <c r="BY329" s="1288"/>
      <c r="BZ329" s="1289"/>
      <c r="CA329" s="1290"/>
      <c r="CB329" s="1287"/>
      <c r="CC329" s="1288"/>
      <c r="CD329" s="1287"/>
      <c r="CE329" s="1288"/>
      <c r="CF329" s="1289"/>
      <c r="CG329" s="1290"/>
      <c r="CH329" s="1287"/>
      <c r="CI329" s="1288"/>
      <c r="CJ329" s="1287"/>
      <c r="CK329" s="1288"/>
      <c r="CL329" s="1289"/>
      <c r="CM329" s="1290"/>
      <c r="CN329" s="1287"/>
      <c r="CO329" s="1288"/>
      <c r="CP329" s="1293"/>
      <c r="CQ329" s="1288"/>
      <c r="CR329" s="1289"/>
      <c r="CS329" s="1290"/>
      <c r="CT329" s="1287"/>
      <c r="CU329" s="1288"/>
      <c r="CV329" s="1287"/>
      <c r="CW329" s="1288"/>
      <c r="CX329" s="1289"/>
      <c r="CY329" s="1290"/>
      <c r="CZ329" s="1287"/>
      <c r="DA329" s="1288"/>
      <c r="DB329" s="1287"/>
      <c r="DC329" s="1288"/>
      <c r="DD329" s="1289"/>
      <c r="DE329" s="1290"/>
      <c r="DF329" s="1287"/>
      <c r="DG329" s="1288"/>
      <c r="DH329" s="1287"/>
      <c r="DI329" s="1288"/>
      <c r="DJ329" s="1289"/>
      <c r="DK329" s="1290"/>
      <c r="DL329" s="1287"/>
      <c r="DM329" s="1288"/>
      <c r="DN329" s="1287"/>
      <c r="DO329" s="1288"/>
      <c r="DP329" s="1289"/>
      <c r="DQ329" s="1290"/>
      <c r="DR329" s="1287"/>
      <c r="DS329" s="1288"/>
      <c r="DT329" s="1287"/>
      <c r="DU329" s="1288"/>
      <c r="DV329" s="1289"/>
      <c r="DW329" s="1290"/>
      <c r="DX329" s="1287"/>
      <c r="DY329" s="1288"/>
      <c r="DZ329" s="1287"/>
      <c r="EA329" s="1288"/>
      <c r="EB329" s="1289"/>
      <c r="EC329" s="1290"/>
      <c r="ED329" s="1287"/>
      <c r="EE329" s="1288"/>
      <c r="EF329" s="1287"/>
      <c r="EG329" s="1288"/>
      <c r="EH329" s="1289"/>
      <c r="EI329" s="1290"/>
      <c r="EJ329" s="1287"/>
      <c r="EK329" s="1288"/>
      <c r="EL329" s="1287"/>
      <c r="EM329" s="1288"/>
      <c r="EN329" s="1289"/>
      <c r="EO329" s="1290"/>
      <c r="EP329" s="1287"/>
      <c r="EQ329" s="1288"/>
      <c r="ER329" s="1287"/>
      <c r="ES329" s="1288"/>
      <c r="ET329" s="1294"/>
      <c r="EU329" s="1290"/>
      <c r="EV329" s="1287"/>
      <c r="EW329" s="1288"/>
      <c r="EX329" s="1287"/>
      <c r="EY329" s="1288"/>
      <c r="EZ329" s="1294"/>
      <c r="FA329" s="1290"/>
      <c r="FB329" s="1287"/>
      <c r="FC329" s="1288"/>
      <c r="FD329" s="1287"/>
      <c r="FE329" s="1288"/>
      <c r="FF329" s="1294"/>
      <c r="FG329" s="1290"/>
      <c r="FH329" s="1287"/>
      <c r="FI329" s="1288"/>
      <c r="FJ329" s="1287"/>
      <c r="FK329" s="1288"/>
      <c r="FL329" s="1294"/>
      <c r="FM329" s="1290"/>
      <c r="FN329" s="1287"/>
      <c r="FO329" s="1288"/>
      <c r="FP329" s="1287"/>
      <c r="FQ329" s="1288"/>
      <c r="FR329" s="1294"/>
      <c r="FS329" s="1290"/>
      <c r="FT329" s="1287"/>
      <c r="FU329" s="1288"/>
      <c r="FV329" s="1287"/>
      <c r="FW329" s="1288"/>
      <c r="FX329" s="1294"/>
      <c r="FY329" s="1290"/>
      <c r="FZ329" s="1287"/>
      <c r="GA329" s="1288"/>
      <c r="GB329" s="1287"/>
      <c r="GC329" s="1288"/>
      <c r="GD329" s="1294"/>
      <c r="GE329" s="1290"/>
      <c r="GF329" s="1287"/>
      <c r="GG329" s="1288"/>
      <c r="GH329" s="1287"/>
      <c r="GI329" s="1288"/>
      <c r="GJ329" s="1294"/>
      <c r="GK329" s="1290"/>
      <c r="GL329" s="1287"/>
      <c r="GM329" s="1288"/>
      <c r="GN329" s="1287"/>
      <c r="GO329" s="1288"/>
      <c r="GP329" s="1294"/>
    </row>
    <row r="330" spans="1:198" ht="20.100000000000001" customHeight="1" thickBot="1">
      <c r="A330" s="2771"/>
      <c r="B330" s="2625" t="s">
        <v>15424</v>
      </c>
      <c r="C330" s="1915"/>
      <c r="D330" s="2749" t="str">
        <f>実績!C1454&amp;"("&amp;SUBSTITUTE(実績!R1454&amp;")","有限会社 ","")</f>
        <v>タウンプラザかねひで名護()</v>
      </c>
      <c r="E330" s="2750"/>
      <c r="F330" s="2750"/>
      <c r="G330" s="2750"/>
      <c r="H330" s="2750"/>
      <c r="I330" s="2750"/>
      <c r="J330" s="2750"/>
      <c r="K330" s="2750"/>
      <c r="L330" s="2750"/>
      <c r="M330" s="2750"/>
      <c r="N330" s="2750"/>
      <c r="O330" s="2750"/>
      <c r="P330" s="2750"/>
      <c r="Q330" s="2750"/>
      <c r="R330" s="2751"/>
      <c r="S330" s="1916"/>
      <c r="T330" s="1916"/>
      <c r="U330" s="1917"/>
      <c r="V330" s="1916"/>
      <c r="W330" s="1917"/>
      <c r="X330" s="1918"/>
      <c r="Y330" s="1916"/>
      <c r="Z330" s="1916"/>
      <c r="AA330" s="1917"/>
      <c r="AB330" s="1916"/>
      <c r="AC330" s="1917"/>
      <c r="AD330" s="1916"/>
      <c r="AE330" s="1919"/>
      <c r="AF330" s="1916"/>
      <c r="AG330" s="1917"/>
      <c r="AH330" s="1916"/>
      <c r="AI330" s="1917"/>
      <c r="AJ330" s="1918"/>
      <c r="AK330" s="1916"/>
      <c r="AL330" s="1916"/>
      <c r="AM330" s="1917"/>
      <c r="AN330" s="1916"/>
      <c r="AO330" s="1917"/>
      <c r="AP330" s="1916"/>
      <c r="AQ330" s="1920"/>
      <c r="AR330" s="1916"/>
      <c r="AS330" s="1917"/>
      <c r="AT330" s="1916"/>
      <c r="AU330" s="1917"/>
      <c r="AV330" s="1918"/>
      <c r="AW330" s="1919"/>
      <c r="AX330" s="1916"/>
      <c r="AY330" s="1917"/>
      <c r="AZ330" s="1916"/>
      <c r="BA330" s="1917"/>
      <c r="BB330" s="1918"/>
      <c r="BC330" s="1916"/>
      <c r="BD330" s="1916"/>
      <c r="BE330" s="1917"/>
      <c r="BF330" s="1916"/>
      <c r="BG330" s="1917"/>
      <c r="BH330" s="1916"/>
      <c r="BI330" s="1919"/>
      <c r="BJ330" s="1916"/>
      <c r="BK330" s="1917"/>
      <c r="BL330" s="1916"/>
      <c r="BM330" s="1917"/>
      <c r="BN330" s="1918"/>
      <c r="BO330" s="1919"/>
      <c r="BP330" s="1916"/>
      <c r="BQ330" s="1917"/>
      <c r="BR330" s="1921"/>
      <c r="BS330" s="1917"/>
      <c r="BT330" s="1918"/>
      <c r="BU330" s="1919"/>
      <c r="BV330" s="1916"/>
      <c r="BW330" s="1917"/>
      <c r="BX330" s="1916"/>
      <c r="BY330" s="1917"/>
      <c r="BZ330" s="1918"/>
      <c r="CA330" s="1919"/>
      <c r="CB330" s="1916"/>
      <c r="CC330" s="1917"/>
      <c r="CD330" s="1916"/>
      <c r="CE330" s="1917"/>
      <c r="CF330" s="1918"/>
      <c r="CG330" s="1919"/>
      <c r="CH330" s="1916"/>
      <c r="CI330" s="1917"/>
      <c r="CJ330" s="1916"/>
      <c r="CK330" s="1917"/>
      <c r="CL330" s="1918"/>
      <c r="CM330" s="1919"/>
      <c r="CN330" s="1916"/>
      <c r="CO330" s="1917"/>
      <c r="CP330" s="1922"/>
      <c r="CQ330" s="1917"/>
      <c r="CR330" s="1918"/>
      <c r="CS330" s="1919"/>
      <c r="CT330" s="1916"/>
      <c r="CU330" s="1917"/>
      <c r="CV330" s="1916"/>
      <c r="CW330" s="1917"/>
      <c r="CX330" s="1918"/>
      <c r="CY330" s="1919"/>
      <c r="CZ330" s="1916"/>
      <c r="DA330" s="1917"/>
      <c r="DB330" s="1916"/>
      <c r="DC330" s="1917"/>
      <c r="DD330" s="1918"/>
      <c r="DE330" s="1919"/>
      <c r="DF330" s="1916"/>
      <c r="DG330" s="1917"/>
      <c r="DH330" s="1916"/>
      <c r="DI330" s="1917"/>
      <c r="DJ330" s="1918"/>
      <c r="DK330" s="1919"/>
      <c r="DL330" s="1916"/>
      <c r="DM330" s="1917"/>
      <c r="DN330" s="1916"/>
      <c r="DO330" s="1917"/>
      <c r="DP330" s="1918"/>
      <c r="DQ330" s="1919"/>
      <c r="DR330" s="1916"/>
      <c r="DS330" s="1917"/>
      <c r="DT330" s="1916"/>
      <c r="DU330" s="1917"/>
      <c r="DV330" s="1918"/>
      <c r="DW330" s="1919"/>
      <c r="DX330" s="1916"/>
      <c r="DY330" s="1917"/>
      <c r="DZ330" s="1916"/>
      <c r="EA330" s="1917"/>
      <c r="EB330" s="1918"/>
      <c r="EC330" s="1919"/>
      <c r="ED330" s="1916"/>
      <c r="EE330" s="1917"/>
      <c r="EF330" s="1916"/>
      <c r="EG330" s="1917"/>
      <c r="EH330" s="1918"/>
      <c r="EI330" s="1919"/>
      <c r="EJ330" s="1916"/>
      <c r="EK330" s="1917"/>
      <c r="EL330" s="1916"/>
      <c r="EM330" s="1917"/>
      <c r="EN330" s="1918"/>
      <c r="EO330" s="1919"/>
      <c r="EP330" s="1916"/>
      <c r="EQ330" s="1917"/>
      <c r="ER330" s="1916"/>
      <c r="ES330" s="1917"/>
      <c r="ET330" s="1918"/>
      <c r="EU330" s="1919"/>
      <c r="EV330" s="1916"/>
      <c r="EW330" s="1917"/>
      <c r="EX330" s="1916"/>
      <c r="EY330" s="1917"/>
      <c r="EZ330" s="1923"/>
      <c r="FA330" s="1919"/>
      <c r="FB330" s="1916"/>
      <c r="FC330" s="1917"/>
      <c r="FD330" s="1916"/>
      <c r="FE330" s="1917"/>
      <c r="FF330" s="1923"/>
      <c r="FG330" s="1919"/>
      <c r="FH330" s="1916"/>
      <c r="FI330" s="1917"/>
      <c r="FJ330" s="1916"/>
      <c r="FK330" s="1917"/>
      <c r="FL330" s="1923"/>
      <c r="FM330" s="1919"/>
      <c r="FN330" s="1916"/>
      <c r="FO330" s="1917"/>
      <c r="FP330" s="1916"/>
      <c r="FQ330" s="1917"/>
      <c r="FR330" s="1923"/>
      <c r="FS330" s="1919"/>
      <c r="FT330" s="1916" t="s">
        <v>18067</v>
      </c>
      <c r="FU330" s="1917"/>
      <c r="FV330" s="1916"/>
      <c r="FW330" s="1917"/>
      <c r="FX330" s="1923"/>
      <c r="FY330" s="1919"/>
      <c r="FZ330" s="1916"/>
      <c r="GA330" s="1917"/>
      <c r="GB330" s="1916"/>
      <c r="GC330" s="1917"/>
      <c r="GD330" s="1923"/>
      <c r="GE330" s="1919"/>
      <c r="GF330" s="1916"/>
      <c r="GG330" s="1917"/>
      <c r="GH330" s="1916"/>
      <c r="GI330" s="1917"/>
      <c r="GJ330" s="1923"/>
      <c r="GK330" s="1919"/>
      <c r="GL330" s="1916"/>
      <c r="GM330" s="1917"/>
      <c r="GN330" s="1916"/>
      <c r="GO330" s="1917"/>
      <c r="GP330" s="1923" t="s">
        <v>18066</v>
      </c>
    </row>
    <row r="331" spans="1:198" ht="20.100000000000001" customHeight="1" thickBot="1">
      <c r="A331" s="2771"/>
      <c r="B331" s="2626"/>
      <c r="C331" s="1952"/>
      <c r="D331" s="2739" t="str">
        <f>実績!C1455&amp;"("&amp;SUBSTITUTE(実績!R1455&amp;")","有限会社 ","")</f>
        <v>Vdrug豊田寿(中部設計)</v>
      </c>
      <c r="E331" s="2740"/>
      <c r="F331" s="2740"/>
      <c r="G331" s="2740"/>
      <c r="H331" s="2740"/>
      <c r="I331" s="2740"/>
      <c r="J331" s="2740"/>
      <c r="K331" s="2740"/>
      <c r="L331" s="2740"/>
      <c r="M331" s="2740"/>
      <c r="N331" s="2740"/>
      <c r="O331" s="2740"/>
      <c r="P331" s="2740"/>
      <c r="Q331" s="2740"/>
      <c r="R331" s="2741"/>
      <c r="S331" s="1953"/>
      <c r="T331" s="1953"/>
      <c r="U331" s="1954"/>
      <c r="V331" s="1953"/>
      <c r="W331" s="1954"/>
      <c r="X331" s="1955"/>
      <c r="Y331" s="1953"/>
      <c r="Z331" s="1953"/>
      <c r="AA331" s="1954"/>
      <c r="AB331" s="1953"/>
      <c r="AC331" s="1954"/>
      <c r="AD331" s="1953"/>
      <c r="AE331" s="1956"/>
      <c r="AF331" s="1953"/>
      <c r="AG331" s="1954"/>
      <c r="AH331" s="1953"/>
      <c r="AI331" s="1954"/>
      <c r="AJ331" s="1955"/>
      <c r="AK331" s="1953"/>
      <c r="AL331" s="1953"/>
      <c r="AM331" s="1954"/>
      <c r="AN331" s="1953"/>
      <c r="AO331" s="1954"/>
      <c r="AP331" s="1953"/>
      <c r="AQ331" s="1957"/>
      <c r="AR331" s="1953"/>
      <c r="AS331" s="1954"/>
      <c r="AT331" s="1953"/>
      <c r="AU331" s="1954"/>
      <c r="AV331" s="1955"/>
      <c r="AW331" s="1956"/>
      <c r="AX331" s="1953"/>
      <c r="AY331" s="1954"/>
      <c r="AZ331" s="1953"/>
      <c r="BA331" s="1954"/>
      <c r="BB331" s="1955"/>
      <c r="BC331" s="1953"/>
      <c r="BD331" s="1953"/>
      <c r="BE331" s="1954"/>
      <c r="BF331" s="1953"/>
      <c r="BG331" s="1954"/>
      <c r="BH331" s="1953"/>
      <c r="BI331" s="1956"/>
      <c r="BJ331" s="1953"/>
      <c r="BK331" s="1954"/>
      <c r="BL331" s="1953"/>
      <c r="BM331" s="1954"/>
      <c r="BN331" s="1955"/>
      <c r="BO331" s="1956"/>
      <c r="BP331" s="1953"/>
      <c r="BQ331" s="1954"/>
      <c r="BR331" s="1958"/>
      <c r="BS331" s="1954"/>
      <c r="BT331" s="1955"/>
      <c r="BU331" s="1956"/>
      <c r="BV331" s="1953"/>
      <c r="BW331" s="1954"/>
      <c r="BX331" s="1953"/>
      <c r="BY331" s="1954"/>
      <c r="BZ331" s="1955"/>
      <c r="CA331" s="1956"/>
      <c r="CB331" s="1953"/>
      <c r="CC331" s="1954"/>
      <c r="CD331" s="1953"/>
      <c r="CE331" s="1954"/>
      <c r="CF331" s="1955"/>
      <c r="CG331" s="1956"/>
      <c r="CH331" s="1953"/>
      <c r="CI331" s="1954"/>
      <c r="CJ331" s="1953"/>
      <c r="CK331" s="1954"/>
      <c r="CL331" s="1955"/>
      <c r="CM331" s="1956"/>
      <c r="CN331" s="1953"/>
      <c r="CO331" s="1954"/>
      <c r="CP331" s="1959"/>
      <c r="CQ331" s="1954"/>
      <c r="CR331" s="1955"/>
      <c r="CS331" s="1956"/>
      <c r="CT331" s="1953"/>
      <c r="CU331" s="1954"/>
      <c r="CV331" s="1953"/>
      <c r="CW331" s="1954"/>
      <c r="CX331" s="1955"/>
      <c r="CY331" s="1956"/>
      <c r="CZ331" s="1953"/>
      <c r="DA331" s="1954"/>
      <c r="DB331" s="1953"/>
      <c r="DC331" s="1954"/>
      <c r="DD331" s="1955"/>
      <c r="DE331" s="1956"/>
      <c r="DF331" s="1953"/>
      <c r="DG331" s="1954"/>
      <c r="DH331" s="1953"/>
      <c r="DI331" s="1954"/>
      <c r="DJ331" s="1955"/>
      <c r="DK331" s="1956"/>
      <c r="DL331" s="1953"/>
      <c r="DM331" s="1954"/>
      <c r="DN331" s="1953"/>
      <c r="DO331" s="1954"/>
      <c r="DP331" s="1955"/>
      <c r="DQ331" s="1956"/>
      <c r="DR331" s="1953"/>
      <c r="DS331" s="1954"/>
      <c r="DT331" s="1953"/>
      <c r="DU331" s="1954"/>
      <c r="DV331" s="1955"/>
      <c r="DW331" s="1956"/>
      <c r="DX331" s="1953"/>
      <c r="DY331" s="1954"/>
      <c r="DZ331" s="1953"/>
      <c r="EA331" s="1954"/>
      <c r="EB331" s="1955"/>
      <c r="EC331" s="1956"/>
      <c r="ED331" s="1953"/>
      <c r="EE331" s="1954"/>
      <c r="EF331" s="1953"/>
      <c r="EG331" s="1954"/>
      <c r="EH331" s="1955"/>
      <c r="EI331" s="1956"/>
      <c r="EJ331" s="1953"/>
      <c r="EK331" s="1954"/>
      <c r="EL331" s="1953"/>
      <c r="EM331" s="1954"/>
      <c r="EN331" s="1955"/>
      <c r="EO331" s="1956"/>
      <c r="EP331" s="1953"/>
      <c r="EQ331" s="1954"/>
      <c r="ER331" s="1953"/>
      <c r="ES331" s="1954"/>
      <c r="ET331" s="1955"/>
      <c r="EU331" s="1956"/>
      <c r="EV331" s="1953"/>
      <c r="EW331" s="1954"/>
      <c r="EX331" s="1953"/>
      <c r="EY331" s="1954"/>
      <c r="EZ331" s="1960"/>
      <c r="FA331" s="1956"/>
      <c r="FB331" s="1953"/>
      <c r="FC331" s="1954"/>
      <c r="FD331" s="1953"/>
      <c r="FE331" s="1954"/>
      <c r="FF331" s="1960"/>
      <c r="FG331" s="1956"/>
      <c r="FH331" s="1953"/>
      <c r="FI331" s="1954"/>
      <c r="FJ331" s="1953"/>
      <c r="FK331" s="1954"/>
      <c r="FL331" s="1960"/>
      <c r="FM331" s="1956"/>
      <c r="FN331" s="1953"/>
      <c r="FO331" s="1954"/>
      <c r="FP331" s="1953"/>
      <c r="FQ331" s="1954"/>
      <c r="FR331" s="1960"/>
      <c r="FS331" s="1956"/>
      <c r="FT331" s="1953"/>
      <c r="FU331" s="1954"/>
      <c r="FV331" s="1953"/>
      <c r="FW331" s="1954"/>
      <c r="FX331" s="1960"/>
      <c r="FY331" s="1956"/>
      <c r="FZ331" s="1953"/>
      <c r="GA331" s="1954"/>
      <c r="GB331" s="1953"/>
      <c r="GC331" s="1954"/>
      <c r="GD331" s="1960"/>
      <c r="GE331" s="1956"/>
      <c r="GF331" s="1953"/>
      <c r="GG331" s="1954"/>
      <c r="GH331" s="1953"/>
      <c r="GI331" s="1954"/>
      <c r="GJ331" s="1960"/>
      <c r="GK331" s="1956" t="s">
        <v>17900</v>
      </c>
      <c r="GL331" s="1953"/>
      <c r="GM331" s="1954"/>
      <c r="GN331" s="1953"/>
      <c r="GO331" s="1954"/>
      <c r="GP331" s="1960" t="s">
        <v>17901</v>
      </c>
    </row>
    <row r="332" spans="1:198" ht="20.100000000000001" customHeight="1" thickBot="1">
      <c r="A332" s="2771"/>
      <c r="B332" s="2627"/>
      <c r="C332" s="167"/>
      <c r="D332" s="2619" t="str">
        <f>実績!C1456&amp;"("&amp;SUBSTITUTE(実績!R1456&amp;")","有限会社 ","")</f>
        <v>Vdrug中川下之一色(中部設計)</v>
      </c>
      <c r="E332" s="2620"/>
      <c r="F332" s="2620"/>
      <c r="G332" s="2620"/>
      <c r="H332" s="2620"/>
      <c r="I332" s="2620"/>
      <c r="J332" s="2620"/>
      <c r="K332" s="2620"/>
      <c r="L332" s="2620"/>
      <c r="M332" s="2620"/>
      <c r="N332" s="2620"/>
      <c r="O332" s="2620"/>
      <c r="P332" s="2620"/>
      <c r="Q332" s="2620"/>
      <c r="R332" s="2621"/>
      <c r="S332" s="154"/>
      <c r="T332" s="154"/>
      <c r="U332" s="155"/>
      <c r="V332" s="154"/>
      <c r="W332" s="155"/>
      <c r="X332" s="156"/>
      <c r="Y332" s="154"/>
      <c r="Z332" s="154"/>
      <c r="AA332" s="155"/>
      <c r="AB332" s="154"/>
      <c r="AC332" s="155"/>
      <c r="AD332" s="154"/>
      <c r="AE332" s="153"/>
      <c r="AF332" s="154"/>
      <c r="AG332" s="155"/>
      <c r="AH332" s="154"/>
      <c r="AI332" s="155"/>
      <c r="AJ332" s="156"/>
      <c r="AK332" s="154"/>
      <c r="AL332" s="154"/>
      <c r="AM332" s="155"/>
      <c r="AN332" s="154"/>
      <c r="AO332" s="155"/>
      <c r="AP332" s="154"/>
      <c r="AQ332" s="1215"/>
      <c r="AR332" s="154"/>
      <c r="AS332" s="155"/>
      <c r="AT332" s="154"/>
      <c r="AU332" s="155"/>
      <c r="AV332" s="156"/>
      <c r="AW332" s="153"/>
      <c r="AX332" s="154"/>
      <c r="AY332" s="155"/>
      <c r="AZ332" s="154"/>
      <c r="BA332" s="155"/>
      <c r="BB332" s="156"/>
      <c r="BC332" s="154"/>
      <c r="BD332" s="154"/>
      <c r="BE332" s="155"/>
      <c r="BF332" s="154"/>
      <c r="BG332" s="155"/>
      <c r="BH332" s="154"/>
      <c r="BI332" s="153"/>
      <c r="BJ332" s="154"/>
      <c r="BK332" s="155"/>
      <c r="BL332" s="154"/>
      <c r="BM332" s="155"/>
      <c r="BN332" s="156"/>
      <c r="BO332" s="153"/>
      <c r="BP332" s="154"/>
      <c r="BQ332" s="155"/>
      <c r="BR332" s="1216"/>
      <c r="BS332" s="155"/>
      <c r="BT332" s="156"/>
      <c r="BU332" s="153"/>
      <c r="BV332" s="154"/>
      <c r="BW332" s="155"/>
      <c r="BX332" s="154"/>
      <c r="BY332" s="155"/>
      <c r="BZ332" s="156"/>
      <c r="CA332" s="153"/>
      <c r="CB332" s="154"/>
      <c r="CC332" s="155"/>
      <c r="CD332" s="154"/>
      <c r="CE332" s="155"/>
      <c r="CF332" s="156"/>
      <c r="CG332" s="153"/>
      <c r="CH332" s="154"/>
      <c r="CI332" s="155"/>
      <c r="CJ332" s="154"/>
      <c r="CK332" s="155"/>
      <c r="CL332" s="156"/>
      <c r="CM332" s="153"/>
      <c r="CN332" s="154"/>
      <c r="CO332" s="155"/>
      <c r="CP332" s="1217"/>
      <c r="CQ332" s="155"/>
      <c r="CR332" s="156"/>
      <c r="CS332" s="153"/>
      <c r="CT332" s="154"/>
      <c r="CU332" s="155"/>
      <c r="CV332" s="154"/>
      <c r="CW332" s="155"/>
      <c r="CX332" s="156"/>
      <c r="CY332" s="153"/>
      <c r="CZ332" s="154"/>
      <c r="DA332" s="155"/>
      <c r="DB332" s="154"/>
      <c r="DC332" s="155"/>
      <c r="DD332" s="156"/>
      <c r="DE332" s="153"/>
      <c r="DF332" s="154"/>
      <c r="DG332" s="155"/>
      <c r="DH332" s="154"/>
      <c r="DI332" s="155"/>
      <c r="DJ332" s="156"/>
      <c r="DK332" s="153"/>
      <c r="DL332" s="154"/>
      <c r="DM332" s="155"/>
      <c r="DN332" s="154"/>
      <c r="DO332" s="155"/>
      <c r="DP332" s="156"/>
      <c r="DQ332" s="153"/>
      <c r="DR332" s="154"/>
      <c r="DS332" s="155"/>
      <c r="DT332" s="154"/>
      <c r="DU332" s="155"/>
      <c r="DV332" s="156"/>
      <c r="DW332" s="153"/>
      <c r="DX332" s="154"/>
      <c r="DY332" s="155"/>
      <c r="DZ332" s="154"/>
      <c r="EA332" s="155"/>
      <c r="EB332" s="156"/>
      <c r="EC332" s="153"/>
      <c r="ED332" s="154"/>
      <c r="EE332" s="155"/>
      <c r="EF332" s="154"/>
      <c r="EG332" s="155"/>
      <c r="EH332" s="156"/>
      <c r="EI332" s="153"/>
      <c r="EJ332" s="154"/>
      <c r="EK332" s="155"/>
      <c r="EL332" s="154"/>
      <c r="EM332" s="155"/>
      <c r="EN332" s="156"/>
      <c r="EO332" s="153"/>
      <c r="EP332" s="154"/>
      <c r="EQ332" s="155"/>
      <c r="ER332" s="154"/>
      <c r="ES332" s="155"/>
      <c r="ET332" s="156"/>
      <c r="EU332" s="153"/>
      <c r="EV332" s="154"/>
      <c r="EW332" s="155"/>
      <c r="EX332" s="154"/>
      <c r="EY332" s="155"/>
      <c r="EZ332" s="157"/>
      <c r="FA332" s="153"/>
      <c r="FB332" s="154"/>
      <c r="FC332" s="155"/>
      <c r="FD332" s="154"/>
      <c r="FE332" s="155"/>
      <c r="FF332" s="157"/>
      <c r="FG332" s="153"/>
      <c r="FH332" s="154"/>
      <c r="FI332" s="155"/>
      <c r="FJ332" s="154"/>
      <c r="FK332" s="155"/>
      <c r="FL332" s="157"/>
      <c r="FM332" s="153"/>
      <c r="FN332" s="154"/>
      <c r="FO332" s="155"/>
      <c r="FP332" s="154"/>
      <c r="FQ332" s="155"/>
      <c r="FR332" s="157"/>
      <c r="FS332" s="153"/>
      <c r="FT332" s="154"/>
      <c r="FU332" s="155"/>
      <c r="FV332" s="154"/>
      <c r="FW332" s="155"/>
      <c r="FX332" s="157"/>
      <c r="FY332" s="153"/>
      <c r="FZ332" s="154"/>
      <c r="GA332" s="155"/>
      <c r="GB332" s="154"/>
      <c r="GC332" s="155"/>
      <c r="GD332" s="157"/>
      <c r="GE332" s="153"/>
      <c r="GF332" s="154"/>
      <c r="GG332" s="155"/>
      <c r="GH332" s="154"/>
      <c r="GI332" s="155"/>
      <c r="GJ332" s="157"/>
      <c r="GK332" s="153" t="s">
        <v>17900</v>
      </c>
      <c r="GL332" s="154"/>
      <c r="GM332" s="155"/>
      <c r="GN332" s="154"/>
      <c r="GO332" s="155"/>
      <c r="GP332" s="157" t="s">
        <v>17902</v>
      </c>
    </row>
    <row r="333" spans="1:198" ht="20.100000000000001" customHeight="1" thickBot="1">
      <c r="A333" s="2771"/>
      <c r="B333" s="2627"/>
      <c r="C333" s="167"/>
      <c r="D333" s="2619" t="str">
        <f>実績!C1457&amp;"("&amp;SUBSTITUTE(実績!AB1457&amp;")"," 株式会社","")</f>
        <v>DAIGOリサイクルセンター(大宝柊木)</v>
      </c>
      <c r="E333" s="2620"/>
      <c r="F333" s="2620"/>
      <c r="G333" s="2620"/>
      <c r="H333" s="2620"/>
      <c r="I333" s="2620"/>
      <c r="J333" s="2620"/>
      <c r="K333" s="2620"/>
      <c r="L333" s="2620"/>
      <c r="M333" s="2620"/>
      <c r="N333" s="2620"/>
      <c r="O333" s="2620"/>
      <c r="P333" s="2620"/>
      <c r="Q333" s="2620"/>
      <c r="R333" s="2621"/>
      <c r="S333" s="154"/>
      <c r="T333" s="154"/>
      <c r="U333" s="155"/>
      <c r="V333" s="154"/>
      <c r="W333" s="155"/>
      <c r="X333" s="156"/>
      <c r="Y333" s="154"/>
      <c r="Z333" s="154"/>
      <c r="AA333" s="155"/>
      <c r="AB333" s="154"/>
      <c r="AC333" s="155"/>
      <c r="AD333" s="154"/>
      <c r="AE333" s="153"/>
      <c r="AF333" s="154"/>
      <c r="AG333" s="155"/>
      <c r="AH333" s="154"/>
      <c r="AI333" s="155"/>
      <c r="AJ333" s="156"/>
      <c r="AK333" s="154"/>
      <c r="AL333" s="154"/>
      <c r="AM333" s="155"/>
      <c r="AN333" s="154"/>
      <c r="AO333" s="155"/>
      <c r="AP333" s="154"/>
      <c r="AQ333" s="1215"/>
      <c r="AR333" s="154"/>
      <c r="AS333" s="155"/>
      <c r="AT333" s="154"/>
      <c r="AU333" s="155"/>
      <c r="AV333" s="156"/>
      <c r="AW333" s="153"/>
      <c r="AX333" s="154"/>
      <c r="AY333" s="155"/>
      <c r="AZ333" s="154"/>
      <c r="BA333" s="155"/>
      <c r="BB333" s="156"/>
      <c r="BC333" s="154"/>
      <c r="BD333" s="154"/>
      <c r="BE333" s="155"/>
      <c r="BF333" s="154"/>
      <c r="BG333" s="155"/>
      <c r="BH333" s="154"/>
      <c r="BI333" s="153"/>
      <c r="BJ333" s="154"/>
      <c r="BK333" s="155"/>
      <c r="BL333" s="154"/>
      <c r="BM333" s="155"/>
      <c r="BN333" s="156"/>
      <c r="BO333" s="153"/>
      <c r="BP333" s="154"/>
      <c r="BQ333" s="155"/>
      <c r="BR333" s="1216"/>
      <c r="BS333" s="155"/>
      <c r="BT333" s="156"/>
      <c r="BU333" s="153"/>
      <c r="BV333" s="154"/>
      <c r="BW333" s="155"/>
      <c r="BX333" s="154"/>
      <c r="BY333" s="155"/>
      <c r="BZ333" s="156"/>
      <c r="CA333" s="153"/>
      <c r="CB333" s="154"/>
      <c r="CC333" s="155"/>
      <c r="CD333" s="154"/>
      <c r="CE333" s="155"/>
      <c r="CF333" s="156"/>
      <c r="CG333" s="153"/>
      <c r="CH333" s="154"/>
      <c r="CI333" s="155"/>
      <c r="CJ333" s="154"/>
      <c r="CK333" s="155"/>
      <c r="CL333" s="156"/>
      <c r="CM333" s="153"/>
      <c r="CN333" s="154"/>
      <c r="CO333" s="155"/>
      <c r="CP333" s="1217"/>
      <c r="CQ333" s="155"/>
      <c r="CR333" s="156"/>
      <c r="CS333" s="153"/>
      <c r="CT333" s="154"/>
      <c r="CU333" s="155"/>
      <c r="CV333" s="154"/>
      <c r="CW333" s="155"/>
      <c r="CX333" s="156"/>
      <c r="CY333" s="153"/>
      <c r="CZ333" s="154"/>
      <c r="DA333" s="155"/>
      <c r="DB333" s="154"/>
      <c r="DC333" s="155"/>
      <c r="DD333" s="156"/>
      <c r="DE333" s="153"/>
      <c r="DF333" s="154"/>
      <c r="DG333" s="155"/>
      <c r="DH333" s="154"/>
      <c r="DI333" s="155"/>
      <c r="DJ333" s="156"/>
      <c r="DK333" s="153"/>
      <c r="DL333" s="154"/>
      <c r="DM333" s="155"/>
      <c r="DN333" s="154"/>
      <c r="DO333" s="155"/>
      <c r="DP333" s="156"/>
      <c r="DQ333" s="153"/>
      <c r="DR333" s="154"/>
      <c r="DS333" s="155"/>
      <c r="DT333" s="154"/>
      <c r="DU333" s="155"/>
      <c r="DV333" s="156"/>
      <c r="DW333" s="153"/>
      <c r="DX333" s="154"/>
      <c r="DY333" s="155"/>
      <c r="DZ333" s="154"/>
      <c r="EA333" s="155"/>
      <c r="EB333" s="156"/>
      <c r="EC333" s="153"/>
      <c r="ED333" s="154"/>
      <c r="EE333" s="155"/>
      <c r="EF333" s="154"/>
      <c r="EG333" s="155"/>
      <c r="EH333" s="156"/>
      <c r="EI333" s="153"/>
      <c r="EJ333" s="154"/>
      <c r="EK333" s="155"/>
      <c r="EL333" s="154"/>
      <c r="EM333" s="155"/>
      <c r="EN333" s="156"/>
      <c r="EO333" s="153"/>
      <c r="EP333" s="154"/>
      <c r="EQ333" s="155"/>
      <c r="ER333" s="154"/>
      <c r="ES333" s="155"/>
      <c r="ET333" s="156"/>
      <c r="EU333" s="153"/>
      <c r="EV333" s="154"/>
      <c r="EW333" s="155"/>
      <c r="EX333" s="154"/>
      <c r="EY333" s="155"/>
      <c r="EZ333" s="157"/>
      <c r="FA333" s="153"/>
      <c r="FB333" s="154"/>
      <c r="FC333" s="155"/>
      <c r="FD333" s="154"/>
      <c r="FE333" s="155"/>
      <c r="FF333" s="157"/>
      <c r="FG333" s="153"/>
      <c r="FH333" s="154"/>
      <c r="FI333" s="155"/>
      <c r="FJ333" s="154"/>
      <c r="FK333" s="155"/>
      <c r="FL333" s="157"/>
      <c r="FM333" s="153"/>
      <c r="FN333" s="154"/>
      <c r="FO333" s="155"/>
      <c r="FP333" s="154"/>
      <c r="FQ333" s="155"/>
      <c r="FR333" s="157"/>
      <c r="FS333" s="153"/>
      <c r="FT333" s="154"/>
      <c r="FU333" s="155"/>
      <c r="FV333" s="154"/>
      <c r="FW333" s="155"/>
      <c r="FX333" s="157"/>
      <c r="FY333" s="153"/>
      <c r="FZ333" s="154"/>
      <c r="GA333" s="155"/>
      <c r="GB333" s="154"/>
      <c r="GC333" s="155"/>
      <c r="GD333" s="157"/>
      <c r="GE333" s="153"/>
      <c r="GF333" s="154"/>
      <c r="GG333" s="155"/>
      <c r="GH333" s="154"/>
      <c r="GI333" s="155"/>
      <c r="GJ333" s="157"/>
      <c r="GK333" s="153"/>
      <c r="GL333" s="154"/>
      <c r="GM333" s="155"/>
      <c r="GN333" s="154"/>
      <c r="GO333" s="155"/>
      <c r="GP333" s="157"/>
    </row>
    <row r="334" spans="1:198" ht="20.100000000000001" customHeight="1" thickBot="1">
      <c r="A334" s="2771"/>
      <c r="B334" s="2627"/>
      <c r="C334" s="167"/>
      <c r="D334" s="2619" t="str">
        <f>実績!C1460&amp;"("&amp;SUBSTITUTE(実績!R1460&amp;")"," 株式会社","")</f>
        <v>東北マツダ南吉成(マツダエース)</v>
      </c>
      <c r="E334" s="2620"/>
      <c r="F334" s="2620"/>
      <c r="G334" s="2620"/>
      <c r="H334" s="2620"/>
      <c r="I334" s="2620"/>
      <c r="J334" s="2620"/>
      <c r="K334" s="2620"/>
      <c r="L334" s="2620"/>
      <c r="M334" s="2620"/>
      <c r="N334" s="2620"/>
      <c r="O334" s="2620"/>
      <c r="P334" s="2620"/>
      <c r="Q334" s="2620"/>
      <c r="R334" s="2621"/>
      <c r="S334" s="154"/>
      <c r="T334" s="154"/>
      <c r="U334" s="155"/>
      <c r="V334" s="154"/>
      <c r="W334" s="155"/>
      <c r="X334" s="156"/>
      <c r="Y334" s="154"/>
      <c r="Z334" s="154"/>
      <c r="AA334" s="155"/>
      <c r="AB334" s="154"/>
      <c r="AC334" s="155"/>
      <c r="AD334" s="154"/>
      <c r="AE334" s="153"/>
      <c r="AF334" s="154"/>
      <c r="AG334" s="155"/>
      <c r="AH334" s="154"/>
      <c r="AI334" s="155"/>
      <c r="AJ334" s="156"/>
      <c r="AK334" s="154"/>
      <c r="AL334" s="154"/>
      <c r="AM334" s="155"/>
      <c r="AN334" s="154"/>
      <c r="AO334" s="155"/>
      <c r="AP334" s="154"/>
      <c r="AQ334" s="1215"/>
      <c r="AR334" s="154"/>
      <c r="AS334" s="155"/>
      <c r="AT334" s="154"/>
      <c r="AU334" s="155"/>
      <c r="AV334" s="156"/>
      <c r="AW334" s="153"/>
      <c r="AX334" s="154"/>
      <c r="AY334" s="155"/>
      <c r="AZ334" s="154"/>
      <c r="BA334" s="155"/>
      <c r="BB334" s="156"/>
      <c r="BC334" s="154"/>
      <c r="BD334" s="154"/>
      <c r="BE334" s="155"/>
      <c r="BF334" s="154"/>
      <c r="BG334" s="155"/>
      <c r="BH334" s="154"/>
      <c r="BI334" s="153"/>
      <c r="BJ334" s="154"/>
      <c r="BK334" s="155"/>
      <c r="BL334" s="154"/>
      <c r="BM334" s="155"/>
      <c r="BN334" s="156"/>
      <c r="BO334" s="153"/>
      <c r="BP334" s="154"/>
      <c r="BQ334" s="155"/>
      <c r="BR334" s="1216"/>
      <c r="BS334" s="155"/>
      <c r="BT334" s="156"/>
      <c r="BU334" s="153"/>
      <c r="BV334" s="154"/>
      <c r="BW334" s="155"/>
      <c r="BX334" s="154"/>
      <c r="BY334" s="155"/>
      <c r="BZ334" s="156"/>
      <c r="CA334" s="153"/>
      <c r="CB334" s="154"/>
      <c r="CC334" s="155"/>
      <c r="CD334" s="154"/>
      <c r="CE334" s="155"/>
      <c r="CF334" s="156"/>
      <c r="CG334" s="153"/>
      <c r="CH334" s="154"/>
      <c r="CI334" s="155"/>
      <c r="CJ334" s="154"/>
      <c r="CK334" s="155"/>
      <c r="CL334" s="156"/>
      <c r="CM334" s="153"/>
      <c r="CN334" s="154"/>
      <c r="CO334" s="155"/>
      <c r="CP334" s="1217"/>
      <c r="CQ334" s="155"/>
      <c r="CR334" s="156"/>
      <c r="CS334" s="153"/>
      <c r="CT334" s="154"/>
      <c r="CU334" s="155"/>
      <c r="CV334" s="154"/>
      <c r="CW334" s="155"/>
      <c r="CX334" s="156"/>
      <c r="CY334" s="153"/>
      <c r="CZ334" s="154"/>
      <c r="DA334" s="155"/>
      <c r="DB334" s="154"/>
      <c r="DC334" s="155"/>
      <c r="DD334" s="156"/>
      <c r="DE334" s="153"/>
      <c r="DF334" s="154"/>
      <c r="DG334" s="155"/>
      <c r="DH334" s="154"/>
      <c r="DI334" s="155"/>
      <c r="DJ334" s="156"/>
      <c r="DK334" s="153"/>
      <c r="DL334" s="154"/>
      <c r="DM334" s="155"/>
      <c r="DN334" s="154"/>
      <c r="DO334" s="155"/>
      <c r="DP334" s="156"/>
      <c r="DQ334" s="153"/>
      <c r="DR334" s="154"/>
      <c r="DS334" s="155"/>
      <c r="DT334" s="154"/>
      <c r="DU334" s="155"/>
      <c r="DV334" s="156"/>
      <c r="DW334" s="153"/>
      <c r="DX334" s="154"/>
      <c r="DY334" s="155"/>
      <c r="DZ334" s="154"/>
      <c r="EA334" s="155"/>
      <c r="EB334" s="156"/>
      <c r="EC334" s="153"/>
      <c r="ED334" s="154"/>
      <c r="EE334" s="155"/>
      <c r="EF334" s="154"/>
      <c r="EG334" s="155"/>
      <c r="EH334" s="156"/>
      <c r="EI334" s="153"/>
      <c r="EJ334" s="154"/>
      <c r="EK334" s="155"/>
      <c r="EL334" s="154"/>
      <c r="EM334" s="155"/>
      <c r="EN334" s="156"/>
      <c r="EO334" s="153"/>
      <c r="EP334" s="154"/>
      <c r="EQ334" s="155"/>
      <c r="ER334" s="154"/>
      <c r="ES334" s="155"/>
      <c r="ET334" s="156"/>
      <c r="EU334" s="153"/>
      <c r="EV334" s="154"/>
      <c r="EW334" s="155"/>
      <c r="EX334" s="154"/>
      <c r="EY334" s="155"/>
      <c r="EZ334" s="157"/>
      <c r="FA334" s="153"/>
      <c r="FB334" s="154"/>
      <c r="FC334" s="155"/>
      <c r="FD334" s="154"/>
      <c r="FE334" s="155"/>
      <c r="FF334" s="157"/>
      <c r="FG334" s="153"/>
      <c r="FH334" s="154"/>
      <c r="FI334" s="155"/>
      <c r="FJ334" s="154"/>
      <c r="FK334" s="155"/>
      <c r="FL334" s="157"/>
      <c r="FM334" s="153"/>
      <c r="FN334" s="154"/>
      <c r="FO334" s="155"/>
      <c r="FP334" s="154"/>
      <c r="FQ334" s="155"/>
      <c r="FR334" s="157"/>
      <c r="FS334" s="153"/>
      <c r="FT334" s="154"/>
      <c r="FU334" s="155"/>
      <c r="FV334" s="154"/>
      <c r="FW334" s="155"/>
      <c r="FX334" s="157"/>
      <c r="FY334" s="153"/>
      <c r="FZ334" s="154"/>
      <c r="GA334" s="155"/>
      <c r="GB334" s="154"/>
      <c r="GC334" s="155"/>
      <c r="GD334" s="157"/>
      <c r="GE334" s="153"/>
      <c r="GF334" s="154"/>
      <c r="GG334" s="155"/>
      <c r="GH334" s="154"/>
      <c r="GI334" s="155"/>
      <c r="GJ334" s="157"/>
      <c r="GK334" s="153" t="s">
        <v>16820</v>
      </c>
      <c r="GL334" s="154"/>
      <c r="GM334" s="155"/>
      <c r="GN334" s="154"/>
      <c r="GO334" s="155"/>
      <c r="GP334" s="157"/>
    </row>
    <row r="335" spans="1:198" ht="20.100000000000001" customHeight="1" thickBot="1">
      <c r="A335" s="2771"/>
      <c r="B335" s="2627"/>
      <c r="C335" s="167"/>
      <c r="D335" s="2619" t="str">
        <f>実績!C1458&amp;"("&amp;SUBSTITUTE(実績!R1458&amp;")","株式会社 ","")</f>
        <v>九州マツダ(福永設計事務所)</v>
      </c>
      <c r="E335" s="2620"/>
      <c r="F335" s="2620"/>
      <c r="G335" s="2620"/>
      <c r="H335" s="2620"/>
      <c r="I335" s="2620"/>
      <c r="J335" s="2620"/>
      <c r="K335" s="2620"/>
      <c r="L335" s="2620"/>
      <c r="M335" s="2620"/>
      <c r="N335" s="2620"/>
      <c r="O335" s="2620"/>
      <c r="P335" s="2620"/>
      <c r="Q335" s="2620"/>
      <c r="R335" s="2621"/>
      <c r="S335" s="154"/>
      <c r="T335" s="154"/>
      <c r="U335" s="155"/>
      <c r="V335" s="154"/>
      <c r="W335" s="155"/>
      <c r="X335" s="156"/>
      <c r="Y335" s="154"/>
      <c r="Z335" s="154"/>
      <c r="AA335" s="155"/>
      <c r="AB335" s="154"/>
      <c r="AC335" s="155"/>
      <c r="AD335" s="154"/>
      <c r="AE335" s="153"/>
      <c r="AF335" s="154"/>
      <c r="AG335" s="155"/>
      <c r="AH335" s="154"/>
      <c r="AI335" s="155"/>
      <c r="AJ335" s="156"/>
      <c r="AK335" s="154"/>
      <c r="AL335" s="154"/>
      <c r="AM335" s="155"/>
      <c r="AN335" s="154"/>
      <c r="AO335" s="155"/>
      <c r="AP335" s="154"/>
      <c r="AQ335" s="1215"/>
      <c r="AR335" s="154"/>
      <c r="AS335" s="155"/>
      <c r="AT335" s="154"/>
      <c r="AU335" s="155"/>
      <c r="AV335" s="156"/>
      <c r="AW335" s="153"/>
      <c r="AX335" s="154"/>
      <c r="AY335" s="155"/>
      <c r="AZ335" s="154"/>
      <c r="BA335" s="155"/>
      <c r="BB335" s="156"/>
      <c r="BC335" s="154"/>
      <c r="BD335" s="154"/>
      <c r="BE335" s="155"/>
      <c r="BF335" s="154"/>
      <c r="BG335" s="155"/>
      <c r="BH335" s="154"/>
      <c r="BI335" s="153"/>
      <c r="BJ335" s="154"/>
      <c r="BK335" s="155"/>
      <c r="BL335" s="154"/>
      <c r="BM335" s="155"/>
      <c r="BN335" s="156"/>
      <c r="BO335" s="153"/>
      <c r="BP335" s="154"/>
      <c r="BQ335" s="155"/>
      <c r="BR335" s="1216"/>
      <c r="BS335" s="155"/>
      <c r="BT335" s="156"/>
      <c r="BU335" s="153"/>
      <c r="BV335" s="154"/>
      <c r="BW335" s="155"/>
      <c r="BX335" s="154"/>
      <c r="BY335" s="155"/>
      <c r="BZ335" s="156"/>
      <c r="CA335" s="153"/>
      <c r="CB335" s="154"/>
      <c r="CC335" s="155"/>
      <c r="CD335" s="154"/>
      <c r="CE335" s="155"/>
      <c r="CF335" s="156"/>
      <c r="CG335" s="153"/>
      <c r="CH335" s="154"/>
      <c r="CI335" s="155"/>
      <c r="CJ335" s="154"/>
      <c r="CK335" s="155"/>
      <c r="CL335" s="156"/>
      <c r="CM335" s="153"/>
      <c r="CN335" s="154"/>
      <c r="CO335" s="155"/>
      <c r="CP335" s="1217"/>
      <c r="CQ335" s="155"/>
      <c r="CR335" s="156"/>
      <c r="CS335" s="153"/>
      <c r="CT335" s="154"/>
      <c r="CU335" s="155"/>
      <c r="CV335" s="154"/>
      <c r="CW335" s="155"/>
      <c r="CX335" s="156"/>
      <c r="CY335" s="153"/>
      <c r="CZ335" s="154"/>
      <c r="DA335" s="155"/>
      <c r="DB335" s="154"/>
      <c r="DC335" s="155"/>
      <c r="DD335" s="156"/>
      <c r="DE335" s="153"/>
      <c r="DF335" s="154"/>
      <c r="DG335" s="155"/>
      <c r="DH335" s="154"/>
      <c r="DI335" s="155"/>
      <c r="DJ335" s="156"/>
      <c r="DK335" s="153"/>
      <c r="DL335" s="154"/>
      <c r="DM335" s="155"/>
      <c r="DN335" s="154"/>
      <c r="DO335" s="155"/>
      <c r="DP335" s="156"/>
      <c r="DQ335" s="153"/>
      <c r="DR335" s="154"/>
      <c r="DS335" s="155"/>
      <c r="DT335" s="154"/>
      <c r="DU335" s="155"/>
      <c r="DV335" s="156"/>
      <c r="DW335" s="153"/>
      <c r="DX335" s="154"/>
      <c r="DY335" s="155"/>
      <c r="DZ335" s="154"/>
      <c r="EA335" s="155"/>
      <c r="EB335" s="156"/>
      <c r="EC335" s="153"/>
      <c r="ED335" s="154"/>
      <c r="EE335" s="155"/>
      <c r="EF335" s="154"/>
      <c r="EG335" s="155"/>
      <c r="EH335" s="156"/>
      <c r="EI335" s="153"/>
      <c r="EJ335" s="154"/>
      <c r="EK335" s="155"/>
      <c r="EL335" s="154"/>
      <c r="EM335" s="155"/>
      <c r="EN335" s="156"/>
      <c r="EO335" s="153"/>
      <c r="EP335" s="154"/>
      <c r="EQ335" s="155"/>
      <c r="ER335" s="154"/>
      <c r="ES335" s="155"/>
      <c r="ET335" s="156"/>
      <c r="EU335" s="153"/>
      <c r="EV335" s="154"/>
      <c r="EW335" s="155"/>
      <c r="EX335" s="154"/>
      <c r="EY335" s="155"/>
      <c r="EZ335" s="157"/>
      <c r="FA335" s="153"/>
      <c r="FB335" s="154"/>
      <c r="FC335" s="155"/>
      <c r="FD335" s="154"/>
      <c r="FE335" s="155"/>
      <c r="FF335" s="157"/>
      <c r="FG335" s="153"/>
      <c r="FH335" s="154"/>
      <c r="FI335" s="155"/>
      <c r="FJ335" s="154"/>
      <c r="FK335" s="155"/>
      <c r="FL335" s="157"/>
      <c r="FM335" s="153"/>
      <c r="FN335" s="154"/>
      <c r="FO335" s="155"/>
      <c r="FP335" s="154"/>
      <c r="FQ335" s="155"/>
      <c r="FR335" s="157"/>
      <c r="FS335" s="153"/>
      <c r="FT335" s="154"/>
      <c r="FU335" s="155"/>
      <c r="FV335" s="154"/>
      <c r="FW335" s="155"/>
      <c r="FX335" s="157"/>
      <c r="FY335" s="153"/>
      <c r="FZ335" s="154"/>
      <c r="GA335" s="155"/>
      <c r="GB335" s="154"/>
      <c r="GC335" s="155"/>
      <c r="GD335" s="157"/>
      <c r="GE335" s="153"/>
      <c r="GF335" s="154"/>
      <c r="GG335" s="155"/>
      <c r="GH335" s="154"/>
      <c r="GI335" s="155"/>
      <c r="GJ335" s="157"/>
      <c r="GK335" s="153" t="s">
        <v>18023</v>
      </c>
      <c r="GL335" s="154"/>
      <c r="GM335" s="155"/>
      <c r="GN335" s="154"/>
      <c r="GO335" s="155"/>
      <c r="GP335" s="157"/>
    </row>
    <row r="336" spans="1:198" ht="20.100000000000001" customHeight="1" thickBot="1">
      <c r="A336" s="2771"/>
      <c r="B336" s="2627"/>
      <c r="C336" s="167"/>
      <c r="D336" s="2619" t="str">
        <f>実績!C1459&amp;"("&amp;SUBSTITUTE(実績!R1459&amp;")","株式会社 ","")</f>
        <v>上越市ストックヤード(中部設計(富山))</v>
      </c>
      <c r="E336" s="2620"/>
      <c r="F336" s="2620"/>
      <c r="G336" s="2620"/>
      <c r="H336" s="2620"/>
      <c r="I336" s="2620"/>
      <c r="J336" s="2620"/>
      <c r="K336" s="2620"/>
      <c r="L336" s="2620"/>
      <c r="M336" s="2620"/>
      <c r="N336" s="2620"/>
      <c r="O336" s="2620"/>
      <c r="P336" s="2620"/>
      <c r="Q336" s="2620"/>
      <c r="R336" s="2621"/>
      <c r="S336" s="154"/>
      <c r="T336" s="154"/>
      <c r="U336" s="155"/>
      <c r="V336" s="154"/>
      <c r="W336" s="155"/>
      <c r="X336" s="156"/>
      <c r="Y336" s="154"/>
      <c r="Z336" s="154"/>
      <c r="AA336" s="155"/>
      <c r="AB336" s="154"/>
      <c r="AC336" s="155"/>
      <c r="AD336" s="154"/>
      <c r="AE336" s="153"/>
      <c r="AF336" s="154"/>
      <c r="AG336" s="155"/>
      <c r="AH336" s="154"/>
      <c r="AI336" s="155"/>
      <c r="AJ336" s="156"/>
      <c r="AK336" s="154"/>
      <c r="AL336" s="154"/>
      <c r="AM336" s="155"/>
      <c r="AN336" s="154"/>
      <c r="AO336" s="155"/>
      <c r="AP336" s="154"/>
      <c r="AQ336" s="1215"/>
      <c r="AR336" s="154"/>
      <c r="AS336" s="155"/>
      <c r="AT336" s="154"/>
      <c r="AU336" s="155"/>
      <c r="AV336" s="156"/>
      <c r="AW336" s="153"/>
      <c r="AX336" s="154"/>
      <c r="AY336" s="155"/>
      <c r="AZ336" s="154"/>
      <c r="BA336" s="155"/>
      <c r="BB336" s="156"/>
      <c r="BC336" s="154"/>
      <c r="BD336" s="154"/>
      <c r="BE336" s="155"/>
      <c r="BF336" s="154"/>
      <c r="BG336" s="155"/>
      <c r="BH336" s="154"/>
      <c r="BI336" s="153"/>
      <c r="BJ336" s="154"/>
      <c r="BK336" s="155"/>
      <c r="BL336" s="154"/>
      <c r="BM336" s="155"/>
      <c r="BN336" s="156"/>
      <c r="BO336" s="153"/>
      <c r="BP336" s="154"/>
      <c r="BQ336" s="155"/>
      <c r="BR336" s="1216"/>
      <c r="BS336" s="155"/>
      <c r="BT336" s="156"/>
      <c r="BU336" s="153"/>
      <c r="BV336" s="154"/>
      <c r="BW336" s="155"/>
      <c r="BX336" s="154"/>
      <c r="BY336" s="155"/>
      <c r="BZ336" s="156"/>
      <c r="CA336" s="153"/>
      <c r="CB336" s="154"/>
      <c r="CC336" s="155"/>
      <c r="CD336" s="154"/>
      <c r="CE336" s="155"/>
      <c r="CF336" s="156"/>
      <c r="CG336" s="153"/>
      <c r="CH336" s="154"/>
      <c r="CI336" s="155"/>
      <c r="CJ336" s="154"/>
      <c r="CK336" s="155"/>
      <c r="CL336" s="156"/>
      <c r="CM336" s="153"/>
      <c r="CN336" s="154"/>
      <c r="CO336" s="155"/>
      <c r="CP336" s="1217"/>
      <c r="CQ336" s="155"/>
      <c r="CR336" s="156"/>
      <c r="CS336" s="153"/>
      <c r="CT336" s="154"/>
      <c r="CU336" s="155"/>
      <c r="CV336" s="154"/>
      <c r="CW336" s="155"/>
      <c r="CX336" s="156"/>
      <c r="CY336" s="153"/>
      <c r="CZ336" s="154"/>
      <c r="DA336" s="155"/>
      <c r="DB336" s="154"/>
      <c r="DC336" s="155"/>
      <c r="DD336" s="156"/>
      <c r="DE336" s="153"/>
      <c r="DF336" s="154"/>
      <c r="DG336" s="155"/>
      <c r="DH336" s="154"/>
      <c r="DI336" s="155"/>
      <c r="DJ336" s="156"/>
      <c r="DK336" s="153"/>
      <c r="DL336" s="154"/>
      <c r="DM336" s="155"/>
      <c r="DN336" s="154"/>
      <c r="DO336" s="155"/>
      <c r="DP336" s="156"/>
      <c r="DQ336" s="153"/>
      <c r="DR336" s="154"/>
      <c r="DS336" s="155"/>
      <c r="DT336" s="154"/>
      <c r="DU336" s="155"/>
      <c r="DV336" s="156"/>
      <c r="DW336" s="153"/>
      <c r="DX336" s="154"/>
      <c r="DY336" s="155"/>
      <c r="DZ336" s="154"/>
      <c r="EA336" s="155"/>
      <c r="EB336" s="156"/>
      <c r="EC336" s="153"/>
      <c r="ED336" s="154"/>
      <c r="EE336" s="155"/>
      <c r="EF336" s="154"/>
      <c r="EG336" s="155"/>
      <c r="EH336" s="156"/>
      <c r="EI336" s="153"/>
      <c r="EJ336" s="154"/>
      <c r="EK336" s="155"/>
      <c r="EL336" s="154"/>
      <c r="EM336" s="155"/>
      <c r="EN336" s="156"/>
      <c r="EO336" s="153"/>
      <c r="EP336" s="154"/>
      <c r="EQ336" s="155"/>
      <c r="ER336" s="154"/>
      <c r="ES336" s="155"/>
      <c r="ET336" s="156"/>
      <c r="EU336" s="153"/>
      <c r="EV336" s="154"/>
      <c r="EW336" s="155"/>
      <c r="EX336" s="154"/>
      <c r="EY336" s="155"/>
      <c r="EZ336" s="157"/>
      <c r="FA336" s="153"/>
      <c r="FB336" s="154"/>
      <c r="FC336" s="155"/>
      <c r="FD336" s="154"/>
      <c r="FE336" s="155"/>
      <c r="FF336" s="157"/>
      <c r="FG336" s="153"/>
      <c r="FH336" s="154"/>
      <c r="FI336" s="155"/>
      <c r="FJ336" s="154"/>
      <c r="FK336" s="155"/>
      <c r="FL336" s="157"/>
      <c r="FM336" s="153"/>
      <c r="FN336" s="154"/>
      <c r="FO336" s="155"/>
      <c r="FP336" s="154"/>
      <c r="FQ336" s="155"/>
      <c r="FR336" s="157"/>
      <c r="FS336" s="153"/>
      <c r="FT336" s="154"/>
      <c r="FU336" s="155"/>
      <c r="FV336" s="154"/>
      <c r="FW336" s="155"/>
      <c r="FX336" s="157"/>
      <c r="FY336" s="153"/>
      <c r="FZ336" s="154"/>
      <c r="GA336" s="155"/>
      <c r="GB336" s="154"/>
      <c r="GC336" s="155"/>
      <c r="GD336" s="157"/>
      <c r="GE336" s="153"/>
      <c r="GF336" s="154"/>
      <c r="GG336" s="155"/>
      <c r="GH336" s="154"/>
      <c r="GI336" s="155"/>
      <c r="GJ336" s="157"/>
      <c r="GK336" s="153" t="s">
        <v>17812</v>
      </c>
      <c r="GL336" s="154"/>
      <c r="GM336" s="155"/>
      <c r="GN336" s="154"/>
      <c r="GO336" s="155"/>
      <c r="GP336" s="157"/>
    </row>
    <row r="337" spans="1:198" ht="20.100000000000001" customHeight="1" thickBot="1">
      <c r="A337" s="2771"/>
      <c r="B337" s="2628"/>
      <c r="C337" s="199"/>
      <c r="D337" s="2671" t="str">
        <f>実績!C1461&amp;"("&amp;SUBSTITUTE(実績!R1461&amp;")","株式会社 ","")</f>
        <v>関西マツダ寝屋川(コホーネス)</v>
      </c>
      <c r="E337" s="2672"/>
      <c r="F337" s="2672"/>
      <c r="G337" s="2672"/>
      <c r="H337" s="2672"/>
      <c r="I337" s="2672"/>
      <c r="J337" s="2672"/>
      <c r="K337" s="2672"/>
      <c r="L337" s="2672"/>
      <c r="M337" s="2672"/>
      <c r="N337" s="2672"/>
      <c r="O337" s="2672"/>
      <c r="P337" s="2672"/>
      <c r="Q337" s="2672"/>
      <c r="R337" s="2673"/>
      <c r="S337" s="176"/>
      <c r="T337" s="176"/>
      <c r="U337" s="177"/>
      <c r="V337" s="176"/>
      <c r="W337" s="177"/>
      <c r="X337" s="200"/>
      <c r="Y337" s="176"/>
      <c r="Z337" s="176"/>
      <c r="AA337" s="177"/>
      <c r="AB337" s="176"/>
      <c r="AC337" s="177"/>
      <c r="AD337" s="176"/>
      <c r="AE337" s="175"/>
      <c r="AF337" s="176"/>
      <c r="AG337" s="177"/>
      <c r="AH337" s="176"/>
      <c r="AI337" s="177"/>
      <c r="AJ337" s="200"/>
      <c r="AK337" s="176"/>
      <c r="AL337" s="176"/>
      <c r="AM337" s="177"/>
      <c r="AN337" s="176"/>
      <c r="AO337" s="177"/>
      <c r="AP337" s="176"/>
      <c r="AQ337" s="225"/>
      <c r="AR337" s="176"/>
      <c r="AS337" s="177"/>
      <c r="AT337" s="176"/>
      <c r="AU337" s="177"/>
      <c r="AV337" s="200"/>
      <c r="AW337" s="175"/>
      <c r="AX337" s="176"/>
      <c r="AY337" s="177"/>
      <c r="AZ337" s="176"/>
      <c r="BA337" s="177"/>
      <c r="BB337" s="200"/>
      <c r="BC337" s="176"/>
      <c r="BD337" s="176"/>
      <c r="BE337" s="177"/>
      <c r="BF337" s="176"/>
      <c r="BG337" s="177"/>
      <c r="BH337" s="176"/>
      <c r="BI337" s="175"/>
      <c r="BJ337" s="176"/>
      <c r="BK337" s="177"/>
      <c r="BL337" s="176"/>
      <c r="BM337" s="177"/>
      <c r="BN337" s="200"/>
      <c r="BO337" s="175"/>
      <c r="BP337" s="176"/>
      <c r="BQ337" s="177"/>
      <c r="BR337" s="178"/>
      <c r="BS337" s="177"/>
      <c r="BT337" s="200"/>
      <c r="BU337" s="175"/>
      <c r="BV337" s="176"/>
      <c r="BW337" s="177"/>
      <c r="BX337" s="176"/>
      <c r="BY337" s="177"/>
      <c r="BZ337" s="200"/>
      <c r="CA337" s="175"/>
      <c r="CB337" s="176"/>
      <c r="CC337" s="177"/>
      <c r="CD337" s="176"/>
      <c r="CE337" s="177"/>
      <c r="CF337" s="200"/>
      <c r="CG337" s="175"/>
      <c r="CH337" s="176"/>
      <c r="CI337" s="177"/>
      <c r="CJ337" s="176"/>
      <c r="CK337" s="177"/>
      <c r="CL337" s="200"/>
      <c r="CM337" s="175"/>
      <c r="CN337" s="176"/>
      <c r="CO337" s="177"/>
      <c r="CP337" s="219"/>
      <c r="CQ337" s="177"/>
      <c r="CR337" s="200"/>
      <c r="CS337" s="175"/>
      <c r="CT337" s="176"/>
      <c r="CU337" s="177"/>
      <c r="CV337" s="176"/>
      <c r="CW337" s="177"/>
      <c r="CX337" s="200"/>
      <c r="CY337" s="175"/>
      <c r="CZ337" s="176"/>
      <c r="DA337" s="177"/>
      <c r="DB337" s="176"/>
      <c r="DC337" s="177"/>
      <c r="DD337" s="200"/>
      <c r="DE337" s="175"/>
      <c r="DF337" s="176"/>
      <c r="DG337" s="177"/>
      <c r="DH337" s="176"/>
      <c r="DI337" s="177"/>
      <c r="DJ337" s="200"/>
      <c r="DK337" s="175"/>
      <c r="DL337" s="176"/>
      <c r="DM337" s="177"/>
      <c r="DN337" s="176"/>
      <c r="DO337" s="177"/>
      <c r="DP337" s="200"/>
      <c r="DQ337" s="175"/>
      <c r="DR337" s="176"/>
      <c r="DS337" s="177"/>
      <c r="DT337" s="176"/>
      <c r="DU337" s="177"/>
      <c r="DV337" s="200"/>
      <c r="DW337" s="175"/>
      <c r="DX337" s="176"/>
      <c r="DY337" s="177"/>
      <c r="DZ337" s="176"/>
      <c r="EA337" s="177"/>
      <c r="EB337" s="200"/>
      <c r="EC337" s="175" t="s">
        <v>15687</v>
      </c>
      <c r="ED337" s="176"/>
      <c r="EE337" s="177"/>
      <c r="EF337" s="176"/>
      <c r="EG337" s="177"/>
      <c r="EH337" s="200"/>
      <c r="EI337" s="175"/>
      <c r="EJ337" s="176"/>
      <c r="EK337" s="177"/>
      <c r="EL337" s="176"/>
      <c r="EM337" s="177"/>
      <c r="EN337" s="200"/>
      <c r="EO337" s="175"/>
      <c r="EP337" s="176"/>
      <c r="EQ337" s="177"/>
      <c r="ER337" s="176"/>
      <c r="ES337" s="177"/>
      <c r="ET337" s="200"/>
      <c r="EU337" s="175"/>
      <c r="EV337" s="176"/>
      <c r="EW337" s="177"/>
      <c r="EX337" s="176"/>
      <c r="EY337" s="177"/>
      <c r="EZ337" s="200"/>
      <c r="FA337" s="175"/>
      <c r="FB337" s="176"/>
      <c r="FC337" s="177"/>
      <c r="FD337" s="176"/>
      <c r="FE337" s="177"/>
      <c r="FF337" s="200"/>
      <c r="FG337" s="175"/>
      <c r="FH337" s="176"/>
      <c r="FI337" s="177"/>
      <c r="FJ337" s="176"/>
      <c r="FK337" s="177"/>
      <c r="FL337" s="200"/>
      <c r="FM337" s="175"/>
      <c r="FN337" s="176"/>
      <c r="FO337" s="177"/>
      <c r="FP337" s="176"/>
      <c r="FQ337" s="177"/>
      <c r="FR337" s="200"/>
      <c r="FS337" s="175"/>
      <c r="FT337" s="176"/>
      <c r="FU337" s="177"/>
      <c r="FV337" s="176"/>
      <c r="FW337" s="177"/>
      <c r="FX337" s="200"/>
      <c r="FY337" s="175"/>
      <c r="FZ337" s="176"/>
      <c r="GA337" s="177"/>
      <c r="GB337" s="176"/>
      <c r="GC337" s="177"/>
      <c r="GD337" s="200"/>
      <c r="GE337" s="175"/>
      <c r="GF337" s="176"/>
      <c r="GG337" s="177"/>
      <c r="GH337" s="176"/>
      <c r="GI337" s="177"/>
      <c r="GJ337" s="200"/>
      <c r="GK337" s="175"/>
      <c r="GL337" s="176"/>
      <c r="GM337" s="177"/>
      <c r="GN337" s="176"/>
      <c r="GO337" s="177"/>
      <c r="GP337" s="200"/>
    </row>
    <row r="338" spans="1:198" ht="20.100000000000001" customHeight="1" thickBot="1">
      <c r="A338" s="2771"/>
      <c r="B338" s="2766" t="s">
        <v>15081</v>
      </c>
      <c r="C338" s="168"/>
      <c r="D338" s="2608" t="str">
        <f>実績!C1463&amp;"("&amp;SUBSTITUTE(実績!R1463&amp;")","株式会社 ","")</f>
        <v>イオンスタイル南栗橋(シーク設計)</v>
      </c>
      <c r="E338" s="2609"/>
      <c r="F338" s="2609"/>
      <c r="G338" s="2609"/>
      <c r="H338" s="2609"/>
      <c r="I338" s="2609"/>
      <c r="J338" s="2609"/>
      <c r="K338" s="2609"/>
      <c r="L338" s="2609"/>
      <c r="M338" s="2609"/>
      <c r="N338" s="2609"/>
      <c r="O338" s="2609"/>
      <c r="P338" s="2609"/>
      <c r="Q338" s="2609"/>
      <c r="R338" s="2610"/>
      <c r="S338" s="26"/>
      <c r="T338" s="26"/>
      <c r="U338" s="54"/>
      <c r="V338" s="26"/>
      <c r="W338" s="54"/>
      <c r="X338" s="55"/>
      <c r="Y338" s="26"/>
      <c r="Z338" s="26"/>
      <c r="AA338" s="54"/>
      <c r="AB338" s="26"/>
      <c r="AC338" s="54"/>
      <c r="AD338" s="26"/>
      <c r="AE338" s="56"/>
      <c r="AF338" s="26"/>
      <c r="AG338" s="54"/>
      <c r="AH338" s="26"/>
      <c r="AI338" s="54"/>
      <c r="AJ338" s="55"/>
      <c r="AK338" s="26"/>
      <c r="AL338" s="26"/>
      <c r="AM338" s="54"/>
      <c r="AN338" s="26"/>
      <c r="AO338" s="54"/>
      <c r="AP338" s="26"/>
      <c r="AQ338" s="53"/>
      <c r="AR338" s="26"/>
      <c r="AS338" s="54"/>
      <c r="AT338" s="26"/>
      <c r="AU338" s="54"/>
      <c r="AV338" s="55"/>
      <c r="AW338" s="56"/>
      <c r="AX338" s="26"/>
      <c r="AY338" s="54"/>
      <c r="AZ338" s="26"/>
      <c r="BA338" s="54"/>
      <c r="BB338" s="55"/>
      <c r="BC338" s="26"/>
      <c r="BD338" s="26"/>
      <c r="BE338" s="54"/>
      <c r="BF338" s="26"/>
      <c r="BG338" s="54"/>
      <c r="BH338" s="26"/>
      <c r="BI338" s="56"/>
      <c r="BJ338" s="26"/>
      <c r="BK338" s="54"/>
      <c r="BL338" s="26"/>
      <c r="BM338" s="54"/>
      <c r="BN338" s="55"/>
      <c r="BO338" s="56"/>
      <c r="BP338" s="26"/>
      <c r="BQ338" s="54"/>
      <c r="BR338" s="70"/>
      <c r="BS338" s="54"/>
      <c r="BT338" s="55"/>
      <c r="BU338" s="56"/>
      <c r="BV338" s="26"/>
      <c r="BW338" s="54"/>
      <c r="BX338" s="26"/>
      <c r="BY338" s="54"/>
      <c r="BZ338" s="55"/>
      <c r="CA338" s="56"/>
      <c r="CB338" s="26"/>
      <c r="CC338" s="54"/>
      <c r="CD338" s="26"/>
      <c r="CE338" s="54"/>
      <c r="CF338" s="55"/>
      <c r="CG338" s="56"/>
      <c r="CH338" s="26"/>
      <c r="CI338" s="54"/>
      <c r="CJ338" s="26"/>
      <c r="CK338" s="54"/>
      <c r="CL338" s="55"/>
      <c r="CM338" s="56"/>
      <c r="CN338" s="26"/>
      <c r="CO338" s="54"/>
      <c r="CP338" s="118"/>
      <c r="CQ338" s="54"/>
      <c r="CR338" s="55"/>
      <c r="CS338" s="56"/>
      <c r="CT338" s="26"/>
      <c r="CU338" s="54"/>
      <c r="CV338" s="26"/>
      <c r="CW338" s="54"/>
      <c r="CX338" s="55"/>
      <c r="CY338" s="56"/>
      <c r="CZ338" s="26"/>
      <c r="DA338" s="54"/>
      <c r="DB338" s="26"/>
      <c r="DC338" s="54"/>
      <c r="DD338" s="55"/>
      <c r="DE338" s="56"/>
      <c r="DF338" s="26"/>
      <c r="DG338" s="54"/>
      <c r="DH338" s="26"/>
      <c r="DI338" s="54"/>
      <c r="DJ338" s="55"/>
      <c r="DK338" s="56"/>
      <c r="DL338" s="26"/>
      <c r="DM338" s="54"/>
      <c r="DN338" s="26"/>
      <c r="DO338" s="54"/>
      <c r="DP338" s="55"/>
      <c r="DQ338" s="56"/>
      <c r="DR338" s="26"/>
      <c r="DS338" s="54"/>
      <c r="DT338" s="26"/>
      <c r="DU338" s="54"/>
      <c r="DV338" s="55"/>
      <c r="DW338" s="56"/>
      <c r="DX338" s="26"/>
      <c r="DY338" s="54"/>
      <c r="DZ338" s="26"/>
      <c r="EA338" s="54"/>
      <c r="EB338" s="55"/>
      <c r="EC338" s="56"/>
      <c r="ED338" s="26"/>
      <c r="EE338" s="54"/>
      <c r="EF338" s="26"/>
      <c r="EG338" s="54"/>
      <c r="EH338" s="55"/>
      <c r="EI338" s="158"/>
      <c r="EJ338" s="159"/>
      <c r="EK338" s="160"/>
      <c r="EL338" s="159"/>
      <c r="EM338" s="160"/>
      <c r="EN338" s="161"/>
      <c r="EO338" s="158"/>
      <c r="EP338" s="159"/>
      <c r="EQ338" s="160"/>
      <c r="ER338" s="159"/>
      <c r="ES338" s="160"/>
      <c r="ET338" s="161"/>
      <c r="EU338" s="158"/>
      <c r="EV338" s="159"/>
      <c r="EW338" s="160"/>
      <c r="EX338" s="159"/>
      <c r="EY338" s="160"/>
      <c r="EZ338" s="161"/>
      <c r="FA338" s="158"/>
      <c r="FB338" s="159"/>
      <c r="FC338" s="1897"/>
      <c r="FD338" s="159"/>
      <c r="FE338" s="160"/>
      <c r="FF338" s="162"/>
      <c r="FG338" s="158"/>
      <c r="FH338" s="159"/>
      <c r="FI338" s="160" t="s">
        <v>17978</v>
      </c>
      <c r="FJ338" s="159"/>
      <c r="FK338" s="160"/>
      <c r="FL338" s="161"/>
      <c r="FM338" s="158"/>
      <c r="FN338" s="159"/>
      <c r="FO338" s="160"/>
      <c r="FP338" s="159"/>
      <c r="FQ338" s="160"/>
      <c r="FR338" s="161"/>
      <c r="FS338" s="158"/>
      <c r="FT338" s="159"/>
      <c r="FU338" s="160"/>
      <c r="FV338" s="159"/>
      <c r="FW338" s="160"/>
      <c r="FX338" s="162"/>
      <c r="FY338" s="158"/>
      <c r="FZ338" s="159"/>
      <c r="GA338" s="160"/>
      <c r="GB338" s="159"/>
      <c r="GC338" s="160"/>
      <c r="GD338" s="162"/>
      <c r="GE338" s="158"/>
      <c r="GF338" s="159"/>
      <c r="GG338" s="160"/>
      <c r="GH338" s="159"/>
      <c r="GI338" s="160"/>
      <c r="GJ338" s="162"/>
      <c r="GK338" s="158"/>
      <c r="GL338" s="159"/>
      <c r="GM338" s="160"/>
      <c r="GN338" s="159"/>
      <c r="GO338" s="160"/>
      <c r="GP338" s="162"/>
    </row>
    <row r="339" spans="1:198" ht="20.100000000000001" customHeight="1" thickBot="1">
      <c r="A339" s="2771"/>
      <c r="B339" s="2767"/>
      <c r="C339" s="168"/>
      <c r="D339" s="2608" t="str">
        <f>実績!C1464&amp;"("&amp;SUBSTITUTE(実績!R1464&amp;")","株式会社 ","")</f>
        <v>コメリPW函館西桔梗(T&amp;N北海道設計事務所)</v>
      </c>
      <c r="E339" s="2609"/>
      <c r="F339" s="2609"/>
      <c r="G339" s="2609"/>
      <c r="H339" s="2609"/>
      <c r="I339" s="2609"/>
      <c r="J339" s="2609"/>
      <c r="K339" s="2609"/>
      <c r="L339" s="2609"/>
      <c r="M339" s="2609"/>
      <c r="N339" s="2609"/>
      <c r="O339" s="2609"/>
      <c r="P339" s="2609"/>
      <c r="Q339" s="2609"/>
      <c r="R339" s="2610"/>
      <c r="S339" s="26"/>
      <c r="T339" s="26"/>
      <c r="U339" s="54"/>
      <c r="V339" s="26"/>
      <c r="W339" s="54"/>
      <c r="X339" s="55"/>
      <c r="Y339" s="26"/>
      <c r="Z339" s="26"/>
      <c r="AA339" s="54"/>
      <c r="AB339" s="26"/>
      <c r="AC339" s="54"/>
      <c r="AD339" s="26"/>
      <c r="AE339" s="56"/>
      <c r="AF339" s="26"/>
      <c r="AG339" s="54"/>
      <c r="AH339" s="26"/>
      <c r="AI339" s="54"/>
      <c r="AJ339" s="55"/>
      <c r="AK339" s="26"/>
      <c r="AL339" s="26"/>
      <c r="AM339" s="54"/>
      <c r="AN339" s="26"/>
      <c r="AO339" s="54"/>
      <c r="AP339" s="26"/>
      <c r="AQ339" s="53"/>
      <c r="AR339" s="26"/>
      <c r="AS339" s="54"/>
      <c r="AT339" s="26"/>
      <c r="AU339" s="54"/>
      <c r="AV339" s="55"/>
      <c r="AW339" s="56"/>
      <c r="AX339" s="26"/>
      <c r="AY339" s="54"/>
      <c r="AZ339" s="26"/>
      <c r="BA339" s="54"/>
      <c r="BB339" s="55"/>
      <c r="BC339" s="26"/>
      <c r="BD339" s="26"/>
      <c r="BE339" s="54"/>
      <c r="BF339" s="26"/>
      <c r="BG339" s="54"/>
      <c r="BH339" s="26"/>
      <c r="BI339" s="56"/>
      <c r="BJ339" s="26"/>
      <c r="BK339" s="54"/>
      <c r="BL339" s="26"/>
      <c r="BM339" s="54"/>
      <c r="BN339" s="55"/>
      <c r="BO339" s="56"/>
      <c r="BP339" s="26"/>
      <c r="BQ339" s="54"/>
      <c r="BR339" s="70"/>
      <c r="BS339" s="54"/>
      <c r="BT339" s="55"/>
      <c r="BU339" s="56"/>
      <c r="BV339" s="26"/>
      <c r="BW339" s="54"/>
      <c r="BX339" s="26"/>
      <c r="BY339" s="54"/>
      <c r="BZ339" s="55"/>
      <c r="CA339" s="56"/>
      <c r="CB339" s="26"/>
      <c r="CC339" s="54"/>
      <c r="CD339" s="26"/>
      <c r="CE339" s="54"/>
      <c r="CF339" s="55"/>
      <c r="CG339" s="56"/>
      <c r="CH339" s="26"/>
      <c r="CI339" s="54"/>
      <c r="CJ339" s="26"/>
      <c r="CK339" s="54"/>
      <c r="CL339" s="55"/>
      <c r="CM339" s="56"/>
      <c r="CN339" s="26"/>
      <c r="CO339" s="54"/>
      <c r="CP339" s="118"/>
      <c r="CQ339" s="54"/>
      <c r="CR339" s="55"/>
      <c r="CS339" s="56"/>
      <c r="CT339" s="26"/>
      <c r="CU339" s="54"/>
      <c r="CV339" s="26"/>
      <c r="CW339" s="54"/>
      <c r="CX339" s="55"/>
      <c r="CY339" s="56"/>
      <c r="CZ339" s="26"/>
      <c r="DA339" s="54"/>
      <c r="DB339" s="26"/>
      <c r="DC339" s="54"/>
      <c r="DD339" s="55"/>
      <c r="DE339" s="56"/>
      <c r="DF339" s="26"/>
      <c r="DG339" s="54"/>
      <c r="DH339" s="26"/>
      <c r="DI339" s="54"/>
      <c r="DJ339" s="55"/>
      <c r="DK339" s="56"/>
      <c r="DL339" s="26"/>
      <c r="DM339" s="54"/>
      <c r="DN339" s="26"/>
      <c r="DO339" s="54"/>
      <c r="DP339" s="55"/>
      <c r="DQ339" s="56"/>
      <c r="DR339" s="26"/>
      <c r="DS339" s="54"/>
      <c r="DT339" s="26"/>
      <c r="DU339" s="54"/>
      <c r="DV339" s="55"/>
      <c r="DW339" s="56"/>
      <c r="DX339" s="26"/>
      <c r="DY339" s="54"/>
      <c r="DZ339" s="26"/>
      <c r="EA339" s="54"/>
      <c r="EB339" s="55"/>
      <c r="EC339" s="56"/>
      <c r="ED339" s="26"/>
      <c r="EE339" s="54"/>
      <c r="EF339" s="26"/>
      <c r="EG339" s="54"/>
      <c r="EH339" s="55"/>
      <c r="EI339" s="158"/>
      <c r="EJ339" s="159"/>
      <c r="EK339" s="160"/>
      <c r="EL339" s="159"/>
      <c r="EM339" s="160"/>
      <c r="EN339" s="161"/>
      <c r="EO339" s="158"/>
      <c r="EP339" s="159"/>
      <c r="EQ339" s="160"/>
      <c r="ER339" s="159"/>
      <c r="ES339" s="160"/>
      <c r="ET339" s="161"/>
      <c r="EU339" s="158"/>
      <c r="EV339" s="159"/>
      <c r="EW339" s="160"/>
      <c r="EX339" s="159"/>
      <c r="EY339" s="160"/>
      <c r="EZ339" s="161"/>
      <c r="FA339" s="158"/>
      <c r="FB339" s="159"/>
      <c r="FC339" s="1897"/>
      <c r="FD339" s="159"/>
      <c r="FE339" s="160"/>
      <c r="FF339" s="162"/>
      <c r="FG339" s="158"/>
      <c r="FH339" s="159"/>
      <c r="FI339" s="160"/>
      <c r="FJ339" s="159" t="s">
        <v>18024</v>
      </c>
      <c r="FK339" s="160"/>
      <c r="FL339" s="161"/>
      <c r="FM339" s="158"/>
      <c r="FN339" s="159"/>
      <c r="FO339" s="160"/>
      <c r="FP339" s="159"/>
      <c r="FQ339" s="160"/>
      <c r="FR339" s="161"/>
      <c r="FS339" s="158"/>
      <c r="FT339" s="159"/>
      <c r="FU339" s="160"/>
      <c r="FV339" s="159"/>
      <c r="FW339" s="160"/>
      <c r="FX339" s="162"/>
      <c r="FY339" s="158"/>
      <c r="FZ339" s="159"/>
      <c r="GA339" s="160"/>
      <c r="GB339" s="159"/>
      <c r="GC339" s="160"/>
      <c r="GD339" s="162"/>
      <c r="GE339" s="158"/>
      <c r="GF339" s="159"/>
      <c r="GG339" s="160"/>
      <c r="GH339" s="159"/>
      <c r="GI339" s="160"/>
      <c r="GJ339" s="162"/>
      <c r="GK339" s="158"/>
      <c r="GL339" s="159"/>
      <c r="GM339" s="160"/>
      <c r="GN339" s="159"/>
      <c r="GO339" s="160"/>
      <c r="GP339" s="162"/>
    </row>
    <row r="340" spans="1:198" ht="20.100000000000001" customHeight="1" thickBot="1">
      <c r="A340" s="2771"/>
      <c r="B340" s="2767"/>
      <c r="C340" s="168"/>
      <c r="D340" s="2608" t="str">
        <f>実績!C1465&amp;"("&amp;SUBSTITUTE(実績!R1465&amp;")","株式会社 ","")</f>
        <v>タルイシ機工株式会社様社屋(建築企画)</v>
      </c>
      <c r="E340" s="2609"/>
      <c r="F340" s="2609"/>
      <c r="G340" s="2609"/>
      <c r="H340" s="2609"/>
      <c r="I340" s="2609"/>
      <c r="J340" s="2609"/>
      <c r="K340" s="2609"/>
      <c r="L340" s="2609"/>
      <c r="M340" s="2609"/>
      <c r="N340" s="2609"/>
      <c r="O340" s="2609"/>
      <c r="P340" s="2609"/>
      <c r="Q340" s="2609"/>
      <c r="R340" s="2610"/>
      <c r="S340" s="159"/>
      <c r="T340" s="159"/>
      <c r="U340" s="159"/>
      <c r="V340" s="159"/>
      <c r="W340" s="159"/>
      <c r="X340" s="159"/>
      <c r="Y340" s="159"/>
      <c r="Z340" s="159"/>
      <c r="AA340" s="159"/>
      <c r="AB340" s="159"/>
      <c r="AC340" s="159"/>
      <c r="AD340" s="159"/>
      <c r="AE340" s="159"/>
      <c r="AF340" s="159"/>
      <c r="AG340" s="159"/>
      <c r="AH340" s="159"/>
      <c r="AI340" s="159"/>
      <c r="AJ340" s="159"/>
      <c r="AK340" s="159"/>
      <c r="AL340" s="159"/>
      <c r="AM340" s="159"/>
      <c r="AN340" s="159"/>
      <c r="AO340" s="159"/>
      <c r="AP340" s="159"/>
      <c r="AQ340" s="159"/>
      <c r="AR340" s="159"/>
      <c r="AS340" s="159"/>
      <c r="AT340" s="159"/>
      <c r="AU340" s="159"/>
      <c r="AV340" s="159"/>
      <c r="AW340" s="159"/>
      <c r="AX340" s="159"/>
      <c r="AY340" s="159"/>
      <c r="AZ340" s="159"/>
      <c r="BA340" s="159"/>
      <c r="BB340" s="159"/>
      <c r="BC340" s="159"/>
      <c r="BD340" s="159"/>
      <c r="BE340" s="159"/>
      <c r="BF340" s="159"/>
      <c r="BG340" s="159"/>
      <c r="BH340" s="159"/>
      <c r="BI340" s="159"/>
      <c r="BJ340" s="159"/>
      <c r="BK340" s="159"/>
      <c r="BL340" s="159"/>
      <c r="BM340" s="159"/>
      <c r="BN340" s="159"/>
      <c r="BO340" s="159"/>
      <c r="BP340" s="159"/>
      <c r="BQ340" s="159"/>
      <c r="BR340" s="159"/>
      <c r="BS340" s="159"/>
      <c r="BT340" s="159"/>
      <c r="BU340" s="159"/>
      <c r="BV340" s="159"/>
      <c r="BW340" s="159"/>
      <c r="BX340" s="159"/>
      <c r="BY340" s="159"/>
      <c r="BZ340" s="159"/>
      <c r="CA340" s="159"/>
      <c r="CB340" s="159"/>
      <c r="CC340" s="159"/>
      <c r="CD340" s="159"/>
      <c r="CE340" s="159"/>
      <c r="CF340" s="159"/>
      <c r="CG340" s="159"/>
      <c r="CH340" s="159"/>
      <c r="CI340" s="159"/>
      <c r="CJ340" s="159"/>
      <c r="CK340" s="159"/>
      <c r="CL340" s="159"/>
      <c r="CM340" s="159"/>
      <c r="CN340" s="159"/>
      <c r="CO340" s="159"/>
      <c r="CP340" s="198"/>
      <c r="CQ340" s="159"/>
      <c r="CR340" s="159"/>
      <c r="CS340" s="159"/>
      <c r="CT340" s="159"/>
      <c r="CU340" s="159"/>
      <c r="CV340" s="159"/>
      <c r="CW340" s="159"/>
      <c r="CX340" s="159"/>
      <c r="CY340" s="158"/>
      <c r="CZ340" s="159"/>
      <c r="DA340" s="160"/>
      <c r="DB340" s="159"/>
      <c r="DC340" s="160"/>
      <c r="DD340" s="161"/>
      <c r="DE340" s="158"/>
      <c r="DF340" s="159"/>
      <c r="DG340" s="160"/>
      <c r="DH340" s="159"/>
      <c r="DI340" s="160"/>
      <c r="DJ340" s="162"/>
      <c r="DK340" s="158"/>
      <c r="DL340" s="159"/>
      <c r="DM340" s="160"/>
      <c r="DN340" s="159"/>
      <c r="DO340" s="160"/>
      <c r="DP340" s="161"/>
      <c r="DQ340" s="158"/>
      <c r="DR340" s="159"/>
      <c r="DS340" s="160"/>
      <c r="DT340" s="159"/>
      <c r="DU340" s="160"/>
      <c r="DV340" s="162"/>
      <c r="DW340" s="158"/>
      <c r="DX340" s="159"/>
      <c r="DY340" s="160"/>
      <c r="DZ340" s="159"/>
      <c r="EA340" s="160"/>
      <c r="EB340" s="162"/>
      <c r="EC340" s="158"/>
      <c r="ED340" s="159"/>
      <c r="EE340" s="160"/>
      <c r="EF340" s="159"/>
      <c r="EG340" s="160"/>
      <c r="EH340" s="162"/>
      <c r="EI340" s="158"/>
      <c r="EJ340" s="159"/>
      <c r="EK340" s="160"/>
      <c r="EL340" s="159"/>
      <c r="EM340" s="160"/>
      <c r="EN340" s="162"/>
      <c r="EO340" s="158"/>
      <c r="EP340" s="159"/>
      <c r="EQ340" s="160"/>
      <c r="ER340" s="159"/>
      <c r="ES340" s="160"/>
      <c r="ET340" s="161"/>
      <c r="EU340" s="158"/>
      <c r="EV340" s="159"/>
      <c r="EW340" s="160"/>
      <c r="EX340" s="159"/>
      <c r="EY340" s="160"/>
      <c r="EZ340" s="162"/>
      <c r="FA340" s="158"/>
      <c r="FB340" s="159"/>
      <c r="FC340" s="160"/>
      <c r="FD340" s="159"/>
      <c r="FE340" s="160"/>
      <c r="FF340" s="162"/>
      <c r="FG340" s="158"/>
      <c r="FH340" s="159"/>
      <c r="FI340" s="160"/>
      <c r="FJ340" s="159" t="s">
        <v>17779</v>
      </c>
      <c r="FK340" s="160"/>
      <c r="FL340" s="162"/>
      <c r="FM340" s="158"/>
      <c r="FN340" s="159"/>
      <c r="FO340" s="160"/>
      <c r="FP340" s="159"/>
      <c r="FQ340" s="160"/>
      <c r="FR340" s="162"/>
      <c r="FS340" s="158"/>
      <c r="FT340" s="159"/>
      <c r="FU340" s="160"/>
      <c r="FV340" s="159"/>
      <c r="FW340" s="160"/>
      <c r="FX340" s="162"/>
      <c r="FY340" s="158" t="s">
        <v>17780</v>
      </c>
      <c r="FZ340" s="159"/>
      <c r="GA340" s="160"/>
      <c r="GB340" s="159"/>
      <c r="GC340" s="160"/>
      <c r="GD340" s="162"/>
      <c r="GE340" s="158"/>
      <c r="GF340" s="159"/>
      <c r="GG340" s="160"/>
      <c r="GH340" s="159"/>
      <c r="GI340" s="160"/>
      <c r="GJ340" s="162"/>
      <c r="GK340" s="158"/>
      <c r="GL340" s="159"/>
      <c r="GM340" s="160"/>
      <c r="GN340" s="159"/>
      <c r="GO340" s="160"/>
      <c r="GP340" s="162"/>
    </row>
    <row r="341" spans="1:198" ht="20.100000000000001" customHeight="1" thickBot="1">
      <c r="A341" s="2771"/>
      <c r="B341" s="2767"/>
      <c r="C341" s="1934"/>
      <c r="D341" s="2736" t="str">
        <f>実績!C1466&amp;"("&amp;SUBSTITUTE(実績!R1466&amp;")"," 株式会社","")</f>
        <v>アラヤ久留米工場(アイサワ工業)</v>
      </c>
      <c r="E341" s="2737"/>
      <c r="F341" s="2737"/>
      <c r="G341" s="2737"/>
      <c r="H341" s="2737"/>
      <c r="I341" s="2737"/>
      <c r="J341" s="2737"/>
      <c r="K341" s="2737"/>
      <c r="L341" s="2737"/>
      <c r="M341" s="2737"/>
      <c r="N341" s="2737"/>
      <c r="O341" s="2737"/>
      <c r="P341" s="2737"/>
      <c r="Q341" s="2737"/>
      <c r="R341" s="2738"/>
      <c r="S341" s="1910"/>
      <c r="T341" s="1910"/>
      <c r="U341" s="1910"/>
      <c r="V341" s="1910"/>
      <c r="W341" s="1910"/>
      <c r="X341" s="1910"/>
      <c r="Y341" s="1910"/>
      <c r="Z341" s="1910"/>
      <c r="AA341" s="1910"/>
      <c r="AB341" s="1910"/>
      <c r="AC341" s="1910"/>
      <c r="AD341" s="1910"/>
      <c r="AE341" s="1910"/>
      <c r="AF341" s="1910"/>
      <c r="AG341" s="1910"/>
      <c r="AH341" s="1910"/>
      <c r="AI341" s="1910"/>
      <c r="AJ341" s="1910"/>
      <c r="AK341" s="1910"/>
      <c r="AL341" s="1910"/>
      <c r="AM341" s="1910"/>
      <c r="AN341" s="1910"/>
      <c r="AO341" s="1910"/>
      <c r="AP341" s="1910"/>
      <c r="AQ341" s="1910"/>
      <c r="AR341" s="1910"/>
      <c r="AS341" s="1910"/>
      <c r="AT341" s="1910"/>
      <c r="AU341" s="1910"/>
      <c r="AV341" s="1910"/>
      <c r="AW341" s="1910"/>
      <c r="AX341" s="1910"/>
      <c r="AY341" s="1910"/>
      <c r="AZ341" s="1910"/>
      <c r="BA341" s="1910"/>
      <c r="BB341" s="1910"/>
      <c r="BC341" s="1910"/>
      <c r="BD341" s="1910"/>
      <c r="BE341" s="1910"/>
      <c r="BF341" s="1910"/>
      <c r="BG341" s="1910"/>
      <c r="BH341" s="1910"/>
      <c r="BI341" s="1910"/>
      <c r="BJ341" s="1910"/>
      <c r="BK341" s="1910"/>
      <c r="BL341" s="1910"/>
      <c r="BM341" s="1910"/>
      <c r="BN341" s="1910"/>
      <c r="BO341" s="1910"/>
      <c r="BP341" s="1910"/>
      <c r="BQ341" s="1910"/>
      <c r="BR341" s="1910"/>
      <c r="BS341" s="1910"/>
      <c r="BT341" s="1910"/>
      <c r="BU341" s="1910"/>
      <c r="BV341" s="1910"/>
      <c r="BW341" s="1910"/>
      <c r="BX341" s="1910"/>
      <c r="BY341" s="1910"/>
      <c r="BZ341" s="1910"/>
      <c r="CA341" s="1910"/>
      <c r="CB341" s="1910"/>
      <c r="CC341" s="1910"/>
      <c r="CD341" s="1910"/>
      <c r="CE341" s="1910"/>
      <c r="CF341" s="1910"/>
      <c r="CG341" s="1910"/>
      <c r="CH341" s="1910"/>
      <c r="CI341" s="1910"/>
      <c r="CJ341" s="1910"/>
      <c r="CK341" s="1910"/>
      <c r="CL341" s="1910"/>
      <c r="CM341" s="1910"/>
      <c r="CN341" s="1910"/>
      <c r="CO341" s="1910"/>
      <c r="CP341" s="1948"/>
      <c r="CQ341" s="1910"/>
      <c r="CR341" s="1910"/>
      <c r="CS341" s="1910"/>
      <c r="CT341" s="1910"/>
      <c r="CU341" s="1910"/>
      <c r="CV341" s="1910"/>
      <c r="CW341" s="1910"/>
      <c r="CX341" s="1910"/>
      <c r="CY341" s="1911"/>
      <c r="CZ341" s="1910"/>
      <c r="DA341" s="1912"/>
      <c r="DB341" s="1910"/>
      <c r="DC341" s="1912"/>
      <c r="DD341" s="1913"/>
      <c r="DE341" s="1911"/>
      <c r="DF341" s="1910"/>
      <c r="DG341" s="1912"/>
      <c r="DH341" s="1910"/>
      <c r="DI341" s="1912"/>
      <c r="DJ341" s="1914"/>
      <c r="DK341" s="1911"/>
      <c r="DL341" s="1910"/>
      <c r="DM341" s="1912"/>
      <c r="DN341" s="1910"/>
      <c r="DO341" s="1912"/>
      <c r="DP341" s="1913"/>
      <c r="DQ341" s="1911"/>
      <c r="DR341" s="1910"/>
      <c r="DS341" s="1912"/>
      <c r="DT341" s="1910"/>
      <c r="DU341" s="1912"/>
      <c r="DV341" s="1914"/>
      <c r="DW341" s="1911"/>
      <c r="DX341" s="1910"/>
      <c r="DY341" s="1912"/>
      <c r="DZ341" s="1910"/>
      <c r="EA341" s="1912"/>
      <c r="EB341" s="1914"/>
      <c r="EC341" s="1911"/>
      <c r="ED341" s="1910"/>
      <c r="EE341" s="1912"/>
      <c r="EF341" s="1910"/>
      <c r="EG341" s="1912"/>
      <c r="EH341" s="1914"/>
      <c r="EI341" s="1911"/>
      <c r="EJ341" s="1910"/>
      <c r="EK341" s="1912"/>
      <c r="EL341" s="1910"/>
      <c r="EM341" s="1912"/>
      <c r="EN341" s="1914"/>
      <c r="EO341" s="1911"/>
      <c r="EP341" s="1910"/>
      <c r="EQ341" s="1912"/>
      <c r="ER341" s="1910"/>
      <c r="ES341" s="1912"/>
      <c r="ET341" s="1913"/>
      <c r="EU341" s="1911"/>
      <c r="EV341" s="1910"/>
      <c r="EW341" s="1912"/>
      <c r="EX341" s="1910"/>
      <c r="EY341" s="1912"/>
      <c r="EZ341" s="1914"/>
      <c r="FA341" s="1911"/>
      <c r="FB341" s="1910"/>
      <c r="FC341" s="1912"/>
      <c r="FD341" s="1910"/>
      <c r="FE341" s="1912"/>
      <c r="FF341" s="1914"/>
      <c r="FG341" s="1911"/>
      <c r="FH341" s="1910"/>
      <c r="FI341" s="1912"/>
      <c r="FJ341" s="1910"/>
      <c r="FK341" s="1912"/>
      <c r="FL341" s="1914"/>
      <c r="FM341" s="1911"/>
      <c r="FN341" s="1910"/>
      <c r="FO341" s="1912" t="s">
        <v>9815</v>
      </c>
      <c r="FP341" s="1910"/>
      <c r="FQ341" s="1912"/>
      <c r="FR341" s="1914"/>
      <c r="FS341" s="1911"/>
      <c r="FT341" s="1910"/>
      <c r="FU341" s="1912"/>
      <c r="FV341" s="1910"/>
      <c r="FW341" s="1912"/>
      <c r="FX341" s="1914"/>
      <c r="FY341" s="1911"/>
      <c r="FZ341" s="1910" t="s">
        <v>17884</v>
      </c>
      <c r="GA341" s="1912"/>
      <c r="GB341" s="1910"/>
      <c r="GC341" s="1912"/>
      <c r="GD341" s="1914"/>
      <c r="GE341" s="1911"/>
      <c r="GF341" s="1910"/>
      <c r="GG341" s="1912"/>
      <c r="GH341" s="1910"/>
      <c r="GI341" s="1912"/>
      <c r="GJ341" s="1914"/>
      <c r="GK341" s="1911" t="s">
        <v>17969</v>
      </c>
      <c r="GL341" s="1910"/>
      <c r="GM341" s="1912"/>
      <c r="GN341" s="1910"/>
      <c r="GO341" s="1912"/>
      <c r="GP341" s="1914"/>
    </row>
    <row r="342" spans="1:198" ht="20.100000000000001" customHeight="1" thickBot="1">
      <c r="A342" s="2771"/>
      <c r="B342" s="2767"/>
      <c r="C342" s="168"/>
      <c r="D342" s="2608" t="str">
        <f>実績!C1467&amp;"("&amp;SUBSTITUTE(実績!R1467&amp;")","株式会社 ","")</f>
        <v>熊本トヨペット(太宏設計事務所)</v>
      </c>
      <c r="E342" s="2609"/>
      <c r="F342" s="2609"/>
      <c r="G342" s="2609"/>
      <c r="H342" s="2609"/>
      <c r="I342" s="2609"/>
      <c r="J342" s="2609"/>
      <c r="K342" s="2609"/>
      <c r="L342" s="2609"/>
      <c r="M342" s="2609"/>
      <c r="N342" s="2609"/>
      <c r="O342" s="2609"/>
      <c r="P342" s="2609"/>
      <c r="Q342" s="2609"/>
      <c r="R342" s="2610"/>
      <c r="S342" s="159"/>
      <c r="T342" s="159"/>
      <c r="U342" s="159"/>
      <c r="V342" s="159"/>
      <c r="W342" s="159"/>
      <c r="X342" s="159"/>
      <c r="Y342" s="159"/>
      <c r="Z342" s="159"/>
      <c r="AA342" s="159"/>
      <c r="AB342" s="159"/>
      <c r="AC342" s="159"/>
      <c r="AD342" s="159"/>
      <c r="AE342" s="159"/>
      <c r="AF342" s="159"/>
      <c r="AG342" s="159"/>
      <c r="AH342" s="159"/>
      <c r="AI342" s="159"/>
      <c r="AJ342" s="159"/>
      <c r="AK342" s="159"/>
      <c r="AL342" s="159"/>
      <c r="AM342" s="159"/>
      <c r="AN342" s="159"/>
      <c r="AO342" s="159"/>
      <c r="AP342" s="159"/>
      <c r="AQ342" s="159"/>
      <c r="AR342" s="159"/>
      <c r="AS342" s="159"/>
      <c r="AT342" s="159"/>
      <c r="AU342" s="159"/>
      <c r="AV342" s="159"/>
      <c r="AW342" s="159"/>
      <c r="AX342" s="159"/>
      <c r="AY342" s="159"/>
      <c r="AZ342" s="159"/>
      <c r="BA342" s="159"/>
      <c r="BB342" s="159"/>
      <c r="BC342" s="159"/>
      <c r="BD342" s="159"/>
      <c r="BE342" s="159"/>
      <c r="BF342" s="159"/>
      <c r="BG342" s="159"/>
      <c r="BH342" s="159"/>
      <c r="BI342" s="159"/>
      <c r="BJ342" s="159"/>
      <c r="BK342" s="159"/>
      <c r="BL342" s="159"/>
      <c r="BM342" s="159"/>
      <c r="BN342" s="159"/>
      <c r="BO342" s="159"/>
      <c r="BP342" s="159"/>
      <c r="BQ342" s="159"/>
      <c r="BR342" s="159"/>
      <c r="BS342" s="159"/>
      <c r="BT342" s="159"/>
      <c r="BU342" s="159"/>
      <c r="BV342" s="159"/>
      <c r="BW342" s="159"/>
      <c r="BX342" s="159"/>
      <c r="BY342" s="159"/>
      <c r="BZ342" s="159"/>
      <c r="CA342" s="159"/>
      <c r="CB342" s="159"/>
      <c r="CC342" s="159"/>
      <c r="CD342" s="159"/>
      <c r="CE342" s="159"/>
      <c r="CF342" s="159"/>
      <c r="CG342" s="159"/>
      <c r="CH342" s="159"/>
      <c r="CI342" s="159"/>
      <c r="CJ342" s="159"/>
      <c r="CK342" s="159"/>
      <c r="CL342" s="159"/>
      <c r="CM342" s="159"/>
      <c r="CN342" s="159"/>
      <c r="CO342" s="159"/>
      <c r="CP342" s="198"/>
      <c r="CQ342" s="159"/>
      <c r="CR342" s="159"/>
      <c r="CS342" s="159"/>
      <c r="CT342" s="159"/>
      <c r="CU342" s="159"/>
      <c r="CV342" s="159"/>
      <c r="CW342" s="159"/>
      <c r="CX342" s="159"/>
      <c r="CY342" s="158"/>
      <c r="CZ342" s="159"/>
      <c r="DA342" s="160"/>
      <c r="DB342" s="159"/>
      <c r="DC342" s="160"/>
      <c r="DD342" s="161"/>
      <c r="DE342" s="158"/>
      <c r="DF342" s="159"/>
      <c r="DG342" s="160"/>
      <c r="DH342" s="159"/>
      <c r="DI342" s="160"/>
      <c r="DJ342" s="162"/>
      <c r="DK342" s="158"/>
      <c r="DL342" s="159"/>
      <c r="DM342" s="160"/>
      <c r="DN342" s="159"/>
      <c r="DO342" s="160"/>
      <c r="DP342" s="161"/>
      <c r="DQ342" s="158"/>
      <c r="DR342" s="159"/>
      <c r="DS342" s="160"/>
      <c r="DT342" s="159"/>
      <c r="DU342" s="160"/>
      <c r="DV342" s="162"/>
      <c r="DW342" s="158"/>
      <c r="DX342" s="159"/>
      <c r="DY342" s="160"/>
      <c r="DZ342" s="159"/>
      <c r="EA342" s="160"/>
      <c r="EB342" s="162"/>
      <c r="EC342" s="158"/>
      <c r="ED342" s="159"/>
      <c r="EE342" s="160"/>
      <c r="EF342" s="159"/>
      <c r="EG342" s="160"/>
      <c r="EH342" s="162"/>
      <c r="EI342" s="158"/>
      <c r="EJ342" s="159"/>
      <c r="EK342" s="160"/>
      <c r="EL342" s="159"/>
      <c r="EM342" s="160"/>
      <c r="EN342" s="162"/>
      <c r="EO342" s="158"/>
      <c r="EP342" s="159"/>
      <c r="EQ342" s="160"/>
      <c r="ER342" s="159"/>
      <c r="ES342" s="160"/>
      <c r="ET342" s="161"/>
      <c r="EU342" s="158"/>
      <c r="EV342" s="159"/>
      <c r="EW342" s="160"/>
      <c r="EX342" s="159"/>
      <c r="EY342" s="160"/>
      <c r="EZ342" s="162"/>
      <c r="FA342" s="158"/>
      <c r="FB342" s="159"/>
      <c r="FC342" s="160"/>
      <c r="FD342" s="159"/>
      <c r="FE342" s="160"/>
      <c r="FF342" s="162"/>
      <c r="FG342" s="158"/>
      <c r="FH342" s="159"/>
      <c r="FI342" s="160"/>
      <c r="FJ342" s="159"/>
      <c r="FK342" s="160"/>
      <c r="FL342" s="162"/>
      <c r="FM342" s="158"/>
      <c r="FN342" s="159"/>
      <c r="FO342" s="160"/>
      <c r="FP342" s="159"/>
      <c r="FQ342" s="160"/>
      <c r="FR342" s="162"/>
      <c r="FS342" s="158"/>
      <c r="FT342" s="159"/>
      <c r="FU342" s="160"/>
      <c r="FV342" s="159"/>
      <c r="FW342" s="160"/>
      <c r="FX342" s="162" t="s">
        <v>17993</v>
      </c>
      <c r="FY342" s="158"/>
      <c r="FZ342" s="159"/>
      <c r="GA342" s="160"/>
      <c r="GB342" s="159"/>
      <c r="GC342" s="160"/>
      <c r="GD342" s="162"/>
      <c r="GE342" s="158"/>
      <c r="GF342" s="159"/>
      <c r="GG342" s="160"/>
      <c r="GH342" s="159"/>
      <c r="GI342" s="160"/>
      <c r="GJ342" s="162"/>
      <c r="GK342" s="158" t="s">
        <v>8145</v>
      </c>
      <c r="GL342" s="159"/>
      <c r="GM342" s="160"/>
      <c r="GN342" s="159"/>
      <c r="GO342" s="160"/>
      <c r="GP342" s="162"/>
    </row>
    <row r="343" spans="1:198" ht="20.100000000000001" customHeight="1" thickBot="1">
      <c r="A343" s="2771"/>
      <c r="B343" s="2767"/>
      <c r="C343" s="168"/>
      <c r="D343" s="2608" t="str">
        <f>実績!C1462&amp;"("&amp;SUBSTITUTE(実績!R1462&amp;")"," 株式会社","")</f>
        <v>ビバモール一宮(日本建設)</v>
      </c>
      <c r="E343" s="2609"/>
      <c r="F343" s="2609"/>
      <c r="G343" s="2609"/>
      <c r="H343" s="2609"/>
      <c r="I343" s="2609"/>
      <c r="J343" s="2609"/>
      <c r="K343" s="2609"/>
      <c r="L343" s="2609"/>
      <c r="M343" s="2609"/>
      <c r="N343" s="2609"/>
      <c r="O343" s="2609"/>
      <c r="P343" s="2609"/>
      <c r="Q343" s="2609"/>
      <c r="R343" s="2610"/>
      <c r="S343" s="26"/>
      <c r="T343" s="26"/>
      <c r="U343" s="54"/>
      <c r="V343" s="26"/>
      <c r="W343" s="54"/>
      <c r="X343" s="55"/>
      <c r="Y343" s="26"/>
      <c r="Z343" s="26"/>
      <c r="AA343" s="54"/>
      <c r="AB343" s="26"/>
      <c r="AC343" s="54"/>
      <c r="AD343" s="26"/>
      <c r="AE343" s="56"/>
      <c r="AF343" s="26"/>
      <c r="AG343" s="54"/>
      <c r="AH343" s="26"/>
      <c r="AI343" s="54"/>
      <c r="AJ343" s="55"/>
      <c r="AK343" s="26"/>
      <c r="AL343" s="26"/>
      <c r="AM343" s="54"/>
      <c r="AN343" s="26"/>
      <c r="AO343" s="54"/>
      <c r="AP343" s="26"/>
      <c r="AQ343" s="53"/>
      <c r="AR343" s="26"/>
      <c r="AS343" s="54"/>
      <c r="AT343" s="26"/>
      <c r="AU343" s="54"/>
      <c r="AV343" s="55"/>
      <c r="AW343" s="56"/>
      <c r="AX343" s="26"/>
      <c r="AY343" s="54"/>
      <c r="AZ343" s="26"/>
      <c r="BA343" s="54"/>
      <c r="BB343" s="55"/>
      <c r="BC343" s="26"/>
      <c r="BD343" s="26"/>
      <c r="BE343" s="54"/>
      <c r="BF343" s="26"/>
      <c r="BG343" s="54"/>
      <c r="BH343" s="26"/>
      <c r="BI343" s="56"/>
      <c r="BJ343" s="26"/>
      <c r="BK343" s="54"/>
      <c r="BL343" s="26"/>
      <c r="BM343" s="54"/>
      <c r="BN343" s="55"/>
      <c r="BO343" s="56"/>
      <c r="BP343" s="26"/>
      <c r="BQ343" s="54"/>
      <c r="BR343" s="70"/>
      <c r="BS343" s="54"/>
      <c r="BT343" s="55"/>
      <c r="BU343" s="56"/>
      <c r="BV343" s="26"/>
      <c r="BW343" s="54"/>
      <c r="BX343" s="26"/>
      <c r="BY343" s="54"/>
      <c r="BZ343" s="55"/>
      <c r="CA343" s="56"/>
      <c r="CB343" s="26"/>
      <c r="CC343" s="54"/>
      <c r="CD343" s="26"/>
      <c r="CE343" s="54"/>
      <c r="CF343" s="55"/>
      <c r="CG343" s="56"/>
      <c r="CH343" s="26"/>
      <c r="CI343" s="54"/>
      <c r="CJ343" s="26"/>
      <c r="CK343" s="54"/>
      <c r="CL343" s="55"/>
      <c r="CM343" s="56"/>
      <c r="CN343" s="26"/>
      <c r="CO343" s="54"/>
      <c r="CP343" s="118"/>
      <c r="CQ343" s="54"/>
      <c r="CR343" s="55"/>
      <c r="CS343" s="56"/>
      <c r="CT343" s="26"/>
      <c r="CU343" s="54"/>
      <c r="CV343" s="26"/>
      <c r="CW343" s="54"/>
      <c r="CX343" s="55"/>
      <c r="CY343" s="56"/>
      <c r="CZ343" s="26"/>
      <c r="DA343" s="54"/>
      <c r="DB343" s="26"/>
      <c r="DC343" s="54"/>
      <c r="DD343" s="55"/>
      <c r="DE343" s="56"/>
      <c r="DF343" s="26"/>
      <c r="DG343" s="54"/>
      <c r="DH343" s="26"/>
      <c r="DI343" s="54"/>
      <c r="DJ343" s="55"/>
      <c r="DK343" s="56"/>
      <c r="DL343" s="26"/>
      <c r="DM343" s="54"/>
      <c r="DN343" s="26"/>
      <c r="DO343" s="54"/>
      <c r="DP343" s="55"/>
      <c r="DQ343" s="56"/>
      <c r="DR343" s="26"/>
      <c r="DS343" s="54"/>
      <c r="DT343" s="26"/>
      <c r="DU343" s="54"/>
      <c r="DV343" s="55"/>
      <c r="DW343" s="56"/>
      <c r="DX343" s="26"/>
      <c r="DY343" s="54"/>
      <c r="DZ343" s="26"/>
      <c r="EA343" s="54"/>
      <c r="EB343" s="55"/>
      <c r="EC343" s="56"/>
      <c r="ED343" s="26"/>
      <c r="EE343" s="54"/>
      <c r="EF343" s="26"/>
      <c r="EG343" s="54"/>
      <c r="EH343" s="55"/>
      <c r="EI343" s="158"/>
      <c r="EJ343" s="159"/>
      <c r="EK343" s="160"/>
      <c r="EL343" s="159"/>
      <c r="EM343" s="160"/>
      <c r="EN343" s="161"/>
      <c r="EO343" s="158"/>
      <c r="EP343" s="159"/>
      <c r="EQ343" s="160"/>
      <c r="ER343" s="159"/>
      <c r="ES343" s="160"/>
      <c r="ET343" s="161"/>
      <c r="EU343" s="158"/>
      <c r="EV343" s="159"/>
      <c r="EW343" s="160"/>
      <c r="EX343" s="159"/>
      <c r="EY343" s="160"/>
      <c r="EZ343" s="161"/>
      <c r="FA343" s="158"/>
      <c r="FB343" s="159"/>
      <c r="FC343" s="1897"/>
      <c r="FD343" s="159"/>
      <c r="FE343" s="160"/>
      <c r="FF343" s="162"/>
      <c r="FG343" s="158"/>
      <c r="FH343" s="159"/>
      <c r="FI343" s="160"/>
      <c r="FJ343" s="159"/>
      <c r="FK343" s="160"/>
      <c r="FL343" s="161"/>
      <c r="FM343" s="158" t="s">
        <v>18050</v>
      </c>
      <c r="FN343" s="159"/>
      <c r="FO343" s="160"/>
      <c r="FP343" s="159"/>
      <c r="FQ343" s="160"/>
      <c r="FR343" s="161"/>
      <c r="FS343" s="158"/>
      <c r="FT343" s="159"/>
      <c r="FU343" s="160"/>
      <c r="FV343" s="159"/>
      <c r="FW343" s="160"/>
      <c r="FX343" s="162"/>
      <c r="FY343" s="158" t="s">
        <v>17969</v>
      </c>
      <c r="FZ343" s="159"/>
      <c r="GA343" s="160"/>
      <c r="GB343" s="159"/>
      <c r="GC343" s="160"/>
      <c r="GD343" s="162"/>
      <c r="GE343" s="158"/>
      <c r="GF343" s="159"/>
      <c r="GG343" s="160"/>
      <c r="GH343" s="159"/>
      <c r="GI343" s="160"/>
      <c r="GJ343" s="162"/>
      <c r="GK343" s="158"/>
      <c r="GL343" s="159"/>
      <c r="GM343" s="160"/>
      <c r="GN343" s="159"/>
      <c r="GO343" s="160"/>
      <c r="GP343" s="162"/>
    </row>
    <row r="344" spans="1:198" ht="20.100000000000001" customHeight="1" thickBot="1">
      <c r="A344" s="2771"/>
      <c r="B344" s="2768"/>
      <c r="C344" s="168"/>
      <c r="D344" s="2608" t="str">
        <f>実績!C1468&amp;"("&amp;SUBSTITUTE(実績!R1468&amp;")"," 株式会社","")</f>
        <v>マスヤ工業新工場()</v>
      </c>
      <c r="E344" s="2609"/>
      <c r="F344" s="2609"/>
      <c r="G344" s="2609"/>
      <c r="H344" s="2609"/>
      <c r="I344" s="2609"/>
      <c r="J344" s="2609"/>
      <c r="K344" s="2609"/>
      <c r="L344" s="2609"/>
      <c r="M344" s="2609"/>
      <c r="N344" s="2609"/>
      <c r="O344" s="2609"/>
      <c r="P344" s="2609"/>
      <c r="Q344" s="2609"/>
      <c r="R344" s="2610"/>
      <c r="S344" s="159"/>
      <c r="T344" s="159"/>
      <c r="U344" s="159"/>
      <c r="V344" s="159"/>
      <c r="W344" s="159"/>
      <c r="X344" s="159"/>
      <c r="Y344" s="159"/>
      <c r="Z344" s="159"/>
      <c r="AA344" s="159"/>
      <c r="AB344" s="159"/>
      <c r="AC344" s="159"/>
      <c r="AD344" s="159"/>
      <c r="AE344" s="159"/>
      <c r="AF344" s="159"/>
      <c r="AG344" s="159"/>
      <c r="AH344" s="159"/>
      <c r="AI344" s="159"/>
      <c r="AJ344" s="159"/>
      <c r="AK344" s="159"/>
      <c r="AL344" s="159"/>
      <c r="AM344" s="159"/>
      <c r="AN344" s="159"/>
      <c r="AO344" s="159"/>
      <c r="AP344" s="159"/>
      <c r="AQ344" s="159"/>
      <c r="AR344" s="159"/>
      <c r="AS344" s="159"/>
      <c r="AT344" s="159"/>
      <c r="AU344" s="159"/>
      <c r="AV344" s="159"/>
      <c r="AW344" s="159"/>
      <c r="AX344" s="159"/>
      <c r="AY344" s="159"/>
      <c r="AZ344" s="159"/>
      <c r="BA344" s="159"/>
      <c r="BB344" s="159"/>
      <c r="BC344" s="159"/>
      <c r="BD344" s="159"/>
      <c r="BE344" s="159"/>
      <c r="BF344" s="159"/>
      <c r="BG344" s="159"/>
      <c r="BH344" s="159"/>
      <c r="BI344" s="159"/>
      <c r="BJ344" s="159"/>
      <c r="BK344" s="159"/>
      <c r="BL344" s="159"/>
      <c r="BM344" s="159"/>
      <c r="BN344" s="159"/>
      <c r="BO344" s="159"/>
      <c r="BP344" s="159"/>
      <c r="BQ344" s="159"/>
      <c r="BR344" s="159"/>
      <c r="BS344" s="159"/>
      <c r="BT344" s="159"/>
      <c r="BU344" s="159"/>
      <c r="BV344" s="159"/>
      <c r="BW344" s="159"/>
      <c r="BX344" s="159"/>
      <c r="BY344" s="159"/>
      <c r="BZ344" s="159"/>
      <c r="CA344" s="159"/>
      <c r="CB344" s="159"/>
      <c r="CC344" s="159"/>
      <c r="CD344" s="159"/>
      <c r="CE344" s="159"/>
      <c r="CF344" s="159"/>
      <c r="CG344" s="159"/>
      <c r="CH344" s="159"/>
      <c r="CI344" s="159"/>
      <c r="CJ344" s="159"/>
      <c r="CK344" s="159"/>
      <c r="CL344" s="159"/>
      <c r="CM344" s="159"/>
      <c r="CN344" s="159"/>
      <c r="CO344" s="159"/>
      <c r="CP344" s="198"/>
      <c r="CQ344" s="159"/>
      <c r="CR344" s="159"/>
      <c r="CS344" s="159"/>
      <c r="CT344" s="159"/>
      <c r="CU344" s="159"/>
      <c r="CV344" s="159"/>
      <c r="CW344" s="159"/>
      <c r="CX344" s="159"/>
      <c r="CY344" s="158"/>
      <c r="CZ344" s="159"/>
      <c r="DA344" s="160"/>
      <c r="DB344" s="159"/>
      <c r="DC344" s="160"/>
      <c r="DD344" s="161"/>
      <c r="DE344" s="158"/>
      <c r="DF344" s="159"/>
      <c r="DG344" s="160"/>
      <c r="DH344" s="159"/>
      <c r="DI344" s="160"/>
      <c r="DJ344" s="162"/>
      <c r="DK344" s="158"/>
      <c r="DL344" s="159"/>
      <c r="DM344" s="160"/>
      <c r="DN344" s="159"/>
      <c r="DO344" s="160"/>
      <c r="DP344" s="161"/>
      <c r="DQ344" s="158"/>
      <c r="DR344" s="159"/>
      <c r="DS344" s="160"/>
      <c r="DT344" s="159"/>
      <c r="DU344" s="160"/>
      <c r="DV344" s="162"/>
      <c r="DW344" s="158"/>
      <c r="DX344" s="159"/>
      <c r="DY344" s="160"/>
      <c r="DZ344" s="159"/>
      <c r="EA344" s="160"/>
      <c r="EB344" s="162"/>
      <c r="EC344" s="158"/>
      <c r="ED344" s="159"/>
      <c r="EE344" s="160"/>
      <c r="EF344" s="159"/>
      <c r="EG344" s="160"/>
      <c r="EH344" s="162"/>
      <c r="EI344" s="158"/>
      <c r="EJ344" s="159"/>
      <c r="EK344" s="160"/>
      <c r="EL344" s="159"/>
      <c r="EM344" s="160"/>
      <c r="EN344" s="162"/>
      <c r="EO344" s="158"/>
      <c r="EP344" s="159"/>
      <c r="EQ344" s="160"/>
      <c r="ER344" s="159"/>
      <c r="ES344" s="160"/>
      <c r="ET344" s="161"/>
      <c r="EU344" s="158"/>
      <c r="EV344" s="159"/>
      <c r="EW344" s="160"/>
      <c r="EX344" s="159"/>
      <c r="EY344" s="160"/>
      <c r="EZ344" s="162"/>
      <c r="FA344" s="158"/>
      <c r="FB344" s="159"/>
      <c r="FC344" s="160"/>
      <c r="FD344" s="159"/>
      <c r="FE344" s="160"/>
      <c r="FF344" s="162"/>
      <c r="FG344" s="158"/>
      <c r="FH344" s="159"/>
      <c r="FI344" s="160"/>
      <c r="FJ344" s="159"/>
      <c r="FK344" s="160"/>
      <c r="FL344" s="162"/>
      <c r="FM344" s="158"/>
      <c r="FN344" s="159"/>
      <c r="FO344" s="160"/>
      <c r="FP344" s="159"/>
      <c r="FQ344" s="160"/>
      <c r="FR344" s="162"/>
      <c r="FS344" s="158"/>
      <c r="FT344" s="159"/>
      <c r="FU344" s="160"/>
      <c r="FV344" s="159"/>
      <c r="FW344" s="160"/>
      <c r="FX344" s="162"/>
      <c r="FY344" s="158" t="s">
        <v>17558</v>
      </c>
      <c r="FZ344" s="159"/>
      <c r="GA344" s="160"/>
      <c r="GB344" s="159"/>
      <c r="GC344" s="160"/>
      <c r="GD344" s="162"/>
      <c r="GE344" s="158"/>
      <c r="GF344" s="159"/>
      <c r="GG344" s="160"/>
      <c r="GH344" s="159"/>
      <c r="GI344" s="160"/>
      <c r="GJ344" s="162"/>
      <c r="GK344" s="158"/>
      <c r="GL344" s="159"/>
      <c r="GM344" s="160"/>
      <c r="GN344" s="159"/>
      <c r="GO344" s="160"/>
      <c r="GP344" s="162"/>
    </row>
    <row r="345" spans="1:198" ht="20.100000000000001" customHeight="1" thickBot="1">
      <c r="A345" s="2771"/>
      <c r="B345" s="2769"/>
      <c r="C345" s="168"/>
      <c r="D345" s="2608" t="str">
        <f>実績!C1470&amp;"("&amp;SUBSTITUTE(実績!R1470&amp;")","株式会社 ","")</f>
        <v>SVH神戸玉津インター()</v>
      </c>
      <c r="E345" s="2609"/>
      <c r="F345" s="2609"/>
      <c r="G345" s="2609"/>
      <c r="H345" s="2609"/>
      <c r="I345" s="2609"/>
      <c r="J345" s="2609"/>
      <c r="K345" s="2609"/>
      <c r="L345" s="2609"/>
      <c r="M345" s="2609"/>
      <c r="N345" s="2609"/>
      <c r="O345" s="2609"/>
      <c r="P345" s="2609"/>
      <c r="Q345" s="2609"/>
      <c r="R345" s="2610"/>
      <c r="S345" s="159"/>
      <c r="T345" s="159"/>
      <c r="U345" s="159"/>
      <c r="V345" s="159"/>
      <c r="W345" s="159"/>
      <c r="X345" s="159"/>
      <c r="Y345" s="159"/>
      <c r="Z345" s="159"/>
      <c r="AA345" s="159"/>
      <c r="AB345" s="159"/>
      <c r="AC345" s="159"/>
      <c r="AD345" s="159"/>
      <c r="AE345" s="159"/>
      <c r="AF345" s="159"/>
      <c r="AG345" s="159"/>
      <c r="AH345" s="159"/>
      <c r="AI345" s="159"/>
      <c r="AJ345" s="159"/>
      <c r="AK345" s="159"/>
      <c r="AL345" s="159"/>
      <c r="AM345" s="159"/>
      <c r="AN345" s="159"/>
      <c r="AO345" s="159"/>
      <c r="AP345" s="159"/>
      <c r="AQ345" s="159"/>
      <c r="AR345" s="159"/>
      <c r="AS345" s="159"/>
      <c r="AT345" s="159"/>
      <c r="AU345" s="159"/>
      <c r="AV345" s="159"/>
      <c r="AW345" s="159"/>
      <c r="AX345" s="159"/>
      <c r="AY345" s="159"/>
      <c r="AZ345" s="159"/>
      <c r="BA345" s="159"/>
      <c r="BB345" s="159"/>
      <c r="BC345" s="159"/>
      <c r="BD345" s="159"/>
      <c r="BE345" s="159"/>
      <c r="BF345" s="159"/>
      <c r="BG345" s="159"/>
      <c r="BH345" s="159"/>
      <c r="BI345" s="159"/>
      <c r="BJ345" s="159"/>
      <c r="BK345" s="159"/>
      <c r="BL345" s="159"/>
      <c r="BM345" s="159"/>
      <c r="BN345" s="159"/>
      <c r="BO345" s="159"/>
      <c r="BP345" s="159"/>
      <c r="BQ345" s="159"/>
      <c r="BR345" s="159"/>
      <c r="BS345" s="159"/>
      <c r="BT345" s="159"/>
      <c r="BU345" s="159"/>
      <c r="BV345" s="159"/>
      <c r="BW345" s="159"/>
      <c r="BX345" s="159"/>
      <c r="BY345" s="159"/>
      <c r="BZ345" s="159"/>
      <c r="CA345" s="159"/>
      <c r="CB345" s="159"/>
      <c r="CC345" s="159"/>
      <c r="CD345" s="159"/>
      <c r="CE345" s="159"/>
      <c r="CF345" s="159"/>
      <c r="CG345" s="159"/>
      <c r="CH345" s="159"/>
      <c r="CI345" s="159"/>
      <c r="CJ345" s="159"/>
      <c r="CK345" s="159"/>
      <c r="CL345" s="159"/>
      <c r="CM345" s="159"/>
      <c r="CN345" s="159"/>
      <c r="CO345" s="159"/>
      <c r="CP345" s="198"/>
      <c r="CQ345" s="159"/>
      <c r="CR345" s="159"/>
      <c r="CS345" s="159"/>
      <c r="CT345" s="159"/>
      <c r="CU345" s="159"/>
      <c r="CV345" s="159"/>
      <c r="CW345" s="159"/>
      <c r="CX345" s="159"/>
      <c r="CY345" s="158"/>
      <c r="CZ345" s="159"/>
      <c r="DA345" s="160"/>
      <c r="DB345" s="159"/>
      <c r="DC345" s="160"/>
      <c r="DD345" s="161"/>
      <c r="DE345" s="158"/>
      <c r="DF345" s="159"/>
      <c r="DG345" s="160"/>
      <c r="DH345" s="159"/>
      <c r="DI345" s="160"/>
      <c r="DJ345" s="162"/>
      <c r="DK345" s="158"/>
      <c r="DL345" s="159"/>
      <c r="DM345" s="160"/>
      <c r="DN345" s="159"/>
      <c r="DO345" s="160"/>
      <c r="DP345" s="161"/>
      <c r="DQ345" s="158"/>
      <c r="DR345" s="159"/>
      <c r="DS345" s="160"/>
      <c r="DT345" s="159"/>
      <c r="DU345" s="160"/>
      <c r="DV345" s="162"/>
      <c r="DW345" s="158"/>
      <c r="DX345" s="159"/>
      <c r="DY345" s="160"/>
      <c r="DZ345" s="159"/>
      <c r="EA345" s="160"/>
      <c r="EB345" s="162"/>
      <c r="EC345" s="158"/>
      <c r="ED345" s="159"/>
      <c r="EE345" s="160"/>
      <c r="EF345" s="159"/>
      <c r="EG345" s="160"/>
      <c r="EH345" s="162"/>
      <c r="EI345" s="158"/>
      <c r="EJ345" s="159"/>
      <c r="EK345" s="160"/>
      <c r="EL345" s="159"/>
      <c r="EM345" s="160"/>
      <c r="EN345" s="162"/>
      <c r="EO345" s="158"/>
      <c r="EP345" s="159"/>
      <c r="EQ345" s="160"/>
      <c r="ER345" s="159"/>
      <c r="ES345" s="160"/>
      <c r="ET345" s="161"/>
      <c r="EU345" s="158"/>
      <c r="EV345" s="159"/>
      <c r="EW345" s="160"/>
      <c r="EX345" s="159"/>
      <c r="EY345" s="160"/>
      <c r="EZ345" s="162"/>
      <c r="FA345" s="158"/>
      <c r="FB345" s="159"/>
      <c r="FC345" s="160"/>
      <c r="FD345" s="159"/>
      <c r="FE345" s="160"/>
      <c r="FF345" s="162"/>
      <c r="FG345" s="158"/>
      <c r="FH345" s="159"/>
      <c r="FI345" s="160"/>
      <c r="FJ345" s="159"/>
      <c r="FK345" s="160"/>
      <c r="FL345" s="162"/>
      <c r="FM345" s="158"/>
      <c r="FN345" s="159"/>
      <c r="FO345" s="160"/>
      <c r="FP345" s="159"/>
      <c r="FQ345" s="160"/>
      <c r="FR345" s="162"/>
      <c r="FS345" s="158"/>
      <c r="FT345" s="159"/>
      <c r="FU345" s="160"/>
      <c r="FV345" s="159" t="s">
        <v>17811</v>
      </c>
      <c r="FW345" s="160"/>
      <c r="FX345" s="162"/>
      <c r="FY345" s="158"/>
      <c r="FZ345" s="159"/>
      <c r="GA345" s="160"/>
      <c r="GB345" s="159"/>
      <c r="GC345" s="160"/>
      <c r="GD345" s="162"/>
      <c r="GE345" s="158" t="s">
        <v>8145</v>
      </c>
      <c r="GF345" s="159"/>
      <c r="GG345" s="160"/>
      <c r="GH345" s="159"/>
      <c r="GI345" s="160"/>
      <c r="GJ345" s="162"/>
      <c r="GK345" s="158"/>
      <c r="GL345" s="159"/>
      <c r="GM345" s="160"/>
      <c r="GN345" s="159"/>
      <c r="GO345" s="160"/>
      <c r="GP345" s="162"/>
    </row>
    <row r="346" spans="1:198" ht="20.100000000000001" customHeight="1" thickBot="1">
      <c r="A346" s="2771"/>
      <c r="B346" s="2770"/>
      <c r="C346" s="1826"/>
      <c r="D346" s="2731" t="str">
        <f>実績!C1469&amp;"("&amp;SUBSTITUTE(実績!R1469&amp;")","株式会社 ","")</f>
        <v>甲府南インター倉庫(早野組)</v>
      </c>
      <c r="E346" s="2732"/>
      <c r="F346" s="2732"/>
      <c r="G346" s="2732"/>
      <c r="H346" s="2732"/>
      <c r="I346" s="2732"/>
      <c r="J346" s="2732"/>
      <c r="K346" s="2732"/>
      <c r="L346" s="2732"/>
      <c r="M346" s="2732"/>
      <c r="N346" s="2732"/>
      <c r="O346" s="2732"/>
      <c r="P346" s="2732"/>
      <c r="Q346" s="2732"/>
      <c r="R346" s="2733"/>
      <c r="S346" s="164"/>
      <c r="T346" s="164"/>
      <c r="U346" s="164"/>
      <c r="V346" s="164"/>
      <c r="W346" s="164"/>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c r="BL346" s="164"/>
      <c r="BM346" s="164"/>
      <c r="BN346" s="164"/>
      <c r="BO346" s="164"/>
      <c r="BP346" s="164"/>
      <c r="BQ346" s="164"/>
      <c r="BR346" s="164"/>
      <c r="BS346" s="164"/>
      <c r="BT346" s="164"/>
      <c r="BU346" s="164"/>
      <c r="BV346" s="164"/>
      <c r="BW346" s="164"/>
      <c r="BX346" s="164"/>
      <c r="BY346" s="164"/>
      <c r="BZ346" s="164"/>
      <c r="CA346" s="164"/>
      <c r="CB346" s="164"/>
      <c r="CC346" s="164"/>
      <c r="CD346" s="164"/>
      <c r="CE346" s="164"/>
      <c r="CF346" s="164"/>
      <c r="CG346" s="164"/>
      <c r="CH346" s="164"/>
      <c r="CI346" s="164"/>
      <c r="CJ346" s="164"/>
      <c r="CK346" s="164"/>
      <c r="CL346" s="164"/>
      <c r="CM346" s="164"/>
      <c r="CN346" s="164"/>
      <c r="CO346" s="164"/>
      <c r="CP346" s="269"/>
      <c r="CQ346" s="164"/>
      <c r="CR346" s="164"/>
      <c r="CS346" s="164"/>
      <c r="CT346" s="164"/>
      <c r="CU346" s="164"/>
      <c r="CV346" s="164"/>
      <c r="CW346" s="164"/>
      <c r="CX346" s="164"/>
      <c r="CY346" s="163"/>
      <c r="CZ346" s="164"/>
      <c r="DA346" s="165"/>
      <c r="DB346" s="164"/>
      <c r="DC346" s="165"/>
      <c r="DD346" s="166"/>
      <c r="DE346" s="163"/>
      <c r="DF346" s="164"/>
      <c r="DG346" s="165"/>
      <c r="DH346" s="164"/>
      <c r="DI346" s="165"/>
      <c r="DJ346" s="1265"/>
      <c r="DK346" s="163"/>
      <c r="DL346" s="164"/>
      <c r="DM346" s="165"/>
      <c r="DN346" s="164"/>
      <c r="DO346" s="165"/>
      <c r="DP346" s="166"/>
      <c r="DQ346" s="163"/>
      <c r="DR346" s="164"/>
      <c r="DS346" s="165"/>
      <c r="DT346" s="164"/>
      <c r="DU346" s="165"/>
      <c r="DV346" s="1265"/>
      <c r="DW346" s="163"/>
      <c r="DX346" s="164"/>
      <c r="DY346" s="165"/>
      <c r="DZ346" s="164"/>
      <c r="EA346" s="165"/>
      <c r="EB346" s="1265"/>
      <c r="EC346" s="163"/>
      <c r="ED346" s="164"/>
      <c r="EE346" s="165"/>
      <c r="EF346" s="164"/>
      <c r="EG346" s="165"/>
      <c r="EH346" s="1265"/>
      <c r="EI346" s="163"/>
      <c r="EJ346" s="164"/>
      <c r="EK346" s="165"/>
      <c r="EL346" s="164"/>
      <c r="EM346" s="165"/>
      <c r="EN346" s="1265"/>
      <c r="EO346" s="163"/>
      <c r="EP346" s="164"/>
      <c r="EQ346" s="165"/>
      <c r="ER346" s="164"/>
      <c r="ES346" s="165"/>
      <c r="ET346" s="166"/>
      <c r="EU346" s="163"/>
      <c r="EV346" s="164"/>
      <c r="EW346" s="165"/>
      <c r="EX346" s="164"/>
      <c r="EY346" s="165"/>
      <c r="EZ346" s="1265"/>
      <c r="FA346" s="163"/>
      <c r="FB346" s="164"/>
      <c r="FC346" s="165"/>
      <c r="FD346" s="164"/>
      <c r="FE346" s="165"/>
      <c r="FF346" s="1265"/>
      <c r="FG346" s="163"/>
      <c r="FH346" s="164"/>
      <c r="FI346" s="165"/>
      <c r="FJ346" s="164"/>
      <c r="FK346" s="165"/>
      <c r="FL346" s="1265"/>
      <c r="FM346" s="163" t="s">
        <v>17615</v>
      </c>
      <c r="FN346" s="164"/>
      <c r="FO346" s="165"/>
      <c r="FP346" s="164"/>
      <c r="FQ346" s="165"/>
      <c r="FR346" s="1265"/>
      <c r="FS346" s="163"/>
      <c r="FT346" s="164"/>
      <c r="FU346" s="165"/>
      <c r="FV346" s="164"/>
      <c r="FW346" s="165"/>
      <c r="FX346" s="1265"/>
      <c r="FY346" s="163"/>
      <c r="FZ346" s="164"/>
      <c r="GA346" s="165"/>
      <c r="GB346" s="164"/>
      <c r="GC346" s="165"/>
      <c r="GD346" s="1265"/>
      <c r="GE346" s="163"/>
      <c r="GF346" s="164"/>
      <c r="GG346" s="165"/>
      <c r="GH346" s="164"/>
      <c r="GI346" s="165"/>
      <c r="GJ346" s="1265"/>
      <c r="GK346" s="163"/>
      <c r="GL346" s="164"/>
      <c r="GM346" s="165"/>
      <c r="GN346" s="164"/>
      <c r="GO346" s="165"/>
      <c r="GP346" s="1265"/>
    </row>
    <row r="347" spans="1:198" ht="9.9499999999999993" customHeight="1">
      <c r="A347" s="201"/>
      <c r="B347" s="202"/>
      <c r="C347" s="1972"/>
      <c r="D347" s="203"/>
      <c r="E347" s="203"/>
      <c r="F347" s="203"/>
      <c r="G347" s="203"/>
      <c r="H347" s="203"/>
      <c r="I347" s="203"/>
      <c r="J347" s="203"/>
      <c r="K347" s="203"/>
      <c r="L347" s="203"/>
      <c r="M347" s="203"/>
      <c r="N347" s="203"/>
      <c r="O347" s="203"/>
      <c r="P347" s="203"/>
      <c r="Q347" s="203"/>
      <c r="R347" s="203"/>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c r="BG347" s="74"/>
      <c r="BH347" s="74"/>
      <c r="BI347" s="74"/>
      <c r="BJ347" s="74"/>
      <c r="BK347" s="74"/>
      <c r="BL347" s="74"/>
      <c r="BM347" s="74"/>
      <c r="BN347" s="74"/>
      <c r="BO347" s="74"/>
      <c r="BP347" s="74"/>
      <c r="BQ347" s="74"/>
      <c r="BR347" s="74"/>
      <c r="BS347" s="74"/>
      <c r="BT347" s="74"/>
      <c r="BU347" s="74"/>
      <c r="BV347" s="74"/>
      <c r="BW347" s="74"/>
      <c r="BX347" s="74"/>
      <c r="BY347" s="74"/>
      <c r="BZ347" s="74"/>
      <c r="CA347" s="74"/>
      <c r="CB347" s="74"/>
      <c r="CC347" s="74"/>
      <c r="CD347" s="74"/>
      <c r="CE347" s="74"/>
      <c r="CF347" s="74"/>
      <c r="CG347" s="74"/>
      <c r="CH347" s="74"/>
      <c r="CI347" s="74"/>
      <c r="CJ347" s="74"/>
      <c r="CK347" s="74"/>
      <c r="CL347" s="74"/>
      <c r="CM347" s="74"/>
      <c r="CN347" s="74"/>
      <c r="CO347" s="74"/>
      <c r="CP347" s="74"/>
      <c r="CQ347" s="74"/>
      <c r="CR347" s="74"/>
      <c r="CS347" s="74"/>
      <c r="CT347" s="74"/>
      <c r="CU347" s="74"/>
      <c r="CV347" s="74"/>
      <c r="CW347" s="74"/>
      <c r="CX347" s="74"/>
      <c r="CY347" s="74"/>
      <c r="CZ347" s="74"/>
      <c r="DA347" s="74"/>
      <c r="DB347" s="74"/>
      <c r="DC347" s="74"/>
      <c r="DD347" s="74"/>
      <c r="DE347" s="74"/>
      <c r="DF347" s="74"/>
      <c r="DG347" s="74"/>
      <c r="DH347" s="74"/>
      <c r="DI347" s="74"/>
      <c r="DJ347" s="74"/>
      <c r="DK347" s="74"/>
      <c r="DL347" s="74"/>
      <c r="DM347" s="74"/>
      <c r="DN347" s="74"/>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c r="EM347" s="74"/>
      <c r="EN347" s="74"/>
      <c r="EO347" s="74"/>
      <c r="EP347" s="74"/>
      <c r="EQ347" s="74"/>
      <c r="ER347" s="74"/>
      <c r="ES347" s="74"/>
      <c r="ET347" s="74"/>
    </row>
    <row r="348" spans="1:198" ht="20.100000000000001" hidden="1" customHeight="1">
      <c r="A348" s="48" t="s">
        <v>10084</v>
      </c>
    </row>
    <row r="349" spans="1:198" ht="20.100000000000001" hidden="1" customHeight="1">
      <c r="A349" s="2642" t="s">
        <v>9901</v>
      </c>
      <c r="B349" s="2701"/>
      <c r="C349" s="2642" t="s">
        <v>9916</v>
      </c>
      <c r="D349" s="2643"/>
      <c r="E349" s="2643"/>
      <c r="F349" s="2643"/>
      <c r="G349" s="2643"/>
      <c r="H349" s="2643"/>
      <c r="I349" s="2643"/>
      <c r="J349" s="2643"/>
      <c r="K349" s="2643"/>
      <c r="L349" s="2643"/>
      <c r="M349" s="2643"/>
      <c r="N349" s="2643"/>
      <c r="O349" s="2643"/>
      <c r="P349" s="2643"/>
      <c r="Q349" s="2643"/>
      <c r="R349" s="1971"/>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c r="AR349" s="67"/>
      <c r="AS349" s="67"/>
      <c r="AT349" s="67"/>
      <c r="AU349" s="67"/>
      <c r="AV349" s="67"/>
      <c r="AW349" s="67"/>
      <c r="AX349" s="67"/>
      <c r="AY349" s="67"/>
      <c r="AZ349" s="67"/>
      <c r="BA349" s="67"/>
      <c r="BB349" s="67"/>
      <c r="BC349" s="67"/>
      <c r="BD349" s="67"/>
      <c r="BE349" s="67"/>
      <c r="BF349" s="67"/>
      <c r="BG349" s="67"/>
      <c r="BH349" s="67"/>
      <c r="BI349" s="67"/>
      <c r="BJ349" s="67"/>
      <c r="BK349" s="67"/>
      <c r="BL349" s="67"/>
      <c r="BM349" s="67"/>
      <c r="BN349" s="67"/>
      <c r="BO349" s="2633">
        <v>43647</v>
      </c>
      <c r="BP349" s="2634"/>
      <c r="BQ349" s="2634"/>
      <c r="BR349" s="2634"/>
      <c r="BS349" s="2634"/>
      <c r="BT349" s="2635"/>
      <c r="BU349" s="2633">
        <v>43678</v>
      </c>
      <c r="BV349" s="2634"/>
      <c r="BW349" s="2634"/>
      <c r="BX349" s="2634"/>
      <c r="BY349" s="2634"/>
      <c r="BZ349" s="2635"/>
      <c r="CA349" s="2633">
        <v>43709</v>
      </c>
      <c r="CB349" s="2634"/>
      <c r="CC349" s="2634"/>
      <c r="CD349" s="2634"/>
      <c r="CE349" s="2634"/>
      <c r="CF349" s="2635"/>
      <c r="CG349" s="2633">
        <v>43739</v>
      </c>
      <c r="CH349" s="2634"/>
      <c r="CI349" s="2634"/>
      <c r="CJ349" s="2634"/>
      <c r="CK349" s="2634"/>
      <c r="CL349" s="2635"/>
      <c r="CM349" s="2633">
        <f>CM4</f>
        <v>43770</v>
      </c>
      <c r="CN349" s="2634"/>
      <c r="CO349" s="2634"/>
      <c r="CP349" s="2634"/>
      <c r="CQ349" s="2634"/>
      <c r="CR349" s="2635"/>
      <c r="CS349" s="2633">
        <f>CS4</f>
        <v>43800</v>
      </c>
      <c r="CT349" s="2634"/>
      <c r="CU349" s="2634"/>
      <c r="CV349" s="2634"/>
      <c r="CW349" s="2634"/>
      <c r="CX349" s="2635"/>
      <c r="CY349" s="2633">
        <f>CY4</f>
        <v>43831</v>
      </c>
      <c r="CZ349" s="2634"/>
      <c r="DA349" s="2634"/>
      <c r="DB349" s="2634"/>
      <c r="DC349" s="2634"/>
      <c r="DD349" s="2635"/>
      <c r="DE349" s="2633">
        <f>DE4</f>
        <v>43862</v>
      </c>
      <c r="DF349" s="2634"/>
      <c r="DG349" s="2634"/>
      <c r="DH349" s="2634"/>
      <c r="DI349" s="2634"/>
      <c r="DJ349" s="2635"/>
      <c r="DK349" s="2633">
        <f>DK4</f>
        <v>43891</v>
      </c>
      <c r="DL349" s="2634"/>
      <c r="DM349" s="2634"/>
      <c r="DN349" s="2634"/>
      <c r="DO349" s="2634"/>
      <c r="DP349" s="2635"/>
      <c r="DQ349" s="2633">
        <f>DQ4</f>
        <v>43922</v>
      </c>
      <c r="DR349" s="2634"/>
      <c r="DS349" s="2634"/>
      <c r="DT349" s="2634"/>
      <c r="DU349" s="2634"/>
      <c r="DV349" s="2635"/>
      <c r="DW349" s="2633">
        <f>DW4</f>
        <v>43952</v>
      </c>
      <c r="DX349" s="2634"/>
      <c r="DY349" s="2634"/>
      <c r="DZ349" s="2634"/>
      <c r="EA349" s="2634"/>
      <c r="EB349" s="2635"/>
      <c r="EC349" s="2633">
        <f>EC4</f>
        <v>43983</v>
      </c>
      <c r="ED349" s="2634"/>
      <c r="EE349" s="2634"/>
      <c r="EF349" s="2634"/>
      <c r="EG349" s="2634"/>
      <c r="EH349" s="2635"/>
      <c r="EI349" s="2633">
        <f>EI4</f>
        <v>44013</v>
      </c>
      <c r="EJ349" s="2634"/>
      <c r="EK349" s="2634"/>
      <c r="EL349" s="2634"/>
      <c r="EM349" s="2634"/>
      <c r="EN349" s="2635"/>
    </row>
    <row r="350" spans="1:198" ht="20.100000000000001" hidden="1" customHeight="1" thickBot="1">
      <c r="A350" s="2702"/>
      <c r="B350" s="2703"/>
      <c r="C350" s="2702"/>
      <c r="D350" s="2721"/>
      <c r="E350" s="2721"/>
      <c r="F350" s="2721"/>
      <c r="G350" s="2721"/>
      <c r="H350" s="2721"/>
      <c r="I350" s="2721"/>
      <c r="J350" s="2721"/>
      <c r="K350" s="2721"/>
      <c r="L350" s="2721"/>
      <c r="M350" s="2721"/>
      <c r="N350" s="2721"/>
      <c r="O350" s="2721"/>
      <c r="P350" s="2721"/>
      <c r="Q350" s="2721"/>
      <c r="R350" s="1972"/>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c r="BG350" s="74"/>
      <c r="BH350" s="74"/>
      <c r="BI350" s="74"/>
      <c r="BJ350" s="74"/>
      <c r="BK350" s="74"/>
      <c r="BL350" s="74"/>
      <c r="BM350" s="74"/>
      <c r="BN350" s="74"/>
      <c r="BO350" s="109">
        <v>1</v>
      </c>
      <c r="BP350" s="2734">
        <v>10</v>
      </c>
      <c r="BQ350" s="2734"/>
      <c r="BR350" s="2734">
        <v>20</v>
      </c>
      <c r="BS350" s="2734"/>
      <c r="BT350" s="110">
        <v>30</v>
      </c>
      <c r="BU350" s="109">
        <v>1</v>
      </c>
      <c r="BV350" s="2734">
        <v>10</v>
      </c>
      <c r="BW350" s="2734"/>
      <c r="BX350" s="2734">
        <v>20</v>
      </c>
      <c r="BY350" s="2734"/>
      <c r="BZ350" s="110">
        <v>30</v>
      </c>
      <c r="CA350" s="109">
        <v>1</v>
      </c>
      <c r="CB350" s="2734">
        <v>10</v>
      </c>
      <c r="CC350" s="2734"/>
      <c r="CD350" s="2734">
        <v>20</v>
      </c>
      <c r="CE350" s="2734"/>
      <c r="CF350" s="110">
        <v>30</v>
      </c>
      <c r="CG350" s="109">
        <v>1</v>
      </c>
      <c r="CH350" s="2734">
        <v>10</v>
      </c>
      <c r="CI350" s="2734"/>
      <c r="CJ350" s="2734">
        <v>20</v>
      </c>
      <c r="CK350" s="2734"/>
      <c r="CL350" s="110">
        <v>30</v>
      </c>
      <c r="CM350" s="109">
        <v>1</v>
      </c>
      <c r="CN350" s="2734">
        <v>10</v>
      </c>
      <c r="CO350" s="2734"/>
      <c r="CP350" s="2734">
        <v>20</v>
      </c>
      <c r="CQ350" s="2734"/>
      <c r="CR350" s="110">
        <v>30</v>
      </c>
      <c r="CS350" s="109">
        <v>1</v>
      </c>
      <c r="CT350" s="2734">
        <v>10</v>
      </c>
      <c r="CU350" s="2734"/>
      <c r="CV350" s="2734">
        <v>20</v>
      </c>
      <c r="CW350" s="2734"/>
      <c r="CX350" s="110">
        <v>30</v>
      </c>
      <c r="CY350" s="109">
        <v>1</v>
      </c>
      <c r="CZ350" s="2734">
        <v>10</v>
      </c>
      <c r="DA350" s="2734"/>
      <c r="DB350" s="2734">
        <v>20</v>
      </c>
      <c r="DC350" s="2734"/>
      <c r="DD350" s="110">
        <v>30</v>
      </c>
      <c r="DE350" s="109">
        <v>1</v>
      </c>
      <c r="DF350" s="2734">
        <v>10</v>
      </c>
      <c r="DG350" s="2734"/>
      <c r="DH350" s="2734">
        <v>20</v>
      </c>
      <c r="DI350" s="2734"/>
      <c r="DJ350" s="110">
        <v>30</v>
      </c>
      <c r="DK350" s="109">
        <v>1</v>
      </c>
      <c r="DL350" s="2734">
        <v>10</v>
      </c>
      <c r="DM350" s="2734"/>
      <c r="DN350" s="2734">
        <v>20</v>
      </c>
      <c r="DO350" s="2734"/>
      <c r="DP350" s="110">
        <v>30</v>
      </c>
      <c r="DQ350" s="109">
        <v>1</v>
      </c>
      <c r="DR350" s="2734">
        <v>10</v>
      </c>
      <c r="DS350" s="2734"/>
      <c r="DT350" s="2734">
        <v>20</v>
      </c>
      <c r="DU350" s="2734"/>
      <c r="DV350" s="110">
        <v>30</v>
      </c>
      <c r="DW350" s="109">
        <v>1</v>
      </c>
      <c r="DX350" s="2734">
        <v>10</v>
      </c>
      <c r="DY350" s="2734"/>
      <c r="DZ350" s="2734">
        <v>20</v>
      </c>
      <c r="EA350" s="2734"/>
      <c r="EB350" s="110">
        <v>30</v>
      </c>
      <c r="EC350" s="109">
        <v>1</v>
      </c>
      <c r="ED350" s="2734">
        <v>10</v>
      </c>
      <c r="EE350" s="2734"/>
      <c r="EF350" s="2734">
        <v>20</v>
      </c>
      <c r="EG350" s="2734"/>
      <c r="EH350" s="110">
        <v>30</v>
      </c>
      <c r="EI350" s="109">
        <v>1</v>
      </c>
      <c r="EJ350" s="2734">
        <v>10</v>
      </c>
      <c r="EK350" s="2734"/>
      <c r="EL350" s="2734">
        <v>20</v>
      </c>
      <c r="EM350" s="2734"/>
      <c r="EN350" s="110">
        <v>30</v>
      </c>
    </row>
    <row r="351" spans="1:198" ht="24.95" hidden="1" customHeight="1" thickBot="1">
      <c r="A351" s="2719" t="s">
        <v>9929</v>
      </c>
      <c r="B351" s="2720"/>
      <c r="C351" s="254"/>
      <c r="D351" s="2729" t="s">
        <v>16125</v>
      </c>
      <c r="E351" s="2730"/>
      <c r="F351" s="2730"/>
      <c r="G351" s="2730"/>
      <c r="H351" s="2730"/>
      <c r="I351" s="2730"/>
      <c r="J351" s="2730"/>
      <c r="K351" s="2730"/>
      <c r="L351" s="2730"/>
      <c r="M351" s="2730"/>
      <c r="N351" s="2730"/>
      <c r="O351" s="2730"/>
      <c r="P351" s="2730"/>
      <c r="Q351" s="2730"/>
      <c r="R351" s="2730"/>
      <c r="S351" s="255"/>
      <c r="T351" s="255"/>
      <c r="U351" s="255"/>
      <c r="V351" s="255"/>
      <c r="W351" s="255"/>
      <c r="X351" s="255"/>
      <c r="Y351" s="255"/>
      <c r="Z351" s="255"/>
      <c r="AA351" s="255"/>
      <c r="AB351" s="255"/>
      <c r="AC351" s="255"/>
      <c r="AD351" s="255"/>
      <c r="AE351" s="255"/>
      <c r="AF351" s="255"/>
      <c r="AG351" s="255"/>
      <c r="AH351" s="255"/>
      <c r="AI351" s="255"/>
      <c r="AJ351" s="255"/>
      <c r="AK351" s="255"/>
      <c r="AL351" s="255"/>
      <c r="AM351" s="255"/>
      <c r="AN351" s="255"/>
      <c r="AO351" s="255"/>
      <c r="AP351" s="255"/>
      <c r="AQ351" s="255"/>
      <c r="AR351" s="255"/>
      <c r="AS351" s="255"/>
      <c r="AT351" s="255"/>
      <c r="AU351" s="255"/>
      <c r="AV351" s="255"/>
      <c r="AW351" s="255"/>
      <c r="AX351" s="255"/>
      <c r="AY351" s="255"/>
      <c r="AZ351" s="255"/>
      <c r="BA351" s="255"/>
      <c r="BB351" s="255"/>
      <c r="BC351" s="255"/>
      <c r="BD351" s="255"/>
      <c r="BE351" s="255"/>
      <c r="BF351" s="255"/>
      <c r="BG351" s="255"/>
      <c r="BH351" s="255"/>
      <c r="BI351" s="255"/>
      <c r="BJ351" s="255"/>
      <c r="BK351" s="255"/>
      <c r="BL351" s="255"/>
      <c r="BM351" s="255"/>
      <c r="BN351" s="255"/>
      <c r="BO351" s="255"/>
      <c r="BP351" s="255"/>
      <c r="BQ351" s="255"/>
      <c r="BR351" s="255"/>
      <c r="BS351" s="255"/>
      <c r="BT351" s="255"/>
      <c r="BU351" s="256"/>
      <c r="BV351" s="255"/>
      <c r="BW351" s="257"/>
      <c r="BX351" s="255"/>
      <c r="BY351" s="258"/>
      <c r="BZ351" s="259"/>
      <c r="CA351" s="260"/>
      <c r="CB351" s="261"/>
      <c r="CC351" s="257"/>
      <c r="CD351" s="255"/>
      <c r="CE351" s="258"/>
      <c r="CF351" s="259"/>
      <c r="CG351" s="260"/>
      <c r="CH351" s="255"/>
      <c r="CI351" s="262"/>
      <c r="CJ351" s="255"/>
      <c r="CK351" s="262"/>
      <c r="CL351" s="263"/>
      <c r="CM351" s="260"/>
      <c r="CN351" s="255"/>
      <c r="CO351" s="262"/>
      <c r="CP351" s="264"/>
      <c r="CQ351" s="262"/>
      <c r="CR351" s="263"/>
      <c r="CS351" s="260"/>
      <c r="CT351" s="255"/>
      <c r="CU351" s="262"/>
      <c r="CV351" s="264"/>
      <c r="CW351" s="262"/>
      <c r="CX351" s="265"/>
      <c r="CY351" s="260"/>
      <c r="CZ351" s="255"/>
      <c r="DA351" s="262"/>
      <c r="DB351" s="255"/>
      <c r="DC351" s="266" t="s">
        <v>12469</v>
      </c>
      <c r="DD351" s="263"/>
      <c r="DE351" s="260" t="s">
        <v>12470</v>
      </c>
      <c r="DF351" s="255"/>
      <c r="DG351" s="262"/>
      <c r="DH351" s="255"/>
      <c r="DI351" s="262"/>
      <c r="DJ351" s="263"/>
      <c r="DK351" s="260" t="s">
        <v>15157</v>
      </c>
      <c r="DL351" s="255"/>
      <c r="DM351" s="262"/>
      <c r="DN351" s="267"/>
      <c r="DO351" s="262"/>
      <c r="DP351" s="263"/>
      <c r="DQ351" s="260"/>
      <c r="DR351" s="255"/>
      <c r="DS351" s="262"/>
      <c r="DT351" s="267"/>
      <c r="DU351" s="262"/>
      <c r="DV351" s="263"/>
      <c r="DW351" s="260"/>
      <c r="DX351" s="255"/>
      <c r="DY351" s="262"/>
      <c r="DZ351" s="267"/>
      <c r="EA351" s="262"/>
      <c r="EB351" s="263"/>
      <c r="EC351" s="260"/>
      <c r="ED351" s="255"/>
      <c r="EE351" s="262"/>
      <c r="EF351" s="267"/>
      <c r="EG351" s="262"/>
      <c r="EH351" s="263"/>
      <c r="EI351" s="260"/>
      <c r="EJ351" s="255"/>
      <c r="EK351" s="262"/>
      <c r="EL351" s="267"/>
      <c r="EM351" s="262"/>
      <c r="EN351" s="263"/>
    </row>
    <row r="352" spans="1:198" ht="20.100000000000001" customHeight="1">
      <c r="A352" s="10"/>
      <c r="B352" s="10"/>
      <c r="C352" s="10"/>
    </row>
    <row r="353" spans="1:3" ht="20.100000000000001" customHeight="1">
      <c r="A353" s="10"/>
      <c r="B353" s="10"/>
      <c r="C353" s="10"/>
    </row>
    <row r="354" spans="1:3" ht="20.100000000000001" customHeight="1">
      <c r="A354" s="10"/>
      <c r="B354" s="10"/>
      <c r="C354" s="10"/>
    </row>
    <row r="355" spans="1:3" ht="20.100000000000001" customHeight="1">
      <c r="A355" s="10"/>
      <c r="B355" s="10"/>
      <c r="C355" s="10"/>
    </row>
    <row r="356" spans="1:3" ht="20.100000000000001" customHeight="1">
      <c r="A356" s="10"/>
      <c r="B356" s="10"/>
      <c r="C356" s="10"/>
    </row>
    <row r="357" spans="1:3" ht="20.100000000000001" customHeight="1">
      <c r="A357" s="10"/>
      <c r="B357" s="10"/>
      <c r="C357" s="10"/>
    </row>
    <row r="358" spans="1:3" ht="20.100000000000001" customHeight="1">
      <c r="A358" s="10"/>
      <c r="B358" s="10"/>
      <c r="C358" s="10"/>
    </row>
    <row r="359" spans="1:3" ht="20.100000000000001" customHeight="1">
      <c r="A359" s="10"/>
      <c r="B359" s="10"/>
      <c r="C359" s="10"/>
    </row>
    <row r="360" spans="1:3" ht="20.100000000000001" customHeight="1">
      <c r="A360" s="10"/>
      <c r="B360" s="10"/>
      <c r="C360" s="10"/>
    </row>
    <row r="361" spans="1:3" ht="20.100000000000001" customHeight="1">
      <c r="A361" s="10"/>
      <c r="B361" s="10"/>
      <c r="C361" s="10"/>
    </row>
    <row r="362" spans="1:3" ht="20.100000000000001" customHeight="1">
      <c r="A362" s="10"/>
      <c r="B362" s="10"/>
      <c r="C362" s="10"/>
    </row>
    <row r="363" spans="1:3" ht="20.100000000000001" customHeight="1">
      <c r="A363" s="10"/>
      <c r="B363" s="10"/>
      <c r="C363" s="10"/>
    </row>
    <row r="364" spans="1:3" ht="20.100000000000001" customHeight="1">
      <c r="A364" s="10"/>
      <c r="B364" s="10"/>
      <c r="C364" s="10"/>
    </row>
    <row r="365" spans="1:3" ht="20.100000000000001" customHeight="1">
      <c r="A365" s="10"/>
      <c r="B365" s="10"/>
      <c r="C365" s="10"/>
    </row>
    <row r="366" spans="1:3" ht="20.100000000000001" customHeight="1">
      <c r="A366" s="10"/>
      <c r="B366" s="10"/>
      <c r="C366" s="10"/>
    </row>
    <row r="367" spans="1:3" ht="20.100000000000001" customHeight="1">
      <c r="A367" s="10"/>
      <c r="B367" s="10"/>
      <c r="C367" s="10"/>
    </row>
    <row r="368" spans="1:3" ht="20.100000000000001" customHeight="1">
      <c r="A368" s="10"/>
      <c r="B368" s="10"/>
      <c r="C368" s="10"/>
    </row>
    <row r="369" spans="1:174" ht="20.100000000000001" customHeight="1">
      <c r="A369" s="10"/>
      <c r="B369" s="10"/>
      <c r="C369" s="10"/>
    </row>
    <row r="370" spans="1:174" ht="20.100000000000001" customHeight="1">
      <c r="A370" s="10"/>
      <c r="B370" s="10"/>
      <c r="C370" s="10"/>
    </row>
    <row r="371" spans="1:174" ht="20.100000000000001" customHeight="1">
      <c r="A371" s="10"/>
      <c r="B371" s="10"/>
      <c r="C371" s="10"/>
    </row>
    <row r="372" spans="1:174" ht="20.100000000000001" customHeight="1"/>
    <row r="373" spans="1:174" ht="20.100000000000001" customHeight="1"/>
    <row r="374" spans="1:174" ht="33.75" customHeight="1"/>
    <row r="375" spans="1:174" ht="20.100000000000001" customHeight="1"/>
    <row r="376" spans="1:174" ht="20.100000000000001" customHeight="1"/>
    <row r="377" spans="1:174" ht="20.100000000000001" customHeight="1"/>
    <row r="378" spans="1:174" ht="20.100000000000001" customHeight="1">
      <c r="C378" s="179"/>
      <c r="D378" s="2726" t="str">
        <f>実績!C1500&amp;"("&amp;SUBSTITUTE(実績!R1500&amp;")","株式会社","")</f>
        <v>()</v>
      </c>
      <c r="E378" s="2727"/>
      <c r="F378" s="2727"/>
      <c r="G378" s="2727"/>
      <c r="H378" s="2727"/>
      <c r="I378" s="2727"/>
      <c r="J378" s="2727"/>
      <c r="K378" s="2727"/>
      <c r="L378" s="2727"/>
      <c r="M378" s="2727"/>
      <c r="N378" s="2727"/>
      <c r="O378" s="2727"/>
      <c r="P378" s="2727"/>
      <c r="Q378" s="2727"/>
      <c r="R378" s="2728"/>
      <c r="S378" s="26"/>
      <c r="T378" s="26"/>
      <c r="U378" s="54"/>
      <c r="V378" s="26"/>
      <c r="W378" s="54"/>
      <c r="X378" s="55"/>
      <c r="Y378" s="26"/>
      <c r="Z378" s="26"/>
      <c r="AA378" s="54"/>
      <c r="AB378" s="26"/>
      <c r="AC378" s="54"/>
      <c r="AD378" s="26"/>
      <c r="AE378" s="56"/>
      <c r="AF378" s="26"/>
      <c r="AG378" s="54"/>
      <c r="AH378" s="26"/>
      <c r="AI378" s="54"/>
      <c r="AJ378" s="55"/>
      <c r="AK378" s="26"/>
      <c r="AL378" s="26"/>
      <c r="AM378" s="54"/>
      <c r="AN378" s="26"/>
      <c r="AO378" s="54"/>
      <c r="AP378" s="26"/>
      <c r="AQ378" s="53"/>
      <c r="AR378" s="26"/>
      <c r="AS378" s="54"/>
      <c r="AT378" s="26"/>
      <c r="AU378" s="54"/>
      <c r="AV378" s="55"/>
      <c r="AW378" s="56"/>
      <c r="AX378" s="26"/>
      <c r="AY378" s="54"/>
      <c r="AZ378" s="26"/>
      <c r="BA378" s="54"/>
      <c r="BB378" s="55"/>
      <c r="BC378" s="26"/>
      <c r="BD378" s="26"/>
      <c r="BE378" s="54"/>
      <c r="BF378" s="26"/>
      <c r="BG378" s="54"/>
      <c r="BH378" s="26"/>
      <c r="BI378" s="56"/>
      <c r="BJ378" s="26"/>
      <c r="BK378" s="54"/>
      <c r="BL378" s="26"/>
      <c r="BM378" s="54"/>
      <c r="BN378" s="55"/>
      <c r="BO378" s="56"/>
      <c r="BP378" s="26"/>
      <c r="BQ378" s="54"/>
      <c r="BR378" s="70"/>
      <c r="BS378" s="54"/>
      <c r="BT378" s="55"/>
      <c r="BU378" s="56"/>
      <c r="BV378" s="26"/>
      <c r="BW378" s="54"/>
      <c r="BX378" s="26"/>
      <c r="BY378" s="54"/>
      <c r="BZ378" s="55"/>
      <c r="CA378" s="56"/>
      <c r="CB378" s="26"/>
      <c r="CC378" s="54"/>
      <c r="CD378" s="26"/>
      <c r="CE378" s="54"/>
      <c r="CF378" s="55"/>
      <c r="CG378" s="56"/>
      <c r="CH378" s="26"/>
      <c r="CI378" s="54"/>
      <c r="CJ378" s="26"/>
      <c r="CK378" s="54"/>
      <c r="CL378" s="55"/>
      <c r="CM378" s="56"/>
      <c r="CN378" s="26"/>
      <c r="CO378" s="54"/>
      <c r="CP378" s="118"/>
      <c r="CQ378" s="54"/>
      <c r="CR378" s="55"/>
      <c r="CS378" s="56"/>
      <c r="CT378" s="26"/>
      <c r="CU378" s="54"/>
      <c r="CV378" s="26"/>
      <c r="CW378" s="54"/>
      <c r="CX378" s="55"/>
      <c r="CY378" s="56"/>
      <c r="CZ378" s="26"/>
      <c r="DA378" s="54"/>
      <c r="DB378" s="26"/>
      <c r="DC378" s="54"/>
      <c r="DD378" s="55"/>
      <c r="DE378" s="56"/>
      <c r="DF378" s="26"/>
      <c r="DG378" s="54"/>
      <c r="DH378" s="26"/>
      <c r="DI378" s="54"/>
      <c r="DJ378" s="55"/>
      <c r="DK378" s="56"/>
      <c r="DL378" s="26"/>
      <c r="DM378" s="54"/>
      <c r="DN378" s="26"/>
      <c r="DO378" s="54"/>
      <c r="DP378" s="55"/>
      <c r="DQ378" s="56"/>
      <c r="DR378" s="26"/>
      <c r="DS378" s="54"/>
      <c r="DT378" s="26"/>
      <c r="DU378" s="54"/>
      <c r="DV378" s="55"/>
      <c r="DW378" s="56"/>
      <c r="DX378" s="26"/>
      <c r="DY378" s="54"/>
      <c r="DZ378" s="26"/>
      <c r="EA378" s="54"/>
      <c r="EB378" s="55"/>
      <c r="EC378" s="56"/>
      <c r="ED378" s="26"/>
      <c r="EE378" s="54"/>
      <c r="EF378" s="26"/>
      <c r="EG378" s="54"/>
      <c r="EH378" s="55"/>
      <c r="EI378" s="158"/>
      <c r="EJ378" s="159"/>
      <c r="EK378" s="160"/>
      <c r="EL378" s="159"/>
      <c r="EM378" s="160"/>
      <c r="EN378" s="161"/>
      <c r="EO378" s="158"/>
      <c r="EP378" s="159"/>
      <c r="EQ378" s="160"/>
      <c r="ER378" s="159"/>
      <c r="ES378" s="160"/>
      <c r="ET378" s="161"/>
      <c r="EU378" s="158"/>
      <c r="EV378" s="159"/>
      <c r="EW378" s="160"/>
      <c r="EX378" s="159"/>
      <c r="EY378" s="160"/>
      <c r="EZ378" s="161"/>
      <c r="FA378" s="158"/>
      <c r="FB378" s="159"/>
      <c r="FC378" s="160"/>
      <c r="FD378" s="159"/>
      <c r="FE378" s="160"/>
      <c r="FF378" s="161"/>
      <c r="FG378" s="158"/>
      <c r="FH378" s="159"/>
      <c r="FI378" s="160"/>
      <c r="FJ378" s="159"/>
      <c r="FK378" s="160"/>
      <c r="FL378" s="161"/>
      <c r="FM378" s="158"/>
      <c r="FN378" s="159"/>
      <c r="FO378" s="160"/>
      <c r="FP378" s="159"/>
      <c r="FQ378" s="160"/>
      <c r="FR378" s="161"/>
    </row>
    <row r="379" spans="1:174">
      <c r="B379" s="4"/>
    </row>
    <row r="380" spans="1:174" s="4" customFormat="1" ht="14.25" thickBot="1">
      <c r="D380" s="1297"/>
      <c r="E380" s="1297"/>
      <c r="F380" s="1297"/>
      <c r="G380" s="1297"/>
      <c r="H380" s="1297"/>
      <c r="I380" s="1297"/>
      <c r="J380" s="1298"/>
      <c r="K380" s="1298"/>
      <c r="L380" s="1297"/>
      <c r="M380" s="1297"/>
      <c r="N380" s="1297"/>
      <c r="O380" s="1297"/>
      <c r="P380" s="10"/>
    </row>
    <row r="381" spans="1:174" s="4" customFormat="1" ht="6" customHeight="1">
      <c r="D381" s="1297"/>
      <c r="E381" s="1299"/>
      <c r="F381" s="1300"/>
      <c r="G381" s="1301"/>
      <c r="H381" s="1301"/>
      <c r="I381" s="1301"/>
      <c r="J381" s="1300"/>
      <c r="K381" s="1300"/>
      <c r="L381" s="1301"/>
      <c r="M381" s="1301"/>
      <c r="N381" s="1302"/>
      <c r="O381" s="1297"/>
      <c r="P381" s="10"/>
    </row>
    <row r="382" spans="1:174" s="4" customFormat="1" ht="14.25">
      <c r="D382" s="1297"/>
      <c r="E382" s="1303"/>
      <c r="F382" s="1312" t="s">
        <v>9976</v>
      </c>
      <c r="G382" s="1298"/>
      <c r="H382" s="1304"/>
      <c r="I382" s="1304"/>
      <c r="J382" s="1305"/>
      <c r="K382" s="1305"/>
      <c r="L382" s="1304"/>
      <c r="M382" s="1304"/>
      <c r="N382" s="1306"/>
      <c r="O382" s="1297"/>
      <c r="P382" s="10"/>
    </row>
    <row r="383" spans="1:174" s="4" customFormat="1" ht="15.95" customHeight="1">
      <c r="D383" s="1297"/>
      <c r="E383" s="1303"/>
      <c r="F383" s="1305"/>
      <c r="G383" s="1304"/>
      <c r="H383" s="1312" t="s">
        <v>16872</v>
      </c>
      <c r="I383" s="1312"/>
      <c r="J383" s="1305"/>
      <c r="K383" s="1305"/>
      <c r="L383" s="1304"/>
      <c r="M383" s="1304"/>
      <c r="N383" s="1307"/>
      <c r="O383" s="1297"/>
      <c r="P383" s="10"/>
    </row>
    <row r="384" spans="1:174" s="4" customFormat="1" ht="3" customHeight="1">
      <c r="D384" s="1297"/>
      <c r="E384" s="1303"/>
      <c r="F384" s="1305"/>
      <c r="G384" s="1304"/>
      <c r="H384" s="1312"/>
      <c r="I384" s="1312"/>
      <c r="J384" s="1305"/>
      <c r="K384" s="1305"/>
      <c r="L384" s="1304"/>
      <c r="M384" s="1304"/>
      <c r="N384" s="1307"/>
      <c r="O384" s="1297"/>
      <c r="P384" s="10"/>
    </row>
    <row r="385" spans="4:16" s="4" customFormat="1" ht="15.95" customHeight="1">
      <c r="D385" s="1297"/>
      <c r="E385" s="1303"/>
      <c r="F385" s="1305"/>
      <c r="G385" s="1304"/>
      <c r="H385" s="1312" t="s">
        <v>16873</v>
      </c>
      <c r="I385" s="1312"/>
      <c r="J385" s="1305"/>
      <c r="K385" s="1305"/>
      <c r="L385" s="1304"/>
      <c r="M385" s="1304"/>
      <c r="N385" s="1307"/>
      <c r="O385" s="1297"/>
      <c r="P385" s="10"/>
    </row>
    <row r="386" spans="4:16" s="4" customFormat="1" ht="3" customHeight="1">
      <c r="D386" s="1297"/>
      <c r="E386" s="1303"/>
      <c r="F386" s="1305"/>
      <c r="G386" s="1304"/>
      <c r="H386" s="1312"/>
      <c r="I386" s="1312"/>
      <c r="J386" s="1305"/>
      <c r="K386" s="1305"/>
      <c r="L386" s="1304"/>
      <c r="M386" s="1304"/>
      <c r="N386" s="1307"/>
      <c r="O386" s="1297"/>
      <c r="P386" s="10"/>
    </row>
    <row r="387" spans="4:16" s="4" customFormat="1" ht="15.95" customHeight="1">
      <c r="D387" s="1297"/>
      <c r="E387" s="1303"/>
      <c r="F387" s="1305"/>
      <c r="G387" s="1304"/>
      <c r="H387" s="1312" t="s">
        <v>9973</v>
      </c>
      <c r="I387" s="1312"/>
      <c r="J387" s="1305"/>
      <c r="K387" s="1305"/>
      <c r="L387" s="1304"/>
      <c r="M387" s="1304"/>
      <c r="N387" s="1307"/>
      <c r="O387" s="1297"/>
      <c r="P387" s="10"/>
    </row>
    <row r="388" spans="4:16" s="4" customFormat="1" ht="3" customHeight="1">
      <c r="D388" s="1297"/>
      <c r="E388" s="1303"/>
      <c r="F388" s="1305"/>
      <c r="G388" s="1304"/>
      <c r="H388" s="1312"/>
      <c r="I388" s="1312"/>
      <c r="J388" s="1305"/>
      <c r="K388" s="1305"/>
      <c r="L388" s="1304"/>
      <c r="M388" s="1304"/>
      <c r="N388" s="1307"/>
      <c r="O388" s="1297"/>
      <c r="P388" s="10"/>
    </row>
    <row r="389" spans="4:16" s="4" customFormat="1" ht="15.95" customHeight="1">
      <c r="D389" s="1297"/>
      <c r="E389" s="1303"/>
      <c r="F389" s="2724" t="s">
        <v>9975</v>
      </c>
      <c r="G389" s="2724"/>
      <c r="H389" s="1312" t="s">
        <v>9974</v>
      </c>
      <c r="I389" s="1312"/>
      <c r="J389" s="1305"/>
      <c r="K389" s="1305"/>
      <c r="L389" s="1304"/>
      <c r="M389" s="1304"/>
      <c r="N389" s="1307"/>
      <c r="O389" s="1297"/>
      <c r="P389" s="10"/>
    </row>
    <row r="390" spans="4:16" s="4" customFormat="1" ht="3" customHeight="1">
      <c r="D390" s="1297"/>
      <c r="E390" s="1303"/>
      <c r="F390" s="1305"/>
      <c r="G390" s="1304"/>
      <c r="H390" s="1312"/>
      <c r="I390" s="1312"/>
      <c r="J390" s="1305"/>
      <c r="K390" s="1305"/>
      <c r="L390" s="1304"/>
      <c r="M390" s="1304"/>
      <c r="N390" s="1307"/>
      <c r="O390" s="1297"/>
      <c r="P390" s="10"/>
    </row>
    <row r="391" spans="4:16" s="4" customFormat="1" ht="15.95" customHeight="1">
      <c r="D391" s="1297"/>
      <c r="E391" s="1303"/>
      <c r="F391" s="2725"/>
      <c r="G391" s="2725"/>
      <c r="H391" s="1312" t="s">
        <v>17380</v>
      </c>
      <c r="I391" s="1312"/>
      <c r="J391" s="1305"/>
      <c r="K391" s="1305"/>
      <c r="L391" s="1304"/>
      <c r="M391" s="1304"/>
      <c r="N391" s="1307"/>
      <c r="O391" s="1297"/>
      <c r="P391" s="10"/>
    </row>
    <row r="392" spans="4:16" s="4" customFormat="1" ht="3" customHeight="1">
      <c r="D392" s="1297"/>
      <c r="E392" s="1303"/>
      <c r="F392" s="1305"/>
      <c r="G392" s="1304"/>
      <c r="H392" s="1312"/>
      <c r="I392" s="1312"/>
      <c r="J392" s="1305"/>
      <c r="K392" s="1305"/>
      <c r="L392" s="1304"/>
      <c r="M392" s="1304"/>
      <c r="N392" s="1307"/>
      <c r="O392" s="1297"/>
      <c r="P392" s="10"/>
    </row>
    <row r="393" spans="4:16" s="4" customFormat="1" ht="15.95" customHeight="1">
      <c r="D393" s="1297"/>
      <c r="E393" s="1303"/>
      <c r="F393" s="2723"/>
      <c r="G393" s="2723"/>
      <c r="H393" s="1312" t="s">
        <v>17381</v>
      </c>
      <c r="I393" s="1312"/>
      <c r="J393" s="1305"/>
      <c r="K393" s="1305"/>
      <c r="L393" s="1304"/>
      <c r="M393" s="1304"/>
      <c r="N393" s="1307"/>
      <c r="O393" s="1297"/>
      <c r="P393" s="10"/>
    </row>
    <row r="394" spans="4:16" s="4" customFormat="1" ht="6" customHeight="1" thickBot="1">
      <c r="D394" s="1297"/>
      <c r="E394" s="1308"/>
      <c r="F394" s="1309"/>
      <c r="G394" s="1310"/>
      <c r="H394" s="1310"/>
      <c r="I394" s="1310"/>
      <c r="J394" s="1309"/>
      <c r="K394" s="1309"/>
      <c r="L394" s="1310"/>
      <c r="M394" s="1310"/>
      <c r="N394" s="1311"/>
      <c r="O394" s="1297"/>
      <c r="P394" s="10"/>
    </row>
    <row r="395" spans="4:16" s="4" customFormat="1">
      <c r="D395" s="1297"/>
      <c r="E395" s="1297"/>
      <c r="F395" s="1297"/>
      <c r="G395" s="1297"/>
      <c r="H395" s="1297"/>
      <c r="I395" s="1297"/>
      <c r="J395" s="1298"/>
      <c r="K395" s="1298"/>
      <c r="L395" s="1297"/>
      <c r="M395" s="1297"/>
      <c r="N395" s="1297"/>
      <c r="O395" s="1297"/>
      <c r="P395" s="10"/>
    </row>
    <row r="396" spans="4:16" s="4" customFormat="1" ht="13.5" customHeight="1">
      <c r="J396" s="10"/>
      <c r="K396" s="10"/>
    </row>
    <row r="401" spans="1:3" ht="13.5" customHeight="1">
      <c r="A401" s="10"/>
      <c r="B401" s="10"/>
      <c r="C401" s="10"/>
    </row>
    <row r="406" spans="1:3" ht="13.5" customHeight="1">
      <c r="A406" s="10"/>
      <c r="B406" s="10"/>
      <c r="C406" s="10"/>
    </row>
  </sheetData>
  <mergeCells count="500">
    <mergeCell ref="D342:R342"/>
    <mergeCell ref="D76:Q76"/>
    <mergeCell ref="D321:R321"/>
    <mergeCell ref="B319:B323"/>
    <mergeCell ref="D320:R320"/>
    <mergeCell ref="B338:B346"/>
    <mergeCell ref="A329:A346"/>
    <mergeCell ref="D325:R325"/>
    <mergeCell ref="D330:R330"/>
    <mergeCell ref="D204:R204"/>
    <mergeCell ref="D211:R211"/>
    <mergeCell ref="D202:R202"/>
    <mergeCell ref="D213:R213"/>
    <mergeCell ref="D237:R237"/>
    <mergeCell ref="D219:R219"/>
    <mergeCell ref="D216:R216"/>
    <mergeCell ref="D241:R241"/>
    <mergeCell ref="D236:R236"/>
    <mergeCell ref="D226:R226"/>
    <mergeCell ref="D187:Q187"/>
    <mergeCell ref="D190:Q190"/>
    <mergeCell ref="D209:R209"/>
    <mergeCell ref="D314:R314"/>
    <mergeCell ref="D229:R229"/>
    <mergeCell ref="D228:R228"/>
    <mergeCell ref="D159:Q159"/>
    <mergeCell ref="D195:Q195"/>
    <mergeCell ref="D164:Q164"/>
    <mergeCell ref="D198:R198"/>
    <mergeCell ref="D158:Q158"/>
    <mergeCell ref="D161:Q161"/>
    <mergeCell ref="D222:R222"/>
    <mergeCell ref="D185:Q185"/>
    <mergeCell ref="D176:Q176"/>
    <mergeCell ref="D189:Q189"/>
    <mergeCell ref="D307:R307"/>
    <mergeCell ref="D305:R305"/>
    <mergeCell ref="D199:R199"/>
    <mergeCell ref="D182:Q182"/>
    <mergeCell ref="D184:Q184"/>
    <mergeCell ref="D192:Q192"/>
    <mergeCell ref="D248:R248"/>
    <mergeCell ref="D203:R203"/>
    <mergeCell ref="D210:R210"/>
    <mergeCell ref="D206:R206"/>
    <mergeCell ref="GE4:GJ4"/>
    <mergeCell ref="GF5:GG5"/>
    <mergeCell ref="GH5:GI5"/>
    <mergeCell ref="D70:R70"/>
    <mergeCell ref="D281:R281"/>
    <mergeCell ref="D286:R286"/>
    <mergeCell ref="D279:R279"/>
    <mergeCell ref="D225:R225"/>
    <mergeCell ref="D227:R227"/>
    <mergeCell ref="D265:R265"/>
    <mergeCell ref="D258:R258"/>
    <mergeCell ref="D240:R240"/>
    <mergeCell ref="D268:R268"/>
    <mergeCell ref="D270:R270"/>
    <mergeCell ref="D124:Q124"/>
    <mergeCell ref="D80:Q80"/>
    <mergeCell ref="D64:I64"/>
    <mergeCell ref="D72:R72"/>
    <mergeCell ref="D74:Q74"/>
    <mergeCell ref="D283:R283"/>
    <mergeCell ref="D212:R212"/>
    <mergeCell ref="D186:Q186"/>
    <mergeCell ref="D217:R217"/>
    <mergeCell ref="D201:R201"/>
    <mergeCell ref="D246:R246"/>
    <mergeCell ref="D220:R220"/>
    <mergeCell ref="D243:R243"/>
    <mergeCell ref="D271:R271"/>
    <mergeCell ref="D261:R261"/>
    <mergeCell ref="D277:R277"/>
    <mergeCell ref="D274:R274"/>
    <mergeCell ref="D257:R257"/>
    <mergeCell ref="D223:R223"/>
    <mergeCell ref="D230:R230"/>
    <mergeCell ref="D234:R234"/>
    <mergeCell ref="D249:R249"/>
    <mergeCell ref="D254:R254"/>
    <mergeCell ref="D231:R231"/>
    <mergeCell ref="D272:R272"/>
    <mergeCell ref="D235:R235"/>
    <mergeCell ref="D275:R275"/>
    <mergeCell ref="D245:R245"/>
    <mergeCell ref="CT350:CU350"/>
    <mergeCell ref="CV350:CW350"/>
    <mergeCell ref="DN350:DO350"/>
    <mergeCell ref="CN350:CO350"/>
    <mergeCell ref="D297:R297"/>
    <mergeCell ref="D276:R276"/>
    <mergeCell ref="D278:R278"/>
    <mergeCell ref="BU349:BZ349"/>
    <mergeCell ref="BO349:BT349"/>
    <mergeCell ref="DF350:DG350"/>
    <mergeCell ref="D329:R329"/>
    <mergeCell ref="CB350:CC350"/>
    <mergeCell ref="BX350:BY350"/>
    <mergeCell ref="D292:R292"/>
    <mergeCell ref="D289:R289"/>
    <mergeCell ref="D291:R291"/>
    <mergeCell ref="D311:R311"/>
    <mergeCell ref="BR350:BS350"/>
    <mergeCell ref="BP350:BQ350"/>
    <mergeCell ref="D317:R317"/>
    <mergeCell ref="D324:R324"/>
    <mergeCell ref="D319:R319"/>
    <mergeCell ref="D301:R301"/>
    <mergeCell ref="D326:R326"/>
    <mergeCell ref="EJ350:EK350"/>
    <mergeCell ref="EL350:EM350"/>
    <mergeCell ref="EC349:EH349"/>
    <mergeCell ref="ED350:EE350"/>
    <mergeCell ref="EF350:EG350"/>
    <mergeCell ref="CG349:CL349"/>
    <mergeCell ref="CA349:CF349"/>
    <mergeCell ref="CZ350:DA350"/>
    <mergeCell ref="CM349:CR349"/>
    <mergeCell ref="DE349:DJ349"/>
    <mergeCell ref="DH350:DI350"/>
    <mergeCell ref="EI349:EN349"/>
    <mergeCell ref="DW349:EB349"/>
    <mergeCell ref="DX350:DY350"/>
    <mergeCell ref="DZ350:EA350"/>
    <mergeCell ref="DL350:DM350"/>
    <mergeCell ref="DQ349:DV349"/>
    <mergeCell ref="DT350:DU350"/>
    <mergeCell ref="DK349:DP349"/>
    <mergeCell ref="CP350:CQ350"/>
    <mergeCell ref="CJ350:CK350"/>
    <mergeCell ref="CY349:DD349"/>
    <mergeCell ref="DR350:DS350"/>
    <mergeCell ref="CS349:CX349"/>
    <mergeCell ref="DB350:DC350"/>
    <mergeCell ref="CH350:CI350"/>
    <mergeCell ref="D328:R328"/>
    <mergeCell ref="D308:R308"/>
    <mergeCell ref="D295:R295"/>
    <mergeCell ref="D298:R298"/>
    <mergeCell ref="D300:R300"/>
    <mergeCell ref="D299:R299"/>
    <mergeCell ref="CD350:CE350"/>
    <mergeCell ref="BV350:BW350"/>
    <mergeCell ref="D318:R318"/>
    <mergeCell ref="D309:R309"/>
    <mergeCell ref="D312:R312"/>
    <mergeCell ref="D315:R315"/>
    <mergeCell ref="D306:R306"/>
    <mergeCell ref="D302:R302"/>
    <mergeCell ref="D341:R341"/>
    <mergeCell ref="D344:R344"/>
    <mergeCell ref="D313:R313"/>
    <mergeCell ref="D303:R303"/>
    <mergeCell ref="D316:R316"/>
    <mergeCell ref="D346:R346"/>
    <mergeCell ref="D331:R331"/>
    <mergeCell ref="D332:R332"/>
    <mergeCell ref="F393:G393"/>
    <mergeCell ref="F389:G389"/>
    <mergeCell ref="D253:R253"/>
    <mergeCell ref="D215:R215"/>
    <mergeCell ref="D224:R224"/>
    <mergeCell ref="D260:R260"/>
    <mergeCell ref="F391:G391"/>
    <mergeCell ref="D378:R378"/>
    <mergeCell ref="D351:R351"/>
    <mergeCell ref="D285:R285"/>
    <mergeCell ref="D282:R282"/>
    <mergeCell ref="D269:R269"/>
    <mergeCell ref="D264:R264"/>
    <mergeCell ref="D263:R263"/>
    <mergeCell ref="D266:R266"/>
    <mergeCell ref="D262:R262"/>
    <mergeCell ref="D247:R247"/>
    <mergeCell ref="D334:R334"/>
    <mergeCell ref="D296:R296"/>
    <mergeCell ref="D340:R340"/>
    <mergeCell ref="D345:R345"/>
    <mergeCell ref="D323:R323"/>
    <mergeCell ref="D239:R239"/>
    <mergeCell ref="D294:R294"/>
    <mergeCell ref="D108:Q108"/>
    <mergeCell ref="D127:Q127"/>
    <mergeCell ref="D150:Q150"/>
    <mergeCell ref="D145:Q145"/>
    <mergeCell ref="D155:Q155"/>
    <mergeCell ref="D136:Q136"/>
    <mergeCell ref="D135:Q135"/>
    <mergeCell ref="D133:Q133"/>
    <mergeCell ref="D130:Q130"/>
    <mergeCell ref="D144:Q144"/>
    <mergeCell ref="D128:Q128"/>
    <mergeCell ref="D151:Q151"/>
    <mergeCell ref="D154:Q154"/>
    <mergeCell ref="D149:Q149"/>
    <mergeCell ref="D132:Q132"/>
    <mergeCell ref="D111:Q111"/>
    <mergeCell ref="D113:Q113"/>
    <mergeCell ref="D126:Q126"/>
    <mergeCell ref="D129:Q129"/>
    <mergeCell ref="D134:Q134"/>
    <mergeCell ref="D118:Q118"/>
    <mergeCell ref="D123:Q123"/>
    <mergeCell ref="D137:Q137"/>
    <mergeCell ref="D139:Q139"/>
    <mergeCell ref="D175:Q175"/>
    <mergeCell ref="D177:Q177"/>
    <mergeCell ref="D180:Q180"/>
    <mergeCell ref="D179:J179"/>
    <mergeCell ref="D167:Q167"/>
    <mergeCell ref="D193:Q193"/>
    <mergeCell ref="D188:Q188"/>
    <mergeCell ref="D153:Q153"/>
    <mergeCell ref="D163:Q163"/>
    <mergeCell ref="D143:Q143"/>
    <mergeCell ref="D142:Q142"/>
    <mergeCell ref="D140:Q140"/>
    <mergeCell ref="D146:Q146"/>
    <mergeCell ref="D173:Q173"/>
    <mergeCell ref="D171:L171"/>
    <mergeCell ref="D156:Q156"/>
    <mergeCell ref="D174:Q174"/>
    <mergeCell ref="D166:Q166"/>
    <mergeCell ref="D165:Q165"/>
    <mergeCell ref="D148:Q148"/>
    <mergeCell ref="D141:Q141"/>
    <mergeCell ref="A351:B351"/>
    <mergeCell ref="D218:R218"/>
    <mergeCell ref="C349:Q350"/>
    <mergeCell ref="D172:Q172"/>
    <mergeCell ref="D200:R200"/>
    <mergeCell ref="D252:R252"/>
    <mergeCell ref="D251:R251"/>
    <mergeCell ref="D267:R267"/>
    <mergeCell ref="D284:R284"/>
    <mergeCell ref="D244:R244"/>
    <mergeCell ref="D290:R290"/>
    <mergeCell ref="D181:Q181"/>
    <mergeCell ref="K179:Q179"/>
    <mergeCell ref="D194:Q194"/>
    <mergeCell ref="D337:R337"/>
    <mergeCell ref="D259:R259"/>
    <mergeCell ref="D178:P178"/>
    <mergeCell ref="D310:R310"/>
    <mergeCell ref="D287:R287"/>
    <mergeCell ref="D293:R293"/>
    <mergeCell ref="D221:R221"/>
    <mergeCell ref="D256:R256"/>
    <mergeCell ref="D242:R242"/>
    <mergeCell ref="D233:R233"/>
    <mergeCell ref="D191:Q191"/>
    <mergeCell ref="D255:R255"/>
    <mergeCell ref="D205:R205"/>
    <mergeCell ref="FP5:FQ5"/>
    <mergeCell ref="D138:Q138"/>
    <mergeCell ref="EO4:ET4"/>
    <mergeCell ref="EP5:EQ5"/>
    <mergeCell ref="FG4:FL4"/>
    <mergeCell ref="FH5:FI5"/>
    <mergeCell ref="FJ5:FK5"/>
    <mergeCell ref="CG4:CL4"/>
    <mergeCell ref="CZ5:DA5"/>
    <mergeCell ref="DB5:DC5"/>
    <mergeCell ref="EJ5:EK5"/>
    <mergeCell ref="ER5:ES5"/>
    <mergeCell ref="D25:Q26"/>
    <mergeCell ref="D11:Q11"/>
    <mergeCell ref="D7:R7"/>
    <mergeCell ref="CM4:CR4"/>
    <mergeCell ref="DW4:EB4"/>
    <mergeCell ref="D100:Q100"/>
    <mergeCell ref="D197:R197"/>
    <mergeCell ref="D196:Q196"/>
    <mergeCell ref="D152:Q152"/>
    <mergeCell ref="FS4:FX4"/>
    <mergeCell ref="FT5:FU5"/>
    <mergeCell ref="FV5:FW5"/>
    <mergeCell ref="D12:Q12"/>
    <mergeCell ref="D13:Q13"/>
    <mergeCell ref="D15:R15"/>
    <mergeCell ref="FD5:FE5"/>
    <mergeCell ref="EU4:EZ4"/>
    <mergeCell ref="EV5:EW5"/>
    <mergeCell ref="EX5:EY5"/>
    <mergeCell ref="EL5:EM5"/>
    <mergeCell ref="EC4:EH4"/>
    <mergeCell ref="DT5:DU5"/>
    <mergeCell ref="DZ5:EA5"/>
    <mergeCell ref="ED5:EE5"/>
    <mergeCell ref="DX5:DY5"/>
    <mergeCell ref="FM4:FR4"/>
    <mergeCell ref="V5:W5"/>
    <mergeCell ref="AF5:AG5"/>
    <mergeCell ref="A349:B350"/>
    <mergeCell ref="D273:R273"/>
    <mergeCell ref="D238:R238"/>
    <mergeCell ref="D232:R232"/>
    <mergeCell ref="A21:A28"/>
    <mergeCell ref="C25:C26"/>
    <mergeCell ref="C27:C28"/>
    <mergeCell ref="D157:Q157"/>
    <mergeCell ref="D170:Q170"/>
    <mergeCell ref="D162:Q162"/>
    <mergeCell ref="D47:Q47"/>
    <mergeCell ref="D43:Q43"/>
    <mergeCell ref="D147:Q147"/>
    <mergeCell ref="D109:Q109"/>
    <mergeCell ref="D280:R280"/>
    <mergeCell ref="D207:R207"/>
    <mergeCell ref="D87:Q87"/>
    <mergeCell ref="D304:R304"/>
    <mergeCell ref="D104:Q104"/>
    <mergeCell ref="D84:Q84"/>
    <mergeCell ref="D86:Q86"/>
    <mergeCell ref="D91:Q91"/>
    <mergeCell ref="D65:R65"/>
    <mergeCell ref="A73:A327"/>
    <mergeCell ref="CB5:CC5"/>
    <mergeCell ref="BI4:BN4"/>
    <mergeCell ref="DQ4:DV4"/>
    <mergeCell ref="BP5:BQ5"/>
    <mergeCell ref="CH5:CI5"/>
    <mergeCell ref="DL5:DM5"/>
    <mergeCell ref="DE4:DJ4"/>
    <mergeCell ref="CD5:CE5"/>
    <mergeCell ref="DN5:DO5"/>
    <mergeCell ref="CY4:DD4"/>
    <mergeCell ref="CV5:CW5"/>
    <mergeCell ref="CT5:CU5"/>
    <mergeCell ref="CA4:CF4"/>
    <mergeCell ref="BX5:BY5"/>
    <mergeCell ref="CN5:CO5"/>
    <mergeCell ref="CP5:CQ5"/>
    <mergeCell ref="CJ5:CK5"/>
    <mergeCell ref="DK4:DP4"/>
    <mergeCell ref="D336:R336"/>
    <mergeCell ref="D333:R333"/>
    <mergeCell ref="D31:Q31"/>
    <mergeCell ref="D32:Q32"/>
    <mergeCell ref="D21:R21"/>
    <mergeCell ref="D67:R67"/>
    <mergeCell ref="J64:R64"/>
    <mergeCell ref="D45:Q45"/>
    <mergeCell ref="D63:R63"/>
    <mergeCell ref="D66:R66"/>
    <mergeCell ref="D62:R62"/>
    <mergeCell ref="D29:Q29"/>
    <mergeCell ref="D46:Q46"/>
    <mergeCell ref="D52:Q52"/>
    <mergeCell ref="D288:R288"/>
    <mergeCell ref="D214:R214"/>
    <mergeCell ref="D250:R250"/>
    <mergeCell ref="D69:R69"/>
    <mergeCell ref="D327:R327"/>
    <mergeCell ref="D40:Q40"/>
    <mergeCell ref="D51:R51"/>
    <mergeCell ref="D22:Q22"/>
    <mergeCell ref="D208:R208"/>
    <mergeCell ref="D183:Q183"/>
    <mergeCell ref="D97:Q97"/>
    <mergeCell ref="D89:Q89"/>
    <mergeCell ref="D83:Q83"/>
    <mergeCell ref="D92:Q92"/>
    <mergeCell ref="D88:Q88"/>
    <mergeCell ref="AB5:AC5"/>
    <mergeCell ref="Z5:AA5"/>
    <mergeCell ref="D53:Q53"/>
    <mergeCell ref="D57:R57"/>
    <mergeCell ref="D34:Q34"/>
    <mergeCell ref="D27:Q28"/>
    <mergeCell ref="D23:Q24"/>
    <mergeCell ref="D36:Q36"/>
    <mergeCell ref="D30:Q30"/>
    <mergeCell ref="D35:Q35"/>
    <mergeCell ref="D33:Q33"/>
    <mergeCell ref="D16:R16"/>
    <mergeCell ref="D55:Q55"/>
    <mergeCell ref="D39:Q39"/>
    <mergeCell ref="D54:Q54"/>
    <mergeCell ref="D41:Q41"/>
    <mergeCell ref="D44:Q44"/>
    <mergeCell ref="D50:R50"/>
    <mergeCell ref="D56:Q56"/>
    <mergeCell ref="GL1:GP2"/>
    <mergeCell ref="GL3:GP3"/>
    <mergeCell ref="FY4:GD4"/>
    <mergeCell ref="FZ5:GA5"/>
    <mergeCell ref="GB5:GC5"/>
    <mergeCell ref="BO4:BT4"/>
    <mergeCell ref="BV5:BW5"/>
    <mergeCell ref="AR5:AS5"/>
    <mergeCell ref="AW4:BB4"/>
    <mergeCell ref="AX5:AY5"/>
    <mergeCell ref="BC4:BH4"/>
    <mergeCell ref="BF5:BG5"/>
    <mergeCell ref="AZ5:BA5"/>
    <mergeCell ref="AT5:AU5"/>
    <mergeCell ref="BD5:BE5"/>
    <mergeCell ref="DF5:DG5"/>
    <mergeCell ref="DH5:DI5"/>
    <mergeCell ref="BU4:BZ4"/>
    <mergeCell ref="FN5:FO5"/>
    <mergeCell ref="FA4:FF4"/>
    <mergeCell ref="CS4:CX4"/>
    <mergeCell ref="FB5:FC5"/>
    <mergeCell ref="EI4:EN4"/>
    <mergeCell ref="DR5:DS5"/>
    <mergeCell ref="GK4:GP4"/>
    <mergeCell ref="GL5:GM5"/>
    <mergeCell ref="GN5:GO5"/>
    <mergeCell ref="AH5:AI5"/>
    <mergeCell ref="BR5:BS5"/>
    <mergeCell ref="BL5:BM5"/>
    <mergeCell ref="A4:R5"/>
    <mergeCell ref="A29:A57"/>
    <mergeCell ref="A6:A18"/>
    <mergeCell ref="D10:Q10"/>
    <mergeCell ref="B9:B21"/>
    <mergeCell ref="D6:R6"/>
    <mergeCell ref="D8:R8"/>
    <mergeCell ref="C17:C18"/>
    <mergeCell ref="B22:B23"/>
    <mergeCell ref="BJ5:BK5"/>
    <mergeCell ref="D48:Q48"/>
    <mergeCell ref="B6:B8"/>
    <mergeCell ref="D14:Q14"/>
    <mergeCell ref="D19:Q20"/>
    <mergeCell ref="C19:C20"/>
    <mergeCell ref="C23:C24"/>
    <mergeCell ref="D9:Q9"/>
    <mergeCell ref="EF5:EG5"/>
    <mergeCell ref="AE4:AJ4"/>
    <mergeCell ref="T5:U5"/>
    <mergeCell ref="A59:A72"/>
    <mergeCell ref="S4:X4"/>
    <mergeCell ref="AQ4:AV4"/>
    <mergeCell ref="Y4:AD4"/>
    <mergeCell ref="D38:Q38"/>
    <mergeCell ref="D42:Q42"/>
    <mergeCell ref="Q58:R58"/>
    <mergeCell ref="D37:Q37"/>
    <mergeCell ref="D61:R61"/>
    <mergeCell ref="D71:R71"/>
    <mergeCell ref="AK4:AP4"/>
    <mergeCell ref="AL5:AM5"/>
    <mergeCell ref="AN5:AO5"/>
    <mergeCell ref="D17:Q18"/>
    <mergeCell ref="B25:B28"/>
    <mergeCell ref="B70:B71"/>
    <mergeCell ref="B29:B69"/>
    <mergeCell ref="D60:R60"/>
    <mergeCell ref="D58:P58"/>
    <mergeCell ref="B324:B328"/>
    <mergeCell ref="B330:B337"/>
    <mergeCell ref="D75:Q75"/>
    <mergeCell ref="D73:Q73"/>
    <mergeCell ref="D339:R339"/>
    <mergeCell ref="D59:R59"/>
    <mergeCell ref="D49:R49"/>
    <mergeCell ref="D68:R68"/>
    <mergeCell ref="D85:Q85"/>
    <mergeCell ref="D95:Q95"/>
    <mergeCell ref="D121:Q121"/>
    <mergeCell ref="D119:Q119"/>
    <mergeCell ref="D112:Q112"/>
    <mergeCell ref="D115:Q115"/>
    <mergeCell ref="D110:Q110"/>
    <mergeCell ref="D116:Q116"/>
    <mergeCell ref="D98:Q98"/>
    <mergeCell ref="D120:Q120"/>
    <mergeCell ref="D82:Q82"/>
    <mergeCell ref="D114:Q114"/>
    <mergeCell ref="D106:Q106"/>
    <mergeCell ref="D105:Q105"/>
    <mergeCell ref="D343:R343"/>
    <mergeCell ref="D338:R338"/>
    <mergeCell ref="B73:B318"/>
    <mergeCell ref="D322:R322"/>
    <mergeCell ref="D79:Q79"/>
    <mergeCell ref="D81:Q81"/>
    <mergeCell ref="D96:Q96"/>
    <mergeCell ref="D168:Q168"/>
    <mergeCell ref="D169:Q169"/>
    <mergeCell ref="D160:Q160"/>
    <mergeCell ref="D335:R335"/>
    <mergeCell ref="D125:Q125"/>
    <mergeCell ref="D122:Q122"/>
    <mergeCell ref="D94:Q94"/>
    <mergeCell ref="D101:Q101"/>
    <mergeCell ref="D103:Q103"/>
    <mergeCell ref="D99:Q99"/>
    <mergeCell ref="D107:Q107"/>
    <mergeCell ref="D131:Q131"/>
    <mergeCell ref="D77:Q77"/>
    <mergeCell ref="D90:Q90"/>
    <mergeCell ref="D117:Q117"/>
    <mergeCell ref="D102:Q102"/>
    <mergeCell ref="D93:Q93"/>
  </mergeCells>
  <phoneticPr fontId="4"/>
  <pageMargins left="0.23622047244094491" right="0.23622047244094491" top="0.15748031496062992" bottom="0.15748031496062992" header="0.31496062992125984" footer="0.31496062992125984"/>
  <pageSetup paperSize="9" scale="50" orientation="landscape" cellComments="asDisplayed"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GH130"/>
  <sheetViews>
    <sheetView showZeros="0" view="pageBreakPreview" zoomScale="70" zoomScaleNormal="55" zoomScaleSheetLayoutView="70" workbookViewId="0">
      <pane xSplit="28" ySplit="5" topLeftCell="AC6" activePane="bottomRight" state="frozen"/>
      <selection pane="topRight" activeCell="U1" sqref="U1"/>
      <selection pane="bottomLeft" activeCell="A6" sqref="A6"/>
      <selection pane="bottomRight" activeCell="D18" sqref="D18"/>
    </sheetView>
  </sheetViews>
  <sheetFormatPr defaultColWidth="9" defaultRowHeight="13.5" outlineLevelCol="1"/>
  <cols>
    <col min="1" max="1" width="8.75" style="1332" customWidth="1"/>
    <col min="2" max="2" width="11" style="1332" customWidth="1"/>
    <col min="3" max="3" width="8.75" style="1332" customWidth="1"/>
    <col min="4" max="4" width="35.625" style="1333" customWidth="1"/>
    <col min="5" max="6" width="6.625" style="1333" customWidth="1"/>
    <col min="7" max="7" width="22.5" style="1333" customWidth="1"/>
    <col min="8" max="10" width="6.625" style="1333" customWidth="1"/>
    <col min="11" max="11" width="8.625" style="1333" customWidth="1"/>
    <col min="12" max="14" width="4.625" style="1333" customWidth="1"/>
    <col min="15" max="15" width="6.625" style="1333" customWidth="1"/>
    <col min="16" max="17" width="6.625" style="1332" customWidth="1"/>
    <col min="18" max="21" width="6.625" style="1332" customWidth="1" outlineLevel="1"/>
    <col min="22" max="22" width="6.625" style="1333" customWidth="1"/>
    <col min="23" max="28" width="3.125" style="1333" hidden="1" customWidth="1" outlineLevel="1"/>
    <col min="29" max="29" width="3.125" style="1333" hidden="1" customWidth="1" outlineLevel="1" collapsed="1"/>
    <col min="30" max="34" width="3.125" style="1333" hidden="1" customWidth="1" outlineLevel="1"/>
    <col min="35" max="35" width="3.875" style="1333" hidden="1" customWidth="1" outlineLevel="1" collapsed="1"/>
    <col min="36" max="40" width="3.875" style="1333" hidden="1" customWidth="1" outlineLevel="1"/>
    <col min="41" max="41" width="3.625" style="1333" hidden="1" customWidth="1" outlineLevel="1" collapsed="1"/>
    <col min="42" max="46" width="3.625" style="1333" hidden="1" customWidth="1" outlineLevel="1"/>
    <col min="47" max="47" width="3.625" style="1333" hidden="1" customWidth="1" outlineLevel="1" collapsed="1"/>
    <col min="48" max="52" width="3.625" style="1333" hidden="1" customWidth="1" outlineLevel="1"/>
    <col min="53" max="53" width="4.125" style="1333" hidden="1" customWidth="1" outlineLevel="1" collapsed="1"/>
    <col min="54" max="58" width="4.125" style="1333" hidden="1" customWidth="1" outlineLevel="1"/>
    <col min="59" max="59" width="4.125" style="1333" hidden="1" customWidth="1" outlineLevel="1" collapsed="1"/>
    <col min="60" max="64" width="4.125" style="1333" hidden="1" customWidth="1" outlineLevel="1"/>
    <col min="65" max="65" width="4.125" style="1333" hidden="1" customWidth="1" outlineLevel="1" collapsed="1"/>
    <col min="66" max="70" width="4.125" style="1333" hidden="1" customWidth="1" outlineLevel="1"/>
    <col min="71" max="71" width="4.125" style="1333" hidden="1" customWidth="1" outlineLevel="1" collapsed="1"/>
    <col min="72" max="76" width="4.125" style="1333" hidden="1" customWidth="1" outlineLevel="1"/>
    <col min="77" max="77" width="4.125" style="1333" hidden="1" customWidth="1" outlineLevel="1" collapsed="1"/>
    <col min="78" max="82" width="4.125" style="1333" hidden="1" customWidth="1" outlineLevel="1"/>
    <col min="83" max="83" width="4.125" style="1333" hidden="1" customWidth="1" outlineLevel="1" collapsed="1"/>
    <col min="84" max="88" width="4.125" style="1333" hidden="1" customWidth="1" outlineLevel="1"/>
    <col min="89" max="89" width="4.125" style="1333" hidden="1" customWidth="1" outlineLevel="1" collapsed="1"/>
    <col min="90" max="94" width="4.125" style="1333" hidden="1" customWidth="1" outlineLevel="1"/>
    <col min="95" max="95" width="3.625" style="1333" hidden="1" customWidth="1" outlineLevel="1" collapsed="1"/>
    <col min="96" max="100" width="3.625" style="1333" hidden="1" customWidth="1" outlineLevel="1"/>
    <col min="101" max="101" width="3.625" style="1333" hidden="1" customWidth="1" outlineLevel="1" collapsed="1"/>
    <col min="102" max="106" width="3.625" style="1333" hidden="1" customWidth="1" outlineLevel="1"/>
    <col min="107" max="107" width="3.625" style="1333" hidden="1" customWidth="1" outlineLevel="1" collapsed="1"/>
    <col min="108" max="112" width="3.625" style="1333" hidden="1" customWidth="1" outlineLevel="1"/>
    <col min="113" max="113" width="4.875" style="1333" hidden="1" customWidth="1" outlineLevel="1" collapsed="1"/>
    <col min="114" max="118" width="4.875" style="1333" hidden="1" customWidth="1" outlineLevel="1"/>
    <col min="119" max="119" width="4.875" style="1333" hidden="1" customWidth="1" outlineLevel="1" collapsed="1"/>
    <col min="120" max="124" width="4.875" style="1333" hidden="1" customWidth="1" outlineLevel="1"/>
    <col min="125" max="125" width="4.875" style="1333" hidden="1" customWidth="1" outlineLevel="1" collapsed="1"/>
    <col min="126" max="130" width="4.875" style="1333" hidden="1" customWidth="1" outlineLevel="1"/>
    <col min="131" max="131" width="4.875" style="1333" hidden="1" customWidth="1" outlineLevel="1" collapsed="1"/>
    <col min="132" max="136" width="4.875" style="1333" hidden="1" customWidth="1" outlineLevel="1"/>
    <col min="137" max="137" width="4.875" style="1333" hidden="1" customWidth="1" outlineLevel="1" collapsed="1"/>
    <col min="138" max="142" width="4.875" style="1333" hidden="1" customWidth="1" outlineLevel="1"/>
    <col min="143" max="143" width="4.875" style="1333" hidden="1" customWidth="1" outlineLevel="1" collapsed="1"/>
    <col min="144" max="148" width="4.875" style="1333" hidden="1" customWidth="1" outlineLevel="1"/>
    <col min="149" max="149" width="4.875" style="1333" customWidth="1" collapsed="1"/>
    <col min="150" max="190" width="4.875" style="1333" customWidth="1"/>
    <col min="191" max="16384" width="9" style="1333"/>
  </cols>
  <sheetData>
    <row r="1" spans="1:190" ht="13.5" customHeight="1">
      <c r="FF1" s="2779" t="s">
        <v>8159</v>
      </c>
      <c r="FG1" s="2780"/>
      <c r="FH1" s="2780"/>
      <c r="FI1" s="2780"/>
      <c r="FJ1" s="2781"/>
    </row>
    <row r="2" spans="1:190" ht="14.25" customHeight="1" thickBot="1">
      <c r="FF2" s="2782"/>
      <c r="FG2" s="2783"/>
      <c r="FH2" s="2783"/>
      <c r="FI2" s="2783"/>
      <c r="FJ2" s="2784"/>
    </row>
    <row r="3" spans="1:190" ht="20.100000000000001" customHeight="1" thickBot="1">
      <c r="A3" s="1334" t="s">
        <v>17448</v>
      </c>
      <c r="B3" s="1334"/>
      <c r="C3" s="1333"/>
      <c r="FF3" s="2785">
        <f ca="1">TODAY()</f>
        <v>44132</v>
      </c>
      <c r="FG3" s="2785"/>
      <c r="FH3" s="2785"/>
      <c r="FI3" s="2785"/>
      <c r="FJ3" s="2785"/>
    </row>
    <row r="4" spans="1:190" ht="20.100000000000001" customHeight="1">
      <c r="A4" s="2786"/>
      <c r="B4" s="2787"/>
      <c r="C4" s="2790" t="s">
        <v>17385</v>
      </c>
      <c r="D4" s="2786" t="s">
        <v>9437</v>
      </c>
      <c r="E4" s="2792" t="s">
        <v>17445</v>
      </c>
      <c r="F4" s="2794" t="s">
        <v>17446</v>
      </c>
      <c r="G4" s="2787" t="s">
        <v>17368</v>
      </c>
      <c r="H4" s="2792" t="s">
        <v>4844</v>
      </c>
      <c r="I4" s="2796"/>
      <c r="J4" s="2796" t="s">
        <v>533</v>
      </c>
      <c r="K4" s="2798" t="s">
        <v>17447</v>
      </c>
      <c r="L4" s="2800" t="s">
        <v>17536</v>
      </c>
      <c r="M4" s="2801" t="s">
        <v>17383</v>
      </c>
      <c r="N4" s="2801" t="s">
        <v>17384</v>
      </c>
      <c r="O4" s="2798" t="s">
        <v>4546</v>
      </c>
      <c r="P4" s="2800" t="s">
        <v>17369</v>
      </c>
      <c r="Q4" s="2794" t="s">
        <v>8145</v>
      </c>
      <c r="R4" s="2803" t="s">
        <v>17418</v>
      </c>
      <c r="S4" s="2804"/>
      <c r="T4" s="2812" t="s">
        <v>17421</v>
      </c>
      <c r="U4" s="2813"/>
      <c r="V4" s="1335"/>
      <c r="W4" s="2772">
        <v>43374</v>
      </c>
      <c r="X4" s="2773"/>
      <c r="Y4" s="2773"/>
      <c r="Z4" s="2773"/>
      <c r="AA4" s="2773"/>
      <c r="AB4" s="2774"/>
      <c r="AC4" s="2775">
        <v>43405</v>
      </c>
      <c r="AD4" s="2773"/>
      <c r="AE4" s="2773"/>
      <c r="AF4" s="2773"/>
      <c r="AG4" s="2773"/>
      <c r="AH4" s="2774"/>
      <c r="AI4" s="2775">
        <v>43435</v>
      </c>
      <c r="AJ4" s="2773"/>
      <c r="AK4" s="2773"/>
      <c r="AL4" s="2773"/>
      <c r="AM4" s="2773"/>
      <c r="AN4" s="2774"/>
      <c r="AO4" s="2775">
        <v>43466</v>
      </c>
      <c r="AP4" s="2773"/>
      <c r="AQ4" s="2773"/>
      <c r="AR4" s="2773"/>
      <c r="AS4" s="2773"/>
      <c r="AT4" s="2773"/>
      <c r="AU4" s="2772">
        <v>43497</v>
      </c>
      <c r="AV4" s="2773"/>
      <c r="AW4" s="2773"/>
      <c r="AX4" s="2773"/>
      <c r="AY4" s="2773"/>
      <c r="AZ4" s="2774"/>
      <c r="BA4" s="2775">
        <v>43556</v>
      </c>
      <c r="BB4" s="2773"/>
      <c r="BC4" s="2773"/>
      <c r="BD4" s="2773"/>
      <c r="BE4" s="2773"/>
      <c r="BF4" s="2774"/>
      <c r="BG4" s="2775">
        <v>43586</v>
      </c>
      <c r="BH4" s="2773"/>
      <c r="BI4" s="2773"/>
      <c r="BJ4" s="2773"/>
      <c r="BK4" s="2773"/>
      <c r="BL4" s="2774"/>
      <c r="BM4" s="2775">
        <v>43617</v>
      </c>
      <c r="BN4" s="2773"/>
      <c r="BO4" s="2773"/>
      <c r="BP4" s="2773"/>
      <c r="BQ4" s="2773"/>
      <c r="BR4" s="2774"/>
      <c r="BS4" s="2775">
        <v>43647</v>
      </c>
      <c r="BT4" s="2773"/>
      <c r="BU4" s="2773"/>
      <c r="BV4" s="2773"/>
      <c r="BW4" s="2773"/>
      <c r="BX4" s="2774"/>
      <c r="BY4" s="2775">
        <v>43678</v>
      </c>
      <c r="BZ4" s="2773"/>
      <c r="CA4" s="2773"/>
      <c r="CB4" s="2773"/>
      <c r="CC4" s="2773"/>
      <c r="CD4" s="2774"/>
      <c r="CE4" s="2775">
        <v>43709</v>
      </c>
      <c r="CF4" s="2773"/>
      <c r="CG4" s="2773"/>
      <c r="CH4" s="2773"/>
      <c r="CI4" s="2773"/>
      <c r="CJ4" s="2774"/>
      <c r="CK4" s="2775">
        <v>43739</v>
      </c>
      <c r="CL4" s="2773"/>
      <c r="CM4" s="2773"/>
      <c r="CN4" s="2773"/>
      <c r="CO4" s="2773"/>
      <c r="CP4" s="2774"/>
      <c r="CQ4" s="2775">
        <v>43770</v>
      </c>
      <c r="CR4" s="2773"/>
      <c r="CS4" s="2773"/>
      <c r="CT4" s="2773"/>
      <c r="CU4" s="2773"/>
      <c r="CV4" s="2774"/>
      <c r="CW4" s="2775">
        <v>43800</v>
      </c>
      <c r="CX4" s="2773"/>
      <c r="CY4" s="2773"/>
      <c r="CZ4" s="2773"/>
      <c r="DA4" s="2773"/>
      <c r="DB4" s="2774"/>
      <c r="DC4" s="2775">
        <v>43831</v>
      </c>
      <c r="DD4" s="2773"/>
      <c r="DE4" s="2773"/>
      <c r="DF4" s="2773"/>
      <c r="DG4" s="2773"/>
      <c r="DH4" s="2774"/>
      <c r="DI4" s="2775">
        <v>43862</v>
      </c>
      <c r="DJ4" s="2773"/>
      <c r="DK4" s="2773"/>
      <c r="DL4" s="2773"/>
      <c r="DM4" s="2773"/>
      <c r="DN4" s="2774"/>
      <c r="DO4" s="2775">
        <v>43891</v>
      </c>
      <c r="DP4" s="2773"/>
      <c r="DQ4" s="2773"/>
      <c r="DR4" s="2773"/>
      <c r="DS4" s="2773"/>
      <c r="DT4" s="2774"/>
      <c r="DU4" s="2775">
        <v>43922</v>
      </c>
      <c r="DV4" s="2773"/>
      <c r="DW4" s="2773"/>
      <c r="DX4" s="2773"/>
      <c r="DY4" s="2773"/>
      <c r="DZ4" s="2774"/>
      <c r="EA4" s="2775">
        <v>43952</v>
      </c>
      <c r="EB4" s="2773"/>
      <c r="EC4" s="2773"/>
      <c r="ED4" s="2773"/>
      <c r="EE4" s="2773"/>
      <c r="EF4" s="2774"/>
      <c r="EG4" s="2775">
        <v>43983</v>
      </c>
      <c r="EH4" s="2773"/>
      <c r="EI4" s="2773"/>
      <c r="EJ4" s="2773"/>
      <c r="EK4" s="2773"/>
      <c r="EL4" s="2774"/>
      <c r="EM4" s="2775">
        <v>44013</v>
      </c>
      <c r="EN4" s="2773"/>
      <c r="EO4" s="2773"/>
      <c r="EP4" s="2773"/>
      <c r="EQ4" s="2773"/>
      <c r="ER4" s="2774"/>
      <c r="ES4" s="2775">
        <v>44044</v>
      </c>
      <c r="ET4" s="2773"/>
      <c r="EU4" s="2773"/>
      <c r="EV4" s="2773"/>
      <c r="EW4" s="2773"/>
      <c r="EX4" s="2774"/>
      <c r="EY4" s="2775">
        <v>44075</v>
      </c>
      <c r="EZ4" s="2773"/>
      <c r="FA4" s="2773"/>
      <c r="FB4" s="2773"/>
      <c r="FC4" s="2773"/>
      <c r="FD4" s="2774"/>
      <c r="FE4" s="2775">
        <v>44105</v>
      </c>
      <c r="FF4" s="2773"/>
      <c r="FG4" s="2773"/>
      <c r="FH4" s="2773"/>
      <c r="FI4" s="2773"/>
      <c r="FJ4" s="2774"/>
      <c r="FK4" s="2775">
        <v>44136</v>
      </c>
      <c r="FL4" s="2773"/>
      <c r="FM4" s="2773"/>
      <c r="FN4" s="2773"/>
      <c r="FO4" s="2773"/>
      <c r="FP4" s="2774"/>
      <c r="FQ4" s="2775">
        <v>44166</v>
      </c>
      <c r="FR4" s="2773"/>
      <c r="FS4" s="2773"/>
      <c r="FT4" s="2773"/>
      <c r="FU4" s="2773"/>
      <c r="FV4" s="2774"/>
      <c r="FW4" s="2775">
        <v>44197</v>
      </c>
      <c r="FX4" s="2773"/>
      <c r="FY4" s="2773"/>
      <c r="FZ4" s="2773"/>
      <c r="GA4" s="2773"/>
      <c r="GB4" s="2774"/>
      <c r="GC4" s="2775">
        <v>44228</v>
      </c>
      <c r="GD4" s="2773"/>
      <c r="GE4" s="2773"/>
      <c r="GF4" s="2773"/>
      <c r="GG4" s="2773"/>
      <c r="GH4" s="2774"/>
    </row>
    <row r="5" spans="1:190" ht="20.100000000000001" customHeight="1" thickBot="1">
      <c r="A5" s="2788"/>
      <c r="B5" s="2789"/>
      <c r="C5" s="2791"/>
      <c r="D5" s="2788"/>
      <c r="E5" s="2793"/>
      <c r="F5" s="2795"/>
      <c r="G5" s="2789"/>
      <c r="H5" s="2793"/>
      <c r="I5" s="2797"/>
      <c r="J5" s="2797"/>
      <c r="K5" s="2799"/>
      <c r="L5" s="2793"/>
      <c r="M5" s="2802"/>
      <c r="N5" s="2802"/>
      <c r="O5" s="2795"/>
      <c r="P5" s="2793"/>
      <c r="Q5" s="2795"/>
      <c r="R5" s="1336" t="s">
        <v>17419</v>
      </c>
      <c r="S5" s="1337" t="s">
        <v>17420</v>
      </c>
      <c r="T5" s="1338" t="s">
        <v>17419</v>
      </c>
      <c r="U5" s="1339" t="s">
        <v>17420</v>
      </c>
      <c r="V5" s="1340"/>
      <c r="W5" s="1341">
        <v>1</v>
      </c>
      <c r="X5" s="2776">
        <v>10</v>
      </c>
      <c r="Y5" s="2776"/>
      <c r="Z5" s="2776">
        <v>20</v>
      </c>
      <c r="AA5" s="2776"/>
      <c r="AB5" s="1342">
        <v>30</v>
      </c>
      <c r="AC5" s="1341">
        <v>1</v>
      </c>
      <c r="AD5" s="2776">
        <v>10</v>
      </c>
      <c r="AE5" s="2776"/>
      <c r="AF5" s="2776">
        <v>20</v>
      </c>
      <c r="AG5" s="2776"/>
      <c r="AH5" s="1343">
        <v>30</v>
      </c>
      <c r="AI5" s="1344">
        <v>1</v>
      </c>
      <c r="AJ5" s="2776">
        <v>10</v>
      </c>
      <c r="AK5" s="2776"/>
      <c r="AL5" s="2776">
        <v>20</v>
      </c>
      <c r="AM5" s="2776"/>
      <c r="AN5" s="1342">
        <v>30</v>
      </c>
      <c r="AO5" s="1341">
        <v>1</v>
      </c>
      <c r="AP5" s="2776">
        <v>10</v>
      </c>
      <c r="AQ5" s="2776"/>
      <c r="AR5" s="2776">
        <v>20</v>
      </c>
      <c r="AS5" s="2776"/>
      <c r="AT5" s="1343">
        <v>30</v>
      </c>
      <c r="AU5" s="1345">
        <v>1</v>
      </c>
      <c r="AV5" s="2776">
        <v>10</v>
      </c>
      <c r="AW5" s="2776"/>
      <c r="AX5" s="2776">
        <v>20</v>
      </c>
      <c r="AY5" s="2776"/>
      <c r="AZ5" s="1342">
        <v>30</v>
      </c>
      <c r="BA5" s="1344">
        <v>1</v>
      </c>
      <c r="BB5" s="2776">
        <v>10</v>
      </c>
      <c r="BC5" s="2776"/>
      <c r="BD5" s="2776">
        <v>20</v>
      </c>
      <c r="BE5" s="2776"/>
      <c r="BF5" s="1342">
        <v>30</v>
      </c>
      <c r="BG5" s="1341">
        <v>1</v>
      </c>
      <c r="BH5" s="2776">
        <v>10</v>
      </c>
      <c r="BI5" s="2776"/>
      <c r="BJ5" s="2776">
        <v>20</v>
      </c>
      <c r="BK5" s="2776"/>
      <c r="BL5" s="1343">
        <v>30</v>
      </c>
      <c r="BM5" s="1344">
        <v>1</v>
      </c>
      <c r="BN5" s="2776">
        <v>10</v>
      </c>
      <c r="BO5" s="2776"/>
      <c r="BP5" s="2776">
        <v>20</v>
      </c>
      <c r="BQ5" s="2776"/>
      <c r="BR5" s="1342">
        <v>30</v>
      </c>
      <c r="BS5" s="1344">
        <v>1</v>
      </c>
      <c r="BT5" s="2776">
        <v>10</v>
      </c>
      <c r="BU5" s="2776"/>
      <c r="BV5" s="2776">
        <v>20</v>
      </c>
      <c r="BW5" s="2776"/>
      <c r="BX5" s="1342">
        <v>30</v>
      </c>
      <c r="BY5" s="1344">
        <v>1</v>
      </c>
      <c r="BZ5" s="2776">
        <v>10</v>
      </c>
      <c r="CA5" s="2776"/>
      <c r="CB5" s="2776">
        <v>20</v>
      </c>
      <c r="CC5" s="2776"/>
      <c r="CD5" s="1342">
        <v>30</v>
      </c>
      <c r="CE5" s="1344">
        <v>1</v>
      </c>
      <c r="CF5" s="2776">
        <v>10</v>
      </c>
      <c r="CG5" s="2776"/>
      <c r="CH5" s="2776">
        <v>20</v>
      </c>
      <c r="CI5" s="2776"/>
      <c r="CJ5" s="1342">
        <v>30</v>
      </c>
      <c r="CK5" s="1344">
        <v>1</v>
      </c>
      <c r="CL5" s="2776">
        <v>10</v>
      </c>
      <c r="CM5" s="2776"/>
      <c r="CN5" s="2776">
        <v>20</v>
      </c>
      <c r="CO5" s="2776"/>
      <c r="CP5" s="1342">
        <v>30</v>
      </c>
      <c r="CQ5" s="1344">
        <v>1</v>
      </c>
      <c r="CR5" s="2776">
        <v>10</v>
      </c>
      <c r="CS5" s="2776"/>
      <c r="CT5" s="2776">
        <v>20</v>
      </c>
      <c r="CU5" s="2776"/>
      <c r="CV5" s="1342">
        <v>30</v>
      </c>
      <c r="CW5" s="1344">
        <v>1</v>
      </c>
      <c r="CX5" s="2776">
        <v>10</v>
      </c>
      <c r="CY5" s="2776"/>
      <c r="CZ5" s="2776">
        <v>20</v>
      </c>
      <c r="DA5" s="2776"/>
      <c r="DB5" s="1342">
        <v>30</v>
      </c>
      <c r="DC5" s="1344">
        <v>1</v>
      </c>
      <c r="DD5" s="2776">
        <v>10</v>
      </c>
      <c r="DE5" s="2776"/>
      <c r="DF5" s="2776">
        <v>20</v>
      </c>
      <c r="DG5" s="2776"/>
      <c r="DH5" s="1342">
        <v>30</v>
      </c>
      <c r="DI5" s="1344">
        <v>1</v>
      </c>
      <c r="DJ5" s="2776">
        <v>10</v>
      </c>
      <c r="DK5" s="2776"/>
      <c r="DL5" s="2776">
        <v>20</v>
      </c>
      <c r="DM5" s="2776"/>
      <c r="DN5" s="1342">
        <v>30</v>
      </c>
      <c r="DO5" s="1344">
        <v>1</v>
      </c>
      <c r="DP5" s="2776">
        <v>10</v>
      </c>
      <c r="DQ5" s="2776"/>
      <c r="DR5" s="2776">
        <v>20</v>
      </c>
      <c r="DS5" s="2776"/>
      <c r="DT5" s="1342">
        <v>30</v>
      </c>
      <c r="DU5" s="1344">
        <v>1</v>
      </c>
      <c r="DV5" s="2776">
        <v>10</v>
      </c>
      <c r="DW5" s="2776"/>
      <c r="DX5" s="2776">
        <v>20</v>
      </c>
      <c r="DY5" s="2776"/>
      <c r="DZ5" s="1342">
        <v>30</v>
      </c>
      <c r="EA5" s="1344">
        <v>1</v>
      </c>
      <c r="EB5" s="2776">
        <v>10</v>
      </c>
      <c r="EC5" s="2776"/>
      <c r="ED5" s="2776">
        <v>20</v>
      </c>
      <c r="EE5" s="2776"/>
      <c r="EF5" s="1342">
        <v>30</v>
      </c>
      <c r="EG5" s="1344">
        <v>1</v>
      </c>
      <c r="EH5" s="2776">
        <v>10</v>
      </c>
      <c r="EI5" s="2776"/>
      <c r="EJ5" s="2776">
        <v>20</v>
      </c>
      <c r="EK5" s="2776"/>
      <c r="EL5" s="1342">
        <v>30</v>
      </c>
      <c r="EM5" s="1344">
        <v>1</v>
      </c>
      <c r="EN5" s="2776">
        <v>10</v>
      </c>
      <c r="EO5" s="2776"/>
      <c r="EP5" s="2776">
        <v>20</v>
      </c>
      <c r="EQ5" s="2776"/>
      <c r="ER5" s="1342">
        <v>30</v>
      </c>
      <c r="ES5" s="1344">
        <v>1</v>
      </c>
      <c r="ET5" s="2776">
        <v>10</v>
      </c>
      <c r="EU5" s="2776"/>
      <c r="EV5" s="2776">
        <v>20</v>
      </c>
      <c r="EW5" s="2776"/>
      <c r="EX5" s="1342">
        <v>30</v>
      </c>
      <c r="EY5" s="1344">
        <v>1</v>
      </c>
      <c r="EZ5" s="2776">
        <v>10</v>
      </c>
      <c r="FA5" s="2776"/>
      <c r="FB5" s="2776">
        <v>20</v>
      </c>
      <c r="FC5" s="2776"/>
      <c r="FD5" s="1342">
        <v>30</v>
      </c>
      <c r="FE5" s="1344">
        <v>1</v>
      </c>
      <c r="FF5" s="2776">
        <v>10</v>
      </c>
      <c r="FG5" s="2776"/>
      <c r="FH5" s="2776">
        <v>20</v>
      </c>
      <c r="FI5" s="2776"/>
      <c r="FJ5" s="1342">
        <v>30</v>
      </c>
      <c r="FK5" s="1344">
        <v>1</v>
      </c>
      <c r="FL5" s="2776">
        <v>10</v>
      </c>
      <c r="FM5" s="2776"/>
      <c r="FN5" s="2776">
        <v>20</v>
      </c>
      <c r="FO5" s="2776"/>
      <c r="FP5" s="1342">
        <v>30</v>
      </c>
      <c r="FQ5" s="1344">
        <v>1</v>
      </c>
      <c r="FR5" s="2776">
        <v>10</v>
      </c>
      <c r="FS5" s="2776"/>
      <c r="FT5" s="2776">
        <v>20</v>
      </c>
      <c r="FU5" s="2776"/>
      <c r="FV5" s="1342">
        <v>30</v>
      </c>
      <c r="FW5" s="1344">
        <v>1</v>
      </c>
      <c r="FX5" s="2776">
        <v>10</v>
      </c>
      <c r="FY5" s="2776"/>
      <c r="FZ5" s="2776">
        <v>20</v>
      </c>
      <c r="GA5" s="2776"/>
      <c r="GB5" s="1342">
        <v>30</v>
      </c>
      <c r="GC5" s="1344">
        <v>1</v>
      </c>
      <c r="GD5" s="2776">
        <v>10</v>
      </c>
      <c r="GE5" s="2776"/>
      <c r="GF5" s="2776">
        <v>20</v>
      </c>
      <c r="GG5" s="2776"/>
      <c r="GH5" s="1342">
        <v>30</v>
      </c>
    </row>
    <row r="6" spans="1:190" ht="20.100000000000001" customHeight="1" thickBot="1">
      <c r="A6" s="1785" t="s">
        <v>17382</v>
      </c>
      <c r="B6" s="1786" t="s">
        <v>4846</v>
      </c>
      <c r="C6" s="1788"/>
      <c r="D6" s="1789"/>
      <c r="E6" s="1790"/>
      <c r="F6" s="1791"/>
      <c r="G6" s="1792"/>
      <c r="H6" s="1793"/>
      <c r="I6" s="1794"/>
      <c r="J6" s="1795"/>
      <c r="K6" s="1791"/>
      <c r="L6" s="1796"/>
      <c r="M6" s="1795"/>
      <c r="N6" s="1795"/>
      <c r="O6" s="1791"/>
      <c r="P6" s="1797"/>
      <c r="Q6" s="1798"/>
      <c r="R6" s="1797"/>
      <c r="S6" s="1799"/>
      <c r="T6" s="1800"/>
      <c r="U6" s="1798"/>
      <c r="V6" s="1801"/>
      <c r="W6" s="1802"/>
      <c r="X6" s="1802"/>
      <c r="Y6" s="1803"/>
      <c r="Z6" s="1802"/>
      <c r="AA6" s="1803"/>
      <c r="AB6" s="1804"/>
      <c r="AC6" s="1802"/>
      <c r="AD6" s="1802"/>
      <c r="AE6" s="1803"/>
      <c r="AF6" s="1802"/>
      <c r="AG6" s="1803"/>
      <c r="AH6" s="1802"/>
      <c r="AI6" s="1805"/>
      <c r="AJ6" s="1802"/>
      <c r="AK6" s="1803"/>
      <c r="AL6" s="1802"/>
      <c r="AM6" s="1803"/>
      <c r="AN6" s="1804"/>
      <c r="AO6" s="1802"/>
      <c r="AP6" s="1802"/>
      <c r="AQ6" s="1803"/>
      <c r="AR6" s="1802"/>
      <c r="AS6" s="1803"/>
      <c r="AT6" s="1802"/>
      <c r="AU6" s="1806"/>
      <c r="AV6" s="1802"/>
      <c r="AW6" s="1803"/>
      <c r="AX6" s="1802"/>
      <c r="AY6" s="1803"/>
      <c r="AZ6" s="1804"/>
      <c r="BA6" s="1805"/>
      <c r="BB6" s="1802"/>
      <c r="BC6" s="1803"/>
      <c r="BD6" s="1802"/>
      <c r="BE6" s="1803"/>
      <c r="BF6" s="1804"/>
      <c r="BG6" s="1802"/>
      <c r="BH6" s="1802"/>
      <c r="BI6" s="1803"/>
      <c r="BJ6" s="1802"/>
      <c r="BK6" s="1803"/>
      <c r="BL6" s="1802"/>
      <c r="BM6" s="1805"/>
      <c r="BN6" s="1802"/>
      <c r="BO6" s="1803"/>
      <c r="BP6" s="1802"/>
      <c r="BQ6" s="1803"/>
      <c r="BR6" s="1804"/>
      <c r="BS6" s="1805"/>
      <c r="BT6" s="1802"/>
      <c r="BU6" s="1803"/>
      <c r="BV6" s="1807"/>
      <c r="BW6" s="1803"/>
      <c r="BX6" s="1804"/>
      <c r="BY6" s="1805"/>
      <c r="BZ6" s="1802"/>
      <c r="CA6" s="1803"/>
      <c r="CB6" s="1802"/>
      <c r="CC6" s="1803"/>
      <c r="CD6" s="1804"/>
      <c r="CE6" s="1805"/>
      <c r="CF6" s="1802"/>
      <c r="CG6" s="1803"/>
      <c r="CH6" s="1802"/>
      <c r="CI6" s="1803"/>
      <c r="CJ6" s="1804"/>
      <c r="CK6" s="1805"/>
      <c r="CL6" s="1802"/>
      <c r="CM6" s="1803"/>
      <c r="CN6" s="1802"/>
      <c r="CO6" s="1803"/>
      <c r="CP6" s="1804"/>
      <c r="CQ6" s="1805"/>
      <c r="CR6" s="1802"/>
      <c r="CS6" s="1803"/>
      <c r="CT6" s="1808"/>
      <c r="CU6" s="1803"/>
      <c r="CV6" s="1804"/>
      <c r="CW6" s="1805"/>
      <c r="CX6" s="1802"/>
      <c r="CY6" s="1803"/>
      <c r="CZ6" s="1802"/>
      <c r="DA6" s="1803"/>
      <c r="DB6" s="1804"/>
      <c r="DC6" s="1805"/>
      <c r="DD6" s="1802"/>
      <c r="DE6" s="1803"/>
      <c r="DF6" s="1802"/>
      <c r="DG6" s="1803"/>
      <c r="DH6" s="1804"/>
      <c r="DI6" s="1805"/>
      <c r="DJ6" s="1802"/>
      <c r="DK6" s="1803"/>
      <c r="DL6" s="1802"/>
      <c r="DM6" s="1803"/>
      <c r="DN6" s="1804"/>
      <c r="DO6" s="1805"/>
      <c r="DP6" s="1802"/>
      <c r="DQ6" s="1803"/>
      <c r="DR6" s="1802"/>
      <c r="DS6" s="1803"/>
      <c r="DT6" s="1804"/>
      <c r="DU6" s="1805"/>
      <c r="DV6" s="1802"/>
      <c r="DW6" s="1803"/>
      <c r="DX6" s="1802"/>
      <c r="DY6" s="1803"/>
      <c r="DZ6" s="1809"/>
      <c r="EA6" s="1805"/>
      <c r="EB6" s="1802"/>
      <c r="EC6" s="1803"/>
      <c r="ED6" s="1802"/>
      <c r="EE6" s="1803"/>
      <c r="EF6" s="1809"/>
      <c r="EG6" s="1805"/>
      <c r="EH6" s="1807"/>
      <c r="EI6" s="1803"/>
      <c r="EJ6" s="1802"/>
      <c r="EK6" s="1803"/>
      <c r="EL6" s="1809"/>
      <c r="EM6" s="1805"/>
      <c r="EN6" s="1802"/>
      <c r="EO6" s="1803"/>
      <c r="EP6" s="1802"/>
      <c r="EQ6" s="1803"/>
      <c r="ER6" s="1809"/>
      <c r="ES6" s="1805"/>
      <c r="ET6" s="1802"/>
      <c r="EU6" s="1803"/>
      <c r="EV6" s="1802"/>
      <c r="EW6" s="1803"/>
      <c r="EX6" s="1809"/>
      <c r="EY6" s="1805"/>
      <c r="EZ6" s="1802"/>
      <c r="FA6" s="1803"/>
      <c r="FB6" s="1802"/>
      <c r="FC6" s="1803"/>
      <c r="FD6" s="1809"/>
      <c r="FE6" s="1805"/>
      <c r="FF6" s="1802"/>
      <c r="FG6" s="1803"/>
      <c r="FH6" s="1802"/>
      <c r="FI6" s="1803"/>
      <c r="FJ6" s="1809"/>
      <c r="FK6" s="1805"/>
      <c r="FL6" s="1802"/>
      <c r="FM6" s="1803"/>
      <c r="FN6" s="1802"/>
      <c r="FO6" s="1803"/>
      <c r="FP6" s="1809"/>
      <c r="FQ6" s="1805"/>
      <c r="FR6" s="1802"/>
      <c r="FS6" s="1803"/>
      <c r="FT6" s="1802"/>
      <c r="FU6" s="1803"/>
      <c r="FV6" s="1809"/>
      <c r="FW6" s="1805"/>
      <c r="FX6" s="1802"/>
      <c r="FY6" s="1803"/>
      <c r="FZ6" s="1802"/>
      <c r="GA6" s="1803"/>
      <c r="GB6" s="1809"/>
      <c r="GC6" s="1805"/>
      <c r="GD6" s="1802"/>
      <c r="GE6" s="1803"/>
      <c r="GF6" s="1802"/>
      <c r="GG6" s="1803"/>
      <c r="GH6" s="1809"/>
    </row>
    <row r="7" spans="1:190" ht="20.100000000000001" customHeight="1" thickBot="1">
      <c r="A7" s="1810" t="s">
        <v>17452</v>
      </c>
      <c r="B7" s="1811" t="s">
        <v>15707</v>
      </c>
      <c r="C7" s="1371">
        <v>190032</v>
      </c>
      <c r="D7" s="1372" t="str">
        <f>実績!C1281</f>
        <v>千葉北水素ステーション</v>
      </c>
      <c r="E7" s="1440" t="str">
        <f>SUBSTITUTE(VLOOKUP(D7,実績!$C$5:'実績'!$AC$1451,3,0),"株式会社 ","")</f>
        <v>友納</v>
      </c>
      <c r="F7" s="1373" t="str">
        <f>SUBSTITUTE(VLOOKUP(D7,実績!$C$5:'実績'!$AC$1451,2,0),"株式会社 ","")</f>
        <v>宮北</v>
      </c>
      <c r="G7" s="1374" t="str">
        <f>SUBSTITUTE(VLOOKUP(D7,実績!$C$5:'実績'!$AC$1451,26,0),"株式会社 ","")</f>
        <v>巴商会</v>
      </c>
      <c r="H7" s="1375" t="str">
        <f>VLOOKUP(D7,実績!$C$5:'実績'!$AC$1451,4,0)</f>
        <v>千葉県</v>
      </c>
      <c r="I7" s="1376" t="str">
        <f>VLOOKUP(D7,実績!$C$5:'実績'!$AC$1451,5,0)</f>
        <v>千葉市</v>
      </c>
      <c r="J7" s="1377" t="str">
        <f>VLOOKUP(D7,実績!$C$5:'実績'!$AC$1451,9,0)</f>
        <v>水素ステーション</v>
      </c>
      <c r="K7" s="1373"/>
      <c r="L7" s="1378" t="str">
        <f>VLOOKUP(D7,実績!$C$5:'実績'!$BY$1451,40,0)</f>
        <v>-</v>
      </c>
      <c r="M7" s="1377" t="str">
        <f>VLOOKUP(D7,実績!$C$5:'実績'!$BY$1472,38,0)</f>
        <v>-</v>
      </c>
      <c r="N7" s="1377" t="str">
        <f>VLOOKUP(D7,実績!$C$5:'実績'!$BY$1472,37,0)</f>
        <v>-</v>
      </c>
      <c r="O7" s="1373" t="str">
        <f>VLOOKUP(D7,実績!$C$5:'実績'!$BY$1472,41,0)</f>
        <v>独立</v>
      </c>
      <c r="P7" s="1812" t="s">
        <v>17443</v>
      </c>
      <c r="Q7" s="1736" t="s">
        <v>17444</v>
      </c>
      <c r="R7" s="1378" t="s">
        <v>17423</v>
      </c>
      <c r="S7" s="1813" t="s">
        <v>17422</v>
      </c>
      <c r="T7" s="1814" t="s">
        <v>17423</v>
      </c>
      <c r="U7" s="1373" t="s">
        <v>17422</v>
      </c>
      <c r="V7" s="1815" t="s">
        <v>1117</v>
      </c>
      <c r="W7" s="1816"/>
      <c r="X7" s="1816"/>
      <c r="Y7" s="1816"/>
      <c r="Z7" s="1816"/>
      <c r="AA7" s="1816"/>
      <c r="AB7" s="1816"/>
      <c r="AC7" s="1816"/>
      <c r="AD7" s="1816"/>
      <c r="AE7" s="1816"/>
      <c r="AF7" s="1816"/>
      <c r="AG7" s="1816"/>
      <c r="AH7" s="1816"/>
      <c r="AI7" s="1816"/>
      <c r="AJ7" s="1816"/>
      <c r="AK7" s="1816"/>
      <c r="AL7" s="1816"/>
      <c r="AM7" s="1816"/>
      <c r="AN7" s="1816"/>
      <c r="AO7" s="1816"/>
      <c r="AP7" s="1816"/>
      <c r="AQ7" s="1816"/>
      <c r="AR7" s="1816"/>
      <c r="AS7" s="1816"/>
      <c r="AT7" s="1816"/>
      <c r="AU7" s="1816"/>
      <c r="AV7" s="1816"/>
      <c r="AW7" s="1816"/>
      <c r="AX7" s="1816"/>
      <c r="AY7" s="1816"/>
      <c r="AZ7" s="1816"/>
      <c r="BA7" s="1816"/>
      <c r="BB7" s="1816"/>
      <c r="BC7" s="1816"/>
      <c r="BD7" s="1816"/>
      <c r="BE7" s="1816"/>
      <c r="BF7" s="1816"/>
      <c r="BG7" s="1816"/>
      <c r="BH7" s="1816"/>
      <c r="BI7" s="1816"/>
      <c r="BJ7" s="1816"/>
      <c r="BK7" s="1816"/>
      <c r="BL7" s="1816"/>
      <c r="BM7" s="1817"/>
      <c r="BN7" s="1816"/>
      <c r="BO7" s="1818"/>
      <c r="BP7" s="1816"/>
      <c r="BQ7" s="1818"/>
      <c r="BR7" s="1819"/>
      <c r="BS7" s="1817"/>
      <c r="BT7" s="1816"/>
      <c r="BU7" s="1818"/>
      <c r="BV7" s="1816"/>
      <c r="BW7" s="1818"/>
      <c r="BX7" s="1819"/>
      <c r="BY7" s="1820"/>
      <c r="BZ7" s="1816"/>
      <c r="CA7" s="1818"/>
      <c r="CB7" s="1821"/>
      <c r="CC7" s="1818"/>
      <c r="CD7" s="1819"/>
      <c r="CE7" s="1817"/>
      <c r="CF7" s="1816"/>
      <c r="CG7" s="1818"/>
      <c r="CH7" s="1821"/>
      <c r="CI7" s="1818"/>
      <c r="CJ7" s="1819"/>
      <c r="CK7" s="1820"/>
      <c r="CL7" s="1816"/>
      <c r="CM7" s="1818"/>
      <c r="CN7" s="1816"/>
      <c r="CO7" s="1818"/>
      <c r="CP7" s="1819"/>
      <c r="CQ7" s="1817"/>
      <c r="CR7" s="1816"/>
      <c r="CS7" s="1818"/>
      <c r="CT7" s="1816"/>
      <c r="CU7" s="1818"/>
      <c r="CV7" s="1822"/>
      <c r="CW7" s="1817"/>
      <c r="CX7" s="1816"/>
      <c r="CY7" s="1818"/>
      <c r="CZ7" s="1816"/>
      <c r="DA7" s="1818"/>
      <c r="DB7" s="1822"/>
      <c r="DC7" s="1823" t="s">
        <v>8575</v>
      </c>
      <c r="DD7" s="1374"/>
      <c r="DE7" s="1379"/>
      <c r="DF7" s="1374"/>
      <c r="DG7" s="1379"/>
      <c r="DH7" s="1380"/>
      <c r="DI7" s="1381"/>
      <c r="DJ7" s="1374"/>
      <c r="DK7" s="1379"/>
      <c r="DL7" s="1374"/>
      <c r="DM7" s="1379"/>
      <c r="DN7" s="1380"/>
      <c r="DO7" s="1823" t="s">
        <v>8250</v>
      </c>
      <c r="DP7" s="1374"/>
      <c r="DQ7" s="1379"/>
      <c r="DR7" s="1374"/>
      <c r="DS7" s="1379"/>
      <c r="DT7" s="1374"/>
      <c r="DU7" s="1824"/>
      <c r="DV7" s="1374"/>
      <c r="DW7" s="1379"/>
      <c r="DX7" s="1374"/>
      <c r="DY7" s="1379"/>
      <c r="DZ7" s="1825"/>
      <c r="EA7" s="1381"/>
      <c r="EB7" s="1374"/>
      <c r="EC7" s="1379"/>
      <c r="ED7" s="1374"/>
      <c r="EE7" s="1379"/>
      <c r="EF7" s="1380"/>
      <c r="EG7" s="1381"/>
      <c r="EH7" s="1374"/>
      <c r="EI7" s="1379"/>
      <c r="EJ7" s="1374"/>
      <c r="EK7" s="1379"/>
      <c r="EL7" s="1380"/>
      <c r="EM7" s="1823" t="s">
        <v>8145</v>
      </c>
      <c r="EN7" s="1374"/>
      <c r="EO7" s="1379"/>
      <c r="EP7" s="1374"/>
      <c r="EQ7" s="1379"/>
      <c r="ER7" s="1380"/>
      <c r="ES7" s="1381"/>
      <c r="ET7" s="1374"/>
      <c r="EU7" s="1379"/>
      <c r="EV7" s="1374"/>
      <c r="EW7" s="1379"/>
      <c r="EX7" s="1380"/>
      <c r="EY7" s="1381"/>
      <c r="EZ7" s="1374"/>
      <c r="FA7" s="1379"/>
      <c r="FB7" s="1374"/>
      <c r="FC7" s="1379"/>
      <c r="FD7" s="1380"/>
      <c r="FE7" s="1381"/>
      <c r="FF7" s="1374"/>
      <c r="FG7" s="1379"/>
      <c r="FH7" s="1374"/>
      <c r="FI7" s="1379"/>
      <c r="FJ7" s="1380"/>
      <c r="FK7" s="1381"/>
      <c r="FL7" s="1374"/>
      <c r="FM7" s="1379"/>
      <c r="FN7" s="1374"/>
      <c r="FO7" s="1379"/>
      <c r="FP7" s="1380"/>
      <c r="FQ7" s="1381"/>
      <c r="FR7" s="1374"/>
      <c r="FS7" s="1379"/>
      <c r="FT7" s="1374"/>
      <c r="FU7" s="1379"/>
      <c r="FV7" s="1380"/>
      <c r="FW7" s="1381"/>
      <c r="FX7" s="1374"/>
      <c r="FY7" s="1379"/>
      <c r="FZ7" s="1374"/>
      <c r="GA7" s="1379"/>
      <c r="GB7" s="1380"/>
      <c r="GC7" s="1381"/>
      <c r="GD7" s="1374"/>
      <c r="GE7" s="1379"/>
      <c r="GF7" s="1374"/>
      <c r="GG7" s="1379"/>
      <c r="GH7" s="1380"/>
    </row>
    <row r="8" spans="1:190" ht="20.100000000000001" customHeight="1">
      <c r="A8" s="2790" t="s">
        <v>17451</v>
      </c>
      <c r="B8" s="2850" t="s">
        <v>15707</v>
      </c>
      <c r="C8" s="2850">
        <v>190041</v>
      </c>
      <c r="D8" s="2810" t="str">
        <f>実績!C1291</f>
        <v>BMW神戸</v>
      </c>
      <c r="E8" s="2844" t="str">
        <f>SUBSTITUTE(VLOOKUP(D8,実績!$C$5:'実績'!$AC$1451,3,0),"株式会社 ","")</f>
        <v>沖本</v>
      </c>
      <c r="F8" s="2842" t="str">
        <f>SUBSTITUTE(VLOOKUP(D8,実績!$C$5:'実績'!$AC$1451,2,0),"株式会社 ","")</f>
        <v>宮北
近藤</v>
      </c>
      <c r="G8" s="2808" t="str">
        <f>SUBSTITUTE(VLOOKUP(D8,実績!$C$5:'実績'!$AC$1451,26,0),"株式会社 ","")</f>
        <v>カーダクレッセ</v>
      </c>
      <c r="H8" s="2821" t="str">
        <f>VLOOKUP(D8,実績!$C$5:'実績'!$AC$1451,4,0)</f>
        <v>兵庫県</v>
      </c>
      <c r="I8" s="2823" t="str">
        <f>VLOOKUP(D8,実績!$C$5:'実績'!$AC$1451,5,0)</f>
        <v>神戸市</v>
      </c>
      <c r="J8" s="2836" t="str">
        <f>VLOOKUP(D8,実績!$C$5:'実績'!$AC$1451,9,0)</f>
        <v>整備工場</v>
      </c>
      <c r="K8" s="2838">
        <f>ROUND(VLOOKUP(D8,実績!$C$5:'実績'!$AC$1451,15,0),-1)</f>
        <v>1090</v>
      </c>
      <c r="L8" s="2840" t="s">
        <v>15</v>
      </c>
      <c r="M8" s="2836" t="str">
        <f>VLOOKUP(D8,実績!$C$5:'実績'!$BY$1472,38,0)</f>
        <v>-</v>
      </c>
      <c r="N8" s="2836" t="str">
        <f>VLOOKUP(D8,実績!$C$5:'実績'!$BY$1472,37,0)</f>
        <v>-</v>
      </c>
      <c r="O8" s="2838" t="str">
        <f>VLOOKUP(D8,実績!$C$5:'実績'!$BY$1472,41,0)</f>
        <v>独立</v>
      </c>
      <c r="P8" s="2866"/>
      <c r="Q8" s="2852"/>
      <c r="R8" s="2825"/>
      <c r="S8" s="2827"/>
      <c r="T8" s="2829"/>
      <c r="U8" s="2831"/>
      <c r="V8" s="1618" t="s">
        <v>1117</v>
      </c>
      <c r="W8" s="1346"/>
      <c r="X8" s="1346"/>
      <c r="Y8" s="1346"/>
      <c r="Z8" s="1346"/>
      <c r="AA8" s="1346"/>
      <c r="AB8" s="1346"/>
      <c r="AC8" s="1346"/>
      <c r="AD8" s="1346"/>
      <c r="AE8" s="1346"/>
      <c r="AF8" s="1346"/>
      <c r="AG8" s="1346"/>
      <c r="AH8" s="1346"/>
      <c r="AI8" s="1346"/>
      <c r="AJ8" s="1346"/>
      <c r="AK8" s="1346"/>
      <c r="AL8" s="1346"/>
      <c r="AM8" s="1346"/>
      <c r="AN8" s="1346"/>
      <c r="AO8" s="1346"/>
      <c r="AP8" s="1346"/>
      <c r="AQ8" s="1346"/>
      <c r="AR8" s="1346"/>
      <c r="AS8" s="1346"/>
      <c r="AT8" s="1346"/>
      <c r="AU8" s="1346"/>
      <c r="AV8" s="1346"/>
      <c r="AW8" s="1346"/>
      <c r="AX8" s="1346"/>
      <c r="AY8" s="1346"/>
      <c r="AZ8" s="1346"/>
      <c r="BA8" s="1346"/>
      <c r="BB8" s="1346"/>
      <c r="BC8" s="1346"/>
      <c r="BD8" s="1346"/>
      <c r="BE8" s="1346"/>
      <c r="BF8" s="1346"/>
      <c r="BG8" s="1346"/>
      <c r="BH8" s="1346"/>
      <c r="BI8" s="1346"/>
      <c r="BJ8" s="1346"/>
      <c r="BK8" s="1346"/>
      <c r="BL8" s="1346"/>
      <c r="BM8" s="1349"/>
      <c r="BN8" s="1346"/>
      <c r="BO8" s="1347"/>
      <c r="BP8" s="1346"/>
      <c r="BQ8" s="1347"/>
      <c r="BR8" s="1348"/>
      <c r="BS8" s="1349"/>
      <c r="BT8" s="1346"/>
      <c r="BU8" s="1347"/>
      <c r="BV8" s="1346"/>
      <c r="BW8" s="1347"/>
      <c r="BX8" s="1348"/>
      <c r="BY8" s="1620"/>
      <c r="BZ8" s="1346"/>
      <c r="CA8" s="1347"/>
      <c r="CB8" s="1621"/>
      <c r="CC8" s="1347"/>
      <c r="CD8" s="1348"/>
      <c r="CE8" s="1349"/>
      <c r="CF8" s="1346"/>
      <c r="CG8" s="1347"/>
      <c r="CH8" s="1621"/>
      <c r="CI8" s="1347"/>
      <c r="CJ8" s="1348"/>
      <c r="CK8" s="1620"/>
      <c r="CL8" s="1346"/>
      <c r="CM8" s="1347"/>
      <c r="CN8" s="1346"/>
      <c r="CO8" s="1347"/>
      <c r="CP8" s="1348"/>
      <c r="CQ8" s="1349"/>
      <c r="CR8" s="1346"/>
      <c r="CS8" s="1347"/>
      <c r="CT8" s="1346"/>
      <c r="CU8" s="1347"/>
      <c r="CV8" s="1619"/>
      <c r="CW8" s="1349"/>
      <c r="CX8" s="1346"/>
      <c r="CY8" s="1347"/>
      <c r="CZ8" s="1346"/>
      <c r="DA8" s="1347"/>
      <c r="DB8" s="1619"/>
      <c r="DC8" s="1349"/>
      <c r="DD8" s="1346"/>
      <c r="DE8" s="1622" t="s">
        <v>12888</v>
      </c>
      <c r="DF8" s="1346"/>
      <c r="DG8" s="1347"/>
      <c r="DH8" s="1619"/>
      <c r="DI8" s="1349"/>
      <c r="DJ8" s="1346"/>
      <c r="DK8" s="1347"/>
      <c r="DL8" s="1346"/>
      <c r="DM8" s="1623"/>
      <c r="DN8" s="1619"/>
      <c r="DO8" s="1349" t="s">
        <v>14847</v>
      </c>
      <c r="DP8" s="1346"/>
      <c r="DQ8" s="1623" t="s">
        <v>15171</v>
      </c>
      <c r="DR8" s="1346"/>
      <c r="DS8" s="1623"/>
      <c r="DT8" s="1346"/>
      <c r="DU8" s="1624"/>
      <c r="DV8" s="1346"/>
      <c r="DW8" s="1347"/>
      <c r="DX8" s="1625" t="s">
        <v>15170</v>
      </c>
      <c r="DY8" s="1346"/>
      <c r="DZ8" s="1619"/>
      <c r="EA8" s="1349"/>
      <c r="EB8" s="1346"/>
      <c r="EC8" s="1347"/>
      <c r="ED8" s="1346"/>
      <c r="EE8" s="1347"/>
      <c r="EF8" s="1626" t="s">
        <v>12888</v>
      </c>
      <c r="EG8" s="1620"/>
      <c r="EH8" s="1346"/>
      <c r="EI8" s="1347"/>
      <c r="EJ8" s="1621" t="s">
        <v>8250</v>
      </c>
      <c r="EK8" s="1347"/>
      <c r="EL8" s="1619"/>
      <c r="EM8" s="1620"/>
      <c r="EN8" s="1346"/>
      <c r="EO8" s="1347"/>
      <c r="EP8" s="1346"/>
      <c r="EQ8" s="1347"/>
      <c r="ER8" s="1619"/>
      <c r="ES8" s="1349"/>
      <c r="ET8" s="1346"/>
      <c r="EU8" s="1347"/>
      <c r="EV8" s="1346"/>
      <c r="EW8" s="1347"/>
      <c r="EX8" s="1619"/>
      <c r="EY8" s="1349"/>
      <c r="EZ8" s="1346"/>
      <c r="FA8" s="1347"/>
      <c r="FB8" s="1346" t="s">
        <v>8145</v>
      </c>
      <c r="FC8" s="1347"/>
      <c r="FD8" s="1619"/>
      <c r="FE8" s="1349"/>
      <c r="FF8" s="1346"/>
      <c r="FG8" s="1347"/>
      <c r="FH8" s="1346"/>
      <c r="FI8" s="1347"/>
      <c r="FJ8" s="1619"/>
      <c r="FK8" s="1349"/>
      <c r="FL8" s="1346"/>
      <c r="FM8" s="1347"/>
      <c r="FN8" s="1346"/>
      <c r="FO8" s="1347"/>
      <c r="FP8" s="1619"/>
      <c r="FQ8" s="1349"/>
      <c r="FR8" s="1346"/>
      <c r="FS8" s="1347"/>
      <c r="FT8" s="1346"/>
      <c r="FU8" s="1347"/>
      <c r="FV8" s="1619"/>
      <c r="FW8" s="1349"/>
      <c r="FX8" s="1346"/>
      <c r="FY8" s="1347"/>
      <c r="FZ8" s="1346"/>
      <c r="GA8" s="1347"/>
      <c r="GB8" s="1619" t="s">
        <v>16025</v>
      </c>
      <c r="GC8" s="1349"/>
      <c r="GD8" s="1346"/>
      <c r="GE8" s="1347"/>
      <c r="GF8" s="1346"/>
      <c r="GG8" s="1347"/>
      <c r="GH8" s="1619"/>
    </row>
    <row r="9" spans="1:190" ht="20.100000000000001" customHeight="1" thickBot="1">
      <c r="A9" s="2848"/>
      <c r="B9" s="2851"/>
      <c r="C9" s="2863"/>
      <c r="D9" s="2811"/>
      <c r="E9" s="2845"/>
      <c r="F9" s="2843"/>
      <c r="G9" s="2809"/>
      <c r="H9" s="2822"/>
      <c r="I9" s="2824"/>
      <c r="J9" s="2837"/>
      <c r="K9" s="2839"/>
      <c r="L9" s="2841"/>
      <c r="M9" s="2837"/>
      <c r="N9" s="2837"/>
      <c r="O9" s="2839"/>
      <c r="P9" s="2867"/>
      <c r="Q9" s="2853"/>
      <c r="R9" s="2826"/>
      <c r="S9" s="2828"/>
      <c r="T9" s="2830"/>
      <c r="U9" s="2832"/>
      <c r="V9" s="1607" t="s">
        <v>1116</v>
      </c>
      <c r="W9" s="1608"/>
      <c r="X9" s="1608"/>
      <c r="Y9" s="1609"/>
      <c r="Z9" s="1608"/>
      <c r="AA9" s="1609"/>
      <c r="AB9" s="1610"/>
      <c r="AC9" s="1608"/>
      <c r="AD9" s="1608"/>
      <c r="AE9" s="1609"/>
      <c r="AF9" s="1608"/>
      <c r="AG9" s="1609"/>
      <c r="AH9" s="1608"/>
      <c r="AI9" s="1611"/>
      <c r="AJ9" s="1608"/>
      <c r="AK9" s="1609"/>
      <c r="AL9" s="1608"/>
      <c r="AM9" s="1609"/>
      <c r="AN9" s="1610"/>
      <c r="AO9" s="1608"/>
      <c r="AP9" s="1608"/>
      <c r="AQ9" s="1609"/>
      <c r="AR9" s="1608"/>
      <c r="AS9" s="1609"/>
      <c r="AT9" s="1608"/>
      <c r="AU9" s="1612"/>
      <c r="AV9" s="1608"/>
      <c r="AW9" s="1609"/>
      <c r="AX9" s="1608"/>
      <c r="AY9" s="1609"/>
      <c r="AZ9" s="1610"/>
      <c r="BA9" s="1611"/>
      <c r="BB9" s="1608"/>
      <c r="BC9" s="1609"/>
      <c r="BD9" s="1608"/>
      <c r="BE9" s="1609"/>
      <c r="BF9" s="1610"/>
      <c r="BG9" s="1608"/>
      <c r="BH9" s="1608"/>
      <c r="BI9" s="1609"/>
      <c r="BJ9" s="1608"/>
      <c r="BK9" s="1609"/>
      <c r="BL9" s="1608"/>
      <c r="BM9" s="1611"/>
      <c r="BN9" s="1608"/>
      <c r="BO9" s="1609"/>
      <c r="BP9" s="1608"/>
      <c r="BQ9" s="1609"/>
      <c r="BR9" s="1610"/>
      <c r="BS9" s="1611"/>
      <c r="BT9" s="1608"/>
      <c r="BU9" s="1609"/>
      <c r="BV9" s="1613"/>
      <c r="BW9" s="1609"/>
      <c r="BX9" s="1610"/>
      <c r="BY9" s="1611"/>
      <c r="BZ9" s="1608"/>
      <c r="CA9" s="1609"/>
      <c r="CB9" s="1608"/>
      <c r="CC9" s="1609"/>
      <c r="CD9" s="1610"/>
      <c r="CE9" s="1611"/>
      <c r="CF9" s="1608"/>
      <c r="CG9" s="1609"/>
      <c r="CH9" s="1608"/>
      <c r="CI9" s="1609"/>
      <c r="CJ9" s="1610"/>
      <c r="CK9" s="1611"/>
      <c r="CL9" s="1608"/>
      <c r="CM9" s="1609"/>
      <c r="CN9" s="1608"/>
      <c r="CO9" s="1609"/>
      <c r="CP9" s="1610"/>
      <c r="CQ9" s="1611"/>
      <c r="CR9" s="1613"/>
      <c r="CS9" s="1609"/>
      <c r="CT9" s="1614"/>
      <c r="CU9" s="1609"/>
      <c r="CV9" s="1610"/>
      <c r="CW9" s="1611"/>
      <c r="CX9" s="1608"/>
      <c r="CY9" s="1609"/>
      <c r="CZ9" s="1608"/>
      <c r="DA9" s="1609"/>
      <c r="DB9" s="1610"/>
      <c r="DC9" s="1611"/>
      <c r="DD9" s="1608"/>
      <c r="DE9" s="1609" t="s">
        <v>10844</v>
      </c>
      <c r="DF9" s="1608"/>
      <c r="DG9" s="1609"/>
      <c r="DH9" s="1610"/>
      <c r="DI9" s="1611"/>
      <c r="DJ9" s="1608"/>
      <c r="DK9" s="1609"/>
      <c r="DL9" s="1608"/>
      <c r="DM9" s="1609"/>
      <c r="DN9" s="1610"/>
      <c r="DO9" s="1611"/>
      <c r="DP9" s="1608"/>
      <c r="DQ9" s="1609"/>
      <c r="DR9" s="1608"/>
      <c r="DS9" s="1609"/>
      <c r="DT9" s="1608"/>
      <c r="DU9" s="1615"/>
      <c r="DV9" s="1608"/>
      <c r="DW9" s="1609"/>
      <c r="DX9" s="1613"/>
      <c r="DY9" s="1608"/>
      <c r="DZ9" s="1610"/>
      <c r="EA9" s="1611"/>
      <c r="EB9" s="1608"/>
      <c r="EC9" s="1609"/>
      <c r="ED9" s="1608"/>
      <c r="EE9" s="1609"/>
      <c r="EF9" s="1616" t="s">
        <v>12888</v>
      </c>
      <c r="EG9" s="1611"/>
      <c r="EH9" s="1608"/>
      <c r="EI9" s="1609"/>
      <c r="EJ9" s="1608" t="s">
        <v>8250</v>
      </c>
      <c r="EK9" s="1609"/>
      <c r="EL9" s="1617"/>
      <c r="EM9" s="1611"/>
      <c r="EN9" s="1608"/>
      <c r="EO9" s="1609"/>
      <c r="EP9" s="1608"/>
      <c r="EQ9" s="1609"/>
      <c r="ER9" s="1617"/>
      <c r="ES9" s="1611"/>
      <c r="ET9" s="1608"/>
      <c r="EU9" s="1609"/>
      <c r="EV9" s="1608"/>
      <c r="EW9" s="1609"/>
      <c r="EX9" s="1617"/>
      <c r="EY9" s="1611"/>
      <c r="EZ9" s="1608"/>
      <c r="FA9" s="1609"/>
      <c r="FB9" s="1632"/>
      <c r="FC9" s="1609"/>
      <c r="FD9" s="1617"/>
      <c r="FE9" s="1611"/>
      <c r="FF9" s="1608"/>
      <c r="FG9" s="1609"/>
      <c r="FH9" s="1608"/>
      <c r="FI9" s="1609"/>
      <c r="FJ9" s="1617"/>
      <c r="FK9" s="1611"/>
      <c r="FL9" s="1608"/>
      <c r="FM9" s="1609"/>
      <c r="FN9" s="1608"/>
      <c r="FO9" s="1609"/>
      <c r="FP9" s="1617"/>
      <c r="FQ9" s="1611"/>
      <c r="FR9" s="1608"/>
      <c r="FS9" s="1609"/>
      <c r="FT9" s="1608"/>
      <c r="FU9" s="1609"/>
      <c r="FV9" s="1617"/>
      <c r="FW9" s="1611"/>
      <c r="FX9" s="1608"/>
      <c r="FY9" s="1609"/>
      <c r="FZ9" s="1608"/>
      <c r="GA9" s="1609"/>
      <c r="GB9" s="1617"/>
      <c r="GC9" s="1611"/>
      <c r="GD9" s="1608"/>
      <c r="GE9" s="1609"/>
      <c r="GF9" s="1608"/>
      <c r="GG9" s="1609"/>
      <c r="GH9" s="1617"/>
    </row>
    <row r="10" spans="1:190" ht="20.100000000000001" customHeight="1">
      <c r="A10" s="2848"/>
      <c r="B10" s="2860" t="s">
        <v>17453</v>
      </c>
      <c r="C10" s="1520">
        <f>実績!B1373</f>
        <v>190121</v>
      </c>
      <c r="D10" s="1521" t="str">
        <f>VLOOKUP(C10,実績!$B$5:'実績'!$AC$1472,2,0)</f>
        <v>ＪＡにしみの海津北支店</v>
      </c>
      <c r="E10" s="1498" t="str">
        <f>SUBSTITUTE(VLOOKUP(D10,実績!$C$5:'実績'!$AC$1451,3,0),"株式会社 ","")</f>
        <v>大田</v>
      </c>
      <c r="F10" s="1485" t="str">
        <f>SUBSTITUTE(VLOOKUP(D10,実績!$C$5:'実績'!$AC$1451,2,0),"株式会社 ","")</f>
        <v>ユイ
フィ</v>
      </c>
      <c r="G10" s="1522" t="str">
        <f>SUBSTITUTE(VLOOKUP(D10,実績!$C$5:'実績'!$AC$1451,16,0)," 一級建築士事務所","")</f>
        <v>全農岐阜</v>
      </c>
      <c r="H10" s="1523" t="str">
        <f>VLOOKUP(D10,実績!$C$5:'実績'!$AC$1451,4,0)</f>
        <v>岐阜県</v>
      </c>
      <c r="I10" s="1524" t="str">
        <f>VLOOKUP(D10,実績!$C$5:'実績'!$AC$1451,5,0)</f>
        <v>海津市</v>
      </c>
      <c r="J10" s="1484" t="str">
        <f>VLOOKUP(D10,実績!$C$5:'実績'!$AC$1451,9,0)</f>
        <v>事務所・倉庫</v>
      </c>
      <c r="K10" s="1485">
        <f>ROUND(VLOOKUP(D10,実績!$C$5:'実績'!$AC$1451,15,0),-1)</f>
        <v>690</v>
      </c>
      <c r="L10" s="1483" t="str">
        <f>VLOOKUP(D10,実績!$C$5:'実績'!$BY$1451,40,0)</f>
        <v>○</v>
      </c>
      <c r="M10" s="1484" t="str">
        <f>VLOOKUP(D10,実績!$C$5:'実績'!$BY$1472,38,0)</f>
        <v>-</v>
      </c>
      <c r="N10" s="1484" t="str">
        <f>VLOOKUP(D10,実績!$C$5:'実績'!$BY$1472,37,0)</f>
        <v>-</v>
      </c>
      <c r="O10" s="1485" t="str">
        <f>VLOOKUP(D10,実績!$C$5:'実績'!$BY$1472,41,0)</f>
        <v>独立</v>
      </c>
      <c r="P10" s="1664">
        <v>43997</v>
      </c>
      <c r="Q10" s="1665">
        <v>44075</v>
      </c>
      <c r="R10" s="1664">
        <v>44034</v>
      </c>
      <c r="S10" s="1666">
        <v>44040</v>
      </c>
      <c r="T10" s="1667"/>
      <c r="U10" s="1665"/>
      <c r="V10" s="1525"/>
      <c r="W10" s="1526"/>
      <c r="X10" s="1526"/>
      <c r="Y10" s="1527"/>
      <c r="Z10" s="1526"/>
      <c r="AA10" s="1527"/>
      <c r="AB10" s="1528"/>
      <c r="AC10" s="1526"/>
      <c r="AD10" s="1526"/>
      <c r="AE10" s="1527"/>
      <c r="AF10" s="1526"/>
      <c r="AG10" s="1527"/>
      <c r="AH10" s="1526"/>
      <c r="AI10" s="1529"/>
      <c r="AJ10" s="1526"/>
      <c r="AK10" s="1527"/>
      <c r="AL10" s="1526"/>
      <c r="AM10" s="1527"/>
      <c r="AN10" s="1528"/>
      <c r="AO10" s="1526"/>
      <c r="AP10" s="1526"/>
      <c r="AQ10" s="1527"/>
      <c r="AR10" s="1526"/>
      <c r="AS10" s="1527"/>
      <c r="AT10" s="1526"/>
      <c r="AU10" s="1530"/>
      <c r="AV10" s="1526"/>
      <c r="AW10" s="1527"/>
      <c r="AX10" s="1526"/>
      <c r="AY10" s="1527"/>
      <c r="AZ10" s="1528"/>
      <c r="BA10" s="1529"/>
      <c r="BB10" s="1526"/>
      <c r="BC10" s="1527"/>
      <c r="BD10" s="1526"/>
      <c r="BE10" s="1527"/>
      <c r="BF10" s="1528"/>
      <c r="BG10" s="1526"/>
      <c r="BH10" s="1526"/>
      <c r="BI10" s="1527"/>
      <c r="BJ10" s="1526"/>
      <c r="BK10" s="1527"/>
      <c r="BL10" s="1526"/>
      <c r="BM10" s="1529"/>
      <c r="BN10" s="1526"/>
      <c r="BO10" s="1527"/>
      <c r="BP10" s="1526"/>
      <c r="BQ10" s="1527"/>
      <c r="BR10" s="1528"/>
      <c r="BS10" s="1529"/>
      <c r="BT10" s="1526"/>
      <c r="BU10" s="1527"/>
      <c r="BV10" s="1531"/>
      <c r="BW10" s="1527"/>
      <c r="BX10" s="1528"/>
      <c r="BY10" s="1529"/>
      <c r="BZ10" s="1526"/>
      <c r="CA10" s="1527"/>
      <c r="CB10" s="1526"/>
      <c r="CC10" s="1527"/>
      <c r="CD10" s="1528"/>
      <c r="CE10" s="1529"/>
      <c r="CF10" s="1526"/>
      <c r="CG10" s="1527"/>
      <c r="CH10" s="1526"/>
      <c r="CI10" s="1527"/>
      <c r="CJ10" s="1528"/>
      <c r="CK10" s="1529"/>
      <c r="CL10" s="1526"/>
      <c r="CM10" s="1527"/>
      <c r="CN10" s="1526"/>
      <c r="CO10" s="1527"/>
      <c r="CP10" s="1528"/>
      <c r="CQ10" s="1529"/>
      <c r="CR10" s="1526"/>
      <c r="CS10" s="1527"/>
      <c r="CT10" s="1532"/>
      <c r="CU10" s="1527"/>
      <c r="CV10" s="1528"/>
      <c r="CW10" s="1529"/>
      <c r="CX10" s="1526"/>
      <c r="CY10" s="1527"/>
      <c r="CZ10" s="1526"/>
      <c r="DA10" s="1527"/>
      <c r="DB10" s="1528"/>
      <c r="DC10" s="1529"/>
      <c r="DD10" s="1526"/>
      <c r="DE10" s="1527"/>
      <c r="DF10" s="1526"/>
      <c r="DG10" s="1527"/>
      <c r="DH10" s="1528"/>
      <c r="DI10" s="1529"/>
      <c r="DJ10" s="1526"/>
      <c r="DK10" s="1527"/>
      <c r="DL10" s="1526"/>
      <c r="DM10" s="1527"/>
      <c r="DN10" s="1533"/>
      <c r="DO10" s="1529"/>
      <c r="DP10" s="1526"/>
      <c r="DQ10" s="1527"/>
      <c r="DR10" s="1526"/>
      <c r="DS10" s="1527"/>
      <c r="DT10" s="1528"/>
      <c r="DU10" s="1529"/>
      <c r="DV10" s="1526"/>
      <c r="DW10" s="1527"/>
      <c r="DX10" s="1526"/>
      <c r="DY10" s="1527"/>
      <c r="DZ10" s="1533"/>
      <c r="EA10" s="1527"/>
      <c r="EB10" s="1526"/>
      <c r="EC10" s="1527"/>
      <c r="ED10" s="1526"/>
      <c r="EE10" s="1527"/>
      <c r="EF10" s="1533"/>
      <c r="EG10" s="1529"/>
      <c r="EH10" s="1526"/>
      <c r="EI10" s="1527"/>
      <c r="EJ10" s="1526"/>
      <c r="EK10" s="1527"/>
      <c r="EL10" s="1533"/>
      <c r="EM10" s="1529"/>
      <c r="EN10" s="1526"/>
      <c r="EO10" s="1527"/>
      <c r="EP10" s="1526"/>
      <c r="EQ10" s="1527"/>
      <c r="ER10" s="1533"/>
      <c r="ES10" s="1529" t="s">
        <v>8424</v>
      </c>
      <c r="ET10" s="1526"/>
      <c r="EU10" s="1527"/>
      <c r="EV10" s="1526"/>
      <c r="EW10" s="1527"/>
      <c r="EX10" s="1528"/>
      <c r="EY10" s="1529" t="s">
        <v>8145</v>
      </c>
      <c r="EZ10" s="1526"/>
      <c r="FA10" s="1527"/>
      <c r="FB10" s="1526"/>
      <c r="FC10" s="1527"/>
      <c r="FD10" s="1528"/>
      <c r="FE10" s="1529"/>
      <c r="FF10" s="1526"/>
      <c r="FG10" s="1527"/>
      <c r="FH10" s="1526"/>
      <c r="FI10" s="1527"/>
      <c r="FJ10" s="1528"/>
      <c r="FK10" s="1529"/>
      <c r="FL10" s="1526"/>
      <c r="FM10" s="1527"/>
      <c r="FN10" s="1526"/>
      <c r="FO10" s="1527"/>
      <c r="FP10" s="1528"/>
      <c r="FQ10" s="1529"/>
      <c r="FR10" s="1526"/>
      <c r="FS10" s="1527"/>
      <c r="FT10" s="1526"/>
      <c r="FU10" s="1527"/>
      <c r="FV10" s="1528"/>
      <c r="FW10" s="1529"/>
      <c r="FX10" s="1526"/>
      <c r="FY10" s="1527"/>
      <c r="FZ10" s="1526"/>
      <c r="GA10" s="1527"/>
      <c r="GB10" s="1533"/>
      <c r="GC10" s="1529"/>
      <c r="GD10" s="1526"/>
      <c r="GE10" s="1527"/>
      <c r="GF10" s="1526"/>
      <c r="GG10" s="1527"/>
      <c r="GH10" s="1533"/>
    </row>
    <row r="11" spans="1:190" ht="20.100000000000001" customHeight="1">
      <c r="A11" s="2848"/>
      <c r="B11" s="2861"/>
      <c r="C11" s="1496">
        <f>実績!B1295</f>
        <v>190044</v>
      </c>
      <c r="D11" s="1497" t="str">
        <f>VLOOKUP(C11,実績!$B$5:'実績'!$AC$1472,2,0)</f>
        <v>マクドナルド与那原</v>
      </c>
      <c r="E11" s="1534" t="str">
        <f>SUBSTITUTE(VLOOKUP(D11,実績!$C$5:'実績'!$AC$1451,3,0),"株式会社 ","")</f>
        <v>大田</v>
      </c>
      <c r="F11" s="1503" t="str">
        <f>SUBSTITUTE(VLOOKUP(D11,実績!$C$5:'実績'!$AC$1451,2,0),"株式会社 ","")</f>
        <v>ウット
VINA</v>
      </c>
      <c r="G11" s="1499" t="str">
        <f>SUBSTITUTE(VLOOKUP(D11,実績!$C$5:'実績'!$AC$1451,16,0),"株式会社 ","")</f>
        <v>大屋設計</v>
      </c>
      <c r="H11" s="1500" t="str">
        <f>VLOOKUP(D11,実績!$C$5:'実績'!$AC$1451,4,0)</f>
        <v>沖縄県</v>
      </c>
      <c r="I11" s="1501" t="str">
        <f>VLOOKUP(D11,実績!$C$5:'実績'!$AC$1451,5,0)</f>
        <v>与那原市</v>
      </c>
      <c r="J11" s="1502" t="str">
        <f>VLOOKUP(D11,実績!$C$5:'実績'!$AC$1451,9,0)</f>
        <v>店舗</v>
      </c>
      <c r="K11" s="1503">
        <f>ROUND(VLOOKUP(D11,実績!$C$5:'実績'!$AC$1451,15,0),-1)</f>
        <v>320</v>
      </c>
      <c r="L11" s="1504" t="str">
        <f>VLOOKUP(D11,実績!$C$5:'実績'!$BY$1451,40,0)</f>
        <v>○</v>
      </c>
      <c r="M11" s="1502" t="str">
        <f>VLOOKUP(D11,実績!$C$5:'実績'!$BY$1472,38,0)</f>
        <v>-</v>
      </c>
      <c r="N11" s="1502" t="str">
        <f>VLOOKUP(D11,実績!$C$5:'実績'!$BY$1472,37,0)</f>
        <v>-</v>
      </c>
      <c r="O11" s="1503" t="str">
        <f>VLOOKUP(D11,実績!$C$5:'実績'!$BY$1472,41,0)</f>
        <v>独立</v>
      </c>
      <c r="P11" s="1659">
        <v>43791</v>
      </c>
      <c r="Q11" s="1660">
        <v>44081</v>
      </c>
      <c r="R11" s="1659"/>
      <c r="S11" s="1661"/>
      <c r="T11" s="1662">
        <v>44040</v>
      </c>
      <c r="U11" s="1660">
        <v>44043</v>
      </c>
      <c r="V11" s="1535"/>
      <c r="W11" s="1505"/>
      <c r="X11" s="1505"/>
      <c r="Y11" s="1506"/>
      <c r="Z11" s="1505"/>
      <c r="AA11" s="1506"/>
      <c r="AB11" s="1507"/>
      <c r="AC11" s="1505"/>
      <c r="AD11" s="1505"/>
      <c r="AE11" s="1506"/>
      <c r="AF11" s="1505"/>
      <c r="AG11" s="1506"/>
      <c r="AH11" s="1505"/>
      <c r="AI11" s="1508"/>
      <c r="AJ11" s="1505"/>
      <c r="AK11" s="1506"/>
      <c r="AL11" s="1505"/>
      <c r="AM11" s="1506"/>
      <c r="AN11" s="1507"/>
      <c r="AO11" s="1505"/>
      <c r="AP11" s="1505"/>
      <c r="AQ11" s="1506"/>
      <c r="AR11" s="1505"/>
      <c r="AS11" s="1506"/>
      <c r="AT11" s="1505"/>
      <c r="AU11" s="1509"/>
      <c r="AV11" s="1505"/>
      <c r="AW11" s="1506"/>
      <c r="AX11" s="1505"/>
      <c r="AY11" s="1506"/>
      <c r="AZ11" s="1507"/>
      <c r="BA11" s="1508"/>
      <c r="BB11" s="1505"/>
      <c r="BC11" s="1506"/>
      <c r="BD11" s="1505"/>
      <c r="BE11" s="1506"/>
      <c r="BF11" s="1507"/>
      <c r="BG11" s="1505"/>
      <c r="BH11" s="1505"/>
      <c r="BI11" s="1506"/>
      <c r="BJ11" s="1505"/>
      <c r="BK11" s="1506"/>
      <c r="BL11" s="1505"/>
      <c r="BM11" s="1508"/>
      <c r="BN11" s="1505"/>
      <c r="BO11" s="1506"/>
      <c r="BP11" s="1505"/>
      <c r="BQ11" s="1506"/>
      <c r="BR11" s="1507"/>
      <c r="BS11" s="1508"/>
      <c r="BT11" s="1505"/>
      <c r="BU11" s="1506"/>
      <c r="BV11" s="1510"/>
      <c r="BW11" s="1506"/>
      <c r="BX11" s="1507"/>
      <c r="BY11" s="1508"/>
      <c r="BZ11" s="1505"/>
      <c r="CA11" s="1506"/>
      <c r="CB11" s="1505"/>
      <c r="CC11" s="1506"/>
      <c r="CD11" s="1507"/>
      <c r="CE11" s="1508"/>
      <c r="CF11" s="1505"/>
      <c r="CG11" s="1506"/>
      <c r="CH11" s="1505"/>
      <c r="CI11" s="1506"/>
      <c r="CJ11" s="1507"/>
      <c r="CK11" s="1508"/>
      <c r="CL11" s="1505"/>
      <c r="CM11" s="1506"/>
      <c r="CN11" s="1505"/>
      <c r="CO11" s="1506"/>
      <c r="CP11" s="1507"/>
      <c r="CQ11" s="1508"/>
      <c r="CR11" s="1505"/>
      <c r="CS11" s="1506"/>
      <c r="CT11" s="1511"/>
      <c r="CU11" s="1506" t="s">
        <v>8250</v>
      </c>
      <c r="CV11" s="1507"/>
      <c r="CW11" s="1508"/>
      <c r="CX11" s="1505"/>
      <c r="CY11" s="1506"/>
      <c r="CZ11" s="1505"/>
      <c r="DA11" s="1506"/>
      <c r="DB11" s="1507"/>
      <c r="DC11" s="1508"/>
      <c r="DD11" s="1505"/>
      <c r="DE11" s="1506"/>
      <c r="DF11" s="1505"/>
      <c r="DG11" s="1506"/>
      <c r="DH11" s="1507"/>
      <c r="DI11" s="1508"/>
      <c r="DJ11" s="1505"/>
      <c r="DK11" s="1506"/>
      <c r="DL11" s="1505"/>
      <c r="DM11" s="1506"/>
      <c r="DN11" s="1507"/>
      <c r="DO11" s="1508"/>
      <c r="DP11" s="1505"/>
      <c r="DQ11" s="1506"/>
      <c r="DR11" s="1505"/>
      <c r="DS11" s="1506"/>
      <c r="DT11" s="1505"/>
      <c r="DU11" s="1536"/>
      <c r="DV11" s="1505"/>
      <c r="DW11" s="1506"/>
      <c r="DX11" s="1510"/>
      <c r="DY11" s="1506"/>
      <c r="DZ11" s="1512"/>
      <c r="EA11" s="1506"/>
      <c r="EB11" s="1505"/>
      <c r="EC11" s="1506"/>
      <c r="ED11" s="1505"/>
      <c r="EE11" s="1506"/>
      <c r="EF11" s="1512"/>
      <c r="EG11" s="1508"/>
      <c r="EH11" s="1505"/>
      <c r="EI11" s="1506"/>
      <c r="EJ11" s="1505"/>
      <c r="EK11" s="1506"/>
      <c r="EL11" s="1512"/>
      <c r="EM11" s="1508"/>
      <c r="EN11" s="1505"/>
      <c r="EO11" s="1506"/>
      <c r="EP11" s="1505"/>
      <c r="EQ11" s="1506"/>
      <c r="ER11" s="1512"/>
      <c r="ES11" s="1508"/>
      <c r="ET11" s="1505"/>
      <c r="EU11" s="1506"/>
      <c r="EV11" s="1505"/>
      <c r="EW11" s="1506"/>
      <c r="EX11" s="1507"/>
      <c r="EY11" s="1508"/>
      <c r="EZ11" s="1505" t="s">
        <v>17417</v>
      </c>
      <c r="FA11" s="1506"/>
      <c r="FB11" s="1505"/>
      <c r="FC11" s="1506"/>
      <c r="FD11" s="1507"/>
      <c r="FE11" s="1508"/>
      <c r="FF11" s="1505"/>
      <c r="FG11" s="1506"/>
      <c r="FH11" s="1505"/>
      <c r="FI11" s="1506"/>
      <c r="FJ11" s="1507"/>
      <c r="FK11" s="1508"/>
      <c r="FL11" s="1505"/>
      <c r="FM11" s="1506"/>
      <c r="FN11" s="1505"/>
      <c r="FO11" s="1506"/>
      <c r="FP11" s="1507"/>
      <c r="FQ11" s="1508"/>
      <c r="FR11" s="1505"/>
      <c r="FS11" s="1506"/>
      <c r="FT11" s="1505"/>
      <c r="FU11" s="1506"/>
      <c r="FV11" s="1507"/>
      <c r="FW11" s="1508"/>
      <c r="FX11" s="1505"/>
      <c r="FY11" s="1506"/>
      <c r="FZ11" s="1505"/>
      <c r="GA11" s="1506"/>
      <c r="GB11" s="1512"/>
      <c r="GC11" s="1508"/>
      <c r="GD11" s="1505"/>
      <c r="GE11" s="1506"/>
      <c r="GF11" s="1505"/>
      <c r="GG11" s="1506"/>
      <c r="GH11" s="1512"/>
    </row>
    <row r="12" spans="1:190" ht="20.100000000000001" customHeight="1">
      <c r="A12" s="2848"/>
      <c r="B12" s="2861"/>
      <c r="C12" s="1496">
        <f>実績!B1381</f>
        <v>190127</v>
      </c>
      <c r="D12" s="1497" t="str">
        <f>VLOOKUP(C12,実績!$B$5:'実績'!$AC$1472,2,0)</f>
        <v>神姫バス</v>
      </c>
      <c r="E12" s="1534" t="str">
        <f>SUBSTITUTE(VLOOKUP(D12,実績!$C$5:'実績'!$AC$1451,3,0),"株式会社 ","")</f>
        <v>新井</v>
      </c>
      <c r="F12" s="1503" t="str">
        <f>SUBSTITUTE(VLOOKUP(D12,実績!$C$5:'実績'!$AC$1451,2,0),"株式会社 ","")</f>
        <v>近藤
フィ</v>
      </c>
      <c r="G12" s="1499" t="str">
        <f>SUBSTITUTE(VLOOKUP(D12,実績!$C$5:'実績'!$AC$1451,16,0),"株式会社 ","")</f>
        <v>二神建築事務所</v>
      </c>
      <c r="H12" s="1500" t="str">
        <f>VLOOKUP(D12,実績!$C$5:'実績'!$AC$1451,4,0)</f>
        <v>兵庫県</v>
      </c>
      <c r="I12" s="1501" t="str">
        <f>VLOOKUP(D12,実績!$C$5:'実績'!$AC$1451,5,0)</f>
        <v>神戸市</v>
      </c>
      <c r="J12" s="1502" t="str">
        <f>VLOOKUP(D12,実績!$C$5:'実績'!$AC$1451,9,0)</f>
        <v>整備工場</v>
      </c>
      <c r="K12" s="1503">
        <f>ROUND(VLOOKUP(D12,実績!$C$5:'実績'!$AC$1451,15,0),-1)</f>
        <v>1380</v>
      </c>
      <c r="L12" s="1504" t="str">
        <f>VLOOKUP(D12,実績!$C$5:'実績'!$BY$1451,40,0)</f>
        <v>-</v>
      </c>
      <c r="M12" s="1502" t="str">
        <f>VLOOKUP(D12,実績!$C$5:'実績'!$BY$1472,38,0)</f>
        <v>-</v>
      </c>
      <c r="N12" s="1502" t="str">
        <f>VLOOKUP(D12,実績!$C$5:'実績'!$BY$1472,37,0)</f>
        <v>-</v>
      </c>
      <c r="O12" s="1503" t="str">
        <f>VLOOKUP(D12,実績!$C$5:'実績'!$BY$1472,41,0)</f>
        <v>独立</v>
      </c>
      <c r="P12" s="1659">
        <v>43994</v>
      </c>
      <c r="Q12" s="1660">
        <v>44084</v>
      </c>
      <c r="R12" s="1659">
        <v>44020</v>
      </c>
      <c r="S12" s="1661">
        <v>44022</v>
      </c>
      <c r="T12" s="1662">
        <v>44040</v>
      </c>
      <c r="U12" s="1660">
        <v>44043</v>
      </c>
      <c r="V12" s="1535"/>
      <c r="W12" s="1505"/>
      <c r="X12" s="1505"/>
      <c r="Y12" s="1506"/>
      <c r="Z12" s="1505"/>
      <c r="AA12" s="1506"/>
      <c r="AB12" s="1507"/>
      <c r="AC12" s="1505"/>
      <c r="AD12" s="1505"/>
      <c r="AE12" s="1506"/>
      <c r="AF12" s="1505"/>
      <c r="AG12" s="1506"/>
      <c r="AH12" s="1505"/>
      <c r="AI12" s="1508"/>
      <c r="AJ12" s="1505"/>
      <c r="AK12" s="1506"/>
      <c r="AL12" s="1505"/>
      <c r="AM12" s="1506"/>
      <c r="AN12" s="1507"/>
      <c r="AO12" s="1505"/>
      <c r="AP12" s="1505"/>
      <c r="AQ12" s="1506"/>
      <c r="AR12" s="1505"/>
      <c r="AS12" s="1506"/>
      <c r="AT12" s="1505"/>
      <c r="AU12" s="1509"/>
      <c r="AV12" s="1505"/>
      <c r="AW12" s="1506"/>
      <c r="AX12" s="1505"/>
      <c r="AY12" s="1506"/>
      <c r="AZ12" s="1507"/>
      <c r="BA12" s="1508"/>
      <c r="BB12" s="1505"/>
      <c r="BC12" s="1506"/>
      <c r="BD12" s="1505"/>
      <c r="BE12" s="1506"/>
      <c r="BF12" s="1507"/>
      <c r="BG12" s="1505"/>
      <c r="BH12" s="1505"/>
      <c r="BI12" s="1506"/>
      <c r="BJ12" s="1505"/>
      <c r="BK12" s="1506"/>
      <c r="BL12" s="1505"/>
      <c r="BM12" s="1508"/>
      <c r="BN12" s="1505"/>
      <c r="BO12" s="1506"/>
      <c r="BP12" s="1505"/>
      <c r="BQ12" s="1506"/>
      <c r="BR12" s="1507"/>
      <c r="BS12" s="1508"/>
      <c r="BT12" s="1505"/>
      <c r="BU12" s="1506"/>
      <c r="BV12" s="1510"/>
      <c r="BW12" s="1506"/>
      <c r="BX12" s="1507"/>
      <c r="BY12" s="1508"/>
      <c r="BZ12" s="1505"/>
      <c r="CA12" s="1506"/>
      <c r="CB12" s="1505"/>
      <c r="CC12" s="1506"/>
      <c r="CD12" s="1507"/>
      <c r="CE12" s="1508"/>
      <c r="CF12" s="1505"/>
      <c r="CG12" s="1506"/>
      <c r="CH12" s="1505"/>
      <c r="CI12" s="1506"/>
      <c r="CJ12" s="1507"/>
      <c r="CK12" s="1508"/>
      <c r="CL12" s="1505"/>
      <c r="CM12" s="1506"/>
      <c r="CN12" s="1505"/>
      <c r="CO12" s="1506"/>
      <c r="CP12" s="1507"/>
      <c r="CQ12" s="1508"/>
      <c r="CR12" s="1505"/>
      <c r="CS12" s="1506"/>
      <c r="CT12" s="1511"/>
      <c r="CU12" s="1506"/>
      <c r="CV12" s="1507"/>
      <c r="CW12" s="1508"/>
      <c r="CX12" s="1505"/>
      <c r="CY12" s="1506"/>
      <c r="CZ12" s="1505"/>
      <c r="DA12" s="1506"/>
      <c r="DB12" s="1507"/>
      <c r="DC12" s="1508"/>
      <c r="DD12" s="1505"/>
      <c r="DE12" s="1506"/>
      <c r="DF12" s="1505"/>
      <c r="DG12" s="1506"/>
      <c r="DH12" s="1507"/>
      <c r="DI12" s="1508"/>
      <c r="DJ12" s="1505"/>
      <c r="DK12" s="1506"/>
      <c r="DL12" s="1505"/>
      <c r="DM12" s="1506"/>
      <c r="DN12" s="1512"/>
      <c r="DO12" s="1508"/>
      <c r="DP12" s="1505"/>
      <c r="DQ12" s="1506"/>
      <c r="DR12" s="1505"/>
      <c r="DS12" s="1506"/>
      <c r="DT12" s="1507"/>
      <c r="DU12" s="1508"/>
      <c r="DV12" s="1505"/>
      <c r="DW12" s="1506"/>
      <c r="DX12" s="1505"/>
      <c r="DY12" s="1506"/>
      <c r="DZ12" s="1512"/>
      <c r="EA12" s="1506"/>
      <c r="EB12" s="1505"/>
      <c r="EC12" s="1506"/>
      <c r="ED12" s="1505"/>
      <c r="EE12" s="1506"/>
      <c r="EF12" s="1512"/>
      <c r="EG12" s="1508"/>
      <c r="EH12" s="1505"/>
      <c r="EI12" s="1506"/>
      <c r="EJ12" s="1505" t="s">
        <v>16202</v>
      </c>
      <c r="EK12" s="1506"/>
      <c r="EL12" s="1512"/>
      <c r="EM12" s="1508" t="s">
        <v>9816</v>
      </c>
      <c r="EN12" s="1505"/>
      <c r="EO12" s="1506"/>
      <c r="EP12" s="1505"/>
      <c r="EQ12" s="1506"/>
      <c r="ER12" s="1512"/>
      <c r="ES12" s="1508"/>
      <c r="ET12" s="1505"/>
      <c r="EU12" s="1506"/>
      <c r="EV12" s="1505"/>
      <c r="EW12" s="1506"/>
      <c r="EX12" s="1507"/>
      <c r="EY12" s="1508"/>
      <c r="EZ12" s="1505"/>
      <c r="FA12" s="1506" t="s">
        <v>17398</v>
      </c>
      <c r="FB12" s="1505"/>
      <c r="FC12" s="1506"/>
      <c r="FD12" s="1507"/>
      <c r="FE12" s="1508"/>
      <c r="FF12" s="1505"/>
      <c r="FG12" s="1506"/>
      <c r="FH12" s="1505"/>
      <c r="FI12" s="1506"/>
      <c r="FJ12" s="1507"/>
      <c r="FK12" s="1508"/>
      <c r="FL12" s="1505"/>
      <c r="FM12" s="1506"/>
      <c r="FN12" s="1505"/>
      <c r="FO12" s="1506"/>
      <c r="FP12" s="1507"/>
      <c r="FQ12" s="1508"/>
      <c r="FR12" s="1505"/>
      <c r="FS12" s="1506"/>
      <c r="FT12" s="1505"/>
      <c r="FU12" s="1506"/>
      <c r="FV12" s="1507"/>
      <c r="FW12" s="1508"/>
      <c r="FX12" s="1505"/>
      <c r="FY12" s="1506"/>
      <c r="FZ12" s="1505"/>
      <c r="GA12" s="1506"/>
      <c r="GB12" s="1512"/>
      <c r="GC12" s="1508"/>
      <c r="GD12" s="1505"/>
      <c r="GE12" s="1506"/>
      <c r="GF12" s="1505"/>
      <c r="GG12" s="1506"/>
      <c r="GH12" s="1512"/>
    </row>
    <row r="13" spans="1:190" ht="20.100000000000001" customHeight="1">
      <c r="A13" s="2848"/>
      <c r="B13" s="2861"/>
      <c r="C13" s="1496">
        <f>実績!B1404</f>
        <v>200007</v>
      </c>
      <c r="D13" s="1497" t="str">
        <f>VLOOKUP(C13,実績!$B$5:'実績'!$AC$1472,2,0)</f>
        <v>オームラ新会館</v>
      </c>
      <c r="E13" s="1534" t="str">
        <f>SUBSTITUTE(VLOOKUP(D13,実績!$C$5:'実績'!$AC$1451,3,0),"株式会社 ","")</f>
        <v>大田</v>
      </c>
      <c r="F13" s="1503" t="str">
        <f>SUBSTITUTE(VLOOKUP(D13,実績!$C$5:'実績'!$AC$1451,2,0),"株式会社 ","")</f>
        <v>村上
ラン</v>
      </c>
      <c r="G13" s="1499" t="str">
        <f>SUBSTITUTE(VLOOKUP(D13,実績!$C$5:'実績'!$AC$1451,21,0),"株式会社 ","")</f>
        <v>清水一磨建築設計室</v>
      </c>
      <c r="H13" s="1500" t="str">
        <f>VLOOKUP(D13,実績!$C$5:'実績'!$AC$1451,4,0)</f>
        <v>福井県</v>
      </c>
      <c r="I13" s="1501" t="str">
        <f>VLOOKUP(D13,実績!$C$5:'実績'!$AC$1451,5,0)</f>
        <v>福井市</v>
      </c>
      <c r="J13" s="1502" t="str">
        <f>VLOOKUP(D13,実績!$C$5:'実績'!$AC$1451,9,0)</f>
        <v>葬儀場</v>
      </c>
      <c r="K13" s="1503">
        <f>ROUND(VLOOKUP(D13,実績!$C$5:'実績'!$AC$1451,15,0),-1)</f>
        <v>470</v>
      </c>
      <c r="L13" s="1504" t="str">
        <f>VLOOKUP(D13,実績!$C$5:'実績'!$BY$1451,40,0)</f>
        <v>-</v>
      </c>
      <c r="M13" s="1502" t="str">
        <f>VLOOKUP(D13,実績!$C$5:'実績'!$BY$1472,38,0)</f>
        <v>-</v>
      </c>
      <c r="N13" s="1502" t="str">
        <f>VLOOKUP(D13,実績!$C$5:'実績'!$BY$1472,37,0)</f>
        <v>-</v>
      </c>
      <c r="O13" s="1503" t="str">
        <f>VLOOKUP(D13,実績!$C$5:'実績'!$BY$1472,41,0)</f>
        <v>独立</v>
      </c>
      <c r="P13" s="1659">
        <v>44039</v>
      </c>
      <c r="Q13" s="1668" t="s">
        <v>17399</v>
      </c>
      <c r="R13" s="1659">
        <v>44060</v>
      </c>
      <c r="S13" s="1661"/>
      <c r="T13" s="1669"/>
      <c r="U13" s="1668"/>
      <c r="V13" s="1535"/>
      <c r="W13" s="1505"/>
      <c r="X13" s="1505"/>
      <c r="Y13" s="1506"/>
      <c r="Z13" s="1505"/>
      <c r="AA13" s="1506"/>
      <c r="AB13" s="1507"/>
      <c r="AC13" s="1505"/>
      <c r="AD13" s="1505"/>
      <c r="AE13" s="1506"/>
      <c r="AF13" s="1505"/>
      <c r="AG13" s="1506"/>
      <c r="AH13" s="1505"/>
      <c r="AI13" s="1508"/>
      <c r="AJ13" s="1505"/>
      <c r="AK13" s="1506"/>
      <c r="AL13" s="1505"/>
      <c r="AM13" s="1506"/>
      <c r="AN13" s="1507"/>
      <c r="AO13" s="1505"/>
      <c r="AP13" s="1505"/>
      <c r="AQ13" s="1506"/>
      <c r="AR13" s="1505"/>
      <c r="AS13" s="1506"/>
      <c r="AT13" s="1505"/>
      <c r="AU13" s="1509"/>
      <c r="AV13" s="1505"/>
      <c r="AW13" s="1506"/>
      <c r="AX13" s="1505"/>
      <c r="AY13" s="1506"/>
      <c r="AZ13" s="1507"/>
      <c r="BA13" s="1508"/>
      <c r="BB13" s="1505"/>
      <c r="BC13" s="1506"/>
      <c r="BD13" s="1505"/>
      <c r="BE13" s="1506"/>
      <c r="BF13" s="1507"/>
      <c r="BG13" s="1505"/>
      <c r="BH13" s="1505"/>
      <c r="BI13" s="1506"/>
      <c r="BJ13" s="1505"/>
      <c r="BK13" s="1506"/>
      <c r="BL13" s="1505"/>
      <c r="BM13" s="1508"/>
      <c r="BN13" s="1505"/>
      <c r="BO13" s="1506"/>
      <c r="BP13" s="1505"/>
      <c r="BQ13" s="1506"/>
      <c r="BR13" s="1507"/>
      <c r="BS13" s="1508"/>
      <c r="BT13" s="1505"/>
      <c r="BU13" s="1506"/>
      <c r="BV13" s="1510"/>
      <c r="BW13" s="1506"/>
      <c r="BX13" s="1507"/>
      <c r="BY13" s="1508"/>
      <c r="BZ13" s="1505"/>
      <c r="CA13" s="1506"/>
      <c r="CB13" s="1505"/>
      <c r="CC13" s="1506"/>
      <c r="CD13" s="1507"/>
      <c r="CE13" s="1508"/>
      <c r="CF13" s="1505"/>
      <c r="CG13" s="1506"/>
      <c r="CH13" s="1505"/>
      <c r="CI13" s="1506"/>
      <c r="CJ13" s="1507"/>
      <c r="CK13" s="1508"/>
      <c r="CL13" s="1505"/>
      <c r="CM13" s="1506"/>
      <c r="CN13" s="1505"/>
      <c r="CO13" s="1506"/>
      <c r="CP13" s="1507"/>
      <c r="CQ13" s="1508"/>
      <c r="CR13" s="1505"/>
      <c r="CS13" s="1506"/>
      <c r="CT13" s="1511"/>
      <c r="CU13" s="1506"/>
      <c r="CV13" s="1507"/>
      <c r="CW13" s="1508"/>
      <c r="CX13" s="1505"/>
      <c r="CY13" s="1506"/>
      <c r="CZ13" s="1505"/>
      <c r="DA13" s="1506"/>
      <c r="DB13" s="1507"/>
      <c r="DC13" s="1508"/>
      <c r="DD13" s="1505"/>
      <c r="DE13" s="1506"/>
      <c r="DF13" s="1505"/>
      <c r="DG13" s="1506"/>
      <c r="DH13" s="1507"/>
      <c r="DI13" s="1508"/>
      <c r="DJ13" s="1505"/>
      <c r="DK13" s="1506"/>
      <c r="DL13" s="1505"/>
      <c r="DM13" s="1506"/>
      <c r="DN13" s="1507"/>
      <c r="DO13" s="1508"/>
      <c r="DP13" s="1505"/>
      <c r="DQ13" s="1506"/>
      <c r="DR13" s="1505"/>
      <c r="DS13" s="1506"/>
      <c r="DT13" s="1507"/>
      <c r="DU13" s="1508"/>
      <c r="DV13" s="1505"/>
      <c r="DW13" s="1506"/>
      <c r="DX13" s="1505"/>
      <c r="DY13" s="1506"/>
      <c r="DZ13" s="1507"/>
      <c r="EA13" s="1508"/>
      <c r="EB13" s="1505"/>
      <c r="EC13" s="1506"/>
      <c r="ED13" s="1505"/>
      <c r="EE13" s="1506"/>
      <c r="EF13" s="1507"/>
      <c r="EG13" s="1508"/>
      <c r="EH13" s="1510"/>
      <c r="EI13" s="1506"/>
      <c r="EJ13" s="1505"/>
      <c r="EK13" s="1506"/>
      <c r="EL13" s="1507"/>
      <c r="EM13" s="1508"/>
      <c r="EN13" s="1505"/>
      <c r="EO13" s="1506"/>
      <c r="EP13" s="1505"/>
      <c r="EQ13" s="1506"/>
      <c r="ER13" s="1512"/>
      <c r="ES13" s="1508" t="s">
        <v>8250</v>
      </c>
      <c r="ET13" s="1505"/>
      <c r="EU13" s="1506"/>
      <c r="EV13" s="1505"/>
      <c r="EW13" s="1506"/>
      <c r="EX13" s="1507"/>
      <c r="EY13" s="1508"/>
      <c r="EZ13" s="1505"/>
      <c r="FA13" s="1506"/>
      <c r="FB13" s="1505" t="s">
        <v>8145</v>
      </c>
      <c r="FC13" s="1506"/>
      <c r="FD13" s="1507"/>
      <c r="FE13" s="1508"/>
      <c r="FF13" s="1505"/>
      <c r="FG13" s="1506"/>
      <c r="FH13" s="1505"/>
      <c r="FI13" s="1506"/>
      <c r="FJ13" s="1507"/>
      <c r="FK13" s="1508"/>
      <c r="FL13" s="1505"/>
      <c r="FM13" s="1506"/>
      <c r="FN13" s="1505"/>
      <c r="FO13" s="1506"/>
      <c r="FP13" s="1507"/>
      <c r="FQ13" s="1508"/>
      <c r="FR13" s="1505"/>
      <c r="FS13" s="1506"/>
      <c r="FT13" s="1505"/>
      <c r="FU13" s="1506"/>
      <c r="FV13" s="1507"/>
      <c r="FW13" s="1508"/>
      <c r="FX13" s="1505"/>
      <c r="FY13" s="1506"/>
      <c r="FZ13" s="1505"/>
      <c r="GA13" s="1506"/>
      <c r="GB13" s="1512"/>
      <c r="GC13" s="1508"/>
      <c r="GD13" s="1505"/>
      <c r="GE13" s="1506"/>
      <c r="GF13" s="1505"/>
      <c r="GG13" s="1506"/>
      <c r="GH13" s="1512"/>
    </row>
    <row r="14" spans="1:190" ht="20.100000000000001" customHeight="1">
      <c r="A14" s="2848"/>
      <c r="B14" s="2861"/>
      <c r="C14" s="1496">
        <f>実績!B1406</f>
        <v>200009</v>
      </c>
      <c r="D14" s="1497" t="str">
        <f>VLOOKUP(C14,実績!$B$5:'実績'!$AC$1472,2,0)</f>
        <v>マルハチ若江岩田</v>
      </c>
      <c r="E14" s="1534" t="str">
        <f>SUBSTITUTE(VLOOKUP(D14,実績!$C$5:'実績'!$AC$1451,3,0),"株式会社 ","")</f>
        <v>沖本</v>
      </c>
      <c r="F14" s="1503" t="str">
        <f>SUBSTITUTE(VLOOKUP(D14,実績!$C$5:'実績'!$AC$1451,2,0),"株式会社 ","")</f>
        <v>近藤
フィ</v>
      </c>
      <c r="G14" s="1499" t="str">
        <f>SUBSTITUTE(VLOOKUP(D14,実績!$C$5:'実績'!$AC$1451,16,0),"株式会社 ","")</f>
        <v>ジー・プラン</v>
      </c>
      <c r="H14" s="1500" t="str">
        <f>VLOOKUP(D14,実績!$C$5:'実績'!$AC$1451,4,0)</f>
        <v>大阪府</v>
      </c>
      <c r="I14" s="1501" t="str">
        <f>VLOOKUP(D14,実績!$C$5:'実績'!$AC$1451,5,0)</f>
        <v>東大阪市</v>
      </c>
      <c r="J14" s="1502" t="str">
        <f>VLOOKUP(D14,実績!$C$5:'実績'!$AC$1451,9,0)</f>
        <v>店舗</v>
      </c>
      <c r="K14" s="1503">
        <f>ROUND(VLOOKUP(D14,実績!$C$5:'実績'!$AC$1451,15,0),-1)</f>
        <v>2800</v>
      </c>
      <c r="L14" s="1504" t="str">
        <f>VLOOKUP(D14,実績!$C$5:'実績'!$BY$1451,40,0)</f>
        <v>○</v>
      </c>
      <c r="M14" s="1502" t="str">
        <f>VLOOKUP(D14,実績!$C$5:'実績'!$BY$1472,38,0)</f>
        <v>-</v>
      </c>
      <c r="N14" s="1502" t="str">
        <f>VLOOKUP(D14,実績!$C$5:'実績'!$BY$1472,37,0)</f>
        <v>-</v>
      </c>
      <c r="O14" s="1503" t="str">
        <f>VLOOKUP(D14,実績!$C$5:'実績'!$BY$1472,41,0)</f>
        <v>独立</v>
      </c>
      <c r="P14" s="1659">
        <v>44043</v>
      </c>
      <c r="Q14" s="1668" t="s">
        <v>17399</v>
      </c>
      <c r="R14" s="1659">
        <v>44060</v>
      </c>
      <c r="S14" s="1670"/>
      <c r="T14" s="1662">
        <v>44060</v>
      </c>
      <c r="U14" s="1668"/>
      <c r="V14" s="1535"/>
      <c r="W14" s="1505"/>
      <c r="X14" s="1505"/>
      <c r="Y14" s="1506"/>
      <c r="Z14" s="1505"/>
      <c r="AA14" s="1506"/>
      <c r="AB14" s="1507"/>
      <c r="AC14" s="1505"/>
      <c r="AD14" s="1505"/>
      <c r="AE14" s="1506"/>
      <c r="AF14" s="1505"/>
      <c r="AG14" s="1506"/>
      <c r="AH14" s="1505"/>
      <c r="AI14" s="1508"/>
      <c r="AJ14" s="1505"/>
      <c r="AK14" s="1506"/>
      <c r="AL14" s="1505"/>
      <c r="AM14" s="1506"/>
      <c r="AN14" s="1507"/>
      <c r="AO14" s="1505"/>
      <c r="AP14" s="1505"/>
      <c r="AQ14" s="1506"/>
      <c r="AR14" s="1505"/>
      <c r="AS14" s="1506"/>
      <c r="AT14" s="1505"/>
      <c r="AU14" s="1509"/>
      <c r="AV14" s="1505"/>
      <c r="AW14" s="1506"/>
      <c r="AX14" s="1505"/>
      <c r="AY14" s="1506"/>
      <c r="AZ14" s="1507"/>
      <c r="BA14" s="1508"/>
      <c r="BB14" s="1505"/>
      <c r="BC14" s="1506"/>
      <c r="BD14" s="1505"/>
      <c r="BE14" s="1506"/>
      <c r="BF14" s="1507"/>
      <c r="BG14" s="1505"/>
      <c r="BH14" s="1505"/>
      <c r="BI14" s="1506"/>
      <c r="BJ14" s="1505"/>
      <c r="BK14" s="1506"/>
      <c r="BL14" s="1505"/>
      <c r="BM14" s="1508"/>
      <c r="BN14" s="1505"/>
      <c r="BO14" s="1506"/>
      <c r="BP14" s="1505"/>
      <c r="BQ14" s="1506"/>
      <c r="BR14" s="1507"/>
      <c r="BS14" s="1508"/>
      <c r="BT14" s="1505"/>
      <c r="BU14" s="1506"/>
      <c r="BV14" s="1510"/>
      <c r="BW14" s="1506"/>
      <c r="BX14" s="1507"/>
      <c r="BY14" s="1508"/>
      <c r="BZ14" s="1505"/>
      <c r="CA14" s="1506"/>
      <c r="CB14" s="1505"/>
      <c r="CC14" s="1506"/>
      <c r="CD14" s="1507"/>
      <c r="CE14" s="1508"/>
      <c r="CF14" s="1505"/>
      <c r="CG14" s="1506"/>
      <c r="CH14" s="1505"/>
      <c r="CI14" s="1506"/>
      <c r="CJ14" s="1507"/>
      <c r="CK14" s="1508"/>
      <c r="CL14" s="1505"/>
      <c r="CM14" s="1506"/>
      <c r="CN14" s="1505"/>
      <c r="CO14" s="1506"/>
      <c r="CP14" s="1507"/>
      <c r="CQ14" s="1508"/>
      <c r="CR14" s="1505"/>
      <c r="CS14" s="1506"/>
      <c r="CT14" s="1511"/>
      <c r="CU14" s="1506"/>
      <c r="CV14" s="1507"/>
      <c r="CW14" s="1508"/>
      <c r="CX14" s="1505"/>
      <c r="CY14" s="1506"/>
      <c r="CZ14" s="1505"/>
      <c r="DA14" s="1506"/>
      <c r="DB14" s="1507"/>
      <c r="DC14" s="1508"/>
      <c r="DD14" s="1505"/>
      <c r="DE14" s="1506"/>
      <c r="DF14" s="1505"/>
      <c r="DG14" s="1506"/>
      <c r="DH14" s="1507"/>
      <c r="DI14" s="1508"/>
      <c r="DJ14" s="1505"/>
      <c r="DK14" s="1506"/>
      <c r="DL14" s="1505"/>
      <c r="DM14" s="1506"/>
      <c r="DN14" s="1507"/>
      <c r="DO14" s="1508"/>
      <c r="DP14" s="1505"/>
      <c r="DQ14" s="1506"/>
      <c r="DR14" s="1505"/>
      <c r="DS14" s="1506"/>
      <c r="DT14" s="1507"/>
      <c r="DU14" s="1508"/>
      <c r="DV14" s="1505"/>
      <c r="DW14" s="1506"/>
      <c r="DX14" s="1505"/>
      <c r="DY14" s="1506"/>
      <c r="DZ14" s="1507"/>
      <c r="EA14" s="1508"/>
      <c r="EB14" s="1505"/>
      <c r="EC14" s="1506"/>
      <c r="ED14" s="1505"/>
      <c r="EE14" s="1506"/>
      <c r="EF14" s="1507"/>
      <c r="EG14" s="1508"/>
      <c r="EH14" s="1510"/>
      <c r="EI14" s="1506"/>
      <c r="EJ14" s="1505"/>
      <c r="EK14" s="1506"/>
      <c r="EL14" s="1507"/>
      <c r="EM14" s="1508"/>
      <c r="EN14" s="1505"/>
      <c r="EO14" s="1506"/>
      <c r="EP14" s="1505"/>
      <c r="EQ14" s="1506"/>
      <c r="ER14" s="1512"/>
      <c r="ES14" s="1508"/>
      <c r="ET14" s="1505"/>
      <c r="EU14" s="1506"/>
      <c r="EV14" s="1505"/>
      <c r="EW14" s="1506"/>
      <c r="EX14" s="1507"/>
      <c r="EY14" s="1508"/>
      <c r="EZ14" s="1505"/>
      <c r="FA14" s="1506"/>
      <c r="FB14" s="1505" t="s">
        <v>8145</v>
      </c>
      <c r="FC14" s="1506"/>
      <c r="FD14" s="1507"/>
      <c r="FE14" s="1508"/>
      <c r="FF14" s="1505"/>
      <c r="FG14" s="1506"/>
      <c r="FH14" s="1505"/>
      <c r="FI14" s="1506"/>
      <c r="FJ14" s="1507"/>
      <c r="FK14" s="1508"/>
      <c r="FL14" s="1505"/>
      <c r="FM14" s="1506"/>
      <c r="FN14" s="1505"/>
      <c r="FO14" s="1506"/>
      <c r="FP14" s="1507"/>
      <c r="FQ14" s="1508"/>
      <c r="FR14" s="1505"/>
      <c r="FS14" s="1506"/>
      <c r="FT14" s="1505"/>
      <c r="FU14" s="1506"/>
      <c r="FV14" s="1507"/>
      <c r="FW14" s="1508"/>
      <c r="FX14" s="1505"/>
      <c r="FY14" s="1506"/>
      <c r="FZ14" s="1505"/>
      <c r="GA14" s="1506"/>
      <c r="GB14" s="1512"/>
      <c r="GC14" s="1508"/>
      <c r="GD14" s="1505"/>
      <c r="GE14" s="1506"/>
      <c r="GF14" s="1505"/>
      <c r="GG14" s="1506"/>
      <c r="GH14" s="1512"/>
    </row>
    <row r="15" spans="1:190" ht="20.100000000000001" customHeight="1">
      <c r="A15" s="2848"/>
      <c r="B15" s="2861"/>
      <c r="C15" s="1496">
        <f>実績!B1395</f>
        <v>190138</v>
      </c>
      <c r="D15" s="1497" t="str">
        <f>VLOOKUP(C15,実績!$B$5:'実績'!$AC$1472,2,0)</f>
        <v>マルト平尼子 SM棟</v>
      </c>
      <c r="E15" s="1534" t="str">
        <f>SUBSTITUTE(VLOOKUP(D15,実績!$C$5:'実績'!$AC$1451,3,0),"株式会社 ","")</f>
        <v>大田</v>
      </c>
      <c r="F15" s="1503" t="str">
        <f>SUBSTITUTE(VLOOKUP(D15,実績!$C$5:'実績'!$AC$1451,2,0),"株式会社 ","")</f>
        <v>ユイ
ﾏｲｱｲﾝ</v>
      </c>
      <c r="G15" s="1499" t="str">
        <f>SUBSTITUTE(VLOOKUP(D15,実績!$C$5:'実績'!$AC$1451,16,0)," 株式会社","")</f>
        <v>クレハ錦建設</v>
      </c>
      <c r="H15" s="1500" t="str">
        <f>VLOOKUP(D15,実績!$C$5:'実績'!$AC$1451,4,0)</f>
        <v>福島県</v>
      </c>
      <c r="I15" s="1501" t="str">
        <f>VLOOKUP(D15,実績!$C$5:'実績'!$AC$1451,5,0)</f>
        <v>いわき市</v>
      </c>
      <c r="J15" s="1502" t="str">
        <f>VLOOKUP(D15,実績!$C$5:'実績'!$AC$1451,9,0)</f>
        <v>店舗</v>
      </c>
      <c r="K15" s="1503">
        <f>ROUND(VLOOKUP(D15,実績!$C$5:'実績'!$AC$1451,15,0),-1)</f>
        <v>3000</v>
      </c>
      <c r="L15" s="1504" t="str">
        <f>VLOOKUP(D15,実績!$C$5:'実績'!$BY$1451,40,0)</f>
        <v>○</v>
      </c>
      <c r="M15" s="1502" t="str">
        <f>VLOOKUP(D15,実績!$C$5:'実績'!$BY$1472,38,0)</f>
        <v>-</v>
      </c>
      <c r="N15" s="1502" t="str">
        <f>VLOOKUP(D15,実績!$C$5:'実績'!$BY$1472,37,0)</f>
        <v>-</v>
      </c>
      <c r="O15" s="1503" t="str">
        <f>VLOOKUP(D15,実績!$C$5:'実績'!$BY$1472,41,0)</f>
        <v>独立</v>
      </c>
      <c r="P15" s="1659">
        <v>44029</v>
      </c>
      <c r="Q15" s="1668" t="s">
        <v>17400</v>
      </c>
      <c r="R15" s="1671"/>
      <c r="S15" s="1670"/>
      <c r="T15" s="1662">
        <v>44048</v>
      </c>
      <c r="U15" s="1660">
        <v>44050</v>
      </c>
      <c r="V15" s="1663"/>
      <c r="W15" s="1505"/>
      <c r="X15" s="1505"/>
      <c r="Y15" s="1506"/>
      <c r="Z15" s="1505"/>
      <c r="AA15" s="1506"/>
      <c r="AB15" s="1507"/>
      <c r="AC15" s="1505"/>
      <c r="AD15" s="1505"/>
      <c r="AE15" s="1506"/>
      <c r="AF15" s="1505"/>
      <c r="AG15" s="1506"/>
      <c r="AH15" s="1505"/>
      <c r="AI15" s="1508"/>
      <c r="AJ15" s="1505"/>
      <c r="AK15" s="1506"/>
      <c r="AL15" s="1505"/>
      <c r="AM15" s="1506"/>
      <c r="AN15" s="1507"/>
      <c r="AO15" s="1505"/>
      <c r="AP15" s="1505"/>
      <c r="AQ15" s="1506"/>
      <c r="AR15" s="1505"/>
      <c r="AS15" s="1506"/>
      <c r="AT15" s="1505"/>
      <c r="AU15" s="1509"/>
      <c r="AV15" s="1505"/>
      <c r="AW15" s="1506"/>
      <c r="AX15" s="1505"/>
      <c r="AY15" s="1506"/>
      <c r="AZ15" s="1507"/>
      <c r="BA15" s="1508"/>
      <c r="BB15" s="1505"/>
      <c r="BC15" s="1506"/>
      <c r="BD15" s="1505"/>
      <c r="BE15" s="1506"/>
      <c r="BF15" s="1507"/>
      <c r="BG15" s="1505"/>
      <c r="BH15" s="1505"/>
      <c r="BI15" s="1506"/>
      <c r="BJ15" s="1505"/>
      <c r="BK15" s="1506"/>
      <c r="BL15" s="1505"/>
      <c r="BM15" s="1508"/>
      <c r="BN15" s="1505"/>
      <c r="BO15" s="1506"/>
      <c r="BP15" s="1505"/>
      <c r="BQ15" s="1506"/>
      <c r="BR15" s="1507"/>
      <c r="BS15" s="1508"/>
      <c r="BT15" s="1505"/>
      <c r="BU15" s="1506"/>
      <c r="BV15" s="1510"/>
      <c r="BW15" s="1506"/>
      <c r="BX15" s="1507"/>
      <c r="BY15" s="1508"/>
      <c r="BZ15" s="1505"/>
      <c r="CA15" s="1506"/>
      <c r="CB15" s="1505"/>
      <c r="CC15" s="1506"/>
      <c r="CD15" s="1507"/>
      <c r="CE15" s="1508"/>
      <c r="CF15" s="1505"/>
      <c r="CG15" s="1506"/>
      <c r="CH15" s="1505"/>
      <c r="CI15" s="1506"/>
      <c r="CJ15" s="1507"/>
      <c r="CK15" s="1508"/>
      <c r="CL15" s="1505"/>
      <c r="CM15" s="1506"/>
      <c r="CN15" s="1505"/>
      <c r="CO15" s="1506"/>
      <c r="CP15" s="1507"/>
      <c r="CQ15" s="1508"/>
      <c r="CR15" s="1505"/>
      <c r="CS15" s="1506"/>
      <c r="CT15" s="1511"/>
      <c r="CU15" s="1506"/>
      <c r="CV15" s="1507"/>
      <c r="CW15" s="1508"/>
      <c r="CX15" s="1505"/>
      <c r="CY15" s="1506"/>
      <c r="CZ15" s="1505"/>
      <c r="DA15" s="1506"/>
      <c r="DB15" s="1507"/>
      <c r="DC15" s="1508"/>
      <c r="DD15" s="1505"/>
      <c r="DE15" s="1506"/>
      <c r="DF15" s="1505"/>
      <c r="DG15" s="1506"/>
      <c r="DH15" s="1507"/>
      <c r="DI15" s="1508"/>
      <c r="DJ15" s="1505"/>
      <c r="DK15" s="1506"/>
      <c r="DL15" s="1505"/>
      <c r="DM15" s="1506"/>
      <c r="DN15" s="1507"/>
      <c r="DO15" s="1508"/>
      <c r="DP15" s="1505"/>
      <c r="DQ15" s="1506"/>
      <c r="DR15" s="1505"/>
      <c r="DS15" s="1506"/>
      <c r="DT15" s="1507"/>
      <c r="DU15" s="1508"/>
      <c r="DV15" s="1505"/>
      <c r="DW15" s="1506"/>
      <c r="DX15" s="1505"/>
      <c r="DY15" s="1506"/>
      <c r="DZ15" s="1507"/>
      <c r="EA15" s="1508"/>
      <c r="EB15" s="1505"/>
      <c r="EC15" s="1506"/>
      <c r="ED15" s="1505"/>
      <c r="EE15" s="1506"/>
      <c r="EF15" s="1507"/>
      <c r="EG15" s="1508"/>
      <c r="EH15" s="1505"/>
      <c r="EI15" s="1506"/>
      <c r="EJ15" s="1505"/>
      <c r="EK15" s="1506"/>
      <c r="EL15" s="1507"/>
      <c r="EM15" s="1508"/>
      <c r="EN15" s="1505"/>
      <c r="EO15" s="1506"/>
      <c r="EP15" s="1505" t="s">
        <v>8250</v>
      </c>
      <c r="EQ15" s="1506"/>
      <c r="ER15" s="1507"/>
      <c r="ES15" s="1508"/>
      <c r="ET15" s="1505"/>
      <c r="EU15" s="1506"/>
      <c r="EV15" s="1505"/>
      <c r="EW15" s="1506"/>
      <c r="EX15" s="1507"/>
      <c r="EY15" s="1508"/>
      <c r="EZ15" s="1505"/>
      <c r="FA15" s="1506"/>
      <c r="FB15" s="1505"/>
      <c r="FC15" s="1506" t="s">
        <v>8145</v>
      </c>
      <c r="FD15" s="1507"/>
      <c r="FE15" s="1508"/>
      <c r="FF15" s="1505"/>
      <c r="FG15" s="1506"/>
      <c r="FH15" s="1505"/>
      <c r="FI15" s="1506"/>
      <c r="FJ15" s="1507"/>
      <c r="FK15" s="1508"/>
      <c r="FL15" s="1505"/>
      <c r="FM15" s="1506"/>
      <c r="FN15" s="1505"/>
      <c r="FO15" s="1506"/>
      <c r="FP15" s="1507"/>
      <c r="FQ15" s="1508"/>
      <c r="FR15" s="1505"/>
      <c r="FS15" s="1506"/>
      <c r="FT15" s="1505"/>
      <c r="FU15" s="1506"/>
      <c r="FV15" s="1507"/>
      <c r="FW15" s="1508"/>
      <c r="FX15" s="1505"/>
      <c r="FY15" s="1506"/>
      <c r="FZ15" s="1505"/>
      <c r="GA15" s="1506"/>
      <c r="GB15" s="1507"/>
      <c r="GC15" s="1508"/>
      <c r="GD15" s="1505"/>
      <c r="GE15" s="1506"/>
      <c r="GF15" s="1505"/>
      <c r="GG15" s="1506"/>
      <c r="GH15" s="1512"/>
    </row>
    <row r="16" spans="1:190" ht="20.100000000000001" customHeight="1">
      <c r="A16" s="2848"/>
      <c r="B16" s="2861"/>
      <c r="C16" s="1496">
        <f>実績!B1364</f>
        <v>190111</v>
      </c>
      <c r="D16" s="1497" t="str">
        <f>VLOOKUP(C16,実績!$B$5:'実績'!$AC$1472,2,0)</f>
        <v>特別養護老人ホーム 美野里陽だまり館</v>
      </c>
      <c r="E16" s="1534" t="str">
        <f>SUBSTITUTE(VLOOKUP(D16,実績!$C$5:'実績'!$AC$1451,3,0),"株式会社 ","")</f>
        <v>大田</v>
      </c>
      <c r="F16" s="1503" t="str">
        <f>SUBSTITUTE(VLOOKUP(D16,実績!$C$5:'実績'!$AC$1451,2,0),"株式会社 ","")</f>
        <v>近藤
フィ</v>
      </c>
      <c r="G16" s="1499" t="str">
        <f>SUBSTITUTE(VLOOKUP(D16,実績!$C$5:'実績'!$AC$1451,16,0),"株式会社 ","")</f>
        <v>ケイ・アーキテクツ</v>
      </c>
      <c r="H16" s="1500" t="str">
        <f>VLOOKUP(D16,実績!$C$5:'実績'!$AC$1451,4,0)</f>
        <v>茨城県</v>
      </c>
      <c r="I16" s="1501" t="str">
        <f>VLOOKUP(D16,実績!$C$5:'実績'!$AC$1451,5,0)</f>
        <v>小美玉市</v>
      </c>
      <c r="J16" s="1502" t="str">
        <f>VLOOKUP(D16,実績!$C$5:'実績'!$AC$1451,9,0)</f>
        <v>老人福祉施設</v>
      </c>
      <c r="K16" s="1503">
        <f>ROUND(VLOOKUP(D16,実績!$C$5:'実績'!$AC$1451,15,0),-1)</f>
        <v>2200</v>
      </c>
      <c r="L16" s="1504" t="str">
        <f>VLOOKUP(D16,実績!$C$5:'実績'!$BY$1451,40,0)</f>
        <v>○</v>
      </c>
      <c r="M16" s="1502" t="str">
        <f>VLOOKUP(D16,実績!$C$5:'実績'!$BY$1472,38,0)</f>
        <v>-</v>
      </c>
      <c r="N16" s="1502" t="str">
        <f>VLOOKUP(D16,実績!$C$5:'実績'!$BY$1472,37,0)</f>
        <v>-</v>
      </c>
      <c r="O16" s="1503" t="str">
        <f>VLOOKUP(D16,実績!$C$5:'実績'!$BY$1472,41,0)</f>
        <v>独立</v>
      </c>
      <c r="P16" s="1659">
        <v>43971</v>
      </c>
      <c r="Q16" s="1660" t="s">
        <v>17395</v>
      </c>
      <c r="R16" s="1659">
        <v>43953</v>
      </c>
      <c r="S16" s="1661">
        <v>43954</v>
      </c>
      <c r="T16" s="1662" t="s">
        <v>17423</v>
      </c>
      <c r="U16" s="1660" t="s">
        <v>17422</v>
      </c>
      <c r="V16" s="1535"/>
      <c r="W16" s="1505"/>
      <c r="X16" s="1505"/>
      <c r="Y16" s="1506"/>
      <c r="Z16" s="1505"/>
      <c r="AA16" s="1506"/>
      <c r="AB16" s="1507"/>
      <c r="AC16" s="1505"/>
      <c r="AD16" s="1505"/>
      <c r="AE16" s="1506"/>
      <c r="AF16" s="1505"/>
      <c r="AG16" s="1506"/>
      <c r="AH16" s="1505"/>
      <c r="AI16" s="1508"/>
      <c r="AJ16" s="1505"/>
      <c r="AK16" s="1506"/>
      <c r="AL16" s="1505"/>
      <c r="AM16" s="1506"/>
      <c r="AN16" s="1507"/>
      <c r="AO16" s="1505"/>
      <c r="AP16" s="1505"/>
      <c r="AQ16" s="1506"/>
      <c r="AR16" s="1505"/>
      <c r="AS16" s="1506"/>
      <c r="AT16" s="1505"/>
      <c r="AU16" s="1509"/>
      <c r="AV16" s="1505"/>
      <c r="AW16" s="1506"/>
      <c r="AX16" s="1505"/>
      <c r="AY16" s="1506"/>
      <c r="AZ16" s="1507"/>
      <c r="BA16" s="1508"/>
      <c r="BB16" s="1505"/>
      <c r="BC16" s="1506"/>
      <c r="BD16" s="1505"/>
      <c r="BE16" s="1506"/>
      <c r="BF16" s="1507"/>
      <c r="BG16" s="1505"/>
      <c r="BH16" s="1505"/>
      <c r="BI16" s="1506"/>
      <c r="BJ16" s="1505"/>
      <c r="BK16" s="1506"/>
      <c r="BL16" s="1505"/>
      <c r="BM16" s="1508"/>
      <c r="BN16" s="1505"/>
      <c r="BO16" s="1506"/>
      <c r="BP16" s="1505"/>
      <c r="BQ16" s="1506"/>
      <c r="BR16" s="1507"/>
      <c r="BS16" s="1508"/>
      <c r="BT16" s="1505"/>
      <c r="BU16" s="1506"/>
      <c r="BV16" s="1510"/>
      <c r="BW16" s="1506"/>
      <c r="BX16" s="1507"/>
      <c r="BY16" s="1508"/>
      <c r="BZ16" s="1505"/>
      <c r="CA16" s="1506"/>
      <c r="CB16" s="1505"/>
      <c r="CC16" s="1506"/>
      <c r="CD16" s="1507"/>
      <c r="CE16" s="1508"/>
      <c r="CF16" s="1505"/>
      <c r="CG16" s="1506"/>
      <c r="CH16" s="1505"/>
      <c r="CI16" s="1506"/>
      <c r="CJ16" s="1507"/>
      <c r="CK16" s="1508"/>
      <c r="CL16" s="1505"/>
      <c r="CM16" s="1506"/>
      <c r="CN16" s="1505"/>
      <c r="CO16" s="1506"/>
      <c r="CP16" s="1507"/>
      <c r="CQ16" s="1508"/>
      <c r="CR16" s="1505"/>
      <c r="CS16" s="1506"/>
      <c r="CT16" s="1511"/>
      <c r="CU16" s="1506"/>
      <c r="CV16" s="1507"/>
      <c r="CW16" s="1508"/>
      <c r="CX16" s="1505"/>
      <c r="CY16" s="1506"/>
      <c r="CZ16" s="1505"/>
      <c r="DA16" s="1506"/>
      <c r="DB16" s="1507"/>
      <c r="DC16" s="1508"/>
      <c r="DD16" s="1505"/>
      <c r="DE16" s="1506"/>
      <c r="DF16" s="1505"/>
      <c r="DG16" s="1506"/>
      <c r="DH16" s="1507"/>
      <c r="DI16" s="1508"/>
      <c r="DJ16" s="1505"/>
      <c r="DK16" s="1506"/>
      <c r="DL16" s="1505"/>
      <c r="DM16" s="1506"/>
      <c r="DN16" s="1507"/>
      <c r="DO16" s="1508"/>
      <c r="DP16" s="1505"/>
      <c r="DQ16" s="1506"/>
      <c r="DR16" s="1505"/>
      <c r="DS16" s="1506"/>
      <c r="DT16" s="1505"/>
      <c r="DU16" s="1536"/>
      <c r="DV16" s="1505"/>
      <c r="DW16" s="1506"/>
      <c r="DX16" s="1510"/>
      <c r="DY16" s="1506"/>
      <c r="DZ16" s="1512"/>
      <c r="EA16" s="1506"/>
      <c r="EB16" s="1505"/>
      <c r="EC16" s="1506"/>
      <c r="ED16" s="1505"/>
      <c r="EE16" s="1506"/>
      <c r="EF16" s="1512"/>
      <c r="EG16" s="1508"/>
      <c r="EH16" s="1505"/>
      <c r="EI16" s="1506"/>
      <c r="EJ16" s="1505"/>
      <c r="EK16" s="1506"/>
      <c r="EL16" s="1512"/>
      <c r="EM16" s="1508"/>
      <c r="EN16" s="1505"/>
      <c r="EO16" s="1506"/>
      <c r="EP16" s="1505"/>
      <c r="EQ16" s="1506"/>
      <c r="ER16" s="1512"/>
      <c r="ES16" s="1508"/>
      <c r="ET16" s="1505"/>
      <c r="EU16" s="1506"/>
      <c r="EV16" s="1505"/>
      <c r="EW16" s="1506"/>
      <c r="EX16" s="1507"/>
      <c r="EY16" s="1508"/>
      <c r="EZ16" s="1505"/>
      <c r="FA16" s="1506"/>
      <c r="FB16" s="1505"/>
      <c r="FC16" s="1506"/>
      <c r="FD16" s="1512" t="s">
        <v>17398</v>
      </c>
      <c r="FE16" s="1508"/>
      <c r="FF16" s="1505"/>
      <c r="FG16" s="1506"/>
      <c r="FH16" s="1505"/>
      <c r="FI16" s="1506"/>
      <c r="FJ16" s="1507"/>
      <c r="FK16" s="1508"/>
      <c r="FL16" s="1505"/>
      <c r="FM16" s="1506"/>
      <c r="FN16" s="1505"/>
      <c r="FO16" s="1506"/>
      <c r="FP16" s="1507"/>
      <c r="FQ16" s="1508"/>
      <c r="FR16" s="1505"/>
      <c r="FS16" s="1506"/>
      <c r="FT16" s="1505"/>
      <c r="FU16" s="1506"/>
      <c r="FV16" s="1507"/>
      <c r="FW16" s="1508"/>
      <c r="FX16" s="1505"/>
      <c r="FY16" s="1506"/>
      <c r="FZ16" s="1505"/>
      <c r="GA16" s="1506"/>
      <c r="GB16" s="1512"/>
      <c r="GC16" s="1508"/>
      <c r="GD16" s="1505"/>
      <c r="GE16" s="1506"/>
      <c r="GF16" s="1505"/>
      <c r="GG16" s="1506"/>
      <c r="GH16" s="1512"/>
    </row>
    <row r="17" spans="1:190" ht="20.100000000000001" customHeight="1">
      <c r="A17" s="2848"/>
      <c r="B17" s="2861"/>
      <c r="C17" s="1496">
        <f>実績!B1336</f>
        <v>190083</v>
      </c>
      <c r="D17" s="1497" t="str">
        <f>VLOOKUP(C17,実績!$B$5:'実績'!$AC$1472,2,0)</f>
        <v>JA全農福島 福島パッケージステーション</v>
      </c>
      <c r="E17" s="1534" t="str">
        <f>SUBSTITUTE(VLOOKUP(D17,実績!$C$5:'実績'!$AC$1451,3,0),"株式会社 ","")</f>
        <v>大田</v>
      </c>
      <c r="F17" s="1503" t="str">
        <f>SUBSTITUTE(VLOOKUP(D17,実績!$C$5:'実績'!$AC$1451,2,0),"株式会社 ","")</f>
        <v>ウット</v>
      </c>
      <c r="G17" s="1499" t="str">
        <f>SUBSTITUTE(VLOOKUP(D17,実績!$C$5:'実績'!$AC$1451,16,0),"一級建築士事務所","")</f>
        <v>全農福島</v>
      </c>
      <c r="H17" s="1500" t="str">
        <f>VLOOKUP(D17,実績!$C$5:'実績'!$AC$1451,4,0)</f>
        <v>福島県</v>
      </c>
      <c r="I17" s="1501" t="str">
        <f>VLOOKUP(D17,実績!$C$5:'実績'!$AC$1451,5,0)</f>
        <v>福島市</v>
      </c>
      <c r="J17" s="1502" t="str">
        <f>VLOOKUP(D17,実績!$C$5:'実績'!$AC$1451,9,0)</f>
        <v>工場</v>
      </c>
      <c r="K17" s="1503">
        <f>ROUND(VLOOKUP(D17,実績!$C$5:'実績'!$AC$1451,15,0),-1)</f>
        <v>2200</v>
      </c>
      <c r="L17" s="1504" t="str">
        <f>VLOOKUP(D17,実績!$C$5:'実績'!$BY$1451,40,0)</f>
        <v>○</v>
      </c>
      <c r="M17" s="1502" t="str">
        <f>VLOOKUP(D17,実績!$C$5:'実績'!$BY$1472,38,0)</f>
        <v>-</v>
      </c>
      <c r="N17" s="1502" t="str">
        <f>VLOOKUP(D17,実績!$C$5:'実績'!$BY$1472,37,0)</f>
        <v>-</v>
      </c>
      <c r="O17" s="1503" t="str">
        <f>VLOOKUP(D17,実績!$C$5:'実績'!$BY$1472,41,0)</f>
        <v>独立</v>
      </c>
      <c r="P17" s="1659">
        <v>43906</v>
      </c>
      <c r="Q17" s="1660">
        <v>44109</v>
      </c>
      <c r="R17" s="1659">
        <v>43948</v>
      </c>
      <c r="S17" s="1661">
        <v>43973</v>
      </c>
      <c r="T17" s="1662">
        <v>43948</v>
      </c>
      <c r="U17" s="1660">
        <v>43951</v>
      </c>
      <c r="V17" s="1663"/>
      <c r="W17" s="1505"/>
      <c r="X17" s="1505"/>
      <c r="Y17" s="1506"/>
      <c r="Z17" s="1505"/>
      <c r="AA17" s="1506"/>
      <c r="AB17" s="1507"/>
      <c r="AC17" s="1505"/>
      <c r="AD17" s="1505"/>
      <c r="AE17" s="1506"/>
      <c r="AF17" s="1505"/>
      <c r="AG17" s="1506"/>
      <c r="AH17" s="1505"/>
      <c r="AI17" s="1508"/>
      <c r="AJ17" s="1505"/>
      <c r="AK17" s="1506"/>
      <c r="AL17" s="1505"/>
      <c r="AM17" s="1506"/>
      <c r="AN17" s="1507"/>
      <c r="AO17" s="1505"/>
      <c r="AP17" s="1505"/>
      <c r="AQ17" s="1506"/>
      <c r="AR17" s="1505"/>
      <c r="AS17" s="1506"/>
      <c r="AT17" s="1505"/>
      <c r="AU17" s="1509"/>
      <c r="AV17" s="1505"/>
      <c r="AW17" s="1506"/>
      <c r="AX17" s="1505"/>
      <c r="AY17" s="1506"/>
      <c r="AZ17" s="1507"/>
      <c r="BA17" s="1508"/>
      <c r="BB17" s="1505"/>
      <c r="BC17" s="1506"/>
      <c r="BD17" s="1505"/>
      <c r="BE17" s="1506"/>
      <c r="BF17" s="1507"/>
      <c r="BG17" s="1505"/>
      <c r="BH17" s="1505"/>
      <c r="BI17" s="1506"/>
      <c r="BJ17" s="1505"/>
      <c r="BK17" s="1506"/>
      <c r="BL17" s="1505"/>
      <c r="BM17" s="1508"/>
      <c r="BN17" s="1505"/>
      <c r="BO17" s="1506"/>
      <c r="BP17" s="1505"/>
      <c r="BQ17" s="1506"/>
      <c r="BR17" s="1507"/>
      <c r="BS17" s="1508"/>
      <c r="BT17" s="1505"/>
      <c r="BU17" s="1506"/>
      <c r="BV17" s="1510"/>
      <c r="BW17" s="1506"/>
      <c r="BX17" s="1507"/>
      <c r="BY17" s="1508"/>
      <c r="BZ17" s="1505"/>
      <c r="CA17" s="1506"/>
      <c r="CB17" s="1505"/>
      <c r="CC17" s="1506"/>
      <c r="CD17" s="1507"/>
      <c r="CE17" s="1508"/>
      <c r="CF17" s="1505"/>
      <c r="CG17" s="1506"/>
      <c r="CH17" s="1505"/>
      <c r="CI17" s="1506"/>
      <c r="CJ17" s="1507"/>
      <c r="CK17" s="1508"/>
      <c r="CL17" s="1505"/>
      <c r="CM17" s="1506"/>
      <c r="CN17" s="1505"/>
      <c r="CO17" s="1506"/>
      <c r="CP17" s="1507"/>
      <c r="CQ17" s="1508"/>
      <c r="CR17" s="1505"/>
      <c r="CS17" s="1506"/>
      <c r="CT17" s="1511"/>
      <c r="CU17" s="1506"/>
      <c r="CV17" s="1507"/>
      <c r="CW17" s="1508"/>
      <c r="CX17" s="1505"/>
      <c r="CY17" s="1506"/>
      <c r="CZ17" s="1505"/>
      <c r="DA17" s="1506"/>
      <c r="DB17" s="1507"/>
      <c r="DC17" s="1508"/>
      <c r="DD17" s="1505"/>
      <c r="DE17" s="1506"/>
      <c r="DF17" s="1505"/>
      <c r="DG17" s="1506"/>
      <c r="DH17" s="1507"/>
      <c r="DI17" s="1508"/>
      <c r="DJ17" s="1505"/>
      <c r="DK17" s="1506"/>
      <c r="DL17" s="1505"/>
      <c r="DM17" s="1506"/>
      <c r="DN17" s="1507"/>
      <c r="DO17" s="1508"/>
      <c r="DP17" s="1505"/>
      <c r="DQ17" s="1506"/>
      <c r="DR17" s="1505"/>
      <c r="DS17" s="1506"/>
      <c r="DT17" s="1507"/>
      <c r="DU17" s="1508"/>
      <c r="DV17" s="1505"/>
      <c r="DW17" s="1506"/>
      <c r="DX17" s="1505"/>
      <c r="DY17" s="1506"/>
      <c r="DZ17" s="1512"/>
      <c r="EA17" s="1508"/>
      <c r="EB17" s="1505"/>
      <c r="EC17" s="1506"/>
      <c r="ED17" s="1505"/>
      <c r="EE17" s="1506"/>
      <c r="EF17" s="1512"/>
      <c r="EG17" s="1508"/>
      <c r="EH17" s="1505"/>
      <c r="EI17" s="1506"/>
      <c r="EJ17" s="1505"/>
      <c r="EK17" s="1506"/>
      <c r="EL17" s="1512"/>
      <c r="EM17" s="1508"/>
      <c r="EN17" s="1505"/>
      <c r="EO17" s="1506"/>
      <c r="EP17" s="1505"/>
      <c r="EQ17" s="1506"/>
      <c r="ER17" s="1512"/>
      <c r="ES17" s="1508"/>
      <c r="ET17" s="1505"/>
      <c r="EU17" s="1506"/>
      <c r="EV17" s="1505"/>
      <c r="EW17" s="1506"/>
      <c r="EX17" s="1507"/>
      <c r="EY17" s="1508"/>
      <c r="EZ17" s="1505"/>
      <c r="FA17" s="1506"/>
      <c r="FB17" s="1505"/>
      <c r="FC17" s="1506"/>
      <c r="FD17" s="1512"/>
      <c r="FE17" s="1508"/>
      <c r="FF17" s="1505" t="s">
        <v>17398</v>
      </c>
      <c r="FG17" s="1506"/>
      <c r="FH17" s="1505"/>
      <c r="FI17" s="1506"/>
      <c r="FJ17" s="1507"/>
      <c r="FK17" s="1508"/>
      <c r="FL17" s="1505"/>
      <c r="FM17" s="1506"/>
      <c r="FN17" s="1505"/>
      <c r="FO17" s="1506"/>
      <c r="FP17" s="1507"/>
      <c r="FQ17" s="1508"/>
      <c r="FR17" s="1505"/>
      <c r="FS17" s="1506"/>
      <c r="FT17" s="1505"/>
      <c r="FU17" s="1506"/>
      <c r="FV17" s="1507"/>
      <c r="FW17" s="1508"/>
      <c r="FX17" s="1505"/>
      <c r="FY17" s="1506"/>
      <c r="FZ17" s="1505"/>
      <c r="GA17" s="1506"/>
      <c r="GB17" s="1512"/>
      <c r="GC17" s="1508"/>
      <c r="GD17" s="1505"/>
      <c r="GE17" s="1506"/>
      <c r="GF17" s="1505"/>
      <c r="GG17" s="1506"/>
      <c r="GH17" s="1512"/>
    </row>
    <row r="18" spans="1:190" ht="20.100000000000001" customHeight="1">
      <c r="A18" s="2848"/>
      <c r="B18" s="2861"/>
      <c r="C18" s="1496">
        <f>実績!B1398</f>
        <v>200001</v>
      </c>
      <c r="D18" s="1497" t="str">
        <f>VLOOKUP(C18,実績!$B$5:'実績'!$AC$1472,2,0)</f>
        <v>第二配送センター</v>
      </c>
      <c r="E18" s="1534" t="str">
        <f>SUBSTITUTE(VLOOKUP(D18,実績!$C$5:'実績'!$AC$1451,3,0),"株式会社 ","")</f>
        <v>沖本</v>
      </c>
      <c r="F18" s="1503" t="str">
        <f>SUBSTITUTE(VLOOKUP(D18,実績!$C$5:'実績'!$AC$1451,2,0),"株式会社 ","")</f>
        <v>村上</v>
      </c>
      <c r="G18" s="1499" t="str">
        <f>SUBSTITUTE(VLOOKUP(D18,実績!$C$5:'実績'!$AC$1451,16,0),"株式会社 ","")</f>
        <v>朝日建装</v>
      </c>
      <c r="H18" s="1500" t="str">
        <f>VLOOKUP(D18,実績!$C$5:'実績'!$AC$1451,4,0)</f>
        <v>奈良県</v>
      </c>
      <c r="I18" s="1501" t="str">
        <f>VLOOKUP(D18,実績!$C$5:'実績'!$AC$1451,5,0)</f>
        <v>北葛城郡</v>
      </c>
      <c r="J18" s="1502" t="str">
        <f>VLOOKUP(D18,実績!$C$5:'実績'!$AC$1451,9,0)</f>
        <v>工場</v>
      </c>
      <c r="K18" s="1503">
        <f>ROUND(VLOOKUP(D18,実績!$C$5:'実績'!$AC$1451,15,0),-1)</f>
        <v>870</v>
      </c>
      <c r="L18" s="1504" t="str">
        <f>VLOOKUP(D18,実績!$C$5:'実績'!$BY$1451,40,0)</f>
        <v>-</v>
      </c>
      <c r="M18" s="1502" t="str">
        <f>VLOOKUP(D18,実績!$C$5:'実績'!$BY$1472,38,0)</f>
        <v>-</v>
      </c>
      <c r="N18" s="1502" t="str">
        <f>VLOOKUP(D18,実績!$C$5:'実績'!$BY$1472,37,0)</f>
        <v>-</v>
      </c>
      <c r="O18" s="1503" t="str">
        <f>VLOOKUP(D18,実績!$C$5:'実績'!$BY$1472,41,0)</f>
        <v>独立</v>
      </c>
      <c r="P18" s="1659">
        <v>44027</v>
      </c>
      <c r="Q18" s="1660" t="s">
        <v>17465</v>
      </c>
      <c r="R18" s="1659">
        <v>44060</v>
      </c>
      <c r="S18" s="1670"/>
      <c r="T18" s="1669"/>
      <c r="U18" s="1668"/>
      <c r="V18" s="1535"/>
      <c r="W18" s="1505"/>
      <c r="X18" s="1505"/>
      <c r="Y18" s="1506"/>
      <c r="Z18" s="1505"/>
      <c r="AA18" s="1506"/>
      <c r="AB18" s="1507"/>
      <c r="AC18" s="1505"/>
      <c r="AD18" s="1505"/>
      <c r="AE18" s="1506"/>
      <c r="AF18" s="1505"/>
      <c r="AG18" s="1506"/>
      <c r="AH18" s="1505"/>
      <c r="AI18" s="1508"/>
      <c r="AJ18" s="1505"/>
      <c r="AK18" s="1506"/>
      <c r="AL18" s="1505"/>
      <c r="AM18" s="1506"/>
      <c r="AN18" s="1507"/>
      <c r="AO18" s="1505"/>
      <c r="AP18" s="1505"/>
      <c r="AQ18" s="1506"/>
      <c r="AR18" s="1505"/>
      <c r="AS18" s="1506"/>
      <c r="AT18" s="1505"/>
      <c r="AU18" s="1509"/>
      <c r="AV18" s="1505"/>
      <c r="AW18" s="1506"/>
      <c r="AX18" s="1505"/>
      <c r="AY18" s="1506"/>
      <c r="AZ18" s="1507"/>
      <c r="BA18" s="1508"/>
      <c r="BB18" s="1505"/>
      <c r="BC18" s="1506"/>
      <c r="BD18" s="1505"/>
      <c r="BE18" s="1506"/>
      <c r="BF18" s="1507"/>
      <c r="BG18" s="1505"/>
      <c r="BH18" s="1505"/>
      <c r="BI18" s="1506"/>
      <c r="BJ18" s="1505"/>
      <c r="BK18" s="1506"/>
      <c r="BL18" s="1505"/>
      <c r="BM18" s="1508"/>
      <c r="BN18" s="1505"/>
      <c r="BO18" s="1506"/>
      <c r="BP18" s="1505"/>
      <c r="BQ18" s="1506"/>
      <c r="BR18" s="1507"/>
      <c r="BS18" s="1508"/>
      <c r="BT18" s="1505"/>
      <c r="BU18" s="1506"/>
      <c r="BV18" s="1510"/>
      <c r="BW18" s="1506"/>
      <c r="BX18" s="1507"/>
      <c r="BY18" s="1508"/>
      <c r="BZ18" s="1505"/>
      <c r="CA18" s="1506"/>
      <c r="CB18" s="1505"/>
      <c r="CC18" s="1506"/>
      <c r="CD18" s="1507"/>
      <c r="CE18" s="1508"/>
      <c r="CF18" s="1505"/>
      <c r="CG18" s="1506"/>
      <c r="CH18" s="1505"/>
      <c r="CI18" s="1506"/>
      <c r="CJ18" s="1507"/>
      <c r="CK18" s="1508"/>
      <c r="CL18" s="1505"/>
      <c r="CM18" s="1506"/>
      <c r="CN18" s="1505"/>
      <c r="CO18" s="1506"/>
      <c r="CP18" s="1507"/>
      <c r="CQ18" s="1508"/>
      <c r="CR18" s="1505"/>
      <c r="CS18" s="1506"/>
      <c r="CT18" s="1511"/>
      <c r="CU18" s="1506"/>
      <c r="CV18" s="1507"/>
      <c r="CW18" s="1508"/>
      <c r="CX18" s="1505"/>
      <c r="CY18" s="1506"/>
      <c r="CZ18" s="1505"/>
      <c r="DA18" s="1506"/>
      <c r="DB18" s="1507"/>
      <c r="DC18" s="1508"/>
      <c r="DD18" s="1505"/>
      <c r="DE18" s="1506"/>
      <c r="DF18" s="1505"/>
      <c r="DG18" s="1506"/>
      <c r="DH18" s="1507"/>
      <c r="DI18" s="1508"/>
      <c r="DJ18" s="1505"/>
      <c r="DK18" s="1506"/>
      <c r="DL18" s="1505"/>
      <c r="DM18" s="1506"/>
      <c r="DN18" s="1507"/>
      <c r="DO18" s="1508"/>
      <c r="DP18" s="1505"/>
      <c r="DQ18" s="1506"/>
      <c r="DR18" s="1505"/>
      <c r="DS18" s="1506"/>
      <c r="DT18" s="1507"/>
      <c r="DU18" s="1508"/>
      <c r="DV18" s="1505"/>
      <c r="DW18" s="1506"/>
      <c r="DX18" s="1505"/>
      <c r="DY18" s="1506"/>
      <c r="DZ18" s="1507"/>
      <c r="EA18" s="1508"/>
      <c r="EB18" s="1505"/>
      <c r="EC18" s="1506"/>
      <c r="ED18" s="1505"/>
      <c r="EE18" s="1506"/>
      <c r="EF18" s="1507"/>
      <c r="EG18" s="1508"/>
      <c r="EH18" s="1510"/>
      <c r="EI18" s="1506"/>
      <c r="EJ18" s="1505"/>
      <c r="EK18" s="1506"/>
      <c r="EL18" s="1507"/>
      <c r="EM18" s="1508"/>
      <c r="EN18" s="1505"/>
      <c r="EO18" s="1506"/>
      <c r="EP18" s="1505" t="s">
        <v>9291</v>
      </c>
      <c r="EQ18" s="1506"/>
      <c r="ER18" s="1512"/>
      <c r="ES18" s="1508" t="s">
        <v>12888</v>
      </c>
      <c r="ET18" s="1505"/>
      <c r="EU18" s="1506"/>
      <c r="EV18" s="1505"/>
      <c r="EW18" s="1506"/>
      <c r="EX18" s="1512"/>
      <c r="EY18" s="1508"/>
      <c r="EZ18" s="1505"/>
      <c r="FA18" s="1506"/>
      <c r="FB18" s="1505"/>
      <c r="FC18" s="1506"/>
      <c r="FD18" s="1507"/>
      <c r="FE18" s="1508"/>
      <c r="FF18" s="1505"/>
      <c r="FG18" s="1506"/>
      <c r="FH18" s="1510" t="s">
        <v>8145</v>
      </c>
      <c r="FI18" s="1506"/>
      <c r="FJ18" s="1507"/>
      <c r="FK18" s="1508"/>
      <c r="FL18" s="1505"/>
      <c r="FM18" s="1506"/>
      <c r="FN18" s="1505"/>
      <c r="FO18" s="1506"/>
      <c r="FP18" s="1507"/>
      <c r="FQ18" s="1508"/>
      <c r="FR18" s="1505"/>
      <c r="FS18" s="1506"/>
      <c r="FT18" s="1505"/>
      <c r="FU18" s="1506"/>
      <c r="FV18" s="1507"/>
      <c r="FW18" s="1508"/>
      <c r="FX18" s="1505"/>
      <c r="FY18" s="1506"/>
      <c r="FZ18" s="1505"/>
      <c r="GA18" s="1506"/>
      <c r="GB18" s="1507"/>
      <c r="GC18" s="1508"/>
      <c r="GD18" s="1505"/>
      <c r="GE18" s="1506"/>
      <c r="GF18" s="1505"/>
      <c r="GG18" s="1506"/>
      <c r="GH18" s="1512"/>
    </row>
    <row r="19" spans="1:190" ht="20.100000000000001" customHeight="1" thickBot="1">
      <c r="A19" s="2849"/>
      <c r="B19" s="2862"/>
      <c r="C19" s="1537">
        <f>実績!B1405</f>
        <v>200008</v>
      </c>
      <c r="D19" s="1631" t="str">
        <f>VLOOKUP(C19,実績!$B$5:'実績'!$AC$1472,2,0)</f>
        <v>JAしまね種子選穀センター(種子生産高度化施設棟)</v>
      </c>
      <c r="E19" s="1515" t="str">
        <f>SUBSTITUTE(VLOOKUP(D19,実績!$C$5:'実績'!$AC$1451,3,0),"株式会社 ","")</f>
        <v>新井</v>
      </c>
      <c r="F19" s="1463" t="str">
        <f>SUBSTITUTE(VLOOKUP(D19,実績!$C$5:'実績'!$AC$1451,2,0),"株式会社 ","")</f>
        <v>村上</v>
      </c>
      <c r="G19" s="1654" t="str">
        <f>SUBSTITUTE(VLOOKUP(D19,実績!$C$5:'実績'!$AC$1451,16,0)," 一級建築士事務所","")</f>
        <v>全農西日本</v>
      </c>
      <c r="H19" s="1460" t="str">
        <f>VLOOKUP(D19,実績!$C$5:'実績'!$AC$1451,4,0)</f>
        <v>島根県</v>
      </c>
      <c r="I19" s="1461" t="str">
        <f>VLOOKUP(D19,実績!$C$5:'実績'!$AC$1451,5,0)</f>
        <v>松江市</v>
      </c>
      <c r="J19" s="1462" t="str">
        <f>VLOOKUP(D19,実績!$C$5:'実績'!$AC$1451,9,0)</f>
        <v>選穀センター</v>
      </c>
      <c r="K19" s="1463">
        <f>ROUND(VLOOKUP(D19,実績!$C$5:'実績'!$AC$1451,15,0),-1)</f>
        <v>810</v>
      </c>
      <c r="L19" s="1464" t="str">
        <f>VLOOKUP(D19,実績!$C$5:'実績'!$BY$1451,40,0)</f>
        <v>-</v>
      </c>
      <c r="M19" s="1462" t="str">
        <f>VLOOKUP(D19,実績!$C$5:'実績'!$BY$1472,38,0)</f>
        <v>○
4m</v>
      </c>
      <c r="N19" s="1462" t="str">
        <f>VLOOKUP(D19,実績!$C$5:'実績'!$BY$1472,37,0)</f>
        <v>-</v>
      </c>
      <c r="O19" s="1463" t="str">
        <f>VLOOKUP(D19,実績!$C$5:'実績'!$BY$1472,41,0)</f>
        <v>独立</v>
      </c>
      <c r="P19" s="1672">
        <v>44042</v>
      </c>
      <c r="Q19" s="1673"/>
      <c r="R19" s="1688">
        <v>44062</v>
      </c>
      <c r="S19" s="1687"/>
      <c r="T19" s="1688">
        <v>44062</v>
      </c>
      <c r="U19" s="1673" t="s">
        <v>17475</v>
      </c>
      <c r="V19" s="1655"/>
      <c r="W19" s="1465"/>
      <c r="X19" s="1465"/>
      <c r="Y19" s="1468"/>
      <c r="Z19" s="1465"/>
      <c r="AA19" s="1468"/>
      <c r="AB19" s="1469"/>
      <c r="AC19" s="1465"/>
      <c r="AD19" s="1465"/>
      <c r="AE19" s="1468"/>
      <c r="AF19" s="1465"/>
      <c r="AG19" s="1468"/>
      <c r="AH19" s="1465"/>
      <c r="AI19" s="1467"/>
      <c r="AJ19" s="1465"/>
      <c r="AK19" s="1468"/>
      <c r="AL19" s="1465"/>
      <c r="AM19" s="1468"/>
      <c r="AN19" s="1469"/>
      <c r="AO19" s="1465"/>
      <c r="AP19" s="1465"/>
      <c r="AQ19" s="1468"/>
      <c r="AR19" s="1465"/>
      <c r="AS19" s="1468"/>
      <c r="AT19" s="1465"/>
      <c r="AU19" s="1540"/>
      <c r="AV19" s="1465"/>
      <c r="AW19" s="1468"/>
      <c r="AX19" s="1465"/>
      <c r="AY19" s="1468"/>
      <c r="AZ19" s="1469"/>
      <c r="BA19" s="1467"/>
      <c r="BB19" s="1465"/>
      <c r="BC19" s="1468"/>
      <c r="BD19" s="1465"/>
      <c r="BE19" s="1468"/>
      <c r="BF19" s="1469"/>
      <c r="BG19" s="1465"/>
      <c r="BH19" s="1465"/>
      <c r="BI19" s="1468"/>
      <c r="BJ19" s="1465"/>
      <c r="BK19" s="1468"/>
      <c r="BL19" s="1465"/>
      <c r="BM19" s="1467"/>
      <c r="BN19" s="1465"/>
      <c r="BO19" s="1468"/>
      <c r="BP19" s="1465"/>
      <c r="BQ19" s="1468"/>
      <c r="BR19" s="1469"/>
      <c r="BS19" s="1467"/>
      <c r="BT19" s="1465"/>
      <c r="BU19" s="1468"/>
      <c r="BV19" s="1541"/>
      <c r="BW19" s="1468"/>
      <c r="BX19" s="1469"/>
      <c r="BY19" s="1467"/>
      <c r="BZ19" s="1465"/>
      <c r="CA19" s="1468"/>
      <c r="CB19" s="1465"/>
      <c r="CC19" s="1468"/>
      <c r="CD19" s="1469"/>
      <c r="CE19" s="1467"/>
      <c r="CF19" s="1465"/>
      <c r="CG19" s="1468"/>
      <c r="CH19" s="1465"/>
      <c r="CI19" s="1468"/>
      <c r="CJ19" s="1469"/>
      <c r="CK19" s="1467"/>
      <c r="CL19" s="1465"/>
      <c r="CM19" s="1468"/>
      <c r="CN19" s="1465"/>
      <c r="CO19" s="1468"/>
      <c r="CP19" s="1469"/>
      <c r="CQ19" s="1467"/>
      <c r="CR19" s="1465"/>
      <c r="CS19" s="1468"/>
      <c r="CT19" s="1466"/>
      <c r="CU19" s="1468"/>
      <c r="CV19" s="1469"/>
      <c r="CW19" s="1467"/>
      <c r="CX19" s="1465"/>
      <c r="CY19" s="1468"/>
      <c r="CZ19" s="1465"/>
      <c r="DA19" s="1468"/>
      <c r="DB19" s="1469"/>
      <c r="DC19" s="1467"/>
      <c r="DD19" s="1465"/>
      <c r="DE19" s="1468"/>
      <c r="DF19" s="1465"/>
      <c r="DG19" s="1468"/>
      <c r="DH19" s="1469"/>
      <c r="DI19" s="1467"/>
      <c r="DJ19" s="1465"/>
      <c r="DK19" s="1468"/>
      <c r="DL19" s="1465"/>
      <c r="DM19" s="1468"/>
      <c r="DN19" s="1469"/>
      <c r="DO19" s="1467"/>
      <c r="DP19" s="1465"/>
      <c r="DQ19" s="1468"/>
      <c r="DR19" s="1465"/>
      <c r="DS19" s="1468"/>
      <c r="DT19" s="1469"/>
      <c r="DU19" s="1467"/>
      <c r="DV19" s="1465"/>
      <c r="DW19" s="1468"/>
      <c r="DX19" s="1465"/>
      <c r="DY19" s="1468"/>
      <c r="DZ19" s="1469"/>
      <c r="EA19" s="1467"/>
      <c r="EB19" s="1465"/>
      <c r="EC19" s="1468"/>
      <c r="ED19" s="1465"/>
      <c r="EE19" s="1468"/>
      <c r="EF19" s="1469"/>
      <c r="EG19" s="1467"/>
      <c r="EH19" s="1541"/>
      <c r="EI19" s="1468"/>
      <c r="EJ19" s="1465"/>
      <c r="EK19" s="1468"/>
      <c r="EL19" s="1469"/>
      <c r="EM19" s="1467"/>
      <c r="EN19" s="1465"/>
      <c r="EO19" s="1468"/>
      <c r="EP19" s="1465"/>
      <c r="EQ19" s="1468"/>
      <c r="ER19" s="1470"/>
      <c r="ES19" s="1467"/>
      <c r="ET19" s="1465"/>
      <c r="EU19" s="1468"/>
      <c r="EV19" s="1465"/>
      <c r="EW19" s="1468"/>
      <c r="EX19" s="1469"/>
      <c r="EY19" s="1467"/>
      <c r="EZ19" s="1465"/>
      <c r="FA19" s="1468"/>
      <c r="FB19" s="1465"/>
      <c r="FC19" s="1468"/>
      <c r="FD19" s="1469"/>
      <c r="FE19" s="1467"/>
      <c r="FF19" s="1465"/>
      <c r="FG19" s="1468"/>
      <c r="FH19" s="1465"/>
      <c r="FI19" s="1468"/>
      <c r="FJ19" s="1470"/>
      <c r="FK19" s="1467"/>
      <c r="FL19" s="1465"/>
      <c r="FM19" s="1468"/>
      <c r="FN19" s="1465"/>
      <c r="FO19" s="1468"/>
      <c r="FP19" s="1470"/>
      <c r="FQ19" s="1467"/>
      <c r="FR19" s="1465"/>
      <c r="FS19" s="1468"/>
      <c r="FT19" s="1465"/>
      <c r="FU19" s="1468"/>
      <c r="FV19" s="1470"/>
      <c r="FW19" s="1467"/>
      <c r="FX19" s="1465"/>
      <c r="FY19" s="1468"/>
      <c r="FZ19" s="1465"/>
      <c r="GA19" s="1468"/>
      <c r="GB19" s="1470"/>
      <c r="GC19" s="1467"/>
      <c r="GD19" s="1465"/>
      <c r="GE19" s="1468"/>
      <c r="GF19" s="1465"/>
      <c r="GG19" s="1468"/>
      <c r="GH19" s="1470"/>
    </row>
    <row r="20" spans="1:190" ht="20.100000000000001" customHeight="1">
      <c r="A20" s="2817" t="s">
        <v>17396</v>
      </c>
      <c r="B20" s="2833" t="s">
        <v>17453</v>
      </c>
      <c r="C20" s="1520">
        <f>実績!B1392</f>
        <v>190135</v>
      </c>
      <c r="D20" s="1627" t="str">
        <f>VLOOKUP(C20,実績!$B$5:'実績'!$AC$1472,2,0)</f>
        <v>静岡市聖一色</v>
      </c>
      <c r="E20" s="1498" t="str">
        <f>SUBSTITUTE(VLOOKUP(D20,実績!$C$5:'実績'!$AC$1451,3,0),"株式会社 ","")</f>
        <v>大田</v>
      </c>
      <c r="F20" s="1485" t="str">
        <f>SUBSTITUTE(VLOOKUP(D20,実績!$C$5:'実績'!$AC$1451,2,0),"株式会社 ","")</f>
        <v>ユイ
ﾏｲｱｲﾝ</v>
      </c>
      <c r="G20" s="1542" t="str">
        <f>SUBSTITUTE(VLOOKUP(D20,実績!$C$5:'実績'!$AC$1451,21,0),"株式会社 ","")</f>
        <v>千代田設計</v>
      </c>
      <c r="H20" s="1523" t="str">
        <f>VLOOKUP(D20,実績!$C$5:'実績'!$AC$1451,4,0)</f>
        <v>静岡県</v>
      </c>
      <c r="I20" s="1524" t="str">
        <f>VLOOKUP(D20,実績!$C$5:'実績'!$AC$1451,5,0)</f>
        <v>静岡市</v>
      </c>
      <c r="J20" s="1484" t="str">
        <f>VLOOKUP(D20,実績!$C$5:'実績'!$AC$1451,9,0)</f>
        <v>葬祭場</v>
      </c>
      <c r="K20" s="1485">
        <f>ROUND(VLOOKUP(D20,実績!$C$5:'実績'!$AC$1451,15,0),-1)</f>
        <v>400</v>
      </c>
      <c r="L20" s="1483" t="str">
        <f>VLOOKUP(D20,実績!$C$5:'実績'!$BY$1451,40,0)</f>
        <v>-</v>
      </c>
      <c r="M20" s="1484" t="str">
        <f>VLOOKUP(D20,実績!$C$5:'実績'!$BY$1472,38,0)</f>
        <v>-</v>
      </c>
      <c r="N20" s="1484" t="str">
        <f>VLOOKUP(D20,実績!$C$5:'実績'!$BY$1472,37,0)</f>
        <v>-</v>
      </c>
      <c r="O20" s="1485" t="str">
        <f>VLOOKUP(D20,実績!$C$5:'実績'!$BY$1472,41,0)</f>
        <v>独立</v>
      </c>
      <c r="P20" s="1664">
        <v>44012</v>
      </c>
      <c r="Q20" s="1665" t="s">
        <v>17455</v>
      </c>
      <c r="R20" s="1664"/>
      <c r="S20" s="1666"/>
      <c r="T20" s="1667"/>
      <c r="U20" s="1665"/>
      <c r="V20" s="1674"/>
      <c r="W20" s="1526"/>
      <c r="X20" s="1526"/>
      <c r="Y20" s="1527"/>
      <c r="Z20" s="1526"/>
      <c r="AA20" s="1527"/>
      <c r="AB20" s="1528"/>
      <c r="AC20" s="1526"/>
      <c r="AD20" s="1526"/>
      <c r="AE20" s="1527"/>
      <c r="AF20" s="1526"/>
      <c r="AG20" s="1527"/>
      <c r="AH20" s="1526"/>
      <c r="AI20" s="1529"/>
      <c r="AJ20" s="1526"/>
      <c r="AK20" s="1527"/>
      <c r="AL20" s="1526"/>
      <c r="AM20" s="1527"/>
      <c r="AN20" s="1528"/>
      <c r="AO20" s="1526"/>
      <c r="AP20" s="1526"/>
      <c r="AQ20" s="1527"/>
      <c r="AR20" s="1526"/>
      <c r="AS20" s="1527"/>
      <c r="AT20" s="1526"/>
      <c r="AU20" s="1530"/>
      <c r="AV20" s="1526"/>
      <c r="AW20" s="1527"/>
      <c r="AX20" s="1526"/>
      <c r="AY20" s="1527"/>
      <c r="AZ20" s="1528"/>
      <c r="BA20" s="1529"/>
      <c r="BB20" s="1526"/>
      <c r="BC20" s="1527"/>
      <c r="BD20" s="1526"/>
      <c r="BE20" s="1527"/>
      <c r="BF20" s="1528"/>
      <c r="BG20" s="1526"/>
      <c r="BH20" s="1526"/>
      <c r="BI20" s="1527"/>
      <c r="BJ20" s="1526"/>
      <c r="BK20" s="1527"/>
      <c r="BL20" s="1526"/>
      <c r="BM20" s="1529"/>
      <c r="BN20" s="1526"/>
      <c r="BO20" s="1527"/>
      <c r="BP20" s="1526"/>
      <c r="BQ20" s="1527"/>
      <c r="BR20" s="1528"/>
      <c r="BS20" s="1529"/>
      <c r="BT20" s="1526"/>
      <c r="BU20" s="1527"/>
      <c r="BV20" s="1531"/>
      <c r="BW20" s="1527"/>
      <c r="BX20" s="1528"/>
      <c r="BY20" s="1529"/>
      <c r="BZ20" s="1526"/>
      <c r="CA20" s="1527"/>
      <c r="CB20" s="1526"/>
      <c r="CC20" s="1527"/>
      <c r="CD20" s="1528"/>
      <c r="CE20" s="1529"/>
      <c r="CF20" s="1526"/>
      <c r="CG20" s="1527"/>
      <c r="CH20" s="1526"/>
      <c r="CI20" s="1527"/>
      <c r="CJ20" s="1528"/>
      <c r="CK20" s="1529"/>
      <c r="CL20" s="1526"/>
      <c r="CM20" s="1527"/>
      <c r="CN20" s="1526"/>
      <c r="CO20" s="1527"/>
      <c r="CP20" s="1528"/>
      <c r="CQ20" s="1529"/>
      <c r="CR20" s="1526"/>
      <c r="CS20" s="1527"/>
      <c r="CT20" s="1532"/>
      <c r="CU20" s="1527"/>
      <c r="CV20" s="1528"/>
      <c r="CW20" s="1529"/>
      <c r="CX20" s="1526"/>
      <c r="CY20" s="1527"/>
      <c r="CZ20" s="1526"/>
      <c r="DA20" s="1527"/>
      <c r="DB20" s="1528"/>
      <c r="DC20" s="1529"/>
      <c r="DD20" s="1526"/>
      <c r="DE20" s="1527"/>
      <c r="DF20" s="1526"/>
      <c r="DG20" s="1527"/>
      <c r="DH20" s="1528"/>
      <c r="DI20" s="1529"/>
      <c r="DJ20" s="1526"/>
      <c r="DK20" s="1527"/>
      <c r="DL20" s="1526"/>
      <c r="DM20" s="1527"/>
      <c r="DN20" s="1528"/>
      <c r="DO20" s="1529"/>
      <c r="DP20" s="1526"/>
      <c r="DQ20" s="1527"/>
      <c r="DR20" s="1526"/>
      <c r="DS20" s="1527"/>
      <c r="DT20" s="1528"/>
      <c r="DU20" s="1529"/>
      <c r="DV20" s="1526"/>
      <c r="DW20" s="1527"/>
      <c r="DX20" s="1526"/>
      <c r="DY20" s="1527"/>
      <c r="DZ20" s="1528"/>
      <c r="EA20" s="1529"/>
      <c r="EB20" s="1526"/>
      <c r="EC20" s="1527"/>
      <c r="ED20" s="1526"/>
      <c r="EE20" s="1527"/>
      <c r="EF20" s="1528"/>
      <c r="EG20" s="1529"/>
      <c r="EH20" s="1531"/>
      <c r="EI20" s="1527"/>
      <c r="EJ20" s="1526"/>
      <c r="EK20" s="1527"/>
      <c r="EL20" s="1528" t="s">
        <v>15214</v>
      </c>
      <c r="EM20" s="1529"/>
      <c r="EN20" s="1526"/>
      <c r="EO20" s="1527"/>
      <c r="EP20" s="1526"/>
      <c r="EQ20" s="1527"/>
      <c r="ER20" s="1528"/>
      <c r="ES20" s="1529"/>
      <c r="ET20" s="1526"/>
      <c r="EU20" s="1527"/>
      <c r="EV20" s="1526"/>
      <c r="EW20" s="1527"/>
      <c r="EX20" s="1528"/>
      <c r="EY20" s="1529"/>
      <c r="EZ20" s="1526"/>
      <c r="FA20" s="1527"/>
      <c r="FB20" s="1526" t="s">
        <v>8145</v>
      </c>
      <c r="FC20" s="1527"/>
      <c r="FD20" s="1528"/>
      <c r="FE20" s="1529"/>
      <c r="FF20" s="1526"/>
      <c r="FG20" s="1527"/>
      <c r="FH20" s="1526"/>
      <c r="FI20" s="1527"/>
      <c r="FJ20" s="1533"/>
      <c r="FK20" s="1529"/>
      <c r="FL20" s="1526"/>
      <c r="FM20" s="1527"/>
      <c r="FN20" s="1526"/>
      <c r="FO20" s="1527"/>
      <c r="FP20" s="1533"/>
      <c r="FQ20" s="1529"/>
      <c r="FR20" s="1526"/>
      <c r="FS20" s="1527"/>
      <c r="FT20" s="1526"/>
      <c r="FU20" s="1527"/>
      <c r="FV20" s="1533"/>
      <c r="FW20" s="1529"/>
      <c r="FX20" s="1526"/>
      <c r="FY20" s="1527"/>
      <c r="FZ20" s="1526"/>
      <c r="GA20" s="1527"/>
      <c r="GB20" s="1533"/>
      <c r="GC20" s="1529"/>
      <c r="GD20" s="1526"/>
      <c r="GE20" s="1527"/>
      <c r="GF20" s="1526"/>
      <c r="GG20" s="1527"/>
      <c r="GH20" s="1533"/>
    </row>
    <row r="21" spans="1:190" ht="20.100000000000001" customHeight="1">
      <c r="A21" s="2818"/>
      <c r="B21" s="2834"/>
      <c r="C21" s="1496">
        <f>実績!B1400</f>
        <v>200003</v>
      </c>
      <c r="D21" s="1628" t="str">
        <f>VLOOKUP(C21,実績!$B$5:'実績'!$AC$1472,2,0)</f>
        <v>バルチラジャパン株式会社富山工場(WPJ)</v>
      </c>
      <c r="E21" s="1534" t="str">
        <f>SUBSTITUTE(VLOOKUP(D21,実績!$C$5:'実績'!$AC$1451,3,0),"株式会社 ","")</f>
        <v>大田</v>
      </c>
      <c r="F21" s="1503" t="str">
        <f>SUBSTITUTE(VLOOKUP(D21,実績!$C$5:'実績'!$AC$1451,2,0),"株式会社 ","")</f>
        <v>ユイ
ハン</v>
      </c>
      <c r="G21" s="1543" t="str">
        <f>SUBSTITUTE(VLOOKUP(D21,実績!$C$5:'実績'!$AC$1451,16,0)," 株式会社","")</f>
        <v>三由建設</v>
      </c>
      <c r="H21" s="1500" t="str">
        <f>VLOOKUP(D21,実績!$C$5:'実績'!$AC$1451,4,0)</f>
        <v>富山県</v>
      </c>
      <c r="I21" s="1501" t="str">
        <f>VLOOKUP(D21,実績!$C$5:'実績'!$AC$1451,5,0)</f>
        <v>富山市</v>
      </c>
      <c r="J21" s="1502" t="str">
        <f>VLOOKUP(D21,実績!$C$5:'実績'!$AC$1451,9,0)</f>
        <v>工場</v>
      </c>
      <c r="K21" s="1503">
        <f>ROUND(VLOOKUP(D21,実績!$C$5:'実績'!$AC$1451,15,0),-1)</f>
        <v>5000</v>
      </c>
      <c r="L21" s="1504" t="str">
        <f>VLOOKUP(D21,実績!$C$5:'実績'!$BY$1451,40,0)</f>
        <v>-</v>
      </c>
      <c r="M21" s="1502" t="str">
        <f>VLOOKUP(D21,実績!$C$5:'実績'!$BY$1472,38,0)</f>
        <v>-</v>
      </c>
      <c r="N21" s="1502" t="str">
        <f>VLOOKUP(D21,実績!$C$5:'実績'!$BY$1472,37,0)</f>
        <v>-</v>
      </c>
      <c r="O21" s="1503" t="str">
        <f>VLOOKUP(D21,実績!$C$5:'実績'!$BY$1472,41,0)</f>
        <v>独立</v>
      </c>
      <c r="P21" s="1659">
        <v>44042</v>
      </c>
      <c r="Q21" s="1660" t="s">
        <v>17395</v>
      </c>
      <c r="R21" s="1659"/>
      <c r="S21" s="1661"/>
      <c r="T21" s="1662"/>
      <c r="U21" s="1660"/>
      <c r="V21" s="1663"/>
      <c r="W21" s="1505"/>
      <c r="X21" s="1505"/>
      <c r="Y21" s="1506"/>
      <c r="Z21" s="1505"/>
      <c r="AA21" s="1506"/>
      <c r="AB21" s="1507"/>
      <c r="AC21" s="1505"/>
      <c r="AD21" s="1505"/>
      <c r="AE21" s="1506"/>
      <c r="AF21" s="1505"/>
      <c r="AG21" s="1506"/>
      <c r="AH21" s="1505"/>
      <c r="AI21" s="1508"/>
      <c r="AJ21" s="1505"/>
      <c r="AK21" s="1506"/>
      <c r="AL21" s="1505"/>
      <c r="AM21" s="1506"/>
      <c r="AN21" s="1507"/>
      <c r="AO21" s="1505"/>
      <c r="AP21" s="1505"/>
      <c r="AQ21" s="1506"/>
      <c r="AR21" s="1505"/>
      <c r="AS21" s="1506"/>
      <c r="AT21" s="1505"/>
      <c r="AU21" s="1509"/>
      <c r="AV21" s="1505"/>
      <c r="AW21" s="1506"/>
      <c r="AX21" s="1505"/>
      <c r="AY21" s="1506"/>
      <c r="AZ21" s="1507"/>
      <c r="BA21" s="1508"/>
      <c r="BB21" s="1505"/>
      <c r="BC21" s="1506"/>
      <c r="BD21" s="1505"/>
      <c r="BE21" s="1506"/>
      <c r="BF21" s="1507"/>
      <c r="BG21" s="1505"/>
      <c r="BH21" s="1505"/>
      <c r="BI21" s="1506"/>
      <c r="BJ21" s="1505"/>
      <c r="BK21" s="1506"/>
      <c r="BL21" s="1505"/>
      <c r="BM21" s="1508"/>
      <c r="BN21" s="1505"/>
      <c r="BO21" s="1506"/>
      <c r="BP21" s="1505"/>
      <c r="BQ21" s="1506"/>
      <c r="BR21" s="1507"/>
      <c r="BS21" s="1508"/>
      <c r="BT21" s="1505"/>
      <c r="BU21" s="1506"/>
      <c r="BV21" s="1510"/>
      <c r="BW21" s="1506"/>
      <c r="BX21" s="1507"/>
      <c r="BY21" s="1508"/>
      <c r="BZ21" s="1505"/>
      <c r="CA21" s="1506"/>
      <c r="CB21" s="1505"/>
      <c r="CC21" s="1506"/>
      <c r="CD21" s="1507"/>
      <c r="CE21" s="1508"/>
      <c r="CF21" s="1505"/>
      <c r="CG21" s="1506"/>
      <c r="CH21" s="1505"/>
      <c r="CI21" s="1506"/>
      <c r="CJ21" s="1507"/>
      <c r="CK21" s="1508"/>
      <c r="CL21" s="1505"/>
      <c r="CM21" s="1506"/>
      <c r="CN21" s="1505"/>
      <c r="CO21" s="1506"/>
      <c r="CP21" s="1507"/>
      <c r="CQ21" s="1508"/>
      <c r="CR21" s="1505"/>
      <c r="CS21" s="1506"/>
      <c r="CT21" s="1511"/>
      <c r="CU21" s="1506"/>
      <c r="CV21" s="1507"/>
      <c r="CW21" s="1508"/>
      <c r="CX21" s="1505"/>
      <c r="CY21" s="1506"/>
      <c r="CZ21" s="1505"/>
      <c r="DA21" s="1506"/>
      <c r="DB21" s="1507"/>
      <c r="DC21" s="1508"/>
      <c r="DD21" s="1505"/>
      <c r="DE21" s="1506"/>
      <c r="DF21" s="1505"/>
      <c r="DG21" s="1506"/>
      <c r="DH21" s="1507"/>
      <c r="DI21" s="1508"/>
      <c r="DJ21" s="1505"/>
      <c r="DK21" s="1506"/>
      <c r="DL21" s="1505"/>
      <c r="DM21" s="1506"/>
      <c r="DN21" s="1512"/>
      <c r="DO21" s="1508"/>
      <c r="DP21" s="1505"/>
      <c r="DQ21" s="1506"/>
      <c r="DR21" s="1505"/>
      <c r="DS21" s="1506"/>
      <c r="DT21" s="1507"/>
      <c r="DU21" s="1508"/>
      <c r="DV21" s="1505"/>
      <c r="DW21" s="1506"/>
      <c r="DX21" s="1505"/>
      <c r="DY21" s="1506"/>
      <c r="DZ21" s="1512"/>
      <c r="EA21" s="1508"/>
      <c r="EB21" s="1505"/>
      <c r="EC21" s="1506"/>
      <c r="ED21" s="1505"/>
      <c r="EE21" s="1506"/>
      <c r="EF21" s="1512"/>
      <c r="EG21" s="1508"/>
      <c r="EH21" s="1505"/>
      <c r="EI21" s="1506"/>
      <c r="EJ21" s="1505"/>
      <c r="EK21" s="1506"/>
      <c r="EL21" s="1512"/>
      <c r="EM21" s="1508"/>
      <c r="EN21" s="1505"/>
      <c r="EO21" s="1506"/>
      <c r="EP21" s="1505"/>
      <c r="EQ21" s="1506"/>
      <c r="ER21" s="1637" t="s">
        <v>13928</v>
      </c>
      <c r="ES21" s="1508"/>
      <c r="ET21" s="1505"/>
      <c r="EU21" s="1506"/>
      <c r="EV21" s="1505"/>
      <c r="EW21" s="1506"/>
      <c r="EX21" s="1507"/>
      <c r="EY21" s="1508"/>
      <c r="EZ21" s="1505"/>
      <c r="FA21" s="1506"/>
      <c r="FB21" s="1505"/>
      <c r="FC21" s="1506"/>
      <c r="FD21" s="1512" t="s">
        <v>8145</v>
      </c>
      <c r="FE21" s="1508"/>
      <c r="FF21" s="1505"/>
      <c r="FG21" s="1506"/>
      <c r="FH21" s="1505"/>
      <c r="FI21" s="1506"/>
      <c r="FJ21" s="1507"/>
      <c r="FK21" s="1508"/>
      <c r="FL21" s="1505"/>
      <c r="FM21" s="1506"/>
      <c r="FN21" s="1505"/>
      <c r="FO21" s="1506"/>
      <c r="FP21" s="1512"/>
      <c r="FQ21" s="1508"/>
      <c r="FR21" s="1505"/>
      <c r="FS21" s="1506"/>
      <c r="FT21" s="1505"/>
      <c r="FU21" s="1506"/>
      <c r="FV21" s="1512"/>
      <c r="FW21" s="1508"/>
      <c r="FX21" s="1505"/>
      <c r="FY21" s="1506"/>
      <c r="FZ21" s="1505"/>
      <c r="GA21" s="1506"/>
      <c r="GB21" s="1512"/>
      <c r="GC21" s="1508"/>
      <c r="GD21" s="1505"/>
      <c r="GE21" s="1506"/>
      <c r="GF21" s="1505"/>
      <c r="GG21" s="1506"/>
      <c r="GH21" s="1512"/>
    </row>
    <row r="22" spans="1:190" ht="20.100000000000001" customHeight="1">
      <c r="A22" s="2819"/>
      <c r="B22" s="2834"/>
      <c r="C22" s="1496">
        <f>実績!B1414</f>
        <v>200017</v>
      </c>
      <c r="D22" s="1628" t="str">
        <f>VLOOKUP(C22,実績!$B$5:'実績'!$AC$1472,2,0)</f>
        <v>第2ひかりこども園</v>
      </c>
      <c r="E22" s="1534" t="str">
        <f>SUBSTITUTE(VLOOKUP(D22,実績!$C$5:'実績'!$AC$1451,3,0),"株式会社 ","")</f>
        <v>植松</v>
      </c>
      <c r="F22" s="1503" t="str">
        <f>SUBSTITUTE(VLOOKUP(D22,実績!$C$5:'実績'!$AC$1451,2,0),"株式会社 ","")</f>
        <v>村上
ラン</v>
      </c>
      <c r="G22" s="1543" t="str">
        <f>SUBSTITUTE(VLOOKUP(D22,実績!$C$5:'実績'!$AC$1451,16,0)," 株式会社","")</f>
        <v>ゲンプラン設計</v>
      </c>
      <c r="H22" s="1500" t="str">
        <f>VLOOKUP(D22,実績!$C$5:'実績'!$AC$1451,4,0)</f>
        <v>鹿児島</v>
      </c>
      <c r="I22" s="1501" t="str">
        <f>VLOOKUP(D22,実績!$C$5:'実績'!$AC$1451,5,0)</f>
        <v>霧島市</v>
      </c>
      <c r="J22" s="1502" t="str">
        <f>VLOOKUP(D22,実績!$C$5:'実績'!$AC$1451,9,0)</f>
        <v>こども園</v>
      </c>
      <c r="K22" s="1503">
        <f>ROUND(VLOOKUP(D22,実績!$C$5:'実績'!$AC$1451,15,0),-1)</f>
        <v>1080</v>
      </c>
      <c r="L22" s="1504" t="str">
        <f>VLOOKUP(D22,実績!$C$5:'実績'!$BY$1451,40,0)</f>
        <v>-</v>
      </c>
      <c r="M22" s="1502" t="str">
        <f>VLOOKUP(D22,実績!$C$5:'実績'!$BY$1472,38,0)</f>
        <v>-</v>
      </c>
      <c r="N22" s="1502" t="str">
        <f>VLOOKUP(D22,実績!$C$5:'実績'!$BY$1472,37,0)</f>
        <v>-</v>
      </c>
      <c r="O22" s="1503" t="str">
        <f>VLOOKUP(D22,実績!$C$5:'実績'!$BY$1472,41,0)</f>
        <v>布</v>
      </c>
      <c r="P22" s="1659">
        <v>44050</v>
      </c>
      <c r="Q22" s="1660" t="s">
        <v>17393</v>
      </c>
      <c r="R22" s="1659"/>
      <c r="S22" s="1661"/>
      <c r="T22" s="1662"/>
      <c r="U22" s="1660"/>
      <c r="V22" s="1663"/>
      <c r="W22" s="1505"/>
      <c r="X22" s="1505"/>
      <c r="Y22" s="1506"/>
      <c r="Z22" s="1505"/>
      <c r="AA22" s="1506"/>
      <c r="AB22" s="1507"/>
      <c r="AC22" s="1505"/>
      <c r="AD22" s="1505"/>
      <c r="AE22" s="1506"/>
      <c r="AF22" s="1505"/>
      <c r="AG22" s="1506"/>
      <c r="AH22" s="1505"/>
      <c r="AI22" s="1508"/>
      <c r="AJ22" s="1505"/>
      <c r="AK22" s="1506"/>
      <c r="AL22" s="1505"/>
      <c r="AM22" s="1506"/>
      <c r="AN22" s="1507"/>
      <c r="AO22" s="1505"/>
      <c r="AP22" s="1505"/>
      <c r="AQ22" s="1506"/>
      <c r="AR22" s="1505"/>
      <c r="AS22" s="1506"/>
      <c r="AT22" s="1505"/>
      <c r="AU22" s="1509"/>
      <c r="AV22" s="1505"/>
      <c r="AW22" s="1506"/>
      <c r="AX22" s="1505"/>
      <c r="AY22" s="1506"/>
      <c r="AZ22" s="1507"/>
      <c r="BA22" s="1508"/>
      <c r="BB22" s="1505"/>
      <c r="BC22" s="1506"/>
      <c r="BD22" s="1505"/>
      <c r="BE22" s="1506"/>
      <c r="BF22" s="1507"/>
      <c r="BG22" s="1505"/>
      <c r="BH22" s="1505"/>
      <c r="BI22" s="1506"/>
      <c r="BJ22" s="1505"/>
      <c r="BK22" s="1506"/>
      <c r="BL22" s="1505"/>
      <c r="BM22" s="1508"/>
      <c r="BN22" s="1505"/>
      <c r="BO22" s="1506"/>
      <c r="BP22" s="1505"/>
      <c r="BQ22" s="1506"/>
      <c r="BR22" s="1507"/>
      <c r="BS22" s="1508"/>
      <c r="BT22" s="1505"/>
      <c r="BU22" s="1506"/>
      <c r="BV22" s="1510"/>
      <c r="BW22" s="1506"/>
      <c r="BX22" s="1507"/>
      <c r="BY22" s="1508"/>
      <c r="BZ22" s="1505"/>
      <c r="CA22" s="1506"/>
      <c r="CB22" s="1505"/>
      <c r="CC22" s="1506"/>
      <c r="CD22" s="1507"/>
      <c r="CE22" s="1508"/>
      <c r="CF22" s="1505"/>
      <c r="CG22" s="1506"/>
      <c r="CH22" s="1505"/>
      <c r="CI22" s="1506"/>
      <c r="CJ22" s="1507"/>
      <c r="CK22" s="1508"/>
      <c r="CL22" s="1505"/>
      <c r="CM22" s="1506"/>
      <c r="CN22" s="1505"/>
      <c r="CO22" s="1506"/>
      <c r="CP22" s="1507"/>
      <c r="CQ22" s="1508"/>
      <c r="CR22" s="1505"/>
      <c r="CS22" s="1506"/>
      <c r="CT22" s="1511"/>
      <c r="CU22" s="1506"/>
      <c r="CV22" s="1507"/>
      <c r="CW22" s="1508"/>
      <c r="CX22" s="1505"/>
      <c r="CY22" s="1506"/>
      <c r="CZ22" s="1505"/>
      <c r="DA22" s="1506"/>
      <c r="DB22" s="1507"/>
      <c r="DC22" s="1508"/>
      <c r="DD22" s="1505"/>
      <c r="DE22" s="1506"/>
      <c r="DF22" s="1505"/>
      <c r="DG22" s="1506"/>
      <c r="DH22" s="1507"/>
      <c r="DI22" s="1508"/>
      <c r="DJ22" s="1505"/>
      <c r="DK22" s="1506"/>
      <c r="DL22" s="1505"/>
      <c r="DM22" s="1506"/>
      <c r="DN22" s="1512"/>
      <c r="DO22" s="1508"/>
      <c r="DP22" s="1505"/>
      <c r="DQ22" s="1506"/>
      <c r="DR22" s="1505"/>
      <c r="DS22" s="1506"/>
      <c r="DT22" s="1507"/>
      <c r="DU22" s="1508"/>
      <c r="DV22" s="1505"/>
      <c r="DW22" s="1506"/>
      <c r="DX22" s="1505"/>
      <c r="DY22" s="1506"/>
      <c r="DZ22" s="1512"/>
      <c r="EA22" s="1508"/>
      <c r="EB22" s="1505"/>
      <c r="EC22" s="1506"/>
      <c r="ED22" s="1505"/>
      <c r="EE22" s="1506"/>
      <c r="EF22" s="1512"/>
      <c r="EG22" s="1508"/>
      <c r="EH22" s="1505"/>
      <c r="EI22" s="1506"/>
      <c r="EJ22" s="1505"/>
      <c r="EK22" s="1506"/>
      <c r="EL22" s="1512"/>
      <c r="EM22" s="1508"/>
      <c r="EN22" s="1505"/>
      <c r="EO22" s="1506"/>
      <c r="EP22" s="1505"/>
      <c r="EQ22" s="1506"/>
      <c r="ER22" s="1512"/>
      <c r="ES22" s="1508"/>
      <c r="ET22" s="1505" t="s">
        <v>9472</v>
      </c>
      <c r="EU22" s="1506"/>
      <c r="EV22" s="1505"/>
      <c r="EW22" s="1506"/>
      <c r="EX22" s="1507"/>
      <c r="EY22" s="1508"/>
      <c r="EZ22" s="1505"/>
      <c r="FA22" s="1506"/>
      <c r="FB22" s="1505"/>
      <c r="FC22" s="1506"/>
      <c r="FD22" s="1512"/>
      <c r="FE22" s="1508" t="s">
        <v>8145</v>
      </c>
      <c r="FF22" s="1505"/>
      <c r="FG22" s="1506"/>
      <c r="FH22" s="1505"/>
      <c r="FI22" s="1506"/>
      <c r="FJ22" s="1512"/>
      <c r="FK22" s="1508"/>
      <c r="FL22" s="1505"/>
      <c r="FM22" s="1506"/>
      <c r="FN22" s="1505"/>
      <c r="FO22" s="1506"/>
      <c r="FP22" s="1512"/>
      <c r="FQ22" s="1508"/>
      <c r="FR22" s="1505"/>
      <c r="FS22" s="1506"/>
      <c r="FT22" s="1505"/>
      <c r="FU22" s="1506"/>
      <c r="FV22" s="1512"/>
      <c r="FW22" s="1508"/>
      <c r="FX22" s="1505"/>
      <c r="FY22" s="1506"/>
      <c r="FZ22" s="1505"/>
      <c r="GA22" s="1506"/>
      <c r="GB22" s="1512"/>
      <c r="GC22" s="1508"/>
      <c r="GD22" s="1505"/>
      <c r="GE22" s="1506"/>
      <c r="GF22" s="1505"/>
      <c r="GG22" s="1506"/>
      <c r="GH22" s="1512"/>
    </row>
    <row r="23" spans="1:190" ht="20.100000000000001" customHeight="1">
      <c r="A23" s="2819"/>
      <c r="B23" s="2834"/>
      <c r="C23" s="1496">
        <f>実績!B1391</f>
        <v>190134</v>
      </c>
      <c r="D23" s="1628" t="str">
        <f>VLOOKUP(C23,実績!$B$5:'実績'!$AC$1472,2,0)</f>
        <v>MCCポーアイ工場</v>
      </c>
      <c r="E23" s="1534" t="str">
        <f>SUBSTITUTE(VLOOKUP(D23,実績!$C$5:'実績'!$AC$1451,3,0),"株式会社 ","")</f>
        <v>大田</v>
      </c>
      <c r="F23" s="1503" t="str">
        <f>SUBSTITUTE(VLOOKUP(D23,実績!$C$5:'実績'!$AC$1451,2,0),"株式会社 ","")</f>
        <v>村上
タオ</v>
      </c>
      <c r="G23" s="1543" t="str">
        <f>SUBSTITUTE(VLOOKUP(D23,実績!$C$5:'実績'!$AC$1451,16,0)," 株式会社","")</f>
        <v>中設エンジ</v>
      </c>
      <c r="H23" s="1500" t="str">
        <f>VLOOKUP(D23,実績!$C$5:'実績'!$AC$1451,4,0)</f>
        <v>兵庫県</v>
      </c>
      <c r="I23" s="1501" t="str">
        <f>VLOOKUP(D23,実績!$C$5:'実績'!$AC$1451,5,0)</f>
        <v>神戸市</v>
      </c>
      <c r="J23" s="1502" t="str">
        <f>VLOOKUP(D23,実績!$C$5:'実績'!$AC$1451,9,0)</f>
        <v>工場</v>
      </c>
      <c r="K23" s="1503">
        <f>ROUND(VLOOKUP(D23,実績!$C$5:'実績'!$AC$1451,15,0),-1)</f>
        <v>5450</v>
      </c>
      <c r="L23" s="1504" t="str">
        <f>VLOOKUP(D23,実績!$C$5:'実績'!$BY$1451,40,0)</f>
        <v>-</v>
      </c>
      <c r="M23" s="1502" t="str">
        <f>VLOOKUP(D23,実績!$C$5:'実績'!$BY$1472,38,0)</f>
        <v>-</v>
      </c>
      <c r="N23" s="1502" t="str">
        <f>VLOOKUP(D23,実績!$C$5:'実績'!$BY$1472,37,0)</f>
        <v>-</v>
      </c>
      <c r="O23" s="1503" t="str">
        <f>VLOOKUP(D23,実績!$C$5:'実績'!$BY$1472,41,0)</f>
        <v>独立</v>
      </c>
      <c r="P23" s="1659">
        <v>44028</v>
      </c>
      <c r="Q23" s="1660" t="s">
        <v>17394</v>
      </c>
      <c r="R23" s="1659"/>
      <c r="S23" s="1661"/>
      <c r="T23" s="1662"/>
      <c r="U23" s="1660"/>
      <c r="V23" s="1663"/>
      <c r="W23" s="1505"/>
      <c r="X23" s="1505"/>
      <c r="Y23" s="1506"/>
      <c r="Z23" s="1505"/>
      <c r="AA23" s="1506"/>
      <c r="AB23" s="1507"/>
      <c r="AC23" s="1505"/>
      <c r="AD23" s="1505"/>
      <c r="AE23" s="1506"/>
      <c r="AF23" s="1505"/>
      <c r="AG23" s="1506"/>
      <c r="AH23" s="1505"/>
      <c r="AI23" s="1508"/>
      <c r="AJ23" s="1505"/>
      <c r="AK23" s="1506"/>
      <c r="AL23" s="1505"/>
      <c r="AM23" s="1506"/>
      <c r="AN23" s="1507"/>
      <c r="AO23" s="1505"/>
      <c r="AP23" s="1505"/>
      <c r="AQ23" s="1506"/>
      <c r="AR23" s="1505"/>
      <c r="AS23" s="1506"/>
      <c r="AT23" s="1505"/>
      <c r="AU23" s="1509"/>
      <c r="AV23" s="1505"/>
      <c r="AW23" s="1506"/>
      <c r="AX23" s="1505"/>
      <c r="AY23" s="1506"/>
      <c r="AZ23" s="1507"/>
      <c r="BA23" s="1508"/>
      <c r="BB23" s="1505"/>
      <c r="BC23" s="1506"/>
      <c r="BD23" s="1505"/>
      <c r="BE23" s="1506"/>
      <c r="BF23" s="1507"/>
      <c r="BG23" s="1505"/>
      <c r="BH23" s="1505"/>
      <c r="BI23" s="1506"/>
      <c r="BJ23" s="1505"/>
      <c r="BK23" s="1506"/>
      <c r="BL23" s="1505"/>
      <c r="BM23" s="1508"/>
      <c r="BN23" s="1505"/>
      <c r="BO23" s="1506"/>
      <c r="BP23" s="1505"/>
      <c r="BQ23" s="1506"/>
      <c r="BR23" s="1507"/>
      <c r="BS23" s="1508"/>
      <c r="BT23" s="1505"/>
      <c r="BU23" s="1506"/>
      <c r="BV23" s="1510"/>
      <c r="BW23" s="1506"/>
      <c r="BX23" s="1507"/>
      <c r="BY23" s="1508"/>
      <c r="BZ23" s="1505"/>
      <c r="CA23" s="1506"/>
      <c r="CB23" s="1505"/>
      <c r="CC23" s="1506"/>
      <c r="CD23" s="1507"/>
      <c r="CE23" s="1508"/>
      <c r="CF23" s="1505"/>
      <c r="CG23" s="1506"/>
      <c r="CH23" s="1505"/>
      <c r="CI23" s="1506"/>
      <c r="CJ23" s="1507"/>
      <c r="CK23" s="1508"/>
      <c r="CL23" s="1505"/>
      <c r="CM23" s="1506"/>
      <c r="CN23" s="1505"/>
      <c r="CO23" s="1506"/>
      <c r="CP23" s="1507"/>
      <c r="CQ23" s="1508"/>
      <c r="CR23" s="1505"/>
      <c r="CS23" s="1506"/>
      <c r="CT23" s="1511"/>
      <c r="CU23" s="1506"/>
      <c r="CV23" s="1507"/>
      <c r="CW23" s="1508"/>
      <c r="CX23" s="1505"/>
      <c r="CY23" s="1506"/>
      <c r="CZ23" s="1505"/>
      <c r="DA23" s="1506"/>
      <c r="DB23" s="1507"/>
      <c r="DC23" s="1508"/>
      <c r="DD23" s="1505"/>
      <c r="DE23" s="1506"/>
      <c r="DF23" s="1505"/>
      <c r="DG23" s="1506"/>
      <c r="DH23" s="1507"/>
      <c r="DI23" s="1508"/>
      <c r="DJ23" s="1505"/>
      <c r="DK23" s="1506"/>
      <c r="DL23" s="1505"/>
      <c r="DM23" s="1506"/>
      <c r="DN23" s="1512"/>
      <c r="DO23" s="1508"/>
      <c r="DP23" s="1505"/>
      <c r="DQ23" s="1506"/>
      <c r="DR23" s="1505"/>
      <c r="DS23" s="1506"/>
      <c r="DT23" s="1507"/>
      <c r="DU23" s="1508"/>
      <c r="DV23" s="1505"/>
      <c r="DW23" s="1506"/>
      <c r="DX23" s="1505"/>
      <c r="DY23" s="1506"/>
      <c r="DZ23" s="1512"/>
      <c r="EA23" s="1508"/>
      <c r="EB23" s="1505"/>
      <c r="EC23" s="1506"/>
      <c r="ED23" s="1505"/>
      <c r="EE23" s="1506"/>
      <c r="EF23" s="1512"/>
      <c r="EG23" s="1508"/>
      <c r="EH23" s="1505"/>
      <c r="EI23" s="1506"/>
      <c r="EJ23" s="1505"/>
      <c r="EK23" s="1506"/>
      <c r="EL23" s="1512"/>
      <c r="EM23" s="1508"/>
      <c r="EN23" s="1505"/>
      <c r="EO23" s="1506"/>
      <c r="EP23" s="1505" t="s">
        <v>8626</v>
      </c>
      <c r="EQ23" s="1506"/>
      <c r="ER23" s="1512"/>
      <c r="ES23" s="1508"/>
      <c r="ET23" s="1505"/>
      <c r="EU23" s="1506"/>
      <c r="EV23" s="1505"/>
      <c r="EW23" s="1506"/>
      <c r="EX23" s="1507"/>
      <c r="EY23" s="1508"/>
      <c r="EZ23" s="1505"/>
      <c r="FA23" s="1506"/>
      <c r="FB23" s="1505"/>
      <c r="FC23" s="1506"/>
      <c r="FD23" s="1512"/>
      <c r="FE23" s="1508"/>
      <c r="FF23" s="1505"/>
      <c r="FG23" s="1506"/>
      <c r="FH23" s="1505"/>
      <c r="FI23" s="1506"/>
      <c r="FJ23" s="1512"/>
      <c r="FK23" s="1508"/>
      <c r="FL23" s="1505" t="s">
        <v>17424</v>
      </c>
      <c r="FM23" s="1506"/>
      <c r="FN23" s="1505"/>
      <c r="FO23" s="1506"/>
      <c r="FP23" s="1512"/>
      <c r="FQ23" s="1508"/>
      <c r="FR23" s="1505"/>
      <c r="FS23" s="1506"/>
      <c r="FT23" s="1505"/>
      <c r="FU23" s="1506"/>
      <c r="FV23" s="1512"/>
      <c r="FW23" s="1508"/>
      <c r="FX23" s="1505"/>
      <c r="FY23" s="1506"/>
      <c r="FZ23" s="1505"/>
      <c r="GA23" s="1506"/>
      <c r="GB23" s="1512"/>
      <c r="GC23" s="1508"/>
      <c r="GD23" s="1505"/>
      <c r="GE23" s="1506"/>
      <c r="GF23" s="1505"/>
      <c r="GG23" s="1506"/>
      <c r="GH23" s="1512"/>
    </row>
    <row r="24" spans="1:190" ht="20.100000000000001" customHeight="1">
      <c r="A24" s="2819"/>
      <c r="B24" s="2834"/>
      <c r="C24" s="1496">
        <f>実績!B1410</f>
        <v>200013</v>
      </c>
      <c r="D24" s="1628" t="str">
        <f>VLOOKUP(C24,実績!$B$5:'実績'!$AC$1472,2,0)</f>
        <v>富永商事(株)北海道支店物流センター</v>
      </c>
      <c r="E24" s="1534" t="str">
        <f>SUBSTITUTE(VLOOKUP(D24,実績!$C$5:'実績'!$AC$1451,3,0),"株式会社 ","")</f>
        <v>植松</v>
      </c>
      <c r="F24" s="1503" t="str">
        <f>SUBSTITUTE(VLOOKUP(D24,実績!$C$5:'実績'!$AC$1451,2,0),"株式会社 ","")</f>
        <v>ユイ
ﾏｲｱｲﾝ</v>
      </c>
      <c r="G24" s="1543" t="str">
        <f>SUBSTITUTE(VLOOKUP(D24,実績!$C$5:'実績'!$AC$1451,21,0),"株式会社 ","")</f>
        <v>横河システム建築</v>
      </c>
      <c r="H24" s="1500" t="str">
        <f>VLOOKUP(D24,実績!$C$5:'実績'!$AC$1451,4,0)</f>
        <v>北海道</v>
      </c>
      <c r="I24" s="1501" t="str">
        <f>VLOOKUP(D24,実績!$C$5:'実績'!$AC$1451,5,0)</f>
        <v>苫小牧市</v>
      </c>
      <c r="J24" s="1502" t="str">
        <f>VLOOKUP(D24,実績!$C$5:'実績'!$AC$1451,9,0)</f>
        <v>倉庫</v>
      </c>
      <c r="K24" s="1503">
        <f>ROUND(VLOOKUP(D24,実績!$C$5:'実績'!$AC$1451,15,0),-1)</f>
        <v>1400</v>
      </c>
      <c r="L24" s="1504" t="str">
        <f>VLOOKUP(D24,実績!$C$5:'実績'!$BY$1451,40,0)</f>
        <v>-</v>
      </c>
      <c r="M24" s="1502" t="str">
        <f>VLOOKUP(D24,実績!$C$5:'実績'!$BY$1472,38,0)</f>
        <v>-</v>
      </c>
      <c r="N24" s="1502" t="str">
        <f>VLOOKUP(D24,実績!$C$5:'実績'!$BY$1472,37,0)</f>
        <v>-</v>
      </c>
      <c r="O24" s="1503" t="str">
        <f>VLOOKUP(D24,実績!$C$5:'実績'!$BY$1472,41,0)</f>
        <v>独立</v>
      </c>
      <c r="P24" s="1659">
        <v>44050</v>
      </c>
      <c r="Q24" s="1660" t="s">
        <v>17394</v>
      </c>
      <c r="R24" s="1659"/>
      <c r="S24" s="1661"/>
      <c r="T24" s="1662"/>
      <c r="U24" s="1660"/>
      <c r="V24" s="1663"/>
      <c r="W24" s="1505"/>
      <c r="X24" s="1505"/>
      <c r="Y24" s="1506"/>
      <c r="Z24" s="1505"/>
      <c r="AA24" s="1506"/>
      <c r="AB24" s="1507"/>
      <c r="AC24" s="1505"/>
      <c r="AD24" s="1505"/>
      <c r="AE24" s="1506"/>
      <c r="AF24" s="1505"/>
      <c r="AG24" s="1506"/>
      <c r="AH24" s="1505"/>
      <c r="AI24" s="1508"/>
      <c r="AJ24" s="1505"/>
      <c r="AK24" s="1506"/>
      <c r="AL24" s="1505"/>
      <c r="AM24" s="1506"/>
      <c r="AN24" s="1507"/>
      <c r="AO24" s="1505"/>
      <c r="AP24" s="1505"/>
      <c r="AQ24" s="1506"/>
      <c r="AR24" s="1505"/>
      <c r="AS24" s="1506"/>
      <c r="AT24" s="1505"/>
      <c r="AU24" s="1509"/>
      <c r="AV24" s="1505"/>
      <c r="AW24" s="1506"/>
      <c r="AX24" s="1505"/>
      <c r="AY24" s="1506"/>
      <c r="AZ24" s="1507"/>
      <c r="BA24" s="1508"/>
      <c r="BB24" s="1505"/>
      <c r="BC24" s="1506"/>
      <c r="BD24" s="1505"/>
      <c r="BE24" s="1506"/>
      <c r="BF24" s="1507"/>
      <c r="BG24" s="1505"/>
      <c r="BH24" s="1505"/>
      <c r="BI24" s="1506"/>
      <c r="BJ24" s="1505"/>
      <c r="BK24" s="1506"/>
      <c r="BL24" s="1505"/>
      <c r="BM24" s="1508"/>
      <c r="BN24" s="1505"/>
      <c r="BO24" s="1506"/>
      <c r="BP24" s="1505"/>
      <c r="BQ24" s="1506"/>
      <c r="BR24" s="1507"/>
      <c r="BS24" s="1508"/>
      <c r="BT24" s="1505"/>
      <c r="BU24" s="1506"/>
      <c r="BV24" s="1510"/>
      <c r="BW24" s="1506"/>
      <c r="BX24" s="1507"/>
      <c r="BY24" s="1508"/>
      <c r="BZ24" s="1505"/>
      <c r="CA24" s="1506"/>
      <c r="CB24" s="1505"/>
      <c r="CC24" s="1506"/>
      <c r="CD24" s="1507"/>
      <c r="CE24" s="1508"/>
      <c r="CF24" s="1505"/>
      <c r="CG24" s="1506"/>
      <c r="CH24" s="1505"/>
      <c r="CI24" s="1506"/>
      <c r="CJ24" s="1507"/>
      <c r="CK24" s="1508"/>
      <c r="CL24" s="1505"/>
      <c r="CM24" s="1506"/>
      <c r="CN24" s="1505"/>
      <c r="CO24" s="1506"/>
      <c r="CP24" s="1507"/>
      <c r="CQ24" s="1508"/>
      <c r="CR24" s="1505"/>
      <c r="CS24" s="1506"/>
      <c r="CT24" s="1511"/>
      <c r="CU24" s="1506"/>
      <c r="CV24" s="1507"/>
      <c r="CW24" s="1508"/>
      <c r="CX24" s="1505"/>
      <c r="CY24" s="1506"/>
      <c r="CZ24" s="1505"/>
      <c r="DA24" s="1506"/>
      <c r="DB24" s="1507"/>
      <c r="DC24" s="1508"/>
      <c r="DD24" s="1505"/>
      <c r="DE24" s="1506"/>
      <c r="DF24" s="1505"/>
      <c r="DG24" s="1506"/>
      <c r="DH24" s="1507"/>
      <c r="DI24" s="1508"/>
      <c r="DJ24" s="1505"/>
      <c r="DK24" s="1506"/>
      <c r="DL24" s="1505"/>
      <c r="DM24" s="1506"/>
      <c r="DN24" s="1512"/>
      <c r="DO24" s="1508"/>
      <c r="DP24" s="1505"/>
      <c r="DQ24" s="1506"/>
      <c r="DR24" s="1505"/>
      <c r="DS24" s="1506"/>
      <c r="DT24" s="1507"/>
      <c r="DU24" s="1508"/>
      <c r="DV24" s="1505"/>
      <c r="DW24" s="1506"/>
      <c r="DX24" s="1505"/>
      <c r="DY24" s="1506"/>
      <c r="DZ24" s="1512"/>
      <c r="EA24" s="1508"/>
      <c r="EB24" s="1505"/>
      <c r="EC24" s="1506"/>
      <c r="ED24" s="1505"/>
      <c r="EE24" s="1506"/>
      <c r="EF24" s="1512"/>
      <c r="EG24" s="1508"/>
      <c r="EH24" s="1505"/>
      <c r="EI24" s="1506"/>
      <c r="EJ24" s="1505"/>
      <c r="EK24" s="1506"/>
      <c r="EL24" s="1512"/>
      <c r="EM24" s="1508"/>
      <c r="EN24" s="1505"/>
      <c r="EO24" s="1506"/>
      <c r="EP24" s="1505"/>
      <c r="EQ24" s="1506"/>
      <c r="ER24" s="1512"/>
      <c r="ES24" s="1508"/>
      <c r="ET24" s="1505" t="s">
        <v>9472</v>
      </c>
      <c r="EU24" s="1506"/>
      <c r="EV24" s="1505"/>
      <c r="EW24" s="1506"/>
      <c r="EX24" s="1507"/>
      <c r="EY24" s="1508"/>
      <c r="EZ24" s="1505"/>
      <c r="FA24" s="1506"/>
      <c r="FB24" s="1505"/>
      <c r="FC24" s="1506"/>
      <c r="FD24" s="1512"/>
      <c r="FE24" s="1508"/>
      <c r="FF24" s="1505"/>
      <c r="FG24" s="1506"/>
      <c r="FH24" s="1505"/>
      <c r="FI24" s="1506"/>
      <c r="FJ24" s="1512"/>
      <c r="FK24" s="1508"/>
      <c r="FL24" s="1505" t="s">
        <v>17424</v>
      </c>
      <c r="FM24" s="1506"/>
      <c r="FN24" s="1505"/>
      <c r="FO24" s="1506"/>
      <c r="FP24" s="1512"/>
      <c r="FQ24" s="1508"/>
      <c r="FR24" s="1505"/>
      <c r="FS24" s="1506"/>
      <c r="FT24" s="1505"/>
      <c r="FU24" s="1506"/>
      <c r="FV24" s="1512"/>
      <c r="FW24" s="1508"/>
      <c r="FX24" s="1505"/>
      <c r="FY24" s="1506"/>
      <c r="FZ24" s="1505"/>
      <c r="GA24" s="1506"/>
      <c r="GB24" s="1512"/>
      <c r="GC24" s="1508"/>
      <c r="GD24" s="1505"/>
      <c r="GE24" s="1506"/>
      <c r="GF24" s="1505"/>
      <c r="GG24" s="1506"/>
      <c r="GH24" s="1512"/>
    </row>
    <row r="25" spans="1:190" ht="20.100000000000001" customHeight="1">
      <c r="A25" s="2819"/>
      <c r="B25" s="2834"/>
      <c r="C25" s="1638">
        <f>実績!B1317</f>
        <v>190064</v>
      </c>
      <c r="D25" s="1629" t="str">
        <f>VLOOKUP(C25,実績!$B$5:'実績'!$AC$1472,2,0)</f>
        <v>若柳地区こども園</v>
      </c>
      <c r="E25" s="1544" t="str">
        <f>SUBSTITUTE(VLOOKUP(D25,実績!$C$5:'実績'!$AC$1451,3,0),"株式会社 ","")</f>
        <v>大田</v>
      </c>
      <c r="F25" s="1545" t="str">
        <f>SUBSTITUTE(VLOOKUP(D25,実績!$C$5:'実績'!$AC$1451,2,0),"株式会社 ","")</f>
        <v>ユイ</v>
      </c>
      <c r="G25" s="1546" t="str">
        <f>SUBSTITUTE(VLOOKUP(D25,実績!$C$5:'実績'!$AC$1451,16,0),"株式会社 ","")</f>
        <v>創建設計</v>
      </c>
      <c r="H25" s="1639" t="str">
        <f>VLOOKUP(D25,実績!$C$5:'実績'!$AC$1451,4,0)</f>
        <v>宮城県</v>
      </c>
      <c r="I25" s="1640" t="str">
        <f>VLOOKUP(D25,実績!$C$5:'実績'!$AC$1451,5,0)</f>
        <v>栗原市</v>
      </c>
      <c r="J25" s="1641" t="str">
        <f>VLOOKUP(D25,実績!$C$5:'実績'!$AC$1451,9,0)</f>
        <v>こども園</v>
      </c>
      <c r="K25" s="1545">
        <f>ROUND(VLOOKUP(D25,実績!$C$5:'実績'!$AC$1451,15,0),-1)</f>
        <v>4200</v>
      </c>
      <c r="L25" s="1642" t="str">
        <f>VLOOKUP(D25,実績!$C$5:'実績'!$BY$1451,40,0)</f>
        <v>-</v>
      </c>
      <c r="M25" s="1641" t="str">
        <f>VLOOKUP(D25,実績!$C$5:'実績'!$BY$1472,38,0)</f>
        <v>-</v>
      </c>
      <c r="N25" s="1641" t="str">
        <f>VLOOKUP(D25,実績!$C$5:'実績'!$BY$1472,37,0)</f>
        <v>-</v>
      </c>
      <c r="O25" s="1545" t="str">
        <f>VLOOKUP(D25,実績!$C$5:'実績'!$BY$1472,41,0)</f>
        <v>べた</v>
      </c>
      <c r="P25" s="1675">
        <v>43881</v>
      </c>
      <c r="Q25" s="1676" t="s">
        <v>17397</v>
      </c>
      <c r="R25" s="1677"/>
      <c r="S25" s="1678"/>
      <c r="T25" s="1679"/>
      <c r="U25" s="1676"/>
      <c r="V25" s="1680"/>
      <c r="W25" s="1643"/>
      <c r="X25" s="1643"/>
      <c r="Y25" s="1644"/>
      <c r="Z25" s="1643"/>
      <c r="AA25" s="1644"/>
      <c r="AB25" s="1645"/>
      <c r="AC25" s="1643"/>
      <c r="AD25" s="1643"/>
      <c r="AE25" s="1644"/>
      <c r="AF25" s="1643"/>
      <c r="AG25" s="1644"/>
      <c r="AH25" s="1643"/>
      <c r="AI25" s="1646"/>
      <c r="AJ25" s="1643"/>
      <c r="AK25" s="1644"/>
      <c r="AL25" s="1643"/>
      <c r="AM25" s="1644"/>
      <c r="AN25" s="1645"/>
      <c r="AO25" s="1643"/>
      <c r="AP25" s="1643"/>
      <c r="AQ25" s="1644"/>
      <c r="AR25" s="1643"/>
      <c r="AS25" s="1644"/>
      <c r="AT25" s="1643"/>
      <c r="AU25" s="1647"/>
      <c r="AV25" s="1643"/>
      <c r="AW25" s="1644"/>
      <c r="AX25" s="1643"/>
      <c r="AY25" s="1644"/>
      <c r="AZ25" s="1645"/>
      <c r="BA25" s="1646"/>
      <c r="BB25" s="1643"/>
      <c r="BC25" s="1644"/>
      <c r="BD25" s="1643"/>
      <c r="BE25" s="1644"/>
      <c r="BF25" s="1645"/>
      <c r="BG25" s="1643"/>
      <c r="BH25" s="1643"/>
      <c r="BI25" s="1644"/>
      <c r="BJ25" s="1643"/>
      <c r="BK25" s="1644"/>
      <c r="BL25" s="1643"/>
      <c r="BM25" s="1646"/>
      <c r="BN25" s="1643"/>
      <c r="BO25" s="1644"/>
      <c r="BP25" s="1643"/>
      <c r="BQ25" s="1644"/>
      <c r="BR25" s="1645"/>
      <c r="BS25" s="1646"/>
      <c r="BT25" s="1643"/>
      <c r="BU25" s="1644"/>
      <c r="BV25" s="1648"/>
      <c r="BW25" s="1644"/>
      <c r="BX25" s="1645"/>
      <c r="BY25" s="1646"/>
      <c r="BZ25" s="1643"/>
      <c r="CA25" s="1644"/>
      <c r="CB25" s="1643"/>
      <c r="CC25" s="1644"/>
      <c r="CD25" s="1645"/>
      <c r="CE25" s="1646"/>
      <c r="CF25" s="1643"/>
      <c r="CG25" s="1644"/>
      <c r="CH25" s="1643"/>
      <c r="CI25" s="1644"/>
      <c r="CJ25" s="1645"/>
      <c r="CK25" s="1646"/>
      <c r="CL25" s="1643"/>
      <c r="CM25" s="1644"/>
      <c r="CN25" s="1643"/>
      <c r="CO25" s="1644"/>
      <c r="CP25" s="1645"/>
      <c r="CQ25" s="1646"/>
      <c r="CR25" s="1643"/>
      <c r="CS25" s="1644"/>
      <c r="CT25" s="1649"/>
      <c r="CU25" s="1644"/>
      <c r="CV25" s="1645"/>
      <c r="CW25" s="1646"/>
      <c r="CX25" s="1643"/>
      <c r="CY25" s="1644"/>
      <c r="CZ25" s="1643"/>
      <c r="DA25" s="1644"/>
      <c r="DB25" s="1645"/>
      <c r="DC25" s="1646"/>
      <c r="DD25" s="1643"/>
      <c r="DE25" s="1644"/>
      <c r="DF25" s="1643"/>
      <c r="DG25" s="1644"/>
      <c r="DH25" s="1650"/>
      <c r="DI25" s="1646"/>
      <c r="DJ25" s="1643"/>
      <c r="DK25" s="1644"/>
      <c r="DL25" s="1643"/>
      <c r="DM25" s="1644" t="s">
        <v>8250</v>
      </c>
      <c r="DN25" s="1645"/>
      <c r="DO25" s="1646"/>
      <c r="DP25" s="1643"/>
      <c r="DQ25" s="1644"/>
      <c r="DR25" s="1643"/>
      <c r="DS25" s="1644"/>
      <c r="DT25" s="1645"/>
      <c r="DU25" s="1646"/>
      <c r="DV25" s="1643"/>
      <c r="DW25" s="1644"/>
      <c r="DX25" s="1643"/>
      <c r="DY25" s="1644"/>
      <c r="DZ25" s="1645"/>
      <c r="EA25" s="1646"/>
      <c r="EB25" s="1643"/>
      <c r="EC25" s="1644"/>
      <c r="ED25" s="1643"/>
      <c r="EE25" s="1644"/>
      <c r="EF25" s="1645"/>
      <c r="EG25" s="1646"/>
      <c r="EH25" s="1643"/>
      <c r="EI25" s="1644"/>
      <c r="EJ25" s="1643"/>
      <c r="EK25" s="1644"/>
      <c r="EL25" s="1650"/>
      <c r="EM25" s="1646"/>
      <c r="EN25" s="1643"/>
      <c r="EO25" s="1644"/>
      <c r="EP25" s="1643"/>
      <c r="EQ25" s="1644"/>
      <c r="ER25" s="1650"/>
      <c r="ES25" s="1646"/>
      <c r="ET25" s="1643"/>
      <c r="EU25" s="1644"/>
      <c r="EV25" s="1643"/>
      <c r="EW25" s="1644"/>
      <c r="EX25" s="1650"/>
      <c r="EY25" s="1646"/>
      <c r="EZ25" s="1643"/>
      <c r="FA25" s="1644"/>
      <c r="FB25" s="1643"/>
      <c r="FC25" s="1644"/>
      <c r="FD25" s="1650"/>
      <c r="FE25" s="1646"/>
      <c r="FF25" s="1643"/>
      <c r="FG25" s="1644"/>
      <c r="FH25" s="1643"/>
      <c r="FI25" s="1644"/>
      <c r="FJ25" s="1645"/>
      <c r="FK25" s="1646"/>
      <c r="FL25" s="1643"/>
      <c r="FM25" s="1644"/>
      <c r="FN25" s="1643"/>
      <c r="FO25" s="1644"/>
      <c r="FP25" s="1650"/>
      <c r="FQ25" s="1646" t="s">
        <v>17424</v>
      </c>
      <c r="FR25" s="1643"/>
      <c r="FS25" s="1644"/>
      <c r="FT25" s="1643"/>
      <c r="FU25" s="1644"/>
      <c r="FV25" s="1650"/>
      <c r="FW25" s="1646"/>
      <c r="FX25" s="1643"/>
      <c r="FY25" s="1644"/>
      <c r="FZ25" s="1643"/>
      <c r="GA25" s="1644"/>
      <c r="GB25" s="1650"/>
      <c r="GC25" s="1646"/>
      <c r="GD25" s="1643"/>
      <c r="GE25" s="1644"/>
      <c r="GF25" s="1643"/>
      <c r="GG25" s="1644"/>
      <c r="GH25" s="1650"/>
    </row>
    <row r="26" spans="1:190" ht="20.100000000000001" customHeight="1">
      <c r="A26" s="2819"/>
      <c r="B26" s="2834"/>
      <c r="C26" s="1549">
        <f>実績!B1299</f>
        <v>190047</v>
      </c>
      <c r="D26" s="1630" t="str">
        <f>VLOOKUP(C26,実績!$B$5:'実績'!$AC$1472,2,0)</f>
        <v>カジレーネ新工場</v>
      </c>
      <c r="E26" s="1550" t="str">
        <f>SUBSTITUTE(VLOOKUP(D26,実績!$C$5:'実績'!$AC$1451,3,0),"株式会社 ","")</f>
        <v>大田</v>
      </c>
      <c r="F26" s="1476" t="str">
        <f>SUBSTITUTE(VLOOKUP(D26,実績!$C$5:'実績'!$AC$1451,2,0),"株式会社 ","")</f>
        <v>近藤
ウット</v>
      </c>
      <c r="G26" s="1634" t="str">
        <f>SUBSTITUTE(VLOOKUP(D26,実績!$C$5:'実績'!$AC$1451,16,0),"株式会社 ","")</f>
        <v>マップス建築事務所</v>
      </c>
      <c r="H26" s="1552" t="str">
        <f>VLOOKUP(D26,実績!$C$5:'実績'!$AC$1451,4,0)</f>
        <v>石川県</v>
      </c>
      <c r="I26" s="1553" t="str">
        <f>VLOOKUP(D26,実績!$C$5:'実績'!$AC$1451,5,0)</f>
        <v>かほく市</v>
      </c>
      <c r="J26" s="1554" t="str">
        <f>VLOOKUP(D26,実績!$C$5:'実績'!$AC$1451,9,0)</f>
        <v>工場</v>
      </c>
      <c r="K26" s="1555">
        <f>ROUND(VLOOKUP(D26,実績!$C$5:'実績'!$AC$1451,15,0),-1)</f>
        <v>12400</v>
      </c>
      <c r="L26" s="1556" t="str">
        <f>VLOOKUP(D26,実績!$C$5:'実績'!$BY$1451,40,0)</f>
        <v>-</v>
      </c>
      <c r="M26" s="1554" t="str">
        <f>VLOOKUP(D26,実績!$C$5:'実績'!$BY$1472,38,0)</f>
        <v>-</v>
      </c>
      <c r="N26" s="1554" t="str">
        <f>VLOOKUP(D26,実績!$C$5:'実績'!$BY$1472,37,0)</f>
        <v>-</v>
      </c>
      <c r="O26" s="1555" t="str">
        <f>VLOOKUP(D26,実績!$C$5:'実績'!$BY$1472,41,0)</f>
        <v>独立(TREO)</v>
      </c>
      <c r="P26" s="1681">
        <v>43812</v>
      </c>
      <c r="Q26" s="1682"/>
      <c r="R26" s="1683"/>
      <c r="S26" s="1684"/>
      <c r="T26" s="1685"/>
      <c r="U26" s="1682"/>
      <c r="V26" s="1686"/>
      <c r="W26" s="1557"/>
      <c r="X26" s="1557"/>
      <c r="Y26" s="1558"/>
      <c r="Z26" s="1557"/>
      <c r="AA26" s="1558"/>
      <c r="AB26" s="1559"/>
      <c r="AC26" s="1557"/>
      <c r="AD26" s="1557"/>
      <c r="AE26" s="1558"/>
      <c r="AF26" s="1557"/>
      <c r="AG26" s="1558"/>
      <c r="AH26" s="1557"/>
      <c r="AI26" s="1560"/>
      <c r="AJ26" s="1557"/>
      <c r="AK26" s="1558"/>
      <c r="AL26" s="1557"/>
      <c r="AM26" s="1558"/>
      <c r="AN26" s="1559"/>
      <c r="AO26" s="1557"/>
      <c r="AP26" s="1557"/>
      <c r="AQ26" s="1558"/>
      <c r="AR26" s="1557"/>
      <c r="AS26" s="1558"/>
      <c r="AT26" s="1557"/>
      <c r="AU26" s="1561"/>
      <c r="AV26" s="1557"/>
      <c r="AW26" s="1558"/>
      <c r="AX26" s="1557"/>
      <c r="AY26" s="1558"/>
      <c r="AZ26" s="1559"/>
      <c r="BA26" s="1560"/>
      <c r="BB26" s="1557"/>
      <c r="BC26" s="1558"/>
      <c r="BD26" s="1557"/>
      <c r="BE26" s="1558"/>
      <c r="BF26" s="1559"/>
      <c r="BG26" s="1557"/>
      <c r="BH26" s="1557"/>
      <c r="BI26" s="1558"/>
      <c r="BJ26" s="1557"/>
      <c r="BK26" s="1558"/>
      <c r="BL26" s="1557"/>
      <c r="BM26" s="1560"/>
      <c r="BN26" s="1557"/>
      <c r="BO26" s="1558"/>
      <c r="BP26" s="1557"/>
      <c r="BQ26" s="1558"/>
      <c r="BR26" s="1559"/>
      <c r="BS26" s="1560"/>
      <c r="BT26" s="1557"/>
      <c r="BU26" s="1558"/>
      <c r="BV26" s="1562"/>
      <c r="BW26" s="1558"/>
      <c r="BX26" s="1559"/>
      <c r="BY26" s="1560"/>
      <c r="BZ26" s="1557"/>
      <c r="CA26" s="1558"/>
      <c r="CB26" s="1557"/>
      <c r="CC26" s="1558"/>
      <c r="CD26" s="1559"/>
      <c r="CE26" s="1560"/>
      <c r="CF26" s="1557"/>
      <c r="CG26" s="1558"/>
      <c r="CH26" s="1557"/>
      <c r="CI26" s="1558"/>
      <c r="CJ26" s="1559"/>
      <c r="CK26" s="1560"/>
      <c r="CL26" s="1557"/>
      <c r="CM26" s="1558"/>
      <c r="CN26" s="1557"/>
      <c r="CO26" s="1558"/>
      <c r="CP26" s="1559"/>
      <c r="CQ26" s="1560"/>
      <c r="CR26" s="1557"/>
      <c r="CS26" s="1558"/>
      <c r="CT26" s="1563"/>
      <c r="CU26" s="1558"/>
      <c r="CV26" s="1559"/>
      <c r="CW26" s="1560"/>
      <c r="CX26" s="1557"/>
      <c r="CY26" s="1558"/>
      <c r="CZ26" s="1557"/>
      <c r="DA26" s="1558"/>
      <c r="DB26" s="1559"/>
      <c r="DC26" s="1560"/>
      <c r="DD26" s="1557"/>
      <c r="DE26" s="1558"/>
      <c r="DF26" s="1557"/>
      <c r="DG26" s="1558"/>
      <c r="DH26" s="1559"/>
      <c r="DI26" s="1560"/>
      <c r="DJ26" s="1557"/>
      <c r="DK26" s="1558"/>
      <c r="DL26" s="1557"/>
      <c r="DM26" s="1558"/>
      <c r="DN26" s="1559"/>
      <c r="DO26" s="1560"/>
      <c r="DP26" s="1557"/>
      <c r="DQ26" s="1558"/>
      <c r="DR26" s="1557"/>
      <c r="DS26" s="1558"/>
      <c r="DT26" s="1557"/>
      <c r="DU26" s="1564"/>
      <c r="DV26" s="1557"/>
      <c r="DW26" s="1558"/>
      <c r="DX26" s="1562"/>
      <c r="DY26" s="1557"/>
      <c r="DZ26" s="1559"/>
      <c r="EA26" s="1560"/>
      <c r="EB26" s="1557"/>
      <c r="EC26" s="1558"/>
      <c r="ED26" s="1557"/>
      <c r="EE26" s="1558"/>
      <c r="EF26" s="1559"/>
      <c r="EG26" s="1560"/>
      <c r="EH26" s="1557"/>
      <c r="EI26" s="1558"/>
      <c r="EJ26" s="1557"/>
      <c r="EK26" s="1558"/>
      <c r="EL26" s="1565"/>
      <c r="EM26" s="1560"/>
      <c r="EN26" s="1557"/>
      <c r="EO26" s="1558"/>
      <c r="EP26" s="1557"/>
      <c r="EQ26" s="1558"/>
      <c r="ER26" s="1565"/>
      <c r="ES26" s="1560"/>
      <c r="ET26" s="1557"/>
      <c r="EU26" s="1558"/>
      <c r="EV26" s="1557"/>
      <c r="EW26" s="1558"/>
      <c r="EX26" s="1565"/>
      <c r="EY26" s="1560"/>
      <c r="EZ26" s="1557"/>
      <c r="FA26" s="1558"/>
      <c r="FB26" s="1557"/>
      <c r="FC26" s="1558"/>
      <c r="FD26" s="1565"/>
      <c r="FE26" s="1560"/>
      <c r="FF26" s="1557"/>
      <c r="FG26" s="1558"/>
      <c r="FH26" s="1557"/>
      <c r="FI26" s="1558"/>
      <c r="FJ26" s="1559"/>
      <c r="FK26" s="1560"/>
      <c r="FL26" s="1557"/>
      <c r="FM26" s="1558"/>
      <c r="FN26" s="1557"/>
      <c r="FO26" s="1558"/>
      <c r="FP26" s="1565"/>
      <c r="FQ26" s="1560"/>
      <c r="FR26" s="1557"/>
      <c r="FS26" s="1558"/>
      <c r="FT26" s="1557"/>
      <c r="FU26" s="1558"/>
      <c r="FV26" s="1565"/>
      <c r="FW26" s="1560"/>
      <c r="FX26" s="1557"/>
      <c r="FY26" s="1558"/>
      <c r="FZ26" s="1557"/>
      <c r="GA26" s="1558"/>
      <c r="GB26" s="1565"/>
      <c r="GC26" s="1560"/>
      <c r="GD26" s="1557"/>
      <c r="GE26" s="1558"/>
      <c r="GF26" s="1557"/>
      <c r="GG26" s="1558"/>
      <c r="GH26" s="1565"/>
    </row>
    <row r="27" spans="1:190" ht="20.100000000000001" customHeight="1">
      <c r="A27" s="2819"/>
      <c r="B27" s="2834"/>
      <c r="C27" s="1496">
        <f>実績!B1362</f>
        <v>190109</v>
      </c>
      <c r="D27" s="1628" t="str">
        <f>VLOOKUP(C27,実績!$B$5:'実績'!$AC$1472,2,0)</f>
        <v>ネクステージ春日部</v>
      </c>
      <c r="E27" s="1534" t="str">
        <f>SUBSTITUTE(VLOOKUP(D27,実績!$C$5:'実績'!$AC$1451,3,0),"株式会社 ","")</f>
        <v>大田</v>
      </c>
      <c r="F27" s="1503" t="str">
        <f>SUBSTITUTE(VLOOKUP(D27,実績!$C$5:'実績'!$AC$1451,2,0),"株式会社 ","")</f>
        <v>タオ</v>
      </c>
      <c r="G27" s="1543" t="str">
        <f>SUBSTITUTE(VLOOKUP(D27,実績!$C$5:'実績'!$AC$1451,16,0),"株式会社 ","")</f>
        <v>NAG設計同人</v>
      </c>
      <c r="H27" s="1500" t="str">
        <f>VLOOKUP(D27,実績!$C$5:'実績'!$AC$1451,4,0)</f>
        <v>埼玉県</v>
      </c>
      <c r="I27" s="1501" t="str">
        <f>VLOOKUP(D27,実績!$C$5:'実績'!$AC$1451,5,0)</f>
        <v>春日部市</v>
      </c>
      <c r="J27" s="1502" t="str">
        <f>VLOOKUP(D27,実績!$C$5:'実績'!$AC$1451,9,0)</f>
        <v>工場</v>
      </c>
      <c r="K27" s="1503">
        <f>ROUND(VLOOKUP(D27,実績!$C$5:'実績'!$AC$1451,15,0),-1)</f>
        <v>250</v>
      </c>
      <c r="L27" s="1504" t="str">
        <f>VLOOKUP(D27,実績!$C$5:'実績'!$BY$1451,40,0)</f>
        <v>○</v>
      </c>
      <c r="M27" s="1502" t="str">
        <f>VLOOKUP(D27,実績!$C$5:'実績'!$BY$1472,38,0)</f>
        <v>○
4m</v>
      </c>
      <c r="N27" s="1502" t="str">
        <f>VLOOKUP(D27,実績!$C$5:'実績'!$BY$1472,37,0)</f>
        <v>-</v>
      </c>
      <c r="O27" s="1503" t="str">
        <f>VLOOKUP(D27,実績!$C$5:'実績'!$BY$1472,41,0)</f>
        <v>独立</v>
      </c>
      <c r="P27" s="1659">
        <v>43959</v>
      </c>
      <c r="Q27" s="1668"/>
      <c r="R27" s="1671"/>
      <c r="S27" s="1670"/>
      <c r="T27" s="1669"/>
      <c r="U27" s="1668"/>
      <c r="V27" s="1663"/>
      <c r="W27" s="1505"/>
      <c r="X27" s="1505"/>
      <c r="Y27" s="1506"/>
      <c r="Z27" s="1505"/>
      <c r="AA27" s="1506"/>
      <c r="AB27" s="1507"/>
      <c r="AC27" s="1505"/>
      <c r="AD27" s="1505"/>
      <c r="AE27" s="1506"/>
      <c r="AF27" s="1505"/>
      <c r="AG27" s="1506"/>
      <c r="AH27" s="1505"/>
      <c r="AI27" s="1508"/>
      <c r="AJ27" s="1505"/>
      <c r="AK27" s="1506"/>
      <c r="AL27" s="1505"/>
      <c r="AM27" s="1506"/>
      <c r="AN27" s="1507"/>
      <c r="AO27" s="1505"/>
      <c r="AP27" s="1505"/>
      <c r="AQ27" s="1506"/>
      <c r="AR27" s="1505"/>
      <c r="AS27" s="1506"/>
      <c r="AT27" s="1505"/>
      <c r="AU27" s="1509"/>
      <c r="AV27" s="1505"/>
      <c r="AW27" s="1506"/>
      <c r="AX27" s="1505"/>
      <c r="AY27" s="1506"/>
      <c r="AZ27" s="1507"/>
      <c r="BA27" s="1508"/>
      <c r="BB27" s="1505"/>
      <c r="BC27" s="1506"/>
      <c r="BD27" s="1505"/>
      <c r="BE27" s="1506"/>
      <c r="BF27" s="1507"/>
      <c r="BG27" s="1505"/>
      <c r="BH27" s="1505"/>
      <c r="BI27" s="1506"/>
      <c r="BJ27" s="1505"/>
      <c r="BK27" s="1506"/>
      <c r="BL27" s="1505"/>
      <c r="BM27" s="1508"/>
      <c r="BN27" s="1505"/>
      <c r="BO27" s="1506"/>
      <c r="BP27" s="1505"/>
      <c r="BQ27" s="1506"/>
      <c r="BR27" s="1507"/>
      <c r="BS27" s="1508"/>
      <c r="BT27" s="1505"/>
      <c r="BU27" s="1506"/>
      <c r="BV27" s="1510"/>
      <c r="BW27" s="1506"/>
      <c r="BX27" s="1507"/>
      <c r="BY27" s="1508"/>
      <c r="BZ27" s="1505"/>
      <c r="CA27" s="1506"/>
      <c r="CB27" s="1505"/>
      <c r="CC27" s="1506"/>
      <c r="CD27" s="1507"/>
      <c r="CE27" s="1508"/>
      <c r="CF27" s="1505"/>
      <c r="CG27" s="1506"/>
      <c r="CH27" s="1505"/>
      <c r="CI27" s="1506"/>
      <c r="CJ27" s="1507"/>
      <c r="CK27" s="1508"/>
      <c r="CL27" s="1505"/>
      <c r="CM27" s="1506"/>
      <c r="CN27" s="1505"/>
      <c r="CO27" s="1506"/>
      <c r="CP27" s="1507"/>
      <c r="CQ27" s="1508"/>
      <c r="CR27" s="1505"/>
      <c r="CS27" s="1506"/>
      <c r="CT27" s="1511"/>
      <c r="CU27" s="1506"/>
      <c r="CV27" s="1507"/>
      <c r="CW27" s="1508"/>
      <c r="CX27" s="1505"/>
      <c r="CY27" s="1506"/>
      <c r="CZ27" s="1505"/>
      <c r="DA27" s="1506"/>
      <c r="DB27" s="1507"/>
      <c r="DC27" s="1508"/>
      <c r="DD27" s="1505"/>
      <c r="DE27" s="1506"/>
      <c r="DF27" s="1505"/>
      <c r="DG27" s="1506"/>
      <c r="DH27" s="1507"/>
      <c r="DI27" s="1508"/>
      <c r="DJ27" s="1505"/>
      <c r="DK27" s="1506"/>
      <c r="DL27" s="1505"/>
      <c r="DM27" s="1506"/>
      <c r="DN27" s="1512"/>
      <c r="DO27" s="1508"/>
      <c r="DP27" s="1505"/>
      <c r="DQ27" s="1506"/>
      <c r="DR27" s="1505"/>
      <c r="DS27" s="1506"/>
      <c r="DT27" s="1507"/>
      <c r="DU27" s="1508"/>
      <c r="DV27" s="1505"/>
      <c r="DW27" s="1506"/>
      <c r="DX27" s="1505"/>
      <c r="DY27" s="1506"/>
      <c r="DZ27" s="1512"/>
      <c r="EA27" s="1508"/>
      <c r="EB27" s="1505"/>
      <c r="EC27" s="1506"/>
      <c r="ED27" s="1505" t="s">
        <v>8250</v>
      </c>
      <c r="EE27" s="1506"/>
      <c r="EF27" s="1512"/>
      <c r="EG27" s="1508"/>
      <c r="EH27" s="1505"/>
      <c r="EI27" s="1506"/>
      <c r="EJ27" s="1505"/>
      <c r="EK27" s="1506"/>
      <c r="EL27" s="1512"/>
      <c r="EM27" s="1508"/>
      <c r="EN27" s="1505"/>
      <c r="EO27" s="1506"/>
      <c r="EP27" s="1505"/>
      <c r="EQ27" s="1506"/>
      <c r="ER27" s="1512"/>
      <c r="ES27" s="1508"/>
      <c r="ET27" s="1505"/>
      <c r="EU27" s="1506"/>
      <c r="EV27" s="1505"/>
      <c r="EW27" s="1506"/>
      <c r="EX27" s="1507"/>
      <c r="EY27" s="1508"/>
      <c r="EZ27" s="1505"/>
      <c r="FA27" s="1506"/>
      <c r="FB27" s="1505"/>
      <c r="FC27" s="1506"/>
      <c r="FD27" s="1507"/>
      <c r="FE27" s="1508"/>
      <c r="FF27" s="1505"/>
      <c r="FG27" s="1506"/>
      <c r="FH27" s="1505"/>
      <c r="FI27" s="1506"/>
      <c r="FJ27" s="1507"/>
      <c r="FK27" s="1508"/>
      <c r="FL27" s="1505"/>
      <c r="FM27" s="1506"/>
      <c r="FN27" s="1505"/>
      <c r="FO27" s="1506"/>
      <c r="FP27" s="1512"/>
      <c r="FQ27" s="1508"/>
      <c r="FR27" s="1505"/>
      <c r="FS27" s="1506"/>
      <c r="FT27" s="1505"/>
      <c r="FU27" s="1506"/>
      <c r="FV27" s="1512"/>
      <c r="FW27" s="1508"/>
      <c r="FX27" s="1505"/>
      <c r="FY27" s="1506"/>
      <c r="FZ27" s="1505"/>
      <c r="GA27" s="1506"/>
      <c r="GB27" s="1512"/>
      <c r="GC27" s="1508"/>
      <c r="GD27" s="1505"/>
      <c r="GE27" s="1506"/>
      <c r="GF27" s="1505"/>
      <c r="GG27" s="1506"/>
      <c r="GH27" s="1512"/>
    </row>
    <row r="28" spans="1:190" ht="20.100000000000001" customHeight="1">
      <c r="A28" s="2819"/>
      <c r="B28" s="2834"/>
      <c r="C28" s="1496">
        <f>実績!B1356</f>
        <v>190103</v>
      </c>
      <c r="D28" s="1628" t="str">
        <f>VLOOKUP(C28,実績!$B$5:'実績'!$AC$1472,2,0)</f>
        <v>JA全農岐阜青果物貯蔵施設</v>
      </c>
      <c r="E28" s="1534" t="str">
        <f>SUBSTITUTE(VLOOKUP(D28,実績!$C$5:'実績'!$AC$1451,3,0),"株式会社 ","")</f>
        <v>大田</v>
      </c>
      <c r="F28" s="1503" t="str">
        <f>SUBSTITUTE(VLOOKUP(D28,実績!$C$5:'実績'!$AC$1451,2,0),"株式会社 ","")</f>
        <v>近藤
フィ</v>
      </c>
      <c r="G28" s="1543" t="str">
        <f>SUBSTITUTE(VLOOKUP(D28,実績!$C$5:'実績'!$AC$1451,16,0)," 一級建築士事務所","")</f>
        <v>全農岐阜</v>
      </c>
      <c r="H28" s="1500" t="str">
        <f>VLOOKUP(D28,実績!$C$5:'実績'!$AC$1451,4,0)</f>
        <v>岐阜県</v>
      </c>
      <c r="I28" s="1501" t="str">
        <f>VLOOKUP(D28,実績!$C$5:'実績'!$AC$1451,5,0)</f>
        <v>海津市</v>
      </c>
      <c r="J28" s="1502" t="str">
        <f>VLOOKUP(D28,実績!$C$5:'実績'!$AC$1451,9,0)</f>
        <v>冷蔵倉庫</v>
      </c>
      <c r="K28" s="1503">
        <f>ROUND(VLOOKUP(D28,実績!$C$5:'実績'!$AC$1451,15,0),-1)</f>
        <v>1120</v>
      </c>
      <c r="L28" s="1504" t="str">
        <f>VLOOKUP(D28,実績!$C$5:'実績'!$BY$1451,40,0)</f>
        <v>○</v>
      </c>
      <c r="M28" s="1502" t="str">
        <f>VLOOKUP(D28,実績!$C$5:'実績'!$BY$1472,38,0)</f>
        <v>-</v>
      </c>
      <c r="N28" s="1502" t="str">
        <f>VLOOKUP(D28,実績!$C$5:'実績'!$BY$1472,37,0)</f>
        <v>-</v>
      </c>
      <c r="O28" s="1503" t="str">
        <f>VLOOKUP(D28,実績!$C$5:'実績'!$BY$1472,41,0)</f>
        <v>独立</v>
      </c>
      <c r="P28" s="1659">
        <v>43959</v>
      </c>
      <c r="Q28" s="1668"/>
      <c r="R28" s="1671"/>
      <c r="S28" s="1670"/>
      <c r="T28" s="1669"/>
      <c r="U28" s="1668"/>
      <c r="V28" s="1663"/>
      <c r="W28" s="1505"/>
      <c r="X28" s="1505"/>
      <c r="Y28" s="1506"/>
      <c r="Z28" s="1505"/>
      <c r="AA28" s="1506"/>
      <c r="AB28" s="1507"/>
      <c r="AC28" s="1505"/>
      <c r="AD28" s="1505"/>
      <c r="AE28" s="1506"/>
      <c r="AF28" s="1505"/>
      <c r="AG28" s="1506"/>
      <c r="AH28" s="1505"/>
      <c r="AI28" s="1508"/>
      <c r="AJ28" s="1505"/>
      <c r="AK28" s="1506"/>
      <c r="AL28" s="1505"/>
      <c r="AM28" s="1506"/>
      <c r="AN28" s="1507"/>
      <c r="AO28" s="1505"/>
      <c r="AP28" s="1505"/>
      <c r="AQ28" s="1506"/>
      <c r="AR28" s="1505"/>
      <c r="AS28" s="1506"/>
      <c r="AT28" s="1505"/>
      <c r="AU28" s="1509"/>
      <c r="AV28" s="1505"/>
      <c r="AW28" s="1506"/>
      <c r="AX28" s="1505"/>
      <c r="AY28" s="1506"/>
      <c r="AZ28" s="1507"/>
      <c r="BA28" s="1508"/>
      <c r="BB28" s="1505"/>
      <c r="BC28" s="1506"/>
      <c r="BD28" s="1505"/>
      <c r="BE28" s="1506"/>
      <c r="BF28" s="1507"/>
      <c r="BG28" s="1505"/>
      <c r="BH28" s="1505"/>
      <c r="BI28" s="1506"/>
      <c r="BJ28" s="1505"/>
      <c r="BK28" s="1506"/>
      <c r="BL28" s="1505"/>
      <c r="BM28" s="1508"/>
      <c r="BN28" s="1505"/>
      <c r="BO28" s="1506"/>
      <c r="BP28" s="1505"/>
      <c r="BQ28" s="1506"/>
      <c r="BR28" s="1507"/>
      <c r="BS28" s="1508"/>
      <c r="BT28" s="1505"/>
      <c r="BU28" s="1506"/>
      <c r="BV28" s="1510"/>
      <c r="BW28" s="1506"/>
      <c r="BX28" s="1507"/>
      <c r="BY28" s="1508"/>
      <c r="BZ28" s="1505"/>
      <c r="CA28" s="1506"/>
      <c r="CB28" s="1505"/>
      <c r="CC28" s="1506"/>
      <c r="CD28" s="1507"/>
      <c r="CE28" s="1508"/>
      <c r="CF28" s="1505"/>
      <c r="CG28" s="1506"/>
      <c r="CH28" s="1505"/>
      <c r="CI28" s="1506"/>
      <c r="CJ28" s="1507"/>
      <c r="CK28" s="1508"/>
      <c r="CL28" s="1505"/>
      <c r="CM28" s="1506"/>
      <c r="CN28" s="1505"/>
      <c r="CO28" s="1506"/>
      <c r="CP28" s="1507"/>
      <c r="CQ28" s="1508"/>
      <c r="CR28" s="1505"/>
      <c r="CS28" s="1506"/>
      <c r="CT28" s="1511"/>
      <c r="CU28" s="1506"/>
      <c r="CV28" s="1507"/>
      <c r="CW28" s="1508"/>
      <c r="CX28" s="1505"/>
      <c r="CY28" s="1506"/>
      <c r="CZ28" s="1505"/>
      <c r="DA28" s="1506"/>
      <c r="DB28" s="1507"/>
      <c r="DC28" s="1508"/>
      <c r="DD28" s="1505"/>
      <c r="DE28" s="1506"/>
      <c r="DF28" s="1505"/>
      <c r="DG28" s="1506"/>
      <c r="DH28" s="1507"/>
      <c r="DI28" s="1508"/>
      <c r="DJ28" s="1505"/>
      <c r="DK28" s="1506"/>
      <c r="DL28" s="1505"/>
      <c r="DM28" s="1506"/>
      <c r="DN28" s="1507"/>
      <c r="DO28" s="1508"/>
      <c r="DP28" s="1505"/>
      <c r="DQ28" s="1506"/>
      <c r="DR28" s="1505"/>
      <c r="DS28" s="1506"/>
      <c r="DT28" s="1507"/>
      <c r="DU28" s="1508"/>
      <c r="DV28" s="1505"/>
      <c r="DW28" s="1506"/>
      <c r="DX28" s="1505"/>
      <c r="DY28" s="1506"/>
      <c r="DZ28" s="1507"/>
      <c r="EA28" s="1508"/>
      <c r="EB28" s="1505"/>
      <c r="EC28" s="1506"/>
      <c r="ED28" s="1505"/>
      <c r="EE28" s="1506"/>
      <c r="EF28" s="1507"/>
      <c r="EG28" s="1508"/>
      <c r="EH28" s="1505"/>
      <c r="EI28" s="1506"/>
      <c r="EJ28" s="1505"/>
      <c r="EK28" s="1506"/>
      <c r="EL28" s="1507"/>
      <c r="EM28" s="1508"/>
      <c r="EN28" s="1505"/>
      <c r="EO28" s="1506"/>
      <c r="EP28" s="1505"/>
      <c r="EQ28" s="1506"/>
      <c r="ER28" s="1507"/>
      <c r="ES28" s="1508"/>
      <c r="ET28" s="1505"/>
      <c r="EU28" s="1506"/>
      <c r="EV28" s="1505"/>
      <c r="EW28" s="1506"/>
      <c r="EX28" s="1507"/>
      <c r="EY28" s="1508"/>
      <c r="EZ28" s="1505"/>
      <c r="FA28" s="1506"/>
      <c r="FB28" s="1505"/>
      <c r="FC28" s="1506"/>
      <c r="FD28" s="1507"/>
      <c r="FE28" s="1508"/>
      <c r="FF28" s="1505"/>
      <c r="FG28" s="1506"/>
      <c r="FH28" s="1505"/>
      <c r="FI28" s="1506"/>
      <c r="FJ28" s="1507"/>
      <c r="FK28" s="1508"/>
      <c r="FL28" s="1505"/>
      <c r="FM28" s="1506"/>
      <c r="FN28" s="1505"/>
      <c r="FO28" s="1506"/>
      <c r="FP28" s="1507"/>
      <c r="FQ28" s="1508"/>
      <c r="FR28" s="1505"/>
      <c r="FS28" s="1506"/>
      <c r="FT28" s="1505"/>
      <c r="FU28" s="1506"/>
      <c r="FV28" s="1507"/>
      <c r="FW28" s="1508"/>
      <c r="FX28" s="1505"/>
      <c r="FY28" s="1506"/>
      <c r="FZ28" s="1505"/>
      <c r="GA28" s="1506"/>
      <c r="GB28" s="1512"/>
      <c r="GC28" s="1508"/>
      <c r="GD28" s="1505"/>
      <c r="GE28" s="1506"/>
      <c r="GF28" s="1505"/>
      <c r="GG28" s="1506"/>
      <c r="GH28" s="1512"/>
    </row>
    <row r="29" spans="1:190" ht="20.100000000000001" customHeight="1">
      <c r="A29" s="2819"/>
      <c r="B29" s="2834"/>
      <c r="C29" s="1496">
        <f>実績!B1380</f>
        <v>190126</v>
      </c>
      <c r="D29" s="1628" t="str">
        <f>VLOOKUP(C29,実績!$B$5:'実績'!$AC$1472,2,0)</f>
        <v>医療法人 光愛会 渡辺眼科クリニック</v>
      </c>
      <c r="E29" s="1534" t="str">
        <f>SUBSTITUTE(VLOOKUP(D29,実績!$C$5:'実績'!$AC$1451,3,0),"株式会社 ","")</f>
        <v>植松</v>
      </c>
      <c r="F29" s="1503" t="str">
        <f>SUBSTITUTE(VLOOKUP(D29,実績!$C$5:'実績'!$AC$1451,2,0),"株式会社 ","")</f>
        <v>村上
ﾏｲｱｲﾝ</v>
      </c>
      <c r="G29" s="1543" t="str">
        <f>SUBSTITUTE(VLOOKUP(D29,実績!$C$5:'実績'!$AC$1451,16,0)," 株式会社","")</f>
        <v>松山建築設計室</v>
      </c>
      <c r="H29" s="1500" t="str">
        <f>VLOOKUP(D29,実績!$C$5:'実績'!$AC$1451,4,0)</f>
        <v>鹿児島県</v>
      </c>
      <c r="I29" s="1501" t="str">
        <f>VLOOKUP(D29,実績!$C$5:'実績'!$AC$1451,5,0)</f>
        <v>霧島市</v>
      </c>
      <c r="J29" s="1502" t="str">
        <f>VLOOKUP(D29,実績!$C$5:'実績'!$AC$1451,9,0)</f>
        <v>眼科</v>
      </c>
      <c r="K29" s="1503">
        <f>ROUND(VLOOKUP(D29,実績!$C$5:'実績'!$AC$1451,15,0),-1)</f>
        <v>350</v>
      </c>
      <c r="L29" s="1504" t="str">
        <f>VLOOKUP(D29,実績!$C$5:'実績'!$BY$1451,40,0)</f>
        <v>○</v>
      </c>
      <c r="M29" s="1502" t="str">
        <f>VLOOKUP(D29,実績!$C$5:'実績'!$BY$1472,38,0)</f>
        <v>-</v>
      </c>
      <c r="N29" s="1502" t="str">
        <f>VLOOKUP(D29,実績!$C$5:'実績'!$BY$1472,37,0)</f>
        <v>-</v>
      </c>
      <c r="O29" s="1503" t="str">
        <f>VLOOKUP(D29,実績!$C$5:'実績'!$BY$1472,41,0)</f>
        <v>独立</v>
      </c>
      <c r="P29" s="1659">
        <v>44014</v>
      </c>
      <c r="Q29" s="1660"/>
      <c r="R29" s="1659"/>
      <c r="S29" s="1661"/>
      <c r="T29" s="1662"/>
      <c r="U29" s="1660"/>
      <c r="V29" s="1663"/>
      <c r="W29" s="1505"/>
      <c r="X29" s="1505"/>
      <c r="Y29" s="1506"/>
      <c r="Z29" s="1505"/>
      <c r="AA29" s="1506"/>
      <c r="AB29" s="1507"/>
      <c r="AC29" s="1505"/>
      <c r="AD29" s="1505"/>
      <c r="AE29" s="1506"/>
      <c r="AF29" s="1505"/>
      <c r="AG29" s="1506"/>
      <c r="AH29" s="1505"/>
      <c r="AI29" s="1508"/>
      <c r="AJ29" s="1505"/>
      <c r="AK29" s="1506"/>
      <c r="AL29" s="1505"/>
      <c r="AM29" s="1506"/>
      <c r="AN29" s="1507"/>
      <c r="AO29" s="1505"/>
      <c r="AP29" s="1505"/>
      <c r="AQ29" s="1506"/>
      <c r="AR29" s="1505"/>
      <c r="AS29" s="1506"/>
      <c r="AT29" s="1505"/>
      <c r="AU29" s="1509"/>
      <c r="AV29" s="1505"/>
      <c r="AW29" s="1506"/>
      <c r="AX29" s="1505"/>
      <c r="AY29" s="1506"/>
      <c r="AZ29" s="1507"/>
      <c r="BA29" s="1508"/>
      <c r="BB29" s="1505"/>
      <c r="BC29" s="1506"/>
      <c r="BD29" s="1505"/>
      <c r="BE29" s="1506"/>
      <c r="BF29" s="1507"/>
      <c r="BG29" s="1505"/>
      <c r="BH29" s="1505"/>
      <c r="BI29" s="1506"/>
      <c r="BJ29" s="1505"/>
      <c r="BK29" s="1506"/>
      <c r="BL29" s="1505"/>
      <c r="BM29" s="1508"/>
      <c r="BN29" s="1505"/>
      <c r="BO29" s="1506"/>
      <c r="BP29" s="1505"/>
      <c r="BQ29" s="1506"/>
      <c r="BR29" s="1507"/>
      <c r="BS29" s="1508"/>
      <c r="BT29" s="1505"/>
      <c r="BU29" s="1506"/>
      <c r="BV29" s="1510"/>
      <c r="BW29" s="1506"/>
      <c r="BX29" s="1507"/>
      <c r="BY29" s="1508"/>
      <c r="BZ29" s="1505"/>
      <c r="CA29" s="1506"/>
      <c r="CB29" s="1505"/>
      <c r="CC29" s="1506"/>
      <c r="CD29" s="1507"/>
      <c r="CE29" s="1508"/>
      <c r="CF29" s="1505"/>
      <c r="CG29" s="1506"/>
      <c r="CH29" s="1505"/>
      <c r="CI29" s="1506"/>
      <c r="CJ29" s="1507"/>
      <c r="CK29" s="1508"/>
      <c r="CL29" s="1505"/>
      <c r="CM29" s="1506"/>
      <c r="CN29" s="1505"/>
      <c r="CO29" s="1506"/>
      <c r="CP29" s="1507"/>
      <c r="CQ29" s="1508"/>
      <c r="CR29" s="1505"/>
      <c r="CS29" s="1506"/>
      <c r="CT29" s="1511"/>
      <c r="CU29" s="1506"/>
      <c r="CV29" s="1507"/>
      <c r="CW29" s="1508"/>
      <c r="CX29" s="1505"/>
      <c r="CY29" s="1506"/>
      <c r="CZ29" s="1505"/>
      <c r="DA29" s="1506"/>
      <c r="DB29" s="1507"/>
      <c r="DC29" s="1508"/>
      <c r="DD29" s="1505"/>
      <c r="DE29" s="1506"/>
      <c r="DF29" s="1505"/>
      <c r="DG29" s="1506"/>
      <c r="DH29" s="1507"/>
      <c r="DI29" s="1508"/>
      <c r="DJ29" s="1505"/>
      <c r="DK29" s="1506"/>
      <c r="DL29" s="1505"/>
      <c r="DM29" s="1506"/>
      <c r="DN29" s="1512"/>
      <c r="DO29" s="1508"/>
      <c r="DP29" s="1505"/>
      <c r="DQ29" s="1506"/>
      <c r="DR29" s="1505"/>
      <c r="DS29" s="1506"/>
      <c r="DT29" s="1507"/>
      <c r="DU29" s="1508"/>
      <c r="DV29" s="1505"/>
      <c r="DW29" s="1506"/>
      <c r="DX29" s="1505"/>
      <c r="DY29" s="1506"/>
      <c r="DZ29" s="1512"/>
      <c r="EA29" s="1508"/>
      <c r="EB29" s="1505"/>
      <c r="EC29" s="1506"/>
      <c r="ED29" s="1505"/>
      <c r="EE29" s="1506"/>
      <c r="EF29" s="1512"/>
      <c r="EG29" s="1508"/>
      <c r="EH29" s="1510"/>
      <c r="EI29" s="1506"/>
      <c r="EJ29" s="1505"/>
      <c r="EK29" s="1506"/>
      <c r="EL29" s="1512"/>
      <c r="EM29" s="1508"/>
      <c r="EN29" s="1505"/>
      <c r="EO29" s="1506"/>
      <c r="EP29" s="1505"/>
      <c r="EQ29" s="1506"/>
      <c r="ER29" s="1512"/>
      <c r="ES29" s="1508"/>
      <c r="ET29" s="1505"/>
      <c r="EU29" s="1506"/>
      <c r="EV29" s="1505"/>
      <c r="EW29" s="1506"/>
      <c r="EX29" s="1507"/>
      <c r="EY29" s="1508"/>
      <c r="EZ29" s="1505"/>
      <c r="FA29" s="1506"/>
      <c r="FB29" s="1505"/>
      <c r="FC29" s="1506"/>
      <c r="FD29" s="1507"/>
      <c r="FE29" s="1508"/>
      <c r="FF29" s="1505"/>
      <c r="FG29" s="1506"/>
      <c r="FH29" s="1505"/>
      <c r="FI29" s="1506"/>
      <c r="FJ29" s="1512"/>
      <c r="FK29" s="1508"/>
      <c r="FL29" s="1505"/>
      <c r="FM29" s="1506"/>
      <c r="FN29" s="1505"/>
      <c r="FO29" s="1506"/>
      <c r="FP29" s="1512"/>
      <c r="FQ29" s="1508"/>
      <c r="FR29" s="1505"/>
      <c r="FS29" s="1506"/>
      <c r="FT29" s="1505"/>
      <c r="FU29" s="1506"/>
      <c r="FV29" s="1512"/>
      <c r="FW29" s="1508"/>
      <c r="FX29" s="1505"/>
      <c r="FY29" s="1506"/>
      <c r="FZ29" s="1505"/>
      <c r="GA29" s="1506"/>
      <c r="GB29" s="1512"/>
      <c r="GC29" s="1508"/>
      <c r="GD29" s="1505"/>
      <c r="GE29" s="1506"/>
      <c r="GF29" s="1505"/>
      <c r="GG29" s="1506"/>
      <c r="GH29" s="1512"/>
    </row>
    <row r="30" spans="1:190" ht="20.100000000000001" customHeight="1">
      <c r="A30" s="2819"/>
      <c r="B30" s="2834"/>
      <c r="C30" s="1496">
        <f>実績!B1403</f>
        <v>200006</v>
      </c>
      <c r="D30" s="1628" t="str">
        <f>VLOOKUP(C30,実績!$B$5:'実績'!$AC$1472,2,0)</f>
        <v>ツルハドラッグ本町4丁目</v>
      </c>
      <c r="E30" s="1534" t="str">
        <f>SUBSTITUTE(VLOOKUP(D30,実績!$C$5:'実績'!$AC$1451,3,0),"株式会社 ","")</f>
        <v>大田</v>
      </c>
      <c r="F30" s="1503" t="str">
        <f>SUBSTITUTE(VLOOKUP(D30,実績!$C$5:'実績'!$AC$1451,2,0),"株式会社 ","")</f>
        <v>ユイ
ﾏｲｱｲﾝ</v>
      </c>
      <c r="G30" s="1543" t="str">
        <f>SUBSTITUTE(VLOOKUP(D30,実績!$C$5:'実績'!$AC$1451,21,0),"株式会社 ","")</f>
        <v>アスコ建築構造室</v>
      </c>
      <c r="H30" s="1500" t="str">
        <f>VLOOKUP(D30,実績!$C$5:'実績'!$AC$1451,4,0)</f>
        <v>青森県</v>
      </c>
      <c r="I30" s="1501" t="str">
        <f>VLOOKUP(D30,実績!$C$5:'実績'!$AC$1451,5,0)</f>
        <v>青森市</v>
      </c>
      <c r="J30" s="1502" t="str">
        <f>VLOOKUP(D30,実績!$C$5:'実績'!$AC$1451,9,0)</f>
        <v>店舗</v>
      </c>
      <c r="K30" s="1503">
        <f>ROUND(VLOOKUP(D30,実績!$C$5:'実績'!$AC$1451,15,0),-1)</f>
        <v>1130</v>
      </c>
      <c r="L30" s="1504" t="str">
        <f>VLOOKUP(D30,実績!$C$5:'実績'!$BY$1451,40,0)</f>
        <v>-</v>
      </c>
      <c r="M30" s="1502" t="str">
        <f>VLOOKUP(D30,実績!$C$5:'実績'!$BY$1472,38,0)</f>
        <v>-</v>
      </c>
      <c r="N30" s="1502" t="str">
        <f>VLOOKUP(D30,実績!$C$5:'実績'!$BY$1472,37,0)</f>
        <v>-</v>
      </c>
      <c r="O30" s="1503" t="str">
        <f>VLOOKUP(D30,実績!$C$5:'実績'!$BY$1472,41,0)</f>
        <v>独立</v>
      </c>
      <c r="P30" s="1659">
        <v>44040</v>
      </c>
      <c r="Q30" s="1660"/>
      <c r="R30" s="1659"/>
      <c r="S30" s="1661"/>
      <c r="T30" s="1662"/>
      <c r="U30" s="1660"/>
      <c r="V30" s="1663"/>
      <c r="W30" s="1505"/>
      <c r="X30" s="1505"/>
      <c r="Y30" s="1506"/>
      <c r="Z30" s="1505"/>
      <c r="AA30" s="1506"/>
      <c r="AB30" s="1507"/>
      <c r="AC30" s="1505"/>
      <c r="AD30" s="1505"/>
      <c r="AE30" s="1506"/>
      <c r="AF30" s="1505"/>
      <c r="AG30" s="1506"/>
      <c r="AH30" s="1505"/>
      <c r="AI30" s="1508"/>
      <c r="AJ30" s="1505"/>
      <c r="AK30" s="1506"/>
      <c r="AL30" s="1505"/>
      <c r="AM30" s="1506"/>
      <c r="AN30" s="1507"/>
      <c r="AO30" s="1505"/>
      <c r="AP30" s="1505"/>
      <c r="AQ30" s="1506"/>
      <c r="AR30" s="1505"/>
      <c r="AS30" s="1506"/>
      <c r="AT30" s="1505"/>
      <c r="AU30" s="1509"/>
      <c r="AV30" s="1505"/>
      <c r="AW30" s="1506"/>
      <c r="AX30" s="1505"/>
      <c r="AY30" s="1506"/>
      <c r="AZ30" s="1507"/>
      <c r="BA30" s="1508"/>
      <c r="BB30" s="1505"/>
      <c r="BC30" s="1506"/>
      <c r="BD30" s="1505"/>
      <c r="BE30" s="1506"/>
      <c r="BF30" s="1507"/>
      <c r="BG30" s="1505"/>
      <c r="BH30" s="1505"/>
      <c r="BI30" s="1506"/>
      <c r="BJ30" s="1505"/>
      <c r="BK30" s="1506"/>
      <c r="BL30" s="1505"/>
      <c r="BM30" s="1508"/>
      <c r="BN30" s="1505"/>
      <c r="BO30" s="1506"/>
      <c r="BP30" s="1505"/>
      <c r="BQ30" s="1506"/>
      <c r="BR30" s="1507"/>
      <c r="BS30" s="1508"/>
      <c r="BT30" s="1505"/>
      <c r="BU30" s="1506"/>
      <c r="BV30" s="1510"/>
      <c r="BW30" s="1506"/>
      <c r="BX30" s="1507"/>
      <c r="BY30" s="1508"/>
      <c r="BZ30" s="1505"/>
      <c r="CA30" s="1506"/>
      <c r="CB30" s="1505"/>
      <c r="CC30" s="1506"/>
      <c r="CD30" s="1507"/>
      <c r="CE30" s="1508"/>
      <c r="CF30" s="1505"/>
      <c r="CG30" s="1506"/>
      <c r="CH30" s="1505"/>
      <c r="CI30" s="1506"/>
      <c r="CJ30" s="1507"/>
      <c r="CK30" s="1508"/>
      <c r="CL30" s="1505"/>
      <c r="CM30" s="1506"/>
      <c r="CN30" s="1505"/>
      <c r="CO30" s="1506"/>
      <c r="CP30" s="1507"/>
      <c r="CQ30" s="1508"/>
      <c r="CR30" s="1505"/>
      <c r="CS30" s="1506"/>
      <c r="CT30" s="1511"/>
      <c r="CU30" s="1506"/>
      <c r="CV30" s="1507"/>
      <c r="CW30" s="1508"/>
      <c r="CX30" s="1505"/>
      <c r="CY30" s="1506"/>
      <c r="CZ30" s="1505"/>
      <c r="DA30" s="1506"/>
      <c r="DB30" s="1507"/>
      <c r="DC30" s="1508"/>
      <c r="DD30" s="1505"/>
      <c r="DE30" s="1506"/>
      <c r="DF30" s="1505"/>
      <c r="DG30" s="1506"/>
      <c r="DH30" s="1507"/>
      <c r="DI30" s="1508"/>
      <c r="DJ30" s="1505"/>
      <c r="DK30" s="1506"/>
      <c r="DL30" s="1505"/>
      <c r="DM30" s="1506"/>
      <c r="DN30" s="1507"/>
      <c r="DO30" s="1508"/>
      <c r="DP30" s="1505"/>
      <c r="DQ30" s="1506"/>
      <c r="DR30" s="1505"/>
      <c r="DS30" s="1506"/>
      <c r="DT30" s="1507"/>
      <c r="DU30" s="1508"/>
      <c r="DV30" s="1505"/>
      <c r="DW30" s="1506"/>
      <c r="DX30" s="1505"/>
      <c r="DY30" s="1506"/>
      <c r="DZ30" s="1507"/>
      <c r="EA30" s="1508"/>
      <c r="EB30" s="1505"/>
      <c r="EC30" s="1506"/>
      <c r="ED30" s="1505"/>
      <c r="EE30" s="1506"/>
      <c r="EF30" s="1507"/>
      <c r="EG30" s="1508"/>
      <c r="EH30" s="1510"/>
      <c r="EI30" s="1506"/>
      <c r="EJ30" s="1505"/>
      <c r="EK30" s="1506"/>
      <c r="EL30" s="1507"/>
      <c r="EM30" s="1508"/>
      <c r="EN30" s="1505"/>
      <c r="EO30" s="1506"/>
      <c r="EP30" s="1505"/>
      <c r="EQ30" s="1506"/>
      <c r="ER30" s="1512"/>
      <c r="ES30" s="1508" t="s">
        <v>8250</v>
      </c>
      <c r="ET30" s="1505"/>
      <c r="EU30" s="1506"/>
      <c r="EV30" s="1505"/>
      <c r="EW30" s="1506"/>
      <c r="EX30" s="1507"/>
      <c r="EY30" s="1508"/>
      <c r="EZ30" s="1505"/>
      <c r="FA30" s="1506"/>
      <c r="FB30" s="1505"/>
      <c r="FC30" s="1506"/>
      <c r="FD30" s="1507"/>
      <c r="FE30" s="1508"/>
      <c r="FF30" s="1505"/>
      <c r="FG30" s="1506"/>
      <c r="FH30" s="1505"/>
      <c r="FI30" s="1506"/>
      <c r="FJ30" s="1507"/>
      <c r="FK30" s="1508"/>
      <c r="FL30" s="1505"/>
      <c r="FM30" s="1506"/>
      <c r="FN30" s="1505"/>
      <c r="FO30" s="1506"/>
      <c r="FP30" s="1507"/>
      <c r="FQ30" s="1508"/>
      <c r="FR30" s="1505"/>
      <c r="FS30" s="1506"/>
      <c r="FT30" s="1505"/>
      <c r="FU30" s="1506"/>
      <c r="FV30" s="1512"/>
      <c r="FW30" s="1508"/>
      <c r="FX30" s="1505"/>
      <c r="FY30" s="1506"/>
      <c r="FZ30" s="1505"/>
      <c r="GA30" s="1506"/>
      <c r="GB30" s="1512"/>
      <c r="GC30" s="1508"/>
      <c r="GD30" s="1505"/>
      <c r="GE30" s="1506"/>
      <c r="GF30" s="1505"/>
      <c r="GG30" s="1506"/>
      <c r="GH30" s="1512"/>
    </row>
    <row r="31" spans="1:190" ht="20.100000000000001" customHeight="1">
      <c r="A31" s="2819"/>
      <c r="B31" s="2834"/>
      <c r="C31" s="1496">
        <f>実績!B1383</f>
        <v>190129</v>
      </c>
      <c r="D31" s="1628" t="str">
        <f>VLOOKUP(C31,実績!$B$5:'実績'!$AC$1472,2,0)</f>
        <v>関西マツダ千里</v>
      </c>
      <c r="E31" s="1534" t="str">
        <f>SUBSTITUTE(VLOOKUP(D31,実績!$C$5:'実績'!$AC$1451,3,0),"株式会社 ","")</f>
        <v>沖本</v>
      </c>
      <c r="F31" s="1503" t="str">
        <f>SUBSTITUTE(VLOOKUP(D31,実績!$C$5:'実績'!$AC$1451,2,0),"株式会社 ","")</f>
        <v>ユイ
ウット</v>
      </c>
      <c r="G31" s="1543" t="str">
        <f>SUBSTITUTE(VLOOKUP(D31,実績!$C$5:'実績'!$AC$1451,16,0)," 株式会社","")</f>
        <v>基建築設計事務所</v>
      </c>
      <c r="H31" s="1500" t="str">
        <f>VLOOKUP(D31,実績!$C$5:'実績'!$AC$1451,4,0)</f>
        <v>大阪府</v>
      </c>
      <c r="I31" s="1501" t="str">
        <f>VLOOKUP(D31,実績!$C$5:'実績'!$AC$1451,5,0)</f>
        <v>吹田市</v>
      </c>
      <c r="J31" s="1502" t="str">
        <f>VLOOKUP(D31,実績!$C$5:'実績'!$AC$1451,9,0)</f>
        <v>店舗・工場</v>
      </c>
      <c r="K31" s="1503">
        <f>ROUND(VLOOKUP(D31,実績!$C$5:'実績'!$AC$1451,15,0),-1)</f>
        <v>2650</v>
      </c>
      <c r="L31" s="1504" t="str">
        <f>VLOOKUP(D31,実績!$C$5:'実績'!$BY$1451,40,0)</f>
        <v>-</v>
      </c>
      <c r="M31" s="1502" t="str">
        <f>VLOOKUP(D31,実績!$C$5:'実績'!$BY$1472,38,0)</f>
        <v>-</v>
      </c>
      <c r="N31" s="1502" t="str">
        <f>VLOOKUP(D31,実績!$C$5:'実績'!$BY$1472,37,0)</f>
        <v>-</v>
      </c>
      <c r="O31" s="1503" t="str">
        <f>VLOOKUP(D31,実績!$C$5:'実績'!$BY$1472,41,0)</f>
        <v>独立</v>
      </c>
      <c r="P31" s="1659">
        <v>44043</v>
      </c>
      <c r="Q31" s="1660"/>
      <c r="R31" s="1659"/>
      <c r="S31" s="1661"/>
      <c r="T31" s="1662"/>
      <c r="U31" s="1660"/>
      <c r="V31" s="1663"/>
      <c r="W31" s="1505"/>
      <c r="X31" s="1505"/>
      <c r="Y31" s="1506"/>
      <c r="Z31" s="1505"/>
      <c r="AA31" s="1506"/>
      <c r="AB31" s="1507"/>
      <c r="AC31" s="1505"/>
      <c r="AD31" s="1505"/>
      <c r="AE31" s="1506"/>
      <c r="AF31" s="1505"/>
      <c r="AG31" s="1506"/>
      <c r="AH31" s="1505"/>
      <c r="AI31" s="1508"/>
      <c r="AJ31" s="1505"/>
      <c r="AK31" s="1506"/>
      <c r="AL31" s="1505"/>
      <c r="AM31" s="1506"/>
      <c r="AN31" s="1507"/>
      <c r="AO31" s="1505"/>
      <c r="AP31" s="1505"/>
      <c r="AQ31" s="1506"/>
      <c r="AR31" s="1505"/>
      <c r="AS31" s="1506"/>
      <c r="AT31" s="1505"/>
      <c r="AU31" s="1509"/>
      <c r="AV31" s="1505"/>
      <c r="AW31" s="1506"/>
      <c r="AX31" s="1505"/>
      <c r="AY31" s="1506"/>
      <c r="AZ31" s="1507"/>
      <c r="BA31" s="1508"/>
      <c r="BB31" s="1505"/>
      <c r="BC31" s="1506"/>
      <c r="BD31" s="1505"/>
      <c r="BE31" s="1506"/>
      <c r="BF31" s="1507"/>
      <c r="BG31" s="1505"/>
      <c r="BH31" s="1505"/>
      <c r="BI31" s="1506"/>
      <c r="BJ31" s="1505"/>
      <c r="BK31" s="1506"/>
      <c r="BL31" s="1505"/>
      <c r="BM31" s="1508"/>
      <c r="BN31" s="1505"/>
      <c r="BO31" s="1506"/>
      <c r="BP31" s="1505"/>
      <c r="BQ31" s="1506"/>
      <c r="BR31" s="1507"/>
      <c r="BS31" s="1508"/>
      <c r="BT31" s="1505"/>
      <c r="BU31" s="1506"/>
      <c r="BV31" s="1510"/>
      <c r="BW31" s="1506"/>
      <c r="BX31" s="1507"/>
      <c r="BY31" s="1508"/>
      <c r="BZ31" s="1505"/>
      <c r="CA31" s="1506"/>
      <c r="CB31" s="1505"/>
      <c r="CC31" s="1506"/>
      <c r="CD31" s="1507"/>
      <c r="CE31" s="1508"/>
      <c r="CF31" s="1505"/>
      <c r="CG31" s="1506"/>
      <c r="CH31" s="1505"/>
      <c r="CI31" s="1506"/>
      <c r="CJ31" s="1507"/>
      <c r="CK31" s="1508"/>
      <c r="CL31" s="1505"/>
      <c r="CM31" s="1506"/>
      <c r="CN31" s="1505"/>
      <c r="CO31" s="1506"/>
      <c r="CP31" s="1507"/>
      <c r="CQ31" s="1508"/>
      <c r="CR31" s="1505"/>
      <c r="CS31" s="1506"/>
      <c r="CT31" s="1511"/>
      <c r="CU31" s="1506"/>
      <c r="CV31" s="1507"/>
      <c r="CW31" s="1508"/>
      <c r="CX31" s="1505"/>
      <c r="CY31" s="1506"/>
      <c r="CZ31" s="1505"/>
      <c r="DA31" s="1506"/>
      <c r="DB31" s="1507"/>
      <c r="DC31" s="1508"/>
      <c r="DD31" s="1505"/>
      <c r="DE31" s="1506"/>
      <c r="DF31" s="1505"/>
      <c r="DG31" s="1506"/>
      <c r="DH31" s="1507"/>
      <c r="DI31" s="1508"/>
      <c r="DJ31" s="1505"/>
      <c r="DK31" s="1506"/>
      <c r="DL31" s="1505"/>
      <c r="DM31" s="1506"/>
      <c r="DN31" s="1507"/>
      <c r="DO31" s="1508"/>
      <c r="DP31" s="1505"/>
      <c r="DQ31" s="1506"/>
      <c r="DR31" s="1505"/>
      <c r="DS31" s="1506"/>
      <c r="DT31" s="1507"/>
      <c r="DU31" s="1508"/>
      <c r="DV31" s="1505"/>
      <c r="DW31" s="1506"/>
      <c r="DX31" s="1505"/>
      <c r="DY31" s="1506"/>
      <c r="DZ31" s="1507"/>
      <c r="EA31" s="1508"/>
      <c r="EB31" s="1505"/>
      <c r="EC31" s="1506"/>
      <c r="ED31" s="1505"/>
      <c r="EE31" s="1506"/>
      <c r="EF31" s="1507"/>
      <c r="EG31" s="1508"/>
      <c r="EH31" s="1510"/>
      <c r="EI31" s="1506"/>
      <c r="EJ31" s="1505"/>
      <c r="EK31" s="1506"/>
      <c r="EL31" s="1512"/>
      <c r="EM31" s="1508"/>
      <c r="EN31" s="1505"/>
      <c r="EO31" s="1506"/>
      <c r="EP31" s="1505"/>
      <c r="EQ31" s="1506"/>
      <c r="ER31" s="1507"/>
      <c r="ES31" s="1508"/>
      <c r="ET31" s="1505"/>
      <c r="EU31" s="1506"/>
      <c r="EV31" s="1505"/>
      <c r="EW31" s="1506"/>
      <c r="EX31" s="1507"/>
      <c r="EY31" s="1508"/>
      <c r="EZ31" s="1505"/>
      <c r="FA31" s="1506"/>
      <c r="FB31" s="1505"/>
      <c r="FC31" s="1506"/>
      <c r="FD31" s="1507"/>
      <c r="FE31" s="1508"/>
      <c r="FF31" s="1505"/>
      <c r="FG31" s="1506"/>
      <c r="FH31" s="1505"/>
      <c r="FI31" s="1506"/>
      <c r="FJ31" s="1512"/>
      <c r="FK31" s="1508"/>
      <c r="FL31" s="1505"/>
      <c r="FM31" s="1506"/>
      <c r="FN31" s="1505"/>
      <c r="FO31" s="1506"/>
      <c r="FP31" s="1512"/>
      <c r="FQ31" s="1508"/>
      <c r="FR31" s="1505"/>
      <c r="FS31" s="1506"/>
      <c r="FT31" s="1505"/>
      <c r="FU31" s="1506"/>
      <c r="FV31" s="1512"/>
      <c r="FW31" s="1508"/>
      <c r="FX31" s="1505"/>
      <c r="FY31" s="1506"/>
      <c r="FZ31" s="1505"/>
      <c r="GA31" s="1506"/>
      <c r="GB31" s="1512"/>
      <c r="GC31" s="1508"/>
      <c r="GD31" s="1505"/>
      <c r="GE31" s="1506"/>
      <c r="GF31" s="1505"/>
      <c r="GG31" s="1506"/>
      <c r="GH31" s="1512"/>
    </row>
    <row r="32" spans="1:190" ht="20.100000000000001" customHeight="1">
      <c r="A32" s="2819"/>
      <c r="B32" s="2834"/>
      <c r="C32" s="1496">
        <f>実績!B1407</f>
        <v>200010</v>
      </c>
      <c r="D32" s="1628" t="str">
        <f>VLOOKUP(C32,実績!$B$5:'実績'!$AC$1472,2,0)</f>
        <v>パーク・アベニュー神戸三田 自走式駐車場</v>
      </c>
      <c r="E32" s="1534" t="str">
        <f>SUBSTITUTE(VLOOKUP(D32,実績!$C$5:'実績'!$AC$1451,3,0),"株式会社 ","")</f>
        <v>植松</v>
      </c>
      <c r="F32" s="1503" t="str">
        <f>SUBSTITUTE(VLOOKUP(D32,実績!$C$5:'実績'!$AC$1451,2,0),"株式会社 ","")</f>
        <v>タオ
ホア</v>
      </c>
      <c r="G32" s="1543" t="str">
        <f>SUBSTITUTE(VLOOKUP(D32,実績!$C$5:'実績'!$AC$1451,16,0)," 株式会社","")</f>
        <v>雄健工業</v>
      </c>
      <c r="H32" s="1500" t="str">
        <f>VLOOKUP(D32,実績!$C$5:'実績'!$AC$1451,4,0)</f>
        <v>兵庫県</v>
      </c>
      <c r="I32" s="1501" t="str">
        <f>VLOOKUP(D32,実績!$C$5:'実績'!$AC$1451,5,0)</f>
        <v>三田市</v>
      </c>
      <c r="J32" s="1502" t="str">
        <f>VLOOKUP(D32,実績!$C$5:'実績'!$AC$1451,9,0)</f>
        <v>駐車場</v>
      </c>
      <c r="K32" s="1503">
        <f>ROUND(VLOOKUP(D32,実績!$C$5:'実績'!$AC$1451,15,0),-1)</f>
        <v>1000</v>
      </c>
      <c r="L32" s="1504" t="str">
        <f>VLOOKUP(D32,実績!$C$5:'実績'!$BY$1451,40,0)</f>
        <v>○</v>
      </c>
      <c r="M32" s="1502" t="str">
        <f>VLOOKUP(D32,実績!$C$5:'実績'!$BY$1472,38,0)</f>
        <v>-</v>
      </c>
      <c r="N32" s="1502" t="str">
        <f>VLOOKUP(D32,実績!$C$5:'実績'!$BY$1472,37,0)</f>
        <v>-</v>
      </c>
      <c r="O32" s="1503" t="str">
        <f>VLOOKUP(D32,実績!$C$5:'実績'!$BY$1472,41,0)</f>
        <v>独立</v>
      </c>
      <c r="P32" s="1659">
        <v>44048</v>
      </c>
      <c r="Q32" s="1660"/>
      <c r="R32" s="1659"/>
      <c r="S32" s="1661"/>
      <c r="T32" s="1662"/>
      <c r="U32" s="1660"/>
      <c r="V32" s="1663"/>
      <c r="W32" s="1505"/>
      <c r="X32" s="1505"/>
      <c r="Y32" s="1506"/>
      <c r="Z32" s="1505"/>
      <c r="AA32" s="1506"/>
      <c r="AB32" s="1507"/>
      <c r="AC32" s="1505"/>
      <c r="AD32" s="1505"/>
      <c r="AE32" s="1506"/>
      <c r="AF32" s="1505"/>
      <c r="AG32" s="1506"/>
      <c r="AH32" s="1505"/>
      <c r="AI32" s="1508"/>
      <c r="AJ32" s="1505"/>
      <c r="AK32" s="1506"/>
      <c r="AL32" s="1505"/>
      <c r="AM32" s="1506"/>
      <c r="AN32" s="1507"/>
      <c r="AO32" s="1505"/>
      <c r="AP32" s="1505"/>
      <c r="AQ32" s="1506"/>
      <c r="AR32" s="1505"/>
      <c r="AS32" s="1506"/>
      <c r="AT32" s="1505"/>
      <c r="AU32" s="1509"/>
      <c r="AV32" s="1505"/>
      <c r="AW32" s="1506"/>
      <c r="AX32" s="1505"/>
      <c r="AY32" s="1506"/>
      <c r="AZ32" s="1507"/>
      <c r="BA32" s="1508"/>
      <c r="BB32" s="1505"/>
      <c r="BC32" s="1506"/>
      <c r="BD32" s="1505"/>
      <c r="BE32" s="1506"/>
      <c r="BF32" s="1507"/>
      <c r="BG32" s="1505"/>
      <c r="BH32" s="1505"/>
      <c r="BI32" s="1506"/>
      <c r="BJ32" s="1505"/>
      <c r="BK32" s="1506"/>
      <c r="BL32" s="1505"/>
      <c r="BM32" s="1508"/>
      <c r="BN32" s="1505"/>
      <c r="BO32" s="1506"/>
      <c r="BP32" s="1505"/>
      <c r="BQ32" s="1506"/>
      <c r="BR32" s="1507"/>
      <c r="BS32" s="1508"/>
      <c r="BT32" s="1505"/>
      <c r="BU32" s="1506"/>
      <c r="BV32" s="1510"/>
      <c r="BW32" s="1506"/>
      <c r="BX32" s="1507"/>
      <c r="BY32" s="1508"/>
      <c r="BZ32" s="1505"/>
      <c r="CA32" s="1506"/>
      <c r="CB32" s="1505"/>
      <c r="CC32" s="1506"/>
      <c r="CD32" s="1507"/>
      <c r="CE32" s="1508"/>
      <c r="CF32" s="1505"/>
      <c r="CG32" s="1506"/>
      <c r="CH32" s="1505"/>
      <c r="CI32" s="1506"/>
      <c r="CJ32" s="1507"/>
      <c r="CK32" s="1508"/>
      <c r="CL32" s="1505"/>
      <c r="CM32" s="1506"/>
      <c r="CN32" s="1505"/>
      <c r="CO32" s="1506"/>
      <c r="CP32" s="1507"/>
      <c r="CQ32" s="1508"/>
      <c r="CR32" s="1505"/>
      <c r="CS32" s="1506"/>
      <c r="CT32" s="1511"/>
      <c r="CU32" s="1506"/>
      <c r="CV32" s="1507"/>
      <c r="CW32" s="1508"/>
      <c r="CX32" s="1505"/>
      <c r="CY32" s="1506"/>
      <c r="CZ32" s="1505"/>
      <c r="DA32" s="1506"/>
      <c r="DB32" s="1507"/>
      <c r="DC32" s="1508"/>
      <c r="DD32" s="1505"/>
      <c r="DE32" s="1506"/>
      <c r="DF32" s="1505"/>
      <c r="DG32" s="1506"/>
      <c r="DH32" s="1507"/>
      <c r="DI32" s="1508"/>
      <c r="DJ32" s="1505"/>
      <c r="DK32" s="1506"/>
      <c r="DL32" s="1505"/>
      <c r="DM32" s="1506"/>
      <c r="DN32" s="1507"/>
      <c r="DO32" s="1508"/>
      <c r="DP32" s="1505"/>
      <c r="DQ32" s="1506"/>
      <c r="DR32" s="1505"/>
      <c r="DS32" s="1506"/>
      <c r="DT32" s="1507"/>
      <c r="DU32" s="1508"/>
      <c r="DV32" s="1505"/>
      <c r="DW32" s="1506"/>
      <c r="DX32" s="1505"/>
      <c r="DY32" s="1506"/>
      <c r="DZ32" s="1507"/>
      <c r="EA32" s="1508"/>
      <c r="EB32" s="1505"/>
      <c r="EC32" s="1506"/>
      <c r="ED32" s="1505"/>
      <c r="EE32" s="1506"/>
      <c r="EF32" s="1507"/>
      <c r="EG32" s="1508"/>
      <c r="EH32" s="1510"/>
      <c r="EI32" s="1506"/>
      <c r="EJ32" s="1505"/>
      <c r="EK32" s="1506"/>
      <c r="EL32" s="1507"/>
      <c r="EM32" s="1508"/>
      <c r="EN32" s="1505"/>
      <c r="EO32" s="1506"/>
      <c r="EP32" s="1505"/>
      <c r="EQ32" s="1506"/>
      <c r="ER32" s="1512"/>
      <c r="ES32" s="1508"/>
      <c r="ET32" s="1505" t="s">
        <v>8653</v>
      </c>
      <c r="EU32" s="1506"/>
      <c r="EV32" s="1505"/>
      <c r="EW32" s="1506"/>
      <c r="EX32" s="1507"/>
      <c r="EY32" s="1508"/>
      <c r="EZ32" s="1505"/>
      <c r="FA32" s="1506"/>
      <c r="FB32" s="1505"/>
      <c r="FC32" s="1506"/>
      <c r="FD32" s="1507"/>
      <c r="FE32" s="1508"/>
      <c r="FF32" s="1505"/>
      <c r="FG32" s="1506"/>
      <c r="FH32" s="1505"/>
      <c r="FI32" s="1506"/>
      <c r="FJ32" s="1507"/>
      <c r="FK32" s="1508"/>
      <c r="FL32" s="1505"/>
      <c r="FM32" s="1506"/>
      <c r="FN32" s="1505"/>
      <c r="FO32" s="1506"/>
      <c r="FP32" s="1507"/>
      <c r="FQ32" s="1508"/>
      <c r="FR32" s="1505"/>
      <c r="FS32" s="1506"/>
      <c r="FT32" s="1505"/>
      <c r="FU32" s="1506"/>
      <c r="FV32" s="1507"/>
      <c r="FW32" s="1508"/>
      <c r="FX32" s="1505"/>
      <c r="FY32" s="1506"/>
      <c r="FZ32" s="1505"/>
      <c r="GA32" s="1506"/>
      <c r="GB32" s="1507"/>
      <c r="GC32" s="1508"/>
      <c r="GD32" s="1505"/>
      <c r="GE32" s="1506"/>
      <c r="GF32" s="1505"/>
      <c r="GG32" s="1506"/>
      <c r="GH32" s="1512"/>
    </row>
    <row r="33" spans="1:190" ht="20.100000000000001" customHeight="1" thickBot="1">
      <c r="A33" s="2820"/>
      <c r="B33" s="2835"/>
      <c r="C33" s="1537">
        <f>実績!B1408</f>
        <v>200011</v>
      </c>
      <c r="D33" s="1631" t="str">
        <f>VLOOKUP(C33,実績!$B$5:'実績'!$AC$1472,2,0)</f>
        <v>スギ薬局 都島中通</v>
      </c>
      <c r="E33" s="1515" t="str">
        <f>SUBSTITUTE(VLOOKUP(D33,実績!$C$5:'実績'!$AC$1451,3,0),"株式会社 ","")</f>
        <v>石渡</v>
      </c>
      <c r="F33" s="1463" t="str">
        <f>SUBSTITUTE(VLOOKUP(D33,実績!$C$5:'実績'!$AC$1451,2,0),"株式会社 ","")</f>
        <v>ユイ
ラン</v>
      </c>
      <c r="G33" s="1654" t="str">
        <f>SUBSTITUTE(VLOOKUP(D33,実績!$C$5:'実績'!$AC$1451,16,0),"株式会社 ","")</f>
        <v>宇野設計</v>
      </c>
      <c r="H33" s="1460" t="str">
        <f>VLOOKUP(D33,実績!$C$5:'実績'!$AC$1451,4,0)</f>
        <v>大阪府</v>
      </c>
      <c r="I33" s="1461" t="str">
        <f>VLOOKUP(D33,実績!$C$5:'実績'!$AC$1451,5,0)</f>
        <v>大阪市</v>
      </c>
      <c r="J33" s="1462" t="str">
        <f>VLOOKUP(D33,実績!$C$5:'実績'!$AC$1451,9,0)</f>
        <v>店舗</v>
      </c>
      <c r="K33" s="1463">
        <f>ROUND(VLOOKUP(D33,実績!$C$5:'実績'!$AC$1451,15,0),-1)</f>
        <v>750</v>
      </c>
      <c r="L33" s="1464" t="str">
        <f>VLOOKUP(D33,実績!$C$5:'実績'!$BY$1451,40,0)</f>
        <v>○</v>
      </c>
      <c r="M33" s="1462" t="str">
        <f>VLOOKUP(D33,実績!$C$5:'実績'!$BY$1472,38,0)</f>
        <v>-</v>
      </c>
      <c r="N33" s="1462" t="str">
        <f>VLOOKUP(D33,実績!$C$5:'実績'!$BY$1472,37,0)</f>
        <v>-</v>
      </c>
      <c r="O33" s="1463" t="str">
        <f>VLOOKUP(D33,実績!$C$5:'実績'!$BY$1472,41,0)</f>
        <v>独立</v>
      </c>
      <c r="P33" s="1672">
        <v>44049</v>
      </c>
      <c r="Q33" s="1673"/>
      <c r="R33" s="1672"/>
      <c r="S33" s="1687"/>
      <c r="T33" s="1688"/>
      <c r="U33" s="1673"/>
      <c r="V33" s="1689"/>
      <c r="W33" s="1465"/>
      <c r="X33" s="1465"/>
      <c r="Y33" s="1468"/>
      <c r="Z33" s="1465"/>
      <c r="AA33" s="1468"/>
      <c r="AB33" s="1469"/>
      <c r="AC33" s="1465"/>
      <c r="AD33" s="1465"/>
      <c r="AE33" s="1468"/>
      <c r="AF33" s="1465"/>
      <c r="AG33" s="1468"/>
      <c r="AH33" s="1465"/>
      <c r="AI33" s="1467"/>
      <c r="AJ33" s="1465"/>
      <c r="AK33" s="1468"/>
      <c r="AL33" s="1465"/>
      <c r="AM33" s="1468"/>
      <c r="AN33" s="1469"/>
      <c r="AO33" s="1465"/>
      <c r="AP33" s="1465"/>
      <c r="AQ33" s="1468"/>
      <c r="AR33" s="1465"/>
      <c r="AS33" s="1468"/>
      <c r="AT33" s="1465"/>
      <c r="AU33" s="1540"/>
      <c r="AV33" s="1465"/>
      <c r="AW33" s="1468"/>
      <c r="AX33" s="1465"/>
      <c r="AY33" s="1468"/>
      <c r="AZ33" s="1469"/>
      <c r="BA33" s="1467"/>
      <c r="BB33" s="1465"/>
      <c r="BC33" s="1468"/>
      <c r="BD33" s="1465"/>
      <c r="BE33" s="1468"/>
      <c r="BF33" s="1469"/>
      <c r="BG33" s="1465"/>
      <c r="BH33" s="1465"/>
      <c r="BI33" s="1468"/>
      <c r="BJ33" s="1465"/>
      <c r="BK33" s="1468"/>
      <c r="BL33" s="1465"/>
      <c r="BM33" s="1467"/>
      <c r="BN33" s="1465"/>
      <c r="BO33" s="1468"/>
      <c r="BP33" s="1465"/>
      <c r="BQ33" s="1468"/>
      <c r="BR33" s="1469"/>
      <c r="BS33" s="1467"/>
      <c r="BT33" s="1465"/>
      <c r="BU33" s="1468"/>
      <c r="BV33" s="1541"/>
      <c r="BW33" s="1468"/>
      <c r="BX33" s="1469"/>
      <c r="BY33" s="1467"/>
      <c r="BZ33" s="1465"/>
      <c r="CA33" s="1468"/>
      <c r="CB33" s="1465"/>
      <c r="CC33" s="1468"/>
      <c r="CD33" s="1469"/>
      <c r="CE33" s="1467"/>
      <c r="CF33" s="1465"/>
      <c r="CG33" s="1468"/>
      <c r="CH33" s="1465"/>
      <c r="CI33" s="1468"/>
      <c r="CJ33" s="1469"/>
      <c r="CK33" s="1467"/>
      <c r="CL33" s="1465"/>
      <c r="CM33" s="1468"/>
      <c r="CN33" s="1465"/>
      <c r="CO33" s="1468"/>
      <c r="CP33" s="1469"/>
      <c r="CQ33" s="1467"/>
      <c r="CR33" s="1465"/>
      <c r="CS33" s="1468"/>
      <c r="CT33" s="1466"/>
      <c r="CU33" s="1468"/>
      <c r="CV33" s="1469"/>
      <c r="CW33" s="1467"/>
      <c r="CX33" s="1465"/>
      <c r="CY33" s="1468"/>
      <c r="CZ33" s="1465"/>
      <c r="DA33" s="1468"/>
      <c r="DB33" s="1469"/>
      <c r="DC33" s="1467"/>
      <c r="DD33" s="1465"/>
      <c r="DE33" s="1468"/>
      <c r="DF33" s="1465"/>
      <c r="DG33" s="1468"/>
      <c r="DH33" s="1469"/>
      <c r="DI33" s="1467"/>
      <c r="DJ33" s="1465"/>
      <c r="DK33" s="1468"/>
      <c r="DL33" s="1465"/>
      <c r="DM33" s="1468"/>
      <c r="DN33" s="1469"/>
      <c r="DO33" s="1467"/>
      <c r="DP33" s="1465"/>
      <c r="DQ33" s="1468"/>
      <c r="DR33" s="1465"/>
      <c r="DS33" s="1468"/>
      <c r="DT33" s="1469"/>
      <c r="DU33" s="1467"/>
      <c r="DV33" s="1465"/>
      <c r="DW33" s="1468"/>
      <c r="DX33" s="1465"/>
      <c r="DY33" s="1468"/>
      <c r="DZ33" s="1469"/>
      <c r="EA33" s="1467"/>
      <c r="EB33" s="1465"/>
      <c r="EC33" s="1468"/>
      <c r="ED33" s="1465"/>
      <c r="EE33" s="1468"/>
      <c r="EF33" s="1469"/>
      <c r="EG33" s="1467"/>
      <c r="EH33" s="1541"/>
      <c r="EI33" s="1468"/>
      <c r="EJ33" s="1465"/>
      <c r="EK33" s="1468"/>
      <c r="EL33" s="1469"/>
      <c r="EM33" s="1467"/>
      <c r="EN33" s="1465"/>
      <c r="EO33" s="1468"/>
      <c r="EP33" s="1465"/>
      <c r="EQ33" s="1468"/>
      <c r="ER33" s="1470"/>
      <c r="ES33" s="1467"/>
      <c r="ET33" s="1465"/>
      <c r="EU33" s="1468"/>
      <c r="EV33" s="1465"/>
      <c r="EW33" s="1468"/>
      <c r="EX33" s="1469"/>
      <c r="EY33" s="1467"/>
      <c r="EZ33" s="1465"/>
      <c r="FA33" s="1468"/>
      <c r="FB33" s="1465"/>
      <c r="FC33" s="1468"/>
      <c r="FD33" s="1469"/>
      <c r="FE33" s="1467"/>
      <c r="FF33" s="1465"/>
      <c r="FG33" s="1468"/>
      <c r="FH33" s="1465"/>
      <c r="FI33" s="1468"/>
      <c r="FJ33" s="1469"/>
      <c r="FK33" s="1467"/>
      <c r="FL33" s="1465"/>
      <c r="FM33" s="1468"/>
      <c r="FN33" s="1465"/>
      <c r="FO33" s="1468"/>
      <c r="FP33" s="1469"/>
      <c r="FQ33" s="1467"/>
      <c r="FR33" s="1465"/>
      <c r="FS33" s="1468"/>
      <c r="FT33" s="1465"/>
      <c r="FU33" s="1468"/>
      <c r="FV33" s="1469"/>
      <c r="FW33" s="1467"/>
      <c r="FX33" s="1465"/>
      <c r="FY33" s="1468"/>
      <c r="FZ33" s="1465"/>
      <c r="GA33" s="1468"/>
      <c r="GB33" s="1469"/>
      <c r="GC33" s="1467"/>
      <c r="GD33" s="1465"/>
      <c r="GE33" s="1468"/>
      <c r="GF33" s="1465"/>
      <c r="GG33" s="1468"/>
      <c r="GH33" s="1469"/>
    </row>
    <row r="34" spans="1:190" ht="20.100000000000001" customHeight="1" thickBot="1">
      <c r="A34" s="1333"/>
      <c r="B34" s="1333"/>
      <c r="C34" s="1333"/>
      <c r="P34" s="1333"/>
      <c r="Q34" s="1333"/>
      <c r="R34" s="1333"/>
      <c r="S34" s="1333"/>
      <c r="T34" s="1333"/>
      <c r="U34" s="1333"/>
    </row>
    <row r="35" spans="1:190" ht="13.5" customHeight="1">
      <c r="FF35" s="2779" t="s">
        <v>8159</v>
      </c>
      <c r="FG35" s="2780"/>
      <c r="FH35" s="2780"/>
      <c r="FI35" s="2780"/>
      <c r="FJ35" s="2781"/>
    </row>
    <row r="36" spans="1:190" ht="14.25" customHeight="1" thickBot="1">
      <c r="FF36" s="2782"/>
      <c r="FG36" s="2783"/>
      <c r="FH36" s="2783"/>
      <c r="FI36" s="2783"/>
      <c r="FJ36" s="2784"/>
    </row>
    <row r="37" spans="1:190" ht="20.100000000000001" customHeight="1" thickBot="1">
      <c r="A37" s="1472" t="s">
        <v>17449</v>
      </c>
      <c r="B37" s="1472"/>
      <c r="C37" s="1473"/>
      <c r="D37" s="1473"/>
      <c r="E37" s="1473"/>
      <c r="F37" s="1473"/>
      <c r="G37" s="1473"/>
      <c r="H37" s="1473"/>
      <c r="I37" s="1473"/>
      <c r="J37" s="1473"/>
      <c r="K37" s="1473"/>
      <c r="L37" s="1473"/>
      <c r="M37" s="1473"/>
      <c r="N37" s="1473"/>
      <c r="O37" s="1473"/>
      <c r="P37" s="1340"/>
      <c r="Q37" s="1340"/>
      <c r="R37" s="1340"/>
      <c r="S37" s="1340"/>
      <c r="T37" s="1340"/>
      <c r="U37" s="1340"/>
      <c r="V37" s="1473"/>
      <c r="W37" s="1473"/>
      <c r="X37" s="1473"/>
      <c r="Y37" s="1473"/>
      <c r="Z37" s="1473"/>
      <c r="AA37" s="1473"/>
      <c r="AB37" s="1473"/>
      <c r="AC37" s="1473"/>
      <c r="AD37" s="1473"/>
      <c r="AE37" s="1473"/>
      <c r="AF37" s="1473"/>
      <c r="AG37" s="1473"/>
      <c r="AH37" s="1473"/>
      <c r="AI37" s="1473"/>
      <c r="AJ37" s="1473"/>
      <c r="AK37" s="1473"/>
      <c r="AL37" s="1473"/>
      <c r="AM37" s="1473"/>
      <c r="AN37" s="1473"/>
      <c r="AO37" s="1473"/>
      <c r="AP37" s="1473"/>
      <c r="AQ37" s="1473"/>
      <c r="AR37" s="1473"/>
      <c r="AS37" s="1473"/>
      <c r="AT37" s="1473"/>
      <c r="AU37" s="1473"/>
      <c r="AV37" s="1473"/>
      <c r="AW37" s="1473"/>
      <c r="AX37" s="1473"/>
      <c r="AY37" s="1473"/>
      <c r="AZ37" s="1473"/>
      <c r="BA37" s="1473"/>
      <c r="BB37" s="1473"/>
      <c r="BC37" s="1473"/>
      <c r="BD37" s="1473"/>
      <c r="BE37" s="1473"/>
      <c r="BF37" s="1473"/>
      <c r="BG37" s="1473"/>
      <c r="BH37" s="1473"/>
      <c r="BI37" s="1473"/>
      <c r="BJ37" s="1473"/>
      <c r="BK37" s="1473"/>
      <c r="BL37" s="1473"/>
      <c r="BM37" s="1473"/>
      <c r="BN37" s="1473"/>
      <c r="BO37" s="1473"/>
      <c r="BP37" s="1473"/>
      <c r="BQ37" s="1473"/>
      <c r="BR37" s="1473"/>
      <c r="BS37" s="1473"/>
      <c r="BT37" s="1473"/>
      <c r="BU37" s="1473"/>
      <c r="BV37" s="1473"/>
      <c r="BW37" s="1473"/>
      <c r="BX37" s="1473"/>
      <c r="BY37" s="1473"/>
      <c r="BZ37" s="1473"/>
      <c r="CA37" s="1473"/>
      <c r="CB37" s="1473"/>
      <c r="CC37" s="1473"/>
      <c r="CD37" s="1473"/>
      <c r="CE37" s="1473"/>
      <c r="CF37" s="1473"/>
      <c r="CG37" s="1473"/>
      <c r="CH37" s="1473"/>
      <c r="CI37" s="1473"/>
      <c r="CJ37" s="1473"/>
      <c r="CK37" s="1473"/>
      <c r="CL37" s="1473"/>
      <c r="CM37" s="1473"/>
      <c r="CN37" s="1473"/>
      <c r="CO37" s="1473"/>
      <c r="CP37" s="1473"/>
      <c r="CQ37" s="1473"/>
      <c r="CR37" s="1473"/>
      <c r="CS37" s="1473"/>
      <c r="CT37" s="1473"/>
      <c r="CU37" s="1473"/>
      <c r="CV37" s="1473"/>
      <c r="CW37" s="1473"/>
      <c r="CX37" s="1473"/>
      <c r="CY37" s="1473"/>
      <c r="CZ37" s="1473"/>
      <c r="DA37" s="1473"/>
      <c r="DB37" s="1473"/>
      <c r="DC37" s="1473"/>
      <c r="DD37" s="1473"/>
      <c r="DE37" s="1473"/>
      <c r="DF37" s="1473"/>
      <c r="DG37" s="1473"/>
      <c r="DH37" s="1473"/>
      <c r="DI37" s="1473"/>
      <c r="DJ37" s="1473"/>
      <c r="DK37" s="1473"/>
      <c r="DL37" s="1473"/>
      <c r="DM37" s="1473"/>
      <c r="DN37" s="1473"/>
      <c r="DO37" s="1473"/>
      <c r="DP37" s="1473"/>
      <c r="DQ37" s="1473"/>
      <c r="DR37" s="1473"/>
      <c r="DS37" s="1473"/>
      <c r="DT37" s="1473"/>
      <c r="DU37" s="1473"/>
      <c r="DV37" s="1473"/>
      <c r="DW37" s="1473"/>
      <c r="DX37" s="1473"/>
      <c r="DY37" s="1473"/>
      <c r="DZ37" s="1473"/>
      <c r="EA37" s="1473"/>
      <c r="EB37" s="1473"/>
      <c r="EC37" s="1473"/>
      <c r="ED37" s="1473"/>
      <c r="EE37" s="1473"/>
      <c r="EF37" s="1473"/>
      <c r="EG37" s="1473"/>
      <c r="EH37" s="1473"/>
      <c r="EI37" s="1473"/>
      <c r="EJ37" s="1473"/>
      <c r="EK37" s="1473"/>
      <c r="EL37" s="1473"/>
      <c r="EM37" s="1473"/>
      <c r="EN37" s="1473"/>
      <c r="EO37" s="1473"/>
      <c r="EP37" s="1473"/>
      <c r="EQ37" s="1473"/>
      <c r="ER37" s="1473"/>
      <c r="ES37" s="1473"/>
      <c r="ET37" s="1473"/>
      <c r="EU37" s="1473"/>
      <c r="EV37" s="1473"/>
      <c r="EW37" s="1473"/>
      <c r="EX37" s="1473"/>
      <c r="EY37" s="1473"/>
      <c r="EZ37" s="1473"/>
      <c r="FA37" s="1473"/>
      <c r="FB37" s="1473"/>
      <c r="FC37" s="1473"/>
      <c r="FD37" s="1473"/>
      <c r="FE37" s="1473"/>
      <c r="FF37" s="2785">
        <f ca="1">TODAY()</f>
        <v>44132</v>
      </c>
      <c r="FG37" s="2785"/>
      <c r="FH37" s="2785"/>
      <c r="FI37" s="2785"/>
      <c r="FJ37" s="2785"/>
    </row>
    <row r="38" spans="1:190" ht="20.100000000000001" customHeight="1">
      <c r="A38" s="2786"/>
      <c r="B38" s="2787"/>
      <c r="C38" s="2790" t="s">
        <v>17385</v>
      </c>
      <c r="D38" s="2786" t="s">
        <v>606</v>
      </c>
      <c r="E38" s="2792" t="s">
        <v>17445</v>
      </c>
      <c r="F38" s="2794" t="s">
        <v>17446</v>
      </c>
      <c r="G38" s="2787" t="s">
        <v>17368</v>
      </c>
      <c r="H38" s="2792" t="s">
        <v>4844</v>
      </c>
      <c r="I38" s="2796"/>
      <c r="J38" s="2796" t="s">
        <v>533</v>
      </c>
      <c r="K38" s="2798" t="s">
        <v>17447</v>
      </c>
      <c r="L38" s="2800" t="s">
        <v>17536</v>
      </c>
      <c r="M38" s="2801" t="s">
        <v>17383</v>
      </c>
      <c r="N38" s="2801" t="s">
        <v>545</v>
      </c>
      <c r="O38" s="2798" t="s">
        <v>4546</v>
      </c>
      <c r="P38" s="2800" t="s">
        <v>17369</v>
      </c>
      <c r="Q38" s="2794" t="s">
        <v>8145</v>
      </c>
      <c r="R38" s="2803" t="s">
        <v>17418</v>
      </c>
      <c r="S38" s="2804"/>
      <c r="T38" s="2812" t="s">
        <v>17421</v>
      </c>
      <c r="U38" s="2813"/>
      <c r="V38" s="1335"/>
      <c r="W38" s="2772">
        <v>43374</v>
      </c>
      <c r="X38" s="2773"/>
      <c r="Y38" s="2773"/>
      <c r="Z38" s="2773"/>
      <c r="AA38" s="2773"/>
      <c r="AB38" s="2774"/>
      <c r="AC38" s="2775">
        <v>43405</v>
      </c>
      <c r="AD38" s="2773"/>
      <c r="AE38" s="2773"/>
      <c r="AF38" s="2773"/>
      <c r="AG38" s="2773"/>
      <c r="AH38" s="2774"/>
      <c r="AI38" s="2775">
        <v>43435</v>
      </c>
      <c r="AJ38" s="2773"/>
      <c r="AK38" s="2773"/>
      <c r="AL38" s="2773"/>
      <c r="AM38" s="2773"/>
      <c r="AN38" s="2774"/>
      <c r="AO38" s="2775">
        <v>43466</v>
      </c>
      <c r="AP38" s="2773"/>
      <c r="AQ38" s="2773"/>
      <c r="AR38" s="2773"/>
      <c r="AS38" s="2773"/>
      <c r="AT38" s="2773"/>
      <c r="AU38" s="2772">
        <v>43497</v>
      </c>
      <c r="AV38" s="2773"/>
      <c r="AW38" s="2773"/>
      <c r="AX38" s="2773"/>
      <c r="AY38" s="2773"/>
      <c r="AZ38" s="2774"/>
      <c r="BA38" s="2775">
        <v>43556</v>
      </c>
      <c r="BB38" s="2773"/>
      <c r="BC38" s="2773"/>
      <c r="BD38" s="2773"/>
      <c r="BE38" s="2773"/>
      <c r="BF38" s="2774"/>
      <c r="BG38" s="2775">
        <v>43586</v>
      </c>
      <c r="BH38" s="2773"/>
      <c r="BI38" s="2773"/>
      <c r="BJ38" s="2773"/>
      <c r="BK38" s="2773"/>
      <c r="BL38" s="2774"/>
      <c r="BM38" s="2775">
        <v>43617</v>
      </c>
      <c r="BN38" s="2773"/>
      <c r="BO38" s="2773"/>
      <c r="BP38" s="2773"/>
      <c r="BQ38" s="2773"/>
      <c r="BR38" s="2774"/>
      <c r="BS38" s="2775">
        <v>43647</v>
      </c>
      <c r="BT38" s="2773"/>
      <c r="BU38" s="2773"/>
      <c r="BV38" s="2773"/>
      <c r="BW38" s="2773"/>
      <c r="BX38" s="2774"/>
      <c r="BY38" s="2775">
        <v>43678</v>
      </c>
      <c r="BZ38" s="2773"/>
      <c r="CA38" s="2773"/>
      <c r="CB38" s="2773"/>
      <c r="CC38" s="2773"/>
      <c r="CD38" s="2774"/>
      <c r="CE38" s="2775">
        <v>43709</v>
      </c>
      <c r="CF38" s="2773"/>
      <c r="CG38" s="2773"/>
      <c r="CH38" s="2773"/>
      <c r="CI38" s="2773"/>
      <c r="CJ38" s="2774"/>
      <c r="CK38" s="2775">
        <v>43739</v>
      </c>
      <c r="CL38" s="2773"/>
      <c r="CM38" s="2773"/>
      <c r="CN38" s="2773"/>
      <c r="CO38" s="2773"/>
      <c r="CP38" s="2774"/>
      <c r="CQ38" s="2775">
        <v>43770</v>
      </c>
      <c r="CR38" s="2773"/>
      <c r="CS38" s="2773"/>
      <c r="CT38" s="2773"/>
      <c r="CU38" s="2773"/>
      <c r="CV38" s="2774"/>
      <c r="CW38" s="2775">
        <v>43800</v>
      </c>
      <c r="CX38" s="2773"/>
      <c r="CY38" s="2773"/>
      <c r="CZ38" s="2773"/>
      <c r="DA38" s="2773"/>
      <c r="DB38" s="2774"/>
      <c r="DC38" s="2775">
        <v>43831</v>
      </c>
      <c r="DD38" s="2773"/>
      <c r="DE38" s="2773"/>
      <c r="DF38" s="2773"/>
      <c r="DG38" s="2773"/>
      <c r="DH38" s="2774"/>
      <c r="DI38" s="2775">
        <v>43862</v>
      </c>
      <c r="DJ38" s="2773"/>
      <c r="DK38" s="2773"/>
      <c r="DL38" s="2773"/>
      <c r="DM38" s="2773"/>
      <c r="DN38" s="2774"/>
      <c r="DO38" s="2775">
        <v>43891</v>
      </c>
      <c r="DP38" s="2773"/>
      <c r="DQ38" s="2773"/>
      <c r="DR38" s="2773"/>
      <c r="DS38" s="2773"/>
      <c r="DT38" s="2774"/>
      <c r="DU38" s="2775">
        <v>43922</v>
      </c>
      <c r="DV38" s="2773"/>
      <c r="DW38" s="2773"/>
      <c r="DX38" s="2773"/>
      <c r="DY38" s="2773"/>
      <c r="DZ38" s="2774"/>
      <c r="EA38" s="2775">
        <v>43952</v>
      </c>
      <c r="EB38" s="2773"/>
      <c r="EC38" s="2773"/>
      <c r="ED38" s="2773"/>
      <c r="EE38" s="2773"/>
      <c r="EF38" s="2774"/>
      <c r="EG38" s="2775">
        <v>43983</v>
      </c>
      <c r="EH38" s="2773"/>
      <c r="EI38" s="2773"/>
      <c r="EJ38" s="2773"/>
      <c r="EK38" s="2773"/>
      <c r="EL38" s="2774"/>
      <c r="EM38" s="2775">
        <v>44013</v>
      </c>
      <c r="EN38" s="2773"/>
      <c r="EO38" s="2773"/>
      <c r="EP38" s="2773"/>
      <c r="EQ38" s="2773"/>
      <c r="ER38" s="2774"/>
      <c r="ES38" s="2775">
        <f>ES4</f>
        <v>44044</v>
      </c>
      <c r="ET38" s="2773"/>
      <c r="EU38" s="2773"/>
      <c r="EV38" s="2773"/>
      <c r="EW38" s="2773"/>
      <c r="EX38" s="2774"/>
      <c r="EY38" s="2775">
        <f>EY4</f>
        <v>44075</v>
      </c>
      <c r="EZ38" s="2773"/>
      <c r="FA38" s="2773"/>
      <c r="FB38" s="2773"/>
      <c r="FC38" s="2773"/>
      <c r="FD38" s="2774"/>
      <c r="FE38" s="2775">
        <f>FE4</f>
        <v>44105</v>
      </c>
      <c r="FF38" s="2773"/>
      <c r="FG38" s="2773"/>
      <c r="FH38" s="2773"/>
      <c r="FI38" s="2773"/>
      <c r="FJ38" s="2774"/>
      <c r="FK38" s="2775">
        <f>FK4</f>
        <v>44136</v>
      </c>
      <c r="FL38" s="2773"/>
      <c r="FM38" s="2773"/>
      <c r="FN38" s="2773"/>
      <c r="FO38" s="2773"/>
      <c r="FP38" s="2774"/>
      <c r="FQ38" s="2775">
        <f>FQ4</f>
        <v>44166</v>
      </c>
      <c r="FR38" s="2773"/>
      <c r="FS38" s="2773"/>
      <c r="FT38" s="2773"/>
      <c r="FU38" s="2773"/>
      <c r="FV38" s="2774"/>
      <c r="FW38" s="2775">
        <f>FW4</f>
        <v>44197</v>
      </c>
      <c r="FX38" s="2773"/>
      <c r="FY38" s="2773"/>
      <c r="FZ38" s="2773"/>
      <c r="GA38" s="2773"/>
      <c r="GB38" s="2774"/>
      <c r="GC38" s="2775">
        <f>GC4</f>
        <v>44228</v>
      </c>
      <c r="GD38" s="2773"/>
      <c r="GE38" s="2773"/>
      <c r="GF38" s="2773"/>
      <c r="GG38" s="2773"/>
      <c r="GH38" s="2774"/>
    </row>
    <row r="39" spans="1:190" ht="20.100000000000001" customHeight="1" thickBot="1">
      <c r="A39" s="2788"/>
      <c r="B39" s="2789"/>
      <c r="C39" s="2791"/>
      <c r="D39" s="2788"/>
      <c r="E39" s="2793"/>
      <c r="F39" s="2795"/>
      <c r="G39" s="2789"/>
      <c r="H39" s="2793"/>
      <c r="I39" s="2797"/>
      <c r="J39" s="2797"/>
      <c r="K39" s="2799"/>
      <c r="L39" s="2793"/>
      <c r="M39" s="2802"/>
      <c r="N39" s="2802"/>
      <c r="O39" s="2795"/>
      <c r="P39" s="2793"/>
      <c r="Q39" s="2795"/>
      <c r="R39" s="1336" t="s">
        <v>17419</v>
      </c>
      <c r="S39" s="1337" t="s">
        <v>17420</v>
      </c>
      <c r="T39" s="1338" t="s">
        <v>17419</v>
      </c>
      <c r="U39" s="1339" t="s">
        <v>17420</v>
      </c>
      <c r="V39" s="1340"/>
      <c r="W39" s="1341">
        <v>1</v>
      </c>
      <c r="X39" s="2776">
        <v>10</v>
      </c>
      <c r="Y39" s="2776"/>
      <c r="Z39" s="2776">
        <v>20</v>
      </c>
      <c r="AA39" s="2776"/>
      <c r="AB39" s="1342">
        <v>30</v>
      </c>
      <c r="AC39" s="1341">
        <v>1</v>
      </c>
      <c r="AD39" s="2776">
        <v>10</v>
      </c>
      <c r="AE39" s="2776"/>
      <c r="AF39" s="2776">
        <v>20</v>
      </c>
      <c r="AG39" s="2776"/>
      <c r="AH39" s="1343">
        <v>30</v>
      </c>
      <c r="AI39" s="1344">
        <v>1</v>
      </c>
      <c r="AJ39" s="2776">
        <v>10</v>
      </c>
      <c r="AK39" s="2776"/>
      <c r="AL39" s="2776">
        <v>20</v>
      </c>
      <c r="AM39" s="2776"/>
      <c r="AN39" s="1342">
        <v>30</v>
      </c>
      <c r="AO39" s="1341">
        <v>1</v>
      </c>
      <c r="AP39" s="2776">
        <v>10</v>
      </c>
      <c r="AQ39" s="2776"/>
      <c r="AR39" s="2776">
        <v>20</v>
      </c>
      <c r="AS39" s="2776"/>
      <c r="AT39" s="1343">
        <v>30</v>
      </c>
      <c r="AU39" s="1345">
        <v>1</v>
      </c>
      <c r="AV39" s="2776">
        <v>10</v>
      </c>
      <c r="AW39" s="2776"/>
      <c r="AX39" s="2776">
        <v>20</v>
      </c>
      <c r="AY39" s="2776"/>
      <c r="AZ39" s="1342">
        <v>30</v>
      </c>
      <c r="BA39" s="1344">
        <v>1</v>
      </c>
      <c r="BB39" s="2776">
        <v>10</v>
      </c>
      <c r="BC39" s="2776"/>
      <c r="BD39" s="2776">
        <v>20</v>
      </c>
      <c r="BE39" s="2776"/>
      <c r="BF39" s="1342">
        <v>30</v>
      </c>
      <c r="BG39" s="1341">
        <v>1</v>
      </c>
      <c r="BH39" s="2776">
        <v>10</v>
      </c>
      <c r="BI39" s="2776"/>
      <c r="BJ39" s="2776">
        <v>20</v>
      </c>
      <c r="BK39" s="2776"/>
      <c r="BL39" s="1343">
        <v>30</v>
      </c>
      <c r="BM39" s="1344">
        <v>1</v>
      </c>
      <c r="BN39" s="2776">
        <v>10</v>
      </c>
      <c r="BO39" s="2776"/>
      <c r="BP39" s="2776">
        <v>20</v>
      </c>
      <c r="BQ39" s="2776"/>
      <c r="BR39" s="1342">
        <v>30</v>
      </c>
      <c r="BS39" s="1344">
        <v>1</v>
      </c>
      <c r="BT39" s="2776">
        <v>10</v>
      </c>
      <c r="BU39" s="2776"/>
      <c r="BV39" s="2776">
        <v>20</v>
      </c>
      <c r="BW39" s="2776"/>
      <c r="BX39" s="1342">
        <v>30</v>
      </c>
      <c r="BY39" s="1344">
        <v>1</v>
      </c>
      <c r="BZ39" s="2776">
        <v>10</v>
      </c>
      <c r="CA39" s="2776"/>
      <c r="CB39" s="2776">
        <v>20</v>
      </c>
      <c r="CC39" s="2776"/>
      <c r="CD39" s="1342">
        <v>30</v>
      </c>
      <c r="CE39" s="1344">
        <v>1</v>
      </c>
      <c r="CF39" s="2776">
        <v>10</v>
      </c>
      <c r="CG39" s="2776"/>
      <c r="CH39" s="2776">
        <v>20</v>
      </c>
      <c r="CI39" s="2776"/>
      <c r="CJ39" s="1342">
        <v>30</v>
      </c>
      <c r="CK39" s="1344">
        <v>1</v>
      </c>
      <c r="CL39" s="2776">
        <v>10</v>
      </c>
      <c r="CM39" s="2776"/>
      <c r="CN39" s="2776">
        <v>20</v>
      </c>
      <c r="CO39" s="2776"/>
      <c r="CP39" s="1342">
        <v>30</v>
      </c>
      <c r="CQ39" s="1344">
        <v>1</v>
      </c>
      <c r="CR39" s="2776">
        <v>10</v>
      </c>
      <c r="CS39" s="2776"/>
      <c r="CT39" s="2776">
        <v>20</v>
      </c>
      <c r="CU39" s="2776"/>
      <c r="CV39" s="1342">
        <v>30</v>
      </c>
      <c r="CW39" s="1344">
        <v>1</v>
      </c>
      <c r="CX39" s="2776">
        <v>10</v>
      </c>
      <c r="CY39" s="2776"/>
      <c r="CZ39" s="2776">
        <v>20</v>
      </c>
      <c r="DA39" s="2776"/>
      <c r="DB39" s="1342">
        <v>30</v>
      </c>
      <c r="DC39" s="1344">
        <v>1</v>
      </c>
      <c r="DD39" s="2776">
        <v>10</v>
      </c>
      <c r="DE39" s="2776"/>
      <c r="DF39" s="2776">
        <v>20</v>
      </c>
      <c r="DG39" s="2776"/>
      <c r="DH39" s="1342">
        <v>30</v>
      </c>
      <c r="DI39" s="1344">
        <v>1</v>
      </c>
      <c r="DJ39" s="2776">
        <v>10</v>
      </c>
      <c r="DK39" s="2776"/>
      <c r="DL39" s="2776">
        <v>20</v>
      </c>
      <c r="DM39" s="2776"/>
      <c r="DN39" s="1342">
        <v>30</v>
      </c>
      <c r="DO39" s="1344">
        <v>1</v>
      </c>
      <c r="DP39" s="2776">
        <v>10</v>
      </c>
      <c r="DQ39" s="2776"/>
      <c r="DR39" s="2776">
        <v>20</v>
      </c>
      <c r="DS39" s="2776"/>
      <c r="DT39" s="1342">
        <v>30</v>
      </c>
      <c r="DU39" s="1344">
        <v>1</v>
      </c>
      <c r="DV39" s="2776">
        <v>10</v>
      </c>
      <c r="DW39" s="2776"/>
      <c r="DX39" s="2776">
        <v>20</v>
      </c>
      <c r="DY39" s="2776"/>
      <c r="DZ39" s="1342">
        <v>30</v>
      </c>
      <c r="EA39" s="1344">
        <v>1</v>
      </c>
      <c r="EB39" s="2776">
        <v>10</v>
      </c>
      <c r="EC39" s="2776"/>
      <c r="ED39" s="2776">
        <v>20</v>
      </c>
      <c r="EE39" s="2776"/>
      <c r="EF39" s="1342">
        <v>30</v>
      </c>
      <c r="EG39" s="1344">
        <v>1</v>
      </c>
      <c r="EH39" s="2776">
        <v>10</v>
      </c>
      <c r="EI39" s="2776"/>
      <c r="EJ39" s="2776">
        <v>20</v>
      </c>
      <c r="EK39" s="2776"/>
      <c r="EL39" s="1342">
        <v>30</v>
      </c>
      <c r="EM39" s="1344">
        <v>1</v>
      </c>
      <c r="EN39" s="2776">
        <v>10</v>
      </c>
      <c r="EO39" s="2776"/>
      <c r="EP39" s="2776">
        <v>20</v>
      </c>
      <c r="EQ39" s="2776"/>
      <c r="ER39" s="1342">
        <v>30</v>
      </c>
      <c r="ES39" s="1344">
        <v>1</v>
      </c>
      <c r="ET39" s="2776">
        <v>10</v>
      </c>
      <c r="EU39" s="2776"/>
      <c r="EV39" s="2776">
        <v>20</v>
      </c>
      <c r="EW39" s="2776"/>
      <c r="EX39" s="1342">
        <v>30</v>
      </c>
      <c r="EY39" s="1344">
        <v>1</v>
      </c>
      <c r="EZ39" s="2776">
        <v>10</v>
      </c>
      <c r="FA39" s="2776"/>
      <c r="FB39" s="2776">
        <v>20</v>
      </c>
      <c r="FC39" s="2776"/>
      <c r="FD39" s="1342">
        <v>30</v>
      </c>
      <c r="FE39" s="1344">
        <v>1</v>
      </c>
      <c r="FF39" s="2776">
        <v>10</v>
      </c>
      <c r="FG39" s="2776"/>
      <c r="FH39" s="2776">
        <v>20</v>
      </c>
      <c r="FI39" s="2776"/>
      <c r="FJ39" s="1342">
        <v>30</v>
      </c>
      <c r="FK39" s="1344">
        <v>1</v>
      </c>
      <c r="FL39" s="2776">
        <v>10</v>
      </c>
      <c r="FM39" s="2776"/>
      <c r="FN39" s="2776">
        <v>20</v>
      </c>
      <c r="FO39" s="2776"/>
      <c r="FP39" s="1342">
        <v>30</v>
      </c>
      <c r="FQ39" s="1344">
        <v>1</v>
      </c>
      <c r="FR39" s="2776">
        <v>10</v>
      </c>
      <c r="FS39" s="2776"/>
      <c r="FT39" s="2776">
        <v>20</v>
      </c>
      <c r="FU39" s="2776"/>
      <c r="FV39" s="1342">
        <v>30</v>
      </c>
      <c r="FW39" s="1344">
        <v>1</v>
      </c>
      <c r="FX39" s="2776">
        <v>10</v>
      </c>
      <c r="FY39" s="2776"/>
      <c r="FZ39" s="2776">
        <v>20</v>
      </c>
      <c r="GA39" s="2776"/>
      <c r="GB39" s="1342">
        <v>30</v>
      </c>
      <c r="GC39" s="1344">
        <v>1</v>
      </c>
      <c r="GD39" s="2776">
        <v>10</v>
      </c>
      <c r="GE39" s="2776"/>
      <c r="GF39" s="2776">
        <v>20</v>
      </c>
      <c r="GG39" s="2776"/>
      <c r="GH39" s="1342">
        <v>30</v>
      </c>
    </row>
    <row r="40" spans="1:190" ht="20.100000000000001" customHeight="1" thickBot="1">
      <c r="A40" s="2848" t="s">
        <v>17535</v>
      </c>
      <c r="B40" s="1371" t="s">
        <v>17477</v>
      </c>
      <c r="C40" s="1371">
        <f>実績!B1374</f>
        <v>190122</v>
      </c>
      <c r="D40" s="1372" t="str">
        <f>VLOOKUP(C40,実績!$B$5:'実績'!$AC$1472,2,0)</f>
        <v>ポルシェ鹿児島</v>
      </c>
      <c r="E40" s="1440" t="str">
        <f>SUBSTITUTE(VLOOKUP(D40,実績!$C$5:'実績'!$AC$1472,3,0),"株式会社 ","")</f>
        <v>沖本</v>
      </c>
      <c r="F40" s="1373" t="str">
        <f>SUBSTITUTE(VLOOKUP(D40,実績!$C$5:'実績'!$AC$1472,2,0),"株式会社 ","")</f>
        <v xml:space="preserve">宮北
</v>
      </c>
      <c r="G40" s="1441" t="str">
        <f>SUBSTITUTE(VLOOKUP(D40,実績!$C$5:'実績'!$AC$1472,26,0),"株式会社 ","")</f>
        <v>カーダクレッセ</v>
      </c>
      <c r="H40" s="1375" t="str">
        <f>VLOOKUP(D40,実績!$C$5:'実績'!$AC$1472,4,0)</f>
        <v>鹿児島県</v>
      </c>
      <c r="I40" s="1376" t="str">
        <f>VLOOKUP(D40,実績!$C$5:'実績'!$AC$1472,5,0)</f>
        <v>鹿児島市</v>
      </c>
      <c r="J40" s="1377" t="str">
        <f>VLOOKUP(D40,実績!$C$5:'実績'!$AC$1472,9,0)</f>
        <v>店舗</v>
      </c>
      <c r="K40" s="1373">
        <f>ROUND(VLOOKUP(D40,実績!$C$5:'実績'!$AC$1472,15,0),-1)</f>
        <v>0</v>
      </c>
      <c r="L40" s="1378" t="str">
        <f>VLOOKUP(D40,実績!$C$5:'実績'!$BY$1451,40,0)</f>
        <v>○</v>
      </c>
      <c r="M40" s="1377">
        <f>VLOOKUP(D40,実績!$C$5:'実績'!$BY$1472,38,0)</f>
        <v>0</v>
      </c>
      <c r="N40" s="1377" t="str">
        <f>VLOOKUP(D40,実績!$C$5:'実績'!$BY$1472,37,0)</f>
        <v>-</v>
      </c>
      <c r="O40" s="1373" t="str">
        <f>VLOOKUP(D40,実績!$C$5:'実績'!$BY$1472,41,0)</f>
        <v>独立</v>
      </c>
      <c r="P40" s="1656" t="s">
        <v>17478</v>
      </c>
      <c r="Q40" s="1657" t="s">
        <v>17479</v>
      </c>
      <c r="R40" s="1656"/>
      <c r="S40" s="1773"/>
      <c r="T40" s="1658"/>
      <c r="U40" s="1657"/>
      <c r="V40" s="1772"/>
      <c r="W40" s="1351"/>
      <c r="X40" s="1351"/>
      <c r="Y40" s="1352"/>
      <c r="Z40" s="1351"/>
      <c r="AA40" s="1352"/>
      <c r="AB40" s="1353"/>
      <c r="AC40" s="1351"/>
      <c r="AD40" s="1351"/>
      <c r="AE40" s="1352"/>
      <c r="AF40" s="1351"/>
      <c r="AG40" s="1352"/>
      <c r="AH40" s="1351"/>
      <c r="AI40" s="1354"/>
      <c r="AJ40" s="1351"/>
      <c r="AK40" s="1352"/>
      <c r="AL40" s="1351"/>
      <c r="AM40" s="1352"/>
      <c r="AN40" s="1353"/>
      <c r="AO40" s="1351"/>
      <c r="AP40" s="1351"/>
      <c r="AQ40" s="1352"/>
      <c r="AR40" s="1351"/>
      <c r="AS40" s="1352"/>
      <c r="AT40" s="1351"/>
      <c r="AU40" s="1350"/>
      <c r="AV40" s="1351"/>
      <c r="AW40" s="1352"/>
      <c r="AX40" s="1351"/>
      <c r="AY40" s="1352"/>
      <c r="AZ40" s="1353"/>
      <c r="BA40" s="1354"/>
      <c r="BB40" s="1351"/>
      <c r="BC40" s="1352"/>
      <c r="BD40" s="1351"/>
      <c r="BE40" s="1352"/>
      <c r="BF40" s="1353"/>
      <c r="BG40" s="1351"/>
      <c r="BH40" s="1351"/>
      <c r="BI40" s="1352"/>
      <c r="BJ40" s="1351"/>
      <c r="BK40" s="1352"/>
      <c r="BL40" s="1351"/>
      <c r="BM40" s="1354"/>
      <c r="BN40" s="1351"/>
      <c r="BO40" s="1352"/>
      <c r="BP40" s="1351"/>
      <c r="BQ40" s="1352"/>
      <c r="BR40" s="1353"/>
      <c r="BS40" s="1354"/>
      <c r="BT40" s="1351"/>
      <c r="BU40" s="1352"/>
      <c r="BV40" s="1384"/>
      <c r="BW40" s="1352"/>
      <c r="BX40" s="1353"/>
      <c r="BY40" s="1354"/>
      <c r="BZ40" s="1351"/>
      <c r="CA40" s="1352"/>
      <c r="CB40" s="1351"/>
      <c r="CC40" s="1352"/>
      <c r="CD40" s="1353"/>
      <c r="CE40" s="1354"/>
      <c r="CF40" s="1351"/>
      <c r="CG40" s="1352"/>
      <c r="CH40" s="1351"/>
      <c r="CI40" s="1352"/>
      <c r="CJ40" s="1353"/>
      <c r="CK40" s="1354"/>
      <c r="CL40" s="1351"/>
      <c r="CM40" s="1352"/>
      <c r="CN40" s="1351"/>
      <c r="CO40" s="1352"/>
      <c r="CP40" s="1353"/>
      <c r="CQ40" s="1354"/>
      <c r="CR40" s="1351"/>
      <c r="CS40" s="1352"/>
      <c r="CT40" s="1385"/>
      <c r="CU40" s="1352"/>
      <c r="CV40" s="1353"/>
      <c r="CW40" s="1354"/>
      <c r="CX40" s="1351"/>
      <c r="CY40" s="1352"/>
      <c r="CZ40" s="1351"/>
      <c r="DA40" s="1352"/>
      <c r="DB40" s="1353"/>
      <c r="DC40" s="1354"/>
      <c r="DD40" s="1351"/>
      <c r="DE40" s="1352"/>
      <c r="DF40" s="1351"/>
      <c r="DG40" s="1352"/>
      <c r="DH40" s="1353"/>
      <c r="DI40" s="1354"/>
      <c r="DJ40" s="1351"/>
      <c r="DK40" s="1352"/>
      <c r="DL40" s="1351"/>
      <c r="DM40" s="1352"/>
      <c r="DN40" s="1353"/>
      <c r="DO40" s="1354"/>
      <c r="DP40" s="1351"/>
      <c r="DQ40" s="1352"/>
      <c r="DR40" s="1351"/>
      <c r="DS40" s="1352"/>
      <c r="DT40" s="1353"/>
      <c r="DU40" s="1354"/>
      <c r="DV40" s="1351"/>
      <c r="DW40" s="1352"/>
      <c r="DX40" s="1351"/>
      <c r="DY40" s="1352"/>
      <c r="DZ40" s="1353"/>
      <c r="EA40" s="1354"/>
      <c r="EB40" s="1351"/>
      <c r="EC40" s="1352"/>
      <c r="ED40" s="1351"/>
      <c r="EE40" s="1352"/>
      <c r="EF40" s="1353"/>
      <c r="EG40" s="1354"/>
      <c r="EH40" s="1384"/>
      <c r="EI40" s="1352"/>
      <c r="EJ40" s="1351"/>
      <c r="EK40" s="1352"/>
      <c r="EL40" s="1360"/>
      <c r="EM40" s="1354"/>
      <c r="EN40" s="1351"/>
      <c r="EO40" s="1352"/>
      <c r="EP40" s="1351"/>
      <c r="EQ40" s="1352"/>
      <c r="ER40" s="1353"/>
      <c r="ES40" s="1774"/>
      <c r="ET40" s="1351"/>
      <c r="EU40" s="1352"/>
      <c r="EV40" s="1351"/>
      <c r="EW40" s="1352"/>
      <c r="EX40" s="1353"/>
      <c r="EY40" s="1354"/>
      <c r="EZ40" s="1351"/>
      <c r="FA40" s="1352"/>
      <c r="FB40" s="1351"/>
      <c r="FC40" s="1352"/>
      <c r="FD40" s="1353"/>
      <c r="FE40" s="1354"/>
      <c r="FF40" s="1351"/>
      <c r="FG40" s="1352"/>
      <c r="FH40" s="1351"/>
      <c r="FI40" s="1352"/>
      <c r="FJ40" s="1360"/>
      <c r="FK40" s="1354"/>
      <c r="FL40" s="1351"/>
      <c r="FM40" s="1352"/>
      <c r="FN40" s="1351"/>
      <c r="FO40" s="1352"/>
      <c r="FP40" s="1360"/>
      <c r="FQ40" s="1354"/>
      <c r="FR40" s="1351"/>
      <c r="FS40" s="1352"/>
      <c r="FT40" s="1351" t="s">
        <v>17480</v>
      </c>
      <c r="FU40" s="1352"/>
      <c r="FV40" s="1360"/>
      <c r="FW40" s="1354"/>
      <c r="FX40" s="1351"/>
      <c r="FY40" s="1352"/>
      <c r="FZ40" s="1351"/>
      <c r="GA40" s="1352"/>
      <c r="GB40" s="1360"/>
      <c r="GC40" s="1354"/>
      <c r="GD40" s="1351"/>
      <c r="GE40" s="1352"/>
      <c r="GF40" s="1351"/>
      <c r="GG40" s="1352"/>
      <c r="GH40" s="1360"/>
    </row>
    <row r="41" spans="1:190" ht="20.100000000000001" customHeight="1">
      <c r="A41" s="2848"/>
      <c r="B41" s="2846" t="s">
        <v>10763</v>
      </c>
      <c r="C41" s="1775">
        <v>190124</v>
      </c>
      <c r="D41" s="1776" t="str">
        <f>実績!C1376</f>
        <v>東北マツダ泉 工場棟</v>
      </c>
      <c r="E41" s="1777" t="str">
        <f>SUBSTITUTE(VLOOKUP(D41,実績!$C$5:'実績'!$AC$1451,3,0),"株式会社 ","")</f>
        <v>沖本</v>
      </c>
      <c r="F41" s="1778" t="str">
        <f>SUBSTITUTE(VLOOKUP(D41,実績!$C$5:'実績'!$AC$1451,2,0),"株式会社 ","")</f>
        <v>タオ</v>
      </c>
      <c r="G41" s="1779" t="str">
        <f>SUBSTITUTE(VLOOKUP(D41,実績!$C$5:'実績'!$AC$1451,16,0)," 株式会社","")</f>
        <v>マツダエース</v>
      </c>
      <c r="H41" s="1780" t="str">
        <f>VLOOKUP(D41,実績!$C$5:'実績'!$AC$1451,4,0)</f>
        <v>宮城県</v>
      </c>
      <c r="I41" s="1781" t="str">
        <f>VLOOKUP(D41,実績!$C$5:'実績'!$AC$1451,5,0)</f>
        <v>仙台市</v>
      </c>
      <c r="J41" s="1782" t="str">
        <f>VLOOKUP(D41,実績!$C$5:'実績'!$AC$1451,9,0)</f>
        <v>工場</v>
      </c>
      <c r="K41" s="1778">
        <f>ROUND(VLOOKUP(D41,実績!$C$5:'実績'!$AC$1472,15,0),-1)</f>
        <v>0</v>
      </c>
      <c r="L41" s="1783" t="str">
        <f>VLOOKUP(D41,実績!$C$5:'実績'!$BY$1451,40,0)</f>
        <v>-</v>
      </c>
      <c r="M41" s="1782" t="str">
        <f>VLOOKUP(D41,実績!$C$5:'実績'!$BY$1472,38,0)</f>
        <v>-</v>
      </c>
      <c r="N41" s="1782" t="str">
        <f>VLOOKUP(D41,実績!$C$5:'実績'!$BY$1472,37,0)</f>
        <v>-</v>
      </c>
      <c r="O41" s="1778" t="str">
        <f>VLOOKUP(D41,実績!$C$5:'実績'!$BY$1472,41,0)</f>
        <v>独立</v>
      </c>
      <c r="P41" s="1693"/>
      <c r="Q41" s="1694"/>
      <c r="R41" s="1695"/>
      <c r="S41" s="1696"/>
      <c r="T41" s="1697"/>
      <c r="U41" s="1698"/>
      <c r="V41" s="1699"/>
      <c r="W41" s="1404"/>
      <c r="X41" s="1404"/>
      <c r="Y41" s="1401"/>
      <c r="Z41" s="1404"/>
      <c r="AA41" s="1401"/>
      <c r="AB41" s="1405"/>
      <c r="AC41" s="1404"/>
      <c r="AD41" s="1404"/>
      <c r="AE41" s="1401"/>
      <c r="AF41" s="1404"/>
      <c r="AG41" s="1401"/>
      <c r="AH41" s="1404"/>
      <c r="AI41" s="1406"/>
      <c r="AJ41" s="1404"/>
      <c r="AK41" s="1401"/>
      <c r="AL41" s="1404"/>
      <c r="AM41" s="1401"/>
      <c r="AN41" s="1405"/>
      <c r="AO41" s="1404"/>
      <c r="AP41" s="1404"/>
      <c r="AQ41" s="1401"/>
      <c r="AR41" s="1404"/>
      <c r="AS41" s="1401"/>
      <c r="AT41" s="1404"/>
      <c r="AU41" s="1407"/>
      <c r="AV41" s="1404"/>
      <c r="AW41" s="1401"/>
      <c r="AX41" s="1404"/>
      <c r="AY41" s="1401"/>
      <c r="AZ41" s="1405"/>
      <c r="BA41" s="1406"/>
      <c r="BB41" s="1404"/>
      <c r="BC41" s="1401"/>
      <c r="BD41" s="1404"/>
      <c r="BE41" s="1401"/>
      <c r="BF41" s="1405"/>
      <c r="BG41" s="1404"/>
      <c r="BH41" s="1404"/>
      <c r="BI41" s="1401"/>
      <c r="BJ41" s="1404"/>
      <c r="BK41" s="1401"/>
      <c r="BL41" s="1404"/>
      <c r="BM41" s="1406"/>
      <c r="BN41" s="1404"/>
      <c r="BO41" s="1401"/>
      <c r="BP41" s="1404"/>
      <c r="BQ41" s="1401"/>
      <c r="BR41" s="1405"/>
      <c r="BS41" s="1406"/>
      <c r="BT41" s="1404"/>
      <c r="BU41" s="1401"/>
      <c r="BV41" s="1408"/>
      <c r="BW41" s="1401"/>
      <c r="BX41" s="1405"/>
      <c r="BY41" s="1406"/>
      <c r="BZ41" s="1404"/>
      <c r="CA41" s="1401"/>
      <c r="CB41" s="1404"/>
      <c r="CC41" s="1401"/>
      <c r="CD41" s="1405"/>
      <c r="CE41" s="1406"/>
      <c r="CF41" s="1404"/>
      <c r="CG41" s="1401"/>
      <c r="CH41" s="1404"/>
      <c r="CI41" s="1401"/>
      <c r="CJ41" s="1405"/>
      <c r="CK41" s="1406"/>
      <c r="CL41" s="1404"/>
      <c r="CM41" s="1401"/>
      <c r="CN41" s="1404"/>
      <c r="CO41" s="1401"/>
      <c r="CP41" s="1405"/>
      <c r="CQ41" s="1406"/>
      <c r="CR41" s="1404"/>
      <c r="CS41" s="1401"/>
      <c r="CT41" s="1409"/>
      <c r="CU41" s="1401"/>
      <c r="CV41" s="1405"/>
      <c r="CW41" s="1406"/>
      <c r="CX41" s="1404"/>
      <c r="CY41" s="1401"/>
      <c r="CZ41" s="1404"/>
      <c r="DA41" s="1401"/>
      <c r="DB41" s="1405"/>
      <c r="DC41" s="1406"/>
      <c r="DD41" s="1404"/>
      <c r="DE41" s="1401"/>
      <c r="DF41" s="1404"/>
      <c r="DG41" s="1401"/>
      <c r="DH41" s="1405"/>
      <c r="DI41" s="1406"/>
      <c r="DJ41" s="1404"/>
      <c r="DK41" s="1401"/>
      <c r="DL41" s="1404"/>
      <c r="DM41" s="1401"/>
      <c r="DN41" s="1405"/>
      <c r="DO41" s="1406"/>
      <c r="DP41" s="1404"/>
      <c r="DQ41" s="1401"/>
      <c r="DR41" s="1404"/>
      <c r="DS41" s="1401"/>
      <c r="DT41" s="1405"/>
      <c r="DU41" s="1406"/>
      <c r="DV41" s="1404"/>
      <c r="DW41" s="1401"/>
      <c r="DX41" s="1404"/>
      <c r="DY41" s="1401"/>
      <c r="DZ41" s="1405"/>
      <c r="EA41" s="1406"/>
      <c r="EB41" s="1404"/>
      <c r="EC41" s="1401"/>
      <c r="ED41" s="1404"/>
      <c r="EE41" s="1401"/>
      <c r="EF41" s="1405"/>
      <c r="EG41" s="1406"/>
      <c r="EH41" s="1404"/>
      <c r="EI41" s="1401"/>
      <c r="EJ41" s="1404"/>
      <c r="EK41" s="1401"/>
      <c r="EL41" s="1405"/>
      <c r="EM41" s="1406"/>
      <c r="EN41" s="1404"/>
      <c r="EO41" s="1401"/>
      <c r="EP41" s="1404"/>
      <c r="EQ41" s="1401"/>
      <c r="ER41" s="1405"/>
      <c r="ES41" s="1406"/>
      <c r="ET41" s="1404"/>
      <c r="EU41" s="1401"/>
      <c r="EV41" s="1404" t="s">
        <v>8626</v>
      </c>
      <c r="EW41" s="1401"/>
      <c r="EX41" s="1405"/>
      <c r="EY41" s="1406"/>
      <c r="EZ41" s="1404"/>
      <c r="FA41" s="1401"/>
      <c r="FB41" s="1404"/>
      <c r="FC41" s="1401"/>
      <c r="FD41" s="1405"/>
      <c r="FE41" s="1406"/>
      <c r="FF41" s="1404"/>
      <c r="FG41" s="1401"/>
      <c r="FH41" s="1404"/>
      <c r="FI41" s="1401"/>
      <c r="FJ41" s="1405"/>
      <c r="FK41" s="1410"/>
      <c r="FL41" s="1411"/>
      <c r="FM41" s="1412"/>
      <c r="FN41" s="1411"/>
      <c r="FO41" s="1412"/>
      <c r="FP41" s="1413"/>
      <c r="FQ41" s="1410"/>
      <c r="FR41" s="1411"/>
      <c r="FS41" s="1412"/>
      <c r="FT41" s="1411"/>
      <c r="FU41" s="1412"/>
      <c r="FV41" s="1413"/>
      <c r="FW41" s="1410"/>
      <c r="FX41" s="1411"/>
      <c r="FY41" s="1412"/>
      <c r="FZ41" s="1411"/>
      <c r="GA41" s="1412"/>
      <c r="GB41" s="1413"/>
      <c r="GC41" s="1410"/>
      <c r="GD41" s="1411"/>
      <c r="GE41" s="1412"/>
      <c r="GF41" s="1411"/>
      <c r="GG41" s="1412"/>
      <c r="GH41" s="1413"/>
    </row>
    <row r="42" spans="1:190" ht="20.100000000000001" customHeight="1" thickBot="1">
      <c r="A42" s="2848"/>
      <c r="B42" s="2846"/>
      <c r="C42" s="1414">
        <v>200012</v>
      </c>
      <c r="D42" s="1415" t="str">
        <f>実績!C1409</f>
        <v>BMW姫路支店/MINI姫路</v>
      </c>
      <c r="E42" s="1416" t="str">
        <f>SUBSTITUTE(VLOOKUP(D42,実績!$C$5:'実績'!$AC$1451,3,0),"株式会社 ","")</f>
        <v>沖本</v>
      </c>
      <c r="F42" s="1363" t="str">
        <f>SUBSTITUTE(VLOOKUP(D42,実績!$C$5:'実績'!$AC$1451,2,0),"株式会社 ","")</f>
        <v>村上</v>
      </c>
      <c r="G42" s="1417" t="str">
        <f>SUBSTITUTE(VLOOKUP(D42,実績!$C$5:'実績'!$AC$1451,26,0),"株式会社 ","")</f>
        <v>カーダクレッセ</v>
      </c>
      <c r="H42" s="1418" t="str">
        <f>VLOOKUP(D42,実績!$C$5:'実績'!$AC$1451,4,0)</f>
        <v>兵庫県</v>
      </c>
      <c r="I42" s="1419" t="str">
        <f>VLOOKUP(D42,実績!$C$5:'実績'!$AC$1451,5,0)</f>
        <v>姫路市</v>
      </c>
      <c r="J42" s="1420" t="str">
        <f>VLOOKUP(D42,実績!$C$5:'実績'!$AC$1451,9,0)</f>
        <v>店舗</v>
      </c>
      <c r="K42" s="1421">
        <f>ROUND(VLOOKUP(D42,実績!$C$5:'実績'!$AC$1472,15,0),-1)</f>
        <v>1590</v>
      </c>
      <c r="L42" s="1361" t="str">
        <f>VLOOKUP(D42,実績!$C$5:'実績'!$BY$1451,40,0)</f>
        <v>○</v>
      </c>
      <c r="M42" s="1362" t="str">
        <f>VLOOKUP(D42,実績!$C$5:'実績'!$BY$1472,38,0)</f>
        <v>-</v>
      </c>
      <c r="N42" s="1362" t="str">
        <f>VLOOKUP(D42,実績!$C$5:'実績'!$BY$1472,37,0)</f>
        <v>-</v>
      </c>
      <c r="O42" s="1363" t="str">
        <f>VLOOKUP(D42,実績!$C$5:'実績'!$BY$1472,41,0)</f>
        <v>独立</v>
      </c>
      <c r="P42" s="1700"/>
      <c r="Q42" s="1701"/>
      <c r="R42" s="1702"/>
      <c r="S42" s="1703"/>
      <c r="T42" s="1704"/>
      <c r="U42" s="1705"/>
      <c r="V42" s="1706"/>
      <c r="W42" s="1364"/>
      <c r="X42" s="1364"/>
      <c r="Y42" s="1365"/>
      <c r="Z42" s="1364"/>
      <c r="AA42" s="1365"/>
      <c r="AB42" s="1366"/>
      <c r="AC42" s="1364"/>
      <c r="AD42" s="1364"/>
      <c r="AE42" s="1365"/>
      <c r="AF42" s="1364"/>
      <c r="AG42" s="1365"/>
      <c r="AH42" s="1364"/>
      <c r="AI42" s="1367"/>
      <c r="AJ42" s="1364"/>
      <c r="AK42" s="1365"/>
      <c r="AL42" s="1364"/>
      <c r="AM42" s="1365"/>
      <c r="AN42" s="1366"/>
      <c r="AO42" s="1364"/>
      <c r="AP42" s="1364"/>
      <c r="AQ42" s="1365"/>
      <c r="AR42" s="1364"/>
      <c r="AS42" s="1365"/>
      <c r="AT42" s="1364"/>
      <c r="AU42" s="1368"/>
      <c r="AV42" s="1364"/>
      <c r="AW42" s="1365"/>
      <c r="AX42" s="1364"/>
      <c r="AY42" s="1365"/>
      <c r="AZ42" s="1366"/>
      <c r="BA42" s="1367"/>
      <c r="BB42" s="1364"/>
      <c r="BC42" s="1365"/>
      <c r="BD42" s="1364"/>
      <c r="BE42" s="1365"/>
      <c r="BF42" s="1366"/>
      <c r="BG42" s="1364"/>
      <c r="BH42" s="1364"/>
      <c r="BI42" s="1365"/>
      <c r="BJ42" s="1364"/>
      <c r="BK42" s="1365"/>
      <c r="BL42" s="1364"/>
      <c r="BM42" s="1367"/>
      <c r="BN42" s="1364"/>
      <c r="BO42" s="1365"/>
      <c r="BP42" s="1364"/>
      <c r="BQ42" s="1365"/>
      <c r="BR42" s="1366"/>
      <c r="BS42" s="1367"/>
      <c r="BT42" s="1364"/>
      <c r="BU42" s="1365"/>
      <c r="BV42" s="1369"/>
      <c r="BW42" s="1365"/>
      <c r="BX42" s="1366"/>
      <c r="BY42" s="1367"/>
      <c r="BZ42" s="1364"/>
      <c r="CA42" s="1365"/>
      <c r="CB42" s="1364"/>
      <c r="CC42" s="1365"/>
      <c r="CD42" s="1366"/>
      <c r="CE42" s="1367"/>
      <c r="CF42" s="1364"/>
      <c r="CG42" s="1365"/>
      <c r="CH42" s="1364"/>
      <c r="CI42" s="1365"/>
      <c r="CJ42" s="1366"/>
      <c r="CK42" s="1367"/>
      <c r="CL42" s="1364"/>
      <c r="CM42" s="1365"/>
      <c r="CN42" s="1364"/>
      <c r="CO42" s="1365"/>
      <c r="CP42" s="1366"/>
      <c r="CQ42" s="1367"/>
      <c r="CR42" s="1364"/>
      <c r="CS42" s="1365"/>
      <c r="CT42" s="1370"/>
      <c r="CU42" s="1365"/>
      <c r="CV42" s="1366"/>
      <c r="CW42" s="1367"/>
      <c r="CX42" s="1364"/>
      <c r="CY42" s="1365"/>
      <c r="CZ42" s="1364"/>
      <c r="DA42" s="1365"/>
      <c r="DB42" s="1366"/>
      <c r="DC42" s="1367"/>
      <c r="DD42" s="1364"/>
      <c r="DE42" s="1365"/>
      <c r="DF42" s="1364"/>
      <c r="DG42" s="1365"/>
      <c r="DH42" s="1366"/>
      <c r="DI42" s="1367"/>
      <c r="DJ42" s="1364"/>
      <c r="DK42" s="1365"/>
      <c r="DL42" s="1364"/>
      <c r="DM42" s="1365"/>
      <c r="DN42" s="1366"/>
      <c r="DO42" s="1367"/>
      <c r="DP42" s="1364"/>
      <c r="DQ42" s="1365"/>
      <c r="DR42" s="1364"/>
      <c r="DS42" s="1365"/>
      <c r="DT42" s="1366"/>
      <c r="DU42" s="1367"/>
      <c r="DV42" s="1364"/>
      <c r="DW42" s="1365"/>
      <c r="DX42" s="1364"/>
      <c r="DY42" s="1365"/>
      <c r="DZ42" s="1366"/>
      <c r="EA42" s="1367"/>
      <c r="EB42" s="1364"/>
      <c r="EC42" s="1365"/>
      <c r="ED42" s="1364"/>
      <c r="EE42" s="1365"/>
      <c r="EF42" s="1366"/>
      <c r="EG42" s="1367"/>
      <c r="EH42" s="1364"/>
      <c r="EI42" s="1365"/>
      <c r="EJ42" s="1364"/>
      <c r="EK42" s="1365"/>
      <c r="EL42" s="1366"/>
      <c r="EM42" s="1367"/>
      <c r="EN42" s="1364"/>
      <c r="EO42" s="1365"/>
      <c r="EP42" s="1364"/>
      <c r="EQ42" s="1365"/>
      <c r="ER42" s="1396"/>
      <c r="ES42" s="1367"/>
      <c r="ET42" s="1364"/>
      <c r="EU42" s="1365"/>
      <c r="EV42" s="1364"/>
      <c r="EW42" s="1365"/>
      <c r="EX42" s="1396"/>
      <c r="EY42" s="1367" t="s">
        <v>12888</v>
      </c>
      <c r="EZ42" s="1364"/>
      <c r="FA42" s="1365"/>
      <c r="FB42" s="1364"/>
      <c r="FC42" s="1365"/>
      <c r="FD42" s="1396"/>
      <c r="FE42" s="1367" t="s">
        <v>8250</v>
      </c>
      <c r="FF42" s="1364"/>
      <c r="FG42" s="1365"/>
      <c r="FH42" s="1364"/>
      <c r="FI42" s="1365"/>
      <c r="FJ42" s="1396"/>
      <c r="FK42" s="1390"/>
      <c r="FL42" s="1391"/>
      <c r="FM42" s="1392"/>
      <c r="FN42" s="1391"/>
      <c r="FO42" s="1392"/>
      <c r="FP42" s="1394"/>
      <c r="FQ42" s="1390"/>
      <c r="FR42" s="1391"/>
      <c r="FS42" s="1392"/>
      <c r="FT42" s="1391"/>
      <c r="FU42" s="1392"/>
      <c r="FV42" s="1394"/>
      <c r="FW42" s="1390"/>
      <c r="FX42" s="1391"/>
      <c r="FY42" s="1392"/>
      <c r="FZ42" s="1391" t="s">
        <v>8145</v>
      </c>
      <c r="GA42" s="1392"/>
      <c r="GB42" s="1394"/>
      <c r="GC42" s="1390"/>
      <c r="GD42" s="1391"/>
      <c r="GE42" s="1392"/>
      <c r="GF42" s="1391"/>
      <c r="GG42" s="1392"/>
      <c r="GH42" s="1394"/>
    </row>
    <row r="43" spans="1:190" ht="20.100000000000001" customHeight="1">
      <c r="A43" s="2848"/>
      <c r="B43" s="2846"/>
      <c r="C43" s="1397">
        <v>190118</v>
      </c>
      <c r="D43" s="1398" t="str">
        <f>実績!C1370</f>
        <v>MINI大阪南</v>
      </c>
      <c r="E43" s="1399" t="str">
        <f>SUBSTITUTE(VLOOKUP(D43,実績!$C$5:'実績'!$AC$1451,3,0),"株式会社 ","")</f>
        <v>沖本</v>
      </c>
      <c r="F43" s="1400" t="str">
        <f>SUBSTITUTE(VLOOKUP(D43,実績!$C$5:'実績'!$AC$1451,2,0),"株式会社 ","")</f>
        <v>村上</v>
      </c>
      <c r="G43" s="1401" t="str">
        <f>SUBSTITUTE(VLOOKUP(D43,実績!$C$5:'実績'!$AC$1451,26,0),"株式会社 ","")</f>
        <v>カーダクレッセ</v>
      </c>
      <c r="H43" s="1422" t="str">
        <f>VLOOKUP(D43,実績!$C$5:'実績'!$AC$1451,4,0)</f>
        <v>大阪府</v>
      </c>
      <c r="I43" s="1423" t="str">
        <f>VLOOKUP(D43,実績!$C$5:'実績'!$AC$1451,5,0)</f>
        <v>大阪市</v>
      </c>
      <c r="J43" s="1403" t="str">
        <f>VLOOKUP(D43,実績!$C$5:'実績'!$AC$1451,9,0)</f>
        <v>工場</v>
      </c>
      <c r="K43" s="1400">
        <f>ROUND(VLOOKUP(D43,実績!$C$5:'実績'!$AC$1472,15,0),-1)</f>
        <v>670</v>
      </c>
      <c r="L43" s="1402" t="str">
        <f>VLOOKUP(D43,実績!$C$5:'実績'!$BY$1451,40,0)</f>
        <v>○</v>
      </c>
      <c r="M43" s="1403" t="str">
        <f>VLOOKUP(D43,実績!$C$5:'実績'!$BY$1472,38,0)</f>
        <v>-</v>
      </c>
      <c r="N43" s="1403" t="str">
        <f>VLOOKUP(D43,実績!$C$5:'実績'!$BY$1472,37,0)</f>
        <v>-</v>
      </c>
      <c r="O43" s="1400" t="str">
        <f>VLOOKUP(D43,実績!$C$5:'実績'!$BY$1472,41,0)</f>
        <v>独立</v>
      </c>
      <c r="P43" s="1693"/>
      <c r="Q43" s="1694"/>
      <c r="R43" s="1695"/>
      <c r="S43" s="1696"/>
      <c r="T43" s="1697"/>
      <c r="U43" s="1698"/>
      <c r="V43" s="1699"/>
      <c r="W43" s="1404"/>
      <c r="X43" s="1404"/>
      <c r="Y43" s="1401"/>
      <c r="Z43" s="1404"/>
      <c r="AA43" s="1401"/>
      <c r="AB43" s="1405"/>
      <c r="AC43" s="1404"/>
      <c r="AD43" s="1404"/>
      <c r="AE43" s="1401"/>
      <c r="AF43" s="1404"/>
      <c r="AG43" s="1401"/>
      <c r="AH43" s="1404"/>
      <c r="AI43" s="1406"/>
      <c r="AJ43" s="1404"/>
      <c r="AK43" s="1401"/>
      <c r="AL43" s="1404"/>
      <c r="AM43" s="1401"/>
      <c r="AN43" s="1405"/>
      <c r="AO43" s="1404"/>
      <c r="AP43" s="1404"/>
      <c r="AQ43" s="1401"/>
      <c r="AR43" s="1404"/>
      <c r="AS43" s="1401"/>
      <c r="AT43" s="1404"/>
      <c r="AU43" s="1407"/>
      <c r="AV43" s="1404"/>
      <c r="AW43" s="1401"/>
      <c r="AX43" s="1404"/>
      <c r="AY43" s="1401"/>
      <c r="AZ43" s="1405"/>
      <c r="BA43" s="1406"/>
      <c r="BB43" s="1404"/>
      <c r="BC43" s="1401"/>
      <c r="BD43" s="1404"/>
      <c r="BE43" s="1401"/>
      <c r="BF43" s="1405"/>
      <c r="BG43" s="1404"/>
      <c r="BH43" s="1404"/>
      <c r="BI43" s="1401"/>
      <c r="BJ43" s="1404"/>
      <c r="BK43" s="1401"/>
      <c r="BL43" s="1404"/>
      <c r="BM43" s="1406"/>
      <c r="BN43" s="1404"/>
      <c r="BO43" s="1401"/>
      <c r="BP43" s="1404"/>
      <c r="BQ43" s="1401"/>
      <c r="BR43" s="1405"/>
      <c r="BS43" s="1406"/>
      <c r="BT43" s="1404"/>
      <c r="BU43" s="1401"/>
      <c r="BV43" s="1408"/>
      <c r="BW43" s="1401"/>
      <c r="BX43" s="1405"/>
      <c r="BY43" s="1406"/>
      <c r="BZ43" s="1404"/>
      <c r="CA43" s="1401"/>
      <c r="CB43" s="1404"/>
      <c r="CC43" s="1401"/>
      <c r="CD43" s="1405"/>
      <c r="CE43" s="1406"/>
      <c r="CF43" s="1404"/>
      <c r="CG43" s="1401"/>
      <c r="CH43" s="1404"/>
      <c r="CI43" s="1401"/>
      <c r="CJ43" s="1405"/>
      <c r="CK43" s="1406"/>
      <c r="CL43" s="1404"/>
      <c r="CM43" s="1401"/>
      <c r="CN43" s="1404"/>
      <c r="CO43" s="1401"/>
      <c r="CP43" s="1405"/>
      <c r="CQ43" s="1406"/>
      <c r="CR43" s="1404"/>
      <c r="CS43" s="1401"/>
      <c r="CT43" s="1409"/>
      <c r="CU43" s="1401"/>
      <c r="CV43" s="1405"/>
      <c r="CW43" s="1406" t="s">
        <v>10546</v>
      </c>
      <c r="CX43" s="1404"/>
      <c r="CY43" s="1401"/>
      <c r="CZ43" s="1404"/>
      <c r="DA43" s="1401"/>
      <c r="DB43" s="1405"/>
      <c r="DC43" s="1406"/>
      <c r="DD43" s="1404"/>
      <c r="DE43" s="1401"/>
      <c r="DF43" s="1404"/>
      <c r="DG43" s="1401"/>
      <c r="DH43" s="1405"/>
      <c r="DI43" s="1406"/>
      <c r="DJ43" s="1404"/>
      <c r="DK43" s="1401"/>
      <c r="DL43" s="1404"/>
      <c r="DM43" s="1401"/>
      <c r="DN43" s="1405"/>
      <c r="DO43" s="1406"/>
      <c r="DP43" s="1404"/>
      <c r="DQ43" s="1401"/>
      <c r="DR43" s="1404"/>
      <c r="DS43" s="1401"/>
      <c r="DT43" s="1405"/>
      <c r="DU43" s="1406" t="s">
        <v>8644</v>
      </c>
      <c r="DV43" s="1404"/>
      <c r="DW43" s="1401"/>
      <c r="DX43" s="1404"/>
      <c r="DY43" s="1401"/>
      <c r="DZ43" s="1424"/>
      <c r="EA43" s="1406"/>
      <c r="EB43" s="1404"/>
      <c r="EC43" s="1401"/>
      <c r="ED43" s="1404"/>
      <c r="EE43" s="1401"/>
      <c r="EF43" s="1405"/>
      <c r="EG43" s="1406"/>
      <c r="EH43" s="1404"/>
      <c r="EI43" s="1401"/>
      <c r="EJ43" s="1404"/>
      <c r="EK43" s="1401"/>
      <c r="EL43" s="1405"/>
      <c r="EM43" s="1406"/>
      <c r="EN43" s="1404"/>
      <c r="EO43" s="1401"/>
      <c r="EP43" s="1404"/>
      <c r="EQ43" s="1401" t="s">
        <v>12888</v>
      </c>
      <c r="ER43" s="1405"/>
      <c r="ES43" s="1406"/>
      <c r="ET43" s="1404"/>
      <c r="EU43" s="1401"/>
      <c r="EV43" s="1404"/>
      <c r="EW43" s="1401"/>
      <c r="EX43" s="1424"/>
      <c r="EY43" s="1406"/>
      <c r="EZ43" s="1404" t="s">
        <v>8250</v>
      </c>
      <c r="FA43" s="1401"/>
      <c r="FB43" s="1404"/>
      <c r="FC43" s="1401"/>
      <c r="FD43" s="1424"/>
      <c r="FE43" s="1406"/>
      <c r="FF43" s="1404"/>
      <c r="FG43" s="1401"/>
      <c r="FH43" s="1404"/>
      <c r="FI43" s="1401"/>
      <c r="FJ43" s="1424"/>
      <c r="FK43" s="1406" t="s">
        <v>8145</v>
      </c>
      <c r="FL43" s="1404"/>
      <c r="FM43" s="1401"/>
      <c r="FN43" s="1404"/>
      <c r="FO43" s="1401"/>
      <c r="FP43" s="1424"/>
      <c r="FQ43" s="1406"/>
      <c r="FR43" s="1404"/>
      <c r="FS43" s="1401"/>
      <c r="FT43" s="1404"/>
      <c r="FU43" s="1401"/>
      <c r="FV43" s="1424"/>
      <c r="FW43" s="1406"/>
      <c r="FX43" s="1404"/>
      <c r="FY43" s="1401"/>
      <c r="FZ43" s="1404"/>
      <c r="GA43" s="1401"/>
      <c r="GB43" s="1424"/>
      <c r="GC43" s="1406"/>
      <c r="GD43" s="1404"/>
      <c r="GE43" s="1401"/>
      <c r="GF43" s="1404"/>
      <c r="GG43" s="1401"/>
      <c r="GH43" s="1424"/>
    </row>
    <row r="44" spans="1:190" ht="20.100000000000001" customHeight="1">
      <c r="A44" s="2848"/>
      <c r="B44" s="2846"/>
      <c r="C44" s="1425">
        <v>190136</v>
      </c>
      <c r="D44" s="1426" t="str">
        <f>実績!C1393</f>
        <v>スーパーマーケット 袋井駅南</v>
      </c>
      <c r="E44" s="1427" t="str">
        <f>SUBSTITUTE(VLOOKUP(D44,実績!$C$5:'実績'!$AC$1451,3,0),"株式会社 ","")</f>
        <v>沖本</v>
      </c>
      <c r="F44" s="1389" t="str">
        <f>SUBSTITUTE(VLOOKUP(D44,実績!$C$5:'実績'!$AC$1451,2,0),"株式会社 ","")</f>
        <v>近藤
(外注)</v>
      </c>
      <c r="G44" s="1392" t="str">
        <f>SUBSTITUTE(VLOOKUP(D44,実績!$C$5:'実績'!$AC$1451,16,0),"株式会社 ","")</f>
        <v>上野山都市設計</v>
      </c>
      <c r="H44" s="1386" t="str">
        <f>VLOOKUP(D44,実績!$C$5:'実績'!$AC$1451,4,0)</f>
        <v>静岡県</v>
      </c>
      <c r="I44" s="1387" t="str">
        <f>VLOOKUP(D44,実績!$C$5:'実績'!$AC$1451,5,0)</f>
        <v>袋井市</v>
      </c>
      <c r="J44" s="1388" t="str">
        <f>VLOOKUP(D44,実績!$C$5:'実績'!$AC$1451,9,0)</f>
        <v>店舗</v>
      </c>
      <c r="K44" s="1389">
        <f>ROUND(VLOOKUP(D44,実績!$C$5:'実績'!$AC$1472,15,0),-1)</f>
        <v>3500</v>
      </c>
      <c r="L44" s="1428" t="str">
        <f>VLOOKUP(D44,実績!$C$5:'実績'!$BY$1451,40,0)</f>
        <v>○</v>
      </c>
      <c r="M44" s="1388" t="str">
        <f>VLOOKUP(D44,実績!$C$5:'実績'!$BY$1472,38,0)</f>
        <v>○
6m</v>
      </c>
      <c r="N44" s="1388" t="str">
        <f>VLOOKUP(D44,実績!$C$5:'実績'!$BY$1472,37,0)</f>
        <v>-</v>
      </c>
      <c r="O44" s="1389" t="str">
        <f>VLOOKUP(D44,実績!$C$5:'実績'!$BY$1472,41,0)</f>
        <v>独立</v>
      </c>
      <c r="P44" s="1707"/>
      <c r="Q44" s="1708"/>
      <c r="R44" s="1709"/>
      <c r="S44" s="1710"/>
      <c r="T44" s="1711"/>
      <c r="U44" s="1712"/>
      <c r="V44" s="1713"/>
      <c r="W44" s="1355"/>
      <c r="X44" s="1355"/>
      <c r="Y44" s="1356"/>
      <c r="Z44" s="1355"/>
      <c r="AA44" s="1356"/>
      <c r="AB44" s="1357"/>
      <c r="AC44" s="1355"/>
      <c r="AD44" s="1355"/>
      <c r="AE44" s="1356"/>
      <c r="AF44" s="1355"/>
      <c r="AG44" s="1356"/>
      <c r="AH44" s="1355"/>
      <c r="AI44" s="1175"/>
      <c r="AJ44" s="1355"/>
      <c r="AK44" s="1356"/>
      <c r="AL44" s="1355"/>
      <c r="AM44" s="1356"/>
      <c r="AN44" s="1357"/>
      <c r="AO44" s="1355"/>
      <c r="AP44" s="1355"/>
      <c r="AQ44" s="1356"/>
      <c r="AR44" s="1355"/>
      <c r="AS44" s="1356"/>
      <c r="AT44" s="1355"/>
      <c r="AU44" s="1358"/>
      <c r="AV44" s="1355"/>
      <c r="AW44" s="1356"/>
      <c r="AX44" s="1355"/>
      <c r="AY44" s="1356"/>
      <c r="AZ44" s="1357"/>
      <c r="BA44" s="1175"/>
      <c r="BB44" s="1355"/>
      <c r="BC44" s="1356"/>
      <c r="BD44" s="1355"/>
      <c r="BE44" s="1356"/>
      <c r="BF44" s="1357"/>
      <c r="BG44" s="1355"/>
      <c r="BH44" s="1355"/>
      <c r="BI44" s="1356"/>
      <c r="BJ44" s="1355"/>
      <c r="BK44" s="1356"/>
      <c r="BL44" s="1355"/>
      <c r="BM44" s="1175"/>
      <c r="BN44" s="1355"/>
      <c r="BO44" s="1356"/>
      <c r="BP44" s="1355"/>
      <c r="BQ44" s="1356"/>
      <c r="BR44" s="1357"/>
      <c r="BS44" s="1175"/>
      <c r="BT44" s="1355"/>
      <c r="BU44" s="1356"/>
      <c r="BV44" s="1429"/>
      <c r="BW44" s="1356"/>
      <c r="BX44" s="1357"/>
      <c r="BY44" s="1175"/>
      <c r="BZ44" s="1355"/>
      <c r="CA44" s="1356"/>
      <c r="CB44" s="1355"/>
      <c r="CC44" s="1356"/>
      <c r="CD44" s="1357"/>
      <c r="CE44" s="1175"/>
      <c r="CF44" s="1355"/>
      <c r="CG44" s="1356"/>
      <c r="CH44" s="1355"/>
      <c r="CI44" s="1356"/>
      <c r="CJ44" s="1357"/>
      <c r="CK44" s="1175"/>
      <c r="CL44" s="1355"/>
      <c r="CM44" s="1356"/>
      <c r="CN44" s="1355"/>
      <c r="CO44" s="1356"/>
      <c r="CP44" s="1357"/>
      <c r="CQ44" s="1175"/>
      <c r="CR44" s="1355"/>
      <c r="CS44" s="1356"/>
      <c r="CT44" s="1430"/>
      <c r="CU44" s="1356"/>
      <c r="CV44" s="1357"/>
      <c r="CW44" s="1175"/>
      <c r="CX44" s="1355"/>
      <c r="CY44" s="1356"/>
      <c r="CZ44" s="1355"/>
      <c r="DA44" s="1356"/>
      <c r="DB44" s="1357"/>
      <c r="DC44" s="1390"/>
      <c r="DD44" s="1391"/>
      <c r="DE44" s="1392"/>
      <c r="DF44" s="1391"/>
      <c r="DG44" s="1392"/>
      <c r="DH44" s="1393"/>
      <c r="DI44" s="1390"/>
      <c r="DJ44" s="1391"/>
      <c r="DK44" s="1392"/>
      <c r="DL44" s="1391"/>
      <c r="DM44" s="1392"/>
      <c r="DN44" s="1393"/>
      <c r="DO44" s="1390"/>
      <c r="DP44" s="1391"/>
      <c r="DQ44" s="1392"/>
      <c r="DR44" s="1391"/>
      <c r="DS44" s="1392"/>
      <c r="DT44" s="1393"/>
      <c r="DU44" s="1390"/>
      <c r="DV44" s="1391"/>
      <c r="DW44" s="1392"/>
      <c r="DX44" s="1391"/>
      <c r="DY44" s="1392"/>
      <c r="DZ44" s="1394"/>
      <c r="EA44" s="1390"/>
      <c r="EB44" s="1391"/>
      <c r="EC44" s="1392"/>
      <c r="ED44" s="1391"/>
      <c r="EE44" s="1392"/>
      <c r="EF44" s="1393"/>
      <c r="EG44" s="1390"/>
      <c r="EH44" s="1391"/>
      <c r="EI44" s="1392"/>
      <c r="EJ44" s="1391"/>
      <c r="EK44" s="1392"/>
      <c r="EL44" s="1394"/>
      <c r="EM44" s="1390"/>
      <c r="EN44" s="1391"/>
      <c r="EO44" s="1392" t="s">
        <v>16909</v>
      </c>
      <c r="EP44" s="1391"/>
      <c r="EQ44" s="1392"/>
      <c r="ER44" s="1393"/>
      <c r="ES44" s="1390"/>
      <c r="ET44" s="1391"/>
      <c r="EU44" s="1392"/>
      <c r="EV44" s="1391"/>
      <c r="EW44" s="1392"/>
      <c r="EX44" s="1394"/>
      <c r="EY44" s="1390"/>
      <c r="EZ44" s="1391"/>
      <c r="FA44" s="1392"/>
      <c r="FB44" s="1391"/>
      <c r="FC44" s="1392"/>
      <c r="FD44" s="1394"/>
      <c r="FE44" s="1390"/>
      <c r="FF44" s="1391"/>
      <c r="FG44" s="1392"/>
      <c r="FH44" s="1391"/>
      <c r="FI44" s="1392"/>
      <c r="FJ44" s="1394"/>
      <c r="FK44" s="1390"/>
      <c r="FL44" s="1391"/>
      <c r="FM44" s="1392"/>
      <c r="FN44" s="1391"/>
      <c r="FO44" s="1392"/>
      <c r="FP44" s="1394"/>
      <c r="FQ44" s="1390"/>
      <c r="FR44" s="1391"/>
      <c r="FS44" s="1392"/>
      <c r="FT44" s="1391"/>
      <c r="FU44" s="1392"/>
      <c r="FV44" s="1394"/>
      <c r="FW44" s="1390"/>
      <c r="FX44" s="1391"/>
      <c r="FY44" s="1392"/>
      <c r="FZ44" s="1391"/>
      <c r="GA44" s="1392"/>
      <c r="GB44" s="1394"/>
      <c r="GC44" s="1390"/>
      <c r="GD44" s="1391"/>
      <c r="GE44" s="1392"/>
      <c r="GF44" s="1391"/>
      <c r="GG44" s="1392"/>
      <c r="GH44" s="1394"/>
    </row>
    <row r="45" spans="1:190" ht="20.100000000000001" customHeight="1" thickBot="1">
      <c r="A45" s="2848"/>
      <c r="B45" s="2847"/>
      <c r="C45" s="1414">
        <v>190130</v>
      </c>
      <c r="D45" s="1415" t="str">
        <f>実績!C1384</f>
        <v>トヨタレンタカー豊見城 店舗棟</v>
      </c>
      <c r="E45" s="1416" t="str">
        <f>SUBSTITUTE(VLOOKUP(D45,実績!$C$5:'実績'!$AC$1451,3,0),"株式会社 ","")</f>
        <v>大田</v>
      </c>
      <c r="F45" s="1363" t="str">
        <f>SUBSTITUTE(VLOOKUP(D45,実績!$C$5:'実績'!$AC$1451,2,0),"株式会社 ","")</f>
        <v>近藤</v>
      </c>
      <c r="G45" s="1365" t="str">
        <f>SUBSTITUTE(VLOOKUP(D45,実績!$C$5:'実績'!$AC$1451,16,0)," 株式会社","")</f>
        <v>MPデベロップメント</v>
      </c>
      <c r="H45" s="1431" t="str">
        <f>VLOOKUP(D45,実績!$C$5:'実績'!$AC$1451,4,0)</f>
        <v>沖縄県</v>
      </c>
      <c r="I45" s="1432" t="str">
        <f>VLOOKUP(D45,実績!$C$5:'実績'!$AC$1451,5,0)</f>
        <v>豊見城市</v>
      </c>
      <c r="J45" s="1362" t="str">
        <f>VLOOKUP(D45,実績!$C$5:'実績'!$AC$1451,9,0)</f>
        <v>店舗</v>
      </c>
      <c r="K45" s="1363">
        <f>ROUND(VLOOKUP(D45,実績!$C$5:'実績'!$AC$1472,15,0),-1)</f>
        <v>2200</v>
      </c>
      <c r="L45" s="1361" t="str">
        <f>VLOOKUP(D45,実績!$C$5:'実績'!$BY$1451,40,0)</f>
        <v>○</v>
      </c>
      <c r="M45" s="1362" t="str">
        <f>VLOOKUP(D45,実績!$C$5:'実績'!$BY$1472,38,0)</f>
        <v>-</v>
      </c>
      <c r="N45" s="1362" t="str">
        <f>VLOOKUP(D45,実績!$C$5:'実績'!$BY$1472,37,0)</f>
        <v>-</v>
      </c>
      <c r="O45" s="1363" t="str">
        <f>VLOOKUP(D45,実績!$C$5:'実績'!$BY$1472,41,0)</f>
        <v>独立</v>
      </c>
      <c r="P45" s="1700"/>
      <c r="Q45" s="1701"/>
      <c r="R45" s="1702"/>
      <c r="S45" s="1703"/>
      <c r="T45" s="1704"/>
      <c r="U45" s="1705"/>
      <c r="V45" s="1706"/>
      <c r="W45" s="1395"/>
      <c r="X45" s="1395"/>
      <c r="Y45" s="1433"/>
      <c r="Z45" s="1395"/>
      <c r="AA45" s="1433"/>
      <c r="AB45" s="1434"/>
      <c r="AC45" s="1395"/>
      <c r="AD45" s="1395"/>
      <c r="AE45" s="1433"/>
      <c r="AF45" s="1395"/>
      <c r="AG45" s="1433"/>
      <c r="AH45" s="1395"/>
      <c r="AI45" s="1435"/>
      <c r="AJ45" s="1395"/>
      <c r="AK45" s="1433"/>
      <c r="AL45" s="1395"/>
      <c r="AM45" s="1433"/>
      <c r="AN45" s="1434"/>
      <c r="AO45" s="1395"/>
      <c r="AP45" s="1395"/>
      <c r="AQ45" s="1433"/>
      <c r="AR45" s="1395"/>
      <c r="AS45" s="1433"/>
      <c r="AT45" s="1395"/>
      <c r="AU45" s="1436"/>
      <c r="AV45" s="1395"/>
      <c r="AW45" s="1433"/>
      <c r="AX45" s="1395"/>
      <c r="AY45" s="1433"/>
      <c r="AZ45" s="1434"/>
      <c r="BA45" s="1435"/>
      <c r="BB45" s="1395"/>
      <c r="BC45" s="1433"/>
      <c r="BD45" s="1395"/>
      <c r="BE45" s="1433"/>
      <c r="BF45" s="1434"/>
      <c r="BG45" s="1395"/>
      <c r="BH45" s="1395"/>
      <c r="BI45" s="1433"/>
      <c r="BJ45" s="1395"/>
      <c r="BK45" s="1433"/>
      <c r="BL45" s="1395"/>
      <c r="BM45" s="1435"/>
      <c r="BN45" s="1395"/>
      <c r="BO45" s="1433"/>
      <c r="BP45" s="1395"/>
      <c r="BQ45" s="1433"/>
      <c r="BR45" s="1434"/>
      <c r="BS45" s="1435"/>
      <c r="BT45" s="1395"/>
      <c r="BU45" s="1433"/>
      <c r="BV45" s="1437"/>
      <c r="BW45" s="1433"/>
      <c r="BX45" s="1434"/>
      <c r="BY45" s="1435"/>
      <c r="BZ45" s="1395"/>
      <c r="CA45" s="1433"/>
      <c r="CB45" s="1395"/>
      <c r="CC45" s="1433"/>
      <c r="CD45" s="1434"/>
      <c r="CE45" s="1435"/>
      <c r="CF45" s="1395"/>
      <c r="CG45" s="1433"/>
      <c r="CH45" s="1395"/>
      <c r="CI45" s="1433"/>
      <c r="CJ45" s="1434"/>
      <c r="CK45" s="1435"/>
      <c r="CL45" s="1395"/>
      <c r="CM45" s="1433"/>
      <c r="CN45" s="1395"/>
      <c r="CO45" s="1433"/>
      <c r="CP45" s="1434"/>
      <c r="CQ45" s="1435"/>
      <c r="CR45" s="1395"/>
      <c r="CS45" s="1433"/>
      <c r="CT45" s="1438"/>
      <c r="CU45" s="1433"/>
      <c r="CV45" s="1434"/>
      <c r="CW45" s="1435" t="s">
        <v>10546</v>
      </c>
      <c r="CX45" s="1395"/>
      <c r="CY45" s="1433"/>
      <c r="CZ45" s="1395"/>
      <c r="DA45" s="1433"/>
      <c r="DB45" s="1434"/>
      <c r="DC45" s="1367"/>
      <c r="DD45" s="1364"/>
      <c r="DE45" s="1365"/>
      <c r="DF45" s="1364"/>
      <c r="DG45" s="1365"/>
      <c r="DH45" s="1366"/>
      <c r="DI45" s="1367"/>
      <c r="DJ45" s="1364"/>
      <c r="DK45" s="1365"/>
      <c r="DL45" s="1364"/>
      <c r="DM45" s="1365"/>
      <c r="DN45" s="1366"/>
      <c r="DO45" s="1367"/>
      <c r="DP45" s="1364"/>
      <c r="DQ45" s="1365"/>
      <c r="DR45" s="1364"/>
      <c r="DS45" s="1365"/>
      <c r="DT45" s="1366"/>
      <c r="DU45" s="1367" t="s">
        <v>8644</v>
      </c>
      <c r="DV45" s="1364"/>
      <c r="DW45" s="1365"/>
      <c r="DX45" s="1364"/>
      <c r="DY45" s="1365"/>
      <c r="DZ45" s="1396"/>
      <c r="EA45" s="1367"/>
      <c r="EB45" s="1364"/>
      <c r="EC45" s="1365"/>
      <c r="ED45" s="1364"/>
      <c r="EE45" s="1365"/>
      <c r="EF45" s="1366"/>
      <c r="EG45" s="1367"/>
      <c r="EH45" s="1364"/>
      <c r="EI45" s="1365"/>
      <c r="EJ45" s="1364"/>
      <c r="EK45" s="1365"/>
      <c r="EL45" s="1396"/>
      <c r="EM45" s="1367" t="s">
        <v>8352</v>
      </c>
      <c r="EN45" s="1364"/>
      <c r="EO45" s="1365"/>
      <c r="EP45" s="1364" t="s">
        <v>8644</v>
      </c>
      <c r="EQ45" s="1365"/>
      <c r="ER45" s="1366"/>
      <c r="ES45" s="1367"/>
      <c r="ET45" s="1364"/>
      <c r="EU45" s="1365"/>
      <c r="EV45" s="1364"/>
      <c r="EW45" s="1365"/>
      <c r="EX45" s="1396"/>
      <c r="EY45" s="1367"/>
      <c r="EZ45" s="1364"/>
      <c r="FA45" s="1365"/>
      <c r="FB45" s="1364"/>
      <c r="FC45" s="1365"/>
      <c r="FD45" s="1396" t="s">
        <v>9815</v>
      </c>
      <c r="FE45" s="1367"/>
      <c r="FF45" s="1364"/>
      <c r="FG45" s="1365"/>
      <c r="FH45" s="1364"/>
      <c r="FI45" s="1365"/>
      <c r="FJ45" s="1396"/>
      <c r="FK45" s="1367"/>
      <c r="FL45" s="1364"/>
      <c r="FM45" s="1365"/>
      <c r="FN45" s="1364"/>
      <c r="FO45" s="1365"/>
      <c r="FP45" s="1396"/>
      <c r="FQ45" s="1367"/>
      <c r="FR45" s="1364"/>
      <c r="FS45" s="1365"/>
      <c r="FT45" s="1364"/>
      <c r="FU45" s="1365"/>
      <c r="FV45" s="1396"/>
      <c r="FW45" s="1367" t="s">
        <v>8145</v>
      </c>
      <c r="FX45" s="1364"/>
      <c r="FY45" s="1365"/>
      <c r="FZ45" s="1364"/>
      <c r="GA45" s="1365"/>
      <c r="GB45" s="1396"/>
      <c r="GC45" s="1367"/>
      <c r="GD45" s="1364"/>
      <c r="GE45" s="1365"/>
      <c r="GF45" s="1364"/>
      <c r="GG45" s="1365"/>
      <c r="GH45" s="1396"/>
    </row>
    <row r="46" spans="1:190" ht="20.100000000000001" customHeight="1">
      <c r="A46" s="2848"/>
      <c r="B46" s="2857" t="s">
        <v>17454</v>
      </c>
      <c r="C46" s="1474">
        <v>200019</v>
      </c>
      <c r="D46" s="1475" t="str">
        <f>実績!C1416</f>
        <v>さいたま市緑区美園 整備工場</v>
      </c>
      <c r="E46" s="1566" t="str">
        <f>SUBSTITUTE(VLOOKUP(D46,実績!$C$5:'実績'!$AC$1451,3,0),"株式会社 ","")</f>
        <v>大田</v>
      </c>
      <c r="F46" s="1567" t="str">
        <f>SUBSTITUTE(VLOOKUP(D46,実績!$C$5:'実績'!$AC$1451,2,0),"株式会社 ","")</f>
        <v>ユイ
ウット</v>
      </c>
      <c r="G46" s="1568" t="str">
        <f>SUBSTITUTE(VLOOKUP(D46,実績!$C$5:'実績'!$AC$1451,16,0)," 一級建築士事務所","")</f>
        <v>アールデザインワークス</v>
      </c>
      <c r="H46" s="1569" t="str">
        <f>VLOOKUP(D46,実績!$C$5:'実績'!$AC$1451,4,0)</f>
        <v>埼玉県</v>
      </c>
      <c r="I46" s="1570" t="str">
        <f>VLOOKUP(D46,実績!$C$5:'実績'!$AC$1451,5,0)</f>
        <v>さいたま市</v>
      </c>
      <c r="J46" s="1571" t="str">
        <f>VLOOKUP(D46,実績!$C$5:'実績'!$AC$1451,9,0)</f>
        <v>工場</v>
      </c>
      <c r="K46" s="1567">
        <f>ROUND(VLOOKUP(D46,実績!$C$5:'実績'!$AC$1472,15,0),-1)</f>
        <v>550</v>
      </c>
      <c r="L46" s="1572" t="str">
        <f>VLOOKUP(D46,実績!$C$5:'実績'!$BY$1451,40,0)</f>
        <v>-</v>
      </c>
      <c r="M46" s="1571" t="str">
        <f>VLOOKUP(D46,実績!$C$5:'実績'!$BY$1472,38,0)</f>
        <v>-</v>
      </c>
      <c r="N46" s="1571" t="str">
        <f>VLOOKUP(D46,実績!$C$5:'実績'!$BY$1472,37,0)</f>
        <v>-</v>
      </c>
      <c r="O46" s="1567" t="str">
        <f>VLOOKUP(D46,実績!$C$5:'実績'!$BY$1472,41,0)</f>
        <v>独立</v>
      </c>
      <c r="P46" s="1714">
        <v>44055</v>
      </c>
      <c r="Q46" s="1715"/>
      <c r="R46" s="1714"/>
      <c r="S46" s="1716"/>
      <c r="T46" s="1717"/>
      <c r="U46" s="1715"/>
      <c r="V46" s="1718"/>
      <c r="W46" s="1480"/>
      <c r="X46" s="1480"/>
      <c r="Y46" s="1481"/>
      <c r="Z46" s="1480"/>
      <c r="AA46" s="1481"/>
      <c r="AB46" s="1482"/>
      <c r="AC46" s="1480"/>
      <c r="AD46" s="1480"/>
      <c r="AE46" s="1481"/>
      <c r="AF46" s="1480"/>
      <c r="AG46" s="1481"/>
      <c r="AH46" s="1480"/>
      <c r="AI46" s="1479"/>
      <c r="AJ46" s="1480"/>
      <c r="AK46" s="1481"/>
      <c r="AL46" s="1480"/>
      <c r="AM46" s="1481"/>
      <c r="AN46" s="1482"/>
      <c r="AO46" s="1480"/>
      <c r="AP46" s="1480"/>
      <c r="AQ46" s="1481"/>
      <c r="AR46" s="1480"/>
      <c r="AS46" s="1481"/>
      <c r="AT46" s="1480"/>
      <c r="AU46" s="1573"/>
      <c r="AV46" s="1480"/>
      <c r="AW46" s="1481"/>
      <c r="AX46" s="1480"/>
      <c r="AY46" s="1481"/>
      <c r="AZ46" s="1482"/>
      <c r="BA46" s="1479"/>
      <c r="BB46" s="1480"/>
      <c r="BC46" s="1481"/>
      <c r="BD46" s="1480"/>
      <c r="BE46" s="1481"/>
      <c r="BF46" s="1482"/>
      <c r="BG46" s="1480"/>
      <c r="BH46" s="1480"/>
      <c r="BI46" s="1481"/>
      <c r="BJ46" s="1480"/>
      <c r="BK46" s="1481"/>
      <c r="BL46" s="1480"/>
      <c r="BM46" s="1479"/>
      <c r="BN46" s="1480"/>
      <c r="BO46" s="1481"/>
      <c r="BP46" s="1480"/>
      <c r="BQ46" s="1481"/>
      <c r="BR46" s="1482"/>
      <c r="BS46" s="1479"/>
      <c r="BT46" s="1480"/>
      <c r="BU46" s="1481"/>
      <c r="BV46" s="1574"/>
      <c r="BW46" s="1481"/>
      <c r="BX46" s="1482"/>
      <c r="BY46" s="1479"/>
      <c r="BZ46" s="1480"/>
      <c r="CA46" s="1481"/>
      <c r="CB46" s="1480"/>
      <c r="CC46" s="1481"/>
      <c r="CD46" s="1482"/>
      <c r="CE46" s="1479"/>
      <c r="CF46" s="1480"/>
      <c r="CG46" s="1481"/>
      <c r="CH46" s="1480"/>
      <c r="CI46" s="1481"/>
      <c r="CJ46" s="1482"/>
      <c r="CK46" s="1479"/>
      <c r="CL46" s="1480"/>
      <c r="CM46" s="1481"/>
      <c r="CN46" s="1480"/>
      <c r="CO46" s="1481"/>
      <c r="CP46" s="1482"/>
      <c r="CQ46" s="1479"/>
      <c r="CR46" s="1480"/>
      <c r="CS46" s="1481"/>
      <c r="CT46" s="1575"/>
      <c r="CU46" s="1481"/>
      <c r="CV46" s="1482"/>
      <c r="CW46" s="1479"/>
      <c r="CX46" s="1480"/>
      <c r="CY46" s="1481"/>
      <c r="CZ46" s="1480"/>
      <c r="DA46" s="1481"/>
      <c r="DB46" s="1482"/>
      <c r="DC46" s="1479"/>
      <c r="DD46" s="1480"/>
      <c r="DE46" s="1481"/>
      <c r="DF46" s="1480"/>
      <c r="DG46" s="1481"/>
      <c r="DH46" s="1482"/>
      <c r="DI46" s="1479"/>
      <c r="DJ46" s="1480"/>
      <c r="DK46" s="1481"/>
      <c r="DL46" s="1480"/>
      <c r="DM46" s="1481"/>
      <c r="DN46" s="1482"/>
      <c r="DO46" s="1479"/>
      <c r="DP46" s="1480"/>
      <c r="DQ46" s="1481"/>
      <c r="DR46" s="1480"/>
      <c r="DS46" s="1481"/>
      <c r="DT46" s="1482"/>
      <c r="DU46" s="1479"/>
      <c r="DV46" s="1480"/>
      <c r="DW46" s="1481"/>
      <c r="DX46" s="1480"/>
      <c r="DY46" s="1481"/>
      <c r="DZ46" s="1482"/>
      <c r="EA46" s="1479"/>
      <c r="EB46" s="1480"/>
      <c r="EC46" s="1481"/>
      <c r="ED46" s="1480"/>
      <c r="EE46" s="1481"/>
      <c r="EF46" s="1482"/>
      <c r="EG46" s="1479"/>
      <c r="EH46" s="1480"/>
      <c r="EI46" s="1481"/>
      <c r="EJ46" s="1480"/>
      <c r="EK46" s="1481"/>
      <c r="EL46" s="1482"/>
      <c r="EM46" s="1479"/>
      <c r="EN46" s="1480"/>
      <c r="EO46" s="1481"/>
      <c r="EP46" s="1480"/>
      <c r="EQ46" s="1481"/>
      <c r="ER46" s="1482"/>
      <c r="ES46" s="1479"/>
      <c r="ET46" s="1480"/>
      <c r="EU46" s="1481"/>
      <c r="EV46" s="1480"/>
      <c r="EW46" s="1481"/>
      <c r="EX46" s="1482"/>
      <c r="EY46" s="1479"/>
      <c r="EZ46" s="1480"/>
      <c r="FA46" s="1481"/>
      <c r="FB46" s="1480"/>
      <c r="FC46" s="1481"/>
      <c r="FD46" s="1482"/>
      <c r="FE46" s="1479"/>
      <c r="FF46" s="1480"/>
      <c r="FG46" s="1481"/>
      <c r="FH46" s="1480"/>
      <c r="FI46" s="1481"/>
      <c r="FJ46" s="1482"/>
      <c r="FK46" s="1479"/>
      <c r="FL46" s="1480"/>
      <c r="FM46" s="1481"/>
      <c r="FN46" s="1480"/>
      <c r="FO46" s="1481"/>
      <c r="FP46" s="1482"/>
      <c r="FQ46" s="1479" t="s">
        <v>8145</v>
      </c>
      <c r="FR46" s="1480"/>
      <c r="FS46" s="1481"/>
      <c r="FT46" s="1480"/>
      <c r="FU46" s="1481"/>
      <c r="FV46" s="1482"/>
      <c r="FW46" s="1479"/>
      <c r="FX46" s="1480"/>
      <c r="FY46" s="1481"/>
      <c r="FZ46" s="1480"/>
      <c r="GA46" s="1481"/>
      <c r="GB46" s="1482"/>
      <c r="GC46" s="1479"/>
      <c r="GD46" s="1480"/>
      <c r="GE46" s="1481"/>
      <c r="GF46" s="1480"/>
      <c r="GG46" s="1481"/>
      <c r="GH46" s="1482"/>
    </row>
    <row r="47" spans="1:190" ht="20.100000000000001" customHeight="1">
      <c r="A47" s="2848"/>
      <c r="B47" s="2858"/>
      <c r="C47" s="1319">
        <v>190133</v>
      </c>
      <c r="D47" s="1495" t="str">
        <f>実績!C1390</f>
        <v>デンカ株式会社 QC保存倉庫</v>
      </c>
      <c r="E47" s="1576" t="str">
        <f>SUBSTITUTE(VLOOKUP(D47,実績!$C$5:'実績'!$AC$1451,3,0),"株式会社 ","")</f>
        <v>植松</v>
      </c>
      <c r="F47" s="1492" t="str">
        <f>SUBSTITUTE(VLOOKUP(D47,実績!$C$5:'実績'!$AC$1451,2,0),"株式会社 ","")</f>
        <v>ユイ
ハン</v>
      </c>
      <c r="G47" s="1577" t="str">
        <f>SUBSTITUTE(VLOOKUP(D47,実績!$C$5:'実績'!$AC$1451,21,0),"株式会社 ","")</f>
        <v>横河システム建築</v>
      </c>
      <c r="H47" s="1578" t="str">
        <f>VLOOKUP(D47,実績!$C$5:'実績'!$AC$1451,4,0)</f>
        <v>福岡県</v>
      </c>
      <c r="I47" s="1579" t="str">
        <f>VLOOKUP(D47,実績!$C$5:'実績'!$AC$1451,5,0)</f>
        <v>大牟田市</v>
      </c>
      <c r="J47" s="1580" t="str">
        <f>VLOOKUP(D47,実績!$C$5:'実績'!$AC$1451,9,0)</f>
        <v>倉庫</v>
      </c>
      <c r="K47" s="1492">
        <f>ROUND(VLOOKUP(D47,実績!$C$5:'実績'!$AC$1472,15,0),-1)</f>
        <v>160</v>
      </c>
      <c r="L47" s="1491" t="str">
        <f>VLOOKUP(D47,実績!$C$5:'実績'!$BY$1451,40,0)</f>
        <v>-</v>
      </c>
      <c r="M47" s="1580" t="str">
        <f>VLOOKUP(D47,実績!$C$5:'実績'!$BY$1472,38,0)</f>
        <v>-</v>
      </c>
      <c r="N47" s="1580" t="str">
        <f>VLOOKUP(D47,実績!$C$5:'実績'!$BY$1472,37,0)</f>
        <v>-</v>
      </c>
      <c r="O47" s="1492" t="str">
        <f>VLOOKUP(D47,実績!$C$5:'実績'!$BY$1472,41,0)</f>
        <v>独立</v>
      </c>
      <c r="P47" s="1719">
        <v>44057</v>
      </c>
      <c r="Q47" s="1720" t="s">
        <v>17425</v>
      </c>
      <c r="R47" s="1719"/>
      <c r="S47" s="1721"/>
      <c r="T47" s="1722"/>
      <c r="U47" s="1720"/>
      <c r="V47" s="1690"/>
      <c r="W47" s="1486"/>
      <c r="X47" s="1486"/>
      <c r="Y47" s="1487"/>
      <c r="Z47" s="1486"/>
      <c r="AA47" s="1487"/>
      <c r="AB47" s="1488"/>
      <c r="AC47" s="1486"/>
      <c r="AD47" s="1486"/>
      <c r="AE47" s="1487"/>
      <c r="AF47" s="1486"/>
      <c r="AG47" s="1487"/>
      <c r="AH47" s="1486"/>
      <c r="AI47" s="1318"/>
      <c r="AJ47" s="1486"/>
      <c r="AK47" s="1487"/>
      <c r="AL47" s="1486"/>
      <c r="AM47" s="1487"/>
      <c r="AN47" s="1488"/>
      <c r="AO47" s="1486"/>
      <c r="AP47" s="1486"/>
      <c r="AQ47" s="1487"/>
      <c r="AR47" s="1486"/>
      <c r="AS47" s="1487"/>
      <c r="AT47" s="1486"/>
      <c r="AU47" s="1489"/>
      <c r="AV47" s="1486"/>
      <c r="AW47" s="1487"/>
      <c r="AX47" s="1486"/>
      <c r="AY47" s="1487"/>
      <c r="AZ47" s="1488"/>
      <c r="BA47" s="1318"/>
      <c r="BB47" s="1486"/>
      <c r="BC47" s="1487"/>
      <c r="BD47" s="1486"/>
      <c r="BE47" s="1487"/>
      <c r="BF47" s="1488"/>
      <c r="BG47" s="1486"/>
      <c r="BH47" s="1486"/>
      <c r="BI47" s="1487"/>
      <c r="BJ47" s="1486"/>
      <c r="BK47" s="1487"/>
      <c r="BL47" s="1486"/>
      <c r="BM47" s="1318"/>
      <c r="BN47" s="1486"/>
      <c r="BO47" s="1487"/>
      <c r="BP47" s="1486"/>
      <c r="BQ47" s="1487"/>
      <c r="BR47" s="1488"/>
      <c r="BS47" s="1318"/>
      <c r="BT47" s="1486"/>
      <c r="BU47" s="1487"/>
      <c r="BV47" s="1490"/>
      <c r="BW47" s="1487"/>
      <c r="BX47" s="1488"/>
      <c r="BY47" s="1318"/>
      <c r="BZ47" s="1486"/>
      <c r="CA47" s="1487"/>
      <c r="CB47" s="1486"/>
      <c r="CC47" s="1487"/>
      <c r="CD47" s="1488"/>
      <c r="CE47" s="1318"/>
      <c r="CF47" s="1486"/>
      <c r="CG47" s="1487"/>
      <c r="CH47" s="1486"/>
      <c r="CI47" s="1487"/>
      <c r="CJ47" s="1488"/>
      <c r="CK47" s="1318"/>
      <c r="CL47" s="1486"/>
      <c r="CM47" s="1487"/>
      <c r="CN47" s="1486"/>
      <c r="CO47" s="1487"/>
      <c r="CP47" s="1488"/>
      <c r="CQ47" s="1318"/>
      <c r="CR47" s="1486"/>
      <c r="CS47" s="1487"/>
      <c r="CT47" s="1494"/>
      <c r="CU47" s="1487"/>
      <c r="CV47" s="1488"/>
      <c r="CW47" s="1318"/>
      <c r="CX47" s="1486"/>
      <c r="CY47" s="1487"/>
      <c r="CZ47" s="1486"/>
      <c r="DA47" s="1487"/>
      <c r="DB47" s="1488"/>
      <c r="DC47" s="1318"/>
      <c r="DD47" s="1486"/>
      <c r="DE47" s="1487"/>
      <c r="DF47" s="1486"/>
      <c r="DG47" s="1487"/>
      <c r="DH47" s="1488"/>
      <c r="DI47" s="1318"/>
      <c r="DJ47" s="1486"/>
      <c r="DK47" s="1487"/>
      <c r="DL47" s="1486"/>
      <c r="DM47" s="1487"/>
      <c r="DN47" s="1488"/>
      <c r="DO47" s="1318"/>
      <c r="DP47" s="1486"/>
      <c r="DQ47" s="1487"/>
      <c r="DR47" s="1486"/>
      <c r="DS47" s="1487"/>
      <c r="DT47" s="1488"/>
      <c r="DU47" s="1318"/>
      <c r="DV47" s="1486"/>
      <c r="DW47" s="1487"/>
      <c r="DX47" s="1486"/>
      <c r="DY47" s="1487"/>
      <c r="DZ47" s="1488"/>
      <c r="EA47" s="1318"/>
      <c r="EB47" s="1486"/>
      <c r="EC47" s="1487"/>
      <c r="ED47" s="1486"/>
      <c r="EE47" s="1487"/>
      <c r="EF47" s="1488"/>
      <c r="EG47" s="1318"/>
      <c r="EH47" s="1490"/>
      <c r="EI47" s="1487"/>
      <c r="EJ47" s="1486"/>
      <c r="EK47" s="1487"/>
      <c r="EL47" s="1493"/>
      <c r="EM47" s="1318"/>
      <c r="EN47" s="1486"/>
      <c r="EO47" s="1487"/>
      <c r="EP47" s="1486"/>
      <c r="EQ47" s="1487"/>
      <c r="ER47" s="1488"/>
      <c r="ES47" s="1318"/>
      <c r="ET47" s="1486"/>
      <c r="EU47" s="1487"/>
      <c r="EV47" s="1486"/>
      <c r="EW47" s="1487"/>
      <c r="EX47" s="1488"/>
      <c r="EY47" s="1318" t="s">
        <v>8145</v>
      </c>
      <c r="EZ47" s="1486"/>
      <c r="FA47" s="1487"/>
      <c r="FB47" s="1486"/>
      <c r="FC47" s="1487"/>
      <c r="FD47" s="1488"/>
      <c r="FE47" s="1318"/>
      <c r="FF47" s="1486"/>
      <c r="FG47" s="1487"/>
      <c r="FH47" s="1486"/>
      <c r="FI47" s="1487"/>
      <c r="FJ47" s="1493"/>
      <c r="FK47" s="1318"/>
      <c r="FL47" s="1486"/>
      <c r="FM47" s="1487"/>
      <c r="FN47" s="1486"/>
      <c r="FO47" s="1487"/>
      <c r="FP47" s="1493"/>
      <c r="FQ47" s="1318"/>
      <c r="FR47" s="1486"/>
      <c r="FS47" s="1487"/>
      <c r="FT47" s="1486"/>
      <c r="FU47" s="1487"/>
      <c r="FV47" s="1493"/>
      <c r="FW47" s="1318"/>
      <c r="FX47" s="1486"/>
      <c r="FY47" s="1487"/>
      <c r="FZ47" s="1486"/>
      <c r="GA47" s="1487"/>
      <c r="GB47" s="1493"/>
      <c r="GC47" s="1318"/>
      <c r="GD47" s="1486"/>
      <c r="GE47" s="1487"/>
      <c r="GF47" s="1486"/>
      <c r="GG47" s="1487"/>
      <c r="GH47" s="1493"/>
    </row>
    <row r="48" spans="1:190" ht="20.100000000000001" customHeight="1">
      <c r="A48" s="2848"/>
      <c r="B48" s="2858"/>
      <c r="C48" s="1319">
        <v>200016</v>
      </c>
      <c r="D48" s="1495" t="str">
        <f>実績!C1413</f>
        <v>南九州酒販(株)加治木支店</v>
      </c>
      <c r="E48" s="1576" t="str">
        <f>SUBSTITUTE(VLOOKUP(D48,実績!$C$5:'実績'!$AC$1451,3,0),"株式会社 ","")</f>
        <v>植松</v>
      </c>
      <c r="F48" s="1492" t="str">
        <f>SUBSTITUTE(VLOOKUP(D48,実績!$C$5:'実績'!$AC$1451,2,0),"株式会社 ","")</f>
        <v>ユイ</v>
      </c>
      <c r="G48" s="1577" t="str">
        <f>SUBSTITUTE(VLOOKUP(D48,実績!$C$5:'実績'!$AC$1451,16,0)," 株式会社","")</f>
        <v>鎌田建設</v>
      </c>
      <c r="H48" s="1578" t="str">
        <f>VLOOKUP(D48,実績!$C$5:'実績'!$AC$1451,4,0)</f>
        <v>鹿児島県</v>
      </c>
      <c r="I48" s="1579" t="str">
        <f>VLOOKUP(D48,実績!$C$5:'実績'!$AC$1451,5,0)</f>
        <v>姶良市</v>
      </c>
      <c r="J48" s="1580" t="str">
        <f>VLOOKUP(D48,実績!$C$5:'実績'!$AC$1451,9,0)</f>
        <v>倉庫</v>
      </c>
      <c r="K48" s="1492">
        <f>ROUND(VLOOKUP(D48,実績!$C$5:'実績'!$AC$1472,15,0),-1)</f>
        <v>4860</v>
      </c>
      <c r="L48" s="1491" t="str">
        <f>VLOOKUP(D48,実績!$C$5:'実績'!$BY$1451,40,0)</f>
        <v>○</v>
      </c>
      <c r="M48" s="1580" t="str">
        <f>VLOOKUP(D48,実績!$C$5:'実績'!$BY$1472,38,0)</f>
        <v>-</v>
      </c>
      <c r="N48" s="1580" t="str">
        <f>VLOOKUP(D48,実績!$C$5:'実績'!$BY$1472,37,0)</f>
        <v>-</v>
      </c>
      <c r="O48" s="1492" t="str">
        <f>VLOOKUP(D48,実績!$C$5:'実績'!$BY$1472,41,0)</f>
        <v>独立</v>
      </c>
      <c r="P48" s="1719">
        <v>44057</v>
      </c>
      <c r="Q48" s="1720" t="s">
        <v>17426</v>
      </c>
      <c r="R48" s="1719"/>
      <c r="S48" s="1721"/>
      <c r="T48" s="1722"/>
      <c r="U48" s="1720"/>
      <c r="V48" s="1723"/>
      <c r="W48" s="1486"/>
      <c r="X48" s="1486"/>
      <c r="Y48" s="1487"/>
      <c r="Z48" s="1486"/>
      <c r="AA48" s="1487"/>
      <c r="AB48" s="1488"/>
      <c r="AC48" s="1486"/>
      <c r="AD48" s="1486"/>
      <c r="AE48" s="1487"/>
      <c r="AF48" s="1486"/>
      <c r="AG48" s="1487"/>
      <c r="AH48" s="1486"/>
      <c r="AI48" s="1318"/>
      <c r="AJ48" s="1486"/>
      <c r="AK48" s="1487"/>
      <c r="AL48" s="1486"/>
      <c r="AM48" s="1487"/>
      <c r="AN48" s="1488"/>
      <c r="AO48" s="1486"/>
      <c r="AP48" s="1486"/>
      <c r="AQ48" s="1487"/>
      <c r="AR48" s="1486"/>
      <c r="AS48" s="1487"/>
      <c r="AT48" s="1486"/>
      <c r="AU48" s="1489"/>
      <c r="AV48" s="1486"/>
      <c r="AW48" s="1487"/>
      <c r="AX48" s="1486"/>
      <c r="AY48" s="1487"/>
      <c r="AZ48" s="1488"/>
      <c r="BA48" s="1318"/>
      <c r="BB48" s="1486"/>
      <c r="BC48" s="1487"/>
      <c r="BD48" s="1486"/>
      <c r="BE48" s="1487"/>
      <c r="BF48" s="1488"/>
      <c r="BG48" s="1486"/>
      <c r="BH48" s="1486"/>
      <c r="BI48" s="1487"/>
      <c r="BJ48" s="1486"/>
      <c r="BK48" s="1487"/>
      <c r="BL48" s="1486"/>
      <c r="BM48" s="1318"/>
      <c r="BN48" s="1486"/>
      <c r="BO48" s="1487"/>
      <c r="BP48" s="1486"/>
      <c r="BQ48" s="1487"/>
      <c r="BR48" s="1488"/>
      <c r="BS48" s="1318"/>
      <c r="BT48" s="1486"/>
      <c r="BU48" s="1487"/>
      <c r="BV48" s="1490"/>
      <c r="BW48" s="1487"/>
      <c r="BX48" s="1488"/>
      <c r="BY48" s="1318"/>
      <c r="BZ48" s="1486"/>
      <c r="CA48" s="1487"/>
      <c r="CB48" s="1486"/>
      <c r="CC48" s="1487"/>
      <c r="CD48" s="1488"/>
      <c r="CE48" s="1318"/>
      <c r="CF48" s="1486"/>
      <c r="CG48" s="1487"/>
      <c r="CH48" s="1486"/>
      <c r="CI48" s="1487"/>
      <c r="CJ48" s="1488"/>
      <c r="CK48" s="1318"/>
      <c r="CL48" s="1486"/>
      <c r="CM48" s="1487"/>
      <c r="CN48" s="1486"/>
      <c r="CO48" s="1487"/>
      <c r="CP48" s="1488"/>
      <c r="CQ48" s="1318"/>
      <c r="CR48" s="1486"/>
      <c r="CS48" s="1487"/>
      <c r="CT48" s="1494"/>
      <c r="CU48" s="1487"/>
      <c r="CV48" s="1488"/>
      <c r="CW48" s="1318"/>
      <c r="CX48" s="1486"/>
      <c r="CY48" s="1487"/>
      <c r="CZ48" s="1486"/>
      <c r="DA48" s="1487"/>
      <c r="DB48" s="1488"/>
      <c r="DC48" s="1318"/>
      <c r="DD48" s="1486"/>
      <c r="DE48" s="1487"/>
      <c r="DF48" s="1486"/>
      <c r="DG48" s="1487"/>
      <c r="DH48" s="1488"/>
      <c r="DI48" s="1318"/>
      <c r="DJ48" s="1486"/>
      <c r="DK48" s="1487"/>
      <c r="DL48" s="1486"/>
      <c r="DM48" s="1487"/>
      <c r="DN48" s="1493"/>
      <c r="DO48" s="1318"/>
      <c r="DP48" s="1486"/>
      <c r="DQ48" s="1487"/>
      <c r="DR48" s="1486"/>
      <c r="DS48" s="1487"/>
      <c r="DT48" s="1488"/>
      <c r="DU48" s="1318"/>
      <c r="DV48" s="1486"/>
      <c r="DW48" s="1487"/>
      <c r="DX48" s="1486"/>
      <c r="DY48" s="1487"/>
      <c r="DZ48" s="1493"/>
      <c r="EA48" s="1318"/>
      <c r="EB48" s="1486"/>
      <c r="EC48" s="1487"/>
      <c r="ED48" s="1486"/>
      <c r="EE48" s="1487"/>
      <c r="EF48" s="1493"/>
      <c r="EG48" s="1318"/>
      <c r="EH48" s="1486"/>
      <c r="EI48" s="1487"/>
      <c r="EJ48" s="1486"/>
      <c r="EK48" s="1487"/>
      <c r="EL48" s="1493"/>
      <c r="EM48" s="1318"/>
      <c r="EN48" s="1486"/>
      <c r="EO48" s="1487"/>
      <c r="EP48" s="1486"/>
      <c r="EQ48" s="1487"/>
      <c r="ER48" s="1493"/>
      <c r="ES48" s="1318"/>
      <c r="ET48" s="1486" t="s">
        <v>9472</v>
      </c>
      <c r="EU48" s="1487"/>
      <c r="EV48" s="1486"/>
      <c r="EW48" s="1487"/>
      <c r="EX48" s="1488"/>
      <c r="EY48" s="1318"/>
      <c r="EZ48" s="1486"/>
      <c r="FA48" s="1487"/>
      <c r="FB48" s="1486"/>
      <c r="FC48" s="1487"/>
      <c r="FD48" s="1493"/>
      <c r="FE48" s="1318" t="s">
        <v>8145</v>
      </c>
      <c r="FF48" s="1486"/>
      <c r="FG48" s="1487"/>
      <c r="FH48" s="1486"/>
      <c r="FI48" s="1487"/>
      <c r="FJ48" s="1493"/>
      <c r="FK48" s="1318"/>
      <c r="FL48" s="1486"/>
      <c r="FM48" s="1487"/>
      <c r="FN48" s="1486"/>
      <c r="FO48" s="1487"/>
      <c r="FP48" s="1493"/>
      <c r="FQ48" s="1318"/>
      <c r="FR48" s="1486"/>
      <c r="FS48" s="1487"/>
      <c r="FT48" s="1486"/>
      <c r="FU48" s="1487"/>
      <c r="FV48" s="1493"/>
      <c r="FW48" s="1318"/>
      <c r="FX48" s="1486"/>
      <c r="FY48" s="1487"/>
      <c r="FZ48" s="1486"/>
      <c r="GA48" s="1487"/>
      <c r="GB48" s="1493"/>
      <c r="GC48" s="1318"/>
      <c r="GD48" s="1486"/>
      <c r="GE48" s="1487"/>
      <c r="GF48" s="1486"/>
      <c r="GG48" s="1487"/>
      <c r="GH48" s="1493"/>
    </row>
    <row r="49" spans="1:190" ht="20.100000000000001" customHeight="1" thickBot="1">
      <c r="A49" s="2848"/>
      <c r="B49" s="2858"/>
      <c r="C49" s="1581">
        <v>200021</v>
      </c>
      <c r="D49" s="1582" t="str">
        <f>実績!C1418</f>
        <v>Vdrug鳴子北</v>
      </c>
      <c r="E49" s="1583" t="str">
        <f>SUBSTITUTE(VLOOKUP(D49,実績!$C$5:'実績'!$AC$1451,3,0),"株式会社 ","")</f>
        <v>沖本</v>
      </c>
      <c r="F49" s="1584" t="str">
        <f>SUBSTITUTE(VLOOKUP(D49,実績!$C$5:'実績'!$AC$1451,2,0),"株式会社 ","")</f>
        <v>ユイ
ラン</v>
      </c>
      <c r="G49" s="1585" t="str">
        <f>SUBSTITUTE(VLOOKUP(D49,実績!$C$5:'実績'!$AC$1451,16,0),"有限会社 ","")</f>
        <v>中部設計</v>
      </c>
      <c r="H49" s="1586" t="str">
        <f>VLOOKUP(D49,実績!$C$5:'実績'!$AC$1451,4,0)</f>
        <v>愛知県</v>
      </c>
      <c r="I49" s="1587" t="str">
        <f>VLOOKUP(D49,実績!$C$5:'実績'!$AC$1451,5,0)</f>
        <v>名古屋市</v>
      </c>
      <c r="J49" s="1588" t="str">
        <f>VLOOKUP(D49,実績!$C$5:'実績'!$AC$1451,9,0)</f>
        <v>店舗</v>
      </c>
      <c r="K49" s="1584">
        <f>ROUND(VLOOKUP(D49,実績!$C$5:'実績'!$AC$1472,15,0),-1)</f>
        <v>1100</v>
      </c>
      <c r="L49" s="1589" t="str">
        <f>VLOOKUP(D49,実績!$C$5:'実績'!$BY$1451,40,0)</f>
        <v>-</v>
      </c>
      <c r="M49" s="1588" t="str">
        <f>VLOOKUP(D49,実績!$C$5:'実績'!$BY$1472,38,0)</f>
        <v>-</v>
      </c>
      <c r="N49" s="1588" t="str">
        <f>VLOOKUP(D49,実績!$C$5:'実績'!$BY$1472,37,0)</f>
        <v>-</v>
      </c>
      <c r="O49" s="1584" t="str">
        <f>VLOOKUP(D49,実績!$C$5:'実績'!$BY$1472,41,0)</f>
        <v>独立</v>
      </c>
      <c r="P49" s="1724">
        <v>44061</v>
      </c>
      <c r="Q49" s="1725" t="s">
        <v>17430</v>
      </c>
      <c r="R49" s="1724"/>
      <c r="S49" s="1726"/>
      <c r="T49" s="1727"/>
      <c r="U49" s="1725"/>
      <c r="V49" s="1728"/>
      <c r="W49" s="1590"/>
      <c r="X49" s="1590"/>
      <c r="Y49" s="1591"/>
      <c r="Z49" s="1590"/>
      <c r="AA49" s="1591"/>
      <c r="AB49" s="1592"/>
      <c r="AC49" s="1590"/>
      <c r="AD49" s="1590"/>
      <c r="AE49" s="1591"/>
      <c r="AF49" s="1590"/>
      <c r="AG49" s="1591"/>
      <c r="AH49" s="1590"/>
      <c r="AI49" s="1593"/>
      <c r="AJ49" s="1590"/>
      <c r="AK49" s="1591"/>
      <c r="AL49" s="1590"/>
      <c r="AM49" s="1591"/>
      <c r="AN49" s="1592"/>
      <c r="AO49" s="1590"/>
      <c r="AP49" s="1590"/>
      <c r="AQ49" s="1591"/>
      <c r="AR49" s="1590"/>
      <c r="AS49" s="1591"/>
      <c r="AT49" s="1590"/>
      <c r="AU49" s="1594"/>
      <c r="AV49" s="1590"/>
      <c r="AW49" s="1591"/>
      <c r="AX49" s="1590"/>
      <c r="AY49" s="1591"/>
      <c r="AZ49" s="1592"/>
      <c r="BA49" s="1593"/>
      <c r="BB49" s="1590"/>
      <c r="BC49" s="1591"/>
      <c r="BD49" s="1590"/>
      <c r="BE49" s="1591"/>
      <c r="BF49" s="1592"/>
      <c r="BG49" s="1590"/>
      <c r="BH49" s="1590"/>
      <c r="BI49" s="1591"/>
      <c r="BJ49" s="1590"/>
      <c r="BK49" s="1591"/>
      <c r="BL49" s="1590"/>
      <c r="BM49" s="1593"/>
      <c r="BN49" s="1590"/>
      <c r="BO49" s="1591"/>
      <c r="BP49" s="1590"/>
      <c r="BQ49" s="1591"/>
      <c r="BR49" s="1592"/>
      <c r="BS49" s="1593"/>
      <c r="BT49" s="1590"/>
      <c r="BU49" s="1591"/>
      <c r="BV49" s="1595"/>
      <c r="BW49" s="1591"/>
      <c r="BX49" s="1592"/>
      <c r="BY49" s="1593"/>
      <c r="BZ49" s="1590"/>
      <c r="CA49" s="1591"/>
      <c r="CB49" s="1590"/>
      <c r="CC49" s="1591"/>
      <c r="CD49" s="1592"/>
      <c r="CE49" s="1593"/>
      <c r="CF49" s="1590"/>
      <c r="CG49" s="1591"/>
      <c r="CH49" s="1590"/>
      <c r="CI49" s="1591"/>
      <c r="CJ49" s="1592"/>
      <c r="CK49" s="1593"/>
      <c r="CL49" s="1590"/>
      <c r="CM49" s="1591"/>
      <c r="CN49" s="1590"/>
      <c r="CO49" s="1591"/>
      <c r="CP49" s="1592"/>
      <c r="CQ49" s="1593"/>
      <c r="CR49" s="1590"/>
      <c r="CS49" s="1591"/>
      <c r="CT49" s="1596"/>
      <c r="CU49" s="1591"/>
      <c r="CV49" s="1592"/>
      <c r="CW49" s="1593"/>
      <c r="CX49" s="1590"/>
      <c r="CY49" s="1591"/>
      <c r="CZ49" s="1590"/>
      <c r="DA49" s="1591"/>
      <c r="DB49" s="1592"/>
      <c r="DC49" s="1593"/>
      <c r="DD49" s="1590"/>
      <c r="DE49" s="1591"/>
      <c r="DF49" s="1590"/>
      <c r="DG49" s="1591"/>
      <c r="DH49" s="1592"/>
      <c r="DI49" s="1593"/>
      <c r="DJ49" s="1590"/>
      <c r="DK49" s="1591"/>
      <c r="DL49" s="1590"/>
      <c r="DM49" s="1591"/>
      <c r="DN49" s="1592"/>
      <c r="DO49" s="1593"/>
      <c r="DP49" s="1590"/>
      <c r="DQ49" s="1591"/>
      <c r="DR49" s="1590"/>
      <c r="DS49" s="1591"/>
      <c r="DT49" s="1592"/>
      <c r="DU49" s="1593"/>
      <c r="DV49" s="1590"/>
      <c r="DW49" s="1591"/>
      <c r="DX49" s="1590"/>
      <c r="DY49" s="1591"/>
      <c r="DZ49" s="1592"/>
      <c r="EA49" s="1593"/>
      <c r="EB49" s="1590"/>
      <c r="EC49" s="1591"/>
      <c r="ED49" s="1590"/>
      <c r="EE49" s="1591"/>
      <c r="EF49" s="1592"/>
      <c r="EG49" s="1593"/>
      <c r="EH49" s="1590"/>
      <c r="EI49" s="1591"/>
      <c r="EJ49" s="1590"/>
      <c r="EK49" s="1591"/>
      <c r="EL49" s="1592"/>
      <c r="EM49" s="1593"/>
      <c r="EN49" s="1590"/>
      <c r="EO49" s="1591"/>
      <c r="EP49" s="1590"/>
      <c r="EQ49" s="1591"/>
      <c r="ER49" s="1592"/>
      <c r="ES49" s="1593"/>
      <c r="ET49" s="1590"/>
      <c r="EU49" s="1591"/>
      <c r="EV49" s="1590" t="s">
        <v>8626</v>
      </c>
      <c r="EW49" s="1591"/>
      <c r="EX49" s="1592"/>
      <c r="EY49" s="1593"/>
      <c r="EZ49" s="1590"/>
      <c r="FA49" s="1591"/>
      <c r="FB49" s="1590" t="s">
        <v>8145</v>
      </c>
      <c r="FC49" s="1591"/>
      <c r="FD49" s="1592"/>
      <c r="FE49" s="1593"/>
      <c r="FF49" s="1590"/>
      <c r="FG49" s="1591"/>
      <c r="FH49" s="1590"/>
      <c r="FI49" s="1591"/>
      <c r="FJ49" s="1592"/>
      <c r="FK49" s="1593"/>
      <c r="FL49" s="1590"/>
      <c r="FM49" s="1591"/>
      <c r="FN49" s="1590"/>
      <c r="FO49" s="1591"/>
      <c r="FP49" s="1592"/>
      <c r="FQ49" s="1593"/>
      <c r="FR49" s="1590"/>
      <c r="FS49" s="1591"/>
      <c r="FT49" s="1590"/>
      <c r="FU49" s="1591"/>
      <c r="FV49" s="1592"/>
      <c r="FW49" s="1593"/>
      <c r="FX49" s="1590"/>
      <c r="FY49" s="1591"/>
      <c r="FZ49" s="1590"/>
      <c r="GA49" s="1591"/>
      <c r="GB49" s="1592"/>
      <c r="GC49" s="1593"/>
      <c r="GD49" s="1590"/>
      <c r="GE49" s="1591"/>
      <c r="GF49" s="1590"/>
      <c r="GG49" s="1591"/>
      <c r="GH49" s="1592"/>
    </row>
    <row r="50" spans="1:190" ht="20.100000000000001" customHeight="1">
      <c r="A50" s="2848"/>
      <c r="B50" s="2858"/>
      <c r="C50" s="1520">
        <v>200004</v>
      </c>
      <c r="D50" s="1521" t="str">
        <f>実績!C1401</f>
        <v>長尾製缶所 本社第二工場(有田川)</v>
      </c>
      <c r="E50" s="1498" t="str">
        <f>SUBSTITUTE(VLOOKUP(D50,実績!$C$5:'実績'!$AC$1451,3,0),"株式会社 ","")</f>
        <v>大田</v>
      </c>
      <c r="F50" s="1485" t="str">
        <f>SUBSTITUTE(VLOOKUP(D50,実績!$C$5:'実績'!$AC$1451,2,0),"株式会社 ","")</f>
        <v>近藤
フィ</v>
      </c>
      <c r="G50" s="1522" t="str">
        <f>SUBSTITUTE(VLOOKUP(D50,実績!$C$5:'実績'!$AC$1451,16,0),"株式会社 ","")</f>
        <v>蔵建築設計事務所</v>
      </c>
      <c r="H50" s="1523" t="str">
        <f>VLOOKUP(D50,実績!$C$5:'実績'!$AC$1451,4,0)</f>
        <v>和歌山県</v>
      </c>
      <c r="I50" s="1524" t="str">
        <f>VLOOKUP(D50,実績!$C$5:'実績'!$AC$1451,5,0)</f>
        <v>有田郡</v>
      </c>
      <c r="J50" s="1484" t="str">
        <f>VLOOKUP(D50,実績!$C$5:'実績'!$AC$1451,9,0)</f>
        <v>製缶所</v>
      </c>
      <c r="K50" s="1485">
        <f>ROUND(VLOOKUP(D50,実績!$C$5:'実績'!$AC$1472,15,0),-1)</f>
        <v>2000</v>
      </c>
      <c r="L50" s="1483" t="str">
        <f>VLOOKUP(D50,実績!$C$5:'実績'!$BY$1451,40,0)</f>
        <v>○</v>
      </c>
      <c r="M50" s="1484" t="str">
        <f>VLOOKUP(D50,実績!$C$5:'実績'!$BY$1472,38,0)</f>
        <v>-</v>
      </c>
      <c r="N50" s="1484" t="str">
        <f>VLOOKUP(D50,実績!$C$5:'実績'!$BY$1472,37,0)</f>
        <v>-</v>
      </c>
      <c r="O50" s="1485" t="str">
        <f>VLOOKUP(D50,実績!$C$5:'実績'!$BY$1472,41,0)</f>
        <v>独立</v>
      </c>
      <c r="P50" s="1664" t="s">
        <v>17427</v>
      </c>
      <c r="Q50" s="1665">
        <v>44119</v>
      </c>
      <c r="R50" s="1664"/>
      <c r="S50" s="1666"/>
      <c r="T50" s="1667"/>
      <c r="U50" s="1665"/>
      <c r="V50" s="1674"/>
      <c r="W50" s="1526"/>
      <c r="X50" s="1526"/>
      <c r="Y50" s="1527"/>
      <c r="Z50" s="1526"/>
      <c r="AA50" s="1527"/>
      <c r="AB50" s="1528"/>
      <c r="AC50" s="1526"/>
      <c r="AD50" s="1526"/>
      <c r="AE50" s="1527"/>
      <c r="AF50" s="1526"/>
      <c r="AG50" s="1527"/>
      <c r="AH50" s="1526"/>
      <c r="AI50" s="1529"/>
      <c r="AJ50" s="1526"/>
      <c r="AK50" s="1527"/>
      <c r="AL50" s="1526"/>
      <c r="AM50" s="1527"/>
      <c r="AN50" s="1528"/>
      <c r="AO50" s="1526"/>
      <c r="AP50" s="1526"/>
      <c r="AQ50" s="1527"/>
      <c r="AR50" s="1526"/>
      <c r="AS50" s="1527"/>
      <c r="AT50" s="1526"/>
      <c r="AU50" s="1530"/>
      <c r="AV50" s="1526"/>
      <c r="AW50" s="1527"/>
      <c r="AX50" s="1526"/>
      <c r="AY50" s="1527"/>
      <c r="AZ50" s="1528"/>
      <c r="BA50" s="1529"/>
      <c r="BB50" s="1526"/>
      <c r="BC50" s="1527"/>
      <c r="BD50" s="1526"/>
      <c r="BE50" s="1527"/>
      <c r="BF50" s="1528"/>
      <c r="BG50" s="1526"/>
      <c r="BH50" s="1526"/>
      <c r="BI50" s="1527"/>
      <c r="BJ50" s="1526"/>
      <c r="BK50" s="1527"/>
      <c r="BL50" s="1526"/>
      <c r="BM50" s="1529"/>
      <c r="BN50" s="1526"/>
      <c r="BO50" s="1527"/>
      <c r="BP50" s="1526"/>
      <c r="BQ50" s="1527"/>
      <c r="BR50" s="1528"/>
      <c r="BS50" s="1529"/>
      <c r="BT50" s="1526"/>
      <c r="BU50" s="1527"/>
      <c r="BV50" s="1531"/>
      <c r="BW50" s="1527"/>
      <c r="BX50" s="1528"/>
      <c r="BY50" s="1529"/>
      <c r="BZ50" s="1526"/>
      <c r="CA50" s="1527"/>
      <c r="CB50" s="1526"/>
      <c r="CC50" s="1527"/>
      <c r="CD50" s="1528"/>
      <c r="CE50" s="1529"/>
      <c r="CF50" s="1526"/>
      <c r="CG50" s="1527"/>
      <c r="CH50" s="1526"/>
      <c r="CI50" s="1527"/>
      <c r="CJ50" s="1528"/>
      <c r="CK50" s="1529"/>
      <c r="CL50" s="1526"/>
      <c r="CM50" s="1527"/>
      <c r="CN50" s="1526"/>
      <c r="CO50" s="1527"/>
      <c r="CP50" s="1528"/>
      <c r="CQ50" s="1529"/>
      <c r="CR50" s="1526"/>
      <c r="CS50" s="1527"/>
      <c r="CT50" s="1532"/>
      <c r="CU50" s="1527"/>
      <c r="CV50" s="1528"/>
      <c r="CW50" s="1529"/>
      <c r="CX50" s="1526"/>
      <c r="CY50" s="1527"/>
      <c r="CZ50" s="1526"/>
      <c r="DA50" s="1527"/>
      <c r="DB50" s="1528"/>
      <c r="DC50" s="1529"/>
      <c r="DD50" s="1526"/>
      <c r="DE50" s="1527"/>
      <c r="DF50" s="1526"/>
      <c r="DG50" s="1527"/>
      <c r="DH50" s="1528"/>
      <c r="DI50" s="1529"/>
      <c r="DJ50" s="1526"/>
      <c r="DK50" s="1527"/>
      <c r="DL50" s="1526"/>
      <c r="DM50" s="1527"/>
      <c r="DN50" s="1528"/>
      <c r="DO50" s="1529"/>
      <c r="DP50" s="1526"/>
      <c r="DQ50" s="1527"/>
      <c r="DR50" s="1526"/>
      <c r="DS50" s="1527"/>
      <c r="DT50" s="1528"/>
      <c r="DU50" s="1529"/>
      <c r="DV50" s="1526"/>
      <c r="DW50" s="1527"/>
      <c r="DX50" s="1526"/>
      <c r="DY50" s="1527"/>
      <c r="DZ50" s="1528"/>
      <c r="EA50" s="1529"/>
      <c r="EB50" s="1526"/>
      <c r="EC50" s="1527"/>
      <c r="ED50" s="1526"/>
      <c r="EE50" s="1527"/>
      <c r="EF50" s="1528"/>
      <c r="EG50" s="1529"/>
      <c r="EH50" s="1526"/>
      <c r="EI50" s="1527"/>
      <c r="EJ50" s="1526"/>
      <c r="EK50" s="1527"/>
      <c r="EL50" s="1528"/>
      <c r="EM50" s="1529"/>
      <c r="EN50" s="1526"/>
      <c r="EO50" s="1527"/>
      <c r="EP50" s="1526"/>
      <c r="EQ50" s="1527"/>
      <c r="ER50" s="1533"/>
      <c r="ES50" s="1529"/>
      <c r="ET50" s="1526"/>
      <c r="EU50" s="1527"/>
      <c r="EV50" s="1526"/>
      <c r="EW50" s="1527"/>
      <c r="EX50" s="1528"/>
      <c r="EY50" s="1529"/>
      <c r="EZ50" s="1526"/>
      <c r="FA50" s="1527"/>
      <c r="FB50" s="1526"/>
      <c r="FC50" s="1527"/>
      <c r="FD50" s="1528"/>
      <c r="FE50" s="1529"/>
      <c r="FF50" s="1526"/>
      <c r="FG50" s="1527"/>
      <c r="FH50" s="1526" t="s">
        <v>8145</v>
      </c>
      <c r="FI50" s="1527"/>
      <c r="FJ50" s="1528"/>
      <c r="FK50" s="1529"/>
      <c r="FL50" s="1526"/>
      <c r="FM50" s="1527"/>
      <c r="FN50" s="1526"/>
      <c r="FO50" s="1527"/>
      <c r="FP50" s="1528"/>
      <c r="FQ50" s="1529"/>
      <c r="FR50" s="1526"/>
      <c r="FS50" s="1527"/>
      <c r="FT50" s="1526"/>
      <c r="FU50" s="1527"/>
      <c r="FV50" s="1528"/>
      <c r="FW50" s="1529"/>
      <c r="FX50" s="1526"/>
      <c r="FY50" s="1527"/>
      <c r="FZ50" s="1526"/>
      <c r="GA50" s="1527"/>
      <c r="GB50" s="1528"/>
      <c r="GC50" s="1529"/>
      <c r="GD50" s="1526"/>
      <c r="GE50" s="1527"/>
      <c r="GF50" s="1526"/>
      <c r="GG50" s="1527"/>
      <c r="GH50" s="1528"/>
    </row>
    <row r="51" spans="1:190" ht="20.100000000000001" customHeight="1">
      <c r="A51" s="2848"/>
      <c r="B51" s="2858"/>
      <c r="C51" s="1496">
        <v>200002</v>
      </c>
      <c r="D51" s="1497" t="str">
        <f>実績!C1399</f>
        <v>キタセキひたちなか</v>
      </c>
      <c r="E51" s="1534" t="str">
        <f>SUBSTITUTE(VLOOKUP(D51,実績!$C$5:'実績'!$AC$1451,3,0),"株式会社 ","")</f>
        <v>沖本</v>
      </c>
      <c r="F51" s="1503" t="str">
        <f>SUBSTITUTE(VLOOKUP(D51,実績!$C$5:'実績'!$AC$1451,2,0),"株式会社 ","")</f>
        <v>山名
近藤</v>
      </c>
      <c r="G51" s="1499" t="str">
        <f>SUBSTITUTE(VLOOKUP(D51,実績!$C$5:'実績'!$AC$1451,26,0)," 株式会社","")</f>
        <v>日本建設</v>
      </c>
      <c r="H51" s="1500" t="str">
        <f>VLOOKUP(D51,実績!$C$5:'実績'!$AC$1451,4,0)</f>
        <v>茨城県</v>
      </c>
      <c r="I51" s="1501" t="str">
        <f>VLOOKUP(D51,実績!$C$5:'実績'!$AC$1451,5,0)</f>
        <v>ひたちなか市</v>
      </c>
      <c r="J51" s="1502" t="str">
        <f>VLOOKUP(D51,実績!$C$5:'実績'!$AC$1451,9,0)</f>
        <v>事務所等</v>
      </c>
      <c r="K51" s="1503">
        <f>ROUND(VLOOKUP(D51,実績!$C$5:'実績'!$AC$1472,15,0),-1)</f>
        <v>850</v>
      </c>
      <c r="L51" s="1504" t="str">
        <f>VLOOKUP(D51,実績!$C$5:'実績'!$BY$1451,40,0)</f>
        <v>-</v>
      </c>
      <c r="M51" s="1502" t="str">
        <f>VLOOKUP(D51,実績!$C$5:'実績'!$BY$1472,38,0)</f>
        <v>-</v>
      </c>
      <c r="N51" s="1502" t="str">
        <f>VLOOKUP(D51,実績!$C$5:'実績'!$BY$1472,37,0)</f>
        <v>-</v>
      </c>
      <c r="O51" s="1503" t="str">
        <f>VLOOKUP(D51,実績!$C$5:'実績'!$BY$1472,41,0)</f>
        <v>独立</v>
      </c>
      <c r="P51" s="1659" t="s">
        <v>17428</v>
      </c>
      <c r="Q51" s="1660" t="s">
        <v>17429</v>
      </c>
      <c r="R51" s="1659"/>
      <c r="S51" s="1661"/>
      <c r="T51" s="1662"/>
      <c r="U51" s="1660"/>
      <c r="V51" s="1663"/>
      <c r="W51" s="1505"/>
      <c r="X51" s="1505"/>
      <c r="Y51" s="1505"/>
      <c r="Z51" s="1505"/>
      <c r="AA51" s="1505"/>
      <c r="AB51" s="1505"/>
      <c r="AC51" s="1505"/>
      <c r="AD51" s="1505"/>
      <c r="AE51" s="1505"/>
      <c r="AF51" s="1505"/>
      <c r="AG51" s="1505"/>
      <c r="AH51" s="1505"/>
      <c r="AI51" s="1505"/>
      <c r="AJ51" s="1505"/>
      <c r="AK51" s="1505"/>
      <c r="AL51" s="1505"/>
      <c r="AM51" s="1505"/>
      <c r="AN51" s="1505"/>
      <c r="AO51" s="1505"/>
      <c r="AP51" s="1505"/>
      <c r="AQ51" s="1505"/>
      <c r="AR51" s="1505"/>
      <c r="AS51" s="1505"/>
      <c r="AT51" s="1505"/>
      <c r="AU51" s="1505"/>
      <c r="AV51" s="1505"/>
      <c r="AW51" s="1505"/>
      <c r="AX51" s="1505"/>
      <c r="AY51" s="1505"/>
      <c r="AZ51" s="1505"/>
      <c r="BA51" s="1505"/>
      <c r="BB51" s="1505"/>
      <c r="BC51" s="1505"/>
      <c r="BD51" s="1505"/>
      <c r="BE51" s="1505"/>
      <c r="BF51" s="1505"/>
      <c r="BG51" s="1505"/>
      <c r="BH51" s="1505"/>
      <c r="BI51" s="1505"/>
      <c r="BJ51" s="1505"/>
      <c r="BK51" s="1505"/>
      <c r="BL51" s="1505"/>
      <c r="BM51" s="1505"/>
      <c r="BN51" s="1505"/>
      <c r="BO51" s="1505"/>
      <c r="BP51" s="1505"/>
      <c r="BQ51" s="1505"/>
      <c r="BR51" s="1505"/>
      <c r="BS51" s="1505"/>
      <c r="BT51" s="1505"/>
      <c r="BU51" s="1505"/>
      <c r="BV51" s="1505"/>
      <c r="BW51" s="1505"/>
      <c r="BX51" s="1505"/>
      <c r="BY51" s="1505"/>
      <c r="BZ51" s="1505"/>
      <c r="CA51" s="1505"/>
      <c r="CB51" s="1505"/>
      <c r="CC51" s="1505"/>
      <c r="CD51" s="1505"/>
      <c r="CE51" s="1505"/>
      <c r="CF51" s="1505"/>
      <c r="CG51" s="1505"/>
      <c r="CH51" s="1505"/>
      <c r="CI51" s="1505"/>
      <c r="CJ51" s="1505"/>
      <c r="CK51" s="1505"/>
      <c r="CL51" s="1505"/>
      <c r="CM51" s="1505"/>
      <c r="CN51" s="1505"/>
      <c r="CO51" s="1505"/>
      <c r="CP51" s="1505"/>
      <c r="CQ51" s="1505"/>
      <c r="CR51" s="1505"/>
      <c r="CS51" s="1505"/>
      <c r="CT51" s="1511"/>
      <c r="CU51" s="1505"/>
      <c r="CV51" s="1505"/>
      <c r="CW51" s="1505"/>
      <c r="CX51" s="1505"/>
      <c r="CY51" s="1505"/>
      <c r="CZ51" s="1505"/>
      <c r="DA51" s="1505"/>
      <c r="DB51" s="1505"/>
      <c r="DC51" s="1508"/>
      <c r="DD51" s="1505"/>
      <c r="DE51" s="1506"/>
      <c r="DF51" s="1505"/>
      <c r="DG51" s="1506"/>
      <c r="DH51" s="1507"/>
      <c r="DI51" s="1508"/>
      <c r="DJ51" s="1505"/>
      <c r="DK51" s="1506"/>
      <c r="DL51" s="1505"/>
      <c r="DM51" s="1506"/>
      <c r="DN51" s="1507"/>
      <c r="DO51" s="1508"/>
      <c r="DP51" s="1505"/>
      <c r="DQ51" s="1506"/>
      <c r="DR51" s="1505"/>
      <c r="DS51" s="1506"/>
      <c r="DT51" s="1507"/>
      <c r="DU51" s="1508"/>
      <c r="DV51" s="1505"/>
      <c r="DW51" s="1506"/>
      <c r="DX51" s="1505"/>
      <c r="DY51" s="1506"/>
      <c r="DZ51" s="1507"/>
      <c r="EA51" s="1508"/>
      <c r="EB51" s="1505"/>
      <c r="EC51" s="1506"/>
      <c r="ED51" s="1505"/>
      <c r="EE51" s="1506"/>
      <c r="EF51" s="1507"/>
      <c r="EG51" s="1508"/>
      <c r="EH51" s="1510"/>
      <c r="EI51" s="1506"/>
      <c r="EJ51" s="1505"/>
      <c r="EK51" s="1506"/>
      <c r="EL51" s="1507"/>
      <c r="EM51" s="1508"/>
      <c r="EN51" s="1505"/>
      <c r="EO51" s="1506" t="s">
        <v>16734</v>
      </c>
      <c r="EP51" s="1505"/>
      <c r="EQ51" s="1506"/>
      <c r="ER51" s="1512"/>
      <c r="ES51" s="1508"/>
      <c r="ET51" s="1505"/>
      <c r="EU51" s="1506"/>
      <c r="EV51" s="1505" t="s">
        <v>8250</v>
      </c>
      <c r="EW51" s="1506"/>
      <c r="EX51" s="1507"/>
      <c r="EY51" s="1508"/>
      <c r="EZ51" s="1505"/>
      <c r="FA51" s="1506"/>
      <c r="FB51" s="1505"/>
      <c r="FC51" s="1506"/>
      <c r="FD51" s="1507"/>
      <c r="FE51" s="1508"/>
      <c r="FF51" s="1505"/>
      <c r="FG51" s="1506"/>
      <c r="FH51" s="1505"/>
      <c r="FI51" s="1506"/>
      <c r="FJ51" s="1507"/>
      <c r="FK51" s="1508"/>
      <c r="FL51" s="1505" t="s">
        <v>17424</v>
      </c>
      <c r="FM51" s="1506"/>
      <c r="FN51" s="1505"/>
      <c r="FO51" s="1506"/>
      <c r="FP51" s="1507"/>
      <c r="FQ51" s="1508"/>
      <c r="FR51" s="1505"/>
      <c r="FS51" s="1506"/>
      <c r="FT51" s="1505"/>
      <c r="FU51" s="1506"/>
      <c r="FV51" s="1507"/>
      <c r="FW51" s="1508"/>
      <c r="FX51" s="1505"/>
      <c r="FY51" s="1506"/>
      <c r="FZ51" s="1505"/>
      <c r="GA51" s="1506"/>
      <c r="GB51" s="1507"/>
      <c r="GC51" s="1508"/>
      <c r="GD51" s="1505"/>
      <c r="GE51" s="1506"/>
      <c r="GF51" s="1505"/>
      <c r="GG51" s="1506"/>
      <c r="GH51" s="1507"/>
    </row>
    <row r="52" spans="1:190" ht="20.100000000000001" customHeight="1">
      <c r="A52" s="2848"/>
      <c r="B52" s="2858"/>
      <c r="C52" s="1496">
        <v>200023</v>
      </c>
      <c r="D52" s="1497" t="str">
        <f>実績!C1420</f>
        <v>小西咲佃工場</v>
      </c>
      <c r="E52" s="1534" t="str">
        <f>SUBSTITUTE(VLOOKUP(D52,実績!$C$5:'実績'!$AC$1451,3,0),"株式会社 ","")</f>
        <v>新井</v>
      </c>
      <c r="F52" s="1503" t="str">
        <f>SUBSTITUTE(VLOOKUP(D52,実績!$C$5:'実績'!$AC$1451,2,0),"株式会社 ","")</f>
        <v>村上
ﾗﾝ</v>
      </c>
      <c r="G52" s="1499" t="str">
        <f>SUBSTITUTE(VLOOKUP(D52,実績!$C$5:'実績'!$AC$1451,21,0),"株式会社 ","")</f>
        <v>エスパス建築事務所</v>
      </c>
      <c r="H52" s="1500" t="str">
        <f>VLOOKUP(D52,実績!$C$5:'実績'!$AC$1451,4,0)</f>
        <v>大阪府</v>
      </c>
      <c r="I52" s="1501" t="str">
        <f>VLOOKUP(D52,実績!$C$5:'実績'!$AC$1451,5,0)</f>
        <v>大阪市</v>
      </c>
      <c r="J52" s="1502" t="str">
        <f>VLOOKUP(D52,実績!$C$5:'実績'!$AC$1451,9,0)</f>
        <v>工場</v>
      </c>
      <c r="K52" s="1503">
        <f>ROUND(VLOOKUP(D52,実績!$C$5:'実績'!$AC$1472,15,0),-1)</f>
        <v>480</v>
      </c>
      <c r="L52" s="1504" t="str">
        <f>VLOOKUP(D52,実績!$C$5:'実績'!$BY$1451,40,0)</f>
        <v>○</v>
      </c>
      <c r="M52" s="1502" t="str">
        <f>VLOOKUP(D52,実績!$C$5:'実績'!$BY$1472,38,0)</f>
        <v>-</v>
      </c>
      <c r="N52" s="1502" t="str">
        <f>VLOOKUP(D52,実績!$C$5:'実績'!$BY$1472,37,0)</f>
        <v>-</v>
      </c>
      <c r="O52" s="1503" t="str">
        <f>VLOOKUP(D52,実績!$C$5:'実績'!$BY$1472,41,0)</f>
        <v>独立</v>
      </c>
      <c r="P52" s="1659">
        <v>44064</v>
      </c>
      <c r="Q52" s="1660" t="s">
        <v>17429</v>
      </c>
      <c r="R52" s="1659"/>
      <c r="S52" s="1661"/>
      <c r="T52" s="1662"/>
      <c r="U52" s="1660"/>
      <c r="V52" s="1663"/>
      <c r="W52" s="1505"/>
      <c r="X52" s="1505"/>
      <c r="Y52" s="1506"/>
      <c r="Z52" s="1505"/>
      <c r="AA52" s="1506"/>
      <c r="AB52" s="1507"/>
      <c r="AC52" s="1505"/>
      <c r="AD52" s="1505"/>
      <c r="AE52" s="1506"/>
      <c r="AF52" s="1505"/>
      <c r="AG52" s="1506"/>
      <c r="AH52" s="1505"/>
      <c r="AI52" s="1508"/>
      <c r="AJ52" s="1505"/>
      <c r="AK52" s="1506"/>
      <c r="AL52" s="1505"/>
      <c r="AM52" s="1506"/>
      <c r="AN52" s="1507"/>
      <c r="AO52" s="1505"/>
      <c r="AP52" s="1505"/>
      <c r="AQ52" s="1506"/>
      <c r="AR52" s="1505"/>
      <c r="AS52" s="1506"/>
      <c r="AT52" s="1505"/>
      <c r="AU52" s="1509"/>
      <c r="AV52" s="1505"/>
      <c r="AW52" s="1506"/>
      <c r="AX52" s="1505"/>
      <c r="AY52" s="1506"/>
      <c r="AZ52" s="1507"/>
      <c r="BA52" s="1508"/>
      <c r="BB52" s="1505"/>
      <c r="BC52" s="1506"/>
      <c r="BD52" s="1505"/>
      <c r="BE52" s="1506"/>
      <c r="BF52" s="1507"/>
      <c r="BG52" s="1505"/>
      <c r="BH52" s="1505"/>
      <c r="BI52" s="1506"/>
      <c r="BJ52" s="1505"/>
      <c r="BK52" s="1506"/>
      <c r="BL52" s="1505"/>
      <c r="BM52" s="1508"/>
      <c r="BN52" s="1505"/>
      <c r="BO52" s="1506"/>
      <c r="BP52" s="1505"/>
      <c r="BQ52" s="1506"/>
      <c r="BR52" s="1507"/>
      <c r="BS52" s="1508"/>
      <c r="BT52" s="1505"/>
      <c r="BU52" s="1506"/>
      <c r="BV52" s="1510"/>
      <c r="BW52" s="1506"/>
      <c r="BX52" s="1507"/>
      <c r="BY52" s="1508"/>
      <c r="BZ52" s="1505"/>
      <c r="CA52" s="1506"/>
      <c r="CB52" s="1505"/>
      <c r="CC52" s="1506"/>
      <c r="CD52" s="1507"/>
      <c r="CE52" s="1508"/>
      <c r="CF52" s="1505"/>
      <c r="CG52" s="1506"/>
      <c r="CH52" s="1505"/>
      <c r="CI52" s="1506"/>
      <c r="CJ52" s="1507"/>
      <c r="CK52" s="1508"/>
      <c r="CL52" s="1505"/>
      <c r="CM52" s="1506"/>
      <c r="CN52" s="1505"/>
      <c r="CO52" s="1506"/>
      <c r="CP52" s="1507"/>
      <c r="CQ52" s="1508"/>
      <c r="CR52" s="1505"/>
      <c r="CS52" s="1506"/>
      <c r="CT52" s="1511"/>
      <c r="CU52" s="1506"/>
      <c r="CV52" s="1507"/>
      <c r="CW52" s="1508"/>
      <c r="CX52" s="1505"/>
      <c r="CY52" s="1506"/>
      <c r="CZ52" s="1505"/>
      <c r="DA52" s="1506"/>
      <c r="DB52" s="1507"/>
      <c r="DC52" s="1508"/>
      <c r="DD52" s="1505"/>
      <c r="DE52" s="1506"/>
      <c r="DF52" s="1505"/>
      <c r="DG52" s="1506"/>
      <c r="DH52" s="1507"/>
      <c r="DI52" s="1508"/>
      <c r="DJ52" s="1505"/>
      <c r="DK52" s="1506"/>
      <c r="DL52" s="1505"/>
      <c r="DM52" s="1506"/>
      <c r="DN52" s="1507"/>
      <c r="DO52" s="1508"/>
      <c r="DP52" s="1505"/>
      <c r="DQ52" s="1506"/>
      <c r="DR52" s="1505"/>
      <c r="DS52" s="1506"/>
      <c r="DT52" s="1507"/>
      <c r="DU52" s="1508"/>
      <c r="DV52" s="1505"/>
      <c r="DW52" s="1506"/>
      <c r="DX52" s="1505"/>
      <c r="DY52" s="1506"/>
      <c r="DZ52" s="1507"/>
      <c r="EA52" s="1508"/>
      <c r="EB52" s="1505"/>
      <c r="EC52" s="1506"/>
      <c r="ED52" s="1505"/>
      <c r="EE52" s="1506"/>
      <c r="EF52" s="1507"/>
      <c r="EG52" s="1508"/>
      <c r="EH52" s="1505"/>
      <c r="EI52" s="1506"/>
      <c r="EJ52" s="1505"/>
      <c r="EK52" s="1506"/>
      <c r="EL52" s="1507"/>
      <c r="EM52" s="1508"/>
      <c r="EN52" s="1505"/>
      <c r="EO52" s="1506"/>
      <c r="EP52" s="1505"/>
      <c r="EQ52" s="1506"/>
      <c r="ER52" s="1507"/>
      <c r="ES52" s="1508"/>
      <c r="ET52" s="1510"/>
      <c r="EU52" s="1506"/>
      <c r="EV52" s="1505"/>
      <c r="EW52" s="1506" t="s">
        <v>9291</v>
      </c>
      <c r="EX52" s="1507"/>
      <c r="EY52" s="1508"/>
      <c r="EZ52" s="1505"/>
      <c r="FA52" s="1506"/>
      <c r="FB52" s="1505"/>
      <c r="FC52" s="1506"/>
      <c r="FD52" s="1507"/>
      <c r="FE52" s="1508"/>
      <c r="FF52" s="1505"/>
      <c r="FG52" s="1506"/>
      <c r="FH52" s="1505"/>
      <c r="FI52" s="1506"/>
      <c r="FJ52" s="1507"/>
      <c r="FK52" s="1508"/>
      <c r="FL52" s="1505" t="s">
        <v>17424</v>
      </c>
      <c r="FM52" s="1506"/>
      <c r="FN52" s="1505"/>
      <c r="FO52" s="1506"/>
      <c r="FP52" s="1507"/>
      <c r="FQ52" s="1508"/>
      <c r="FR52" s="1505"/>
      <c r="FS52" s="1506"/>
      <c r="FT52" s="1505"/>
      <c r="FU52" s="1506"/>
      <c r="FV52" s="1507"/>
      <c r="FW52" s="1508"/>
      <c r="FX52" s="1505"/>
      <c r="FY52" s="1506"/>
      <c r="FZ52" s="1505"/>
      <c r="GA52" s="1506"/>
      <c r="GB52" s="1507"/>
      <c r="GC52" s="1508"/>
      <c r="GD52" s="1505"/>
      <c r="GE52" s="1506"/>
      <c r="GF52" s="1505"/>
      <c r="GG52" s="1506"/>
      <c r="GH52" s="1507"/>
    </row>
    <row r="53" spans="1:190" ht="20.100000000000001" customHeight="1">
      <c r="A53" s="2848"/>
      <c r="B53" s="2858"/>
      <c r="C53" s="1496">
        <v>200025</v>
      </c>
      <c r="D53" s="1497" t="str">
        <f>実績!C1422</f>
        <v>康井精機本社隣敷地新工場</v>
      </c>
      <c r="E53" s="1534" t="str">
        <f>SUBSTITUTE(VLOOKUP(D53,実績!$C$5:'実績'!$AC$1451,3,0),"株式会社 ","")</f>
        <v>大田</v>
      </c>
      <c r="F53" s="1503" t="str">
        <f>SUBSTITUTE(VLOOKUP(D53,実績!$C$5:'実績'!$AC$1451,2,0),"株式会社 ","")</f>
        <v>村上
ホア</v>
      </c>
      <c r="G53" s="1499" t="str">
        <f>SUBSTITUTE(VLOOKUP(D53,実績!$C$5:'実績'!$AC$1451,21,0),"株式会社 ","")</f>
        <v>横河システム建築</v>
      </c>
      <c r="H53" s="1500" t="str">
        <f>VLOOKUP(D53,実績!$C$5:'実績'!$AC$1451,4,0)</f>
        <v>神奈川県</v>
      </c>
      <c r="I53" s="1501" t="str">
        <f>VLOOKUP(D53,実績!$C$5:'実績'!$AC$1451,5,0)</f>
        <v>海老名市</v>
      </c>
      <c r="J53" s="1502" t="str">
        <f>VLOOKUP(D53,実績!$C$5:'実績'!$AC$1451,9,0)</f>
        <v>工場</v>
      </c>
      <c r="K53" s="1503">
        <f>ROUND(VLOOKUP(D53,実績!$C$5:'実績'!$AC$1472,15,0),-1)</f>
        <v>550</v>
      </c>
      <c r="L53" s="1504" t="str">
        <f>VLOOKUP(D53,実績!$C$5:'実績'!$BY$1451,40,0)</f>
        <v>-</v>
      </c>
      <c r="M53" s="1502" t="str">
        <f>VLOOKUP(D53,実績!$C$5:'実績'!$BY$1472,38,0)</f>
        <v>-</v>
      </c>
      <c r="N53" s="1502" t="str">
        <f>VLOOKUP(D53,実績!$C$5:'実績'!$BY$1472,37,0)</f>
        <v>-</v>
      </c>
      <c r="O53" s="1503" t="str">
        <f>VLOOKUP(D53,実績!$C$5:'実績'!$BY$1472,41,0)</f>
        <v>独立</v>
      </c>
      <c r="P53" s="1659">
        <v>44067</v>
      </c>
      <c r="Q53" s="1660">
        <v>44136</v>
      </c>
      <c r="R53" s="1659"/>
      <c r="S53" s="1661"/>
      <c r="T53" s="1662"/>
      <c r="U53" s="1660"/>
      <c r="V53" s="1663"/>
      <c r="W53" s="1505"/>
      <c r="X53" s="1505"/>
      <c r="Y53" s="1505"/>
      <c r="Z53" s="1505"/>
      <c r="AA53" s="1505"/>
      <c r="AB53" s="1505"/>
      <c r="AC53" s="1505"/>
      <c r="AD53" s="1505"/>
      <c r="AE53" s="1505"/>
      <c r="AF53" s="1505"/>
      <c r="AG53" s="1505"/>
      <c r="AH53" s="1505"/>
      <c r="AI53" s="1505"/>
      <c r="AJ53" s="1505"/>
      <c r="AK53" s="1505"/>
      <c r="AL53" s="1505"/>
      <c r="AM53" s="1505"/>
      <c r="AN53" s="1505"/>
      <c r="AO53" s="1505"/>
      <c r="AP53" s="1505"/>
      <c r="AQ53" s="1505"/>
      <c r="AR53" s="1505"/>
      <c r="AS53" s="1505"/>
      <c r="AT53" s="1505"/>
      <c r="AU53" s="1505"/>
      <c r="AV53" s="1505"/>
      <c r="AW53" s="1505"/>
      <c r="AX53" s="1505"/>
      <c r="AY53" s="1505"/>
      <c r="AZ53" s="1505"/>
      <c r="BA53" s="1505"/>
      <c r="BB53" s="1505"/>
      <c r="BC53" s="1505"/>
      <c r="BD53" s="1505"/>
      <c r="BE53" s="1505"/>
      <c r="BF53" s="1505"/>
      <c r="BG53" s="1505"/>
      <c r="BH53" s="1505"/>
      <c r="BI53" s="1505"/>
      <c r="BJ53" s="1505"/>
      <c r="BK53" s="1505"/>
      <c r="BL53" s="1505"/>
      <c r="BM53" s="1505"/>
      <c r="BN53" s="1505"/>
      <c r="BO53" s="1505"/>
      <c r="BP53" s="1505"/>
      <c r="BQ53" s="1505"/>
      <c r="BR53" s="1505"/>
      <c r="BS53" s="1505"/>
      <c r="BT53" s="1505"/>
      <c r="BU53" s="1505"/>
      <c r="BV53" s="1505"/>
      <c r="BW53" s="1505"/>
      <c r="BX53" s="1505"/>
      <c r="BY53" s="1505"/>
      <c r="BZ53" s="1505"/>
      <c r="CA53" s="1505"/>
      <c r="CB53" s="1505"/>
      <c r="CC53" s="1505"/>
      <c r="CD53" s="1505"/>
      <c r="CE53" s="1505"/>
      <c r="CF53" s="1505"/>
      <c r="CG53" s="1505"/>
      <c r="CH53" s="1505"/>
      <c r="CI53" s="1505"/>
      <c r="CJ53" s="1505"/>
      <c r="CK53" s="1505"/>
      <c r="CL53" s="1505"/>
      <c r="CM53" s="1505"/>
      <c r="CN53" s="1505"/>
      <c r="CO53" s="1505"/>
      <c r="CP53" s="1505"/>
      <c r="CQ53" s="1505"/>
      <c r="CR53" s="1505"/>
      <c r="CS53" s="1505"/>
      <c r="CT53" s="1511"/>
      <c r="CU53" s="1505"/>
      <c r="CV53" s="1505"/>
      <c r="CW53" s="1505"/>
      <c r="CX53" s="1505"/>
      <c r="CY53" s="1505"/>
      <c r="CZ53" s="1505"/>
      <c r="DA53" s="1505"/>
      <c r="DB53" s="1505"/>
      <c r="DC53" s="1508"/>
      <c r="DD53" s="1505"/>
      <c r="DE53" s="1506"/>
      <c r="DF53" s="1505"/>
      <c r="DG53" s="1506"/>
      <c r="DH53" s="1507"/>
      <c r="DI53" s="1508"/>
      <c r="DJ53" s="1505"/>
      <c r="DK53" s="1506"/>
      <c r="DL53" s="1505"/>
      <c r="DM53" s="1506"/>
      <c r="DN53" s="1512"/>
      <c r="DO53" s="1508"/>
      <c r="DP53" s="1505"/>
      <c r="DQ53" s="1506"/>
      <c r="DR53" s="1505"/>
      <c r="DS53" s="1506"/>
      <c r="DT53" s="1507"/>
      <c r="DU53" s="1508"/>
      <c r="DV53" s="1505"/>
      <c r="DW53" s="1506"/>
      <c r="DX53" s="1505"/>
      <c r="DY53" s="1506"/>
      <c r="DZ53" s="1512"/>
      <c r="EA53" s="1508"/>
      <c r="EB53" s="1505"/>
      <c r="EC53" s="1506"/>
      <c r="ED53" s="1505"/>
      <c r="EE53" s="1506"/>
      <c r="EF53" s="1512"/>
      <c r="EG53" s="1508"/>
      <c r="EH53" s="1505"/>
      <c r="EI53" s="1506"/>
      <c r="EJ53" s="1505"/>
      <c r="EK53" s="1506"/>
      <c r="EL53" s="1512"/>
      <c r="EM53" s="1508"/>
      <c r="EN53" s="1505"/>
      <c r="EO53" s="1506"/>
      <c r="EP53" s="1505"/>
      <c r="EQ53" s="1506"/>
      <c r="ER53" s="1512"/>
      <c r="ES53" s="1508"/>
      <c r="ET53" s="1505"/>
      <c r="EU53" s="1506"/>
      <c r="EV53" s="1505"/>
      <c r="EW53" s="1506"/>
      <c r="EX53" s="1507" t="s">
        <v>17433</v>
      </c>
      <c r="EY53" s="1508"/>
      <c r="EZ53" s="1505"/>
      <c r="FA53" s="1506"/>
      <c r="FB53" s="1505"/>
      <c r="FC53" s="1506"/>
      <c r="FD53" s="1512"/>
      <c r="FE53" s="1508"/>
      <c r="FF53" s="1505"/>
      <c r="FG53" s="1506"/>
      <c r="FH53" s="1505"/>
      <c r="FI53" s="1506"/>
      <c r="FJ53" s="1512"/>
      <c r="FK53" s="1508" t="s">
        <v>8145</v>
      </c>
      <c r="FL53" s="1505"/>
      <c r="FM53" s="1506"/>
      <c r="FN53" s="1505"/>
      <c r="FO53" s="1506"/>
      <c r="FP53" s="1512"/>
      <c r="FQ53" s="1508"/>
      <c r="FR53" s="1505"/>
      <c r="FS53" s="1506"/>
      <c r="FT53" s="1505"/>
      <c r="FU53" s="1506"/>
      <c r="FV53" s="1512"/>
      <c r="FW53" s="1508"/>
      <c r="FX53" s="1505"/>
      <c r="FY53" s="1506"/>
      <c r="FZ53" s="1505"/>
      <c r="GA53" s="1506"/>
      <c r="GB53" s="1512"/>
      <c r="GC53" s="1508"/>
      <c r="GD53" s="1505"/>
      <c r="GE53" s="1506"/>
      <c r="GF53" s="1505"/>
      <c r="GG53" s="1506"/>
      <c r="GH53" s="1512"/>
    </row>
    <row r="54" spans="1:190" ht="20.100000000000001" customHeight="1">
      <c r="A54" s="2848"/>
      <c r="B54" s="2858"/>
      <c r="C54" s="1496">
        <v>200024</v>
      </c>
      <c r="D54" s="1497" t="str">
        <f>実績!C1421</f>
        <v>東習志野テナントビル</v>
      </c>
      <c r="E54" s="1534" t="str">
        <f>SUBSTITUTE(VLOOKUP(D54,実績!$C$5:'実績'!$AC$1451,3,0),"株式会社 ","")</f>
        <v>沖本</v>
      </c>
      <c r="F54" s="1503" t="str">
        <f>SUBSTITUTE(VLOOKUP(D54,実績!$C$5:'実績'!$AC$1451,2,0),"株式会社 ","")</f>
        <v>村上
ﾏｲｱｲﾝ</v>
      </c>
      <c r="G54" s="1499" t="str">
        <f>SUBSTITUTE(VLOOKUP(D54,実績!$C$5:'実績'!$AC$1451,16,0),"株式会社 ","")</f>
        <v>河野設計福岡</v>
      </c>
      <c r="H54" s="1500" t="str">
        <f>VLOOKUP(D54,実績!$C$5:'実績'!$AC$1451,4,0)</f>
        <v>千葉県</v>
      </c>
      <c r="I54" s="1501" t="str">
        <f>VLOOKUP(D54,実績!$C$5:'実績'!$AC$1451,5,0)</f>
        <v>習志野市</v>
      </c>
      <c r="J54" s="1502" t="str">
        <f>VLOOKUP(D54,実績!$C$5:'実績'!$AC$1451,9,0)</f>
        <v>店舗(ﾊﾟﾁﾝｺ)</v>
      </c>
      <c r="K54" s="1503">
        <f>ROUND(VLOOKUP(D54,実績!$C$5:'実績'!$AC$1472,15,0),-1)</f>
        <v>4300</v>
      </c>
      <c r="L54" s="1504" t="str">
        <f>VLOOKUP(D54,実績!$C$5:'実績'!$BY$1451,40,0)</f>
        <v>○</v>
      </c>
      <c r="M54" s="1502" t="str">
        <f>VLOOKUP(D54,実績!$C$5:'実績'!$BY$1472,38,0)</f>
        <v>-</v>
      </c>
      <c r="N54" s="1502" t="str">
        <f>VLOOKUP(D54,実績!$C$5:'実績'!$BY$1472,37,0)</f>
        <v>-</v>
      </c>
      <c r="O54" s="1503" t="str">
        <f>VLOOKUP(D54,実績!$C$5:'実績'!$BY$1472,41,0)</f>
        <v>独立</v>
      </c>
      <c r="P54" s="1659">
        <v>44067</v>
      </c>
      <c r="Q54" s="1660" t="s">
        <v>17434</v>
      </c>
      <c r="R54" s="1659"/>
      <c r="S54" s="1661"/>
      <c r="T54" s="1662"/>
      <c r="U54" s="1660"/>
      <c r="V54" s="1663"/>
      <c r="W54" s="1505"/>
      <c r="X54" s="1505"/>
      <c r="Y54" s="1506"/>
      <c r="Z54" s="1505"/>
      <c r="AA54" s="1506"/>
      <c r="AB54" s="1507"/>
      <c r="AC54" s="1505"/>
      <c r="AD54" s="1505"/>
      <c r="AE54" s="1506"/>
      <c r="AF54" s="1505"/>
      <c r="AG54" s="1506"/>
      <c r="AH54" s="1505"/>
      <c r="AI54" s="1508"/>
      <c r="AJ54" s="1505"/>
      <c r="AK54" s="1506"/>
      <c r="AL54" s="1505"/>
      <c r="AM54" s="1506"/>
      <c r="AN54" s="1507"/>
      <c r="AO54" s="1505"/>
      <c r="AP54" s="1505"/>
      <c r="AQ54" s="1506"/>
      <c r="AR54" s="1505"/>
      <c r="AS54" s="1506"/>
      <c r="AT54" s="1505"/>
      <c r="AU54" s="1509"/>
      <c r="AV54" s="1505"/>
      <c r="AW54" s="1506"/>
      <c r="AX54" s="1505"/>
      <c r="AY54" s="1506"/>
      <c r="AZ54" s="1507"/>
      <c r="BA54" s="1508"/>
      <c r="BB54" s="1505"/>
      <c r="BC54" s="1506"/>
      <c r="BD54" s="1505"/>
      <c r="BE54" s="1506"/>
      <c r="BF54" s="1507"/>
      <c r="BG54" s="1505"/>
      <c r="BH54" s="1505"/>
      <c r="BI54" s="1506"/>
      <c r="BJ54" s="1505"/>
      <c r="BK54" s="1506"/>
      <c r="BL54" s="1505"/>
      <c r="BM54" s="1508"/>
      <c r="BN54" s="1505"/>
      <c r="BO54" s="1506"/>
      <c r="BP54" s="1505"/>
      <c r="BQ54" s="1506"/>
      <c r="BR54" s="1507"/>
      <c r="BS54" s="1508"/>
      <c r="BT54" s="1505"/>
      <c r="BU54" s="1506"/>
      <c r="BV54" s="1510"/>
      <c r="BW54" s="1506"/>
      <c r="BX54" s="1507"/>
      <c r="BY54" s="1508"/>
      <c r="BZ54" s="1505"/>
      <c r="CA54" s="1506"/>
      <c r="CB54" s="1505"/>
      <c r="CC54" s="1506"/>
      <c r="CD54" s="1507"/>
      <c r="CE54" s="1508"/>
      <c r="CF54" s="1505"/>
      <c r="CG54" s="1506"/>
      <c r="CH54" s="1505"/>
      <c r="CI54" s="1506"/>
      <c r="CJ54" s="1507"/>
      <c r="CK54" s="1508"/>
      <c r="CL54" s="1505"/>
      <c r="CM54" s="1506"/>
      <c r="CN54" s="1505"/>
      <c r="CO54" s="1506"/>
      <c r="CP54" s="1507"/>
      <c r="CQ54" s="1508"/>
      <c r="CR54" s="1505"/>
      <c r="CS54" s="1506"/>
      <c r="CT54" s="1511"/>
      <c r="CU54" s="1506"/>
      <c r="CV54" s="1507"/>
      <c r="CW54" s="1508"/>
      <c r="CX54" s="1505"/>
      <c r="CY54" s="1506"/>
      <c r="CZ54" s="1505"/>
      <c r="DA54" s="1506"/>
      <c r="DB54" s="1507"/>
      <c r="DC54" s="1508"/>
      <c r="DD54" s="1505"/>
      <c r="DE54" s="1506"/>
      <c r="DF54" s="1505"/>
      <c r="DG54" s="1506"/>
      <c r="DH54" s="1507"/>
      <c r="DI54" s="1508"/>
      <c r="DJ54" s="1505"/>
      <c r="DK54" s="1506"/>
      <c r="DL54" s="1505"/>
      <c r="DM54" s="1506"/>
      <c r="DN54" s="1507"/>
      <c r="DO54" s="1508"/>
      <c r="DP54" s="1505"/>
      <c r="DQ54" s="1506"/>
      <c r="DR54" s="1505"/>
      <c r="DS54" s="1506"/>
      <c r="DT54" s="1507"/>
      <c r="DU54" s="1508"/>
      <c r="DV54" s="1505"/>
      <c r="DW54" s="1506"/>
      <c r="DX54" s="1505"/>
      <c r="DY54" s="1506"/>
      <c r="DZ54" s="1507"/>
      <c r="EA54" s="1508"/>
      <c r="EB54" s="1505"/>
      <c r="EC54" s="1506"/>
      <c r="ED54" s="1505"/>
      <c r="EE54" s="1506"/>
      <c r="EF54" s="1507"/>
      <c r="EG54" s="1508"/>
      <c r="EH54" s="1505"/>
      <c r="EI54" s="1506"/>
      <c r="EJ54" s="1505"/>
      <c r="EK54" s="1506"/>
      <c r="EL54" s="1507"/>
      <c r="EM54" s="1508"/>
      <c r="EN54" s="1505"/>
      <c r="EO54" s="1506"/>
      <c r="EP54" s="1505"/>
      <c r="EQ54" s="1506"/>
      <c r="ER54" s="1507"/>
      <c r="ES54" s="1508"/>
      <c r="ET54" s="1510"/>
      <c r="EU54" s="1506"/>
      <c r="EV54" s="1505"/>
      <c r="EW54" s="1506"/>
      <c r="EX54" s="1507" t="s">
        <v>8575</v>
      </c>
      <c r="EY54" s="1508"/>
      <c r="EZ54" s="1505"/>
      <c r="FA54" s="1506"/>
      <c r="FB54" s="1505"/>
      <c r="FC54" s="1506"/>
      <c r="FD54" s="1512" t="s">
        <v>8250</v>
      </c>
      <c r="FE54" s="1508"/>
      <c r="FF54" s="1505"/>
      <c r="FG54" s="1506"/>
      <c r="FH54" s="1505"/>
      <c r="FI54" s="1506"/>
      <c r="FJ54" s="1507"/>
      <c r="FK54" s="1508"/>
      <c r="FL54" s="1505"/>
      <c r="FM54" s="1506"/>
      <c r="FN54" s="1505"/>
      <c r="FO54" s="1506"/>
      <c r="FP54" s="1507"/>
      <c r="FQ54" s="1508" t="s">
        <v>17424</v>
      </c>
      <c r="FR54" s="1505"/>
      <c r="FS54" s="1506"/>
      <c r="FT54" s="1505"/>
      <c r="FU54" s="1506"/>
      <c r="FV54" s="1507"/>
      <c r="FW54" s="1508"/>
      <c r="FX54" s="1505"/>
      <c r="FY54" s="1506"/>
      <c r="FZ54" s="1505"/>
      <c r="GA54" s="1506"/>
      <c r="GB54" s="1507"/>
      <c r="GC54" s="1508"/>
      <c r="GD54" s="1505"/>
      <c r="GE54" s="1506"/>
      <c r="GF54" s="1505"/>
      <c r="GG54" s="1506"/>
      <c r="GH54" s="1507"/>
    </row>
    <row r="55" spans="1:190" ht="20.100000000000001" customHeight="1">
      <c r="A55" s="2848"/>
      <c r="B55" s="2858"/>
      <c r="C55" s="1496">
        <v>200026</v>
      </c>
      <c r="D55" s="1497" t="str">
        <f>実績!C1423</f>
        <v>雪印メグミルク㈱阿見工場第Ⅱ倉庫</v>
      </c>
      <c r="E55" s="1534" t="str">
        <f>SUBSTITUTE(VLOOKUP(D55,実績!$C$5:'実績'!$AC$1451,3,0),"株式会社 ","")</f>
        <v>大田</v>
      </c>
      <c r="F55" s="1503" t="str">
        <f>SUBSTITUTE(VLOOKUP(D55,実績!$C$5:'実績'!$AC$1451,2,0),"株式会社 ","")</f>
        <v>ユイ
ﾏｲｱｲﾝ</v>
      </c>
      <c r="G55" s="1499" t="str">
        <f>SUBSTITUTE(VLOOKUP(D55,実績!$C$5:'実績'!$AC$1451,21,0),"株式会社 ","")</f>
        <v>オー・エヌ・オー大野設計</v>
      </c>
      <c r="H55" s="1500" t="str">
        <f>VLOOKUP(D55,実績!$C$5:'実績'!$AC$1451,4,0)</f>
        <v>茨城県</v>
      </c>
      <c r="I55" s="1501" t="str">
        <f>VLOOKUP(D55,実績!$C$5:'実績'!$AC$1451,5,0)</f>
        <v>稲敷郡</v>
      </c>
      <c r="J55" s="1502" t="str">
        <f>VLOOKUP(D55,実績!$C$5:'実績'!$AC$1451,9,0)</f>
        <v>倉庫</v>
      </c>
      <c r="K55" s="1503">
        <f>ROUND(VLOOKUP(D55,実績!$C$5:'実績'!$AC$1472,15,0),-1)</f>
        <v>600</v>
      </c>
      <c r="L55" s="1504" t="str">
        <f>VLOOKUP(D55,実績!$C$5:'実績'!$BY$1451,40,0)</f>
        <v>○</v>
      </c>
      <c r="M55" s="1502" t="str">
        <f>VLOOKUP(D55,実績!$C$5:'実績'!$BY$1472,38,0)</f>
        <v>-</v>
      </c>
      <c r="N55" s="1502" t="str">
        <f>VLOOKUP(D55,実績!$C$5:'実績'!$BY$1472,37,0)</f>
        <v>-</v>
      </c>
      <c r="O55" s="1503" t="str">
        <f>VLOOKUP(D55,実績!$C$5:'実績'!$BY$1472,41,0)</f>
        <v>独立</v>
      </c>
      <c r="P55" s="1659" t="s">
        <v>17435</v>
      </c>
      <c r="Q55" s="1660" t="s">
        <v>17436</v>
      </c>
      <c r="R55" s="1659"/>
      <c r="S55" s="1661"/>
      <c r="T55" s="1662"/>
      <c r="U55" s="1660"/>
      <c r="V55" s="1663"/>
      <c r="W55" s="1505"/>
      <c r="X55" s="1505"/>
      <c r="Y55" s="1506"/>
      <c r="Z55" s="1505"/>
      <c r="AA55" s="1506"/>
      <c r="AB55" s="1507"/>
      <c r="AC55" s="1505"/>
      <c r="AD55" s="1505"/>
      <c r="AE55" s="1506"/>
      <c r="AF55" s="1505"/>
      <c r="AG55" s="1506"/>
      <c r="AH55" s="1505"/>
      <c r="AI55" s="1508"/>
      <c r="AJ55" s="1505"/>
      <c r="AK55" s="1506"/>
      <c r="AL55" s="1505"/>
      <c r="AM55" s="1506"/>
      <c r="AN55" s="1507"/>
      <c r="AO55" s="1505"/>
      <c r="AP55" s="1505"/>
      <c r="AQ55" s="1506"/>
      <c r="AR55" s="1505"/>
      <c r="AS55" s="1506"/>
      <c r="AT55" s="1505"/>
      <c r="AU55" s="1509"/>
      <c r="AV55" s="1505"/>
      <c r="AW55" s="1506"/>
      <c r="AX55" s="1505"/>
      <c r="AY55" s="1506"/>
      <c r="AZ55" s="1507"/>
      <c r="BA55" s="1508"/>
      <c r="BB55" s="1505"/>
      <c r="BC55" s="1506"/>
      <c r="BD55" s="1505"/>
      <c r="BE55" s="1506"/>
      <c r="BF55" s="1507"/>
      <c r="BG55" s="1505"/>
      <c r="BH55" s="1505"/>
      <c r="BI55" s="1506"/>
      <c r="BJ55" s="1505"/>
      <c r="BK55" s="1506"/>
      <c r="BL55" s="1505"/>
      <c r="BM55" s="1508"/>
      <c r="BN55" s="1505"/>
      <c r="BO55" s="1506"/>
      <c r="BP55" s="1505"/>
      <c r="BQ55" s="1506"/>
      <c r="BR55" s="1507"/>
      <c r="BS55" s="1508"/>
      <c r="BT55" s="1505"/>
      <c r="BU55" s="1506"/>
      <c r="BV55" s="1510"/>
      <c r="BW55" s="1506"/>
      <c r="BX55" s="1507"/>
      <c r="BY55" s="1508"/>
      <c r="BZ55" s="1505"/>
      <c r="CA55" s="1506"/>
      <c r="CB55" s="1505"/>
      <c r="CC55" s="1506"/>
      <c r="CD55" s="1507"/>
      <c r="CE55" s="1508"/>
      <c r="CF55" s="1505"/>
      <c r="CG55" s="1506"/>
      <c r="CH55" s="1505"/>
      <c r="CI55" s="1506"/>
      <c r="CJ55" s="1507"/>
      <c r="CK55" s="1508"/>
      <c r="CL55" s="1505"/>
      <c r="CM55" s="1506"/>
      <c r="CN55" s="1505"/>
      <c r="CO55" s="1506"/>
      <c r="CP55" s="1507"/>
      <c r="CQ55" s="1508"/>
      <c r="CR55" s="1505"/>
      <c r="CS55" s="1506"/>
      <c r="CT55" s="1511"/>
      <c r="CU55" s="1506"/>
      <c r="CV55" s="1507"/>
      <c r="CW55" s="1508"/>
      <c r="CX55" s="1505"/>
      <c r="CY55" s="1506"/>
      <c r="CZ55" s="1505"/>
      <c r="DA55" s="1506"/>
      <c r="DB55" s="1507"/>
      <c r="DC55" s="1508"/>
      <c r="DD55" s="1505"/>
      <c r="DE55" s="1506"/>
      <c r="DF55" s="1505"/>
      <c r="DG55" s="1506"/>
      <c r="DH55" s="1507"/>
      <c r="DI55" s="1508"/>
      <c r="DJ55" s="1505"/>
      <c r="DK55" s="1506"/>
      <c r="DL55" s="1505"/>
      <c r="DM55" s="1506"/>
      <c r="DN55" s="1507"/>
      <c r="DO55" s="1508"/>
      <c r="DP55" s="1505"/>
      <c r="DQ55" s="1506"/>
      <c r="DR55" s="1505"/>
      <c r="DS55" s="1506"/>
      <c r="DT55" s="1507"/>
      <c r="DU55" s="1508"/>
      <c r="DV55" s="1505"/>
      <c r="DW55" s="1506"/>
      <c r="DX55" s="1505"/>
      <c r="DY55" s="1506"/>
      <c r="DZ55" s="1507"/>
      <c r="EA55" s="1508"/>
      <c r="EB55" s="1505"/>
      <c r="EC55" s="1506"/>
      <c r="ED55" s="1505"/>
      <c r="EE55" s="1506"/>
      <c r="EF55" s="1507"/>
      <c r="EG55" s="1508"/>
      <c r="EH55" s="1505"/>
      <c r="EI55" s="1506"/>
      <c r="EJ55" s="1505"/>
      <c r="EK55" s="1506"/>
      <c r="EL55" s="1507"/>
      <c r="EM55" s="1508"/>
      <c r="EN55" s="1505"/>
      <c r="EO55" s="1506"/>
      <c r="EP55" s="1505"/>
      <c r="EQ55" s="1506"/>
      <c r="ER55" s="1507"/>
      <c r="ES55" s="1508"/>
      <c r="ET55" s="1510"/>
      <c r="EU55" s="1506"/>
      <c r="EV55" s="1505"/>
      <c r="EW55" s="1506" t="s">
        <v>8575</v>
      </c>
      <c r="EX55" s="1507"/>
      <c r="EY55" s="1508" t="s">
        <v>17402</v>
      </c>
      <c r="EZ55" s="1505"/>
      <c r="FA55" s="1506"/>
      <c r="FB55" s="1505"/>
      <c r="FC55" s="1506"/>
      <c r="FD55" s="1507"/>
      <c r="FE55" s="1508"/>
      <c r="FF55" s="1505"/>
      <c r="FG55" s="1506"/>
      <c r="FH55" s="1505"/>
      <c r="FI55" s="1506"/>
      <c r="FJ55" s="1507"/>
      <c r="FK55" s="1508"/>
      <c r="FL55" s="1505"/>
      <c r="FM55" s="1506"/>
      <c r="FN55" s="1505"/>
      <c r="FO55" s="1506"/>
      <c r="FP55" s="1512" t="s">
        <v>17489</v>
      </c>
      <c r="FQ55" s="1508"/>
      <c r="FR55" s="1505"/>
      <c r="FS55" s="1506"/>
      <c r="FT55" s="1505"/>
      <c r="FU55" s="1506"/>
      <c r="FV55" s="1507"/>
      <c r="FW55" s="1508"/>
      <c r="FX55" s="1505"/>
      <c r="FY55" s="1506"/>
      <c r="FZ55" s="1505"/>
      <c r="GA55" s="1506"/>
      <c r="GB55" s="1507"/>
      <c r="GC55" s="1508"/>
      <c r="GD55" s="1505"/>
      <c r="GE55" s="1506"/>
      <c r="GF55" s="1505"/>
      <c r="GG55" s="1506"/>
      <c r="GH55" s="1507"/>
    </row>
    <row r="56" spans="1:190" ht="20.100000000000001" customHeight="1">
      <c r="A56" s="2848"/>
      <c r="B56" s="2858"/>
      <c r="C56" s="1496">
        <v>190123</v>
      </c>
      <c r="D56" s="1497" t="str">
        <f>実績!C1375</f>
        <v>池澤加工六地蔵JV倉庫</v>
      </c>
      <c r="E56" s="1534" t="str">
        <f>SUBSTITUTE(VLOOKUP(D56,実績!$C$5:'実績'!$AC$1451,3,0),"株式会社 ","")</f>
        <v>大田</v>
      </c>
      <c r="F56" s="1503" t="str">
        <f>SUBSTITUTE(VLOOKUP(D56,実績!$C$5:'実績'!$AC$1451,2,0),"株式会社 ","")</f>
        <v>タオ
フィ</v>
      </c>
      <c r="G56" s="1499" t="str">
        <f>SUBSTITUTE(VLOOKUP(D56,実績!$C$5:'実績'!$AC$1451,21,0)," 株式会社","")</f>
        <v>日鉄物産システム建築</v>
      </c>
      <c r="H56" s="1500" t="str">
        <f>VLOOKUP(D56,実績!$C$5:'実績'!$AC$1451,4,0)</f>
        <v>千葉県</v>
      </c>
      <c r="I56" s="1501" t="str">
        <f>VLOOKUP(D56,実績!$C$5:'実績'!$AC$1451,5,0)</f>
        <v>長生郡</v>
      </c>
      <c r="J56" s="1502" t="str">
        <f>VLOOKUP(D56,実績!$C$5:'実績'!$AC$1451,9,0)</f>
        <v>倉庫</v>
      </c>
      <c r="K56" s="1503">
        <f>ROUND(VLOOKUP(D56,実績!$C$5:'実績'!$AC$1472,15,0),-1)</f>
        <v>1770</v>
      </c>
      <c r="L56" s="1504" t="str">
        <f>VLOOKUP(D56,実績!$C$5:'実績'!$BY$1451,40,0)</f>
        <v>-</v>
      </c>
      <c r="M56" s="1502" t="str">
        <f>VLOOKUP(D56,実績!$C$5:'実績'!$BY$1472,38,0)</f>
        <v>-</v>
      </c>
      <c r="N56" s="1502" t="str">
        <f>VLOOKUP(D56,実績!$C$5:'実績'!$BY$1472,37,0)</f>
        <v>-</v>
      </c>
      <c r="O56" s="1503" t="str">
        <f>VLOOKUP(D56,実績!$C$5:'実績'!$BY$1472,41,0)</f>
        <v>布(Tio)</v>
      </c>
      <c r="P56" s="1659">
        <v>44074</v>
      </c>
      <c r="Q56" s="1660" t="s">
        <v>17429</v>
      </c>
      <c r="R56" s="1659"/>
      <c r="S56" s="1661"/>
      <c r="T56" s="1662"/>
      <c r="U56" s="1660"/>
      <c r="V56" s="1663"/>
      <c r="W56" s="1505"/>
      <c r="X56" s="1505"/>
      <c r="Y56" s="1506"/>
      <c r="Z56" s="1505"/>
      <c r="AA56" s="1506"/>
      <c r="AB56" s="1507"/>
      <c r="AC56" s="1505"/>
      <c r="AD56" s="1505"/>
      <c r="AE56" s="1506"/>
      <c r="AF56" s="1505"/>
      <c r="AG56" s="1506"/>
      <c r="AH56" s="1505"/>
      <c r="AI56" s="1508"/>
      <c r="AJ56" s="1505"/>
      <c r="AK56" s="1506"/>
      <c r="AL56" s="1505"/>
      <c r="AM56" s="1506"/>
      <c r="AN56" s="1507"/>
      <c r="AO56" s="1505"/>
      <c r="AP56" s="1505"/>
      <c r="AQ56" s="1506"/>
      <c r="AR56" s="1505"/>
      <c r="AS56" s="1506"/>
      <c r="AT56" s="1505"/>
      <c r="AU56" s="1509"/>
      <c r="AV56" s="1505"/>
      <c r="AW56" s="1506"/>
      <c r="AX56" s="1505"/>
      <c r="AY56" s="1506"/>
      <c r="AZ56" s="1507"/>
      <c r="BA56" s="1508"/>
      <c r="BB56" s="1505"/>
      <c r="BC56" s="1506"/>
      <c r="BD56" s="1505"/>
      <c r="BE56" s="1506"/>
      <c r="BF56" s="1507"/>
      <c r="BG56" s="1505"/>
      <c r="BH56" s="1505"/>
      <c r="BI56" s="1506"/>
      <c r="BJ56" s="1505"/>
      <c r="BK56" s="1506"/>
      <c r="BL56" s="1505"/>
      <c r="BM56" s="1508"/>
      <c r="BN56" s="1505"/>
      <c r="BO56" s="1506"/>
      <c r="BP56" s="1505"/>
      <c r="BQ56" s="1506"/>
      <c r="BR56" s="1507"/>
      <c r="BS56" s="1508"/>
      <c r="BT56" s="1505"/>
      <c r="BU56" s="1506"/>
      <c r="BV56" s="1510"/>
      <c r="BW56" s="1506"/>
      <c r="BX56" s="1507"/>
      <c r="BY56" s="1508"/>
      <c r="BZ56" s="1505"/>
      <c r="CA56" s="1506"/>
      <c r="CB56" s="1505"/>
      <c r="CC56" s="1506"/>
      <c r="CD56" s="1507"/>
      <c r="CE56" s="1508"/>
      <c r="CF56" s="1505"/>
      <c r="CG56" s="1506"/>
      <c r="CH56" s="1505"/>
      <c r="CI56" s="1506"/>
      <c r="CJ56" s="1507"/>
      <c r="CK56" s="1508"/>
      <c r="CL56" s="1505"/>
      <c r="CM56" s="1506"/>
      <c r="CN56" s="1505"/>
      <c r="CO56" s="1506"/>
      <c r="CP56" s="1507"/>
      <c r="CQ56" s="1508"/>
      <c r="CR56" s="1505"/>
      <c r="CS56" s="1506"/>
      <c r="CT56" s="1511"/>
      <c r="CU56" s="1506"/>
      <c r="CV56" s="1507"/>
      <c r="CW56" s="1508"/>
      <c r="CX56" s="1505"/>
      <c r="CY56" s="1506"/>
      <c r="CZ56" s="1505"/>
      <c r="DA56" s="1506"/>
      <c r="DB56" s="1507"/>
      <c r="DC56" s="1508"/>
      <c r="DD56" s="1505"/>
      <c r="DE56" s="1506"/>
      <c r="DF56" s="1505"/>
      <c r="DG56" s="1506"/>
      <c r="DH56" s="1507"/>
      <c r="DI56" s="1508"/>
      <c r="DJ56" s="1505"/>
      <c r="DK56" s="1506"/>
      <c r="DL56" s="1505"/>
      <c r="DM56" s="1506"/>
      <c r="DN56" s="1512"/>
      <c r="DO56" s="1508"/>
      <c r="DP56" s="1505"/>
      <c r="DQ56" s="1506"/>
      <c r="DR56" s="1505"/>
      <c r="DS56" s="1506"/>
      <c r="DT56" s="1507"/>
      <c r="DU56" s="1508"/>
      <c r="DV56" s="1505"/>
      <c r="DW56" s="1506"/>
      <c r="DX56" s="1505"/>
      <c r="DY56" s="1506"/>
      <c r="DZ56" s="1512"/>
      <c r="EA56" s="1508"/>
      <c r="EB56" s="1505"/>
      <c r="EC56" s="1506"/>
      <c r="ED56" s="1505"/>
      <c r="EE56" s="1506"/>
      <c r="EF56" s="1512"/>
      <c r="EG56" s="1508"/>
      <c r="EH56" s="1510"/>
      <c r="EI56" s="1506"/>
      <c r="EJ56" s="1505"/>
      <c r="EK56" s="1506"/>
      <c r="EL56" s="1512"/>
      <c r="EM56" s="1508"/>
      <c r="EN56" s="1505"/>
      <c r="EO56" s="1506"/>
      <c r="EP56" s="1505"/>
      <c r="EQ56" s="1506"/>
      <c r="ER56" s="1512"/>
      <c r="ES56" s="1508"/>
      <c r="ET56" s="1510"/>
      <c r="EU56" s="1506"/>
      <c r="EV56" s="1505"/>
      <c r="EW56" s="1506"/>
      <c r="EX56" s="1507"/>
      <c r="EY56" s="1508" t="s">
        <v>8250</v>
      </c>
      <c r="EZ56" s="1505"/>
      <c r="FA56" s="1506"/>
      <c r="FB56" s="1505"/>
      <c r="FC56" s="1506"/>
      <c r="FD56" s="1507"/>
      <c r="FE56" s="1508"/>
      <c r="FF56" s="1505"/>
      <c r="FG56" s="1506"/>
      <c r="FH56" s="1505"/>
      <c r="FI56" s="1506"/>
      <c r="FJ56" s="1507"/>
      <c r="FK56" s="1508" t="s">
        <v>8145</v>
      </c>
      <c r="FL56" s="1505"/>
      <c r="FM56" s="1506"/>
      <c r="FN56" s="1505"/>
      <c r="FO56" s="1506"/>
      <c r="FP56" s="1507"/>
      <c r="FQ56" s="1508"/>
      <c r="FR56" s="1505"/>
      <c r="FS56" s="1506"/>
      <c r="FT56" s="1505"/>
      <c r="FU56" s="1506"/>
      <c r="FV56" s="1507"/>
      <c r="FW56" s="1508"/>
      <c r="FX56" s="1505"/>
      <c r="FY56" s="1506"/>
      <c r="FZ56" s="1505"/>
      <c r="GA56" s="1506"/>
      <c r="GB56" s="1507"/>
      <c r="GC56" s="1508"/>
      <c r="GD56" s="1505"/>
      <c r="GE56" s="1506"/>
      <c r="GF56" s="1505"/>
      <c r="GG56" s="1506"/>
      <c r="GH56" s="1507"/>
    </row>
    <row r="57" spans="1:190" ht="20.100000000000001" customHeight="1">
      <c r="A57" s="2848"/>
      <c r="B57" s="2858"/>
      <c r="C57" s="1496">
        <v>200028</v>
      </c>
      <c r="D57" s="1497" t="str">
        <f>実績!C1425</f>
        <v>㈱ハーディック事務所・倉庫</v>
      </c>
      <c r="E57" s="1534" t="str">
        <f>SUBSTITUTE(VLOOKUP(D57,実績!$C$5:'実績'!$AC$1451,3,0),"株式会社 ","")</f>
        <v>竹内(宗)</v>
      </c>
      <c r="F57" s="1503" t="str">
        <f>SUBSTITUTE(VLOOKUP(D57,実績!$C$5:'実績'!$AC$1451,2,0),"株式会社 ","")</f>
        <v>ユイ</v>
      </c>
      <c r="G57" s="1499" t="str">
        <f>SUBSTITUTE(VLOOKUP(D57,実績!$C$5:'実績'!$AC$1451,16,0),"株式会社 ","")</f>
        <v>大川設計工房</v>
      </c>
      <c r="H57" s="1500" t="str">
        <f>VLOOKUP(D57,実績!$C$5:'実績'!$AC$1451,4,0)</f>
        <v>北海道</v>
      </c>
      <c r="I57" s="1501" t="str">
        <f>VLOOKUP(D57,実績!$C$5:'実績'!$AC$1451,5,0)</f>
        <v>石狩郡</v>
      </c>
      <c r="J57" s="1502" t="str">
        <f>VLOOKUP(D57,実績!$C$5:'実績'!$AC$1451,9,0)</f>
        <v>事務所・倉庫</v>
      </c>
      <c r="K57" s="1503">
        <f>ROUND(VLOOKUP(D57,実績!$C$5:'実績'!$AC$1472,15,0),-1)</f>
        <v>1600</v>
      </c>
      <c r="L57" s="1504" t="str">
        <f>VLOOKUP(D57,実績!$C$5:'実績'!$BY$1451,40,0)</f>
        <v>-</v>
      </c>
      <c r="M57" s="1502" t="str">
        <f>VLOOKUP(D57,実績!$C$5:'実績'!$BY$1472,38,0)</f>
        <v>○
8m</v>
      </c>
      <c r="N57" s="1502" t="str">
        <f>VLOOKUP(D57,実績!$C$5:'実績'!$BY$1472,37,0)</f>
        <v>-</v>
      </c>
      <c r="O57" s="1503" t="str">
        <f>VLOOKUP(D57,実績!$C$5:'実績'!$BY$1472,41,0)</f>
        <v>独立</v>
      </c>
      <c r="P57" s="1659">
        <v>44074</v>
      </c>
      <c r="Q57" s="1660" t="s">
        <v>17437</v>
      </c>
      <c r="R57" s="1659"/>
      <c r="S57" s="1661"/>
      <c r="T57" s="1662"/>
      <c r="U57" s="1660"/>
      <c r="V57" s="1663"/>
      <c r="W57" s="1505"/>
      <c r="X57" s="1505"/>
      <c r="Y57" s="1506"/>
      <c r="Z57" s="1505"/>
      <c r="AA57" s="1506"/>
      <c r="AB57" s="1507"/>
      <c r="AC57" s="1505"/>
      <c r="AD57" s="1505"/>
      <c r="AE57" s="1506"/>
      <c r="AF57" s="1505"/>
      <c r="AG57" s="1506"/>
      <c r="AH57" s="1505"/>
      <c r="AI57" s="1508"/>
      <c r="AJ57" s="1505"/>
      <c r="AK57" s="1506"/>
      <c r="AL57" s="1505"/>
      <c r="AM57" s="1506"/>
      <c r="AN57" s="1507"/>
      <c r="AO57" s="1505"/>
      <c r="AP57" s="1505"/>
      <c r="AQ57" s="1506"/>
      <c r="AR57" s="1505"/>
      <c r="AS57" s="1506"/>
      <c r="AT57" s="1505"/>
      <c r="AU57" s="1509"/>
      <c r="AV57" s="1505"/>
      <c r="AW57" s="1506"/>
      <c r="AX57" s="1505"/>
      <c r="AY57" s="1506"/>
      <c r="AZ57" s="1507"/>
      <c r="BA57" s="1508"/>
      <c r="BB57" s="1505"/>
      <c r="BC57" s="1506"/>
      <c r="BD57" s="1505"/>
      <c r="BE57" s="1506"/>
      <c r="BF57" s="1507"/>
      <c r="BG57" s="1505"/>
      <c r="BH57" s="1505"/>
      <c r="BI57" s="1506"/>
      <c r="BJ57" s="1505"/>
      <c r="BK57" s="1506"/>
      <c r="BL57" s="1505"/>
      <c r="BM57" s="1508"/>
      <c r="BN57" s="1505"/>
      <c r="BO57" s="1506"/>
      <c r="BP57" s="1505"/>
      <c r="BQ57" s="1506"/>
      <c r="BR57" s="1507"/>
      <c r="BS57" s="1508"/>
      <c r="BT57" s="1505"/>
      <c r="BU57" s="1506"/>
      <c r="BV57" s="1510"/>
      <c r="BW57" s="1506"/>
      <c r="BX57" s="1507"/>
      <c r="BY57" s="1508"/>
      <c r="BZ57" s="1505"/>
      <c r="CA57" s="1506"/>
      <c r="CB57" s="1505"/>
      <c r="CC57" s="1506"/>
      <c r="CD57" s="1507"/>
      <c r="CE57" s="1508"/>
      <c r="CF57" s="1505"/>
      <c r="CG57" s="1506"/>
      <c r="CH57" s="1505"/>
      <c r="CI57" s="1506"/>
      <c r="CJ57" s="1507"/>
      <c r="CK57" s="1508"/>
      <c r="CL57" s="1505"/>
      <c r="CM57" s="1506"/>
      <c r="CN57" s="1505"/>
      <c r="CO57" s="1506"/>
      <c r="CP57" s="1507"/>
      <c r="CQ57" s="1508"/>
      <c r="CR57" s="1505"/>
      <c r="CS57" s="1506"/>
      <c r="CT57" s="1511"/>
      <c r="CU57" s="1506"/>
      <c r="CV57" s="1507"/>
      <c r="CW57" s="1508"/>
      <c r="CX57" s="1505"/>
      <c r="CY57" s="1506"/>
      <c r="CZ57" s="1505"/>
      <c r="DA57" s="1506"/>
      <c r="DB57" s="1507"/>
      <c r="DC57" s="1508"/>
      <c r="DD57" s="1505"/>
      <c r="DE57" s="1506"/>
      <c r="DF57" s="1505"/>
      <c r="DG57" s="1506"/>
      <c r="DH57" s="1507"/>
      <c r="DI57" s="1508"/>
      <c r="DJ57" s="1505"/>
      <c r="DK57" s="1506"/>
      <c r="DL57" s="1505"/>
      <c r="DM57" s="1506"/>
      <c r="DN57" s="1507"/>
      <c r="DO57" s="1508"/>
      <c r="DP57" s="1505"/>
      <c r="DQ57" s="1506"/>
      <c r="DR57" s="1505"/>
      <c r="DS57" s="1506"/>
      <c r="DT57" s="1507"/>
      <c r="DU57" s="1508"/>
      <c r="DV57" s="1505"/>
      <c r="DW57" s="1506"/>
      <c r="DX57" s="1505"/>
      <c r="DY57" s="1506"/>
      <c r="DZ57" s="1507"/>
      <c r="EA57" s="1508"/>
      <c r="EB57" s="1505"/>
      <c r="EC57" s="1506"/>
      <c r="ED57" s="1505"/>
      <c r="EE57" s="1506"/>
      <c r="EF57" s="1507"/>
      <c r="EG57" s="1508"/>
      <c r="EH57" s="1505"/>
      <c r="EI57" s="1506"/>
      <c r="EJ57" s="1505"/>
      <c r="EK57" s="1506"/>
      <c r="EL57" s="1507"/>
      <c r="EM57" s="1508"/>
      <c r="EN57" s="1505"/>
      <c r="EO57" s="1506"/>
      <c r="EP57" s="1505"/>
      <c r="EQ57" s="1506"/>
      <c r="ER57" s="1507"/>
      <c r="ES57" s="1508"/>
      <c r="ET57" s="1510"/>
      <c r="EU57" s="1506"/>
      <c r="EV57" s="1505"/>
      <c r="EW57" s="1506"/>
      <c r="EX57" s="1507"/>
      <c r="EY57" s="1508" t="s">
        <v>8250</v>
      </c>
      <c r="EZ57" s="1505"/>
      <c r="FA57" s="1506"/>
      <c r="FB57" s="1505"/>
      <c r="FC57" s="1506"/>
      <c r="FD57" s="1507"/>
      <c r="FE57" s="1508" t="s">
        <v>8145</v>
      </c>
      <c r="FF57" s="1505"/>
      <c r="FG57" s="1506"/>
      <c r="FH57" s="1505"/>
      <c r="FI57" s="1506"/>
      <c r="FJ57" s="1507"/>
      <c r="FK57" s="1508"/>
      <c r="FL57" s="1505"/>
      <c r="FM57" s="1506"/>
      <c r="FN57" s="1505"/>
      <c r="FO57" s="1506"/>
      <c r="FP57" s="1507"/>
      <c r="FQ57" s="1508"/>
      <c r="FR57" s="1505"/>
      <c r="FS57" s="1506"/>
      <c r="FT57" s="1505"/>
      <c r="FU57" s="1506"/>
      <c r="FV57" s="1507"/>
      <c r="FW57" s="1508"/>
      <c r="FX57" s="1505"/>
      <c r="FY57" s="1506"/>
      <c r="FZ57" s="1505"/>
      <c r="GA57" s="1506"/>
      <c r="GB57" s="1507"/>
      <c r="GC57" s="1508"/>
      <c r="GD57" s="1505"/>
      <c r="GE57" s="1506"/>
      <c r="GF57" s="1505"/>
      <c r="GG57" s="1506"/>
      <c r="GH57" s="1507"/>
    </row>
    <row r="58" spans="1:190" ht="20.100000000000001" customHeight="1">
      <c r="A58" s="2848"/>
      <c r="B58" s="2858"/>
      <c r="C58" s="1496">
        <v>200027</v>
      </c>
      <c r="D58" s="1497" t="str">
        <f>実績!C1424</f>
        <v>羽生市複合商業施設Ａ棟</v>
      </c>
      <c r="E58" s="1534" t="str">
        <f>SUBSTITUTE(VLOOKUP(D58,実績!$C$5:'実績'!$AC$1451,3,0),"株式会社 ","")</f>
        <v>大田</v>
      </c>
      <c r="F58" s="1503" t="str">
        <f>SUBSTITUTE(VLOOKUP(D58,実績!$C$5:'実績'!$AC$1451,2,0),"株式会社 ","")</f>
        <v>ユイ</v>
      </c>
      <c r="G58" s="1499" t="str">
        <f>SUBSTITUTE(VLOOKUP(D58,実績!$C$5:'実績'!$AC$1451,21,0),"株式会社 ","")</f>
        <v>山鹿建築構造設計事務所</v>
      </c>
      <c r="H58" s="1500" t="str">
        <f>VLOOKUP(D58,実績!$C$5:'実績'!$AC$1451,4,0)</f>
        <v>埼玉県</v>
      </c>
      <c r="I58" s="1501" t="str">
        <f>VLOOKUP(D58,実績!$C$5:'実績'!$AC$1451,5,0)</f>
        <v>羽生市</v>
      </c>
      <c r="J58" s="1502" t="str">
        <f>VLOOKUP(D58,実績!$C$5:'実績'!$AC$1451,9,0)</f>
        <v>店舗・工場</v>
      </c>
      <c r="K58" s="1503">
        <f>ROUND(VLOOKUP(D58,実績!$C$5:'実績'!$AC$1472,15,0),-1)</f>
        <v>670</v>
      </c>
      <c r="L58" s="1504" t="str">
        <f>VLOOKUP(D58,実績!$C$5:'実績'!$BY$1451,40,0)</f>
        <v>○</v>
      </c>
      <c r="M58" s="1502" t="str">
        <f>VLOOKUP(D58,実績!$C$5:'実績'!$BY$1472,38,0)</f>
        <v>-</v>
      </c>
      <c r="N58" s="1502" t="str">
        <f>VLOOKUP(D58,実績!$C$5:'実績'!$BY$1472,37,0)</f>
        <v>-</v>
      </c>
      <c r="O58" s="1503" t="str">
        <f>VLOOKUP(D58,実績!$C$5:'実績'!$BY$1472,41,0)</f>
        <v>独立</v>
      </c>
      <c r="P58" s="1659"/>
      <c r="Q58" s="1660"/>
      <c r="R58" s="1659"/>
      <c r="S58" s="1661"/>
      <c r="T58" s="1662"/>
      <c r="U58" s="1660"/>
      <c r="V58" s="1663"/>
      <c r="W58" s="1505"/>
      <c r="X58" s="1505"/>
      <c r="Y58" s="1506"/>
      <c r="Z58" s="1505"/>
      <c r="AA58" s="1506"/>
      <c r="AB58" s="1507"/>
      <c r="AC58" s="1505"/>
      <c r="AD58" s="1505"/>
      <c r="AE58" s="1506"/>
      <c r="AF58" s="1505"/>
      <c r="AG58" s="1506"/>
      <c r="AH58" s="1505"/>
      <c r="AI58" s="1508"/>
      <c r="AJ58" s="1505"/>
      <c r="AK58" s="1506"/>
      <c r="AL58" s="1505"/>
      <c r="AM58" s="1506"/>
      <c r="AN58" s="1507"/>
      <c r="AO58" s="1505"/>
      <c r="AP58" s="1505"/>
      <c r="AQ58" s="1506"/>
      <c r="AR58" s="1505"/>
      <c r="AS58" s="1506"/>
      <c r="AT58" s="1505"/>
      <c r="AU58" s="1509"/>
      <c r="AV58" s="1505"/>
      <c r="AW58" s="1506"/>
      <c r="AX58" s="1505"/>
      <c r="AY58" s="1506"/>
      <c r="AZ58" s="1507"/>
      <c r="BA58" s="1508"/>
      <c r="BB58" s="1505"/>
      <c r="BC58" s="1506"/>
      <c r="BD58" s="1505"/>
      <c r="BE58" s="1506"/>
      <c r="BF58" s="1507"/>
      <c r="BG58" s="1505"/>
      <c r="BH58" s="1505"/>
      <c r="BI58" s="1506"/>
      <c r="BJ58" s="1505"/>
      <c r="BK58" s="1506"/>
      <c r="BL58" s="1505"/>
      <c r="BM58" s="1508"/>
      <c r="BN58" s="1505"/>
      <c r="BO58" s="1506"/>
      <c r="BP58" s="1505"/>
      <c r="BQ58" s="1506"/>
      <c r="BR58" s="1507"/>
      <c r="BS58" s="1508"/>
      <c r="BT58" s="1505"/>
      <c r="BU58" s="1506"/>
      <c r="BV58" s="1510"/>
      <c r="BW58" s="1506"/>
      <c r="BX58" s="1507"/>
      <c r="BY58" s="1508"/>
      <c r="BZ58" s="1505"/>
      <c r="CA58" s="1506"/>
      <c r="CB58" s="1505"/>
      <c r="CC58" s="1506"/>
      <c r="CD58" s="1507"/>
      <c r="CE58" s="1508"/>
      <c r="CF58" s="1505"/>
      <c r="CG58" s="1506"/>
      <c r="CH58" s="1505"/>
      <c r="CI58" s="1506"/>
      <c r="CJ58" s="1507"/>
      <c r="CK58" s="1508"/>
      <c r="CL58" s="1505"/>
      <c r="CM58" s="1506"/>
      <c r="CN58" s="1505"/>
      <c r="CO58" s="1506"/>
      <c r="CP58" s="1507"/>
      <c r="CQ58" s="1508"/>
      <c r="CR58" s="1505"/>
      <c r="CS58" s="1506"/>
      <c r="CT58" s="1511"/>
      <c r="CU58" s="1506"/>
      <c r="CV58" s="1507"/>
      <c r="CW58" s="1508"/>
      <c r="CX58" s="1505"/>
      <c r="CY58" s="1506"/>
      <c r="CZ58" s="1505"/>
      <c r="DA58" s="1506"/>
      <c r="DB58" s="1507"/>
      <c r="DC58" s="1508"/>
      <c r="DD58" s="1505"/>
      <c r="DE58" s="1506"/>
      <c r="DF58" s="1505"/>
      <c r="DG58" s="1506"/>
      <c r="DH58" s="1507"/>
      <c r="DI58" s="1508"/>
      <c r="DJ58" s="1505"/>
      <c r="DK58" s="1506"/>
      <c r="DL58" s="1505"/>
      <c r="DM58" s="1506"/>
      <c r="DN58" s="1507"/>
      <c r="DO58" s="1508"/>
      <c r="DP58" s="1505"/>
      <c r="DQ58" s="1506"/>
      <c r="DR58" s="1505"/>
      <c r="DS58" s="1506"/>
      <c r="DT58" s="1507"/>
      <c r="DU58" s="1508"/>
      <c r="DV58" s="1505"/>
      <c r="DW58" s="1506"/>
      <c r="DX58" s="1505"/>
      <c r="DY58" s="1506"/>
      <c r="DZ58" s="1507"/>
      <c r="EA58" s="1508"/>
      <c r="EB58" s="1505"/>
      <c r="EC58" s="1506"/>
      <c r="ED58" s="1505"/>
      <c r="EE58" s="1506"/>
      <c r="EF58" s="1507"/>
      <c r="EG58" s="1508"/>
      <c r="EH58" s="1505"/>
      <c r="EI58" s="1506"/>
      <c r="EJ58" s="1505"/>
      <c r="EK58" s="1506"/>
      <c r="EL58" s="1507"/>
      <c r="EM58" s="1508"/>
      <c r="EN58" s="1505"/>
      <c r="EO58" s="1506"/>
      <c r="EP58" s="1505"/>
      <c r="EQ58" s="1506"/>
      <c r="ER58" s="1507"/>
      <c r="ES58" s="1508"/>
      <c r="ET58" s="1510"/>
      <c r="EU58" s="1506"/>
      <c r="EV58" s="1505"/>
      <c r="EW58" s="1506"/>
      <c r="EX58" s="1507"/>
      <c r="EY58" s="1508"/>
      <c r="EZ58" s="1505"/>
      <c r="FA58" s="1506"/>
      <c r="FB58" s="1505"/>
      <c r="FC58" s="1506"/>
      <c r="FD58" s="1507"/>
      <c r="FE58" s="1508"/>
      <c r="FF58" s="1505"/>
      <c r="FG58" s="1506"/>
      <c r="FH58" s="1505"/>
      <c r="FI58" s="1506"/>
      <c r="FJ58" s="1507"/>
      <c r="FK58" s="1508"/>
      <c r="FL58" s="1505"/>
      <c r="FM58" s="1506"/>
      <c r="FN58" s="1505"/>
      <c r="FO58" s="1506"/>
      <c r="FP58" s="1507"/>
      <c r="FQ58" s="1508"/>
      <c r="FR58" s="1505"/>
      <c r="FS58" s="1506"/>
      <c r="FT58" s="1505"/>
      <c r="FU58" s="1506"/>
      <c r="FV58" s="1507"/>
      <c r="FW58" s="1508"/>
      <c r="FX58" s="1505"/>
      <c r="FY58" s="1506"/>
      <c r="FZ58" s="1505"/>
      <c r="GA58" s="1506"/>
      <c r="GB58" s="1507"/>
      <c r="GC58" s="1508"/>
      <c r="GD58" s="1505"/>
      <c r="GE58" s="1506"/>
      <c r="GF58" s="1505"/>
      <c r="GG58" s="1506"/>
      <c r="GH58" s="1507"/>
    </row>
    <row r="59" spans="1:190" ht="20.100000000000001" customHeight="1">
      <c r="A59" s="2848"/>
      <c r="B59" s="2858"/>
      <c r="C59" s="1496">
        <f>実績!B1426</f>
        <v>200029</v>
      </c>
      <c r="D59" s="1787" t="str">
        <f>VLOOKUP(C59,実績!$B$5:'実績'!$AC$1472,2,0)</f>
        <v>ニシカタヤ低温倉庫</v>
      </c>
      <c r="E59" s="1534" t="str">
        <f>SUBSTITUTE(VLOOKUP(D59,実績!$C$5:'実績'!$AC$1451,3,0),"株式会社 ","")</f>
        <v>ｱｽﾗﾝ</v>
      </c>
      <c r="F59" s="1503" t="str">
        <f>SUBSTITUTE(VLOOKUP(D59,実績!$C$5:'実績'!$AC$1451,2,0),"株式会社 ","")</f>
        <v>タオ
ウット</v>
      </c>
      <c r="G59" s="1499" t="str">
        <f>SUBSTITUTE(VLOOKUP(D59,実績!$C$5:'実績'!$AC$1451,16,0)," 一級建築士事務所","")</f>
        <v>全農新潟</v>
      </c>
      <c r="H59" s="1500" t="str">
        <f>VLOOKUP(D59,実績!$C$5:'実績'!$AC$1451,4,0)</f>
        <v>新潟県</v>
      </c>
      <c r="I59" s="1501" t="str">
        <f>VLOOKUP(D59,実績!$C$5:'実績'!$AC$1451,5,0)</f>
        <v>三条市</v>
      </c>
      <c r="J59" s="1502" t="str">
        <f>VLOOKUP(D59,実績!$C$5:'実績'!$AC$1451,9,0)</f>
        <v>低温倉庫</v>
      </c>
      <c r="K59" s="1503">
        <f>ROUND(VLOOKUP(D59,実績!$C$5:'実績'!$AC$1451,15,0),-1)</f>
        <v>2800</v>
      </c>
      <c r="L59" s="1504" t="str">
        <f>VLOOKUP(D59,実績!$C$5:'実績'!$BY$1451,40,0)</f>
        <v>○</v>
      </c>
      <c r="M59" s="1502" t="str">
        <f>VLOOKUP(D59,実績!$C$5:'実績'!$BY$1472,38,0)</f>
        <v>○
8,10m</v>
      </c>
      <c r="N59" s="1502" t="str">
        <f>VLOOKUP(D59,実績!$C$5:'実績'!$BY$1472,37,0)</f>
        <v>-</v>
      </c>
      <c r="O59" s="1503" t="str">
        <f>VLOOKUP(D59,実績!$C$5:'実績'!$BY$1472,41,0)</f>
        <v>独立</v>
      </c>
      <c r="P59" s="1659">
        <v>44075</v>
      </c>
      <c r="Q59" s="1660" t="s">
        <v>17436</v>
      </c>
      <c r="R59" s="1659"/>
      <c r="S59" s="1661"/>
      <c r="T59" s="1662"/>
      <c r="U59" s="1660"/>
      <c r="V59" s="1663"/>
      <c r="W59" s="1505"/>
      <c r="X59" s="1505"/>
      <c r="Y59" s="1506"/>
      <c r="Z59" s="1505"/>
      <c r="AA59" s="1506"/>
      <c r="AB59" s="1507"/>
      <c r="AC59" s="1505"/>
      <c r="AD59" s="1505"/>
      <c r="AE59" s="1506"/>
      <c r="AF59" s="1505"/>
      <c r="AG59" s="1506"/>
      <c r="AH59" s="1505"/>
      <c r="AI59" s="1508"/>
      <c r="AJ59" s="1505"/>
      <c r="AK59" s="1506"/>
      <c r="AL59" s="1505"/>
      <c r="AM59" s="1506"/>
      <c r="AN59" s="1507"/>
      <c r="AO59" s="1505"/>
      <c r="AP59" s="1505"/>
      <c r="AQ59" s="1506"/>
      <c r="AR59" s="1505"/>
      <c r="AS59" s="1506"/>
      <c r="AT59" s="1505"/>
      <c r="AU59" s="1509"/>
      <c r="AV59" s="1505"/>
      <c r="AW59" s="1506"/>
      <c r="AX59" s="1505"/>
      <c r="AY59" s="1506"/>
      <c r="AZ59" s="1507"/>
      <c r="BA59" s="1508"/>
      <c r="BB59" s="1505"/>
      <c r="BC59" s="1506"/>
      <c r="BD59" s="1505"/>
      <c r="BE59" s="1506"/>
      <c r="BF59" s="1507"/>
      <c r="BG59" s="1505"/>
      <c r="BH59" s="1505"/>
      <c r="BI59" s="1506"/>
      <c r="BJ59" s="1505"/>
      <c r="BK59" s="1506"/>
      <c r="BL59" s="1505"/>
      <c r="BM59" s="1508"/>
      <c r="BN59" s="1505"/>
      <c r="BO59" s="1506"/>
      <c r="BP59" s="1505"/>
      <c r="BQ59" s="1506"/>
      <c r="BR59" s="1507"/>
      <c r="BS59" s="1508"/>
      <c r="BT59" s="1505"/>
      <c r="BU59" s="1506"/>
      <c r="BV59" s="1510"/>
      <c r="BW59" s="1506"/>
      <c r="BX59" s="1507"/>
      <c r="BY59" s="1508"/>
      <c r="BZ59" s="1505"/>
      <c r="CA59" s="1506"/>
      <c r="CB59" s="1505"/>
      <c r="CC59" s="1506"/>
      <c r="CD59" s="1507"/>
      <c r="CE59" s="1508"/>
      <c r="CF59" s="1505"/>
      <c r="CG59" s="1506"/>
      <c r="CH59" s="1505"/>
      <c r="CI59" s="1506"/>
      <c r="CJ59" s="1507"/>
      <c r="CK59" s="1508"/>
      <c r="CL59" s="1505"/>
      <c r="CM59" s="1506"/>
      <c r="CN59" s="1505"/>
      <c r="CO59" s="1506"/>
      <c r="CP59" s="1507"/>
      <c r="CQ59" s="1508"/>
      <c r="CR59" s="1505"/>
      <c r="CS59" s="1506"/>
      <c r="CT59" s="1511"/>
      <c r="CU59" s="1506"/>
      <c r="CV59" s="1507"/>
      <c r="CW59" s="1508"/>
      <c r="CX59" s="1505"/>
      <c r="CY59" s="1506"/>
      <c r="CZ59" s="1505"/>
      <c r="DA59" s="1506"/>
      <c r="DB59" s="1507"/>
      <c r="DC59" s="1508"/>
      <c r="DD59" s="1505"/>
      <c r="DE59" s="1506"/>
      <c r="DF59" s="1505"/>
      <c r="DG59" s="1506"/>
      <c r="DH59" s="1507"/>
      <c r="DI59" s="1508"/>
      <c r="DJ59" s="1505"/>
      <c r="DK59" s="1506"/>
      <c r="DL59" s="1505"/>
      <c r="DM59" s="1506"/>
      <c r="DN59" s="1507"/>
      <c r="DO59" s="1508"/>
      <c r="DP59" s="1505"/>
      <c r="DQ59" s="1506"/>
      <c r="DR59" s="1505"/>
      <c r="DS59" s="1506"/>
      <c r="DT59" s="1507"/>
      <c r="DU59" s="1508"/>
      <c r="DV59" s="1505"/>
      <c r="DW59" s="1506"/>
      <c r="DX59" s="1505"/>
      <c r="DY59" s="1506"/>
      <c r="DZ59" s="1507"/>
      <c r="EA59" s="1508"/>
      <c r="EB59" s="1505"/>
      <c r="EC59" s="1506"/>
      <c r="ED59" s="1505"/>
      <c r="EE59" s="1506"/>
      <c r="EF59" s="1507"/>
      <c r="EG59" s="1508"/>
      <c r="EH59" s="1505"/>
      <c r="EI59" s="1506"/>
      <c r="EJ59" s="1505"/>
      <c r="EK59" s="1506"/>
      <c r="EL59" s="1507"/>
      <c r="EM59" s="1508"/>
      <c r="EN59" s="1505"/>
      <c r="EO59" s="1506"/>
      <c r="EP59" s="1505"/>
      <c r="EQ59" s="1506"/>
      <c r="ER59" s="1507"/>
      <c r="ES59" s="1508"/>
      <c r="ET59" s="1510"/>
      <c r="EU59" s="1506"/>
      <c r="EV59" s="1505"/>
      <c r="EW59" s="1506"/>
      <c r="EX59" s="1507"/>
      <c r="EY59" s="1508" t="s">
        <v>8250</v>
      </c>
      <c r="EZ59" s="1505"/>
      <c r="FA59" s="1506"/>
      <c r="FB59" s="1505"/>
      <c r="FC59" s="1506"/>
      <c r="FD59" s="1507"/>
      <c r="FE59" s="1508"/>
      <c r="FF59" s="1505"/>
      <c r="FG59" s="1506"/>
      <c r="FH59" s="1505"/>
      <c r="FI59" s="1506"/>
      <c r="FJ59" s="1507"/>
      <c r="FK59" s="1508"/>
      <c r="FL59" s="1505"/>
      <c r="FM59" s="1506" t="s">
        <v>17405</v>
      </c>
      <c r="FN59" s="1505"/>
      <c r="FO59" s="1506"/>
      <c r="FP59" s="1507"/>
      <c r="FQ59" s="1508" t="s">
        <v>17424</v>
      </c>
      <c r="FR59" s="1505"/>
      <c r="FS59" s="1506"/>
      <c r="FT59" s="1505"/>
      <c r="FU59" s="1506"/>
      <c r="FV59" s="1507"/>
      <c r="FW59" s="1508"/>
      <c r="FX59" s="1505"/>
      <c r="FY59" s="1506"/>
      <c r="FZ59" s="1505"/>
      <c r="GA59" s="1506"/>
      <c r="GB59" s="1507"/>
      <c r="GC59" s="1508"/>
      <c r="GD59" s="1505"/>
      <c r="GE59" s="1506"/>
      <c r="GF59" s="1505"/>
      <c r="GG59" s="1506"/>
      <c r="GH59" s="1507"/>
    </row>
    <row r="60" spans="1:190" ht="20.100000000000001" customHeight="1">
      <c r="A60" s="2848"/>
      <c r="B60" s="2858"/>
      <c r="C60" s="1513">
        <v>200020</v>
      </c>
      <c r="D60" s="1514" t="str">
        <f>実績!C1417</f>
        <v>バロー近江八幡</v>
      </c>
      <c r="E60" s="1652" t="str">
        <f>SUBSTITUTE(VLOOKUP(D60,実績!$C$5:'実績'!$AC$1451,3,0),"株式会社 ","")</f>
        <v>沖本</v>
      </c>
      <c r="F60" s="1517" t="str">
        <f>SUBSTITUTE(VLOOKUP(D60,実績!$C$5:'実績'!$AC$1451,2,0),"株式会社 ","")</f>
        <v>村上</v>
      </c>
      <c r="G60" s="1516" t="str">
        <f>SUBSTITUTE(VLOOKUP(D60,実績!$C$5:'実績'!$AC$1451,16,0),"株式会社 ","")</f>
        <v>上野山都市設計</v>
      </c>
      <c r="H60" s="1547" t="str">
        <f>VLOOKUP(D60,実績!$C$5:'実績'!$AC$1451,4,0)</f>
        <v>滋賀県</v>
      </c>
      <c r="I60" s="1548" t="str">
        <f>VLOOKUP(D60,実績!$C$5:'実績'!$AC$1451,5,0)</f>
        <v>近江八幡市</v>
      </c>
      <c r="J60" s="1519" t="str">
        <f>VLOOKUP(D60,実績!$C$5:'実績'!$AC$1451,9,0)</f>
        <v>店舗</v>
      </c>
      <c r="K60" s="1517">
        <f>ROUND(VLOOKUP(D60,実績!$C$5:'実績'!$AC$1472,15,0),-1)</f>
        <v>3400</v>
      </c>
      <c r="L60" s="1518" t="str">
        <f>VLOOKUP(D60,実績!$C$5:'実績'!$BY$1451,40,0)</f>
        <v>-</v>
      </c>
      <c r="M60" s="1519" t="str">
        <f>VLOOKUP(D60,実績!$C$5:'実績'!$BY$1472,38,0)</f>
        <v>-</v>
      </c>
      <c r="N60" s="1519" t="str">
        <f>VLOOKUP(D60,実績!$C$5:'実績'!$BY$1472,37,0)</f>
        <v>-</v>
      </c>
      <c r="O60" s="1517" t="str">
        <f>VLOOKUP(D60,実績!$C$5:'実績'!$BY$1472,41,0)</f>
        <v>独立</v>
      </c>
      <c r="P60" s="1729" t="s">
        <v>17435</v>
      </c>
      <c r="Q60" s="1692" t="s">
        <v>17438</v>
      </c>
      <c r="R60" s="1659"/>
      <c r="S60" s="1661"/>
      <c r="T60" s="1662"/>
      <c r="U60" s="1660"/>
      <c r="V60" s="1663"/>
      <c r="W60" s="1505"/>
      <c r="X60" s="1505"/>
      <c r="Y60" s="1506"/>
      <c r="Z60" s="1505"/>
      <c r="AA60" s="1506"/>
      <c r="AB60" s="1507"/>
      <c r="AC60" s="1505"/>
      <c r="AD60" s="1505"/>
      <c r="AE60" s="1506"/>
      <c r="AF60" s="1505"/>
      <c r="AG60" s="1506"/>
      <c r="AH60" s="1505"/>
      <c r="AI60" s="1508"/>
      <c r="AJ60" s="1505"/>
      <c r="AK60" s="1506"/>
      <c r="AL60" s="1505"/>
      <c r="AM60" s="1506"/>
      <c r="AN60" s="1507"/>
      <c r="AO60" s="1505"/>
      <c r="AP60" s="1505"/>
      <c r="AQ60" s="1506"/>
      <c r="AR60" s="1505"/>
      <c r="AS60" s="1506"/>
      <c r="AT60" s="1505"/>
      <c r="AU60" s="1509"/>
      <c r="AV60" s="1505"/>
      <c r="AW60" s="1506"/>
      <c r="AX60" s="1505"/>
      <c r="AY60" s="1506"/>
      <c r="AZ60" s="1507"/>
      <c r="BA60" s="1508"/>
      <c r="BB60" s="1505"/>
      <c r="BC60" s="1506"/>
      <c r="BD60" s="1505"/>
      <c r="BE60" s="1506"/>
      <c r="BF60" s="1507"/>
      <c r="BG60" s="1505"/>
      <c r="BH60" s="1505"/>
      <c r="BI60" s="1506"/>
      <c r="BJ60" s="1505"/>
      <c r="BK60" s="1506"/>
      <c r="BL60" s="1505"/>
      <c r="BM60" s="1508"/>
      <c r="BN60" s="1505"/>
      <c r="BO60" s="1506"/>
      <c r="BP60" s="1505"/>
      <c r="BQ60" s="1506"/>
      <c r="BR60" s="1507"/>
      <c r="BS60" s="1508"/>
      <c r="BT60" s="1505"/>
      <c r="BU60" s="1506"/>
      <c r="BV60" s="1510"/>
      <c r="BW60" s="1506"/>
      <c r="BX60" s="1507"/>
      <c r="BY60" s="1508"/>
      <c r="BZ60" s="1505"/>
      <c r="CA60" s="1506"/>
      <c r="CB60" s="1505"/>
      <c r="CC60" s="1506"/>
      <c r="CD60" s="1507"/>
      <c r="CE60" s="1508"/>
      <c r="CF60" s="1505"/>
      <c r="CG60" s="1506"/>
      <c r="CH60" s="1505"/>
      <c r="CI60" s="1506"/>
      <c r="CJ60" s="1507"/>
      <c r="CK60" s="1508"/>
      <c r="CL60" s="1505"/>
      <c r="CM60" s="1506"/>
      <c r="CN60" s="1505"/>
      <c r="CO60" s="1506"/>
      <c r="CP60" s="1507"/>
      <c r="CQ60" s="1508"/>
      <c r="CR60" s="1505"/>
      <c r="CS60" s="1506"/>
      <c r="CT60" s="1511"/>
      <c r="CU60" s="1506"/>
      <c r="CV60" s="1507"/>
      <c r="CW60" s="1508"/>
      <c r="CX60" s="1505"/>
      <c r="CY60" s="1506"/>
      <c r="CZ60" s="1505"/>
      <c r="DA60" s="1506"/>
      <c r="DB60" s="1507"/>
      <c r="DC60" s="1508"/>
      <c r="DD60" s="1505"/>
      <c r="DE60" s="1506"/>
      <c r="DF60" s="1505"/>
      <c r="DG60" s="1506"/>
      <c r="DH60" s="1507"/>
      <c r="DI60" s="1508"/>
      <c r="DJ60" s="1505"/>
      <c r="DK60" s="1506"/>
      <c r="DL60" s="1505"/>
      <c r="DM60" s="1506"/>
      <c r="DN60" s="1507"/>
      <c r="DO60" s="1508"/>
      <c r="DP60" s="1505"/>
      <c r="DQ60" s="1506"/>
      <c r="DR60" s="1505"/>
      <c r="DS60" s="1506"/>
      <c r="DT60" s="1507"/>
      <c r="DU60" s="1508"/>
      <c r="DV60" s="1505"/>
      <c r="DW60" s="1506"/>
      <c r="DX60" s="1505"/>
      <c r="DY60" s="1506"/>
      <c r="DZ60" s="1512"/>
      <c r="EA60" s="1508"/>
      <c r="EB60" s="1505"/>
      <c r="EC60" s="1506"/>
      <c r="ED60" s="1505"/>
      <c r="EE60" s="1506"/>
      <c r="EF60" s="1512"/>
      <c r="EG60" s="1508"/>
      <c r="EH60" s="1505"/>
      <c r="EI60" s="1506"/>
      <c r="EJ60" s="1505"/>
      <c r="EK60" s="1506"/>
      <c r="EL60" s="1512"/>
      <c r="EM60" s="1508"/>
      <c r="EN60" s="1505"/>
      <c r="EO60" s="1506"/>
      <c r="EP60" s="1505"/>
      <c r="EQ60" s="1506"/>
      <c r="ER60" s="1512"/>
      <c r="ES60" s="1508"/>
      <c r="ET60" s="1510" t="s">
        <v>15554</v>
      </c>
      <c r="EU60" s="1506"/>
      <c r="EV60" s="1505"/>
      <c r="EW60" s="1506"/>
      <c r="EX60" s="1507"/>
      <c r="EY60" s="1508" t="s">
        <v>8250</v>
      </c>
      <c r="EZ60" s="1505"/>
      <c r="FA60" s="1506"/>
      <c r="FB60" s="1505"/>
      <c r="FC60" s="1506"/>
      <c r="FD60" s="1512"/>
      <c r="FE60" s="1508"/>
      <c r="FF60" s="1505"/>
      <c r="FG60" s="1506"/>
      <c r="FH60" s="1505"/>
      <c r="FI60" s="1506"/>
      <c r="FJ60" s="1512"/>
      <c r="FK60" s="1508"/>
      <c r="FL60" s="1505"/>
      <c r="FM60" s="1506"/>
      <c r="FN60" s="1505"/>
      <c r="FO60" s="1506"/>
      <c r="FP60" s="1512"/>
      <c r="FQ60" s="1508"/>
      <c r="FR60" s="1505"/>
      <c r="FS60" s="1506"/>
      <c r="FT60" s="1505"/>
      <c r="FU60" s="1506"/>
      <c r="FV60" s="1512"/>
      <c r="FW60" s="1508"/>
      <c r="FX60" s="1505"/>
      <c r="FY60" s="1506"/>
      <c r="FZ60" s="1505" t="s">
        <v>8145</v>
      </c>
      <c r="GA60" s="1506"/>
      <c r="GB60" s="1512"/>
      <c r="GC60" s="1508"/>
      <c r="GD60" s="1505"/>
      <c r="GE60" s="1506"/>
      <c r="GF60" s="1505"/>
      <c r="GG60" s="1506"/>
      <c r="GH60" s="1512"/>
    </row>
    <row r="61" spans="1:190" ht="20.100000000000001" customHeight="1">
      <c r="A61" s="2848"/>
      <c r="B61" s="2858"/>
      <c r="C61" s="1496">
        <f>実績!B1428</f>
        <v>200031</v>
      </c>
      <c r="D61" s="1497" t="str">
        <f>VLOOKUP(C61,実績!$B$5:'実績'!$AC$1472,2,0)</f>
        <v>杉松産業株式会社様工場</v>
      </c>
      <c r="E61" s="1534" t="str">
        <f>SUBSTITUTE(VLOOKUP(D61,実績!$C$5:'実績'!$AC$1472,3,0),"株式会社 ","")</f>
        <v>大田</v>
      </c>
      <c r="F61" s="1503" t="str">
        <f>SUBSTITUTE(VLOOKUP(D61,実績!$C$5:'実績'!$AC$1472,2,0),"株式会社 ","")</f>
        <v>ユイ
ラン</v>
      </c>
      <c r="G61" s="1499" t="str">
        <f>SUBSTITUTE(VLOOKUP(D61,実績!$C$5:'実績'!$AC$1472,16,0)," 株式会社","")</f>
        <v>東海インプル建設</v>
      </c>
      <c r="H61" s="1500" t="str">
        <f>VLOOKUP(D61,実績!$C$5:'実績'!$AC$1472,4,0)</f>
        <v>愛知県</v>
      </c>
      <c r="I61" s="1501" t="str">
        <f>VLOOKUP(D61,実績!$C$5:'実績'!$AC$1472,5,0)</f>
        <v>安城市</v>
      </c>
      <c r="J61" s="1502" t="str">
        <f>VLOOKUP(D61,実績!$C$5:'実績'!$AC$1472,9,0)</f>
        <v>工場</v>
      </c>
      <c r="K61" s="1503">
        <f>ROUND(VLOOKUP(D61,実績!$C$5:'実績'!$AC$1472,15,0),-1)</f>
        <v>390</v>
      </c>
      <c r="L61" s="1504" t="str">
        <f>VLOOKUP(D61,実績!$C$5:'実績'!$BY$1451,40,0)</f>
        <v>-</v>
      </c>
      <c r="M61" s="1502" t="str">
        <f>VLOOKUP(D61,実績!$C$5:'実績'!$BY$1472,38,0)</f>
        <v>-</v>
      </c>
      <c r="N61" s="1502" t="str">
        <f>VLOOKUP(D61,実績!$C$5:'実績'!$BY$1472,37,0)</f>
        <v>-</v>
      </c>
      <c r="O61" s="1503" t="str">
        <f>VLOOKUP(D61,実績!$C$5:'実績'!$BY$1472,41,0)</f>
        <v>独立</v>
      </c>
      <c r="P61" s="1671"/>
      <c r="Q61" s="1668"/>
      <c r="R61" s="1671"/>
      <c r="S61" s="1730"/>
      <c r="T61" s="1669"/>
      <c r="U61" s="1668"/>
      <c r="V61" s="1663"/>
      <c r="W61" s="1505"/>
      <c r="X61" s="1505"/>
      <c r="Y61" s="1506"/>
      <c r="Z61" s="1505"/>
      <c r="AA61" s="1506"/>
      <c r="AB61" s="1507"/>
      <c r="AC61" s="1505"/>
      <c r="AD61" s="1505"/>
      <c r="AE61" s="1506"/>
      <c r="AF61" s="1505"/>
      <c r="AG61" s="1506"/>
      <c r="AH61" s="1505"/>
      <c r="AI61" s="1508"/>
      <c r="AJ61" s="1505"/>
      <c r="AK61" s="1506"/>
      <c r="AL61" s="1505"/>
      <c r="AM61" s="1506"/>
      <c r="AN61" s="1507"/>
      <c r="AO61" s="1505"/>
      <c r="AP61" s="1505"/>
      <c r="AQ61" s="1506"/>
      <c r="AR61" s="1505"/>
      <c r="AS61" s="1506"/>
      <c r="AT61" s="1505"/>
      <c r="AU61" s="1509"/>
      <c r="AV61" s="1505"/>
      <c r="AW61" s="1506"/>
      <c r="AX61" s="1505"/>
      <c r="AY61" s="1506"/>
      <c r="AZ61" s="1507"/>
      <c r="BA61" s="1508"/>
      <c r="BB61" s="1505"/>
      <c r="BC61" s="1506"/>
      <c r="BD61" s="1505"/>
      <c r="BE61" s="1506"/>
      <c r="BF61" s="1507"/>
      <c r="BG61" s="1505"/>
      <c r="BH61" s="1505"/>
      <c r="BI61" s="1506"/>
      <c r="BJ61" s="1505"/>
      <c r="BK61" s="1506"/>
      <c r="BL61" s="1505"/>
      <c r="BM61" s="1508"/>
      <c r="BN61" s="1505"/>
      <c r="BO61" s="1506"/>
      <c r="BP61" s="1505"/>
      <c r="BQ61" s="1506"/>
      <c r="BR61" s="1507"/>
      <c r="BS61" s="1508"/>
      <c r="BT61" s="1505"/>
      <c r="BU61" s="1506"/>
      <c r="BV61" s="1510"/>
      <c r="BW61" s="1506"/>
      <c r="BX61" s="1507"/>
      <c r="BY61" s="1508"/>
      <c r="BZ61" s="1505"/>
      <c r="CA61" s="1506"/>
      <c r="CB61" s="1505"/>
      <c r="CC61" s="1506"/>
      <c r="CD61" s="1507"/>
      <c r="CE61" s="1508"/>
      <c r="CF61" s="1505"/>
      <c r="CG61" s="1506"/>
      <c r="CH61" s="1505"/>
      <c r="CI61" s="1506"/>
      <c r="CJ61" s="1507"/>
      <c r="CK61" s="1508"/>
      <c r="CL61" s="1505"/>
      <c r="CM61" s="1506"/>
      <c r="CN61" s="1505"/>
      <c r="CO61" s="1506"/>
      <c r="CP61" s="1507"/>
      <c r="CQ61" s="1508"/>
      <c r="CR61" s="1505"/>
      <c r="CS61" s="1506"/>
      <c r="CT61" s="1511"/>
      <c r="CU61" s="1506"/>
      <c r="CV61" s="1507"/>
      <c r="CW61" s="1508"/>
      <c r="CX61" s="1505"/>
      <c r="CY61" s="1506"/>
      <c r="CZ61" s="1505"/>
      <c r="DA61" s="1506"/>
      <c r="DB61" s="1507"/>
      <c r="DC61" s="1508"/>
      <c r="DD61" s="1505"/>
      <c r="DE61" s="1506"/>
      <c r="DF61" s="1505"/>
      <c r="DG61" s="1506"/>
      <c r="DH61" s="1507"/>
      <c r="DI61" s="1508"/>
      <c r="DJ61" s="1505"/>
      <c r="DK61" s="1506"/>
      <c r="DL61" s="1505"/>
      <c r="DM61" s="1506"/>
      <c r="DN61" s="1507"/>
      <c r="DO61" s="1508"/>
      <c r="DP61" s="1505"/>
      <c r="DQ61" s="1506"/>
      <c r="DR61" s="1505"/>
      <c r="DS61" s="1506"/>
      <c r="DT61" s="1507"/>
      <c r="DU61" s="1508"/>
      <c r="DV61" s="1505"/>
      <c r="DW61" s="1506"/>
      <c r="DX61" s="1505"/>
      <c r="DY61" s="1506"/>
      <c r="DZ61" s="1507"/>
      <c r="EA61" s="1508"/>
      <c r="EB61" s="1505"/>
      <c r="EC61" s="1506"/>
      <c r="ED61" s="1505"/>
      <c r="EE61" s="1506"/>
      <c r="EF61" s="1507"/>
      <c r="EG61" s="1508"/>
      <c r="EH61" s="1510"/>
      <c r="EI61" s="1506"/>
      <c r="EJ61" s="1505"/>
      <c r="EK61" s="1506"/>
      <c r="EL61" s="1512"/>
      <c r="EM61" s="1508"/>
      <c r="EN61" s="1505"/>
      <c r="EO61" s="1506"/>
      <c r="EP61" s="1505"/>
      <c r="EQ61" s="1506"/>
      <c r="ER61" s="1507"/>
      <c r="ES61" s="1651"/>
      <c r="ET61" s="1505"/>
      <c r="EU61" s="1506"/>
      <c r="EV61" s="1505"/>
      <c r="EW61" s="1506"/>
      <c r="EX61" s="1507"/>
      <c r="EY61" s="1508"/>
      <c r="EZ61" s="1505"/>
      <c r="FA61" s="1506"/>
      <c r="FB61" s="1505"/>
      <c r="FC61" s="1506"/>
      <c r="FD61" s="1507"/>
      <c r="FE61" s="1508"/>
      <c r="FF61" s="1505"/>
      <c r="FG61" s="1506"/>
      <c r="FH61" s="1505"/>
      <c r="FI61" s="1506"/>
      <c r="FJ61" s="1512"/>
      <c r="FK61" s="1508"/>
      <c r="FL61" s="1505"/>
      <c r="FM61" s="1506"/>
      <c r="FN61" s="1505"/>
      <c r="FO61" s="1506"/>
      <c r="FP61" s="1512"/>
      <c r="FQ61" s="1508"/>
      <c r="FR61" s="1505"/>
      <c r="FS61" s="1506"/>
      <c r="FT61" s="1505"/>
      <c r="FU61" s="1506"/>
      <c r="FV61" s="1512"/>
      <c r="FW61" s="1508"/>
      <c r="FX61" s="1505"/>
      <c r="FY61" s="1506"/>
      <c r="FZ61" s="1505"/>
      <c r="GA61" s="1506"/>
      <c r="GB61" s="1512"/>
      <c r="GC61" s="1508"/>
      <c r="GD61" s="1505"/>
      <c r="GE61" s="1506"/>
      <c r="GF61" s="1505"/>
      <c r="GG61" s="1506"/>
      <c r="GH61" s="1512"/>
    </row>
    <row r="62" spans="1:190" ht="20.100000000000001" customHeight="1">
      <c r="A62" s="2848"/>
      <c r="B62" s="2858"/>
      <c r="C62" s="1633">
        <v>200015</v>
      </c>
      <c r="D62" s="1653" t="str">
        <f>実績!C1412</f>
        <v>カネダ様城南島工場</v>
      </c>
      <c r="E62" s="1550" t="str">
        <f>SUBSTITUTE(VLOOKUP(D62,実績!$C$5:'実績'!$AC$1451,3,0),"株式会社 ","")</f>
        <v>大田</v>
      </c>
      <c r="F62" s="1476" t="str">
        <f>SUBSTITUTE(VLOOKUP(D62,実績!$C$5:'実績'!$AC$1451,2,0),"株式会社 ","")</f>
        <v>村上
フィ</v>
      </c>
      <c r="G62" s="1551" t="str">
        <f>SUBSTITUTE(VLOOKUP(D62,実績!$C$5:'実績'!$AC$1451,16,0),"株式会社 ","")</f>
        <v>フケタ設計</v>
      </c>
      <c r="H62" s="1635" t="str">
        <f>VLOOKUP(D62,実績!$C$5:'実績'!$AC$1451,4,0)</f>
        <v>東京都</v>
      </c>
      <c r="I62" s="1636" t="str">
        <f>VLOOKUP(D62,実績!$C$5:'実績'!$AC$1451,5,0)</f>
        <v>大田区</v>
      </c>
      <c r="J62" s="1478" t="str">
        <f>VLOOKUP(D62,実績!$C$5:'実績'!$AC$1451,9,0)</f>
        <v>工場,事務所</v>
      </c>
      <c r="K62" s="1476">
        <f>ROUND(VLOOKUP(D62,実績!$C$5:'実績'!$AC$1472,15,0),-1)</f>
        <v>1200</v>
      </c>
      <c r="L62" s="1477" t="str">
        <f>VLOOKUP(D62,実績!$C$5:'実績'!$BY$1451,40,0)</f>
        <v>○</v>
      </c>
      <c r="M62" s="1478" t="str">
        <f>VLOOKUP(D62,実績!$C$5:'実績'!$BY$1472,38,0)</f>
        <v>-</v>
      </c>
      <c r="N62" s="1478" t="str">
        <f>VLOOKUP(D62,実績!$C$5:'実績'!$BY$1472,37,0)</f>
        <v>-</v>
      </c>
      <c r="O62" s="1476" t="str">
        <f>VLOOKUP(D62,実績!$C$5:'実績'!$BY$1472,41,0)</f>
        <v>独立</v>
      </c>
      <c r="P62" s="1731" t="s">
        <v>17439</v>
      </c>
      <c r="Q62" s="1691"/>
      <c r="R62" s="1659"/>
      <c r="S62" s="1661"/>
      <c r="T62" s="1662"/>
      <c r="U62" s="1660"/>
      <c r="V62" s="1663"/>
      <c r="W62" s="1505"/>
      <c r="X62" s="1505"/>
      <c r="Y62" s="1506"/>
      <c r="Z62" s="1505"/>
      <c r="AA62" s="1506"/>
      <c r="AB62" s="1507"/>
      <c r="AC62" s="1505"/>
      <c r="AD62" s="1505"/>
      <c r="AE62" s="1506"/>
      <c r="AF62" s="1505"/>
      <c r="AG62" s="1506"/>
      <c r="AH62" s="1505"/>
      <c r="AI62" s="1508"/>
      <c r="AJ62" s="1505"/>
      <c r="AK62" s="1506"/>
      <c r="AL62" s="1505"/>
      <c r="AM62" s="1506"/>
      <c r="AN62" s="1507"/>
      <c r="AO62" s="1505"/>
      <c r="AP62" s="1505"/>
      <c r="AQ62" s="1506"/>
      <c r="AR62" s="1505"/>
      <c r="AS62" s="1506"/>
      <c r="AT62" s="1505"/>
      <c r="AU62" s="1509"/>
      <c r="AV62" s="1505"/>
      <c r="AW62" s="1506"/>
      <c r="AX62" s="1505"/>
      <c r="AY62" s="1506"/>
      <c r="AZ62" s="1507"/>
      <c r="BA62" s="1508"/>
      <c r="BB62" s="1505"/>
      <c r="BC62" s="1506"/>
      <c r="BD62" s="1505"/>
      <c r="BE62" s="1506"/>
      <c r="BF62" s="1507"/>
      <c r="BG62" s="1505"/>
      <c r="BH62" s="1505"/>
      <c r="BI62" s="1506"/>
      <c r="BJ62" s="1505"/>
      <c r="BK62" s="1506"/>
      <c r="BL62" s="1505"/>
      <c r="BM62" s="1508"/>
      <c r="BN62" s="1505"/>
      <c r="BO62" s="1506"/>
      <c r="BP62" s="1505"/>
      <c r="BQ62" s="1506"/>
      <c r="BR62" s="1507"/>
      <c r="BS62" s="1508"/>
      <c r="BT62" s="1505"/>
      <c r="BU62" s="1506"/>
      <c r="BV62" s="1510"/>
      <c r="BW62" s="1506"/>
      <c r="BX62" s="1507"/>
      <c r="BY62" s="1508"/>
      <c r="BZ62" s="1505"/>
      <c r="CA62" s="1506"/>
      <c r="CB62" s="1505"/>
      <c r="CC62" s="1506"/>
      <c r="CD62" s="1507"/>
      <c r="CE62" s="1508"/>
      <c r="CF62" s="1505"/>
      <c r="CG62" s="1506"/>
      <c r="CH62" s="1505"/>
      <c r="CI62" s="1506"/>
      <c r="CJ62" s="1507"/>
      <c r="CK62" s="1508"/>
      <c r="CL62" s="1505"/>
      <c r="CM62" s="1506"/>
      <c r="CN62" s="1505"/>
      <c r="CO62" s="1506"/>
      <c r="CP62" s="1507"/>
      <c r="CQ62" s="1508"/>
      <c r="CR62" s="1505"/>
      <c r="CS62" s="1506"/>
      <c r="CT62" s="1511"/>
      <c r="CU62" s="1506"/>
      <c r="CV62" s="1507"/>
      <c r="CW62" s="1508"/>
      <c r="CX62" s="1505"/>
      <c r="CY62" s="1506"/>
      <c r="CZ62" s="1505"/>
      <c r="DA62" s="1506"/>
      <c r="DB62" s="1507"/>
      <c r="DC62" s="1508"/>
      <c r="DD62" s="1505"/>
      <c r="DE62" s="1506"/>
      <c r="DF62" s="1505"/>
      <c r="DG62" s="1506"/>
      <c r="DH62" s="1507"/>
      <c r="DI62" s="1508"/>
      <c r="DJ62" s="1505"/>
      <c r="DK62" s="1506"/>
      <c r="DL62" s="1505"/>
      <c r="DM62" s="1506"/>
      <c r="DN62" s="1507"/>
      <c r="DO62" s="1508"/>
      <c r="DP62" s="1505"/>
      <c r="DQ62" s="1506"/>
      <c r="DR62" s="1505"/>
      <c r="DS62" s="1506"/>
      <c r="DT62" s="1507"/>
      <c r="DU62" s="1508"/>
      <c r="DV62" s="1505"/>
      <c r="DW62" s="1506"/>
      <c r="DX62" s="1505"/>
      <c r="DY62" s="1506"/>
      <c r="DZ62" s="1507"/>
      <c r="EA62" s="1508"/>
      <c r="EB62" s="1505"/>
      <c r="EC62" s="1506"/>
      <c r="ED62" s="1505"/>
      <c r="EE62" s="1506"/>
      <c r="EF62" s="1507"/>
      <c r="EG62" s="1508"/>
      <c r="EH62" s="1510"/>
      <c r="EI62" s="1506"/>
      <c r="EJ62" s="1505"/>
      <c r="EK62" s="1506"/>
      <c r="EL62" s="1507"/>
      <c r="EM62" s="1508"/>
      <c r="EN62" s="1505"/>
      <c r="EO62" s="1506"/>
      <c r="EP62" s="1505"/>
      <c r="EQ62" s="1506"/>
      <c r="ER62" s="1512"/>
      <c r="ES62" s="1508"/>
      <c r="ET62" s="1510"/>
      <c r="EU62" s="1506"/>
      <c r="EV62" s="1505" t="s">
        <v>14875</v>
      </c>
      <c r="EW62" s="1506"/>
      <c r="EX62" s="1507"/>
      <c r="EY62" s="1508"/>
      <c r="EZ62" s="1505"/>
      <c r="FA62" s="1506"/>
      <c r="FB62" s="1505"/>
      <c r="FC62" s="1506"/>
      <c r="FD62" s="1507"/>
      <c r="FE62" s="1508"/>
      <c r="FF62" s="1505"/>
      <c r="FG62" s="1506"/>
      <c r="FH62" s="1505"/>
      <c r="FI62" s="1506"/>
      <c r="FJ62" s="1507"/>
      <c r="FK62" s="1508"/>
      <c r="FL62" s="1505"/>
      <c r="FM62" s="1506"/>
      <c r="FN62" s="1505"/>
      <c r="FO62" s="1506"/>
      <c r="FP62" s="1507"/>
      <c r="FQ62" s="1508"/>
      <c r="FR62" s="1505"/>
      <c r="FS62" s="1506"/>
      <c r="FT62" s="1505"/>
      <c r="FU62" s="1506"/>
      <c r="FV62" s="1507"/>
      <c r="FW62" s="1508"/>
      <c r="FX62" s="1505"/>
      <c r="FY62" s="1506"/>
      <c r="FZ62" s="1505"/>
      <c r="GA62" s="1506"/>
      <c r="GB62" s="1507"/>
      <c r="GC62" s="1508"/>
      <c r="GD62" s="1505"/>
      <c r="GE62" s="1506"/>
      <c r="GF62" s="1505"/>
      <c r="GG62" s="1506"/>
      <c r="GH62" s="1507"/>
    </row>
    <row r="63" spans="1:190" ht="20.100000000000001" customHeight="1">
      <c r="A63" s="2848"/>
      <c r="B63" s="2858"/>
      <c r="C63" s="1496">
        <v>200014</v>
      </c>
      <c r="D63" s="1497" t="str">
        <f>実績!C1411</f>
        <v>伊勢原新工場</v>
      </c>
      <c r="E63" s="1534" t="str">
        <f>SUBSTITUTE(VLOOKUP(D63,実績!$C$5:'実績'!$AC$1451,3,0),"株式会社 ","")</f>
        <v>大田</v>
      </c>
      <c r="F63" s="1503" t="str">
        <f>SUBSTITUTE(VLOOKUP(D63,実績!$C$5:'実績'!$AC$1451,2,0),"株式会社 ","")</f>
        <v>ユイ
ホア</v>
      </c>
      <c r="G63" s="1499" t="str">
        <f>SUBSTITUTE(VLOOKUP(D63,実績!$C$5:'実績'!$AC$1451,16,0),"株式会社 ","")</f>
        <v>淺沼組</v>
      </c>
      <c r="H63" s="1500" t="str">
        <f>VLOOKUP(D63,実績!$C$5:'実績'!$AC$1451,4,0)</f>
        <v>神奈川県</v>
      </c>
      <c r="I63" s="1501" t="str">
        <f>VLOOKUP(D63,実績!$C$5:'実績'!$AC$1451,5,0)</f>
        <v>伊勢原市</v>
      </c>
      <c r="J63" s="1502" t="str">
        <f>VLOOKUP(D63,実績!$C$5:'実績'!$AC$1451,9,0)</f>
        <v>工場</v>
      </c>
      <c r="K63" s="1503">
        <f>ROUND(VLOOKUP(D63,実績!$C$5:'実績'!$AC$1472,15,0),-1)</f>
        <v>3210</v>
      </c>
      <c r="L63" s="1504" t="str">
        <f>VLOOKUP(D63,実績!$C$5:'実績'!$BY$1451,40,0)</f>
        <v>-</v>
      </c>
      <c r="M63" s="1502" t="str">
        <f>VLOOKUP(D63,実績!$C$5:'実績'!$BY$1472,38,0)</f>
        <v>-</v>
      </c>
      <c r="N63" s="1502" t="str">
        <f>VLOOKUP(D63,実績!$C$5:'実績'!$BY$1472,37,0)</f>
        <v>-</v>
      </c>
      <c r="O63" s="1503" t="str">
        <f>VLOOKUP(D63,実績!$C$5:'実績'!$BY$1472,41,0)</f>
        <v>独立</v>
      </c>
      <c r="P63" s="1659" t="s">
        <v>17429</v>
      </c>
      <c r="Q63" s="1660" t="s">
        <v>17438</v>
      </c>
      <c r="R63" s="1659"/>
      <c r="S63" s="1661"/>
      <c r="T63" s="1662"/>
      <c r="U63" s="1660"/>
      <c r="V63" s="1663"/>
      <c r="W63" s="1505"/>
      <c r="X63" s="1505"/>
      <c r="Y63" s="1506"/>
      <c r="Z63" s="1505"/>
      <c r="AA63" s="1506"/>
      <c r="AB63" s="1507"/>
      <c r="AC63" s="1505"/>
      <c r="AD63" s="1505"/>
      <c r="AE63" s="1506"/>
      <c r="AF63" s="1505"/>
      <c r="AG63" s="1506"/>
      <c r="AH63" s="1505"/>
      <c r="AI63" s="1508"/>
      <c r="AJ63" s="1505"/>
      <c r="AK63" s="1506"/>
      <c r="AL63" s="1505"/>
      <c r="AM63" s="1506"/>
      <c r="AN63" s="1507"/>
      <c r="AO63" s="1505"/>
      <c r="AP63" s="1505"/>
      <c r="AQ63" s="1506"/>
      <c r="AR63" s="1505"/>
      <c r="AS63" s="1506"/>
      <c r="AT63" s="1505"/>
      <c r="AU63" s="1509"/>
      <c r="AV63" s="1505"/>
      <c r="AW63" s="1506"/>
      <c r="AX63" s="1505"/>
      <c r="AY63" s="1506"/>
      <c r="AZ63" s="1507"/>
      <c r="BA63" s="1508"/>
      <c r="BB63" s="1505"/>
      <c r="BC63" s="1506"/>
      <c r="BD63" s="1505"/>
      <c r="BE63" s="1506"/>
      <c r="BF63" s="1507"/>
      <c r="BG63" s="1505"/>
      <c r="BH63" s="1505"/>
      <c r="BI63" s="1506"/>
      <c r="BJ63" s="1505"/>
      <c r="BK63" s="1506"/>
      <c r="BL63" s="1505"/>
      <c r="BM63" s="1508"/>
      <c r="BN63" s="1505"/>
      <c r="BO63" s="1506"/>
      <c r="BP63" s="1505"/>
      <c r="BQ63" s="1506"/>
      <c r="BR63" s="1507"/>
      <c r="BS63" s="1508"/>
      <c r="BT63" s="1505"/>
      <c r="BU63" s="1506"/>
      <c r="BV63" s="1510"/>
      <c r="BW63" s="1506"/>
      <c r="BX63" s="1507"/>
      <c r="BY63" s="1508"/>
      <c r="BZ63" s="1505"/>
      <c r="CA63" s="1506"/>
      <c r="CB63" s="1505"/>
      <c r="CC63" s="1506"/>
      <c r="CD63" s="1507"/>
      <c r="CE63" s="1508"/>
      <c r="CF63" s="1505"/>
      <c r="CG63" s="1506"/>
      <c r="CH63" s="1505"/>
      <c r="CI63" s="1506"/>
      <c r="CJ63" s="1507"/>
      <c r="CK63" s="1508"/>
      <c r="CL63" s="1505"/>
      <c r="CM63" s="1506"/>
      <c r="CN63" s="1505"/>
      <c r="CO63" s="1506"/>
      <c r="CP63" s="1507"/>
      <c r="CQ63" s="1508"/>
      <c r="CR63" s="1505"/>
      <c r="CS63" s="1506"/>
      <c r="CT63" s="1511"/>
      <c r="CU63" s="1506"/>
      <c r="CV63" s="1507"/>
      <c r="CW63" s="1508"/>
      <c r="CX63" s="1505"/>
      <c r="CY63" s="1506"/>
      <c r="CZ63" s="1505"/>
      <c r="DA63" s="1506"/>
      <c r="DB63" s="1507"/>
      <c r="DC63" s="1508"/>
      <c r="DD63" s="1505"/>
      <c r="DE63" s="1506"/>
      <c r="DF63" s="1505"/>
      <c r="DG63" s="1506"/>
      <c r="DH63" s="1507"/>
      <c r="DI63" s="1508"/>
      <c r="DJ63" s="1505"/>
      <c r="DK63" s="1506"/>
      <c r="DL63" s="1505"/>
      <c r="DM63" s="1506"/>
      <c r="DN63" s="1507"/>
      <c r="DO63" s="1508"/>
      <c r="DP63" s="1505"/>
      <c r="DQ63" s="1506"/>
      <c r="DR63" s="1505"/>
      <c r="DS63" s="1506"/>
      <c r="DT63" s="1507"/>
      <c r="DU63" s="1508"/>
      <c r="DV63" s="1505"/>
      <c r="DW63" s="1506"/>
      <c r="DX63" s="1505"/>
      <c r="DY63" s="1506"/>
      <c r="DZ63" s="1512"/>
      <c r="EA63" s="1508"/>
      <c r="EB63" s="1505"/>
      <c r="EC63" s="1506"/>
      <c r="ED63" s="1505"/>
      <c r="EE63" s="1506"/>
      <c r="EF63" s="1512"/>
      <c r="EG63" s="1508"/>
      <c r="EH63" s="1505"/>
      <c r="EI63" s="1506"/>
      <c r="EJ63" s="1505"/>
      <c r="EK63" s="1506"/>
      <c r="EL63" s="1512"/>
      <c r="EM63" s="1508"/>
      <c r="EN63" s="1505"/>
      <c r="EO63" s="1506"/>
      <c r="EP63" s="1505"/>
      <c r="EQ63" s="1506"/>
      <c r="ER63" s="1512"/>
      <c r="ES63" s="1508"/>
      <c r="ET63" s="1510"/>
      <c r="EU63" s="1506"/>
      <c r="EV63" s="1505"/>
      <c r="EW63" s="1506"/>
      <c r="EX63" s="1507"/>
      <c r="EY63" s="1508"/>
      <c r="EZ63" s="1505"/>
      <c r="FA63" s="1506"/>
      <c r="FB63" s="1505"/>
      <c r="FC63" s="1506"/>
      <c r="FD63" s="1507"/>
      <c r="FE63" s="1508"/>
      <c r="FF63" s="1505"/>
      <c r="FG63" s="1506"/>
      <c r="FH63" s="1505"/>
      <c r="FI63" s="1506"/>
      <c r="FJ63" s="1512"/>
      <c r="FK63" s="1508" t="s">
        <v>17050</v>
      </c>
      <c r="FL63" s="1505"/>
      <c r="FM63" s="1506"/>
      <c r="FN63" s="1505"/>
      <c r="FO63" s="1506"/>
      <c r="FP63" s="1512"/>
      <c r="FQ63" s="1508"/>
      <c r="FR63" s="1505"/>
      <c r="FS63" s="1506"/>
      <c r="FT63" s="1505"/>
      <c r="FU63" s="1506"/>
      <c r="FV63" s="1512"/>
      <c r="FW63" s="1508"/>
      <c r="FX63" s="1505"/>
      <c r="FY63" s="1506"/>
      <c r="FZ63" s="1505" t="s">
        <v>8145</v>
      </c>
      <c r="GA63" s="1506"/>
      <c r="GB63" s="1512"/>
      <c r="GC63" s="1508"/>
      <c r="GD63" s="1505"/>
      <c r="GE63" s="1506"/>
      <c r="GF63" s="1505"/>
      <c r="GG63" s="1506"/>
      <c r="GH63" s="1512"/>
    </row>
    <row r="64" spans="1:190" ht="20.100000000000001" customHeight="1">
      <c r="A64" s="2848"/>
      <c r="B64" s="2858"/>
      <c r="C64" s="1496">
        <f>実績!B1427</f>
        <v>200030</v>
      </c>
      <c r="D64" s="1787" t="str">
        <f>VLOOKUP(C64,実績!$B$5:'実績'!$AC$1472,2,0)</f>
        <v>北海道クボタ岩見沢営業所</v>
      </c>
      <c r="E64" s="1534" t="str">
        <f>SUBSTITUTE(VLOOKUP(D64,実績!$C$5:'実績'!$AC$1451,3,0),"株式会社 ","")</f>
        <v>竹内(宗)</v>
      </c>
      <c r="F64" s="1503" t="str">
        <f>SUBSTITUTE(VLOOKUP(D64,実績!$C$5:'実績'!$AC$1451,2,0),"株式会社 ","")</f>
        <v>村上
ユイ</v>
      </c>
      <c r="G64" s="1499" t="str">
        <f>SUBSTITUTE(VLOOKUP(D64,実績!$C$5:'実績'!$AC$1451,16,0),"株式会社 ","")</f>
        <v>中田建築設計</v>
      </c>
      <c r="H64" s="1500" t="str">
        <f>VLOOKUP(D64,実績!$C$5:'実績'!$AC$1451,4,0)</f>
        <v>北海道</v>
      </c>
      <c r="I64" s="1501" t="str">
        <f>VLOOKUP(D64,実績!$C$5:'実績'!$AC$1451,5,0)</f>
        <v>岩見沢市</v>
      </c>
      <c r="J64" s="1502" t="str">
        <f>VLOOKUP(D64,実績!$C$5:'実績'!$AC$1451,9,0)</f>
        <v>農機具修理工場</v>
      </c>
      <c r="K64" s="1503">
        <f>ROUND(VLOOKUP(D64,実績!$C$5:'実績'!$AC$1451,15,0),-1)</f>
        <v>810</v>
      </c>
      <c r="L64" s="1504" t="str">
        <f>VLOOKUP(D64,実績!$C$5:'実績'!$BY$1451,40,0)</f>
        <v>○</v>
      </c>
      <c r="M64" s="1502" t="str">
        <f>VLOOKUP(D64,実績!$C$5:'実績'!$BY$1472,38,0)</f>
        <v>○
6m</v>
      </c>
      <c r="N64" s="1502" t="str">
        <f>VLOOKUP(D64,実績!$C$5:'実績'!$BY$1472,37,0)</f>
        <v>-</v>
      </c>
      <c r="O64" s="1503" t="str">
        <f>VLOOKUP(D64,実績!$C$5:'実績'!$BY$1472,41,0)</f>
        <v>独立</v>
      </c>
      <c r="P64" s="1659"/>
      <c r="Q64" s="1660" t="s">
        <v>17442</v>
      </c>
      <c r="R64" s="1659"/>
      <c r="S64" s="1661"/>
      <c r="T64" s="1662"/>
      <c r="U64" s="1660"/>
      <c r="V64" s="1663"/>
      <c r="W64" s="1505"/>
      <c r="X64" s="1505"/>
      <c r="Y64" s="1506"/>
      <c r="Z64" s="1505"/>
      <c r="AA64" s="1506"/>
      <c r="AB64" s="1507"/>
      <c r="AC64" s="1505"/>
      <c r="AD64" s="1505"/>
      <c r="AE64" s="1506"/>
      <c r="AF64" s="1505"/>
      <c r="AG64" s="1506"/>
      <c r="AH64" s="1505"/>
      <c r="AI64" s="1508"/>
      <c r="AJ64" s="1505"/>
      <c r="AK64" s="1506"/>
      <c r="AL64" s="1505"/>
      <c r="AM64" s="1506"/>
      <c r="AN64" s="1507"/>
      <c r="AO64" s="1505"/>
      <c r="AP64" s="1505"/>
      <c r="AQ64" s="1506"/>
      <c r="AR64" s="1505"/>
      <c r="AS64" s="1506"/>
      <c r="AT64" s="1505"/>
      <c r="AU64" s="1509"/>
      <c r="AV64" s="1505"/>
      <c r="AW64" s="1506"/>
      <c r="AX64" s="1505"/>
      <c r="AY64" s="1506"/>
      <c r="AZ64" s="1507"/>
      <c r="BA64" s="1508"/>
      <c r="BB64" s="1505"/>
      <c r="BC64" s="1506"/>
      <c r="BD64" s="1505"/>
      <c r="BE64" s="1506"/>
      <c r="BF64" s="1507"/>
      <c r="BG64" s="1505"/>
      <c r="BH64" s="1505"/>
      <c r="BI64" s="1506"/>
      <c r="BJ64" s="1505"/>
      <c r="BK64" s="1506"/>
      <c r="BL64" s="1505"/>
      <c r="BM64" s="1508"/>
      <c r="BN64" s="1505"/>
      <c r="BO64" s="1506"/>
      <c r="BP64" s="1505"/>
      <c r="BQ64" s="1506"/>
      <c r="BR64" s="1507"/>
      <c r="BS64" s="1508"/>
      <c r="BT64" s="1505"/>
      <c r="BU64" s="1506"/>
      <c r="BV64" s="1510"/>
      <c r="BW64" s="1506"/>
      <c r="BX64" s="1507"/>
      <c r="BY64" s="1508"/>
      <c r="BZ64" s="1505"/>
      <c r="CA64" s="1506"/>
      <c r="CB64" s="1505"/>
      <c r="CC64" s="1506"/>
      <c r="CD64" s="1507"/>
      <c r="CE64" s="1508"/>
      <c r="CF64" s="1505"/>
      <c r="CG64" s="1506"/>
      <c r="CH64" s="1505"/>
      <c r="CI64" s="1506"/>
      <c r="CJ64" s="1507"/>
      <c r="CK64" s="1508"/>
      <c r="CL64" s="1505"/>
      <c r="CM64" s="1506"/>
      <c r="CN64" s="1505"/>
      <c r="CO64" s="1506"/>
      <c r="CP64" s="1507"/>
      <c r="CQ64" s="1508"/>
      <c r="CR64" s="1505"/>
      <c r="CS64" s="1506"/>
      <c r="CT64" s="1511"/>
      <c r="CU64" s="1506"/>
      <c r="CV64" s="1507"/>
      <c r="CW64" s="1508"/>
      <c r="CX64" s="1505"/>
      <c r="CY64" s="1506"/>
      <c r="CZ64" s="1505"/>
      <c r="DA64" s="1506"/>
      <c r="DB64" s="1507"/>
      <c r="DC64" s="1508"/>
      <c r="DD64" s="1505"/>
      <c r="DE64" s="1506"/>
      <c r="DF64" s="1505"/>
      <c r="DG64" s="1506"/>
      <c r="DH64" s="1507"/>
      <c r="DI64" s="1508"/>
      <c r="DJ64" s="1505"/>
      <c r="DK64" s="1506"/>
      <c r="DL64" s="1505"/>
      <c r="DM64" s="1506"/>
      <c r="DN64" s="1507"/>
      <c r="DO64" s="1508"/>
      <c r="DP64" s="1505"/>
      <c r="DQ64" s="1506"/>
      <c r="DR64" s="1505"/>
      <c r="DS64" s="1506"/>
      <c r="DT64" s="1507"/>
      <c r="DU64" s="1508"/>
      <c r="DV64" s="1505"/>
      <c r="DW64" s="1506"/>
      <c r="DX64" s="1505"/>
      <c r="DY64" s="1506"/>
      <c r="DZ64" s="1507"/>
      <c r="EA64" s="1508"/>
      <c r="EB64" s="1505"/>
      <c r="EC64" s="1506"/>
      <c r="ED64" s="1505"/>
      <c r="EE64" s="1506"/>
      <c r="EF64" s="1507"/>
      <c r="EG64" s="1508"/>
      <c r="EH64" s="1510"/>
      <c r="EI64" s="1506"/>
      <c r="EJ64" s="1505"/>
      <c r="EK64" s="1506"/>
      <c r="EL64" s="1512"/>
      <c r="EM64" s="1508"/>
      <c r="EN64" s="1505"/>
      <c r="EO64" s="1506"/>
      <c r="EP64" s="1505"/>
      <c r="EQ64" s="1506"/>
      <c r="ER64" s="1507"/>
      <c r="ES64" s="1508"/>
      <c r="ET64" s="1510"/>
      <c r="EU64" s="1506"/>
      <c r="EV64" s="1505"/>
      <c r="EW64" s="1506"/>
      <c r="EX64" s="1507"/>
      <c r="EY64" s="1508"/>
      <c r="EZ64" s="1505"/>
      <c r="FA64" s="1506"/>
      <c r="FB64" s="1505"/>
      <c r="FC64" s="1506"/>
      <c r="FD64" s="1507"/>
      <c r="FE64" s="1508"/>
      <c r="FF64" s="1505"/>
      <c r="FG64" s="1506"/>
      <c r="FH64" s="1505"/>
      <c r="FI64" s="1506"/>
      <c r="FJ64" s="1512"/>
      <c r="FK64" s="1508"/>
      <c r="FL64" s="1505"/>
      <c r="FM64" s="1506"/>
      <c r="FN64" s="1505"/>
      <c r="FO64" s="1506"/>
      <c r="FP64" s="1512"/>
      <c r="FQ64" s="1175"/>
      <c r="FR64" s="1355"/>
      <c r="FS64" s="1356"/>
      <c r="FT64" s="1355"/>
      <c r="FU64" s="1356"/>
      <c r="FV64" s="1359"/>
      <c r="FW64" s="1175"/>
      <c r="FX64" s="1355"/>
      <c r="FY64" s="1356"/>
      <c r="FZ64" s="1355"/>
      <c r="GA64" s="1356"/>
      <c r="GB64" s="1359"/>
      <c r="GC64" s="1175"/>
      <c r="GD64" s="1355"/>
      <c r="GE64" s="1356"/>
      <c r="GF64" s="1355"/>
      <c r="GG64" s="1356"/>
      <c r="GH64" s="1359"/>
    </row>
    <row r="65" spans="1:190" ht="20.100000000000001" customHeight="1">
      <c r="A65" s="2848"/>
      <c r="B65" s="2858"/>
      <c r="C65" s="1496">
        <v>200022</v>
      </c>
      <c r="D65" s="1497" t="str">
        <f>実績!C1419</f>
        <v>仙台発酵の里</v>
      </c>
      <c r="E65" s="1534" t="str">
        <f>SUBSTITUTE(VLOOKUP(D65,実績!$C$5:'実績'!$AC$1451,3,0),"株式会社 ","")</f>
        <v>大田</v>
      </c>
      <c r="F65" s="1503" t="str">
        <f>SUBSTITUTE(VLOOKUP(D65,実績!$C$5:'実績'!$AC$1451,2,0),"株式会社 ","")</f>
        <v>村上
ウット</v>
      </c>
      <c r="G65" s="1499" t="str">
        <f>SUBSTITUTE(VLOOKUP(D65,実績!$C$5:'実績'!$AC$1451,16,0),"株式会社 ","")</f>
        <v>山本建築設計事務所</v>
      </c>
      <c r="H65" s="1500" t="str">
        <f>VLOOKUP(D65,実績!$C$5:'実績'!$AC$1451,4,0)</f>
        <v>宮城県</v>
      </c>
      <c r="I65" s="1501" t="str">
        <f>VLOOKUP(D65,実績!$C$5:'実績'!$AC$1451,5,0)</f>
        <v>仙台市</v>
      </c>
      <c r="J65" s="1502" t="str">
        <f>VLOOKUP(D65,実績!$C$5:'実績'!$AC$1451,9,0)</f>
        <v>店舗</v>
      </c>
      <c r="K65" s="1503">
        <f>ROUND(VLOOKUP(D65,実績!$C$5:'実績'!$AC$1472,15,0),-1)</f>
        <v>6230</v>
      </c>
      <c r="L65" s="1504" t="str">
        <f>VLOOKUP(D65,実績!$C$5:'実績'!$BY$1451,40,0)</f>
        <v>-</v>
      </c>
      <c r="M65" s="1502" t="str">
        <f>VLOOKUP(D65,実績!$C$5:'実績'!$BY$1472,38,0)</f>
        <v>-</v>
      </c>
      <c r="N65" s="1502" t="str">
        <f>VLOOKUP(D65,実績!$C$5:'実績'!$BY$1472,37,0)</f>
        <v>-</v>
      </c>
      <c r="O65" s="1503" t="str">
        <f>VLOOKUP(D65,実績!$C$5:'実績'!$BY$1472,41,0)</f>
        <v>独立</v>
      </c>
      <c r="P65" s="1659"/>
      <c r="Q65" s="1660" t="s">
        <v>17431</v>
      </c>
      <c r="R65" s="1659"/>
      <c r="S65" s="1661"/>
      <c r="T65" s="1662"/>
      <c r="U65" s="1660"/>
      <c r="V65" s="1663"/>
      <c r="W65" s="1505"/>
      <c r="X65" s="1505"/>
      <c r="Y65" s="1506"/>
      <c r="Z65" s="1505"/>
      <c r="AA65" s="1506"/>
      <c r="AB65" s="1507"/>
      <c r="AC65" s="1505"/>
      <c r="AD65" s="1505"/>
      <c r="AE65" s="1506"/>
      <c r="AF65" s="1505"/>
      <c r="AG65" s="1506"/>
      <c r="AH65" s="1505"/>
      <c r="AI65" s="1508"/>
      <c r="AJ65" s="1505"/>
      <c r="AK65" s="1506"/>
      <c r="AL65" s="1505"/>
      <c r="AM65" s="1506"/>
      <c r="AN65" s="1507"/>
      <c r="AO65" s="1505"/>
      <c r="AP65" s="1505"/>
      <c r="AQ65" s="1506"/>
      <c r="AR65" s="1505"/>
      <c r="AS65" s="1506"/>
      <c r="AT65" s="1505"/>
      <c r="AU65" s="1509"/>
      <c r="AV65" s="1505"/>
      <c r="AW65" s="1506"/>
      <c r="AX65" s="1505"/>
      <c r="AY65" s="1506"/>
      <c r="AZ65" s="1507"/>
      <c r="BA65" s="1508"/>
      <c r="BB65" s="1505"/>
      <c r="BC65" s="1506"/>
      <c r="BD65" s="1505"/>
      <c r="BE65" s="1506"/>
      <c r="BF65" s="1507"/>
      <c r="BG65" s="1505"/>
      <c r="BH65" s="1505"/>
      <c r="BI65" s="1506"/>
      <c r="BJ65" s="1505"/>
      <c r="BK65" s="1506"/>
      <c r="BL65" s="1505"/>
      <c r="BM65" s="1508"/>
      <c r="BN65" s="1505"/>
      <c r="BO65" s="1506"/>
      <c r="BP65" s="1505"/>
      <c r="BQ65" s="1506"/>
      <c r="BR65" s="1507"/>
      <c r="BS65" s="1508"/>
      <c r="BT65" s="1505"/>
      <c r="BU65" s="1506"/>
      <c r="BV65" s="1510"/>
      <c r="BW65" s="1506"/>
      <c r="BX65" s="1507"/>
      <c r="BY65" s="1508"/>
      <c r="BZ65" s="1505"/>
      <c r="CA65" s="1506"/>
      <c r="CB65" s="1505"/>
      <c r="CC65" s="1506"/>
      <c r="CD65" s="1507"/>
      <c r="CE65" s="1508"/>
      <c r="CF65" s="1505"/>
      <c r="CG65" s="1506"/>
      <c r="CH65" s="1505"/>
      <c r="CI65" s="1506"/>
      <c r="CJ65" s="1507"/>
      <c r="CK65" s="1508"/>
      <c r="CL65" s="1505"/>
      <c r="CM65" s="1506"/>
      <c r="CN65" s="1505"/>
      <c r="CO65" s="1506"/>
      <c r="CP65" s="1507"/>
      <c r="CQ65" s="1508"/>
      <c r="CR65" s="1505"/>
      <c r="CS65" s="1506"/>
      <c r="CT65" s="1511"/>
      <c r="CU65" s="1506"/>
      <c r="CV65" s="1507"/>
      <c r="CW65" s="1508"/>
      <c r="CX65" s="1505"/>
      <c r="CY65" s="1506"/>
      <c r="CZ65" s="1505"/>
      <c r="DA65" s="1506"/>
      <c r="DB65" s="1507"/>
      <c r="DC65" s="1508"/>
      <c r="DD65" s="1505"/>
      <c r="DE65" s="1506"/>
      <c r="DF65" s="1505"/>
      <c r="DG65" s="1506"/>
      <c r="DH65" s="1507"/>
      <c r="DI65" s="1508"/>
      <c r="DJ65" s="1505"/>
      <c r="DK65" s="1506"/>
      <c r="DL65" s="1505"/>
      <c r="DM65" s="1506"/>
      <c r="DN65" s="1507"/>
      <c r="DO65" s="1508"/>
      <c r="DP65" s="1505"/>
      <c r="DQ65" s="1506"/>
      <c r="DR65" s="1505"/>
      <c r="DS65" s="1506"/>
      <c r="DT65" s="1507"/>
      <c r="DU65" s="1508"/>
      <c r="DV65" s="1505"/>
      <c r="DW65" s="1506"/>
      <c r="DX65" s="1505"/>
      <c r="DY65" s="1506"/>
      <c r="DZ65" s="1507"/>
      <c r="EA65" s="1508"/>
      <c r="EB65" s="1505"/>
      <c r="EC65" s="1506"/>
      <c r="ED65" s="1505"/>
      <c r="EE65" s="1506"/>
      <c r="EF65" s="1507"/>
      <c r="EG65" s="1508"/>
      <c r="EH65" s="1505"/>
      <c r="EI65" s="1506"/>
      <c r="EJ65" s="1505"/>
      <c r="EK65" s="1506"/>
      <c r="EL65" s="1507"/>
      <c r="EM65" s="1508"/>
      <c r="EN65" s="1505"/>
      <c r="EO65" s="1506"/>
      <c r="EP65" s="1505"/>
      <c r="EQ65" s="1506"/>
      <c r="ER65" s="1507"/>
      <c r="ES65" s="1508"/>
      <c r="ET65" s="1505"/>
      <c r="EU65" s="1506"/>
      <c r="EV65" s="1505"/>
      <c r="EW65" s="1506" t="s">
        <v>8575</v>
      </c>
      <c r="EX65" s="1507"/>
      <c r="EY65" s="1508"/>
      <c r="EZ65" s="1505"/>
      <c r="FA65" s="1506"/>
      <c r="FB65" s="1505"/>
      <c r="FC65" s="1506"/>
      <c r="FD65" s="1507"/>
      <c r="FE65" s="1508"/>
      <c r="FF65" s="1505"/>
      <c r="FG65" s="1506"/>
      <c r="FH65" s="1505"/>
      <c r="FI65" s="1506"/>
      <c r="FJ65" s="1507"/>
      <c r="FK65" s="1508"/>
      <c r="FL65" s="1505"/>
      <c r="FM65" s="1506"/>
      <c r="FN65" s="1505"/>
      <c r="FO65" s="1506"/>
      <c r="FP65" s="1507"/>
      <c r="FQ65" s="1508"/>
      <c r="FR65" s="1505"/>
      <c r="FS65" s="1506"/>
      <c r="FT65" s="1505"/>
      <c r="FU65" s="1506"/>
      <c r="FV65" s="1507"/>
      <c r="FW65" s="1508"/>
      <c r="FX65" s="1505"/>
      <c r="FY65" s="1506"/>
      <c r="FZ65" s="1505"/>
      <c r="GA65" s="1506"/>
      <c r="GB65" s="1512" t="s">
        <v>17432</v>
      </c>
      <c r="GC65" s="1508"/>
      <c r="GD65" s="1505"/>
      <c r="GE65" s="1506"/>
      <c r="GF65" s="1505"/>
      <c r="GG65" s="1506"/>
      <c r="GH65" s="1507"/>
    </row>
    <row r="66" spans="1:190" ht="20.100000000000001" customHeight="1">
      <c r="A66" s="2848"/>
      <c r="B66" s="2858"/>
      <c r="C66" s="1496">
        <v>190137</v>
      </c>
      <c r="D66" s="1497" t="str">
        <f>実績!C1394</f>
        <v>マルハン八王子</v>
      </c>
      <c r="E66" s="1534" t="str">
        <f>SUBSTITUTE(VLOOKUP(D66,実績!$C$5:'実績'!$AC$1451,3,0),"株式会社 ","")</f>
        <v>沖本</v>
      </c>
      <c r="F66" s="1503" t="str">
        <f>SUBSTITUTE(VLOOKUP(D66,実績!$C$5:'実績'!$AC$1451,2,0),"株式会社 ","")</f>
        <v>村上
ﾏｲｱｲﾝ</v>
      </c>
      <c r="G66" s="1499" t="str">
        <f>SUBSTITUTE(VLOOKUP(D66,実績!$C$5:'実績'!$AC$1451,16,0),"株式会社 ","")</f>
        <v>河野設計東京</v>
      </c>
      <c r="H66" s="1500" t="str">
        <f>VLOOKUP(D66,実績!$C$5:'実績'!$AC$1451,4,0)</f>
        <v>東京都</v>
      </c>
      <c r="I66" s="1501" t="str">
        <f>VLOOKUP(D66,実績!$C$5:'実績'!$AC$1451,5,0)</f>
        <v>八王子市</v>
      </c>
      <c r="J66" s="1502" t="str">
        <f>VLOOKUP(D66,実績!$C$5:'実績'!$AC$1451,9,0)</f>
        <v>店舗</v>
      </c>
      <c r="K66" s="1503">
        <f>ROUND(VLOOKUP(D66,実績!$C$5:'実績'!$AC$1472,15,0),-1)</f>
        <v>3400</v>
      </c>
      <c r="L66" s="1504" t="str">
        <f>VLOOKUP(D66,実績!$C$5:'実績'!$BY$1451,40,0)</f>
        <v>○</v>
      </c>
      <c r="M66" s="1502" t="str">
        <f>VLOOKUP(D66,実績!$C$5:'実績'!$BY$1472,38,0)</f>
        <v>-</v>
      </c>
      <c r="N66" s="1502" t="str">
        <f>VLOOKUP(D66,実績!$C$5:'実績'!$BY$1472,37,0)</f>
        <v>-</v>
      </c>
      <c r="O66" s="1503" t="str">
        <f>VLOOKUP(D66,実績!$C$5:'実績'!$BY$1472,41,0)</f>
        <v>独立</v>
      </c>
      <c r="P66" s="1659"/>
      <c r="Q66" s="1660" t="s">
        <v>17440</v>
      </c>
      <c r="R66" s="1659"/>
      <c r="S66" s="1661"/>
      <c r="T66" s="1662"/>
      <c r="U66" s="1660"/>
      <c r="V66" s="1663"/>
      <c r="W66" s="1505"/>
      <c r="X66" s="1505"/>
      <c r="Y66" s="1506"/>
      <c r="Z66" s="1505"/>
      <c r="AA66" s="1506"/>
      <c r="AB66" s="1507"/>
      <c r="AC66" s="1505"/>
      <c r="AD66" s="1505"/>
      <c r="AE66" s="1506"/>
      <c r="AF66" s="1505"/>
      <c r="AG66" s="1506"/>
      <c r="AH66" s="1505"/>
      <c r="AI66" s="1508"/>
      <c r="AJ66" s="1505"/>
      <c r="AK66" s="1506"/>
      <c r="AL66" s="1505"/>
      <c r="AM66" s="1506"/>
      <c r="AN66" s="1507"/>
      <c r="AO66" s="1505"/>
      <c r="AP66" s="1505"/>
      <c r="AQ66" s="1506"/>
      <c r="AR66" s="1505"/>
      <c r="AS66" s="1506"/>
      <c r="AT66" s="1505"/>
      <c r="AU66" s="1509"/>
      <c r="AV66" s="1505"/>
      <c r="AW66" s="1506"/>
      <c r="AX66" s="1505"/>
      <c r="AY66" s="1506"/>
      <c r="AZ66" s="1507"/>
      <c r="BA66" s="1508"/>
      <c r="BB66" s="1505"/>
      <c r="BC66" s="1506"/>
      <c r="BD66" s="1505"/>
      <c r="BE66" s="1506"/>
      <c r="BF66" s="1507"/>
      <c r="BG66" s="1505"/>
      <c r="BH66" s="1505"/>
      <c r="BI66" s="1506"/>
      <c r="BJ66" s="1505"/>
      <c r="BK66" s="1506"/>
      <c r="BL66" s="1505"/>
      <c r="BM66" s="1508"/>
      <c r="BN66" s="1505"/>
      <c r="BO66" s="1506"/>
      <c r="BP66" s="1505"/>
      <c r="BQ66" s="1506"/>
      <c r="BR66" s="1507"/>
      <c r="BS66" s="1508"/>
      <c r="BT66" s="1505"/>
      <c r="BU66" s="1506"/>
      <c r="BV66" s="1510"/>
      <c r="BW66" s="1506"/>
      <c r="BX66" s="1507"/>
      <c r="BY66" s="1508"/>
      <c r="BZ66" s="1505"/>
      <c r="CA66" s="1506"/>
      <c r="CB66" s="1505"/>
      <c r="CC66" s="1506"/>
      <c r="CD66" s="1507"/>
      <c r="CE66" s="1508"/>
      <c r="CF66" s="1505"/>
      <c r="CG66" s="1506"/>
      <c r="CH66" s="1505"/>
      <c r="CI66" s="1506"/>
      <c r="CJ66" s="1507"/>
      <c r="CK66" s="1508"/>
      <c r="CL66" s="1505"/>
      <c r="CM66" s="1506"/>
      <c r="CN66" s="1505"/>
      <c r="CO66" s="1506"/>
      <c r="CP66" s="1507"/>
      <c r="CQ66" s="1508"/>
      <c r="CR66" s="1505"/>
      <c r="CS66" s="1506"/>
      <c r="CT66" s="1511"/>
      <c r="CU66" s="1506"/>
      <c r="CV66" s="1507"/>
      <c r="CW66" s="1508"/>
      <c r="CX66" s="1505"/>
      <c r="CY66" s="1506"/>
      <c r="CZ66" s="1505"/>
      <c r="DA66" s="1506"/>
      <c r="DB66" s="1507"/>
      <c r="DC66" s="1508"/>
      <c r="DD66" s="1505"/>
      <c r="DE66" s="1506"/>
      <c r="DF66" s="1505"/>
      <c r="DG66" s="1506"/>
      <c r="DH66" s="1507"/>
      <c r="DI66" s="1508"/>
      <c r="DJ66" s="1505"/>
      <c r="DK66" s="1506"/>
      <c r="DL66" s="1505"/>
      <c r="DM66" s="1506"/>
      <c r="DN66" s="1507"/>
      <c r="DO66" s="1508"/>
      <c r="DP66" s="1505"/>
      <c r="DQ66" s="1506"/>
      <c r="DR66" s="1505"/>
      <c r="DS66" s="1506"/>
      <c r="DT66" s="1507"/>
      <c r="DU66" s="1508"/>
      <c r="DV66" s="1505"/>
      <c r="DW66" s="1506"/>
      <c r="DX66" s="1505"/>
      <c r="DY66" s="1506"/>
      <c r="DZ66" s="1507"/>
      <c r="EA66" s="1508"/>
      <c r="EB66" s="1505"/>
      <c r="EC66" s="1506"/>
      <c r="ED66" s="1505"/>
      <c r="EE66" s="1506"/>
      <c r="EF66" s="1507"/>
      <c r="EG66" s="1508"/>
      <c r="EH66" s="1510"/>
      <c r="EI66" s="1506"/>
      <c r="EJ66" s="1505"/>
      <c r="EK66" s="1506"/>
      <c r="EL66" s="1507"/>
      <c r="EM66" s="1508"/>
      <c r="EN66" s="1505"/>
      <c r="EO66" s="1506"/>
      <c r="EP66" s="1505" t="s">
        <v>8644</v>
      </c>
      <c r="EQ66" s="1506"/>
      <c r="ER66" s="1507"/>
      <c r="ES66" s="1508"/>
      <c r="ET66" s="1510"/>
      <c r="EU66" s="1506"/>
      <c r="EV66" s="1505" t="s">
        <v>8424</v>
      </c>
      <c r="EW66" s="1506"/>
      <c r="EX66" s="1507"/>
      <c r="EY66" s="1508"/>
      <c r="EZ66" s="1505"/>
      <c r="FA66" s="1506"/>
      <c r="FB66" s="1505"/>
      <c r="FC66" s="1506"/>
      <c r="FD66" s="1507"/>
      <c r="FE66" s="1508"/>
      <c r="FF66" s="1505"/>
      <c r="FG66" s="1506"/>
      <c r="FH66" s="1505" t="s">
        <v>8145</v>
      </c>
      <c r="FI66" s="1506"/>
      <c r="FJ66" s="1507"/>
      <c r="FK66" s="1508"/>
      <c r="FL66" s="1505"/>
      <c r="FM66" s="1506"/>
      <c r="FN66" s="1505"/>
      <c r="FO66" s="1506"/>
      <c r="FP66" s="1507"/>
      <c r="FQ66" s="1508"/>
      <c r="FR66" s="1505"/>
      <c r="FS66" s="1506"/>
      <c r="FT66" s="1505"/>
      <c r="FU66" s="1506"/>
      <c r="FV66" s="1507"/>
      <c r="FW66" s="1508"/>
      <c r="FX66" s="1505"/>
      <c r="FY66" s="1506"/>
      <c r="FZ66" s="1505"/>
      <c r="GA66" s="1506"/>
      <c r="GB66" s="1507"/>
      <c r="GC66" s="1508"/>
      <c r="GD66" s="1505"/>
      <c r="GE66" s="1506"/>
      <c r="GF66" s="1505"/>
      <c r="GG66" s="1506"/>
      <c r="GH66" s="1507"/>
    </row>
    <row r="67" spans="1:190" ht="20.100000000000001" customHeight="1">
      <c r="A67" s="2848"/>
      <c r="B67" s="2858"/>
      <c r="C67" s="1496">
        <v>200018</v>
      </c>
      <c r="D67" s="1497" t="str">
        <f>実績!C1415</f>
        <v>吐前(ハンザキ)計画</v>
      </c>
      <c r="E67" s="1534" t="str">
        <f>SUBSTITUTE(VLOOKUP(D67,実績!$C$5:'実績'!$AC$1451,3,0),"株式会社 ","")</f>
        <v>石渡</v>
      </c>
      <c r="F67" s="1503" t="str">
        <f>SUBSTITUTE(VLOOKUP(D67,実績!$C$5:'実績'!$AC$1451,2,0),"株式会社 ","")</f>
        <v>村上
ウット</v>
      </c>
      <c r="G67" s="1499" t="str">
        <f>SUBSTITUTE(VLOOKUP(D67,実績!$C$5:'実績'!$AC$1451,16,0)," 株式会社","")</f>
        <v>三原設計</v>
      </c>
      <c r="H67" s="1500" t="str">
        <f>VLOOKUP(D67,実績!$C$5:'実績'!$AC$1451,4,0)</f>
        <v>和歌山県</v>
      </c>
      <c r="I67" s="1501" t="str">
        <f>VLOOKUP(D67,実績!$C$5:'実績'!$AC$1451,5,0)</f>
        <v>和歌山市</v>
      </c>
      <c r="J67" s="1502" t="str">
        <f>VLOOKUP(D67,実績!$C$5:'実績'!$AC$1451,9,0)</f>
        <v>倉庫</v>
      </c>
      <c r="K67" s="1503">
        <f>ROUND(VLOOKUP(D67,実績!$C$5:'実績'!$AC$1472,15,0),-1)</f>
        <v>0</v>
      </c>
      <c r="L67" s="1504" t="str">
        <f>VLOOKUP(D67,実績!$C$5:'実績'!$BY$1451,40,0)</f>
        <v>○</v>
      </c>
      <c r="M67" s="1502" t="str">
        <f>VLOOKUP(D67,実績!$C$5:'実績'!$BY$1472,38,0)</f>
        <v>-</v>
      </c>
      <c r="N67" s="1502" t="str">
        <f>VLOOKUP(D67,実績!$C$5:'実績'!$BY$1472,37,0)</f>
        <v>-</v>
      </c>
      <c r="O67" s="1503" t="str">
        <f>VLOOKUP(D67,実績!$C$5:'実績'!$BY$1472,41,0)</f>
        <v>独立</v>
      </c>
      <c r="P67" s="1659"/>
      <c r="Q67" s="1660" t="s">
        <v>17436</v>
      </c>
      <c r="R67" s="1659"/>
      <c r="S67" s="1661"/>
      <c r="T67" s="1662"/>
      <c r="U67" s="1660"/>
      <c r="V67" s="1663"/>
      <c r="W67" s="1505"/>
      <c r="X67" s="1505"/>
      <c r="Y67" s="1506"/>
      <c r="Z67" s="1505"/>
      <c r="AA67" s="1506"/>
      <c r="AB67" s="1507"/>
      <c r="AC67" s="1505"/>
      <c r="AD67" s="1505"/>
      <c r="AE67" s="1506"/>
      <c r="AF67" s="1505"/>
      <c r="AG67" s="1506"/>
      <c r="AH67" s="1505"/>
      <c r="AI67" s="1508"/>
      <c r="AJ67" s="1505"/>
      <c r="AK67" s="1506"/>
      <c r="AL67" s="1505"/>
      <c r="AM67" s="1506"/>
      <c r="AN67" s="1507"/>
      <c r="AO67" s="1505"/>
      <c r="AP67" s="1505"/>
      <c r="AQ67" s="1506"/>
      <c r="AR67" s="1505"/>
      <c r="AS67" s="1506"/>
      <c r="AT67" s="1505"/>
      <c r="AU67" s="1509"/>
      <c r="AV67" s="1505"/>
      <c r="AW67" s="1506"/>
      <c r="AX67" s="1505"/>
      <c r="AY67" s="1506"/>
      <c r="AZ67" s="1507"/>
      <c r="BA67" s="1508"/>
      <c r="BB67" s="1505"/>
      <c r="BC67" s="1506"/>
      <c r="BD67" s="1505"/>
      <c r="BE67" s="1506"/>
      <c r="BF67" s="1507"/>
      <c r="BG67" s="1505"/>
      <c r="BH67" s="1505"/>
      <c r="BI67" s="1506"/>
      <c r="BJ67" s="1505"/>
      <c r="BK67" s="1506"/>
      <c r="BL67" s="1505"/>
      <c r="BM67" s="1508"/>
      <c r="BN67" s="1505"/>
      <c r="BO67" s="1506"/>
      <c r="BP67" s="1505"/>
      <c r="BQ67" s="1506"/>
      <c r="BR67" s="1507"/>
      <c r="BS67" s="1508"/>
      <c r="BT67" s="1505"/>
      <c r="BU67" s="1506"/>
      <c r="BV67" s="1510"/>
      <c r="BW67" s="1506"/>
      <c r="BX67" s="1507"/>
      <c r="BY67" s="1508"/>
      <c r="BZ67" s="1505"/>
      <c r="CA67" s="1506"/>
      <c r="CB67" s="1505"/>
      <c r="CC67" s="1506"/>
      <c r="CD67" s="1507"/>
      <c r="CE67" s="1508"/>
      <c r="CF67" s="1505"/>
      <c r="CG67" s="1506"/>
      <c r="CH67" s="1505"/>
      <c r="CI67" s="1506"/>
      <c r="CJ67" s="1507"/>
      <c r="CK67" s="1508"/>
      <c r="CL67" s="1505"/>
      <c r="CM67" s="1506"/>
      <c r="CN67" s="1505"/>
      <c r="CO67" s="1506"/>
      <c r="CP67" s="1507"/>
      <c r="CQ67" s="1508"/>
      <c r="CR67" s="1505"/>
      <c r="CS67" s="1506"/>
      <c r="CT67" s="1511"/>
      <c r="CU67" s="1506"/>
      <c r="CV67" s="1507"/>
      <c r="CW67" s="1508"/>
      <c r="CX67" s="1505"/>
      <c r="CY67" s="1506"/>
      <c r="CZ67" s="1505"/>
      <c r="DA67" s="1506"/>
      <c r="DB67" s="1507"/>
      <c r="DC67" s="1508"/>
      <c r="DD67" s="1505"/>
      <c r="DE67" s="1506"/>
      <c r="DF67" s="1505"/>
      <c r="DG67" s="1506"/>
      <c r="DH67" s="1507"/>
      <c r="DI67" s="1508"/>
      <c r="DJ67" s="1505"/>
      <c r="DK67" s="1506"/>
      <c r="DL67" s="1505"/>
      <c r="DM67" s="1506"/>
      <c r="DN67" s="1507"/>
      <c r="DO67" s="1508"/>
      <c r="DP67" s="1505"/>
      <c r="DQ67" s="1506"/>
      <c r="DR67" s="1505"/>
      <c r="DS67" s="1506"/>
      <c r="DT67" s="1507"/>
      <c r="DU67" s="1508"/>
      <c r="DV67" s="1505"/>
      <c r="DW67" s="1506"/>
      <c r="DX67" s="1505"/>
      <c r="DY67" s="1506"/>
      <c r="DZ67" s="1507"/>
      <c r="EA67" s="1508"/>
      <c r="EB67" s="1505"/>
      <c r="EC67" s="1506"/>
      <c r="ED67" s="1505"/>
      <c r="EE67" s="1506"/>
      <c r="EF67" s="1507"/>
      <c r="EG67" s="1508"/>
      <c r="EH67" s="1505"/>
      <c r="EI67" s="1506"/>
      <c r="EJ67" s="1505"/>
      <c r="EK67" s="1506"/>
      <c r="EL67" s="1507"/>
      <c r="EM67" s="1508"/>
      <c r="EN67" s="1505"/>
      <c r="EO67" s="1506"/>
      <c r="EP67" s="1505"/>
      <c r="EQ67" s="1506"/>
      <c r="ER67" s="1507"/>
      <c r="ES67" s="1508"/>
      <c r="ET67" s="1510"/>
      <c r="EU67" s="1506"/>
      <c r="EV67" s="1505"/>
      <c r="EW67" s="1506"/>
      <c r="EX67" s="1507"/>
      <c r="EY67" s="1508"/>
      <c r="EZ67" s="1505"/>
      <c r="FA67" s="1506"/>
      <c r="FB67" s="1505"/>
      <c r="FC67" s="1506"/>
      <c r="FD67" s="1507"/>
      <c r="FE67" s="1508"/>
      <c r="FF67" s="1505"/>
      <c r="FG67" s="1506"/>
      <c r="FH67" s="1505"/>
      <c r="FI67" s="1506"/>
      <c r="FJ67" s="1507"/>
      <c r="FK67" s="1508"/>
      <c r="FL67" s="1505"/>
      <c r="FM67" s="1506"/>
      <c r="FN67" s="1505"/>
      <c r="FO67" s="1506"/>
      <c r="FP67" s="1507"/>
      <c r="FQ67" s="1508" t="s">
        <v>8145</v>
      </c>
      <c r="FR67" s="1505"/>
      <c r="FS67" s="1506"/>
      <c r="FT67" s="1505"/>
      <c r="FU67" s="1506"/>
      <c r="FV67" s="1507"/>
      <c r="FW67" s="1508"/>
      <c r="FX67" s="1505"/>
      <c r="FY67" s="1506"/>
      <c r="FZ67" s="1505"/>
      <c r="GA67" s="1506"/>
      <c r="GB67" s="1507"/>
      <c r="GC67" s="1508"/>
      <c r="GD67" s="1505"/>
      <c r="GE67" s="1506"/>
      <c r="GF67" s="1505"/>
      <c r="GG67" s="1506"/>
      <c r="GH67" s="1507"/>
    </row>
    <row r="68" spans="1:190" ht="20.100000000000001" customHeight="1" thickBot="1">
      <c r="A68" s="2849"/>
      <c r="B68" s="2859"/>
      <c r="C68" s="1537">
        <v>190132</v>
      </c>
      <c r="D68" s="1538" t="str">
        <f>実績!C1389</f>
        <v>広島西ＳＣ</v>
      </c>
      <c r="E68" s="1515" t="str">
        <f>SUBSTITUTE(VLOOKUP(D68,実績!$C$5:'実績'!$AC$1451,3,0),"株式会社 ","")</f>
        <v>新井</v>
      </c>
      <c r="F68" s="1463" t="str">
        <f>SUBSTITUTE(VLOOKUP(D68,実績!$C$5:'実績'!$AC$1451,2,0),"株式会社 ","")</f>
        <v>近藤
ホア</v>
      </c>
      <c r="G68" s="1539" t="str">
        <f>SUBSTITUTE(VLOOKUP(D68,実績!$C$5:'実績'!$AC$1451,26,0),"株式会社 ","")</f>
        <v>増岡組</v>
      </c>
      <c r="H68" s="1460" t="str">
        <f>VLOOKUP(D68,実績!$C$5:'実績'!$AC$1451,4,0)</f>
        <v>広島県</v>
      </c>
      <c r="I68" s="1461" t="str">
        <f>VLOOKUP(D68,実績!$C$5:'実績'!$AC$1451,5,0)</f>
        <v>広島市</v>
      </c>
      <c r="J68" s="1462" t="str">
        <f>VLOOKUP(D68,実績!$C$5:'実績'!$AC$1451,9,0)</f>
        <v>倉庫</v>
      </c>
      <c r="K68" s="1463">
        <f>ROUND(VLOOKUP(D68,実績!$C$5:'実績'!$AC$1472,15,0),-1)</f>
        <v>630</v>
      </c>
      <c r="L68" s="1464" t="str">
        <f>VLOOKUP(D68,実績!$C$5:'実績'!$BY$1451,40,0)</f>
        <v>-</v>
      </c>
      <c r="M68" s="1462" t="str">
        <f>VLOOKUP(D68,実績!$C$5:'実績'!$BY$1472,38,0)</f>
        <v>-</v>
      </c>
      <c r="N68" s="1462" t="str">
        <f>VLOOKUP(D68,実績!$C$5:'実績'!$BY$1472,37,0)</f>
        <v>-</v>
      </c>
      <c r="O68" s="1463" t="str">
        <f>VLOOKUP(D68,実績!$C$5:'実績'!$BY$1472,41,0)</f>
        <v>独立</v>
      </c>
      <c r="P68" s="1672"/>
      <c r="Q68" s="1673" t="s">
        <v>17441</v>
      </c>
      <c r="R68" s="1672"/>
      <c r="S68" s="1687"/>
      <c r="T68" s="1688"/>
      <c r="U68" s="1673"/>
      <c r="V68" s="1689"/>
      <c r="W68" s="1465"/>
      <c r="X68" s="1465"/>
      <c r="Y68" s="1468"/>
      <c r="Z68" s="1465"/>
      <c r="AA68" s="1468"/>
      <c r="AB68" s="1469"/>
      <c r="AC68" s="1465"/>
      <c r="AD68" s="1465"/>
      <c r="AE68" s="1468"/>
      <c r="AF68" s="1465"/>
      <c r="AG68" s="1468"/>
      <c r="AH68" s="1465"/>
      <c r="AI68" s="1467"/>
      <c r="AJ68" s="1465"/>
      <c r="AK68" s="1468"/>
      <c r="AL68" s="1465"/>
      <c r="AM68" s="1468"/>
      <c r="AN68" s="1469"/>
      <c r="AO68" s="1465"/>
      <c r="AP68" s="1465"/>
      <c r="AQ68" s="1468"/>
      <c r="AR68" s="1465"/>
      <c r="AS68" s="1468"/>
      <c r="AT68" s="1465"/>
      <c r="AU68" s="1540"/>
      <c r="AV68" s="1465"/>
      <c r="AW68" s="1468"/>
      <c r="AX68" s="1465"/>
      <c r="AY68" s="1468"/>
      <c r="AZ68" s="1469"/>
      <c r="BA68" s="1467"/>
      <c r="BB68" s="1465"/>
      <c r="BC68" s="1468"/>
      <c r="BD68" s="1465"/>
      <c r="BE68" s="1468"/>
      <c r="BF68" s="1469"/>
      <c r="BG68" s="1465"/>
      <c r="BH68" s="1465"/>
      <c r="BI68" s="1468"/>
      <c r="BJ68" s="1465"/>
      <c r="BK68" s="1468"/>
      <c r="BL68" s="1465"/>
      <c r="BM68" s="1467"/>
      <c r="BN68" s="1465"/>
      <c r="BO68" s="1468"/>
      <c r="BP68" s="1465"/>
      <c r="BQ68" s="1468"/>
      <c r="BR68" s="1469"/>
      <c r="BS68" s="1467"/>
      <c r="BT68" s="1465"/>
      <c r="BU68" s="1468"/>
      <c r="BV68" s="1541"/>
      <c r="BW68" s="1468"/>
      <c r="BX68" s="1469"/>
      <c r="BY68" s="1467"/>
      <c r="BZ68" s="1465"/>
      <c r="CA68" s="1468"/>
      <c r="CB68" s="1465"/>
      <c r="CC68" s="1468"/>
      <c r="CD68" s="1469"/>
      <c r="CE68" s="1467"/>
      <c r="CF68" s="1465"/>
      <c r="CG68" s="1468"/>
      <c r="CH68" s="1465"/>
      <c r="CI68" s="1468"/>
      <c r="CJ68" s="1469"/>
      <c r="CK68" s="1467"/>
      <c r="CL68" s="1465"/>
      <c r="CM68" s="1468"/>
      <c r="CN68" s="1465"/>
      <c r="CO68" s="1468"/>
      <c r="CP68" s="1469"/>
      <c r="CQ68" s="1467"/>
      <c r="CR68" s="1465"/>
      <c r="CS68" s="1468"/>
      <c r="CT68" s="1466"/>
      <c r="CU68" s="1468"/>
      <c r="CV68" s="1469"/>
      <c r="CW68" s="1467"/>
      <c r="CX68" s="1465"/>
      <c r="CY68" s="1468"/>
      <c r="CZ68" s="1465"/>
      <c r="DA68" s="1468"/>
      <c r="DB68" s="1469"/>
      <c r="DC68" s="1467"/>
      <c r="DD68" s="1465"/>
      <c r="DE68" s="1468"/>
      <c r="DF68" s="1465"/>
      <c r="DG68" s="1468"/>
      <c r="DH68" s="1469"/>
      <c r="DI68" s="1467"/>
      <c r="DJ68" s="1465"/>
      <c r="DK68" s="1468"/>
      <c r="DL68" s="1465"/>
      <c r="DM68" s="1468"/>
      <c r="DN68" s="1469"/>
      <c r="DO68" s="1467"/>
      <c r="DP68" s="1465"/>
      <c r="DQ68" s="1468"/>
      <c r="DR68" s="1465"/>
      <c r="DS68" s="1468"/>
      <c r="DT68" s="1469"/>
      <c r="DU68" s="1467"/>
      <c r="DV68" s="1465"/>
      <c r="DW68" s="1468"/>
      <c r="DX68" s="1465"/>
      <c r="DY68" s="1468"/>
      <c r="DZ68" s="1469"/>
      <c r="EA68" s="1467"/>
      <c r="EB68" s="1465"/>
      <c r="EC68" s="1468"/>
      <c r="ED68" s="1465"/>
      <c r="EE68" s="1468"/>
      <c r="EF68" s="1469"/>
      <c r="EG68" s="1467"/>
      <c r="EH68" s="1465"/>
      <c r="EI68" s="1468"/>
      <c r="EJ68" s="1465"/>
      <c r="EK68" s="1468"/>
      <c r="EL68" s="1597" t="s">
        <v>13928</v>
      </c>
      <c r="EM68" s="1467"/>
      <c r="EN68" s="1465"/>
      <c r="EO68" s="1468"/>
      <c r="EP68" s="1465"/>
      <c r="EQ68" s="1468"/>
      <c r="ER68" s="1470"/>
      <c r="ES68" s="1467"/>
      <c r="ET68" s="1541"/>
      <c r="EU68" s="1468"/>
      <c r="EV68" s="1465"/>
      <c r="EW68" s="1468"/>
      <c r="EX68" s="1469"/>
      <c r="EY68" s="1467"/>
      <c r="EZ68" s="1465"/>
      <c r="FA68" s="1468"/>
      <c r="FB68" s="1465"/>
      <c r="FC68" s="1468"/>
      <c r="FD68" s="1469"/>
      <c r="FE68" s="1467"/>
      <c r="FF68" s="1465"/>
      <c r="FG68" s="1468"/>
      <c r="FH68" s="1465"/>
      <c r="FI68" s="1468"/>
      <c r="FJ68" s="1469"/>
      <c r="FK68" s="1467"/>
      <c r="FL68" s="1465"/>
      <c r="FM68" s="1468"/>
      <c r="FN68" s="1465"/>
      <c r="FO68" s="1468"/>
      <c r="FP68" s="1470"/>
      <c r="FQ68" s="1467"/>
      <c r="FR68" s="1465"/>
      <c r="FS68" s="1468"/>
      <c r="FT68" s="1465" t="s">
        <v>8145</v>
      </c>
      <c r="FU68" s="1468"/>
      <c r="FV68" s="1470"/>
      <c r="FW68" s="1467"/>
      <c r="FX68" s="1465"/>
      <c r="FY68" s="1468"/>
      <c r="FZ68" s="1465"/>
      <c r="GA68" s="1468"/>
      <c r="GB68" s="1470"/>
      <c r="GC68" s="1467"/>
      <c r="GD68" s="1465"/>
      <c r="GE68" s="1468"/>
      <c r="GF68" s="1465"/>
      <c r="GG68" s="1468"/>
      <c r="GH68" s="1470"/>
    </row>
    <row r="69" spans="1:190" ht="20.100000000000001" customHeight="1" thickBot="1">
      <c r="A69" s="2854" t="s">
        <v>17464</v>
      </c>
      <c r="B69" s="1439" t="s">
        <v>15707</v>
      </c>
      <c r="C69" s="1371"/>
      <c r="D69" s="1372" t="str">
        <f>実績!C1453</f>
        <v>BMW米子</v>
      </c>
      <c r="E69" s="1440" t="str">
        <f>SUBSTITUTE(VLOOKUP(D69,実績!$C$5:'実績'!$AC$1471,3,0),"株式会社 ","")</f>
        <v>沖本</v>
      </c>
      <c r="F69" s="1373" t="str">
        <f>SUBSTITUTE(VLOOKUP(D69,実績!$C$5:'実績'!$AC$1471,2,0),"株式会社 ","")</f>
        <v/>
      </c>
      <c r="G69" s="1441" t="str">
        <f>SUBSTITUTE(VLOOKUP(D69,実績!$C$5:'実績'!$AC$1472,26,0),"株式会社 ","")</f>
        <v>カーダクレッセ</v>
      </c>
      <c r="H69" s="1375" t="str">
        <f>VLOOKUP(D69,実績!$C$5:'実績'!$AC$1472,4,0)</f>
        <v>鳥取県</v>
      </c>
      <c r="I69" s="1376" t="str">
        <f>VLOOKUP(D69,実績!$C$5:'実績'!$AC$1472,5,0)</f>
        <v>米子市</v>
      </c>
      <c r="J69" s="1377">
        <f>VLOOKUP(D69,実績!$C$5:'実績'!$AC$1472,9,0)</f>
        <v>0</v>
      </c>
      <c r="K69" s="1373">
        <f>ROUND(VLOOKUP(D69,実績!$C$5:'実績'!$AC$1472,15,0),-1)</f>
        <v>0</v>
      </c>
      <c r="L69" s="1378">
        <f>VLOOKUP(D69,実績!$C$5:'実績'!$BY$1472,40,0)</f>
        <v>0</v>
      </c>
      <c r="M69" s="1377">
        <f>VLOOKUP(D69,実績!$C$5:'実績'!$BY$1472,38,0)</f>
        <v>0</v>
      </c>
      <c r="N69" s="1377" t="str">
        <f>VLOOKUP(D69,実績!$C$5:'実績'!$BY$1472,37,0)</f>
        <v>-</v>
      </c>
      <c r="O69" s="1373" t="str">
        <f>VLOOKUP(D69,実績!$C$5:'実績'!$BY$1472,41,0)</f>
        <v>独立</v>
      </c>
      <c r="P69" s="1732"/>
      <c r="Q69" s="1733"/>
      <c r="R69" s="1732"/>
      <c r="S69" s="1734"/>
      <c r="T69" s="1735"/>
      <c r="U69" s="1736"/>
      <c r="V69" s="1737"/>
      <c r="W69" s="1374"/>
      <c r="X69" s="1374"/>
      <c r="Y69" s="1379"/>
      <c r="Z69" s="1374"/>
      <c r="AA69" s="1379"/>
      <c r="AB69" s="1442"/>
      <c r="AC69" s="1374"/>
      <c r="AD69" s="1374"/>
      <c r="AE69" s="1379"/>
      <c r="AF69" s="1374"/>
      <c r="AG69" s="1379"/>
      <c r="AH69" s="1374"/>
      <c r="AI69" s="1381"/>
      <c r="AJ69" s="1374"/>
      <c r="AK69" s="1379"/>
      <c r="AL69" s="1374"/>
      <c r="AM69" s="1379"/>
      <c r="AN69" s="1442"/>
      <c r="AO69" s="1374"/>
      <c r="AP69" s="1374"/>
      <c r="AQ69" s="1379"/>
      <c r="AR69" s="1374"/>
      <c r="AS69" s="1379"/>
      <c r="AT69" s="1374"/>
      <c r="AU69" s="1443"/>
      <c r="AV69" s="1374"/>
      <c r="AW69" s="1379"/>
      <c r="AX69" s="1374"/>
      <c r="AY69" s="1379"/>
      <c r="AZ69" s="1442"/>
      <c r="BA69" s="1381"/>
      <c r="BB69" s="1374"/>
      <c r="BC69" s="1379"/>
      <c r="BD69" s="1374"/>
      <c r="BE69" s="1379"/>
      <c r="BF69" s="1442"/>
      <c r="BG69" s="1374"/>
      <c r="BH69" s="1374"/>
      <c r="BI69" s="1379"/>
      <c r="BJ69" s="1374"/>
      <c r="BK69" s="1379"/>
      <c r="BL69" s="1374"/>
      <c r="BM69" s="1381"/>
      <c r="BN69" s="1374"/>
      <c r="BO69" s="1379"/>
      <c r="BP69" s="1374"/>
      <c r="BQ69" s="1379"/>
      <c r="BR69" s="1442"/>
      <c r="BS69" s="1381"/>
      <c r="BT69" s="1374"/>
      <c r="BU69" s="1379"/>
      <c r="BV69" s="1444"/>
      <c r="BW69" s="1379"/>
      <c r="BX69" s="1442"/>
      <c r="BY69" s="1381"/>
      <c r="BZ69" s="1374"/>
      <c r="CA69" s="1379"/>
      <c r="CB69" s="1374"/>
      <c r="CC69" s="1379"/>
      <c r="CD69" s="1442"/>
      <c r="CE69" s="1381"/>
      <c r="CF69" s="1374"/>
      <c r="CG69" s="1379"/>
      <c r="CH69" s="1374"/>
      <c r="CI69" s="1379"/>
      <c r="CJ69" s="1442"/>
      <c r="CK69" s="1381"/>
      <c r="CL69" s="1374"/>
      <c r="CM69" s="1379"/>
      <c r="CN69" s="1374"/>
      <c r="CO69" s="1379"/>
      <c r="CP69" s="1442"/>
      <c r="CQ69" s="1381"/>
      <c r="CR69" s="1374"/>
      <c r="CS69" s="1379"/>
      <c r="CT69" s="1445"/>
      <c r="CU69" s="1379"/>
      <c r="CV69" s="1442"/>
      <c r="CW69" s="1381"/>
      <c r="CX69" s="1374"/>
      <c r="CY69" s="1379"/>
      <c r="CZ69" s="1374"/>
      <c r="DA69" s="1379"/>
      <c r="DB69" s="1442"/>
      <c r="DC69" s="1381"/>
      <c r="DD69" s="1374"/>
      <c r="DE69" s="1379"/>
      <c r="DF69" s="1374"/>
      <c r="DG69" s="1379"/>
      <c r="DH69" s="1442"/>
      <c r="DI69" s="1381"/>
      <c r="DJ69" s="1374"/>
      <c r="DK69" s="1379"/>
      <c r="DL69" s="1374"/>
      <c r="DM69" s="1379"/>
      <c r="DN69" s="1442"/>
      <c r="DO69" s="1381"/>
      <c r="DP69" s="1374"/>
      <c r="DQ69" s="1379"/>
      <c r="DR69" s="1374"/>
      <c r="DS69" s="1379"/>
      <c r="DT69" s="1442"/>
      <c r="DU69" s="1381"/>
      <c r="DV69" s="1374"/>
      <c r="DW69" s="1379"/>
      <c r="DX69" s="1374"/>
      <c r="DY69" s="1379"/>
      <c r="DZ69" s="1442"/>
      <c r="EA69" s="1381"/>
      <c r="EB69" s="1374"/>
      <c r="EC69" s="1379"/>
      <c r="ED69" s="1374"/>
      <c r="EE69" s="1379"/>
      <c r="EF69" s="1442"/>
      <c r="EG69" s="1381"/>
      <c r="EH69" s="1374"/>
      <c r="EI69" s="1379"/>
      <c r="EJ69" s="1374"/>
      <c r="EK69" s="1379"/>
      <c r="EL69" s="1442"/>
      <c r="EM69" s="1381"/>
      <c r="EN69" s="1374"/>
      <c r="EO69" s="1379"/>
      <c r="EP69" s="1374"/>
      <c r="EQ69" s="1379"/>
      <c r="ER69" s="1442"/>
      <c r="ES69" s="1381"/>
      <c r="ET69" s="1374"/>
      <c r="EU69" s="1379"/>
      <c r="EV69" s="1374"/>
      <c r="EW69" s="1379"/>
      <c r="EX69" s="1380"/>
      <c r="EY69" s="1381"/>
      <c r="EZ69" s="1374"/>
      <c r="FA69" s="1379"/>
      <c r="FB69" s="1374"/>
      <c r="FC69" s="1379"/>
      <c r="FD69" s="1380"/>
      <c r="FE69" s="1381"/>
      <c r="FF69" s="1374"/>
      <c r="FG69" s="1379"/>
      <c r="FH69" s="1374"/>
      <c r="FI69" s="1379"/>
      <c r="FJ69" s="1380"/>
      <c r="FK69" s="1381"/>
      <c r="FL69" s="1374"/>
      <c r="FM69" s="1379"/>
      <c r="FN69" s="1374"/>
      <c r="FO69" s="1379"/>
      <c r="FP69" s="1380"/>
      <c r="FQ69" s="1381"/>
      <c r="FR69" s="1374"/>
      <c r="FS69" s="1379"/>
      <c r="FT69" s="1374"/>
      <c r="FU69" s="1379"/>
      <c r="FV69" s="1380"/>
      <c r="FW69" s="1381"/>
      <c r="FX69" s="1374"/>
      <c r="FY69" s="1379"/>
      <c r="FZ69" s="1374"/>
      <c r="GA69" s="1379"/>
      <c r="GB69" s="1380"/>
      <c r="GC69" s="1381"/>
      <c r="GD69" s="1374"/>
      <c r="GE69" s="1379"/>
      <c r="GF69" s="1374"/>
      <c r="GG69" s="1379"/>
      <c r="GH69" s="1380"/>
    </row>
    <row r="70" spans="1:190" ht="20.100000000000001" customHeight="1">
      <c r="A70" s="2855"/>
      <c r="B70" s="2814" t="s">
        <v>15424</v>
      </c>
      <c r="C70" s="1397"/>
      <c r="D70" s="1398" t="str">
        <f>実績!C1473</f>
        <v>BMW宝塚</v>
      </c>
      <c r="E70" s="1399" t="e">
        <f>SUBSTITUTE(VLOOKUP(D70,実績!$C$5:'実績'!$AC$1471,3,0),"株式会社 ","")</f>
        <v>#N/A</v>
      </c>
      <c r="F70" s="1400" t="e">
        <f>SUBSTITUTE(VLOOKUP(D70,実績!$C$5:'実績'!$AC$1471,2,0),"株式会社 ","")</f>
        <v>#N/A</v>
      </c>
      <c r="G70" s="1446" t="e">
        <f>SUBSTITUTE(VLOOKUP(D70,実績!$C$5:'実績'!$AC$1472,26,0),"株式会社 ","")</f>
        <v>#N/A</v>
      </c>
      <c r="H70" s="1422" t="e">
        <f>VLOOKUP(D70,実績!$C$5:'実績'!$AC$1472,4,0)</f>
        <v>#N/A</v>
      </c>
      <c r="I70" s="1423" t="e">
        <f>VLOOKUP(D70,実績!$C$5:'実績'!$AC$1472,5,0)</f>
        <v>#N/A</v>
      </c>
      <c r="J70" s="1403" t="e">
        <f>VLOOKUP(D70,実績!$C$5:'実績'!$AC$1472,9,0)</f>
        <v>#N/A</v>
      </c>
      <c r="K70" s="1400" t="e">
        <f>ROUND(VLOOKUP(D70,実績!$C$5:'実績'!$AC$1472,15,0),-1)</f>
        <v>#N/A</v>
      </c>
      <c r="L70" s="1402" t="e">
        <f>VLOOKUP(D70,実績!$C$5:'実績'!$BY$1472,40,0)</f>
        <v>#N/A</v>
      </c>
      <c r="M70" s="1403" t="e">
        <f>VLOOKUP(D70,実績!$C$5:'実績'!$BY$1472,38,0)</f>
        <v>#N/A</v>
      </c>
      <c r="N70" s="1403" t="e">
        <f>VLOOKUP(D70,実績!$C$5:'実績'!$BY$1472,37,0)</f>
        <v>#N/A</v>
      </c>
      <c r="O70" s="1400" t="e">
        <f>VLOOKUP(D70,実績!$C$5:'実績'!$BY$1472,41,0)</f>
        <v>#N/A</v>
      </c>
      <c r="P70" s="1738"/>
      <c r="Q70" s="1694"/>
      <c r="R70" s="1739"/>
      <c r="S70" s="1740"/>
      <c r="T70" s="1741"/>
      <c r="U70" s="1742"/>
      <c r="V70" s="1743"/>
      <c r="W70" s="1391"/>
      <c r="X70" s="1391"/>
      <c r="Y70" s="1392"/>
      <c r="Z70" s="1391"/>
      <c r="AA70" s="1392"/>
      <c r="AB70" s="1393"/>
      <c r="AC70" s="1391"/>
      <c r="AD70" s="1391"/>
      <c r="AE70" s="1392"/>
      <c r="AF70" s="1391"/>
      <c r="AG70" s="1392"/>
      <c r="AH70" s="1391"/>
      <c r="AI70" s="1390"/>
      <c r="AJ70" s="1391"/>
      <c r="AK70" s="1392"/>
      <c r="AL70" s="1391"/>
      <c r="AM70" s="1392"/>
      <c r="AN70" s="1393"/>
      <c r="AO70" s="1391"/>
      <c r="AP70" s="1391"/>
      <c r="AQ70" s="1392"/>
      <c r="AR70" s="1391"/>
      <c r="AS70" s="1392"/>
      <c r="AT70" s="1391"/>
      <c r="AU70" s="1447"/>
      <c r="AV70" s="1391"/>
      <c r="AW70" s="1392"/>
      <c r="AX70" s="1391"/>
      <c r="AY70" s="1392"/>
      <c r="AZ70" s="1393"/>
      <c r="BA70" s="1390"/>
      <c r="BB70" s="1391"/>
      <c r="BC70" s="1392"/>
      <c r="BD70" s="1391"/>
      <c r="BE70" s="1392"/>
      <c r="BF70" s="1393"/>
      <c r="BG70" s="1391"/>
      <c r="BH70" s="1391"/>
      <c r="BI70" s="1392"/>
      <c r="BJ70" s="1391"/>
      <c r="BK70" s="1392"/>
      <c r="BL70" s="1391"/>
      <c r="BM70" s="1390"/>
      <c r="BN70" s="1391"/>
      <c r="BO70" s="1392"/>
      <c r="BP70" s="1391"/>
      <c r="BQ70" s="1392"/>
      <c r="BR70" s="1393"/>
      <c r="BS70" s="1390"/>
      <c r="BT70" s="1391"/>
      <c r="BU70" s="1392"/>
      <c r="BV70" s="1448"/>
      <c r="BW70" s="1392"/>
      <c r="BX70" s="1393"/>
      <c r="BY70" s="1390"/>
      <c r="BZ70" s="1391"/>
      <c r="CA70" s="1392"/>
      <c r="CB70" s="1391"/>
      <c r="CC70" s="1392"/>
      <c r="CD70" s="1393"/>
      <c r="CE70" s="1390"/>
      <c r="CF70" s="1391"/>
      <c r="CG70" s="1392"/>
      <c r="CH70" s="1391"/>
      <c r="CI70" s="1392"/>
      <c r="CJ70" s="1393"/>
      <c r="CK70" s="1390"/>
      <c r="CL70" s="1391"/>
      <c r="CM70" s="1392"/>
      <c r="CN70" s="1391"/>
      <c r="CO70" s="1392"/>
      <c r="CP70" s="1393"/>
      <c r="CQ70" s="1390"/>
      <c r="CR70" s="1391"/>
      <c r="CS70" s="1392"/>
      <c r="CT70" s="1449"/>
      <c r="CU70" s="1392"/>
      <c r="CV70" s="1393"/>
      <c r="CW70" s="1390"/>
      <c r="CX70" s="1391"/>
      <c r="CY70" s="1392"/>
      <c r="CZ70" s="1391"/>
      <c r="DA70" s="1392"/>
      <c r="DB70" s="1393"/>
      <c r="DC70" s="1390"/>
      <c r="DD70" s="1391"/>
      <c r="DE70" s="1392"/>
      <c r="DF70" s="1391"/>
      <c r="DG70" s="1392"/>
      <c r="DH70" s="1393"/>
      <c r="DI70" s="1390"/>
      <c r="DJ70" s="1391"/>
      <c r="DK70" s="1392"/>
      <c r="DL70" s="1391"/>
      <c r="DM70" s="1392"/>
      <c r="DN70" s="1393"/>
      <c r="DO70" s="1390"/>
      <c r="DP70" s="1391"/>
      <c r="DQ70" s="1392"/>
      <c r="DR70" s="1391"/>
      <c r="DS70" s="1392"/>
      <c r="DT70" s="1393"/>
      <c r="DU70" s="1390"/>
      <c r="DV70" s="1391"/>
      <c r="DW70" s="1392"/>
      <c r="DX70" s="1391"/>
      <c r="DY70" s="1392"/>
      <c r="DZ70" s="1393"/>
      <c r="EA70" s="1390"/>
      <c r="EB70" s="1391"/>
      <c r="EC70" s="1392"/>
      <c r="ED70" s="1391"/>
      <c r="EE70" s="1392"/>
      <c r="EF70" s="1393"/>
      <c r="EG70" s="1390"/>
      <c r="EH70" s="1391"/>
      <c r="EI70" s="1392"/>
      <c r="EJ70" s="1391"/>
      <c r="EK70" s="1392"/>
      <c r="EL70" s="1393"/>
      <c r="EM70" s="1390"/>
      <c r="EN70" s="1391"/>
      <c r="EO70" s="1392"/>
      <c r="EP70" s="1391"/>
      <c r="EQ70" s="1392"/>
      <c r="ER70" s="1394"/>
      <c r="ES70" s="1390"/>
      <c r="ET70" s="1391"/>
      <c r="EU70" s="1392"/>
      <c r="EV70" s="1450"/>
      <c r="EW70" s="1392"/>
      <c r="EX70" s="1394"/>
      <c r="EY70" s="1451"/>
      <c r="EZ70" s="1391"/>
      <c r="FA70" s="1392"/>
      <c r="FB70" s="1391"/>
      <c r="FC70" s="1392"/>
      <c r="FD70" s="1394"/>
      <c r="FE70" s="1390"/>
      <c r="FF70" s="1391"/>
      <c r="FG70" s="1392"/>
      <c r="FH70" s="1391"/>
      <c r="FI70" s="1392"/>
      <c r="FJ70" s="1394"/>
      <c r="FK70" s="1390"/>
      <c r="FL70" s="1391"/>
      <c r="FM70" s="1392"/>
      <c r="FN70" s="1391"/>
      <c r="FO70" s="1392"/>
      <c r="FP70" s="1394"/>
      <c r="FQ70" s="1390"/>
      <c r="FR70" s="1391"/>
      <c r="FS70" s="1392"/>
      <c r="FT70" s="1391"/>
      <c r="FU70" s="1392"/>
      <c r="FV70" s="1394"/>
      <c r="FW70" s="1390"/>
      <c r="FX70" s="1391"/>
      <c r="FY70" s="1392"/>
      <c r="FZ70" s="1391"/>
      <c r="GA70" s="1392"/>
      <c r="GB70" s="1394"/>
      <c r="GC70" s="1390"/>
      <c r="GD70" s="1391"/>
      <c r="GE70" s="1392"/>
      <c r="GF70" s="1391"/>
      <c r="GG70" s="1392"/>
      <c r="GH70" s="1394"/>
    </row>
    <row r="71" spans="1:190" ht="20.100000000000001" customHeight="1">
      <c r="A71" s="2855"/>
      <c r="B71" s="2815"/>
      <c r="C71" s="1425"/>
      <c r="D71" s="1426" t="str">
        <f>実績!C1431</f>
        <v>協和輸送本社社屋</v>
      </c>
      <c r="E71" s="1427" t="str">
        <f>SUBSTITUTE(VLOOKUP(D71,実績!$C$5:'実績'!$AC$1471,3,0),"株式会社 ","")</f>
        <v>大田</v>
      </c>
      <c r="F71" s="1389" t="str">
        <f>SUBSTITUTE(VLOOKUP(D71,実績!$C$5:'実績'!$AC$1471,2,0),"株式会社 ","")</f>
        <v>村上</v>
      </c>
      <c r="G71" s="1452" t="str">
        <f>SUBSTITUTE(VLOOKUP(D71,実績!$C$5:'実績'!$AC$1472,16,0),"株式会社 ","")</f>
        <v>創設計</v>
      </c>
      <c r="H71" s="1386" t="str">
        <f>VLOOKUP(D71,実績!$C$5:'実績'!$AC$1472,4,0)</f>
        <v>青森県</v>
      </c>
      <c r="I71" s="1387" t="str">
        <f>VLOOKUP(D71,実績!$C$5:'実績'!$AC$1472,5,0)</f>
        <v>青森市</v>
      </c>
      <c r="J71" s="1388" t="str">
        <f>VLOOKUP(D71,実績!$C$5:'実績'!$AC$1472,9,0)</f>
        <v>倉庫</v>
      </c>
      <c r="K71" s="1389">
        <f>ROUND(VLOOKUP(D71,実績!$C$5:'実績'!$AC$1472,15,0),-1)</f>
        <v>0</v>
      </c>
      <c r="L71" s="1428" t="str">
        <f>VLOOKUP(D71,実績!$C$5:'実績'!$BY$1472,40,0)</f>
        <v>-</v>
      </c>
      <c r="M71" s="1388" t="str">
        <f>VLOOKUP(D71,実績!$C$5:'実績'!$BY$1472,38,0)</f>
        <v>-</v>
      </c>
      <c r="N71" s="1388" t="str">
        <f>VLOOKUP(D71,実績!$C$5:'実績'!$BY$1472,37,0)</f>
        <v>-</v>
      </c>
      <c r="O71" s="1389" t="str">
        <f>VLOOKUP(D71,実績!$C$5:'実績'!$BY$1472,41,0)</f>
        <v>独立</v>
      </c>
      <c r="P71" s="1744"/>
      <c r="Q71" s="1708"/>
      <c r="R71" s="1744"/>
      <c r="S71" s="1745"/>
      <c r="T71" s="1746"/>
      <c r="U71" s="1708"/>
      <c r="V71" s="1747"/>
      <c r="W71" s="1391"/>
      <c r="X71" s="1391"/>
      <c r="Y71" s="1392"/>
      <c r="Z71" s="1391"/>
      <c r="AA71" s="1392"/>
      <c r="AB71" s="1393"/>
      <c r="AC71" s="1391"/>
      <c r="AD71" s="1391"/>
      <c r="AE71" s="1392"/>
      <c r="AF71" s="1391"/>
      <c r="AG71" s="1392"/>
      <c r="AH71" s="1391"/>
      <c r="AI71" s="1390"/>
      <c r="AJ71" s="1391"/>
      <c r="AK71" s="1392"/>
      <c r="AL71" s="1391"/>
      <c r="AM71" s="1392"/>
      <c r="AN71" s="1393"/>
      <c r="AO71" s="1391"/>
      <c r="AP71" s="1391"/>
      <c r="AQ71" s="1392"/>
      <c r="AR71" s="1391"/>
      <c r="AS71" s="1392"/>
      <c r="AT71" s="1391"/>
      <c r="AU71" s="1447"/>
      <c r="AV71" s="1391"/>
      <c r="AW71" s="1392"/>
      <c r="AX71" s="1391"/>
      <c r="AY71" s="1392"/>
      <c r="AZ71" s="1393"/>
      <c r="BA71" s="1390"/>
      <c r="BB71" s="1391"/>
      <c r="BC71" s="1392"/>
      <c r="BD71" s="1391"/>
      <c r="BE71" s="1392"/>
      <c r="BF71" s="1393"/>
      <c r="BG71" s="1391"/>
      <c r="BH71" s="1391"/>
      <c r="BI71" s="1392"/>
      <c r="BJ71" s="1391"/>
      <c r="BK71" s="1392"/>
      <c r="BL71" s="1391"/>
      <c r="BM71" s="1390"/>
      <c r="BN71" s="1391"/>
      <c r="BO71" s="1392"/>
      <c r="BP71" s="1391"/>
      <c r="BQ71" s="1392"/>
      <c r="BR71" s="1393"/>
      <c r="BS71" s="1390"/>
      <c r="BT71" s="1391"/>
      <c r="BU71" s="1392"/>
      <c r="BV71" s="1448"/>
      <c r="BW71" s="1392"/>
      <c r="BX71" s="1393"/>
      <c r="BY71" s="1390"/>
      <c r="BZ71" s="1391"/>
      <c r="CA71" s="1392"/>
      <c r="CB71" s="1391"/>
      <c r="CC71" s="1392"/>
      <c r="CD71" s="1393"/>
      <c r="CE71" s="1390"/>
      <c r="CF71" s="1391"/>
      <c r="CG71" s="1392"/>
      <c r="CH71" s="1391"/>
      <c r="CI71" s="1392"/>
      <c r="CJ71" s="1393"/>
      <c r="CK71" s="1390"/>
      <c r="CL71" s="1391"/>
      <c r="CM71" s="1392"/>
      <c r="CN71" s="1391"/>
      <c r="CO71" s="1392"/>
      <c r="CP71" s="1393"/>
      <c r="CQ71" s="1390"/>
      <c r="CR71" s="1391"/>
      <c r="CS71" s="1392"/>
      <c r="CT71" s="1449"/>
      <c r="CU71" s="1392"/>
      <c r="CV71" s="1393"/>
      <c r="CW71" s="1390"/>
      <c r="CX71" s="1391"/>
      <c r="CY71" s="1392"/>
      <c r="CZ71" s="1391"/>
      <c r="DA71" s="1392"/>
      <c r="DB71" s="1393"/>
      <c r="DC71" s="1390"/>
      <c r="DD71" s="1391"/>
      <c r="DE71" s="1392"/>
      <c r="DF71" s="1391"/>
      <c r="DG71" s="1392"/>
      <c r="DH71" s="1393"/>
      <c r="DI71" s="1390"/>
      <c r="DJ71" s="1391"/>
      <c r="DK71" s="1392"/>
      <c r="DL71" s="1391"/>
      <c r="DM71" s="1392"/>
      <c r="DN71" s="1393"/>
      <c r="DO71" s="1390"/>
      <c r="DP71" s="1391"/>
      <c r="DQ71" s="1392"/>
      <c r="DR71" s="1391"/>
      <c r="DS71" s="1392"/>
      <c r="DT71" s="1393"/>
      <c r="DU71" s="1390"/>
      <c r="DV71" s="1391"/>
      <c r="DW71" s="1392"/>
      <c r="DX71" s="1391"/>
      <c r="DY71" s="1392"/>
      <c r="DZ71" s="1393"/>
      <c r="EA71" s="1390"/>
      <c r="EB71" s="1391"/>
      <c r="EC71" s="1392"/>
      <c r="ED71" s="1391"/>
      <c r="EE71" s="1392"/>
      <c r="EF71" s="1393"/>
      <c r="EG71" s="1390"/>
      <c r="EH71" s="1391"/>
      <c r="EI71" s="1392"/>
      <c r="EJ71" s="1391"/>
      <c r="EK71" s="1392"/>
      <c r="EL71" s="1393"/>
      <c r="EM71" s="1390"/>
      <c r="EN71" s="1391"/>
      <c r="EO71" s="1392"/>
      <c r="EP71" s="1391"/>
      <c r="EQ71" s="1392"/>
      <c r="ER71" s="1394"/>
      <c r="ES71" s="1390"/>
      <c r="ET71" s="1391"/>
      <c r="EU71" s="1392"/>
      <c r="EV71" s="1450"/>
      <c r="EW71" s="1392"/>
      <c r="EX71" s="1394"/>
      <c r="EY71" s="1451"/>
      <c r="EZ71" s="1391"/>
      <c r="FA71" s="1392"/>
      <c r="FB71" s="1391"/>
      <c r="FC71" s="1392"/>
      <c r="FD71" s="1394"/>
      <c r="FE71" s="1390"/>
      <c r="FF71" s="1391"/>
      <c r="FG71" s="1392"/>
      <c r="FH71" s="1391"/>
      <c r="FI71" s="1392"/>
      <c r="FJ71" s="1394"/>
      <c r="FK71" s="1390"/>
      <c r="FL71" s="1391"/>
      <c r="FM71" s="1392"/>
      <c r="FN71" s="1391"/>
      <c r="FO71" s="1392"/>
      <c r="FP71" s="1394"/>
      <c r="FQ71" s="1390"/>
      <c r="FR71" s="1391"/>
      <c r="FS71" s="1392"/>
      <c r="FT71" s="1391"/>
      <c r="FU71" s="1392"/>
      <c r="FV71" s="1394"/>
      <c r="FW71" s="1390"/>
      <c r="FX71" s="1391"/>
      <c r="FY71" s="1392"/>
      <c r="FZ71" s="1391"/>
      <c r="GA71" s="1392"/>
      <c r="GB71" s="1394"/>
      <c r="GC71" s="1390"/>
      <c r="GD71" s="1391"/>
      <c r="GE71" s="1392"/>
      <c r="GF71" s="1391"/>
      <c r="GG71" s="1392"/>
      <c r="GH71" s="1394"/>
    </row>
    <row r="72" spans="1:190" ht="20.100000000000001" customHeight="1">
      <c r="A72" s="2855"/>
      <c r="B72" s="2815"/>
      <c r="C72" s="1425"/>
      <c r="D72" s="1426" t="str">
        <f>実績!C1460</f>
        <v>東北マツダ南吉成</v>
      </c>
      <c r="E72" s="1427" t="str">
        <f>SUBSTITUTE(VLOOKUP(D72,実績!$C$5:'実績'!$AC$1471,3,0),"株式会社 ","")</f>
        <v>沖本</v>
      </c>
      <c r="F72" s="1389" t="str">
        <f>SUBSTITUTE(VLOOKUP(D72,実績!$C$5:'実績'!$AC$1471,2,0),"株式会社 ","")</f>
        <v/>
      </c>
      <c r="G72" s="1452" t="str">
        <f>SUBSTITUTE(VLOOKUP(D72,実績!$C$5:'実績'!$AC$1472,16,0)," 株式会社","")</f>
        <v>マツダエース</v>
      </c>
      <c r="H72" s="1386" t="str">
        <f>VLOOKUP(D72,実績!$C$5:'実績'!$AC$1472,4,0)</f>
        <v>宮城県</v>
      </c>
      <c r="I72" s="1387" t="str">
        <f>VLOOKUP(D72,実績!$C$5:'実績'!$AC$1472,5,0)</f>
        <v>仙台市</v>
      </c>
      <c r="J72" s="1388">
        <f>VLOOKUP(D72,実績!$C$5:'実績'!$AC$1472,9,0)</f>
        <v>0</v>
      </c>
      <c r="K72" s="1389">
        <f>ROUND(VLOOKUP(D72,実績!$C$5:'実績'!$AC$1472,15,0),-1)</f>
        <v>0</v>
      </c>
      <c r="L72" s="1428">
        <f>VLOOKUP(D72,実績!$C$5:'実績'!$BY$1472,40,0)</f>
        <v>0</v>
      </c>
      <c r="M72" s="1388">
        <f>VLOOKUP(D72,実績!$C$5:'実績'!$BY$1472,38,0)</f>
        <v>0</v>
      </c>
      <c r="N72" s="1388" t="str">
        <f>VLOOKUP(D72,実績!$C$5:'実績'!$BY$1472,37,0)</f>
        <v>-</v>
      </c>
      <c r="O72" s="1389" t="str">
        <f>VLOOKUP(D72,実績!$C$5:'実績'!$BY$1472,41,0)</f>
        <v>独立</v>
      </c>
      <c r="P72" s="1744"/>
      <c r="Q72" s="1708"/>
      <c r="R72" s="1744"/>
      <c r="S72" s="1745"/>
      <c r="T72" s="1746"/>
      <c r="U72" s="1708"/>
      <c r="V72" s="1747"/>
      <c r="W72" s="1391"/>
      <c r="X72" s="1391"/>
      <c r="Y72" s="1392"/>
      <c r="Z72" s="1391"/>
      <c r="AA72" s="1392"/>
      <c r="AB72" s="1393"/>
      <c r="AC72" s="1391"/>
      <c r="AD72" s="1391"/>
      <c r="AE72" s="1392"/>
      <c r="AF72" s="1391"/>
      <c r="AG72" s="1392"/>
      <c r="AH72" s="1391"/>
      <c r="AI72" s="1390"/>
      <c r="AJ72" s="1391"/>
      <c r="AK72" s="1392"/>
      <c r="AL72" s="1391"/>
      <c r="AM72" s="1392"/>
      <c r="AN72" s="1393"/>
      <c r="AO72" s="1391"/>
      <c r="AP72" s="1391"/>
      <c r="AQ72" s="1392"/>
      <c r="AR72" s="1391"/>
      <c r="AS72" s="1392"/>
      <c r="AT72" s="1391"/>
      <c r="AU72" s="1447"/>
      <c r="AV72" s="1391"/>
      <c r="AW72" s="1392"/>
      <c r="AX72" s="1391"/>
      <c r="AY72" s="1392"/>
      <c r="AZ72" s="1393"/>
      <c r="BA72" s="1390"/>
      <c r="BB72" s="1391"/>
      <c r="BC72" s="1392"/>
      <c r="BD72" s="1391"/>
      <c r="BE72" s="1392"/>
      <c r="BF72" s="1393"/>
      <c r="BG72" s="1391"/>
      <c r="BH72" s="1391"/>
      <c r="BI72" s="1392"/>
      <c r="BJ72" s="1391"/>
      <c r="BK72" s="1392"/>
      <c r="BL72" s="1391"/>
      <c r="BM72" s="1390"/>
      <c r="BN72" s="1391"/>
      <c r="BO72" s="1392"/>
      <c r="BP72" s="1391"/>
      <c r="BQ72" s="1392"/>
      <c r="BR72" s="1393"/>
      <c r="BS72" s="1390"/>
      <c r="BT72" s="1391"/>
      <c r="BU72" s="1392"/>
      <c r="BV72" s="1448"/>
      <c r="BW72" s="1392"/>
      <c r="BX72" s="1393"/>
      <c r="BY72" s="1390"/>
      <c r="BZ72" s="1391"/>
      <c r="CA72" s="1392"/>
      <c r="CB72" s="1391"/>
      <c r="CC72" s="1392"/>
      <c r="CD72" s="1393"/>
      <c r="CE72" s="1390"/>
      <c r="CF72" s="1391"/>
      <c r="CG72" s="1392"/>
      <c r="CH72" s="1391"/>
      <c r="CI72" s="1392"/>
      <c r="CJ72" s="1393"/>
      <c r="CK72" s="1390"/>
      <c r="CL72" s="1391"/>
      <c r="CM72" s="1392"/>
      <c r="CN72" s="1391"/>
      <c r="CO72" s="1392"/>
      <c r="CP72" s="1393"/>
      <c r="CQ72" s="1390"/>
      <c r="CR72" s="1391"/>
      <c r="CS72" s="1392"/>
      <c r="CT72" s="1449"/>
      <c r="CU72" s="1392"/>
      <c r="CV72" s="1393"/>
      <c r="CW72" s="1390"/>
      <c r="CX72" s="1391"/>
      <c r="CY72" s="1392"/>
      <c r="CZ72" s="1391"/>
      <c r="DA72" s="1392"/>
      <c r="DB72" s="1393"/>
      <c r="DC72" s="1390"/>
      <c r="DD72" s="1391"/>
      <c r="DE72" s="1392"/>
      <c r="DF72" s="1391"/>
      <c r="DG72" s="1392"/>
      <c r="DH72" s="1393"/>
      <c r="DI72" s="1390"/>
      <c r="DJ72" s="1391"/>
      <c r="DK72" s="1392"/>
      <c r="DL72" s="1391"/>
      <c r="DM72" s="1392"/>
      <c r="DN72" s="1393"/>
      <c r="DO72" s="1390"/>
      <c r="DP72" s="1391"/>
      <c r="DQ72" s="1392"/>
      <c r="DR72" s="1391"/>
      <c r="DS72" s="1392"/>
      <c r="DT72" s="1393"/>
      <c r="DU72" s="1390"/>
      <c r="DV72" s="1391"/>
      <c r="DW72" s="1392"/>
      <c r="DX72" s="1391"/>
      <c r="DY72" s="1392"/>
      <c r="DZ72" s="1393"/>
      <c r="EA72" s="1390"/>
      <c r="EB72" s="1391"/>
      <c r="EC72" s="1392"/>
      <c r="ED72" s="1391"/>
      <c r="EE72" s="1392"/>
      <c r="EF72" s="1393"/>
      <c r="EG72" s="1390"/>
      <c r="EH72" s="1391"/>
      <c r="EI72" s="1392"/>
      <c r="EJ72" s="1391"/>
      <c r="EK72" s="1392"/>
      <c r="EL72" s="1393"/>
      <c r="EM72" s="1390"/>
      <c r="EN72" s="1391"/>
      <c r="EO72" s="1392"/>
      <c r="EP72" s="1391"/>
      <c r="EQ72" s="1392"/>
      <c r="ER72" s="1393"/>
      <c r="ES72" s="1390"/>
      <c r="ET72" s="1391"/>
      <c r="EU72" s="1392"/>
      <c r="EV72" s="1391"/>
      <c r="EW72" s="1392"/>
      <c r="EX72" s="1393"/>
      <c r="EY72" s="1390"/>
      <c r="EZ72" s="1391"/>
      <c r="FA72" s="1392"/>
      <c r="FB72" s="1391"/>
      <c r="FC72" s="1392"/>
      <c r="FD72" s="1394"/>
      <c r="FE72" s="1390"/>
      <c r="FF72" s="1391"/>
      <c r="FG72" s="1392"/>
      <c r="FH72" s="1391"/>
      <c r="FI72" s="1392"/>
      <c r="FJ72" s="1394"/>
      <c r="FK72" s="1390" t="s">
        <v>16820</v>
      </c>
      <c r="FL72" s="1391"/>
      <c r="FM72" s="1392"/>
      <c r="FN72" s="1391"/>
      <c r="FO72" s="1392"/>
      <c r="FP72" s="1394"/>
      <c r="FQ72" s="1390"/>
      <c r="FR72" s="1391"/>
      <c r="FS72" s="1392"/>
      <c r="FT72" s="1391"/>
      <c r="FU72" s="1392"/>
      <c r="FV72" s="1394"/>
      <c r="FW72" s="1390"/>
      <c r="FX72" s="1391"/>
      <c r="FY72" s="1392"/>
      <c r="FZ72" s="1391"/>
      <c r="GA72" s="1392"/>
      <c r="GB72" s="1394"/>
      <c r="GC72" s="1390"/>
      <c r="GD72" s="1391"/>
      <c r="GE72" s="1392"/>
      <c r="GF72" s="1391"/>
      <c r="GG72" s="1392"/>
      <c r="GH72" s="1394"/>
    </row>
    <row r="73" spans="1:190" ht="20.100000000000001" customHeight="1" thickBot="1">
      <c r="A73" s="2855"/>
      <c r="B73" s="2816"/>
      <c r="C73" s="1414"/>
      <c r="D73" s="1415" t="str">
        <f>実績!C1461</f>
        <v>関西マツダ寝屋川</v>
      </c>
      <c r="E73" s="1416" t="str">
        <f>SUBSTITUTE(VLOOKUP(D73,実績!$C$5:'実績'!$AC$1471,3,0),"株式会社 ","")</f>
        <v>沖本</v>
      </c>
      <c r="F73" s="1363" t="str">
        <f>SUBSTITUTE(VLOOKUP(D73,実績!$C$5:'実績'!$AC$1471,2,0),"株式会社 ","")</f>
        <v/>
      </c>
      <c r="G73" s="1453" t="str">
        <f>SUBSTITUTE(VLOOKUP(D73,実績!$C$5:'実績'!$AC$1472,16,0),"株式会社 ","")</f>
        <v>コホーネス</v>
      </c>
      <c r="H73" s="1431" t="str">
        <f>VLOOKUP(D73,実績!$C$5:'実績'!$AC$1472,4,0)</f>
        <v>大阪府</v>
      </c>
      <c r="I73" s="1432" t="str">
        <f>VLOOKUP(D73,実績!$C$5:'実績'!$AC$1472,5,0)</f>
        <v>寝屋川市</v>
      </c>
      <c r="J73" s="1362">
        <f>VLOOKUP(D73,実績!$C$5:'実績'!$AC$1472,9,0)</f>
        <v>0</v>
      </c>
      <c r="K73" s="1363">
        <f>ROUND(VLOOKUP(D73,実績!$C$5:'実績'!$AC$1472,15,0),-1)</f>
        <v>0</v>
      </c>
      <c r="L73" s="1361">
        <f>VLOOKUP(D73,実績!$C$5:'実績'!$BY$1472,40,0)</f>
        <v>0</v>
      </c>
      <c r="M73" s="1362">
        <f>VLOOKUP(D73,実績!$C$5:'実績'!$BY$1472,38,0)</f>
        <v>0</v>
      </c>
      <c r="N73" s="1362" t="str">
        <f>VLOOKUP(D73,実績!$C$5:'実績'!$BY$1472,37,0)</f>
        <v>-</v>
      </c>
      <c r="O73" s="1363" t="str">
        <f>VLOOKUP(D73,実績!$C$5:'実績'!$BY$1472,41,0)</f>
        <v>独立</v>
      </c>
      <c r="P73" s="1748"/>
      <c r="Q73" s="1701"/>
      <c r="R73" s="1748"/>
      <c r="S73" s="1749"/>
      <c r="T73" s="1750"/>
      <c r="U73" s="1701"/>
      <c r="V73" s="1751"/>
      <c r="W73" s="1364"/>
      <c r="X73" s="1364"/>
      <c r="Y73" s="1365"/>
      <c r="Z73" s="1364"/>
      <c r="AA73" s="1365"/>
      <c r="AB73" s="1366"/>
      <c r="AC73" s="1364"/>
      <c r="AD73" s="1364"/>
      <c r="AE73" s="1365"/>
      <c r="AF73" s="1364"/>
      <c r="AG73" s="1365"/>
      <c r="AH73" s="1364"/>
      <c r="AI73" s="1367"/>
      <c r="AJ73" s="1364"/>
      <c r="AK73" s="1365"/>
      <c r="AL73" s="1364"/>
      <c r="AM73" s="1365"/>
      <c r="AN73" s="1366"/>
      <c r="AO73" s="1364"/>
      <c r="AP73" s="1364"/>
      <c r="AQ73" s="1365"/>
      <c r="AR73" s="1364"/>
      <c r="AS73" s="1365"/>
      <c r="AT73" s="1364"/>
      <c r="AU73" s="1368"/>
      <c r="AV73" s="1364"/>
      <c r="AW73" s="1365"/>
      <c r="AX73" s="1364"/>
      <c r="AY73" s="1365"/>
      <c r="AZ73" s="1366"/>
      <c r="BA73" s="1367"/>
      <c r="BB73" s="1364"/>
      <c r="BC73" s="1365"/>
      <c r="BD73" s="1364"/>
      <c r="BE73" s="1365"/>
      <c r="BF73" s="1366"/>
      <c r="BG73" s="1364"/>
      <c r="BH73" s="1364"/>
      <c r="BI73" s="1365"/>
      <c r="BJ73" s="1364"/>
      <c r="BK73" s="1365"/>
      <c r="BL73" s="1364"/>
      <c r="BM73" s="1367"/>
      <c r="BN73" s="1364"/>
      <c r="BO73" s="1365"/>
      <c r="BP73" s="1364"/>
      <c r="BQ73" s="1365"/>
      <c r="BR73" s="1366"/>
      <c r="BS73" s="1367"/>
      <c r="BT73" s="1364"/>
      <c r="BU73" s="1365"/>
      <c r="BV73" s="1369"/>
      <c r="BW73" s="1365"/>
      <c r="BX73" s="1366"/>
      <c r="BY73" s="1367"/>
      <c r="BZ73" s="1364"/>
      <c r="CA73" s="1365"/>
      <c r="CB73" s="1364"/>
      <c r="CC73" s="1365"/>
      <c r="CD73" s="1366"/>
      <c r="CE73" s="1367"/>
      <c r="CF73" s="1364"/>
      <c r="CG73" s="1365"/>
      <c r="CH73" s="1364"/>
      <c r="CI73" s="1365"/>
      <c r="CJ73" s="1366"/>
      <c r="CK73" s="1367"/>
      <c r="CL73" s="1364"/>
      <c r="CM73" s="1365"/>
      <c r="CN73" s="1364"/>
      <c r="CO73" s="1365"/>
      <c r="CP73" s="1366"/>
      <c r="CQ73" s="1367"/>
      <c r="CR73" s="1364"/>
      <c r="CS73" s="1365"/>
      <c r="CT73" s="1370"/>
      <c r="CU73" s="1365"/>
      <c r="CV73" s="1366"/>
      <c r="CW73" s="1367"/>
      <c r="CX73" s="1364"/>
      <c r="CY73" s="1365"/>
      <c r="CZ73" s="1364"/>
      <c r="DA73" s="1365"/>
      <c r="DB73" s="1366"/>
      <c r="DC73" s="1367"/>
      <c r="DD73" s="1364"/>
      <c r="DE73" s="1365"/>
      <c r="DF73" s="1364"/>
      <c r="DG73" s="1365"/>
      <c r="DH73" s="1366"/>
      <c r="DI73" s="1367"/>
      <c r="DJ73" s="1364"/>
      <c r="DK73" s="1365"/>
      <c r="DL73" s="1364"/>
      <c r="DM73" s="1365"/>
      <c r="DN73" s="1366"/>
      <c r="DO73" s="1367"/>
      <c r="DP73" s="1364"/>
      <c r="DQ73" s="1365"/>
      <c r="DR73" s="1364"/>
      <c r="DS73" s="1365"/>
      <c r="DT73" s="1366"/>
      <c r="DU73" s="1367"/>
      <c r="DV73" s="1364"/>
      <c r="DW73" s="1365"/>
      <c r="DX73" s="1364"/>
      <c r="DY73" s="1365"/>
      <c r="DZ73" s="1366"/>
      <c r="EA73" s="1367"/>
      <c r="EB73" s="1364"/>
      <c r="EC73" s="1365"/>
      <c r="ED73" s="1364"/>
      <c r="EE73" s="1365"/>
      <c r="EF73" s="1366"/>
      <c r="EG73" s="1367" t="s">
        <v>15687</v>
      </c>
      <c r="EH73" s="1364"/>
      <c r="EI73" s="1365"/>
      <c r="EJ73" s="1364"/>
      <c r="EK73" s="1365"/>
      <c r="EL73" s="1366"/>
      <c r="EM73" s="1367"/>
      <c r="EN73" s="1364"/>
      <c r="EO73" s="1365"/>
      <c r="EP73" s="1364"/>
      <c r="EQ73" s="1365"/>
      <c r="ER73" s="1366"/>
      <c r="ES73" s="1367"/>
      <c r="ET73" s="1364"/>
      <c r="EU73" s="1365"/>
      <c r="EV73" s="1364"/>
      <c r="EW73" s="1365"/>
      <c r="EX73" s="1366"/>
      <c r="EY73" s="1367"/>
      <c r="EZ73" s="1364"/>
      <c r="FA73" s="1365"/>
      <c r="FB73" s="1364"/>
      <c r="FC73" s="1365"/>
      <c r="FD73" s="1366"/>
      <c r="FE73" s="1367"/>
      <c r="FF73" s="1364"/>
      <c r="FG73" s="1365"/>
      <c r="FH73" s="1364"/>
      <c r="FI73" s="1365"/>
      <c r="FJ73" s="1366"/>
      <c r="FK73" s="1367"/>
      <c r="FL73" s="1364"/>
      <c r="FM73" s="1365"/>
      <c r="FN73" s="1364"/>
      <c r="FO73" s="1365"/>
      <c r="FP73" s="1366"/>
      <c r="FQ73" s="1367"/>
      <c r="FR73" s="1364"/>
      <c r="FS73" s="1365"/>
      <c r="FT73" s="1364"/>
      <c r="FU73" s="1365"/>
      <c r="FV73" s="1366"/>
      <c r="FW73" s="1367"/>
      <c r="FX73" s="1364"/>
      <c r="FY73" s="1365"/>
      <c r="FZ73" s="1364"/>
      <c r="GA73" s="1365"/>
      <c r="GB73" s="1366"/>
      <c r="GC73" s="1367"/>
      <c r="GD73" s="1364"/>
      <c r="GE73" s="1365"/>
      <c r="GF73" s="1364"/>
      <c r="GG73" s="1365"/>
      <c r="GH73" s="1366"/>
    </row>
    <row r="74" spans="1:190" ht="20.100000000000001" customHeight="1" thickBot="1">
      <c r="A74" s="2856"/>
      <c r="B74" s="1454" t="s">
        <v>4846</v>
      </c>
      <c r="C74" s="1455"/>
      <c r="D74" s="1456" t="str">
        <f>実績!C1435</f>
        <v>ダイレックス商工センター</v>
      </c>
      <c r="E74" s="1457" t="str">
        <f>SUBSTITUTE(VLOOKUP(D74,実績!$C$5:'実績'!$AC$1471,3,0),"株式会社 ","")</f>
        <v>植松</v>
      </c>
      <c r="F74" s="1458" t="str">
        <f>SUBSTITUTE(VLOOKUP(D74,実績!$C$5:'実績'!$AC$1471,2,0),"株式会社 ","")</f>
        <v>村上
フィ</v>
      </c>
      <c r="G74" s="1459" t="str">
        <f>SUBSTITUTE(VLOOKUP(D74,実績!$C$5:'実績'!$AC$1472,16,0),"株式会社 ","")</f>
        <v>ユーアイ設計</v>
      </c>
      <c r="H74" s="1460" t="str">
        <f>VLOOKUP(D74,実績!$C$5:'実績'!$AC$1472,4,0)</f>
        <v>広島県</v>
      </c>
      <c r="I74" s="1461" t="str">
        <f>VLOOKUP(D74,実績!$C$5:'実績'!$AC$1472,5,0)</f>
        <v>広島市</v>
      </c>
      <c r="J74" s="1462" t="str">
        <f>VLOOKUP(D74,実績!$C$5:'実績'!$AC$1472,9,0)</f>
        <v>店舗</v>
      </c>
      <c r="K74" s="1463">
        <f>ROUND(VLOOKUP(D74,実績!$C$5:'実績'!$AC$1472,15,0),-1)</f>
        <v>2500</v>
      </c>
      <c r="L74" s="1464" t="str">
        <f>VLOOKUP(D74,実績!$C$5:'実績'!$BY$1472,40,0)</f>
        <v>○</v>
      </c>
      <c r="M74" s="1462" t="str">
        <f>VLOOKUP(D74,実績!$C$5:'実績'!$BY$1472,38,0)</f>
        <v>-</v>
      </c>
      <c r="N74" s="1462" t="str">
        <f>VLOOKUP(D74,実績!$C$5:'実績'!$BY$1472,37,0)</f>
        <v>-</v>
      </c>
      <c r="O74" s="1463" t="str">
        <f>VLOOKUP(D74,実績!$C$5:'実績'!$BY$1472,41,0)</f>
        <v>独立</v>
      </c>
      <c r="P74" s="1672"/>
      <c r="Q74" s="1673"/>
      <c r="R74" s="1672"/>
      <c r="S74" s="1687"/>
      <c r="T74" s="1688"/>
      <c r="U74" s="1673"/>
      <c r="V74" s="1689"/>
      <c r="W74" s="1465"/>
      <c r="X74" s="1465"/>
      <c r="Y74" s="1465"/>
      <c r="Z74" s="1465"/>
      <c r="AA74" s="1465"/>
      <c r="AB74" s="1465"/>
      <c r="AC74" s="1465"/>
      <c r="AD74" s="1465"/>
      <c r="AE74" s="1465"/>
      <c r="AF74" s="1465"/>
      <c r="AG74" s="1465"/>
      <c r="AH74" s="1465"/>
      <c r="AI74" s="1465"/>
      <c r="AJ74" s="1465"/>
      <c r="AK74" s="1465"/>
      <c r="AL74" s="1465"/>
      <c r="AM74" s="1465"/>
      <c r="AN74" s="1465"/>
      <c r="AO74" s="1465"/>
      <c r="AP74" s="1465"/>
      <c r="AQ74" s="1465"/>
      <c r="AR74" s="1465"/>
      <c r="AS74" s="1465"/>
      <c r="AT74" s="1465"/>
      <c r="AU74" s="1465"/>
      <c r="AV74" s="1465"/>
      <c r="AW74" s="1465"/>
      <c r="AX74" s="1465"/>
      <c r="AY74" s="1465"/>
      <c r="AZ74" s="1465"/>
      <c r="BA74" s="1465"/>
      <c r="BB74" s="1465"/>
      <c r="BC74" s="1465"/>
      <c r="BD74" s="1465"/>
      <c r="BE74" s="1465"/>
      <c r="BF74" s="1465"/>
      <c r="BG74" s="1465"/>
      <c r="BH74" s="1465"/>
      <c r="BI74" s="1465"/>
      <c r="BJ74" s="1465"/>
      <c r="BK74" s="1465"/>
      <c r="BL74" s="1465"/>
      <c r="BM74" s="1465"/>
      <c r="BN74" s="1465"/>
      <c r="BO74" s="1465"/>
      <c r="BP74" s="1465"/>
      <c r="BQ74" s="1465"/>
      <c r="BR74" s="1465"/>
      <c r="BS74" s="1465"/>
      <c r="BT74" s="1465"/>
      <c r="BU74" s="1465"/>
      <c r="BV74" s="1465"/>
      <c r="BW74" s="1465"/>
      <c r="BX74" s="1465"/>
      <c r="BY74" s="1465"/>
      <c r="BZ74" s="1465"/>
      <c r="CA74" s="1465"/>
      <c r="CB74" s="1465"/>
      <c r="CC74" s="1465"/>
      <c r="CD74" s="1465"/>
      <c r="CE74" s="1465"/>
      <c r="CF74" s="1465"/>
      <c r="CG74" s="1465"/>
      <c r="CH74" s="1465"/>
      <c r="CI74" s="1465"/>
      <c r="CJ74" s="1465"/>
      <c r="CK74" s="1465"/>
      <c r="CL74" s="1465"/>
      <c r="CM74" s="1465"/>
      <c r="CN74" s="1465"/>
      <c r="CO74" s="1465"/>
      <c r="CP74" s="1465"/>
      <c r="CQ74" s="1465"/>
      <c r="CR74" s="1465"/>
      <c r="CS74" s="1465"/>
      <c r="CT74" s="1466"/>
      <c r="CU74" s="1465"/>
      <c r="CV74" s="1465"/>
      <c r="CW74" s="1465"/>
      <c r="CX74" s="1465"/>
      <c r="CY74" s="1465"/>
      <c r="CZ74" s="1465"/>
      <c r="DA74" s="1465"/>
      <c r="DB74" s="1465"/>
      <c r="DC74" s="1467"/>
      <c r="DD74" s="1465"/>
      <c r="DE74" s="1468"/>
      <c r="DF74" s="1465"/>
      <c r="DG74" s="1468"/>
      <c r="DH74" s="1469"/>
      <c r="DI74" s="1467"/>
      <c r="DJ74" s="1465"/>
      <c r="DK74" s="1468"/>
      <c r="DL74" s="1465"/>
      <c r="DM74" s="1468"/>
      <c r="DN74" s="1470"/>
      <c r="DO74" s="1467"/>
      <c r="DP74" s="1465"/>
      <c r="DQ74" s="1468"/>
      <c r="DR74" s="1465"/>
      <c r="DS74" s="1468"/>
      <c r="DT74" s="1469"/>
      <c r="DU74" s="1467"/>
      <c r="DV74" s="1465"/>
      <c r="DW74" s="1468"/>
      <c r="DX74" s="1465"/>
      <c r="DY74" s="1468"/>
      <c r="DZ74" s="1470"/>
      <c r="EA74" s="1467"/>
      <c r="EB74" s="1465"/>
      <c r="EC74" s="1468"/>
      <c r="ED74" s="1465"/>
      <c r="EE74" s="1468"/>
      <c r="EF74" s="1470"/>
      <c r="EG74" s="1467"/>
      <c r="EH74" s="1465"/>
      <c r="EI74" s="1468"/>
      <c r="EJ74" s="1465"/>
      <c r="EK74" s="1468"/>
      <c r="EL74" s="1470"/>
      <c r="EM74" s="1467"/>
      <c r="EN74" s="1465"/>
      <c r="EO74" s="1468"/>
      <c r="EP74" s="1465"/>
      <c r="EQ74" s="1468"/>
      <c r="ER74" s="1470"/>
      <c r="ES74" s="1468"/>
      <c r="ET74" s="1465"/>
      <c r="EU74" s="1468"/>
      <c r="EV74" s="1465"/>
      <c r="EW74" s="1468"/>
      <c r="EX74" s="1469"/>
      <c r="EY74" s="1467"/>
      <c r="EZ74" s="1465"/>
      <c r="FA74" s="1468"/>
      <c r="FB74" s="1465"/>
      <c r="FC74" s="1468"/>
      <c r="FD74" s="1470"/>
      <c r="FE74" s="1467"/>
      <c r="FF74" s="1465"/>
      <c r="FG74" s="1468"/>
      <c r="FH74" s="1465"/>
      <c r="FI74" s="1468"/>
      <c r="FJ74" s="1470"/>
      <c r="FK74" s="1467"/>
      <c r="FL74" s="1465"/>
      <c r="FM74" s="1468"/>
      <c r="FN74" s="1465"/>
      <c r="FO74" s="1468"/>
      <c r="FP74" s="1470"/>
      <c r="FQ74" s="1467"/>
      <c r="FR74" s="1465"/>
      <c r="FS74" s="1468"/>
      <c r="FT74" s="1465"/>
      <c r="FU74" s="1468"/>
      <c r="FV74" s="1470"/>
      <c r="FW74" s="1467"/>
      <c r="FX74" s="1465"/>
      <c r="FY74" s="1468"/>
      <c r="FZ74" s="1465"/>
      <c r="GA74" s="1468"/>
      <c r="GB74" s="1470"/>
      <c r="GC74" s="1467"/>
      <c r="GD74" s="1465"/>
      <c r="GE74" s="1468"/>
      <c r="GF74" s="1465"/>
      <c r="GG74" s="1468"/>
      <c r="GH74" s="1470"/>
    </row>
    <row r="75" spans="1:190" ht="20.100000000000001" customHeight="1">
      <c r="A75" s="1333"/>
      <c r="B75" s="1333"/>
      <c r="C75" s="1333"/>
      <c r="P75" s="1333"/>
      <c r="Q75" s="1333"/>
      <c r="R75" s="1333"/>
      <c r="S75" s="1333"/>
      <c r="T75" s="1333"/>
      <c r="U75" s="1333"/>
    </row>
    <row r="76" spans="1:190" ht="20.100000000000001" customHeight="1">
      <c r="A76" s="1333"/>
      <c r="B76" s="1752" t="s">
        <v>5160</v>
      </c>
      <c r="C76" s="1333"/>
      <c r="D76" s="1332"/>
      <c r="E76" s="1332"/>
      <c r="F76" s="1332"/>
      <c r="G76" s="1332"/>
      <c r="H76" s="1753" t="s">
        <v>15172</v>
      </c>
      <c r="I76" s="1754"/>
      <c r="J76" s="1332"/>
      <c r="K76" s="1332"/>
      <c r="L76" s="1332"/>
      <c r="M76" s="1332"/>
      <c r="N76" s="1332"/>
      <c r="O76" s="1332"/>
      <c r="V76" s="1332"/>
      <c r="W76" s="1332"/>
      <c r="X76" s="1755"/>
      <c r="Y76" s="1755"/>
      <c r="Z76" s="1755"/>
      <c r="AA76" s="1755"/>
      <c r="AB76" s="1755"/>
      <c r="AC76" s="1755"/>
      <c r="AD76" s="1755"/>
      <c r="AE76" s="1755"/>
      <c r="AF76" s="1755"/>
      <c r="AG76" s="1755"/>
      <c r="AH76" s="1755"/>
      <c r="AI76" s="1755"/>
      <c r="AJ76" s="1755"/>
      <c r="AK76" s="1755"/>
      <c r="AL76" s="1755"/>
      <c r="AM76" s="1755"/>
      <c r="AN76" s="1755"/>
      <c r="AO76" s="1755"/>
    </row>
    <row r="77" spans="1:190" ht="20.100000000000001" customHeight="1">
      <c r="A77" s="1333"/>
      <c r="B77" s="1471" t="s">
        <v>17450</v>
      </c>
      <c r="C77" s="1756"/>
      <c r="D77" s="1757" t="e">
        <f>VLOOKUP(C77,実績!$B$5:$CV$1474,2,0)</f>
        <v>#N/A</v>
      </c>
      <c r="E77" s="1757"/>
      <c r="F77" s="1757"/>
      <c r="G77" s="1756"/>
      <c r="H77" s="1754" t="s">
        <v>5159</v>
      </c>
      <c r="I77" s="2777">
        <f>C65</f>
        <v>200022</v>
      </c>
      <c r="J77" s="2777"/>
      <c r="K77" s="1758" t="s">
        <v>17048</v>
      </c>
      <c r="L77" s="2778" t="str">
        <f>"("&amp;TEXT(VLOOKUP(I77,実績!$B$5:$CV$1474,31,0),"mm/dd")&amp;")"</f>
        <v>(08/03)</v>
      </c>
      <c r="M77" s="2778"/>
      <c r="N77" s="1758" t="str">
        <f>VLOOKUP(I77,実績!$B$5:$CV$1474,2,0)</f>
        <v>仙台発酵の里</v>
      </c>
      <c r="P77" s="1759"/>
      <c r="Q77" s="1759" t="str">
        <f>IF(VLOOKUP(I77,実績!$B$5:$CV$1472,41,0)="○","D基礎","")&amp;IF(VLOOKUP(I77,実績!$B$5:$CV$1472,41,0)="-","通常基礎","")</f>
        <v>通常基礎</v>
      </c>
      <c r="R77" s="1760"/>
      <c r="S77" s="1755"/>
      <c r="T77" s="1755"/>
      <c r="U77" s="1755"/>
      <c r="V77" s="1755"/>
      <c r="W77" s="1761" t="str">
        <f>IF(VLOOKUP(I77,実績!$B$5:$CV$1472,41,0)="○","D基礎","")&amp;IF(VLOOKUP(I77,実績!$B$5:$CV$1472,41,0)="-","通常基礎","")</f>
        <v>通常基礎</v>
      </c>
      <c r="X77" s="1762"/>
      <c r="Y77" s="1762"/>
      <c r="Z77" s="1755"/>
      <c r="AA77" s="1755"/>
      <c r="AB77" s="1755"/>
      <c r="AC77" s="1755"/>
      <c r="AD77" s="1755"/>
      <c r="AE77" s="1755"/>
      <c r="AF77" s="1755"/>
      <c r="AG77" s="2864" t="e">
        <f>IF(VLOOKUP(J77,実績!$B$5:$CV$1472,41,0)="○","D基礎","")&amp;IF(VLOOKUP(J77,実績!$B$5:$CV$1472,41,0)="-","通常基礎","")</f>
        <v>#N/A</v>
      </c>
      <c r="AH77" s="2865"/>
      <c r="AI77" s="2865"/>
      <c r="AJ77" s="1763"/>
    </row>
    <row r="78" spans="1:190" ht="19.5" customHeight="1">
      <c r="A78" s="1333"/>
      <c r="B78" s="1471"/>
      <c r="C78" s="1756"/>
      <c r="D78" s="1757"/>
      <c r="E78" s="1757"/>
      <c r="F78" s="1757"/>
      <c r="G78" s="1756"/>
      <c r="H78" s="1754"/>
      <c r="I78" s="2777"/>
      <c r="J78" s="2777"/>
      <c r="K78" s="1758"/>
      <c r="L78" s="2778"/>
      <c r="M78" s="2778"/>
      <c r="N78" s="1758"/>
      <c r="P78" s="1759"/>
      <c r="Q78" s="1333"/>
      <c r="R78" s="1752"/>
      <c r="S78" s="1754"/>
      <c r="T78" s="1754"/>
      <c r="V78" s="1759"/>
      <c r="W78" s="1759"/>
      <c r="X78" s="1764"/>
      <c r="Y78" s="1760"/>
      <c r="Z78" s="1760"/>
      <c r="AA78" s="1755"/>
      <c r="AB78" s="1755"/>
      <c r="AC78" s="1760"/>
      <c r="AD78" s="1755"/>
      <c r="AE78" s="1755"/>
      <c r="AF78" s="1755"/>
      <c r="AG78" s="1755"/>
      <c r="AH78" s="1755"/>
      <c r="AI78" s="1755"/>
      <c r="AJ78" s="1755"/>
      <c r="AK78" s="1755"/>
      <c r="AL78" s="1761"/>
      <c r="AM78" s="1762"/>
      <c r="AN78" s="1762"/>
      <c r="AO78" s="1763"/>
    </row>
    <row r="79" spans="1:190" ht="19.5" customHeight="1">
      <c r="A79" s="1333"/>
      <c r="B79" s="1333"/>
      <c r="C79" s="1756"/>
      <c r="D79" s="1757"/>
      <c r="E79" s="1757"/>
      <c r="F79" s="1757"/>
      <c r="G79" s="1756"/>
      <c r="H79" s="1754"/>
      <c r="I79" s="2777"/>
      <c r="J79" s="2777"/>
      <c r="K79" s="1758"/>
      <c r="L79" s="2778"/>
      <c r="M79" s="2778"/>
      <c r="N79" s="1758"/>
      <c r="P79" s="1759"/>
      <c r="Q79" s="1333"/>
      <c r="R79" s="1752"/>
      <c r="S79" s="1754"/>
      <c r="T79" s="1754"/>
      <c r="V79" s="1759"/>
      <c r="W79" s="1759"/>
      <c r="X79" s="1764"/>
      <c r="Y79" s="1760"/>
      <c r="Z79" s="1760"/>
      <c r="AA79" s="1755"/>
      <c r="AB79" s="1755"/>
      <c r="AC79" s="1760"/>
      <c r="AD79" s="1755"/>
      <c r="AE79" s="1755"/>
      <c r="AF79" s="1755"/>
      <c r="AG79" s="1755"/>
      <c r="AH79" s="1755"/>
      <c r="AI79" s="1755"/>
      <c r="AJ79" s="1755"/>
      <c r="AK79" s="1755"/>
      <c r="AL79" s="1761"/>
      <c r="AM79" s="1762"/>
      <c r="AN79" s="1762"/>
      <c r="AO79" s="1763"/>
    </row>
    <row r="80" spans="1:190" ht="357.75" customHeight="1">
      <c r="A80" s="1333"/>
      <c r="B80" s="1333"/>
      <c r="C80" s="1333"/>
      <c r="P80" s="1333"/>
      <c r="Q80" s="1333"/>
      <c r="R80" s="1333"/>
      <c r="S80" s="1333"/>
      <c r="T80" s="1333"/>
      <c r="U80" s="1333"/>
    </row>
    <row r="81" spans="1:190" ht="20.100000000000001" customHeight="1">
      <c r="A81" s="1333"/>
      <c r="B81" s="1333"/>
      <c r="C81" s="1333"/>
    </row>
    <row r="82" spans="1:190" ht="20.100000000000001" customHeight="1">
      <c r="A82" s="1333"/>
      <c r="B82" s="1333"/>
      <c r="C82" s="1176"/>
      <c r="D82" s="1598" t="e">
        <f>VLOOKUP(C82,実績!$B$5:'実績'!$AC$1472,2,0)</f>
        <v>#N/A</v>
      </c>
      <c r="E82" s="1382" t="e">
        <f>SUBSTITUTE(VLOOKUP(D82,実績!$C$5:'実績'!$AC$1472,3,0),"株式会社 ","")</f>
        <v>#N/A</v>
      </c>
      <c r="F82" s="1383" t="e">
        <f>SUBSTITUTE(VLOOKUP(D82,実績!$C$5:'実績'!$AC$1472,2,0),"株式会社 ","")</f>
        <v>#N/A</v>
      </c>
      <c r="G82" s="1599" t="e">
        <f>SUBSTITUTE(VLOOKUP(D82,実績!$C$5:'実績'!$AC$1472,16,0)," 株式会社","")</f>
        <v>#N/A</v>
      </c>
      <c r="H82" s="1600" t="e">
        <f>VLOOKUP(D82,実績!$C$5:'実績'!$AC$1472,4,0)</f>
        <v>#N/A</v>
      </c>
      <c r="I82" s="1601" t="e">
        <f>VLOOKUP(D82,実績!$C$5:'実績'!$AC$1472,5,0)</f>
        <v>#N/A</v>
      </c>
      <c r="J82" s="1602" t="e">
        <f>VLOOKUP(D82,実績!$C$5:'実績'!$AC$1472,9,0)</f>
        <v>#N/A</v>
      </c>
      <c r="K82" s="1603" t="e">
        <f>ROUND(VLOOKUP(D82,実績!$C$5:'実績'!$AC$1472,15,0),-1)</f>
        <v>#N/A</v>
      </c>
      <c r="L82" s="1604" t="e">
        <f>VLOOKUP(D82,実績!$C$5:'実績'!$BY$1451,40,0)</f>
        <v>#N/A</v>
      </c>
      <c r="M82" s="1602" t="e">
        <f>VLOOKUP(D82,実績!$C$5:'実績'!$BY$1472,38,0)</f>
        <v>#N/A</v>
      </c>
      <c r="N82" s="1602" t="e">
        <f>VLOOKUP(D82,実績!$C$5:'実績'!$BY$1472,37,0)</f>
        <v>#N/A</v>
      </c>
      <c r="O82" s="1603" t="e">
        <f>VLOOKUP(D82,実績!$C$5:'実績'!$BY$1472,41,0)</f>
        <v>#N/A</v>
      </c>
      <c r="P82" s="1765"/>
      <c r="Q82" s="1766"/>
      <c r="R82" s="1765"/>
      <c r="S82" s="1767"/>
      <c r="T82" s="1768"/>
      <c r="U82" s="1766"/>
      <c r="V82" s="1769"/>
      <c r="W82" s="1355"/>
      <c r="X82" s="1355"/>
      <c r="Y82" s="1356"/>
      <c r="Z82" s="1355"/>
      <c r="AA82" s="1356"/>
      <c r="AB82" s="1357"/>
      <c r="AC82" s="1355"/>
      <c r="AD82" s="1355"/>
      <c r="AE82" s="1356"/>
      <c r="AF82" s="1355"/>
      <c r="AG82" s="1356"/>
      <c r="AH82" s="1355"/>
      <c r="AI82" s="1175"/>
      <c r="AJ82" s="1355"/>
      <c r="AK82" s="1356"/>
      <c r="AL82" s="1355"/>
      <c r="AM82" s="1356"/>
      <c r="AN82" s="1357"/>
      <c r="AO82" s="1355"/>
      <c r="AP82" s="1355"/>
      <c r="AQ82" s="1356"/>
      <c r="AR82" s="1355"/>
      <c r="AS82" s="1356"/>
      <c r="AT82" s="1355"/>
      <c r="AU82" s="1358"/>
      <c r="AV82" s="1355"/>
      <c r="AW82" s="1356"/>
      <c r="AX82" s="1355"/>
      <c r="AY82" s="1356"/>
      <c r="AZ82" s="1357"/>
      <c r="BA82" s="1175"/>
      <c r="BB82" s="1355"/>
      <c r="BC82" s="1356"/>
      <c r="BD82" s="1355"/>
      <c r="BE82" s="1356"/>
      <c r="BF82" s="1357"/>
      <c r="BG82" s="1355"/>
      <c r="BH82" s="1355"/>
      <c r="BI82" s="1356"/>
      <c r="BJ82" s="1355"/>
      <c r="BK82" s="1356"/>
      <c r="BL82" s="1355"/>
      <c r="BM82" s="1175"/>
      <c r="BN82" s="1355"/>
      <c r="BO82" s="1356"/>
      <c r="BP82" s="1355"/>
      <c r="BQ82" s="1356"/>
      <c r="BR82" s="1357"/>
      <c r="BS82" s="1175"/>
      <c r="BT82" s="1355"/>
      <c r="BU82" s="1356"/>
      <c r="BV82" s="1429"/>
      <c r="BW82" s="1356"/>
      <c r="BX82" s="1357"/>
      <c r="BY82" s="1175"/>
      <c r="BZ82" s="1355"/>
      <c r="CA82" s="1356"/>
      <c r="CB82" s="1355"/>
      <c r="CC82" s="1356"/>
      <c r="CD82" s="1357"/>
      <c r="CE82" s="1175"/>
      <c r="CF82" s="1355"/>
      <c r="CG82" s="1356"/>
      <c r="CH82" s="1355"/>
      <c r="CI82" s="1356"/>
      <c r="CJ82" s="1357"/>
      <c r="CK82" s="1175"/>
      <c r="CL82" s="1355"/>
      <c r="CM82" s="1356"/>
      <c r="CN82" s="1355"/>
      <c r="CO82" s="1356"/>
      <c r="CP82" s="1357"/>
      <c r="CQ82" s="1175"/>
      <c r="CR82" s="1355"/>
      <c r="CS82" s="1356"/>
      <c r="CT82" s="1430"/>
      <c r="CU82" s="1356"/>
      <c r="CV82" s="1357"/>
      <c r="CW82" s="1175"/>
      <c r="CX82" s="1355"/>
      <c r="CY82" s="1356"/>
      <c r="CZ82" s="1355"/>
      <c r="DA82" s="1356"/>
      <c r="DB82" s="1357"/>
      <c r="DC82" s="1175"/>
      <c r="DD82" s="1355"/>
      <c r="DE82" s="1356"/>
      <c r="DF82" s="1355"/>
      <c r="DG82" s="1356"/>
      <c r="DH82" s="1357"/>
      <c r="DI82" s="1175"/>
      <c r="DJ82" s="1355"/>
      <c r="DK82" s="1356"/>
      <c r="DL82" s="1355"/>
      <c r="DM82" s="1356"/>
      <c r="DN82" s="1357"/>
      <c r="DO82" s="1175"/>
      <c r="DP82" s="1355"/>
      <c r="DQ82" s="1356"/>
      <c r="DR82" s="1355"/>
      <c r="DS82" s="1356"/>
      <c r="DT82" s="1357"/>
      <c r="DU82" s="1175"/>
      <c r="DV82" s="1355"/>
      <c r="DW82" s="1356"/>
      <c r="DX82" s="1355"/>
      <c r="DY82" s="1356"/>
      <c r="DZ82" s="1357"/>
      <c r="EA82" s="1175"/>
      <c r="EB82" s="1355"/>
      <c r="EC82" s="1356"/>
      <c r="ED82" s="1355"/>
      <c r="EE82" s="1356"/>
      <c r="EF82" s="1357"/>
      <c r="EG82" s="1175"/>
      <c r="EH82" s="1429"/>
      <c r="EI82" s="1356"/>
      <c r="EJ82" s="1355"/>
      <c r="EK82" s="1356"/>
      <c r="EL82" s="1359"/>
      <c r="EM82" s="1175"/>
      <c r="EN82" s="1355"/>
      <c r="EO82" s="1356"/>
      <c r="EP82" s="1355"/>
      <c r="EQ82" s="1356"/>
      <c r="ER82" s="1357"/>
      <c r="ES82" s="1605"/>
      <c r="ET82" s="1355"/>
      <c r="EU82" s="1356"/>
      <c r="EV82" s="1355"/>
      <c r="EW82" s="1356"/>
      <c r="EX82" s="1357"/>
      <c r="EY82" s="1175"/>
      <c r="EZ82" s="1355"/>
      <c r="FA82" s="1356"/>
      <c r="FB82" s="1355"/>
      <c r="FC82" s="1356"/>
      <c r="FD82" s="1357"/>
      <c r="FE82" s="1175"/>
      <c r="FF82" s="1355"/>
      <c r="FG82" s="1356"/>
      <c r="FH82" s="1355"/>
      <c r="FI82" s="1356"/>
      <c r="FJ82" s="1359"/>
      <c r="FK82" s="1175"/>
      <c r="FL82" s="1355"/>
      <c r="FM82" s="1356"/>
      <c r="FN82" s="1355"/>
      <c r="FO82" s="1356"/>
      <c r="FP82" s="1359"/>
      <c r="FQ82" s="1175"/>
      <c r="FR82" s="1355"/>
      <c r="FS82" s="1356"/>
      <c r="FT82" s="1355"/>
      <c r="FU82" s="1356"/>
      <c r="FV82" s="1359"/>
      <c r="FW82" s="1175"/>
      <c r="FX82" s="1355"/>
      <c r="FY82" s="1356"/>
      <c r="FZ82" s="1355"/>
      <c r="GA82" s="1356"/>
      <c r="GB82" s="1359"/>
      <c r="GC82" s="1175"/>
      <c r="GD82" s="1355"/>
      <c r="GE82" s="1356"/>
      <c r="GF82" s="1355"/>
      <c r="GG82" s="1356"/>
      <c r="GH82" s="1359"/>
    </row>
    <row r="83" spans="1:190" ht="20.100000000000001" customHeight="1">
      <c r="A83" s="1333"/>
      <c r="B83" s="1333"/>
      <c r="C83" s="1333"/>
    </row>
    <row r="84" spans="1:190" ht="20.100000000000001" customHeight="1">
      <c r="A84" s="1333"/>
      <c r="B84" s="1333"/>
      <c r="C84" s="1333"/>
    </row>
    <row r="85" spans="1:190" ht="20.100000000000001" customHeight="1">
      <c r="A85" s="1333"/>
      <c r="B85" s="1333"/>
      <c r="C85" s="1333"/>
    </row>
    <row r="86" spans="1:190" ht="20.100000000000001" customHeight="1">
      <c r="A86" s="1333"/>
      <c r="B86" s="1333"/>
      <c r="C86" s="1333"/>
    </row>
    <row r="87" spans="1:190" ht="20.100000000000001" customHeight="1">
      <c r="A87" s="1333"/>
      <c r="B87" s="1333"/>
      <c r="C87" s="1333"/>
    </row>
    <row r="88" spans="1:190" ht="20.100000000000001" customHeight="1">
      <c r="A88" s="1333"/>
      <c r="B88" s="1333"/>
      <c r="C88" s="1333"/>
    </row>
    <row r="89" spans="1:190" ht="20.100000000000001" customHeight="1">
      <c r="A89" s="1333"/>
      <c r="B89" s="1333"/>
      <c r="C89" s="1333"/>
    </row>
    <row r="90" spans="1:190" ht="20.100000000000001" customHeight="1">
      <c r="A90" s="1333"/>
      <c r="B90" s="1333"/>
      <c r="C90" s="1333"/>
    </row>
    <row r="91" spans="1:190" ht="20.100000000000001" customHeight="1">
      <c r="A91" s="1333"/>
      <c r="B91" s="1333"/>
      <c r="C91" s="1333"/>
    </row>
    <row r="92" spans="1:190" ht="20.100000000000001" customHeight="1">
      <c r="A92" s="1333"/>
      <c r="B92" s="1333"/>
      <c r="C92" s="1333"/>
    </row>
    <row r="93" spans="1:190" ht="20.100000000000001" customHeight="1">
      <c r="A93" s="1333"/>
      <c r="B93" s="1333"/>
      <c r="C93" s="1333"/>
    </row>
    <row r="94" spans="1:190" ht="20.100000000000001" customHeight="1">
      <c r="A94" s="1333"/>
      <c r="B94" s="1333"/>
      <c r="C94" s="1333"/>
    </row>
    <row r="95" spans="1:190" ht="20.100000000000001" customHeight="1">
      <c r="A95" s="1333"/>
      <c r="B95" s="1333"/>
      <c r="C95" s="1333"/>
    </row>
    <row r="96" spans="1:190" ht="20.100000000000001" customHeight="1"/>
    <row r="97" spans="1:178" ht="20.100000000000001" customHeight="1"/>
    <row r="98" spans="1:178" ht="33.75" customHeight="1"/>
    <row r="99" spans="1:178" ht="20.100000000000001" customHeight="1"/>
    <row r="100" spans="1:178" ht="20.100000000000001" customHeight="1"/>
    <row r="101" spans="1:178" ht="20.100000000000001" customHeight="1"/>
    <row r="102" spans="1:178" ht="20.100000000000001" customHeight="1">
      <c r="C102" s="1606"/>
      <c r="D102" s="2805" t="str">
        <f>実績!C1500&amp;"("&amp;SUBSTITUTE(実績!R1500&amp;")","株式会社","")</f>
        <v>()</v>
      </c>
      <c r="E102" s="2806"/>
      <c r="F102" s="2806"/>
      <c r="G102" s="2807"/>
      <c r="H102" s="1769"/>
      <c r="I102" s="1769"/>
      <c r="J102" s="1769"/>
      <c r="K102" s="1769"/>
      <c r="L102" s="1769"/>
      <c r="M102" s="1769"/>
      <c r="N102" s="1769"/>
      <c r="O102" s="1769"/>
      <c r="P102" s="1770"/>
      <c r="Q102" s="1770"/>
      <c r="R102" s="1770"/>
      <c r="S102" s="1770"/>
      <c r="T102" s="1770"/>
      <c r="U102" s="1770"/>
      <c r="V102" s="1769"/>
      <c r="W102" s="1355"/>
      <c r="X102" s="1355"/>
      <c r="Y102" s="1356"/>
      <c r="Z102" s="1355"/>
      <c r="AA102" s="1356"/>
      <c r="AB102" s="1357"/>
      <c r="AC102" s="1355"/>
      <c r="AD102" s="1355"/>
      <c r="AE102" s="1356"/>
      <c r="AF102" s="1355"/>
      <c r="AG102" s="1356"/>
      <c r="AH102" s="1355"/>
      <c r="AI102" s="1175"/>
      <c r="AJ102" s="1355"/>
      <c r="AK102" s="1356"/>
      <c r="AL102" s="1355"/>
      <c r="AM102" s="1356"/>
      <c r="AN102" s="1357"/>
      <c r="AO102" s="1355"/>
      <c r="AP102" s="1355"/>
      <c r="AQ102" s="1356"/>
      <c r="AR102" s="1355"/>
      <c r="AS102" s="1356"/>
      <c r="AT102" s="1355"/>
      <c r="AU102" s="1358"/>
      <c r="AV102" s="1355"/>
      <c r="AW102" s="1356"/>
      <c r="AX102" s="1355"/>
      <c r="AY102" s="1356"/>
      <c r="AZ102" s="1357"/>
      <c r="BA102" s="1175"/>
      <c r="BB102" s="1355"/>
      <c r="BC102" s="1356"/>
      <c r="BD102" s="1355"/>
      <c r="BE102" s="1356"/>
      <c r="BF102" s="1357"/>
      <c r="BG102" s="1355"/>
      <c r="BH102" s="1355"/>
      <c r="BI102" s="1356"/>
      <c r="BJ102" s="1355"/>
      <c r="BK102" s="1356"/>
      <c r="BL102" s="1355"/>
      <c r="BM102" s="1175"/>
      <c r="BN102" s="1355"/>
      <c r="BO102" s="1356"/>
      <c r="BP102" s="1355"/>
      <c r="BQ102" s="1356"/>
      <c r="BR102" s="1357"/>
      <c r="BS102" s="1175"/>
      <c r="BT102" s="1355"/>
      <c r="BU102" s="1356"/>
      <c r="BV102" s="1429"/>
      <c r="BW102" s="1356"/>
      <c r="BX102" s="1357"/>
      <c r="BY102" s="1175"/>
      <c r="BZ102" s="1355"/>
      <c r="CA102" s="1356"/>
      <c r="CB102" s="1355"/>
      <c r="CC102" s="1356"/>
      <c r="CD102" s="1357"/>
      <c r="CE102" s="1175"/>
      <c r="CF102" s="1355"/>
      <c r="CG102" s="1356"/>
      <c r="CH102" s="1355"/>
      <c r="CI102" s="1356"/>
      <c r="CJ102" s="1357"/>
      <c r="CK102" s="1175"/>
      <c r="CL102" s="1355"/>
      <c r="CM102" s="1356"/>
      <c r="CN102" s="1355"/>
      <c r="CO102" s="1356"/>
      <c r="CP102" s="1357"/>
      <c r="CQ102" s="1175"/>
      <c r="CR102" s="1355"/>
      <c r="CS102" s="1356"/>
      <c r="CT102" s="1430"/>
      <c r="CU102" s="1356"/>
      <c r="CV102" s="1357"/>
      <c r="CW102" s="1175"/>
      <c r="CX102" s="1355"/>
      <c r="CY102" s="1356"/>
      <c r="CZ102" s="1355"/>
      <c r="DA102" s="1356"/>
      <c r="DB102" s="1357"/>
      <c r="DC102" s="1175"/>
      <c r="DD102" s="1355"/>
      <c r="DE102" s="1356"/>
      <c r="DF102" s="1355"/>
      <c r="DG102" s="1356"/>
      <c r="DH102" s="1357"/>
      <c r="DI102" s="1175"/>
      <c r="DJ102" s="1355"/>
      <c r="DK102" s="1356"/>
      <c r="DL102" s="1355"/>
      <c r="DM102" s="1356"/>
      <c r="DN102" s="1357"/>
      <c r="DO102" s="1175"/>
      <c r="DP102" s="1355"/>
      <c r="DQ102" s="1356"/>
      <c r="DR102" s="1355"/>
      <c r="DS102" s="1356"/>
      <c r="DT102" s="1357"/>
      <c r="DU102" s="1175"/>
      <c r="DV102" s="1355"/>
      <c r="DW102" s="1356"/>
      <c r="DX102" s="1355"/>
      <c r="DY102" s="1356"/>
      <c r="DZ102" s="1357"/>
      <c r="EA102" s="1175"/>
      <c r="EB102" s="1355"/>
      <c r="EC102" s="1356"/>
      <c r="ED102" s="1355"/>
      <c r="EE102" s="1356"/>
      <c r="EF102" s="1357"/>
      <c r="EG102" s="1175"/>
      <c r="EH102" s="1355"/>
      <c r="EI102" s="1356"/>
      <c r="EJ102" s="1355"/>
      <c r="EK102" s="1356"/>
      <c r="EL102" s="1357"/>
      <c r="EM102" s="1508"/>
      <c r="EN102" s="1505"/>
      <c r="EO102" s="1506"/>
      <c r="EP102" s="1505"/>
      <c r="EQ102" s="1506"/>
      <c r="ER102" s="1507"/>
      <c r="ES102" s="1508"/>
      <c r="ET102" s="1505"/>
      <c r="EU102" s="1506"/>
      <c r="EV102" s="1505"/>
      <c r="EW102" s="1506"/>
      <c r="EX102" s="1507"/>
      <c r="EY102" s="1508"/>
      <c r="EZ102" s="1505"/>
      <c r="FA102" s="1506"/>
      <c r="FB102" s="1505"/>
      <c r="FC102" s="1506"/>
      <c r="FD102" s="1507"/>
      <c r="FE102" s="1508"/>
      <c r="FF102" s="1505"/>
      <c r="FG102" s="1506"/>
      <c r="FH102" s="1505"/>
      <c r="FI102" s="1506"/>
      <c r="FJ102" s="1507"/>
      <c r="FK102" s="1508"/>
      <c r="FL102" s="1505"/>
      <c r="FM102" s="1506"/>
      <c r="FN102" s="1505"/>
      <c r="FO102" s="1506"/>
      <c r="FP102" s="1507"/>
      <c r="FQ102" s="1508"/>
      <c r="FR102" s="1505"/>
      <c r="FS102" s="1506"/>
      <c r="FT102" s="1505"/>
      <c r="FU102" s="1506"/>
      <c r="FV102" s="1507"/>
    </row>
    <row r="103" spans="1:178">
      <c r="B103" s="1333"/>
    </row>
    <row r="104" spans="1:178">
      <c r="A104" s="1333"/>
      <c r="B104" s="1333"/>
      <c r="C104" s="1333"/>
      <c r="D104" s="1771"/>
      <c r="E104" s="1771"/>
      <c r="F104" s="1771"/>
    </row>
    <row r="105" spans="1:178" ht="6" customHeight="1">
      <c r="A105" s="1333"/>
      <c r="B105" s="1333"/>
      <c r="C105" s="1333"/>
      <c r="D105" s="1771"/>
      <c r="E105" s="1771"/>
      <c r="F105" s="1771"/>
    </row>
    <row r="106" spans="1:178">
      <c r="A106" s="1333"/>
      <c r="B106" s="1333"/>
      <c r="C106" s="1333"/>
      <c r="D106" s="1771"/>
      <c r="E106" s="1771"/>
      <c r="F106" s="1771"/>
    </row>
    <row r="107" spans="1:178" ht="15.95" customHeight="1">
      <c r="A107" s="1333"/>
      <c r="B107" s="1333"/>
      <c r="C107" s="1333"/>
      <c r="D107" s="1771"/>
      <c r="E107" s="1771"/>
      <c r="F107" s="1771"/>
    </row>
    <row r="108" spans="1:178" ht="3" customHeight="1">
      <c r="A108" s="1333"/>
      <c r="B108" s="1333"/>
      <c r="C108" s="1333"/>
      <c r="D108" s="1771"/>
      <c r="E108" s="1771"/>
      <c r="F108" s="1771"/>
    </row>
    <row r="109" spans="1:178" ht="15.95" customHeight="1">
      <c r="A109" s="1333"/>
      <c r="B109" s="1333"/>
      <c r="C109" s="1333"/>
      <c r="D109" s="1771"/>
      <c r="E109" s="1771"/>
      <c r="F109" s="1771"/>
    </row>
    <row r="110" spans="1:178" ht="3" customHeight="1">
      <c r="A110" s="1333"/>
      <c r="B110" s="1333"/>
      <c r="C110" s="1333"/>
      <c r="D110" s="1771"/>
      <c r="E110" s="1771"/>
      <c r="F110" s="1771"/>
    </row>
    <row r="111" spans="1:178" ht="15.95" customHeight="1">
      <c r="A111" s="1333"/>
      <c r="B111" s="1333"/>
      <c r="C111" s="1333"/>
      <c r="D111" s="1771"/>
      <c r="E111" s="1771"/>
      <c r="F111" s="1771"/>
    </row>
    <row r="112" spans="1:178" ht="3" customHeight="1">
      <c r="A112" s="1333"/>
      <c r="B112" s="1333"/>
      <c r="C112" s="1333"/>
      <c r="D112" s="1771"/>
      <c r="E112" s="1771"/>
      <c r="F112" s="1771"/>
    </row>
    <row r="113" spans="1:6" ht="15.95" customHeight="1">
      <c r="A113" s="1333"/>
      <c r="B113" s="1333"/>
      <c r="C113" s="1333"/>
      <c r="D113" s="1771"/>
      <c r="E113" s="1771"/>
      <c r="F113" s="1771"/>
    </row>
    <row r="114" spans="1:6" ht="3" customHeight="1">
      <c r="A114" s="1333"/>
      <c r="B114" s="1333"/>
      <c r="C114" s="1333"/>
      <c r="D114" s="1771"/>
      <c r="E114" s="1771"/>
      <c r="F114" s="1771"/>
    </row>
    <row r="115" spans="1:6" ht="15.95" customHeight="1">
      <c r="A115" s="1333"/>
      <c r="B115" s="1333"/>
      <c r="C115" s="1333"/>
      <c r="D115" s="1771"/>
      <c r="E115" s="1771"/>
      <c r="F115" s="1771"/>
    </row>
    <row r="116" spans="1:6" ht="3" customHeight="1">
      <c r="A116" s="1333"/>
      <c r="B116" s="1333"/>
      <c r="C116" s="1333"/>
      <c r="D116" s="1771"/>
      <c r="E116" s="1771"/>
      <c r="F116" s="1771"/>
    </row>
    <row r="117" spans="1:6" ht="15.95" customHeight="1">
      <c r="A117" s="1333"/>
      <c r="B117" s="1333"/>
      <c r="C117" s="1333"/>
      <c r="D117" s="1771"/>
      <c r="E117" s="1771"/>
      <c r="F117" s="1771"/>
    </row>
    <row r="118" spans="1:6" ht="6" customHeight="1">
      <c r="A118" s="1333"/>
      <c r="B118" s="1333"/>
      <c r="C118" s="1333"/>
      <c r="D118" s="1771"/>
      <c r="E118" s="1771"/>
      <c r="F118" s="1771"/>
    </row>
    <row r="119" spans="1:6">
      <c r="A119" s="1333"/>
      <c r="B119" s="1333"/>
      <c r="C119" s="1333"/>
      <c r="D119" s="1771"/>
      <c r="E119" s="1771"/>
      <c r="F119" s="1771"/>
    </row>
    <row r="120" spans="1:6" ht="13.5" customHeight="1">
      <c r="A120" s="1333"/>
      <c r="B120" s="1333"/>
      <c r="C120" s="1333"/>
    </row>
    <row r="125" spans="1:6" ht="13.5" customHeight="1"/>
    <row r="130" ht="13.5" customHeight="1"/>
  </sheetData>
  <sheetProtection sheet="1" objects="1" scenarios="1"/>
  <mergeCells count="243">
    <mergeCell ref="A69:A74"/>
    <mergeCell ref="B46:B68"/>
    <mergeCell ref="I79:J79"/>
    <mergeCell ref="L79:M79"/>
    <mergeCell ref="B10:B19"/>
    <mergeCell ref="A8:A19"/>
    <mergeCell ref="FQ4:FV4"/>
    <mergeCell ref="FW4:GB4"/>
    <mergeCell ref="C4:C5"/>
    <mergeCell ref="C8:C9"/>
    <mergeCell ref="AG77:AI77"/>
    <mergeCell ref="BY4:CD4"/>
    <mergeCell ref="BP5:BQ5"/>
    <mergeCell ref="BT5:BU5"/>
    <mergeCell ref="BV5:BW5"/>
    <mergeCell ref="BZ5:CA5"/>
    <mergeCell ref="AR5:AS5"/>
    <mergeCell ref="AV5:AW5"/>
    <mergeCell ref="AX5:AY5"/>
    <mergeCell ref="BB5:BC5"/>
    <mergeCell ref="BD5:BE5"/>
    <mergeCell ref="BH5:BI5"/>
    <mergeCell ref="O8:O9"/>
    <mergeCell ref="P8:P9"/>
    <mergeCell ref="Q8:Q9"/>
    <mergeCell ref="N8:N9"/>
    <mergeCell ref="GF5:GG5"/>
    <mergeCell ref="CQ4:CV4"/>
    <mergeCell ref="FF1:FJ2"/>
    <mergeCell ref="FF3:FJ3"/>
    <mergeCell ref="W4:AB4"/>
    <mergeCell ref="AC4:AH4"/>
    <mergeCell ref="AI4:AN4"/>
    <mergeCell ref="AO4:AT4"/>
    <mergeCell ref="AU4:AZ4"/>
    <mergeCell ref="BA4:BF4"/>
    <mergeCell ref="BG4:BL4"/>
    <mergeCell ref="CB5:CC5"/>
    <mergeCell ref="CF5:CG5"/>
    <mergeCell ref="CH5:CI5"/>
    <mergeCell ref="CL5:CM5"/>
    <mergeCell ref="CR5:CS5"/>
    <mergeCell ref="GC4:GH4"/>
    <mergeCell ref="X5:Y5"/>
    <mergeCell ref="Z5:AA5"/>
    <mergeCell ref="AD5:AE5"/>
    <mergeCell ref="AF5:AG5"/>
    <mergeCell ref="BJ5:BK5"/>
    <mergeCell ref="DI4:DN4"/>
    <mergeCell ref="DO4:DT4"/>
    <mergeCell ref="DU4:DZ4"/>
    <mergeCell ref="EA4:EF4"/>
    <mergeCell ref="EM4:ER4"/>
    <mergeCell ref="BN5:BO5"/>
    <mergeCell ref="CE4:CJ4"/>
    <mergeCell ref="ET5:EU5"/>
    <mergeCell ref="DL5:DM5"/>
    <mergeCell ref="DP5:DQ5"/>
    <mergeCell ref="DR5:DS5"/>
    <mergeCell ref="DV5:DW5"/>
    <mergeCell ref="DX5:DY5"/>
    <mergeCell ref="EB5:EC5"/>
    <mergeCell ref="CT5:CU5"/>
    <mergeCell ref="CX5:CY5"/>
    <mergeCell ref="CZ5:DA5"/>
    <mergeCell ref="EH5:EI5"/>
    <mergeCell ref="EJ5:EK5"/>
    <mergeCell ref="EN5:EO5"/>
    <mergeCell ref="EP5:EQ5"/>
    <mergeCell ref="A4:B5"/>
    <mergeCell ref="H4:I5"/>
    <mergeCell ref="E4:E5"/>
    <mergeCell ref="F4:F5"/>
    <mergeCell ref="K4:K5"/>
    <mergeCell ref="J4:J5"/>
    <mergeCell ref="M4:M5"/>
    <mergeCell ref="L4:L5"/>
    <mergeCell ref="O4:O5"/>
    <mergeCell ref="P4:P5"/>
    <mergeCell ref="N4:N5"/>
    <mergeCell ref="Q4:Q5"/>
    <mergeCell ref="FX5:FY5"/>
    <mergeCell ref="R4:S4"/>
    <mergeCell ref="T4:U4"/>
    <mergeCell ref="DD5:DE5"/>
    <mergeCell ref="DF5:DG5"/>
    <mergeCell ref="DJ5:DK5"/>
    <mergeCell ref="AJ5:AK5"/>
    <mergeCell ref="AL5:AM5"/>
    <mergeCell ref="AP5:AQ5"/>
    <mergeCell ref="EG4:EL4"/>
    <mergeCell ref="BM4:BR4"/>
    <mergeCell ref="BS4:BX4"/>
    <mergeCell ref="CK4:CP4"/>
    <mergeCell ref="CN5:CO5"/>
    <mergeCell ref="ED5:EE5"/>
    <mergeCell ref="ES4:EX4"/>
    <mergeCell ref="EY4:FD4"/>
    <mergeCell ref="FE4:FJ4"/>
    <mergeCell ref="FK4:FP4"/>
    <mergeCell ref="CW4:DB4"/>
    <mergeCell ref="DC4:DH4"/>
    <mergeCell ref="FZ5:GA5"/>
    <mergeCell ref="GD5:GE5"/>
    <mergeCell ref="EV5:EW5"/>
    <mergeCell ref="EZ5:FA5"/>
    <mergeCell ref="FB5:FC5"/>
    <mergeCell ref="FF5:FG5"/>
    <mergeCell ref="FH5:FI5"/>
    <mergeCell ref="FL5:FM5"/>
    <mergeCell ref="FN5:FO5"/>
    <mergeCell ref="FR5:FS5"/>
    <mergeCell ref="FT5:FU5"/>
    <mergeCell ref="D102:G102"/>
    <mergeCell ref="G4:G5"/>
    <mergeCell ref="D4:D5"/>
    <mergeCell ref="G8:G9"/>
    <mergeCell ref="D8:D9"/>
    <mergeCell ref="T38:U38"/>
    <mergeCell ref="B70:B73"/>
    <mergeCell ref="A20:A33"/>
    <mergeCell ref="H8:H9"/>
    <mergeCell ref="I8:I9"/>
    <mergeCell ref="R8:R9"/>
    <mergeCell ref="S8:S9"/>
    <mergeCell ref="T8:T9"/>
    <mergeCell ref="U8:U9"/>
    <mergeCell ref="B20:B33"/>
    <mergeCell ref="J8:J9"/>
    <mergeCell ref="K8:K9"/>
    <mergeCell ref="L8:L9"/>
    <mergeCell ref="M8:M9"/>
    <mergeCell ref="F8:F9"/>
    <mergeCell ref="E8:E9"/>
    <mergeCell ref="B41:B45"/>
    <mergeCell ref="A40:A68"/>
    <mergeCell ref="B8:B9"/>
    <mergeCell ref="FF35:FJ36"/>
    <mergeCell ref="FF37:FJ37"/>
    <mergeCell ref="A38:B39"/>
    <mergeCell ref="C38:C39"/>
    <mergeCell ref="D38:D39"/>
    <mergeCell ref="E38:E39"/>
    <mergeCell ref="F38:F39"/>
    <mergeCell ref="G38:G39"/>
    <mergeCell ref="H38:I39"/>
    <mergeCell ref="J38:J39"/>
    <mergeCell ref="K38:K39"/>
    <mergeCell ref="L38:L39"/>
    <mergeCell ref="M38:M39"/>
    <mergeCell ref="N38:N39"/>
    <mergeCell ref="O38:O39"/>
    <mergeCell ref="P38:P39"/>
    <mergeCell ref="Q38:Q39"/>
    <mergeCell ref="R38:S38"/>
    <mergeCell ref="AI38:AN38"/>
    <mergeCell ref="AO38:AT38"/>
    <mergeCell ref="AU38:AZ38"/>
    <mergeCell ref="BA38:BF38"/>
    <mergeCell ref="BG38:BL38"/>
    <mergeCell ref="BM38:BR38"/>
    <mergeCell ref="EY38:FD38"/>
    <mergeCell ref="FE38:FJ38"/>
    <mergeCell ref="FK38:FP38"/>
    <mergeCell ref="FQ38:FV38"/>
    <mergeCell ref="FW38:GB38"/>
    <mergeCell ref="BY38:CD38"/>
    <mergeCell ref="CE38:CJ38"/>
    <mergeCell ref="CK38:CP38"/>
    <mergeCell ref="CQ38:CV38"/>
    <mergeCell ref="CW38:DB38"/>
    <mergeCell ref="DC38:DH38"/>
    <mergeCell ref="DI38:DN38"/>
    <mergeCell ref="DO38:DT38"/>
    <mergeCell ref="DU38:DZ38"/>
    <mergeCell ref="EA38:EF38"/>
    <mergeCell ref="EG38:EL38"/>
    <mergeCell ref="EM38:ER38"/>
    <mergeCell ref="ES38:EX38"/>
    <mergeCell ref="GC38:GH38"/>
    <mergeCell ref="X39:Y39"/>
    <mergeCell ref="Z39:AA39"/>
    <mergeCell ref="AD39:AE39"/>
    <mergeCell ref="AF39:AG39"/>
    <mergeCell ref="AJ39:AK39"/>
    <mergeCell ref="AL39:AM39"/>
    <mergeCell ref="AP39:AQ39"/>
    <mergeCell ref="AR39:AS39"/>
    <mergeCell ref="AV39:AW39"/>
    <mergeCell ref="AX39:AY39"/>
    <mergeCell ref="BB39:BC39"/>
    <mergeCell ref="BD39:BE39"/>
    <mergeCell ref="BH39:BI39"/>
    <mergeCell ref="BJ39:BK39"/>
    <mergeCell ref="BN39:BO39"/>
    <mergeCell ref="BP39:BQ39"/>
    <mergeCell ref="BT39:BU39"/>
    <mergeCell ref="BV39:BW39"/>
    <mergeCell ref="BZ39:CA39"/>
    <mergeCell ref="CB39:CC39"/>
    <mergeCell ref="CF39:CG39"/>
    <mergeCell ref="CH39:CI39"/>
    <mergeCell ref="CL39:CM39"/>
    <mergeCell ref="GD39:GE39"/>
    <mergeCell ref="GF39:GG39"/>
    <mergeCell ref="I77:J77"/>
    <mergeCell ref="L77:M77"/>
    <mergeCell ref="I78:J78"/>
    <mergeCell ref="L78:M78"/>
    <mergeCell ref="EZ39:FA39"/>
    <mergeCell ref="FB39:FC39"/>
    <mergeCell ref="FF39:FG39"/>
    <mergeCell ref="FZ39:GA39"/>
    <mergeCell ref="FH39:FI39"/>
    <mergeCell ref="FL39:FM39"/>
    <mergeCell ref="FN39:FO39"/>
    <mergeCell ref="FR39:FS39"/>
    <mergeCell ref="FT39:FU39"/>
    <mergeCell ref="FX39:FY39"/>
    <mergeCell ref="DX39:DY39"/>
    <mergeCell ref="EB39:EC39"/>
    <mergeCell ref="ED39:EE39"/>
    <mergeCell ref="EH39:EI39"/>
    <mergeCell ref="EJ39:EK39"/>
    <mergeCell ref="CN39:CO39"/>
    <mergeCell ref="CR39:CS39"/>
    <mergeCell ref="CT39:CU39"/>
    <mergeCell ref="W38:AB38"/>
    <mergeCell ref="AC38:AH38"/>
    <mergeCell ref="EN39:EO39"/>
    <mergeCell ref="EP39:EQ39"/>
    <mergeCell ref="ET39:EU39"/>
    <mergeCell ref="EV39:EW39"/>
    <mergeCell ref="DP39:DQ39"/>
    <mergeCell ref="DR39:DS39"/>
    <mergeCell ref="DV39:DW39"/>
    <mergeCell ref="CX39:CY39"/>
    <mergeCell ref="CZ39:DA39"/>
    <mergeCell ref="DD39:DE39"/>
    <mergeCell ref="DF39:DG39"/>
    <mergeCell ref="DJ39:DK39"/>
    <mergeCell ref="DL39:DM39"/>
    <mergeCell ref="BS38:BX38"/>
  </mergeCells>
  <phoneticPr fontId="4"/>
  <pageMargins left="0.23622047244094491" right="0.23622047244094491" top="0.15748031496062992" bottom="0.15748031496062992" header="0.31496062992125984" footer="0.31496062992125984"/>
  <pageSetup paperSize="9" scale="51" orientation="landscape" r:id="rId1"/>
  <rowBreaks count="3" manualBreakCount="3">
    <brk id="34" max="165" man="1"/>
    <brk id="93" max="185" man="1"/>
    <brk id="95" max="163" man="1"/>
  </rowBreaks>
  <colBreaks count="1" manualBreakCount="1">
    <brk id="172" max="335" man="1"/>
  </colBreak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
  <sheetViews>
    <sheetView workbookViewId="0">
      <selection activeCell="B40" sqref="B40"/>
    </sheetView>
  </sheetViews>
  <sheetFormatPr defaultRowHeight="13.5"/>
  <sheetData/>
  <phoneticPr fontId="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K15"/>
  <sheetViews>
    <sheetView workbookViewId="0">
      <selection activeCell="F28" sqref="F28"/>
    </sheetView>
  </sheetViews>
  <sheetFormatPr defaultColWidth="9" defaultRowHeight="13.5"/>
  <cols>
    <col min="1" max="1" width="2.25" style="36" customWidth="1"/>
    <col min="2" max="2" width="9" style="36"/>
    <col min="3" max="3" width="30.875" style="36" customWidth="1"/>
    <col min="4" max="4" width="15.875" style="36" bestFit="1" customWidth="1"/>
    <col min="5" max="5" width="13" style="36" bestFit="1" customWidth="1"/>
    <col min="6" max="6" width="72.75" style="36" bestFit="1" customWidth="1"/>
    <col min="7" max="8" width="7.875" style="36" bestFit="1" customWidth="1"/>
    <col min="9" max="9" width="11.25" style="36" bestFit="1" customWidth="1"/>
    <col min="10" max="10" width="14.25" style="36" customWidth="1"/>
    <col min="11" max="11" width="35.75" style="36" bestFit="1" customWidth="1"/>
    <col min="12" max="16384" width="9" style="36"/>
  </cols>
  <sheetData>
    <row r="2" spans="2:11">
      <c r="B2" s="34" t="s">
        <v>7621</v>
      </c>
      <c r="C2" s="34" t="s">
        <v>7622</v>
      </c>
      <c r="D2" s="34" t="s">
        <v>7623</v>
      </c>
      <c r="E2" s="34" t="s">
        <v>7624</v>
      </c>
      <c r="F2" s="35" t="s">
        <v>7625</v>
      </c>
      <c r="G2" s="34" t="s">
        <v>7626</v>
      </c>
      <c r="H2" s="34" t="s">
        <v>7627</v>
      </c>
      <c r="I2" s="34" t="s">
        <v>7628</v>
      </c>
      <c r="J2" s="34" t="s">
        <v>7641</v>
      </c>
      <c r="K2" s="35" t="s">
        <v>7629</v>
      </c>
    </row>
    <row r="3" spans="2:11">
      <c r="B3" s="34" t="str">
        <f>実績!B966</f>
        <v>180023
180039</v>
      </c>
      <c r="C3" s="37" t="str">
        <f>VLOOKUP(B3,実績!$B$5:$CV$1474,2,0)</f>
        <v>前田運送㈱E棟倉庫</v>
      </c>
      <c r="D3" s="38">
        <v>13.2</v>
      </c>
      <c r="E3" s="38" t="s">
        <v>7630</v>
      </c>
      <c r="F3" s="39" t="s">
        <v>7631</v>
      </c>
      <c r="G3" s="38">
        <f>3.4-1.2</f>
        <v>2.2000000000000002</v>
      </c>
      <c r="H3" s="38">
        <v>1.2</v>
      </c>
      <c r="I3" s="38">
        <v>300</v>
      </c>
      <c r="J3" s="38" t="s">
        <v>7643</v>
      </c>
      <c r="K3" s="39" t="s">
        <v>7632</v>
      </c>
    </row>
    <row r="4" spans="2:11">
      <c r="B4" s="34" t="str">
        <f>B3</f>
        <v>180023
180039</v>
      </c>
      <c r="C4" s="37" t="str">
        <f>VLOOKUP(B4,実績!$B$5:$CV$1474,2,0)</f>
        <v>前田運送㈱E棟倉庫</v>
      </c>
      <c r="D4" s="38">
        <v>36.799999999999997</v>
      </c>
      <c r="E4" s="38" t="s">
        <v>7633</v>
      </c>
      <c r="F4" s="39" t="s">
        <v>7634</v>
      </c>
      <c r="G4" s="38">
        <f>2.15-1.5</f>
        <v>0.64999999999999991</v>
      </c>
      <c r="H4" s="38">
        <v>1.5</v>
      </c>
      <c r="I4" s="38">
        <v>300</v>
      </c>
      <c r="J4" s="38" t="s">
        <v>7643</v>
      </c>
      <c r="K4" s="39" t="s">
        <v>7635</v>
      </c>
    </row>
    <row r="5" spans="2:11">
      <c r="B5" s="34" t="str">
        <f>B3</f>
        <v>180023
180039</v>
      </c>
      <c r="C5" s="37" t="str">
        <f>VLOOKUP(B5,実績!$B$5:$CV$1474,2,0)</f>
        <v>前田運送㈱E棟倉庫</v>
      </c>
      <c r="D5" s="38">
        <v>15.9</v>
      </c>
      <c r="E5" s="38" t="s">
        <v>7646</v>
      </c>
      <c r="F5" s="39" t="s">
        <v>7645</v>
      </c>
      <c r="G5" s="38">
        <f>2.15-1.5</f>
        <v>0.64999999999999991</v>
      </c>
      <c r="H5" s="38">
        <v>1.5</v>
      </c>
      <c r="I5" s="38">
        <v>300</v>
      </c>
      <c r="J5" s="38" t="s">
        <v>7643</v>
      </c>
      <c r="K5" s="39" t="s">
        <v>7647</v>
      </c>
    </row>
    <row r="6" spans="2:11">
      <c r="B6" s="34" t="str">
        <f>B3</f>
        <v>180023
180039</v>
      </c>
      <c r="C6" s="37" t="str">
        <f>VLOOKUP(B6,実績!$B$5:$CV$1474,2,0)</f>
        <v>前田運送㈱E棟倉庫</v>
      </c>
      <c r="D6" s="38">
        <v>10.5</v>
      </c>
      <c r="E6" s="38" t="s">
        <v>7636</v>
      </c>
      <c r="F6" s="39" t="s">
        <v>7637</v>
      </c>
      <c r="G6" s="38">
        <f>3.275-1</f>
        <v>2.2749999999999999</v>
      </c>
      <c r="H6" s="38">
        <v>1</v>
      </c>
      <c r="I6" s="38">
        <v>200</v>
      </c>
      <c r="J6" s="38" t="s">
        <v>7643</v>
      </c>
      <c r="K6" s="39"/>
    </row>
    <row r="7" spans="2:11">
      <c r="B7" s="34">
        <f>実績!B995</f>
        <v>180057</v>
      </c>
      <c r="C7" s="37" t="str">
        <f>VLOOKUP(B7,実績!$B$5:$CV$1474,3,0)</f>
        <v>ユイ</v>
      </c>
      <c r="D7" s="38">
        <v>16.48</v>
      </c>
      <c r="E7" s="38" t="s">
        <v>7630</v>
      </c>
      <c r="F7" s="39" t="s">
        <v>7631</v>
      </c>
      <c r="G7" s="38">
        <v>1.3</v>
      </c>
      <c r="H7" s="38">
        <v>1.2</v>
      </c>
      <c r="I7" s="38">
        <v>250</v>
      </c>
      <c r="J7" s="38" t="s">
        <v>7643</v>
      </c>
      <c r="K7" s="39" t="s">
        <v>7639</v>
      </c>
    </row>
    <row r="8" spans="2:11">
      <c r="B8" s="34">
        <v>170224</v>
      </c>
      <c r="C8" s="37" t="str">
        <f>VLOOKUP(B8,実績!$B$5:$CV$1474,3,0)</f>
        <v>ユイ
和田</v>
      </c>
      <c r="D8" s="38">
        <v>14.1</v>
      </c>
      <c r="E8" s="38" t="s">
        <v>7630</v>
      </c>
      <c r="F8" s="39" t="s">
        <v>7640</v>
      </c>
      <c r="G8" s="38">
        <v>2.5</v>
      </c>
      <c r="H8" s="38" t="s">
        <v>210</v>
      </c>
      <c r="I8" s="38">
        <v>300</v>
      </c>
      <c r="J8" s="38" t="s">
        <v>7642</v>
      </c>
      <c r="K8" s="39"/>
    </row>
    <row r="9" spans="2:11">
      <c r="B9" s="34">
        <v>180153</v>
      </c>
      <c r="C9" s="38" t="str">
        <f>VLOOKUP(B9,実績!$B$5:$CV$1474,2,0)</f>
        <v>JA会津よつば猪苗代 ライスターミナル</v>
      </c>
      <c r="D9" s="38">
        <f>45.81*4/(3*3)</f>
        <v>20.36</v>
      </c>
      <c r="E9" s="38" t="s">
        <v>7630</v>
      </c>
      <c r="F9" s="39" t="s">
        <v>7676</v>
      </c>
      <c r="G9" s="38">
        <v>1.5</v>
      </c>
      <c r="H9" s="38">
        <v>1.2</v>
      </c>
      <c r="I9" s="38">
        <v>300</v>
      </c>
      <c r="J9" s="38" t="s">
        <v>7642</v>
      </c>
      <c r="K9" s="39"/>
    </row>
    <row r="10" spans="2:11">
      <c r="B10" s="34">
        <v>180153</v>
      </c>
      <c r="C10" s="38" t="str">
        <f>VLOOKUP(B10,実績!$B$5:$CV$1474,2,0)</f>
        <v>JA会津よつば猪苗代 ライスターミナル</v>
      </c>
      <c r="D10" s="38">
        <v>40</v>
      </c>
      <c r="E10" s="38" t="s">
        <v>7495</v>
      </c>
      <c r="F10" s="39" t="s">
        <v>7677</v>
      </c>
      <c r="G10" s="38">
        <v>1.6</v>
      </c>
      <c r="H10" s="38">
        <v>1.2</v>
      </c>
      <c r="I10" s="38">
        <v>200</v>
      </c>
      <c r="J10" s="38" t="s">
        <v>7643</v>
      </c>
      <c r="K10" s="39"/>
    </row>
    <row r="11" spans="2:11">
      <c r="B11" s="34">
        <v>180166</v>
      </c>
      <c r="C11" s="38" t="str">
        <f>VLOOKUP(B11,実績!$B$5:$CV$1474,2,0)</f>
        <v>ｾﾝﾄﾗﾙﾌｨｯﾄﾈｽｸﾗﾌﾞ蘇我</v>
      </c>
      <c r="D11" s="40"/>
      <c r="E11" s="40"/>
      <c r="F11" s="41"/>
      <c r="G11" s="40"/>
      <c r="H11" s="40"/>
      <c r="I11" s="40"/>
      <c r="J11" s="40"/>
      <c r="K11" s="41"/>
    </row>
    <row r="12" spans="2:11">
      <c r="B12" s="34">
        <v>180181</v>
      </c>
      <c r="C12" s="37" t="str">
        <f>VLOOKUP(B12,実績!$B$5:$CV$1474,2,0)</f>
        <v>株式会社 滋賀運送竜王物流ｾﾝﾀｰ 倉庫棟</v>
      </c>
      <c r="D12" s="38">
        <v>40</v>
      </c>
      <c r="E12" s="38" t="s">
        <v>8090</v>
      </c>
      <c r="F12" s="39" t="s">
        <v>8091</v>
      </c>
      <c r="G12" s="45">
        <v>1</v>
      </c>
      <c r="H12" s="38">
        <v>1.2</v>
      </c>
      <c r="I12" s="38">
        <v>200</v>
      </c>
      <c r="J12" s="38" t="s">
        <v>7643</v>
      </c>
      <c r="K12" s="39"/>
    </row>
    <row r="13" spans="2:11">
      <c r="B13" s="34">
        <v>190010</v>
      </c>
      <c r="C13" s="37" t="str">
        <f>VLOOKUP(B13,実績!$B$5:$CV$1474,2,0)</f>
        <v>岩田醸造株式会社 千歳工場</v>
      </c>
      <c r="D13" s="38">
        <v>30</v>
      </c>
      <c r="E13" s="38" t="s">
        <v>10025</v>
      </c>
      <c r="F13" s="41"/>
      <c r="G13" s="111">
        <v>1</v>
      </c>
      <c r="H13" s="111">
        <v>1.5</v>
      </c>
      <c r="I13" s="38">
        <v>250</v>
      </c>
      <c r="J13" s="38" t="s">
        <v>7643</v>
      </c>
      <c r="K13" s="41"/>
    </row>
    <row r="14" spans="2:11">
      <c r="B14" s="34">
        <v>190034</v>
      </c>
      <c r="C14" s="37" t="str">
        <f>VLOOKUP(B14,実績!$B$5:$CV$1474,2,0)</f>
        <v>ギオン相模原A棟</v>
      </c>
      <c r="D14" s="40">
        <v>28</v>
      </c>
      <c r="E14" s="40" t="s">
        <v>10578</v>
      </c>
      <c r="F14" s="41" t="s">
        <v>10579</v>
      </c>
      <c r="G14" s="40">
        <v>1.2</v>
      </c>
      <c r="H14" s="40">
        <v>1.5</v>
      </c>
      <c r="I14" s="40">
        <v>300</v>
      </c>
      <c r="J14" s="40" t="s">
        <v>10580</v>
      </c>
      <c r="K14" s="41"/>
    </row>
    <row r="15" spans="2:11">
      <c r="G15" s="42"/>
      <c r="H15" s="42"/>
      <c r="I15" s="42"/>
      <c r="J15" s="42"/>
    </row>
  </sheetData>
  <phoneticPr fontId="4"/>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3" tint="-0.249977111117893"/>
  </sheetPr>
  <dimension ref="A2:HX69"/>
  <sheetViews>
    <sheetView view="pageBreakPreview" topLeftCell="A16" zoomScale="70" zoomScaleNormal="55" zoomScaleSheetLayoutView="70" workbookViewId="0">
      <selection activeCell="C44" sqref="C44:N44"/>
    </sheetView>
  </sheetViews>
  <sheetFormatPr defaultColWidth="3.75" defaultRowHeight="13.5"/>
  <sheetData>
    <row r="2" spans="1:232" s="4" customFormat="1" ht="20.100000000000001" customHeight="1">
      <c r="A2" s="3"/>
      <c r="B2" s="3"/>
      <c r="C2" s="1"/>
      <c r="D2" s="1"/>
      <c r="E2" s="1"/>
      <c r="F2" s="1"/>
      <c r="G2" s="1"/>
      <c r="H2" s="1"/>
      <c r="I2" s="1"/>
      <c r="J2" s="1"/>
      <c r="K2" s="1"/>
      <c r="L2" s="1"/>
      <c r="M2" s="1"/>
      <c r="N2" s="1"/>
      <c r="O2" s="1"/>
      <c r="P2" s="1"/>
      <c r="Q2" s="1"/>
      <c r="R2" s="1"/>
      <c r="AC2" s="2944" t="s">
        <v>207</v>
      </c>
      <c r="AD2" s="2944"/>
      <c r="AE2" s="2944"/>
      <c r="AF2" s="2944"/>
      <c r="AG2" s="2944"/>
      <c r="AH2" s="2944"/>
      <c r="AI2" s="2944"/>
      <c r="AJ2" s="2944"/>
      <c r="AK2" s="2944"/>
      <c r="AL2" s="2944"/>
      <c r="AM2" s="2944"/>
      <c r="AN2" s="2944"/>
      <c r="AO2" s="2944"/>
      <c r="AP2" s="2944"/>
      <c r="AQ2" s="2944"/>
      <c r="AR2" s="2944"/>
      <c r="AS2" s="2944"/>
      <c r="AT2" s="3"/>
      <c r="AU2" s="3"/>
      <c r="AV2" s="3"/>
      <c r="AW2" s="3"/>
      <c r="AX2" s="3"/>
      <c r="BC2" s="3"/>
      <c r="BD2" s="3"/>
      <c r="BE2" s="3"/>
      <c r="BF2" s="3"/>
      <c r="BG2" s="3"/>
      <c r="BH2" s="3"/>
      <c r="BI2" s="3"/>
      <c r="BJ2" s="5"/>
      <c r="BK2" s="3"/>
      <c r="BL2" s="3"/>
      <c r="BM2" s="3"/>
      <c r="BN2" s="3"/>
      <c r="BO2" s="3"/>
      <c r="BP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row>
    <row r="3" spans="1:232" s="4" customFormat="1" ht="20.100000000000001" customHeight="1">
      <c r="A3" s="3"/>
      <c r="B3" s="3"/>
      <c r="C3" s="3"/>
      <c r="D3" s="3"/>
      <c r="E3" s="3"/>
      <c r="F3" s="3"/>
      <c r="G3" s="3"/>
      <c r="H3" s="3"/>
      <c r="I3" s="3"/>
      <c r="J3" s="3"/>
      <c r="K3" s="3"/>
      <c r="L3" s="3"/>
      <c r="M3" s="3"/>
      <c r="N3" s="3"/>
      <c r="O3" s="3"/>
      <c r="P3" s="3"/>
      <c r="Q3" s="3"/>
      <c r="R3" s="3"/>
      <c r="S3" s="3"/>
      <c r="T3" s="3"/>
      <c r="U3" s="6"/>
      <c r="V3" s="6"/>
      <c r="W3" s="6"/>
      <c r="X3" s="3"/>
      <c r="Y3" s="3"/>
      <c r="Z3" s="3"/>
      <c r="AA3" s="3"/>
      <c r="AB3" s="3"/>
      <c r="AY3" s="3"/>
      <c r="AZ3" s="3"/>
      <c r="BA3" s="2"/>
      <c r="BC3" s="3"/>
      <c r="BP3" s="2920">
        <f ca="1">TODAY()</f>
        <v>44132</v>
      </c>
      <c r="BQ3" s="2920"/>
      <c r="BR3" s="2920"/>
      <c r="BS3" s="2920"/>
      <c r="BT3" s="2920"/>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row>
    <row r="4" spans="1:232" s="4" customFormat="1" ht="30" customHeight="1">
      <c r="A4" s="3"/>
      <c r="B4" s="2921" t="s">
        <v>893</v>
      </c>
      <c r="C4" s="2922"/>
      <c r="D4" s="2922"/>
      <c r="E4" s="2922"/>
      <c r="F4" s="2922"/>
      <c r="G4" s="2922"/>
      <c r="H4" s="2922"/>
      <c r="I4" s="2922"/>
      <c r="J4" s="2922"/>
      <c r="K4" s="2922"/>
      <c r="L4" s="2922"/>
      <c r="M4" s="2922"/>
      <c r="N4" s="2922"/>
      <c r="O4" s="2924" t="s">
        <v>208</v>
      </c>
      <c r="P4" s="2925"/>
      <c r="Q4" s="2925" t="s">
        <v>209</v>
      </c>
      <c r="R4" s="2925"/>
      <c r="S4" s="3"/>
      <c r="T4" s="2948" t="s">
        <v>894</v>
      </c>
      <c r="U4" s="2949"/>
      <c r="V4" s="2949"/>
      <c r="W4" s="2949"/>
      <c r="X4" s="2949"/>
      <c r="Y4" s="2949"/>
      <c r="Z4" s="2949"/>
      <c r="AA4" s="2949"/>
      <c r="AB4" s="2949"/>
      <c r="AC4" s="2949"/>
      <c r="AD4" s="2949"/>
      <c r="AE4" s="2949"/>
      <c r="AF4" s="2950"/>
      <c r="AG4" s="2924" t="s">
        <v>208</v>
      </c>
      <c r="AH4" s="2925"/>
      <c r="AI4" s="2925" t="s">
        <v>209</v>
      </c>
      <c r="AJ4" s="2925"/>
      <c r="AK4" s="3"/>
      <c r="AL4" s="2921" t="s">
        <v>895</v>
      </c>
      <c r="AM4" s="2922"/>
      <c r="AN4" s="2922"/>
      <c r="AO4" s="2922"/>
      <c r="AP4" s="2922"/>
      <c r="AQ4" s="2922"/>
      <c r="AR4" s="2922"/>
      <c r="AS4" s="2922"/>
      <c r="AT4" s="2922"/>
      <c r="AU4" s="2922"/>
      <c r="AV4" s="2922"/>
      <c r="AW4" s="2922"/>
      <c r="AX4" s="2922"/>
      <c r="AY4" s="2924" t="s">
        <v>208</v>
      </c>
      <c r="AZ4" s="2925"/>
      <c r="BA4" s="2923" t="s">
        <v>209</v>
      </c>
      <c r="BB4" s="2924"/>
      <c r="BC4" s="3"/>
      <c r="BD4" s="2921" t="s">
        <v>895</v>
      </c>
      <c r="BE4" s="2922"/>
      <c r="BF4" s="2922"/>
      <c r="BG4" s="2922"/>
      <c r="BH4" s="2922"/>
      <c r="BI4" s="2922"/>
      <c r="BJ4" s="2922"/>
      <c r="BK4" s="2922"/>
      <c r="BL4" s="2922"/>
      <c r="BM4" s="2922"/>
      <c r="BN4" s="2922"/>
      <c r="BO4" s="2922"/>
      <c r="BP4" s="2922"/>
      <c r="BQ4" s="2924" t="s">
        <v>208</v>
      </c>
      <c r="BR4" s="2925"/>
      <c r="BS4" s="2923" t="s">
        <v>209</v>
      </c>
      <c r="BT4" s="2924"/>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row>
    <row r="5" spans="1:232" s="4" customFormat="1" ht="20.100000000000001" customHeight="1">
      <c r="A5" s="3"/>
      <c r="B5" s="2875" t="s">
        <v>892</v>
      </c>
      <c r="C5" s="2953" t="s">
        <v>17245</v>
      </c>
      <c r="D5" s="2954"/>
      <c r="E5" s="2954"/>
      <c r="F5" s="2954"/>
      <c r="G5" s="2954"/>
      <c r="H5" s="2954"/>
      <c r="I5" s="2954"/>
      <c r="J5" s="2954"/>
      <c r="K5" s="2954"/>
      <c r="L5" s="2954"/>
      <c r="M5" s="2954"/>
      <c r="N5" s="2954"/>
      <c r="O5" s="2918">
        <f>COUNTIF(実績!$AD$5:$AD$1474,"*日本建築センター*")</f>
        <v>11</v>
      </c>
      <c r="P5" s="2919"/>
      <c r="Q5" s="2956">
        <f>COUNTIF(実績!$AE$5:$AE$1474,"*日本建築センター*")</f>
        <v>68</v>
      </c>
      <c r="R5" s="2956"/>
      <c r="S5" s="3"/>
      <c r="T5" s="2875" t="s">
        <v>8748</v>
      </c>
      <c r="U5" s="2937" t="s">
        <v>3027</v>
      </c>
      <c r="V5" s="2887"/>
      <c r="W5" s="2887"/>
      <c r="X5" s="2887"/>
      <c r="Y5" s="2887"/>
      <c r="Z5" s="2887"/>
      <c r="AA5" s="2887"/>
      <c r="AB5" s="2887"/>
      <c r="AC5" s="2887"/>
      <c r="AD5" s="2887"/>
      <c r="AE5" s="2887"/>
      <c r="AF5" s="2888"/>
      <c r="AG5" s="2890">
        <f>COUNTIF(実績!$AD$5:$AD$1474,U5)</f>
        <v>1</v>
      </c>
      <c r="AH5" s="2891"/>
      <c r="AI5" s="2911">
        <f>COUNTIF(実績!$AE$5:$AE$1474,U5)</f>
        <v>0</v>
      </c>
      <c r="AJ5" s="2911"/>
      <c r="AK5" s="3"/>
      <c r="AL5" s="2940" t="s">
        <v>1043</v>
      </c>
      <c r="AM5" s="2903" t="s">
        <v>3673</v>
      </c>
      <c r="AN5" s="2904"/>
      <c r="AO5" s="2904"/>
      <c r="AP5" s="2904"/>
      <c r="AQ5" s="2904"/>
      <c r="AR5" s="2904"/>
      <c r="AS5" s="2904"/>
      <c r="AT5" s="2904"/>
      <c r="AU5" s="2904"/>
      <c r="AV5" s="2904"/>
      <c r="AW5" s="2904"/>
      <c r="AX5" s="2905"/>
      <c r="AY5" s="2911">
        <f>COUNTIF(実績!$AD$5:$AD$1474,AM5)</f>
        <v>2</v>
      </c>
      <c r="AZ5" s="2911"/>
      <c r="BA5" s="2890">
        <f>COUNTIF(実績!$AE$5:$AE$1474,AM5)</f>
        <v>0</v>
      </c>
      <c r="BB5" s="2910"/>
      <c r="BC5" s="3"/>
      <c r="BD5" s="2899" t="s">
        <v>847</v>
      </c>
      <c r="BE5" s="2903" t="s">
        <v>1048</v>
      </c>
      <c r="BF5" s="2904"/>
      <c r="BG5" s="2904"/>
      <c r="BH5" s="2904"/>
      <c r="BI5" s="2904"/>
      <c r="BJ5" s="2904"/>
      <c r="BK5" s="2904"/>
      <c r="BL5" s="2904"/>
      <c r="BM5" s="2904"/>
      <c r="BN5" s="2904"/>
      <c r="BO5" s="2904"/>
      <c r="BP5" s="2905"/>
      <c r="BQ5" s="2911">
        <f>COUNTIF(実績!$AD$5:$AD$1474,BE5)</f>
        <v>1</v>
      </c>
      <c r="BR5" s="2911"/>
      <c r="BS5" s="2890">
        <f>COUNTIF(実績!$AE$5:$AE$1474,BE5)</f>
        <v>0</v>
      </c>
      <c r="BT5" s="2910"/>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row>
    <row r="6" spans="1:232" s="4" customFormat="1" ht="20.100000000000001" customHeight="1">
      <c r="A6" s="3"/>
      <c r="B6" s="2875"/>
      <c r="C6" s="2951" t="s">
        <v>17798</v>
      </c>
      <c r="D6" s="2952"/>
      <c r="E6" s="2952"/>
      <c r="F6" s="2952"/>
      <c r="G6" s="2952"/>
      <c r="H6" s="2952"/>
      <c r="I6" s="2952"/>
      <c r="J6" s="2952"/>
      <c r="K6" s="2952"/>
      <c r="L6" s="2952"/>
      <c r="M6" s="2952"/>
      <c r="N6" s="2952"/>
      <c r="O6" s="2880">
        <f>COUNTIF(実績!$AD$5:$AD$1474,C6)</f>
        <v>2</v>
      </c>
      <c r="P6" s="2881"/>
      <c r="Q6" s="2880">
        <f>COUNTIF(実績!$AE$5:$AE$1474,C6)</f>
        <v>78</v>
      </c>
      <c r="R6" s="2881"/>
      <c r="S6" s="3"/>
      <c r="T6" s="2875"/>
      <c r="U6" s="2885" t="s">
        <v>3523</v>
      </c>
      <c r="V6" s="2878"/>
      <c r="W6" s="2878"/>
      <c r="X6" s="2878"/>
      <c r="Y6" s="2878"/>
      <c r="Z6" s="2878"/>
      <c r="AA6" s="2878"/>
      <c r="AB6" s="2878"/>
      <c r="AC6" s="2878"/>
      <c r="AD6" s="2878"/>
      <c r="AE6" s="2878"/>
      <c r="AF6" s="2879"/>
      <c r="AG6" s="2880">
        <f>COUNTIF(実績!$AD$5:$AD$1474,U6)</f>
        <v>2</v>
      </c>
      <c r="AH6" s="2881"/>
      <c r="AI6" s="2876">
        <f>COUNTIF(実績!$AE$5:$AE$1474,U6)</f>
        <v>0</v>
      </c>
      <c r="AJ6" s="2876"/>
      <c r="AK6" s="3"/>
      <c r="AL6" s="2940"/>
      <c r="AM6" s="2892" t="s">
        <v>5428</v>
      </c>
      <c r="AN6" s="2893"/>
      <c r="AO6" s="2893"/>
      <c r="AP6" s="2893"/>
      <c r="AQ6" s="2893"/>
      <c r="AR6" s="2893"/>
      <c r="AS6" s="2893"/>
      <c r="AT6" s="2893"/>
      <c r="AU6" s="2893"/>
      <c r="AV6" s="2893"/>
      <c r="AW6" s="2893"/>
      <c r="AX6" s="2894"/>
      <c r="AY6" s="2876">
        <f>COUNTIF(実績!$AD$5:$AD$1474,AM6)</f>
        <v>1</v>
      </c>
      <c r="AZ6" s="2876"/>
      <c r="BA6" s="2880">
        <f>COUNTIF(実績!$AE$5:$AE$1474,AM6)</f>
        <v>0</v>
      </c>
      <c r="BB6" s="2898"/>
      <c r="BC6" s="3"/>
      <c r="BD6" s="2900"/>
      <c r="BE6" s="2926" t="s">
        <v>876</v>
      </c>
      <c r="BF6" s="2927"/>
      <c r="BG6" s="2927"/>
      <c r="BH6" s="2927"/>
      <c r="BI6" s="2927"/>
      <c r="BJ6" s="2927"/>
      <c r="BK6" s="2927"/>
      <c r="BL6" s="2927"/>
      <c r="BM6" s="2927"/>
      <c r="BN6" s="2927"/>
      <c r="BO6" s="2927"/>
      <c r="BP6" s="2928"/>
      <c r="BQ6" s="2936">
        <f>COUNTIF(実績!$AD$5:$AD$1474,BE6)</f>
        <v>14</v>
      </c>
      <c r="BR6" s="2936"/>
      <c r="BS6" s="2934">
        <f>COUNTIF(実績!$AE$5:$AE$1474,BE6)</f>
        <v>0</v>
      </c>
      <c r="BT6" s="2935"/>
      <c r="BU6" s="3"/>
      <c r="BV6" s="3"/>
      <c r="BW6" s="3"/>
      <c r="BX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row>
    <row r="7" spans="1:232" s="4" customFormat="1" ht="20.100000000000001" customHeight="1">
      <c r="A7" s="3"/>
      <c r="B7" s="2875"/>
      <c r="C7" s="2877" t="s">
        <v>10187</v>
      </c>
      <c r="D7" s="2878"/>
      <c r="E7" s="2878"/>
      <c r="F7" s="2878"/>
      <c r="G7" s="2878"/>
      <c r="H7" s="2878"/>
      <c r="I7" s="2878"/>
      <c r="J7" s="2878"/>
      <c r="K7" s="2878"/>
      <c r="L7" s="2878"/>
      <c r="M7" s="2878"/>
      <c r="N7" s="2879"/>
      <c r="O7" s="2880">
        <f>COUNTIF(実績!$AD$5:$AD$1474,C7)</f>
        <v>0</v>
      </c>
      <c r="P7" s="2881"/>
      <c r="Q7" s="2880">
        <f>COUNTIF(実績!$AE$5:$AE$1474,C7)</f>
        <v>17</v>
      </c>
      <c r="R7" s="2881"/>
      <c r="S7" s="3"/>
      <c r="T7" s="2875"/>
      <c r="U7" s="2885" t="s">
        <v>4129</v>
      </c>
      <c r="V7" s="2878"/>
      <c r="W7" s="2878"/>
      <c r="X7" s="2878"/>
      <c r="Y7" s="2878"/>
      <c r="Z7" s="2878"/>
      <c r="AA7" s="2878"/>
      <c r="AB7" s="2878"/>
      <c r="AC7" s="2878"/>
      <c r="AD7" s="2878"/>
      <c r="AE7" s="2878"/>
      <c r="AF7" s="2879"/>
      <c r="AG7" s="2880">
        <f>COUNTIF(実績!$AD$5:$AD$1474,U7)</f>
        <v>5</v>
      </c>
      <c r="AH7" s="2881"/>
      <c r="AI7" s="2876">
        <f>COUNTIF(実績!$AE$5:$AE$1474,U7)</f>
        <v>0</v>
      </c>
      <c r="AJ7" s="2876"/>
      <c r="AK7" s="3"/>
      <c r="AL7" s="2940"/>
      <c r="AM7" s="2892" t="s">
        <v>6104</v>
      </c>
      <c r="AN7" s="2893"/>
      <c r="AO7" s="2893"/>
      <c r="AP7" s="2893"/>
      <c r="AQ7" s="2893"/>
      <c r="AR7" s="2893"/>
      <c r="AS7" s="2893"/>
      <c r="AT7" s="2893"/>
      <c r="AU7" s="2893"/>
      <c r="AV7" s="2893"/>
      <c r="AW7" s="2893"/>
      <c r="AX7" s="2894"/>
      <c r="AY7" s="2876">
        <f>COUNTIF(実績!$AD$5:$AD$1474,AM7)</f>
        <v>1</v>
      </c>
      <c r="AZ7" s="2876"/>
      <c r="BA7" s="2880">
        <f>COUNTIF(実績!$AE$5:$AE$1474,AM7)</f>
        <v>0</v>
      </c>
      <c r="BB7" s="2898"/>
      <c r="BC7" s="3"/>
      <c r="BD7" s="2900"/>
      <c r="BE7" s="2892" t="s">
        <v>3765</v>
      </c>
      <c r="BF7" s="2893"/>
      <c r="BG7" s="2893"/>
      <c r="BH7" s="2893"/>
      <c r="BI7" s="2893"/>
      <c r="BJ7" s="2893"/>
      <c r="BK7" s="2893"/>
      <c r="BL7" s="2893"/>
      <c r="BM7" s="2893"/>
      <c r="BN7" s="2893"/>
      <c r="BO7" s="2893"/>
      <c r="BP7" s="2894"/>
      <c r="BQ7" s="2876">
        <f>COUNTIF(実績!$AD$5:$AD$1474,BE7)</f>
        <v>1</v>
      </c>
      <c r="BR7" s="2876"/>
      <c r="BS7" s="2880">
        <f>COUNTIF(実績!$AE$5:$AE$1474,BE7)</f>
        <v>0</v>
      </c>
      <c r="BT7" s="2898"/>
      <c r="BU7" s="3"/>
      <c r="BV7" s="3"/>
      <c r="BW7" s="3"/>
      <c r="BX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row>
    <row r="8" spans="1:232" s="4" customFormat="1" ht="20.100000000000001" customHeight="1">
      <c r="A8" s="3"/>
      <c r="B8" s="2875"/>
      <c r="C8" s="2877" t="s">
        <v>17699</v>
      </c>
      <c r="D8" s="2878"/>
      <c r="E8" s="2878"/>
      <c r="F8" s="2878"/>
      <c r="G8" s="2878"/>
      <c r="H8" s="2878"/>
      <c r="I8" s="2878"/>
      <c r="J8" s="2878"/>
      <c r="K8" s="2878"/>
      <c r="L8" s="2878"/>
      <c r="M8" s="2878"/>
      <c r="N8" s="2879"/>
      <c r="O8" s="2880">
        <f>COUNTIF(実績!$AD$5:$AD$1474,C8)</f>
        <v>2</v>
      </c>
      <c r="P8" s="2881"/>
      <c r="Q8" s="2880">
        <f>COUNTIF(実績!$AE$5:$AE$1474,C8)</f>
        <v>41</v>
      </c>
      <c r="R8" s="2881"/>
      <c r="S8" s="3"/>
      <c r="T8" s="2875"/>
      <c r="U8" s="2885" t="s">
        <v>5978</v>
      </c>
      <c r="V8" s="2878"/>
      <c r="W8" s="2878"/>
      <c r="X8" s="2878"/>
      <c r="Y8" s="2878"/>
      <c r="Z8" s="2878"/>
      <c r="AA8" s="2878"/>
      <c r="AB8" s="2878"/>
      <c r="AC8" s="2878"/>
      <c r="AD8" s="2878"/>
      <c r="AE8" s="2878"/>
      <c r="AF8" s="2879"/>
      <c r="AG8" s="2880">
        <f>COUNTIF(実績!$AD$5:$AD$1474,U8)</f>
        <v>2</v>
      </c>
      <c r="AH8" s="2881"/>
      <c r="AI8" s="2876">
        <f>COUNTIF(実績!$AE$5:$AE$1474,U8)</f>
        <v>0</v>
      </c>
      <c r="AJ8" s="2876"/>
      <c r="AK8" s="3"/>
      <c r="AL8" s="2940"/>
      <c r="AM8" s="2892" t="s">
        <v>5537</v>
      </c>
      <c r="AN8" s="2893"/>
      <c r="AO8" s="2893"/>
      <c r="AP8" s="2893"/>
      <c r="AQ8" s="2893"/>
      <c r="AR8" s="2893"/>
      <c r="AS8" s="2893"/>
      <c r="AT8" s="2893"/>
      <c r="AU8" s="2893"/>
      <c r="AV8" s="2893"/>
      <c r="AW8" s="2893"/>
      <c r="AX8" s="2894"/>
      <c r="AY8" s="2876">
        <f>COUNTIF(実績!$AD$5:$AD$1474,AM8)</f>
        <v>1</v>
      </c>
      <c r="AZ8" s="2876"/>
      <c r="BA8" s="2880">
        <f>COUNTIF(実績!$AE$5:$AE$1474,AM8)</f>
        <v>0</v>
      </c>
      <c r="BB8" s="2898"/>
      <c r="BC8" s="3"/>
      <c r="BD8" s="2900"/>
      <c r="BE8" s="2892" t="s">
        <v>8020</v>
      </c>
      <c r="BF8" s="2893"/>
      <c r="BG8" s="2893"/>
      <c r="BH8" s="2893"/>
      <c r="BI8" s="2893"/>
      <c r="BJ8" s="2893"/>
      <c r="BK8" s="2893"/>
      <c r="BL8" s="2893"/>
      <c r="BM8" s="2893"/>
      <c r="BN8" s="2893"/>
      <c r="BO8" s="2893"/>
      <c r="BP8" s="2894"/>
      <c r="BQ8" s="2876">
        <f>COUNTIF(実績!$AD$5:$AD$1474,BE8)</f>
        <v>2</v>
      </c>
      <c r="BR8" s="2876"/>
      <c r="BS8" s="2880">
        <f>COUNTIF(実績!$AE$5:$AE$1474,BE8)</f>
        <v>0</v>
      </c>
      <c r="BT8" s="2898"/>
      <c r="BW8" s="3"/>
      <c r="BX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row>
    <row r="9" spans="1:232" s="4" customFormat="1" ht="20.100000000000001" customHeight="1">
      <c r="A9" s="3"/>
      <c r="B9" s="2875"/>
      <c r="C9" s="2877" t="s">
        <v>4897</v>
      </c>
      <c r="D9" s="2878"/>
      <c r="E9" s="2878"/>
      <c r="F9" s="2878"/>
      <c r="G9" s="2878"/>
      <c r="H9" s="2878"/>
      <c r="I9" s="2878"/>
      <c r="J9" s="2878"/>
      <c r="K9" s="2878"/>
      <c r="L9" s="2878"/>
      <c r="M9" s="2878"/>
      <c r="N9" s="2879"/>
      <c r="O9" s="2880">
        <f>COUNTIF(実績!$AD$5:$AD$1474,C9)</f>
        <v>1</v>
      </c>
      <c r="P9" s="2881"/>
      <c r="Q9" s="2880">
        <f>COUNTIF(実績!$AE$5:$AE$1474,C9)</f>
        <v>3</v>
      </c>
      <c r="R9" s="2881"/>
      <c r="S9" s="3"/>
      <c r="T9" s="2875"/>
      <c r="U9" s="2885" t="s">
        <v>8419</v>
      </c>
      <c r="V9" s="2878"/>
      <c r="W9" s="2878"/>
      <c r="X9" s="2878"/>
      <c r="Y9" s="2878"/>
      <c r="Z9" s="2878"/>
      <c r="AA9" s="2878"/>
      <c r="AB9" s="2878"/>
      <c r="AC9" s="2878"/>
      <c r="AD9" s="2878"/>
      <c r="AE9" s="2878"/>
      <c r="AF9" s="2879"/>
      <c r="AG9" s="2880">
        <f>COUNTIF(実績!$AD$5:$AD$1474,U9)</f>
        <v>1</v>
      </c>
      <c r="AH9" s="2881"/>
      <c r="AI9" s="2876">
        <f>COUNTIF(実績!$AE$5:$AE$1474,U9)</f>
        <v>0</v>
      </c>
      <c r="AJ9" s="2876"/>
      <c r="AK9" s="3"/>
      <c r="AL9" s="2940"/>
      <c r="AM9" s="2892" t="s">
        <v>15858</v>
      </c>
      <c r="AN9" s="2901"/>
      <c r="AO9" s="2901"/>
      <c r="AP9" s="2901"/>
      <c r="AQ9" s="2901"/>
      <c r="AR9" s="2901"/>
      <c r="AS9" s="2901"/>
      <c r="AT9" s="2901"/>
      <c r="AU9" s="2901"/>
      <c r="AV9" s="2901"/>
      <c r="AW9" s="2901"/>
      <c r="AX9" s="2902"/>
      <c r="AY9" s="2876">
        <f>COUNTIF(実績!$AD$5:$AD$1474,AM9)</f>
        <v>2</v>
      </c>
      <c r="AZ9" s="2876"/>
      <c r="BA9" s="2880">
        <f>COUNTIF(実績!$AE$5:$AE$1474,AM9)</f>
        <v>0</v>
      </c>
      <c r="BB9" s="2898"/>
      <c r="BC9" s="3"/>
      <c r="BD9" s="2900"/>
      <c r="BE9" s="2892" t="s">
        <v>239</v>
      </c>
      <c r="BF9" s="2893"/>
      <c r="BG9" s="2893"/>
      <c r="BH9" s="2893"/>
      <c r="BI9" s="2893"/>
      <c r="BJ9" s="2893"/>
      <c r="BK9" s="2893"/>
      <c r="BL9" s="2893"/>
      <c r="BM9" s="2893"/>
      <c r="BN9" s="2893"/>
      <c r="BO9" s="2893"/>
      <c r="BP9" s="2894"/>
      <c r="BQ9" s="2876">
        <f>COUNTIF(実績!$AD$5:$AD$1474,BE9)</f>
        <v>0</v>
      </c>
      <c r="BR9" s="2876"/>
      <c r="BS9" s="2880">
        <f>COUNTIF(実績!$AE$5:$AE$1474,BE9)</f>
        <v>4</v>
      </c>
      <c r="BT9" s="2898"/>
      <c r="BW9" s="3"/>
      <c r="BX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row>
    <row r="10" spans="1:232" s="4" customFormat="1" ht="20.100000000000001" customHeight="1">
      <c r="A10" s="3"/>
      <c r="B10" s="2875"/>
      <c r="C10" s="2877" t="s">
        <v>813</v>
      </c>
      <c r="D10" s="2878"/>
      <c r="E10" s="2878"/>
      <c r="F10" s="2878"/>
      <c r="G10" s="2878"/>
      <c r="H10" s="2878"/>
      <c r="I10" s="2878"/>
      <c r="J10" s="2878"/>
      <c r="K10" s="2878"/>
      <c r="L10" s="2878"/>
      <c r="M10" s="2878"/>
      <c r="N10" s="2879"/>
      <c r="O10" s="2880">
        <f>COUNTIF(実績!$AD$5:$AD$1474,C10)</f>
        <v>5</v>
      </c>
      <c r="P10" s="2881"/>
      <c r="Q10" s="2880">
        <f>COUNTIF(実績!$AE$5:$AE$1474,C10)</f>
        <v>0</v>
      </c>
      <c r="R10" s="2881"/>
      <c r="S10" s="3"/>
      <c r="T10" s="2875"/>
      <c r="U10" s="2912" t="s">
        <v>10795</v>
      </c>
      <c r="V10" s="2913"/>
      <c r="W10" s="2913"/>
      <c r="X10" s="2913"/>
      <c r="Y10" s="2913"/>
      <c r="Z10" s="2913"/>
      <c r="AA10" s="2913"/>
      <c r="AB10" s="2913"/>
      <c r="AC10" s="2913"/>
      <c r="AD10" s="2913"/>
      <c r="AE10" s="2913"/>
      <c r="AF10" s="2914"/>
      <c r="AG10" s="2880">
        <f>COUNTIF(実績!$AD$5:$AD$1474,U10)</f>
        <v>2</v>
      </c>
      <c r="AH10" s="2881"/>
      <c r="AI10" s="2876">
        <f>COUNTIF(実績!$AE$5:$AE$1474,U10)</f>
        <v>0</v>
      </c>
      <c r="AJ10" s="2876"/>
      <c r="AK10" s="3"/>
      <c r="AL10" s="2940"/>
      <c r="AM10" s="2912"/>
      <c r="AN10" s="2913"/>
      <c r="AO10" s="2913"/>
      <c r="AP10" s="2913"/>
      <c r="AQ10" s="2913"/>
      <c r="AR10" s="2913"/>
      <c r="AS10" s="2913"/>
      <c r="AT10" s="2913"/>
      <c r="AU10" s="2913"/>
      <c r="AV10" s="2913"/>
      <c r="AW10" s="2913"/>
      <c r="AX10" s="2914"/>
      <c r="AY10" s="2873"/>
      <c r="AZ10" s="2873"/>
      <c r="BA10" s="2871"/>
      <c r="BB10" s="2915"/>
      <c r="BC10" s="3"/>
      <c r="BD10" s="2900"/>
      <c r="BE10" s="2892" t="s">
        <v>880</v>
      </c>
      <c r="BF10" s="2901"/>
      <c r="BG10" s="2901"/>
      <c r="BH10" s="2901"/>
      <c r="BI10" s="2901"/>
      <c r="BJ10" s="2901"/>
      <c r="BK10" s="2901"/>
      <c r="BL10" s="2901"/>
      <c r="BM10" s="2901"/>
      <c r="BN10" s="2901"/>
      <c r="BO10" s="2901"/>
      <c r="BP10" s="2902"/>
      <c r="BQ10" s="2876">
        <f>COUNTIF(実績!$AD$5:$AD$1474,BE10)</f>
        <v>1</v>
      </c>
      <c r="BR10" s="2876"/>
      <c r="BS10" s="2880">
        <f>COUNTIF(実績!$AE$5:$AE$1474,BE10)</f>
        <v>0</v>
      </c>
      <c r="BT10" s="2898"/>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row>
    <row r="11" spans="1:232" s="4" customFormat="1" ht="20.100000000000001" customHeight="1">
      <c r="A11" s="3"/>
      <c r="B11" s="2875"/>
      <c r="C11" s="2877" t="s">
        <v>14937</v>
      </c>
      <c r="D11" s="2878"/>
      <c r="E11" s="2878"/>
      <c r="F11" s="2878"/>
      <c r="G11" s="2878"/>
      <c r="H11" s="2878"/>
      <c r="I11" s="2878"/>
      <c r="J11" s="2878"/>
      <c r="K11" s="2878"/>
      <c r="L11" s="2878"/>
      <c r="M11" s="2878"/>
      <c r="N11" s="2879"/>
      <c r="O11" s="2896">
        <f>COUNTIF(実績!$AD$5:$AD$1474,"*株式会社 建築構造センター*")</f>
        <v>0</v>
      </c>
      <c r="P11" s="2897"/>
      <c r="Q11" s="2895">
        <f>COUNTIF(実績!$AE$5:$AE$1474,"*株式会社 建築構造センター*")</f>
        <v>179</v>
      </c>
      <c r="R11" s="2895"/>
      <c r="S11" s="3"/>
      <c r="T11" s="2899" t="s">
        <v>845</v>
      </c>
      <c r="U11" s="2937" t="s">
        <v>18070</v>
      </c>
      <c r="V11" s="2887"/>
      <c r="W11" s="2887"/>
      <c r="X11" s="2887"/>
      <c r="Y11" s="2887"/>
      <c r="Z11" s="2887"/>
      <c r="AA11" s="2887"/>
      <c r="AB11" s="2887"/>
      <c r="AC11" s="2887"/>
      <c r="AD11" s="2887"/>
      <c r="AE11" s="2887"/>
      <c r="AF11" s="2888"/>
      <c r="AG11" s="2890">
        <f>COUNTIF(実績!$AD$5:$AD$1474,U11)</f>
        <v>13</v>
      </c>
      <c r="AH11" s="2891"/>
      <c r="AI11" s="2911">
        <f>COUNTIF(実績!$AE$5:$AE$1474,U11)</f>
        <v>0</v>
      </c>
      <c r="AJ11" s="2911"/>
      <c r="AK11" s="3"/>
      <c r="AL11" s="2899" t="s">
        <v>842</v>
      </c>
      <c r="AM11" s="2903" t="s">
        <v>888</v>
      </c>
      <c r="AN11" s="2904"/>
      <c r="AO11" s="2904"/>
      <c r="AP11" s="2904"/>
      <c r="AQ11" s="2904"/>
      <c r="AR11" s="2904"/>
      <c r="AS11" s="2904"/>
      <c r="AT11" s="2904"/>
      <c r="AU11" s="2904"/>
      <c r="AV11" s="2904"/>
      <c r="AW11" s="2904"/>
      <c r="AX11" s="2905"/>
      <c r="AY11" s="2911">
        <f>COUNTIF(実績!$AD$5:$AD$1474,AM11)</f>
        <v>1</v>
      </c>
      <c r="AZ11" s="2911"/>
      <c r="BA11" s="2890">
        <f>COUNTIF(実績!$AE$5:$AE$1474,AM11)</f>
        <v>0</v>
      </c>
      <c r="BB11" s="2910"/>
      <c r="BC11" s="3"/>
      <c r="BD11" s="2900"/>
      <c r="BE11" s="2892" t="s">
        <v>1642</v>
      </c>
      <c r="BF11" s="2901"/>
      <c r="BG11" s="2901"/>
      <c r="BH11" s="2901"/>
      <c r="BI11" s="2901"/>
      <c r="BJ11" s="2901"/>
      <c r="BK11" s="2901"/>
      <c r="BL11" s="2901"/>
      <c r="BM11" s="2901"/>
      <c r="BN11" s="2901"/>
      <c r="BO11" s="2901"/>
      <c r="BP11" s="2902"/>
      <c r="BQ11" s="2876">
        <f>COUNTIF(実績!$AD$5:$AD$1474,BE11)</f>
        <v>0</v>
      </c>
      <c r="BR11" s="2876"/>
      <c r="BS11" s="2880">
        <f>COUNTIF(実績!$AE$5:$AE$1474,BE11)</f>
        <v>10</v>
      </c>
      <c r="BT11" s="2898"/>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row>
    <row r="12" spans="1:232" s="4" customFormat="1" ht="20.100000000000001" customHeight="1">
      <c r="A12" s="3"/>
      <c r="B12" s="2875"/>
      <c r="C12" s="2877" t="s">
        <v>17370</v>
      </c>
      <c r="D12" s="2878"/>
      <c r="E12" s="2878"/>
      <c r="F12" s="2878"/>
      <c r="G12" s="2878"/>
      <c r="H12" s="2878"/>
      <c r="I12" s="2878"/>
      <c r="J12" s="2878"/>
      <c r="K12" s="2878"/>
      <c r="L12" s="2878"/>
      <c r="M12" s="2878"/>
      <c r="N12" s="2879"/>
      <c r="O12" s="2880">
        <f>COUNTIF(実績!$AD$5:$AD$1474,C12)</f>
        <v>46</v>
      </c>
      <c r="P12" s="2881"/>
      <c r="Q12" s="2880">
        <f>COUNTIF(実績!$AE$5:$AE$1474,C12)</f>
        <v>8</v>
      </c>
      <c r="R12" s="2881"/>
      <c r="S12" s="3"/>
      <c r="T12" s="2900"/>
      <c r="U12" s="2945" t="s">
        <v>17889</v>
      </c>
      <c r="V12" s="2946"/>
      <c r="W12" s="2946"/>
      <c r="X12" s="2946"/>
      <c r="Y12" s="2946"/>
      <c r="Z12" s="2946"/>
      <c r="AA12" s="2946"/>
      <c r="AB12" s="2946"/>
      <c r="AC12" s="2946"/>
      <c r="AD12" s="2946"/>
      <c r="AE12" s="2946"/>
      <c r="AF12" s="2947"/>
      <c r="AG12" s="2941">
        <f>COUNTIF(実績!$AD$5:$AD$1474,U12)</f>
        <v>0</v>
      </c>
      <c r="AH12" s="2942"/>
      <c r="AI12" s="2943">
        <f>COUNTIF(実績!$AE$5:$AE$1474,U12)</f>
        <v>9</v>
      </c>
      <c r="AJ12" s="2943"/>
      <c r="AK12" s="3"/>
      <c r="AL12" s="2900"/>
      <c r="AM12" s="2892" t="s">
        <v>1629</v>
      </c>
      <c r="AN12" s="2893"/>
      <c r="AO12" s="2893"/>
      <c r="AP12" s="2893"/>
      <c r="AQ12" s="2893"/>
      <c r="AR12" s="2893"/>
      <c r="AS12" s="2893"/>
      <c r="AT12" s="2893"/>
      <c r="AU12" s="2893"/>
      <c r="AV12" s="2893"/>
      <c r="AW12" s="2893"/>
      <c r="AX12" s="2894"/>
      <c r="AY12" s="2876">
        <f>COUNTIF(実績!$AD$5:$AD$1474,AM12)</f>
        <v>6</v>
      </c>
      <c r="AZ12" s="2876"/>
      <c r="BA12" s="2880">
        <f>COUNTIF(実績!$AE$5:$AE$1474,AM12)</f>
        <v>0</v>
      </c>
      <c r="BB12" s="2898"/>
      <c r="BC12" s="3"/>
      <c r="BD12" s="2900"/>
      <c r="BE12" s="2892" t="s">
        <v>1650</v>
      </c>
      <c r="BF12" s="2901"/>
      <c r="BG12" s="2901"/>
      <c r="BH12" s="2901"/>
      <c r="BI12" s="2901"/>
      <c r="BJ12" s="2901"/>
      <c r="BK12" s="2901"/>
      <c r="BL12" s="2901"/>
      <c r="BM12" s="2901"/>
      <c r="BN12" s="2901"/>
      <c r="BO12" s="2901"/>
      <c r="BP12" s="2902"/>
      <c r="BQ12" s="2876">
        <f>COUNTIF(実績!$AD$5:$AD$1474,BE12)</f>
        <v>3</v>
      </c>
      <c r="BR12" s="2876"/>
      <c r="BS12" s="2880">
        <f>COUNTIF(実績!$AE$5:$AE$1474,BE12)</f>
        <v>0</v>
      </c>
      <c r="BT12" s="2898"/>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row>
    <row r="13" spans="1:232" s="4" customFormat="1" ht="20.100000000000001" customHeight="1">
      <c r="A13" s="3"/>
      <c r="B13" s="2875"/>
      <c r="C13" s="2877" t="s">
        <v>18035</v>
      </c>
      <c r="D13" s="2878"/>
      <c r="E13" s="2878"/>
      <c r="F13" s="2878"/>
      <c r="G13" s="2878"/>
      <c r="H13" s="2878"/>
      <c r="I13" s="2878"/>
      <c r="J13" s="2878"/>
      <c r="K13" s="2878"/>
      <c r="L13" s="2878"/>
      <c r="M13" s="2878"/>
      <c r="N13" s="2879"/>
      <c r="O13" s="2896">
        <f>COUNTIF(実績!$AD$5:$AD$1474,"*株式会社 ジェイ・イー・サポート*")</f>
        <v>22</v>
      </c>
      <c r="P13" s="2897"/>
      <c r="Q13" s="2895">
        <f>COUNTIF(実績!$AE$5:$AE$1474,"*株式会社 ジェイ・イー・サポート*")</f>
        <v>9</v>
      </c>
      <c r="R13" s="2895"/>
      <c r="S13" s="3"/>
      <c r="T13" s="2900"/>
      <c r="U13" s="2885" t="s">
        <v>292</v>
      </c>
      <c r="V13" s="2878"/>
      <c r="W13" s="2878"/>
      <c r="X13" s="2878"/>
      <c r="Y13" s="2878"/>
      <c r="Z13" s="2878"/>
      <c r="AA13" s="2878"/>
      <c r="AB13" s="2878"/>
      <c r="AC13" s="2878"/>
      <c r="AD13" s="2878"/>
      <c r="AE13" s="2878"/>
      <c r="AF13" s="2879"/>
      <c r="AG13" s="2880">
        <f>COUNTIF(実績!$AD$5:$AD$1474,U13)</f>
        <v>3</v>
      </c>
      <c r="AH13" s="2881"/>
      <c r="AI13" s="2876">
        <f>COUNTIF(実績!$AE$5:$AE$1474,U13)</f>
        <v>12</v>
      </c>
      <c r="AJ13" s="2876"/>
      <c r="AK13" s="3"/>
      <c r="AL13" s="2900"/>
      <c r="AM13" s="2892" t="s">
        <v>3267</v>
      </c>
      <c r="AN13" s="2893"/>
      <c r="AO13" s="2893"/>
      <c r="AP13" s="2893"/>
      <c r="AQ13" s="2893"/>
      <c r="AR13" s="2893"/>
      <c r="AS13" s="2893"/>
      <c r="AT13" s="2893"/>
      <c r="AU13" s="2893"/>
      <c r="AV13" s="2893"/>
      <c r="AW13" s="2893"/>
      <c r="AX13" s="2894"/>
      <c r="AY13" s="2876">
        <f>COUNTIF(実績!$AD$5:$AD$1474,AM13)</f>
        <v>2</v>
      </c>
      <c r="AZ13" s="2876"/>
      <c r="BA13" s="2880">
        <f>COUNTIF(実績!$AE$5:$AE$1474,AM13)</f>
        <v>0</v>
      </c>
      <c r="BB13" s="2898"/>
      <c r="BC13" s="3"/>
      <c r="BD13" s="2900"/>
      <c r="BE13" s="2892" t="s">
        <v>879</v>
      </c>
      <c r="BF13" s="2901"/>
      <c r="BG13" s="2901"/>
      <c r="BH13" s="2901"/>
      <c r="BI13" s="2901"/>
      <c r="BJ13" s="2901"/>
      <c r="BK13" s="2901"/>
      <c r="BL13" s="2901"/>
      <c r="BM13" s="2901"/>
      <c r="BN13" s="2901"/>
      <c r="BO13" s="2901"/>
      <c r="BP13" s="2902"/>
      <c r="BQ13" s="2876">
        <f>COUNTIF(実績!$AD$5:$AD$1474,BE13)</f>
        <v>1</v>
      </c>
      <c r="BR13" s="2876"/>
      <c r="BS13" s="2880">
        <f>COUNTIF(実績!$AE$5:$AE$1474,BE13)</f>
        <v>0</v>
      </c>
      <c r="BT13" s="2898"/>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row>
    <row r="14" spans="1:232" s="4" customFormat="1" ht="20.100000000000001" customHeight="1">
      <c r="A14" s="3"/>
      <c r="B14" s="2875"/>
      <c r="C14" s="2877" t="s">
        <v>11010</v>
      </c>
      <c r="D14" s="2878"/>
      <c r="E14" s="2878"/>
      <c r="F14" s="2878"/>
      <c r="G14" s="2878"/>
      <c r="H14" s="2878"/>
      <c r="I14" s="2878"/>
      <c r="J14" s="2878"/>
      <c r="K14" s="2878"/>
      <c r="L14" s="2878"/>
      <c r="M14" s="2878"/>
      <c r="N14" s="2879"/>
      <c r="O14" s="2896">
        <f>COUNTIF(実績!$AD$5:$AD$1474,"*株式会社 確認サービス*")</f>
        <v>12</v>
      </c>
      <c r="P14" s="2897"/>
      <c r="Q14" s="2895">
        <f>COUNTIF(実績!$AE$5:$AE$1474,"*株式会社 確認サービス*")</f>
        <v>0</v>
      </c>
      <c r="R14" s="2895"/>
      <c r="S14" s="3"/>
      <c r="T14" s="2900"/>
      <c r="U14" s="2885" t="s">
        <v>8067</v>
      </c>
      <c r="V14" s="2878"/>
      <c r="W14" s="2878"/>
      <c r="X14" s="2878"/>
      <c r="Y14" s="2878"/>
      <c r="Z14" s="2878"/>
      <c r="AA14" s="2878"/>
      <c r="AB14" s="2878"/>
      <c r="AC14" s="2878"/>
      <c r="AD14" s="2878"/>
      <c r="AE14" s="2878"/>
      <c r="AF14" s="2879"/>
      <c r="AG14" s="2880">
        <f>COUNTIF(実績!$AD$5:$AD$1474,U14)</f>
        <v>0</v>
      </c>
      <c r="AH14" s="2881"/>
      <c r="AI14" s="2876">
        <f>COUNTIF(実績!$AE$5:$AE$1474,U14)</f>
        <v>6</v>
      </c>
      <c r="AJ14" s="2876"/>
      <c r="AK14" s="3"/>
      <c r="AL14" s="2900"/>
      <c r="AM14" s="2892" t="s">
        <v>5539</v>
      </c>
      <c r="AN14" s="2893"/>
      <c r="AO14" s="2893"/>
      <c r="AP14" s="2893"/>
      <c r="AQ14" s="2893"/>
      <c r="AR14" s="2893"/>
      <c r="AS14" s="2893"/>
      <c r="AT14" s="2893"/>
      <c r="AU14" s="2893"/>
      <c r="AV14" s="2893"/>
      <c r="AW14" s="2893"/>
      <c r="AX14" s="2894"/>
      <c r="AY14" s="2876">
        <f>COUNTIF(実績!$AD$5:$AD$1474,AM14)</f>
        <v>1</v>
      </c>
      <c r="AZ14" s="2876"/>
      <c r="BA14" s="2880">
        <f>COUNTIF(実績!$AE$5:$AE$1474,AM14)</f>
        <v>0</v>
      </c>
      <c r="BB14" s="2898"/>
      <c r="BC14" s="3"/>
      <c r="BD14" s="2900"/>
      <c r="BE14" s="2892" t="s">
        <v>1612</v>
      </c>
      <c r="BF14" s="2901"/>
      <c r="BG14" s="2901"/>
      <c r="BH14" s="2901"/>
      <c r="BI14" s="2901"/>
      <c r="BJ14" s="2901"/>
      <c r="BK14" s="2901"/>
      <c r="BL14" s="2901"/>
      <c r="BM14" s="2901"/>
      <c r="BN14" s="2901"/>
      <c r="BO14" s="2901"/>
      <c r="BP14" s="2902"/>
      <c r="BQ14" s="2876">
        <f>COUNTIF(実績!$AD$5:$AD$1474,BE14)</f>
        <v>2</v>
      </c>
      <c r="BR14" s="2876"/>
      <c r="BS14" s="2880">
        <f>COUNTIF(実績!$AE$5:$AE$1474,BE14)</f>
        <v>0</v>
      </c>
      <c r="BT14" s="2898"/>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row>
    <row r="15" spans="1:232" s="4" customFormat="1" ht="20.100000000000001" customHeight="1">
      <c r="A15" s="3"/>
      <c r="B15" s="2875"/>
      <c r="C15" s="2877" t="s">
        <v>9735</v>
      </c>
      <c r="D15" s="2878"/>
      <c r="E15" s="2878"/>
      <c r="F15" s="2878"/>
      <c r="G15" s="2878"/>
      <c r="H15" s="2878"/>
      <c r="I15" s="2878"/>
      <c r="J15" s="2878"/>
      <c r="K15" s="2878"/>
      <c r="L15" s="2878"/>
      <c r="M15" s="2878"/>
      <c r="N15" s="2879"/>
      <c r="O15" s="2880">
        <f>COUNTIF(実績!$AD$5:$AD$1474,C15)</f>
        <v>4</v>
      </c>
      <c r="P15" s="2881"/>
      <c r="Q15" s="2876">
        <f>COUNTIF(実績!$AE$5:$AE$1474,C15)</f>
        <v>0</v>
      </c>
      <c r="R15" s="2876"/>
      <c r="S15" s="3"/>
      <c r="T15" s="2900"/>
      <c r="U15" s="2885" t="s">
        <v>670</v>
      </c>
      <c r="V15" s="2878"/>
      <c r="W15" s="2878"/>
      <c r="X15" s="2878"/>
      <c r="Y15" s="2878"/>
      <c r="Z15" s="2878"/>
      <c r="AA15" s="2878"/>
      <c r="AB15" s="2878"/>
      <c r="AC15" s="2878"/>
      <c r="AD15" s="2878"/>
      <c r="AE15" s="2878"/>
      <c r="AF15" s="2879"/>
      <c r="AG15" s="2880">
        <f>COUNTIF(実績!$AD$5:$AD$1474,U15)</f>
        <v>0</v>
      </c>
      <c r="AH15" s="2881"/>
      <c r="AI15" s="2876">
        <f>COUNTIF(実績!$AE$5:$AE$1474,U15)</f>
        <v>3</v>
      </c>
      <c r="AJ15" s="2876"/>
      <c r="AK15" s="3"/>
      <c r="AL15" s="2900"/>
      <c r="AM15" s="2892" t="s">
        <v>3077</v>
      </c>
      <c r="AN15" s="2893"/>
      <c r="AO15" s="2893"/>
      <c r="AP15" s="2893"/>
      <c r="AQ15" s="2893"/>
      <c r="AR15" s="2893"/>
      <c r="AS15" s="2893"/>
      <c r="AT15" s="2893"/>
      <c r="AU15" s="2893"/>
      <c r="AV15" s="2893"/>
      <c r="AW15" s="2893"/>
      <c r="AX15" s="2894"/>
      <c r="AY15" s="2876">
        <f>COUNTIF(実績!$AD$5:$AD$1474,AM15)</f>
        <v>1</v>
      </c>
      <c r="AZ15" s="2876"/>
      <c r="BA15" s="2880">
        <f>COUNTIF(実績!$AE$5:$AE$1474,AM15)</f>
        <v>0</v>
      </c>
      <c r="BB15" s="2898"/>
      <c r="BC15" s="3"/>
      <c r="BD15" s="2900"/>
      <c r="BE15" s="2929" t="s">
        <v>7721</v>
      </c>
      <c r="BF15" s="2938"/>
      <c r="BG15" s="2938"/>
      <c r="BH15" s="2938"/>
      <c r="BI15" s="2938"/>
      <c r="BJ15" s="2938"/>
      <c r="BK15" s="2938"/>
      <c r="BL15" s="2938"/>
      <c r="BM15" s="2938"/>
      <c r="BN15" s="2938"/>
      <c r="BO15" s="2938"/>
      <c r="BP15" s="2939"/>
      <c r="BQ15" s="2932">
        <f>COUNTIF(実績!$AD$5:$AD$1474,BE15)</f>
        <v>2</v>
      </c>
      <c r="BR15" s="2932"/>
      <c r="BS15" s="2916">
        <f>COUNTIF(実績!$AE$5:$AE$1474,BE15)</f>
        <v>0</v>
      </c>
      <c r="BT15" s="293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row>
    <row r="16" spans="1:232" s="4" customFormat="1" ht="20.100000000000001" customHeight="1">
      <c r="A16" s="3"/>
      <c r="B16" s="2875"/>
      <c r="C16" s="2877" t="s">
        <v>4611</v>
      </c>
      <c r="D16" s="2878"/>
      <c r="E16" s="2878"/>
      <c r="F16" s="2878"/>
      <c r="G16" s="2878"/>
      <c r="H16" s="2878"/>
      <c r="I16" s="2878"/>
      <c r="J16" s="2878"/>
      <c r="K16" s="2878"/>
      <c r="L16" s="2878"/>
      <c r="M16" s="2878"/>
      <c r="N16" s="2879"/>
      <c r="O16" s="2880">
        <f>COUNTIF(実績!$AD$5:$AD$1474,C16)</f>
        <v>4</v>
      </c>
      <c r="P16" s="2881"/>
      <c r="Q16" s="2876">
        <f>COUNTIF(実績!$AE$5:$AE$1474,C16)</f>
        <v>0</v>
      </c>
      <c r="R16" s="2876"/>
      <c r="S16" s="3"/>
      <c r="T16" s="2900"/>
      <c r="U16" s="2885" t="s">
        <v>1450</v>
      </c>
      <c r="V16" s="2878"/>
      <c r="W16" s="2878"/>
      <c r="X16" s="2878"/>
      <c r="Y16" s="2878"/>
      <c r="Z16" s="2878"/>
      <c r="AA16" s="2878"/>
      <c r="AB16" s="2878"/>
      <c r="AC16" s="2878"/>
      <c r="AD16" s="2878"/>
      <c r="AE16" s="2878"/>
      <c r="AF16" s="2879"/>
      <c r="AG16" s="2880">
        <f>COUNTIF(実績!$AD$5:$AD$1474,U16)</f>
        <v>0</v>
      </c>
      <c r="AH16" s="2881"/>
      <c r="AI16" s="2876">
        <f>COUNTIF(実績!$AE$5:$AE$1474,U16)</f>
        <v>3</v>
      </c>
      <c r="AJ16" s="2876"/>
      <c r="AK16" s="3"/>
      <c r="AL16" s="2900"/>
      <c r="AM16" s="2892" t="s">
        <v>7678</v>
      </c>
      <c r="AN16" s="2893"/>
      <c r="AO16" s="2893"/>
      <c r="AP16" s="2893"/>
      <c r="AQ16" s="2893"/>
      <c r="AR16" s="2893"/>
      <c r="AS16" s="2893"/>
      <c r="AT16" s="2893"/>
      <c r="AU16" s="2893"/>
      <c r="AV16" s="2893"/>
      <c r="AW16" s="2893"/>
      <c r="AX16" s="2894"/>
      <c r="AY16" s="2876">
        <f>COUNTIF(実績!$AD$5:$AD$1474,AM16)</f>
        <v>2</v>
      </c>
      <c r="AZ16" s="2876"/>
      <c r="BA16" s="2880">
        <f>COUNTIF(実績!$AE$5:$AE$1474,AM16)</f>
        <v>0</v>
      </c>
      <c r="BB16" s="2898"/>
      <c r="BC16" s="3"/>
      <c r="BD16" s="2900"/>
      <c r="BE16" s="2929" t="s">
        <v>881</v>
      </c>
      <c r="BF16" s="2938"/>
      <c r="BG16" s="2938"/>
      <c r="BH16" s="2938"/>
      <c r="BI16" s="2938"/>
      <c r="BJ16" s="2938"/>
      <c r="BK16" s="2938"/>
      <c r="BL16" s="2938"/>
      <c r="BM16" s="2938"/>
      <c r="BN16" s="2938"/>
      <c r="BO16" s="2938"/>
      <c r="BP16" s="2939"/>
      <c r="BQ16" s="2932">
        <f>COUNTIF(実績!$AD$5:$AD$1474,BE16)</f>
        <v>1</v>
      </c>
      <c r="BR16" s="2932"/>
      <c r="BS16" s="2916">
        <f>COUNTIF(実績!$AE$5:$AE$1474,BE16)</f>
        <v>0</v>
      </c>
      <c r="BT16" s="293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row>
    <row r="17" spans="1:232" s="4" customFormat="1" ht="20.100000000000001" customHeight="1">
      <c r="A17" s="3"/>
      <c r="B17" s="2875"/>
      <c r="C17" s="2877" t="s">
        <v>4612</v>
      </c>
      <c r="D17" s="2878"/>
      <c r="E17" s="2878"/>
      <c r="F17" s="2878"/>
      <c r="G17" s="2878"/>
      <c r="H17" s="2878"/>
      <c r="I17" s="2878"/>
      <c r="J17" s="2878"/>
      <c r="K17" s="2878"/>
      <c r="L17" s="2878"/>
      <c r="M17" s="2878"/>
      <c r="N17" s="2879"/>
      <c r="O17" s="2880">
        <f>COUNTIF(実績!$AD$5:$AD$1474,C17)</f>
        <v>1</v>
      </c>
      <c r="P17" s="2881"/>
      <c r="Q17" s="2876">
        <f>COUNTIF(実績!$AE$5:$AE$1474,C17)</f>
        <v>0</v>
      </c>
      <c r="R17" s="2876"/>
      <c r="S17" s="3"/>
      <c r="T17" s="2900"/>
      <c r="U17" s="2877" t="s">
        <v>17036</v>
      </c>
      <c r="V17" s="2878"/>
      <c r="W17" s="2878"/>
      <c r="X17" s="2878"/>
      <c r="Y17" s="2878"/>
      <c r="Z17" s="2878"/>
      <c r="AA17" s="2878"/>
      <c r="AB17" s="2878"/>
      <c r="AC17" s="2878"/>
      <c r="AD17" s="2878"/>
      <c r="AE17" s="2878"/>
      <c r="AF17" s="2879"/>
      <c r="AG17" s="2880">
        <f>COUNTIF(実績!$AD$5:$AD$1474,U17)</f>
        <v>6</v>
      </c>
      <c r="AH17" s="2881"/>
      <c r="AI17" s="2876">
        <f>COUNTIF(実績!$AE$5:$AE$1474,U17)</f>
        <v>0</v>
      </c>
      <c r="AJ17" s="2876"/>
      <c r="AK17" s="3"/>
      <c r="AL17" s="2900"/>
      <c r="AM17" s="2892" t="s">
        <v>4088</v>
      </c>
      <c r="AN17" s="2893"/>
      <c r="AO17" s="2893"/>
      <c r="AP17" s="2893"/>
      <c r="AQ17" s="2893"/>
      <c r="AR17" s="2893"/>
      <c r="AS17" s="2893"/>
      <c r="AT17" s="2893"/>
      <c r="AU17" s="2893"/>
      <c r="AV17" s="2893"/>
      <c r="AW17" s="2893"/>
      <c r="AX17" s="2894"/>
      <c r="AY17" s="2876">
        <f>COUNTIF(実績!$AD$5:$AD$1474,AM17)</f>
        <v>1</v>
      </c>
      <c r="AZ17" s="2876"/>
      <c r="BA17" s="2880">
        <f>COUNTIF(実績!$AE$5:$AE$1474,AM17)</f>
        <v>0</v>
      </c>
      <c r="BB17" s="2898"/>
      <c r="BC17" s="3"/>
      <c r="BD17" s="2900"/>
      <c r="BE17" s="2892"/>
      <c r="BF17" s="2901"/>
      <c r="BG17" s="2901"/>
      <c r="BH17" s="2901"/>
      <c r="BI17" s="2901"/>
      <c r="BJ17" s="2901"/>
      <c r="BK17" s="2901"/>
      <c r="BL17" s="2901"/>
      <c r="BM17" s="2901"/>
      <c r="BN17" s="2901"/>
      <c r="BO17" s="2901"/>
      <c r="BP17" s="2902"/>
      <c r="BQ17" s="2876"/>
      <c r="BR17" s="2876"/>
      <c r="BS17" s="2880"/>
      <c r="BT17" s="2898"/>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row>
    <row r="18" spans="1:232" s="4" customFormat="1" ht="20.100000000000001" customHeight="1">
      <c r="A18" s="3"/>
      <c r="B18" s="2875"/>
      <c r="C18" s="2877" t="s">
        <v>6037</v>
      </c>
      <c r="D18" s="2878"/>
      <c r="E18" s="2878"/>
      <c r="F18" s="2878"/>
      <c r="G18" s="2878"/>
      <c r="H18" s="2878"/>
      <c r="I18" s="2878"/>
      <c r="J18" s="2878"/>
      <c r="K18" s="2878"/>
      <c r="L18" s="2878"/>
      <c r="M18" s="2878"/>
      <c r="N18" s="2879"/>
      <c r="O18" s="2880">
        <f>COUNTIF(実績!$AD$5:$AD$1474,C18)</f>
        <v>4</v>
      </c>
      <c r="P18" s="2881"/>
      <c r="Q18" s="2876">
        <f>COUNTIF(実績!$AE$5:$AE$1474,C18)</f>
        <v>0</v>
      </c>
      <c r="R18" s="2876"/>
      <c r="S18" s="3"/>
      <c r="T18" s="2900"/>
      <c r="U18" s="2877" t="s">
        <v>259</v>
      </c>
      <c r="V18" s="2878"/>
      <c r="W18" s="2878"/>
      <c r="X18" s="2878"/>
      <c r="Y18" s="2878"/>
      <c r="Z18" s="2878"/>
      <c r="AA18" s="2878"/>
      <c r="AB18" s="2878"/>
      <c r="AC18" s="2878"/>
      <c r="AD18" s="2878"/>
      <c r="AE18" s="2878"/>
      <c r="AF18" s="2879"/>
      <c r="AG18" s="2880">
        <f>COUNTIF(実績!$AD$5:$AD$1474,U18)</f>
        <v>1</v>
      </c>
      <c r="AH18" s="2881"/>
      <c r="AI18" s="2876">
        <f>COUNTIF(実績!$AE$5:$AE$1474,U18)</f>
        <v>0</v>
      </c>
      <c r="AJ18" s="2876"/>
      <c r="AK18" s="3"/>
      <c r="AL18" s="2900"/>
      <c r="AM18" s="2892" t="s">
        <v>8337</v>
      </c>
      <c r="AN18" s="2893"/>
      <c r="AO18" s="2893"/>
      <c r="AP18" s="2893"/>
      <c r="AQ18" s="2893"/>
      <c r="AR18" s="2893"/>
      <c r="AS18" s="2893"/>
      <c r="AT18" s="2893"/>
      <c r="AU18" s="2893"/>
      <c r="AV18" s="2893"/>
      <c r="AW18" s="2893"/>
      <c r="AX18" s="2894"/>
      <c r="AY18" s="2876">
        <f>COUNTIF(実績!$AD$5:$AD$1474,AM18)</f>
        <v>1</v>
      </c>
      <c r="AZ18" s="2876"/>
      <c r="BA18" s="2880">
        <f>COUNTIF(実績!$AE$5:$AE$1474,AM18)</f>
        <v>0</v>
      </c>
      <c r="BB18" s="2898"/>
      <c r="BC18" s="3"/>
      <c r="BD18" s="2874"/>
      <c r="BE18" s="2912"/>
      <c r="BF18" s="2913"/>
      <c r="BG18" s="2913"/>
      <c r="BH18" s="2913"/>
      <c r="BI18" s="2913"/>
      <c r="BJ18" s="2913"/>
      <c r="BK18" s="2913"/>
      <c r="BL18" s="2913"/>
      <c r="BM18" s="2913"/>
      <c r="BN18" s="2913"/>
      <c r="BO18" s="2913"/>
      <c r="BP18" s="2914"/>
      <c r="BQ18" s="2873"/>
      <c r="BR18" s="2873"/>
      <c r="BS18" s="2871"/>
      <c r="BT18" s="2915"/>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row>
    <row r="19" spans="1:232" s="4" customFormat="1" ht="20.100000000000001" customHeight="1">
      <c r="A19" s="3"/>
      <c r="B19" s="2875"/>
      <c r="C19" s="2877" t="s">
        <v>818</v>
      </c>
      <c r="D19" s="2878"/>
      <c r="E19" s="2878"/>
      <c r="F19" s="2878"/>
      <c r="G19" s="2878"/>
      <c r="H19" s="2878"/>
      <c r="I19" s="2878"/>
      <c r="J19" s="2878"/>
      <c r="K19" s="2878"/>
      <c r="L19" s="2878"/>
      <c r="M19" s="2878"/>
      <c r="N19" s="2879"/>
      <c r="O19" s="2880">
        <f>COUNTIF(実績!$AD$5:$AD$1474,C19)</f>
        <v>4</v>
      </c>
      <c r="P19" s="2881"/>
      <c r="Q19" s="2876">
        <f>COUNTIF(実績!$AE$5:$AE$1474,C19)</f>
        <v>0</v>
      </c>
      <c r="R19" s="2876"/>
      <c r="S19" s="3"/>
      <c r="T19" s="2900"/>
      <c r="U19" s="2877" t="s">
        <v>8695</v>
      </c>
      <c r="V19" s="2878"/>
      <c r="W19" s="2878"/>
      <c r="X19" s="2878"/>
      <c r="Y19" s="2878"/>
      <c r="Z19" s="2878"/>
      <c r="AA19" s="2878"/>
      <c r="AB19" s="2878"/>
      <c r="AC19" s="2878"/>
      <c r="AD19" s="2878"/>
      <c r="AE19" s="2878"/>
      <c r="AF19" s="2879"/>
      <c r="AG19" s="2880">
        <f>COUNTIF(実績!$AD$5:$AD$1474,U19)</f>
        <v>0</v>
      </c>
      <c r="AH19" s="2881"/>
      <c r="AI19" s="2876">
        <f>COUNTIF(実績!$AE$5:$AE$1474,U19)</f>
        <v>23</v>
      </c>
      <c r="AJ19" s="2876"/>
      <c r="AK19" s="3"/>
      <c r="AL19" s="2900"/>
      <c r="AM19" s="2892" t="s">
        <v>850</v>
      </c>
      <c r="AN19" s="2893"/>
      <c r="AO19" s="2893"/>
      <c r="AP19" s="2893"/>
      <c r="AQ19" s="2893"/>
      <c r="AR19" s="2893"/>
      <c r="AS19" s="2893"/>
      <c r="AT19" s="2893"/>
      <c r="AU19" s="2893"/>
      <c r="AV19" s="2893"/>
      <c r="AW19" s="2893"/>
      <c r="AX19" s="2894"/>
      <c r="AY19" s="2876">
        <f>COUNTIF(実績!$AD$5:$AD$1474,AM19)</f>
        <v>1</v>
      </c>
      <c r="AZ19" s="2876"/>
      <c r="BA19" s="2880">
        <f>COUNTIF(実績!$AE$5:$AE$1474,AM19)</f>
        <v>0</v>
      </c>
      <c r="BB19" s="2898"/>
      <c r="BC19" s="3"/>
      <c r="BD19" s="2899" t="s">
        <v>848</v>
      </c>
      <c r="BE19" s="2903" t="s">
        <v>883</v>
      </c>
      <c r="BF19" s="2904"/>
      <c r="BG19" s="2904"/>
      <c r="BH19" s="2904"/>
      <c r="BI19" s="2904"/>
      <c r="BJ19" s="2904"/>
      <c r="BK19" s="2904"/>
      <c r="BL19" s="2904"/>
      <c r="BM19" s="2904"/>
      <c r="BN19" s="2904"/>
      <c r="BO19" s="2904"/>
      <c r="BP19" s="2905"/>
      <c r="BQ19" s="2911">
        <f>COUNTIF(実績!$AD$5:$AD$1474,BE19)</f>
        <v>1</v>
      </c>
      <c r="BR19" s="2911"/>
      <c r="BS19" s="2890">
        <f>COUNTIF(実績!$AE$5:$AE$1474,BE19)</f>
        <v>0</v>
      </c>
      <c r="BT19" s="2891"/>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row>
    <row r="20" spans="1:232" s="4" customFormat="1" ht="20.100000000000001" customHeight="1">
      <c r="A20" s="3"/>
      <c r="B20" s="2875"/>
      <c r="C20" s="2877" t="s">
        <v>4932</v>
      </c>
      <c r="D20" s="2878"/>
      <c r="E20" s="2878"/>
      <c r="F20" s="2878"/>
      <c r="G20" s="2878"/>
      <c r="H20" s="2878"/>
      <c r="I20" s="2878"/>
      <c r="J20" s="2878"/>
      <c r="K20" s="2878"/>
      <c r="L20" s="2878"/>
      <c r="M20" s="2878"/>
      <c r="N20" s="2879"/>
      <c r="O20" s="2896">
        <f>COUNTIF(実績!$AD$5:$AD$1474,"*日本ERI*")</f>
        <v>379</v>
      </c>
      <c r="P20" s="2897"/>
      <c r="Q20" s="2895">
        <f>COUNTIF(実績!$AE$5:$AE$1474,"*日本ERI*")</f>
        <v>5</v>
      </c>
      <c r="R20" s="2895"/>
      <c r="S20" s="3"/>
      <c r="T20" s="2900"/>
      <c r="U20" s="2885" t="s">
        <v>3890</v>
      </c>
      <c r="V20" s="2878"/>
      <c r="W20" s="2878"/>
      <c r="X20" s="2878"/>
      <c r="Y20" s="2878"/>
      <c r="Z20" s="2878"/>
      <c r="AA20" s="2878"/>
      <c r="AB20" s="2878"/>
      <c r="AC20" s="2878"/>
      <c r="AD20" s="2878"/>
      <c r="AE20" s="2878"/>
      <c r="AF20" s="2879"/>
      <c r="AG20" s="2880">
        <f>COUNTIF(実績!$AD$5:$AD$1474,U20)</f>
        <v>14</v>
      </c>
      <c r="AH20" s="2881"/>
      <c r="AI20" s="2876">
        <f>COUNTIF(実績!$AE$5:$AE$1474,U20)</f>
        <v>1</v>
      </c>
      <c r="AJ20" s="2876"/>
      <c r="AK20" s="3"/>
      <c r="AL20" s="2900"/>
      <c r="AM20" s="2892" t="s">
        <v>8788</v>
      </c>
      <c r="AN20" s="2893"/>
      <c r="AO20" s="2893"/>
      <c r="AP20" s="2893"/>
      <c r="AQ20" s="2893"/>
      <c r="AR20" s="2893"/>
      <c r="AS20" s="2893"/>
      <c r="AT20" s="2893"/>
      <c r="AU20" s="2893"/>
      <c r="AV20" s="2893"/>
      <c r="AW20" s="2893"/>
      <c r="AX20" s="2894"/>
      <c r="AY20" s="2876">
        <f>COUNTIF(実績!$AD$5:$AD$1474,AM20)</f>
        <v>2</v>
      </c>
      <c r="AZ20" s="2876"/>
      <c r="BA20" s="2880">
        <f>COUNTIF(実績!$AE$5:$AE$1474,AM20)</f>
        <v>0</v>
      </c>
      <c r="BB20" s="2898"/>
      <c r="BC20" s="3"/>
      <c r="BD20" s="2900"/>
      <c r="BE20" s="2892" t="s">
        <v>16983</v>
      </c>
      <c r="BF20" s="2893"/>
      <c r="BG20" s="2893"/>
      <c r="BH20" s="2893"/>
      <c r="BI20" s="2893"/>
      <c r="BJ20" s="2893"/>
      <c r="BK20" s="2893"/>
      <c r="BL20" s="2893"/>
      <c r="BM20" s="2893"/>
      <c r="BN20" s="2893"/>
      <c r="BO20" s="2893"/>
      <c r="BP20" s="2894"/>
      <c r="BQ20" s="2876">
        <f>COUNTIF(実績!$AD$5:$AD$1474,BE20)</f>
        <v>1</v>
      </c>
      <c r="BR20" s="2876"/>
      <c r="BS20" s="2880">
        <f>COUNTIF(実績!$AE$5:$AE$1474,BE20)</f>
        <v>0</v>
      </c>
      <c r="BT20" s="2881"/>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row>
    <row r="21" spans="1:232" s="4" customFormat="1" ht="20.100000000000001" customHeight="1">
      <c r="A21" s="3"/>
      <c r="B21" s="2875"/>
      <c r="C21" s="2877" t="s">
        <v>17908</v>
      </c>
      <c r="D21" s="2878"/>
      <c r="E21" s="2878"/>
      <c r="F21" s="2878"/>
      <c r="G21" s="2878"/>
      <c r="H21" s="2878"/>
      <c r="I21" s="2878"/>
      <c r="J21" s="2878"/>
      <c r="K21" s="2878"/>
      <c r="L21" s="2878"/>
      <c r="M21" s="2878"/>
      <c r="N21" s="2879"/>
      <c r="O21" s="2896">
        <f>COUNTIF(実績!$AD$5:$AD$1474,"*ビューローベリタスジャパン*")</f>
        <v>245</v>
      </c>
      <c r="P21" s="2897"/>
      <c r="Q21" s="2895">
        <f>COUNTIF(実績!$AE$5:$AE$1474,"*ビューローベリタスジャパン*")</f>
        <v>19</v>
      </c>
      <c r="R21" s="2895"/>
      <c r="S21" s="3"/>
      <c r="T21" s="2900"/>
      <c r="U21" s="2877" t="s">
        <v>298</v>
      </c>
      <c r="V21" s="2878"/>
      <c r="W21" s="2878"/>
      <c r="X21" s="2878"/>
      <c r="Y21" s="2878"/>
      <c r="Z21" s="2878"/>
      <c r="AA21" s="2878"/>
      <c r="AB21" s="2878"/>
      <c r="AC21" s="2878"/>
      <c r="AD21" s="2878"/>
      <c r="AE21" s="2878"/>
      <c r="AF21" s="2879"/>
      <c r="AG21" s="2880">
        <f>COUNTIF(実績!$AD$5:$AD$1474,U21)</f>
        <v>2</v>
      </c>
      <c r="AH21" s="2881"/>
      <c r="AI21" s="2876">
        <f>COUNTIF(実績!$AE$5:$AE$1474,U21)</f>
        <v>29</v>
      </c>
      <c r="AJ21" s="2876"/>
      <c r="AK21" s="3"/>
      <c r="AL21" s="2900"/>
      <c r="AM21" s="2892" t="s">
        <v>852</v>
      </c>
      <c r="AN21" s="2893"/>
      <c r="AO21" s="2893"/>
      <c r="AP21" s="2893"/>
      <c r="AQ21" s="2893"/>
      <c r="AR21" s="2893"/>
      <c r="AS21" s="2893"/>
      <c r="AT21" s="2893"/>
      <c r="AU21" s="2893"/>
      <c r="AV21" s="2893"/>
      <c r="AW21" s="2893"/>
      <c r="AX21" s="2894"/>
      <c r="AY21" s="2876">
        <f>COUNTIF(実績!$AD$5:$AD$1474,AM21)</f>
        <v>2</v>
      </c>
      <c r="AZ21" s="2876"/>
      <c r="BA21" s="2880">
        <f>COUNTIF(実績!$AE$5:$AE$1474,AM21)</f>
        <v>0</v>
      </c>
      <c r="BB21" s="2898"/>
      <c r="BC21" s="3"/>
      <c r="BD21" s="2900"/>
      <c r="BE21" s="2892" t="s">
        <v>932</v>
      </c>
      <c r="BF21" s="2893"/>
      <c r="BG21" s="2893"/>
      <c r="BH21" s="2893"/>
      <c r="BI21" s="2893"/>
      <c r="BJ21" s="2893"/>
      <c r="BK21" s="2893"/>
      <c r="BL21" s="2893"/>
      <c r="BM21" s="2893"/>
      <c r="BN21" s="2893"/>
      <c r="BO21" s="2893"/>
      <c r="BP21" s="2894"/>
      <c r="BQ21" s="2876">
        <f>COUNTIF(実績!$AD$5:$AD$1474,BE21)</f>
        <v>1</v>
      </c>
      <c r="BR21" s="2876"/>
      <c r="BS21" s="2880">
        <f>COUNTIF(実績!$AE$5:$AE$1474,BE21)</f>
        <v>0</v>
      </c>
      <c r="BT21" s="2881"/>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row>
    <row r="22" spans="1:232" s="4" customFormat="1" ht="20.100000000000001" customHeight="1">
      <c r="A22" s="3"/>
      <c r="B22" s="2875"/>
      <c r="C22" s="2877" t="s">
        <v>817</v>
      </c>
      <c r="D22" s="2878"/>
      <c r="E22" s="2878"/>
      <c r="F22" s="2878"/>
      <c r="G22" s="2878"/>
      <c r="H22" s="2878"/>
      <c r="I22" s="2878"/>
      <c r="J22" s="2878"/>
      <c r="K22" s="2878"/>
      <c r="L22" s="2878"/>
      <c r="M22" s="2878"/>
      <c r="N22" s="2879"/>
      <c r="O22" s="2880">
        <f>COUNTIF(実績!$AD$5:$AD$1474,C22)</f>
        <v>10</v>
      </c>
      <c r="P22" s="2881"/>
      <c r="Q22" s="2876">
        <f>COUNTIF(実績!$AE$5:$AE$1474,C22)</f>
        <v>9</v>
      </c>
      <c r="R22" s="2876"/>
      <c r="S22" s="3"/>
      <c r="T22" s="2900"/>
      <c r="U22" s="2877" t="s">
        <v>1738</v>
      </c>
      <c r="V22" s="2878"/>
      <c r="W22" s="2878"/>
      <c r="X22" s="2878"/>
      <c r="Y22" s="2878"/>
      <c r="Z22" s="2878"/>
      <c r="AA22" s="2878"/>
      <c r="AB22" s="2878"/>
      <c r="AC22" s="2878"/>
      <c r="AD22" s="2878"/>
      <c r="AE22" s="2878"/>
      <c r="AF22" s="2879"/>
      <c r="AG22" s="2880">
        <f>COUNTIF(実績!$AD$5:$AD$1474,U22)</f>
        <v>0</v>
      </c>
      <c r="AH22" s="2881"/>
      <c r="AI22" s="2876">
        <f>COUNTIF(実績!$AE$5:$AE$1474,U22)</f>
        <v>2</v>
      </c>
      <c r="AJ22" s="2876"/>
      <c r="AK22" s="3"/>
      <c r="AL22" s="2900"/>
      <c r="AM22" s="2892" t="s">
        <v>2820</v>
      </c>
      <c r="AN22" s="2893"/>
      <c r="AO22" s="2893"/>
      <c r="AP22" s="2893"/>
      <c r="AQ22" s="2893"/>
      <c r="AR22" s="2893"/>
      <c r="AS22" s="2893"/>
      <c r="AT22" s="2893"/>
      <c r="AU22" s="2893"/>
      <c r="AV22" s="2893"/>
      <c r="AW22" s="2893"/>
      <c r="AX22" s="2894"/>
      <c r="AY22" s="2876">
        <f>COUNTIF(実績!$AD$5:$AD$1474,AM22)</f>
        <v>1</v>
      </c>
      <c r="AZ22" s="2876"/>
      <c r="BA22" s="2880">
        <f>COUNTIF(実績!$AE$5:$AE$1474,AM22)</f>
        <v>0</v>
      </c>
      <c r="BB22" s="2898"/>
      <c r="BC22" s="3"/>
      <c r="BD22" s="2900"/>
      <c r="BE22" s="2929" t="s">
        <v>4558</v>
      </c>
      <c r="BF22" s="2930"/>
      <c r="BG22" s="2930"/>
      <c r="BH22" s="2930"/>
      <c r="BI22" s="2930"/>
      <c r="BJ22" s="2930"/>
      <c r="BK22" s="2930"/>
      <c r="BL22" s="2930"/>
      <c r="BM22" s="2930"/>
      <c r="BN22" s="2930"/>
      <c r="BO22" s="2930"/>
      <c r="BP22" s="2931"/>
      <c r="BQ22" s="2932">
        <f>COUNTIF(実績!$AD$5:$AD$1474,BE22)</f>
        <v>2</v>
      </c>
      <c r="BR22" s="2932"/>
      <c r="BS22" s="2916">
        <f>COUNTIF(実績!$AE$5:$AE$1474,BE22)</f>
        <v>0</v>
      </c>
      <c r="BT22" s="2917"/>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row>
    <row r="23" spans="1:232" s="4" customFormat="1" ht="20.100000000000001" customHeight="1">
      <c r="A23" s="3"/>
      <c r="B23" s="2875"/>
      <c r="C23" s="2877" t="s">
        <v>17994</v>
      </c>
      <c r="D23" s="2878"/>
      <c r="E23" s="2878"/>
      <c r="F23" s="2878"/>
      <c r="G23" s="2878"/>
      <c r="H23" s="2878"/>
      <c r="I23" s="2878"/>
      <c r="J23" s="2878"/>
      <c r="K23" s="2878"/>
      <c r="L23" s="2878"/>
      <c r="M23" s="2878"/>
      <c r="N23" s="2879"/>
      <c r="O23" s="2880">
        <f>COUNTIF(実績!$AD$5:$AD$1474,C23)</f>
        <v>11</v>
      </c>
      <c r="P23" s="2881"/>
      <c r="Q23" s="2876">
        <f>COUNTIF(実績!$AE$5:$AE$1474,C23)</f>
        <v>2</v>
      </c>
      <c r="R23" s="2876"/>
      <c r="S23" s="3"/>
      <c r="T23" s="2899" t="s">
        <v>846</v>
      </c>
      <c r="U23" s="2886" t="s">
        <v>15865</v>
      </c>
      <c r="V23" s="2887"/>
      <c r="W23" s="2887"/>
      <c r="X23" s="2887"/>
      <c r="Y23" s="2887"/>
      <c r="Z23" s="2887"/>
      <c r="AA23" s="2887"/>
      <c r="AB23" s="2887"/>
      <c r="AC23" s="2887"/>
      <c r="AD23" s="2887"/>
      <c r="AE23" s="2887"/>
      <c r="AF23" s="2888"/>
      <c r="AG23" s="2890">
        <f>COUNTIF(実績!$AD$5:$AD$1474,U23)</f>
        <v>5</v>
      </c>
      <c r="AH23" s="2891"/>
      <c r="AI23" s="2911">
        <f>COUNTIF(実績!$AE$5:$AE$1474,U23)</f>
        <v>0</v>
      </c>
      <c r="AJ23" s="2911"/>
      <c r="AK23" s="3"/>
      <c r="AL23" s="2900"/>
      <c r="AM23" s="2892" t="s">
        <v>6116</v>
      </c>
      <c r="AN23" s="2893"/>
      <c r="AO23" s="2893"/>
      <c r="AP23" s="2893"/>
      <c r="AQ23" s="2893"/>
      <c r="AR23" s="2893"/>
      <c r="AS23" s="2893"/>
      <c r="AT23" s="2893"/>
      <c r="AU23" s="2893"/>
      <c r="AV23" s="2893"/>
      <c r="AW23" s="2893"/>
      <c r="AX23" s="2894"/>
      <c r="AY23" s="2876">
        <f>COUNTIF(実績!$AD$5:$AD$1474,AM23)</f>
        <v>2</v>
      </c>
      <c r="AZ23" s="2876"/>
      <c r="BA23" s="2880">
        <f>COUNTIF(実績!$AE$5:$AE$1474,AM23)</f>
        <v>0</v>
      </c>
      <c r="BB23" s="2898"/>
      <c r="BC23" s="3"/>
      <c r="BD23" s="2900"/>
      <c r="BE23" s="2912"/>
      <c r="BF23" s="2913"/>
      <c r="BG23" s="2913"/>
      <c r="BH23" s="2913"/>
      <c r="BI23" s="2913"/>
      <c r="BJ23" s="2913"/>
      <c r="BK23" s="2913"/>
      <c r="BL23" s="2913"/>
      <c r="BM23" s="2913"/>
      <c r="BN23" s="2913"/>
      <c r="BO23" s="2913"/>
      <c r="BP23" s="2914"/>
      <c r="BQ23" s="2873"/>
      <c r="BR23" s="2873"/>
      <c r="BS23" s="2871"/>
      <c r="BT23" s="2915"/>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row>
    <row r="24" spans="1:232" s="4" customFormat="1" ht="20.100000000000001" customHeight="1">
      <c r="A24" s="3"/>
      <c r="B24" s="2875"/>
      <c r="C24" s="2877" t="s">
        <v>4890</v>
      </c>
      <c r="D24" s="2878"/>
      <c r="E24" s="2878"/>
      <c r="F24" s="2878"/>
      <c r="G24" s="2878"/>
      <c r="H24" s="2878"/>
      <c r="I24" s="2878"/>
      <c r="J24" s="2878"/>
      <c r="K24" s="2878"/>
      <c r="L24" s="2878"/>
      <c r="M24" s="2878"/>
      <c r="N24" s="2879"/>
      <c r="O24" s="2880">
        <f>COUNTIF(実績!$AD$5:$AD$1474,C24)</f>
        <v>4</v>
      </c>
      <c r="P24" s="2881"/>
      <c r="Q24" s="2876">
        <f>COUNTIF(実績!$AE$5:$AE$1474,C24)</f>
        <v>0</v>
      </c>
      <c r="R24" s="2876"/>
      <c r="S24" s="3"/>
      <c r="T24" s="2900"/>
      <c r="U24" s="2877" t="s">
        <v>17540</v>
      </c>
      <c r="V24" s="2878"/>
      <c r="W24" s="2878"/>
      <c r="X24" s="2878"/>
      <c r="Y24" s="2878"/>
      <c r="Z24" s="2878"/>
      <c r="AA24" s="2878"/>
      <c r="AB24" s="2878"/>
      <c r="AC24" s="2878"/>
      <c r="AD24" s="2878"/>
      <c r="AE24" s="2878"/>
      <c r="AF24" s="2879"/>
      <c r="AG24" s="2880">
        <f>COUNTIF(実績!$AD$5:$AD$1474,U24)</f>
        <v>7</v>
      </c>
      <c r="AH24" s="2881"/>
      <c r="AI24" s="2876">
        <f>COUNTIF(実績!$AE$5:$AE$1474,U24)</f>
        <v>0</v>
      </c>
      <c r="AJ24" s="2876"/>
      <c r="AK24" s="3"/>
      <c r="AL24" s="2900"/>
      <c r="AM24" s="2892" t="s">
        <v>854</v>
      </c>
      <c r="AN24" s="2893"/>
      <c r="AO24" s="2893"/>
      <c r="AP24" s="2893"/>
      <c r="AQ24" s="2893"/>
      <c r="AR24" s="2893"/>
      <c r="AS24" s="2893"/>
      <c r="AT24" s="2893"/>
      <c r="AU24" s="2893"/>
      <c r="AV24" s="2893"/>
      <c r="AW24" s="2893"/>
      <c r="AX24" s="2894"/>
      <c r="AY24" s="2876">
        <f>COUNTIF(実績!$AD$5:$AD$1474,AM24)</f>
        <v>1</v>
      </c>
      <c r="AZ24" s="2876"/>
      <c r="BA24" s="2880">
        <f>COUNTIF(実績!$AE$5:$AE$1474,AM24)</f>
        <v>0</v>
      </c>
      <c r="BB24" s="2898"/>
      <c r="BC24" s="3"/>
      <c r="BD24" s="2899" t="s">
        <v>849</v>
      </c>
      <c r="BE24" s="2903" t="s">
        <v>884</v>
      </c>
      <c r="BF24" s="2904"/>
      <c r="BG24" s="2904"/>
      <c r="BH24" s="2904"/>
      <c r="BI24" s="2904"/>
      <c r="BJ24" s="2904"/>
      <c r="BK24" s="2904"/>
      <c r="BL24" s="2904"/>
      <c r="BM24" s="2904"/>
      <c r="BN24" s="2904"/>
      <c r="BO24" s="2904"/>
      <c r="BP24" s="2905"/>
      <c r="BQ24" s="2911">
        <f>COUNTIF(実績!$AD$5:$AD$1474,BE24)</f>
        <v>1</v>
      </c>
      <c r="BR24" s="2911"/>
      <c r="BS24" s="2890">
        <f>COUNTIF(実績!$AE$5:$AE$1474,BE24)</f>
        <v>0</v>
      </c>
      <c r="BT24" s="2891"/>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row>
    <row r="25" spans="1:232" s="4" customFormat="1" ht="20.100000000000001" customHeight="1">
      <c r="A25" s="3"/>
      <c r="B25" s="2875"/>
      <c r="C25" s="2877" t="s">
        <v>6785</v>
      </c>
      <c r="D25" s="2878"/>
      <c r="E25" s="2878"/>
      <c r="F25" s="2878"/>
      <c r="G25" s="2878"/>
      <c r="H25" s="2878"/>
      <c r="I25" s="2878"/>
      <c r="J25" s="2878"/>
      <c r="K25" s="2878"/>
      <c r="L25" s="2878"/>
      <c r="M25" s="2878"/>
      <c r="N25" s="2879"/>
      <c r="O25" s="2880">
        <f>COUNTIF(実績!$AD$5:$AD$1474,C25)</f>
        <v>6</v>
      </c>
      <c r="P25" s="2881"/>
      <c r="Q25" s="2876">
        <f>COUNTIF(実績!$AE$5:$AE$1474,C25)</f>
        <v>0</v>
      </c>
      <c r="R25" s="2876"/>
      <c r="S25" s="3"/>
      <c r="T25" s="2900"/>
      <c r="U25" s="2877" t="s">
        <v>246</v>
      </c>
      <c r="V25" s="2878"/>
      <c r="W25" s="2878"/>
      <c r="X25" s="2878"/>
      <c r="Y25" s="2878"/>
      <c r="Z25" s="2878"/>
      <c r="AA25" s="2878"/>
      <c r="AB25" s="2878"/>
      <c r="AC25" s="2878"/>
      <c r="AD25" s="2878"/>
      <c r="AE25" s="2878"/>
      <c r="AF25" s="2879"/>
      <c r="AG25" s="2880">
        <f>COUNTIF(実績!$AD$5:$AD$1474,U25)</f>
        <v>4</v>
      </c>
      <c r="AH25" s="2881"/>
      <c r="AI25" s="2876">
        <f>COUNTIF(実績!$AE$5:$AE$1474,U25)</f>
        <v>0</v>
      </c>
      <c r="AJ25" s="2876"/>
      <c r="AK25" s="3"/>
      <c r="AL25" s="2900"/>
      <c r="AM25" s="2892" t="s">
        <v>855</v>
      </c>
      <c r="AN25" s="2893"/>
      <c r="AO25" s="2893"/>
      <c r="AP25" s="2893"/>
      <c r="AQ25" s="2893"/>
      <c r="AR25" s="2893"/>
      <c r="AS25" s="2893"/>
      <c r="AT25" s="2893"/>
      <c r="AU25" s="2893"/>
      <c r="AV25" s="2893"/>
      <c r="AW25" s="2893"/>
      <c r="AX25" s="2894"/>
      <c r="AY25" s="2876">
        <f>COUNTIF(実績!$AD$5:$AD$1474,AM25)</f>
        <v>1</v>
      </c>
      <c r="AZ25" s="2876"/>
      <c r="BA25" s="2880">
        <f>COUNTIF(実績!$AE$5:$AE$1474,AM25)</f>
        <v>0</v>
      </c>
      <c r="BB25" s="2898"/>
      <c r="BC25" s="3"/>
      <c r="BD25" s="2900"/>
      <c r="BE25" s="2909" t="s">
        <v>243</v>
      </c>
      <c r="BF25" s="2893"/>
      <c r="BG25" s="2893"/>
      <c r="BH25" s="2893"/>
      <c r="BI25" s="2893"/>
      <c r="BJ25" s="2893"/>
      <c r="BK25" s="2893"/>
      <c r="BL25" s="2893"/>
      <c r="BM25" s="2893"/>
      <c r="BN25" s="2893"/>
      <c r="BO25" s="2893"/>
      <c r="BP25" s="2894"/>
      <c r="BQ25" s="2876">
        <f>COUNTIF(実績!$AD$5:$AD$1474,BE25)</f>
        <v>0</v>
      </c>
      <c r="BR25" s="2876"/>
      <c r="BS25" s="2880">
        <f>COUNTIF(実績!$AE$5:$AE$1474,BE25)</f>
        <v>3</v>
      </c>
      <c r="BT25" s="2881"/>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row>
    <row r="26" spans="1:232" s="4" customFormat="1" ht="20.100000000000001" customHeight="1">
      <c r="A26" s="3"/>
      <c r="B26" s="2875"/>
      <c r="C26" s="2877" t="s">
        <v>819</v>
      </c>
      <c r="D26" s="2878"/>
      <c r="E26" s="2878"/>
      <c r="F26" s="2878"/>
      <c r="G26" s="2878"/>
      <c r="H26" s="2878"/>
      <c r="I26" s="2878"/>
      <c r="J26" s="2878"/>
      <c r="K26" s="2878"/>
      <c r="L26" s="2878"/>
      <c r="M26" s="2878"/>
      <c r="N26" s="2879"/>
      <c r="O26" s="2880">
        <f>COUNTIF(実績!$AD$5:$AD$1474,C26)</f>
        <v>1</v>
      </c>
      <c r="P26" s="2881"/>
      <c r="Q26" s="2876">
        <f>COUNTIF(実績!$AE$5:$AE$1474,C26)</f>
        <v>0</v>
      </c>
      <c r="R26" s="2876"/>
      <c r="S26" s="3"/>
      <c r="T26" s="2900"/>
      <c r="U26" s="2877" t="s">
        <v>258</v>
      </c>
      <c r="V26" s="2878"/>
      <c r="W26" s="2878"/>
      <c r="X26" s="2878"/>
      <c r="Y26" s="2878"/>
      <c r="Z26" s="2878"/>
      <c r="AA26" s="2878"/>
      <c r="AB26" s="2878"/>
      <c r="AC26" s="2878"/>
      <c r="AD26" s="2878"/>
      <c r="AE26" s="2878"/>
      <c r="AF26" s="2879"/>
      <c r="AG26" s="2880">
        <f>COUNTIF(実績!$AD$5:$AD$1474,U26)</f>
        <v>3</v>
      </c>
      <c r="AH26" s="2881"/>
      <c r="AI26" s="2876">
        <f>COUNTIF(実績!$AE$5:$AE$1474,U26)</f>
        <v>0</v>
      </c>
      <c r="AJ26" s="2876"/>
      <c r="AK26" s="3"/>
      <c r="AL26" s="2900"/>
      <c r="AM26" s="2892" t="s">
        <v>886</v>
      </c>
      <c r="AN26" s="2893"/>
      <c r="AO26" s="2893"/>
      <c r="AP26" s="2893"/>
      <c r="AQ26" s="2893"/>
      <c r="AR26" s="2893"/>
      <c r="AS26" s="2893"/>
      <c r="AT26" s="2893"/>
      <c r="AU26" s="2893"/>
      <c r="AV26" s="2893"/>
      <c r="AW26" s="2893"/>
      <c r="AX26" s="2894"/>
      <c r="AY26" s="2876">
        <f>COUNTIF(実績!$AD$5:$AD$1474,AM26)</f>
        <v>1</v>
      </c>
      <c r="AZ26" s="2876"/>
      <c r="BA26" s="2880">
        <f>COUNTIF(実績!$AE$5:$AE$1474,AM26)</f>
        <v>0</v>
      </c>
      <c r="BB26" s="2898"/>
      <c r="BC26" s="3"/>
      <c r="BD26" s="2900"/>
      <c r="BE26" s="2907" t="s">
        <v>229</v>
      </c>
      <c r="BF26" s="2711"/>
      <c r="BG26" s="2711"/>
      <c r="BH26" s="2711"/>
      <c r="BI26" s="2711"/>
      <c r="BJ26" s="2711"/>
      <c r="BK26" s="2711"/>
      <c r="BL26" s="2711"/>
      <c r="BM26" s="2711"/>
      <c r="BN26" s="2711"/>
      <c r="BO26" s="2711"/>
      <c r="BP26" s="2908"/>
      <c r="BQ26" s="2932">
        <f>COUNTIF(実績!$AD$5:$AD$1474,BE26)</f>
        <v>1</v>
      </c>
      <c r="BR26" s="2932"/>
      <c r="BS26" s="2916">
        <f>COUNTIF(実績!$AE$5:$AE$1474,BE26)</f>
        <v>0</v>
      </c>
      <c r="BT26" s="2917"/>
      <c r="C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row>
    <row r="27" spans="1:232" s="4" customFormat="1" ht="20.100000000000001" customHeight="1">
      <c r="A27" s="3"/>
      <c r="B27" s="2875"/>
      <c r="C27" s="2877" t="s">
        <v>1727</v>
      </c>
      <c r="D27" s="2878"/>
      <c r="E27" s="2878"/>
      <c r="F27" s="2878"/>
      <c r="G27" s="2878"/>
      <c r="H27" s="2878"/>
      <c r="I27" s="2878"/>
      <c r="J27" s="2878"/>
      <c r="K27" s="2878"/>
      <c r="L27" s="2878"/>
      <c r="M27" s="2878"/>
      <c r="N27" s="2879"/>
      <c r="O27" s="2880">
        <f>COUNTIF(実績!$AD$5:$AD$1474,C27)</f>
        <v>3</v>
      </c>
      <c r="P27" s="2881"/>
      <c r="Q27" s="2876">
        <f>COUNTIF(実績!$AE$5:$AE$1474,C27)</f>
        <v>0</v>
      </c>
      <c r="R27" s="2876"/>
      <c r="S27" s="3"/>
      <c r="T27" s="2900"/>
      <c r="U27" s="2877" t="s">
        <v>260</v>
      </c>
      <c r="V27" s="2878"/>
      <c r="W27" s="2878"/>
      <c r="X27" s="2878"/>
      <c r="Y27" s="2878"/>
      <c r="Z27" s="2878"/>
      <c r="AA27" s="2878"/>
      <c r="AB27" s="2878"/>
      <c r="AC27" s="2878"/>
      <c r="AD27" s="2878"/>
      <c r="AE27" s="2878"/>
      <c r="AF27" s="2879"/>
      <c r="AG27" s="2880">
        <f>COUNTIF(実績!$AD$5:$AD$1474,U27)</f>
        <v>9</v>
      </c>
      <c r="AH27" s="2881"/>
      <c r="AI27" s="2876">
        <f>COUNTIF(実績!$AE$5:$AE$1474,U27)</f>
        <v>0</v>
      </c>
      <c r="AJ27" s="2876"/>
      <c r="AK27" s="3"/>
      <c r="AL27" s="2900"/>
      <c r="AM27" s="2892" t="s">
        <v>890</v>
      </c>
      <c r="AN27" s="2893"/>
      <c r="AO27" s="2893"/>
      <c r="AP27" s="2893"/>
      <c r="AQ27" s="2893"/>
      <c r="AR27" s="2893"/>
      <c r="AS27" s="2893"/>
      <c r="AT27" s="2893"/>
      <c r="AU27" s="2893"/>
      <c r="AV27" s="2893"/>
      <c r="AW27" s="2893"/>
      <c r="AX27" s="2894"/>
      <c r="AY27" s="2876">
        <f>COUNTIF(実績!$AD$5:$AD$1474,AM27)</f>
        <v>2</v>
      </c>
      <c r="AZ27" s="2876"/>
      <c r="BA27" s="2880">
        <f>COUNTIF(実績!$AE$5:$AE$1474,AM27)</f>
        <v>0</v>
      </c>
      <c r="BB27" s="2898"/>
      <c r="BC27" s="3"/>
      <c r="BD27" s="2900"/>
      <c r="BE27" s="2907" t="s">
        <v>7821</v>
      </c>
      <c r="BF27" s="2711"/>
      <c r="BG27" s="2711"/>
      <c r="BH27" s="2711"/>
      <c r="BI27" s="2711"/>
      <c r="BJ27" s="2711"/>
      <c r="BK27" s="2711"/>
      <c r="BL27" s="2711"/>
      <c r="BM27" s="2711"/>
      <c r="BN27" s="2711"/>
      <c r="BO27" s="2711"/>
      <c r="BP27" s="2908"/>
      <c r="BQ27" s="2932">
        <f>COUNTIF(実績!$AD$5:$AD$1474,BE27)</f>
        <v>3</v>
      </c>
      <c r="BR27" s="2932"/>
      <c r="BS27" s="2916">
        <f>COUNTIF(実績!$AE$5:$AE$1474,BE27)</f>
        <v>0</v>
      </c>
      <c r="BT27" s="2917"/>
      <c r="C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row>
    <row r="28" spans="1:232" s="4" customFormat="1" ht="20.100000000000001" customHeight="1">
      <c r="A28" s="3"/>
      <c r="B28" s="2875"/>
      <c r="C28" s="2885" t="s">
        <v>1419</v>
      </c>
      <c r="D28" s="2878"/>
      <c r="E28" s="2878"/>
      <c r="F28" s="2878"/>
      <c r="G28" s="2878"/>
      <c r="H28" s="2878"/>
      <c r="I28" s="2878"/>
      <c r="J28" s="2878"/>
      <c r="K28" s="2878"/>
      <c r="L28" s="2878"/>
      <c r="M28" s="2878"/>
      <c r="N28" s="2879"/>
      <c r="O28" s="2896">
        <f>COUNTIF(実績!$AD$5:$AD$1474,"*ハウスプラス確認検査 株式会社*")</f>
        <v>4</v>
      </c>
      <c r="P28" s="2897"/>
      <c r="Q28" s="2896">
        <f>COUNTIF(実績!$AE$5:$AE$1474,"*ハウスプラス確認検査 株式会社*")</f>
        <v>14</v>
      </c>
      <c r="R28" s="2897"/>
      <c r="S28" s="3"/>
      <c r="T28" s="2900"/>
      <c r="U28" s="2882" t="s">
        <v>17886</v>
      </c>
      <c r="V28" s="2883"/>
      <c r="W28" s="2883"/>
      <c r="X28" s="2883"/>
      <c r="Y28" s="2883"/>
      <c r="Z28" s="2883"/>
      <c r="AA28" s="2883"/>
      <c r="AB28" s="2883"/>
      <c r="AC28" s="2883"/>
      <c r="AD28" s="2883"/>
      <c r="AE28" s="2883"/>
      <c r="AF28" s="2884"/>
      <c r="AG28" s="2880">
        <f>COUNTIF(実績!$AD$5:$AD$1474,U28)</f>
        <v>6</v>
      </c>
      <c r="AH28" s="2881"/>
      <c r="AI28" s="2876">
        <f>COUNTIF(実績!$AE$5:$AE$1474,U28)</f>
        <v>0</v>
      </c>
      <c r="AJ28" s="2876"/>
      <c r="AK28" s="3"/>
      <c r="AL28" s="2900"/>
      <c r="AM28" s="2892" t="s">
        <v>856</v>
      </c>
      <c r="AN28" s="2893"/>
      <c r="AO28" s="2893"/>
      <c r="AP28" s="2893"/>
      <c r="AQ28" s="2893"/>
      <c r="AR28" s="2893"/>
      <c r="AS28" s="2893"/>
      <c r="AT28" s="2893"/>
      <c r="AU28" s="2893"/>
      <c r="AV28" s="2893"/>
      <c r="AW28" s="2893"/>
      <c r="AX28" s="2894"/>
      <c r="AY28" s="2876">
        <f>COUNTIF(実績!$AD$5:$AD$1474,AM28)</f>
        <v>9</v>
      </c>
      <c r="AZ28" s="2876"/>
      <c r="BA28" s="2880">
        <f>COUNTIF(実績!$AE$5:$AE$1474,AM28)</f>
        <v>0</v>
      </c>
      <c r="BB28" s="2898"/>
      <c r="BC28" s="3"/>
      <c r="BD28" s="2900"/>
      <c r="BE28" s="2892" t="s">
        <v>8931</v>
      </c>
      <c r="BF28" s="2901"/>
      <c r="BG28" s="2901"/>
      <c r="BH28" s="2901"/>
      <c r="BI28" s="2901"/>
      <c r="BJ28" s="2901"/>
      <c r="BK28" s="2901"/>
      <c r="BL28" s="2901"/>
      <c r="BM28" s="2901"/>
      <c r="BN28" s="2901"/>
      <c r="BO28" s="2901"/>
      <c r="BP28" s="2902"/>
      <c r="BQ28" s="2932">
        <f>COUNTIF(実績!$AD$5:$AD$1474,BE28)</f>
        <v>1</v>
      </c>
      <c r="BR28" s="2932"/>
      <c r="BS28" s="2916">
        <f>COUNTIF(実績!$AE$5:$AE$1474,BE28)</f>
        <v>0</v>
      </c>
      <c r="BT28" s="2917"/>
      <c r="CA28" s="3"/>
      <c r="CB28" s="3"/>
      <c r="CC28" s="3"/>
      <c r="CD28" s="3"/>
      <c r="CE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row>
    <row r="29" spans="1:232" s="4" customFormat="1" ht="20.100000000000001" customHeight="1">
      <c r="A29" s="3"/>
      <c r="B29" s="2875"/>
      <c r="C29" s="2885" t="s">
        <v>1742</v>
      </c>
      <c r="D29" s="2878"/>
      <c r="E29" s="2878"/>
      <c r="F29" s="2878"/>
      <c r="G29" s="2878"/>
      <c r="H29" s="2878"/>
      <c r="I29" s="2878"/>
      <c r="J29" s="2878"/>
      <c r="K29" s="2878"/>
      <c r="L29" s="2878"/>
      <c r="M29" s="2878"/>
      <c r="N29" s="2879"/>
      <c r="O29" s="2880">
        <f>COUNTIF(実績!$AD$5:$AD$1474,C29)</f>
        <v>2</v>
      </c>
      <c r="P29" s="2881"/>
      <c r="Q29" s="2876">
        <f>COUNTIF(実績!$AE$5:$AE$1474,C29)</f>
        <v>9</v>
      </c>
      <c r="R29" s="2876"/>
      <c r="S29" s="3"/>
      <c r="T29" s="2900"/>
      <c r="U29" s="2877" t="s">
        <v>812</v>
      </c>
      <c r="V29" s="2878"/>
      <c r="W29" s="2878"/>
      <c r="X29" s="2878"/>
      <c r="Y29" s="2878"/>
      <c r="Z29" s="2878"/>
      <c r="AA29" s="2878"/>
      <c r="AB29" s="2878"/>
      <c r="AC29" s="2878"/>
      <c r="AD29" s="2878"/>
      <c r="AE29" s="2878"/>
      <c r="AF29" s="2879"/>
      <c r="AG29" s="2896">
        <f>COUNTIF(実績!$AD$5:$AD$1474,"*アール・イー・ジャパン*")</f>
        <v>4</v>
      </c>
      <c r="AH29" s="2897"/>
      <c r="AI29" s="2895">
        <f>COUNTIF(実績!$AE$6:$AE$1474,"*アール・イー・ジャパン*")</f>
        <v>0</v>
      </c>
      <c r="AJ29" s="2895"/>
      <c r="AK29" s="3"/>
      <c r="AL29" s="2900"/>
      <c r="AM29" s="2892"/>
      <c r="AN29" s="2901"/>
      <c r="AO29" s="2901"/>
      <c r="AP29" s="2901"/>
      <c r="AQ29" s="2901"/>
      <c r="AR29" s="2901"/>
      <c r="AS29" s="2901"/>
      <c r="AT29" s="2901"/>
      <c r="AU29" s="2901"/>
      <c r="AV29" s="2901"/>
      <c r="AW29" s="2901"/>
      <c r="AX29" s="2902"/>
      <c r="AY29" s="2876"/>
      <c r="AZ29" s="2876"/>
      <c r="BA29" s="2880"/>
      <c r="BB29" s="2898"/>
      <c r="BC29" s="3"/>
      <c r="BD29" s="2900"/>
      <c r="BE29" s="2892"/>
      <c r="BF29" s="2901"/>
      <c r="BG29" s="2901"/>
      <c r="BH29" s="2901"/>
      <c r="BI29" s="2901"/>
      <c r="BJ29" s="2901"/>
      <c r="BK29" s="2901"/>
      <c r="BL29" s="2901"/>
      <c r="BM29" s="2901"/>
      <c r="BN29" s="2901"/>
      <c r="BO29" s="2901"/>
      <c r="BP29" s="2902"/>
      <c r="BQ29" s="2876"/>
      <c r="BR29" s="2876"/>
      <c r="BS29" s="2880"/>
      <c r="BT29" s="2881"/>
      <c r="CA29" s="3"/>
      <c r="CB29" s="3"/>
      <c r="CC29" s="3"/>
      <c r="CD29" s="3"/>
      <c r="CE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row>
    <row r="30" spans="1:232" s="4" customFormat="1" ht="20.100000000000001" customHeight="1">
      <c r="A30" s="3"/>
      <c r="B30" s="2875"/>
      <c r="C30" s="2885" t="s">
        <v>17628</v>
      </c>
      <c r="D30" s="2878"/>
      <c r="E30" s="2878"/>
      <c r="F30" s="2878"/>
      <c r="G30" s="2878"/>
      <c r="H30" s="2878"/>
      <c r="I30" s="2878"/>
      <c r="J30" s="2878"/>
      <c r="K30" s="2878"/>
      <c r="L30" s="2878"/>
      <c r="M30" s="2878"/>
      <c r="N30" s="2879"/>
      <c r="O30" s="2880">
        <f>COUNTIF(実績!$AD$5:$AD$1474,C30)</f>
        <v>3</v>
      </c>
      <c r="P30" s="2881"/>
      <c r="Q30" s="2876">
        <f>COUNTIF(実績!$AE$5:$AE$1474,C30)</f>
        <v>0</v>
      </c>
      <c r="R30" s="2876"/>
      <c r="S30" s="3"/>
      <c r="T30" s="2900"/>
      <c r="U30" s="2877" t="s">
        <v>4423</v>
      </c>
      <c r="V30" s="2878"/>
      <c r="W30" s="2878"/>
      <c r="X30" s="2878"/>
      <c r="Y30" s="2878"/>
      <c r="Z30" s="2878"/>
      <c r="AA30" s="2878"/>
      <c r="AB30" s="2878"/>
      <c r="AC30" s="2878"/>
      <c r="AD30" s="2878"/>
      <c r="AE30" s="2878"/>
      <c r="AF30" s="2879"/>
      <c r="AG30" s="2880">
        <f>COUNTIF(実績!$AD$5:$AD$1474,U30)</f>
        <v>0</v>
      </c>
      <c r="AH30" s="2881"/>
      <c r="AI30" s="2876">
        <f>COUNTIF(実績!$AE$5:$AE$1474,U30)</f>
        <v>11</v>
      </c>
      <c r="AJ30" s="2876"/>
      <c r="AK30" s="3"/>
      <c r="AL30" s="2874"/>
      <c r="AM30" s="2912"/>
      <c r="AN30" s="2913"/>
      <c r="AO30" s="2913"/>
      <c r="AP30" s="2913"/>
      <c r="AQ30" s="2913"/>
      <c r="AR30" s="2913"/>
      <c r="AS30" s="2913"/>
      <c r="AT30" s="2913"/>
      <c r="AU30" s="2913"/>
      <c r="AV30" s="2913"/>
      <c r="AW30" s="2913"/>
      <c r="AX30" s="2914"/>
      <c r="AY30" s="2873"/>
      <c r="AZ30" s="2873"/>
      <c r="BA30" s="2871"/>
      <c r="BB30" s="2915"/>
      <c r="BC30" s="3"/>
      <c r="BD30" s="2900"/>
      <c r="BE30" s="2912"/>
      <c r="BF30" s="2913"/>
      <c r="BG30" s="2913"/>
      <c r="BH30" s="2913"/>
      <c r="BI30" s="2913"/>
      <c r="BJ30" s="2913"/>
      <c r="BK30" s="2913"/>
      <c r="BL30" s="2913"/>
      <c r="BM30" s="2913"/>
      <c r="BN30" s="2913"/>
      <c r="BO30" s="2913"/>
      <c r="BP30" s="2914"/>
      <c r="BQ30" s="2873"/>
      <c r="BR30" s="2873"/>
      <c r="BS30" s="2871"/>
      <c r="BT30" s="2872"/>
      <c r="CA30" s="3"/>
      <c r="CB30" s="3"/>
      <c r="CC30" s="3"/>
      <c r="CD30" s="3"/>
      <c r="CE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row>
    <row r="31" spans="1:232" s="4" customFormat="1" ht="20.100000000000001" customHeight="1">
      <c r="A31" s="3"/>
      <c r="B31" s="2875"/>
      <c r="C31" s="2907" t="s">
        <v>7695</v>
      </c>
      <c r="D31" s="2711"/>
      <c r="E31" s="2711"/>
      <c r="F31" s="2711"/>
      <c r="G31" s="2711"/>
      <c r="H31" s="2711"/>
      <c r="I31" s="2711"/>
      <c r="J31" s="2711"/>
      <c r="K31" s="2711"/>
      <c r="L31" s="2711"/>
      <c r="M31" s="2711"/>
      <c r="N31" s="2908"/>
      <c r="O31" s="2916">
        <f>COUNTIF(実績!$AD$5:$AD$1474,C31)</f>
        <v>0</v>
      </c>
      <c r="P31" s="2917"/>
      <c r="Q31" s="2932">
        <f>COUNTIF(実績!$AE$5:$AE$1474,C31)</f>
        <v>5</v>
      </c>
      <c r="R31" s="2932"/>
      <c r="S31" s="3"/>
      <c r="T31" s="2900"/>
      <c r="U31" s="2882" t="s">
        <v>262</v>
      </c>
      <c r="V31" s="2883"/>
      <c r="W31" s="2883"/>
      <c r="X31" s="2883"/>
      <c r="Y31" s="2883"/>
      <c r="Z31" s="2883"/>
      <c r="AA31" s="2883"/>
      <c r="AB31" s="2883"/>
      <c r="AC31" s="2883"/>
      <c r="AD31" s="2883"/>
      <c r="AE31" s="2883"/>
      <c r="AF31" s="2884"/>
      <c r="AG31" s="2880">
        <f>COUNTIF(実績!$AD$5:$AD$1474,U31)</f>
        <v>1</v>
      </c>
      <c r="AH31" s="2881"/>
      <c r="AI31" s="2876">
        <f>COUNTIF(実績!$AE$5:$AE$1474,U31)</f>
        <v>10</v>
      </c>
      <c r="AJ31" s="2876"/>
      <c r="AK31" s="3"/>
      <c r="AL31" s="2875" t="s">
        <v>844</v>
      </c>
      <c r="AM31" s="2903" t="s">
        <v>858</v>
      </c>
      <c r="AN31" s="2904"/>
      <c r="AO31" s="2904"/>
      <c r="AP31" s="2904"/>
      <c r="AQ31" s="2904"/>
      <c r="AR31" s="2904"/>
      <c r="AS31" s="2904"/>
      <c r="AT31" s="2904"/>
      <c r="AU31" s="2904"/>
      <c r="AV31" s="2904"/>
      <c r="AW31" s="2904"/>
      <c r="AX31" s="2905"/>
      <c r="AY31" s="2911">
        <f>COUNTIF(実績!$AD$5:$AD$1474,AM31)</f>
        <v>1</v>
      </c>
      <c r="AZ31" s="2911"/>
      <c r="BA31" s="2890">
        <f>COUNTIF(実績!$AE$5:$AE$1474,AM31)</f>
        <v>0</v>
      </c>
      <c r="BB31" s="2910"/>
      <c r="BC31" s="3"/>
      <c r="BD31" s="120"/>
      <c r="BE31" s="2892"/>
      <c r="BF31" s="2901"/>
      <c r="BG31" s="2901"/>
      <c r="BH31" s="2901"/>
      <c r="BI31" s="2901"/>
      <c r="BJ31" s="2901"/>
      <c r="BK31" s="2901"/>
      <c r="BL31" s="2901"/>
      <c r="BM31" s="2901"/>
      <c r="BN31" s="2901"/>
      <c r="BO31" s="2901"/>
      <c r="BP31" s="2902"/>
      <c r="BQ31" s="2876"/>
      <c r="BR31" s="2876"/>
      <c r="BS31" s="2880"/>
      <c r="BT31" s="2881"/>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row>
    <row r="32" spans="1:232" s="4" customFormat="1" ht="20.100000000000001" customHeight="1">
      <c r="A32" s="3"/>
      <c r="B32" s="2875"/>
      <c r="C32" s="2892"/>
      <c r="D32" s="2901"/>
      <c r="E32" s="2901"/>
      <c r="F32" s="2901"/>
      <c r="G32" s="2901"/>
      <c r="H32" s="2901"/>
      <c r="I32" s="2901"/>
      <c r="J32" s="2901"/>
      <c r="K32" s="2901"/>
      <c r="L32" s="2901"/>
      <c r="M32" s="2901"/>
      <c r="N32" s="2902"/>
      <c r="O32" s="2876"/>
      <c r="P32" s="2876"/>
      <c r="Q32" s="2880"/>
      <c r="R32" s="2881"/>
      <c r="S32" s="3"/>
      <c r="T32" s="2900"/>
      <c r="U32" s="2877" t="s">
        <v>17881</v>
      </c>
      <c r="V32" s="2878"/>
      <c r="W32" s="2878"/>
      <c r="X32" s="2878"/>
      <c r="Y32" s="2878"/>
      <c r="Z32" s="2878"/>
      <c r="AA32" s="2878"/>
      <c r="AB32" s="2878"/>
      <c r="AC32" s="2878"/>
      <c r="AD32" s="2878"/>
      <c r="AE32" s="2878"/>
      <c r="AF32" s="2879"/>
      <c r="AG32" s="2880">
        <f>COUNTIF(実績!$AD$5:$AD$1474,U32)</f>
        <v>0</v>
      </c>
      <c r="AH32" s="2881"/>
      <c r="AI32" s="2876">
        <f>COUNTIF(実績!$AE$5:$AE$1474,U32)</f>
        <v>17</v>
      </c>
      <c r="AJ32" s="2876"/>
      <c r="AK32" s="3"/>
      <c r="AL32" s="2875"/>
      <c r="AM32" s="2892" t="s">
        <v>1027</v>
      </c>
      <c r="AN32" s="2893"/>
      <c r="AO32" s="2893"/>
      <c r="AP32" s="2893"/>
      <c r="AQ32" s="2893"/>
      <c r="AR32" s="2893"/>
      <c r="AS32" s="2893"/>
      <c r="AT32" s="2893"/>
      <c r="AU32" s="2893"/>
      <c r="AV32" s="2893"/>
      <c r="AW32" s="2893"/>
      <c r="AX32" s="2894"/>
      <c r="AY32" s="2876">
        <f>COUNTIF(実績!$AD$5:$AD$1474,AM32)</f>
        <v>1</v>
      </c>
      <c r="AZ32" s="2876"/>
      <c r="BA32" s="2880">
        <f>COUNTIF(実績!$AE$5:$AE$1474,AM32)</f>
        <v>0</v>
      </c>
      <c r="BB32" s="2898"/>
      <c r="BC32" s="3"/>
      <c r="BD32" s="46"/>
      <c r="BE32" s="2892"/>
      <c r="BF32" s="2901"/>
      <c r="BG32" s="2901"/>
      <c r="BH32" s="2901"/>
      <c r="BI32" s="2901"/>
      <c r="BJ32" s="2901"/>
      <c r="BK32" s="2901"/>
      <c r="BL32" s="2901"/>
      <c r="BM32" s="2901"/>
      <c r="BN32" s="2901"/>
      <c r="BO32" s="2901"/>
      <c r="BP32" s="2902"/>
      <c r="BQ32" s="2876"/>
      <c r="BR32" s="2876"/>
      <c r="BS32" s="2880"/>
      <c r="BT32" s="2881"/>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row>
    <row r="33" spans="1:232" s="4" customFormat="1" ht="20.100000000000001" customHeight="1">
      <c r="A33" s="3"/>
      <c r="B33" s="2875"/>
      <c r="C33" s="2912"/>
      <c r="D33" s="2913"/>
      <c r="E33" s="2913"/>
      <c r="F33" s="2913"/>
      <c r="G33" s="2913"/>
      <c r="H33" s="2913"/>
      <c r="I33" s="2913"/>
      <c r="J33" s="2913"/>
      <c r="K33" s="2913"/>
      <c r="L33" s="2913"/>
      <c r="M33" s="2913"/>
      <c r="N33" s="2914"/>
      <c r="O33" s="2873"/>
      <c r="P33" s="2873"/>
      <c r="Q33" s="2871"/>
      <c r="R33" s="2872"/>
      <c r="S33" s="3"/>
      <c r="T33" s="2900"/>
      <c r="U33" s="2877" t="s">
        <v>17887</v>
      </c>
      <c r="V33" s="2878"/>
      <c r="W33" s="2878"/>
      <c r="X33" s="2878"/>
      <c r="Y33" s="2878"/>
      <c r="Z33" s="2878"/>
      <c r="AA33" s="2878"/>
      <c r="AB33" s="2878"/>
      <c r="AC33" s="2878"/>
      <c r="AD33" s="2878"/>
      <c r="AE33" s="2878"/>
      <c r="AF33" s="2879"/>
      <c r="AG33" s="2880">
        <f>COUNTIF(実績!$AD$5:$AD$1474,U33)</f>
        <v>4</v>
      </c>
      <c r="AH33" s="2881"/>
      <c r="AI33" s="2876">
        <f>COUNTIF(実績!$AE$5:$AE$1474,U33)</f>
        <v>0</v>
      </c>
      <c r="AJ33" s="2876"/>
      <c r="AK33" s="3"/>
      <c r="AL33" s="2875"/>
      <c r="AM33" s="2892" t="s">
        <v>1423</v>
      </c>
      <c r="AN33" s="2893"/>
      <c r="AO33" s="2893"/>
      <c r="AP33" s="2893"/>
      <c r="AQ33" s="2893"/>
      <c r="AR33" s="2893"/>
      <c r="AS33" s="2893"/>
      <c r="AT33" s="2893"/>
      <c r="AU33" s="2893"/>
      <c r="AV33" s="2893"/>
      <c r="AW33" s="2893"/>
      <c r="AX33" s="2894"/>
      <c r="AY33" s="2876">
        <f>COUNTIF(実績!$AD$5:$AD$1474,AM33)</f>
        <v>1</v>
      </c>
      <c r="AZ33" s="2876"/>
      <c r="BA33" s="2880">
        <f>COUNTIF(実績!$AE$5:$AE$1474,AM33)</f>
        <v>0</v>
      </c>
      <c r="BB33" s="2898"/>
      <c r="BC33" s="3"/>
      <c r="BD33" s="46"/>
      <c r="BE33" s="2892"/>
      <c r="BF33" s="2901"/>
      <c r="BG33" s="2901"/>
      <c r="BH33" s="2901"/>
      <c r="BI33" s="2901"/>
      <c r="BJ33" s="2901"/>
      <c r="BK33" s="2901"/>
      <c r="BL33" s="2901"/>
      <c r="BM33" s="2901"/>
      <c r="BN33" s="2901"/>
      <c r="BO33" s="2901"/>
      <c r="BP33" s="2902"/>
      <c r="BQ33" s="2876"/>
      <c r="BR33" s="2876"/>
      <c r="BS33" s="2880"/>
      <c r="BT33" s="2881"/>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row>
    <row r="34" spans="1:232" s="4" customFormat="1" ht="20.100000000000001" customHeight="1">
      <c r="A34" s="3"/>
      <c r="B34" s="2899" t="s">
        <v>1043</v>
      </c>
      <c r="C34" s="2964" t="s">
        <v>15299</v>
      </c>
      <c r="D34" s="2965"/>
      <c r="E34" s="2965"/>
      <c r="F34" s="2965"/>
      <c r="G34" s="2965"/>
      <c r="H34" s="2965"/>
      <c r="I34" s="2965"/>
      <c r="J34" s="2965"/>
      <c r="K34" s="2965"/>
      <c r="L34" s="2965"/>
      <c r="M34" s="2965"/>
      <c r="N34" s="2966"/>
      <c r="O34" s="2890">
        <f>COUNTIF(実績!$AD$5:$AD$1474,C34)</f>
        <v>0</v>
      </c>
      <c r="P34" s="2891"/>
      <c r="Q34" s="2911">
        <f>COUNTIF(実績!$AE$5:$AE$1474,C34)</f>
        <v>4</v>
      </c>
      <c r="R34" s="2961"/>
      <c r="S34" s="3"/>
      <c r="T34" s="2900"/>
      <c r="U34" s="2885" t="s">
        <v>5580</v>
      </c>
      <c r="V34" s="2878"/>
      <c r="W34" s="2878"/>
      <c r="X34" s="2878"/>
      <c r="Y34" s="2878"/>
      <c r="Z34" s="2878"/>
      <c r="AA34" s="2878"/>
      <c r="AB34" s="2878"/>
      <c r="AC34" s="2878"/>
      <c r="AD34" s="2878"/>
      <c r="AE34" s="2878"/>
      <c r="AF34" s="2879"/>
      <c r="AG34" s="2880">
        <f>COUNTIF(実績!$AD$5:$AD$1474,U34)</f>
        <v>5</v>
      </c>
      <c r="AH34" s="2881"/>
      <c r="AI34" s="2876">
        <f>COUNTIF(実績!$AE$5:$AE$1474,U34)</f>
        <v>0</v>
      </c>
      <c r="AJ34" s="2876"/>
      <c r="AK34" s="3"/>
      <c r="AL34" s="2875"/>
      <c r="AM34" s="2892" t="s">
        <v>10562</v>
      </c>
      <c r="AN34" s="2901"/>
      <c r="AO34" s="2901"/>
      <c r="AP34" s="2901"/>
      <c r="AQ34" s="2901"/>
      <c r="AR34" s="2901"/>
      <c r="AS34" s="2901"/>
      <c r="AT34" s="2901"/>
      <c r="AU34" s="2901"/>
      <c r="AV34" s="2901"/>
      <c r="AW34" s="2901"/>
      <c r="AX34" s="2902"/>
      <c r="AY34" s="2876">
        <f>COUNTIF(実績!$AD$5:$AD$1474,AM34)</f>
        <v>2</v>
      </c>
      <c r="AZ34" s="2876"/>
      <c r="BA34" s="2880">
        <f>COUNTIF(実績!$AE$5:$AE$1474,AM34)</f>
        <v>0</v>
      </c>
      <c r="BB34" s="2898"/>
      <c r="BC34" s="3"/>
      <c r="BD34" s="46"/>
      <c r="BE34" s="2892"/>
      <c r="BF34" s="2901"/>
      <c r="BG34" s="2901"/>
      <c r="BH34" s="2901"/>
      <c r="BI34" s="2901"/>
      <c r="BJ34" s="2901"/>
      <c r="BK34" s="2901"/>
      <c r="BL34" s="2901"/>
      <c r="BM34" s="2901"/>
      <c r="BN34" s="2901"/>
      <c r="BO34" s="2901"/>
      <c r="BP34" s="2902"/>
      <c r="BQ34" s="2876"/>
      <c r="BR34" s="2876"/>
      <c r="BS34" s="2880"/>
      <c r="BT34" s="2881"/>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row>
    <row r="35" spans="1:232" s="4" customFormat="1" ht="20.100000000000001" customHeight="1">
      <c r="A35" s="3"/>
      <c r="B35" s="2874"/>
      <c r="C35" s="2889" t="s">
        <v>15375</v>
      </c>
      <c r="D35" s="2869"/>
      <c r="E35" s="2869"/>
      <c r="F35" s="2869"/>
      <c r="G35" s="2869"/>
      <c r="H35" s="2869"/>
      <c r="I35" s="2869"/>
      <c r="J35" s="2869"/>
      <c r="K35" s="2869"/>
      <c r="L35" s="2869"/>
      <c r="M35" s="2869"/>
      <c r="N35" s="2870"/>
      <c r="O35" s="2871">
        <f>COUNTIF(実績!$AD$5:$AD$1474,C35)</f>
        <v>2</v>
      </c>
      <c r="P35" s="2872"/>
      <c r="Q35" s="2873">
        <f>COUNTIF(実績!$AE$5:$AE$1474,C35)</f>
        <v>0</v>
      </c>
      <c r="R35" s="2906"/>
      <c r="S35" s="3"/>
      <c r="T35" s="2900"/>
      <c r="U35" s="2885" t="s">
        <v>3008</v>
      </c>
      <c r="V35" s="2878"/>
      <c r="W35" s="2878"/>
      <c r="X35" s="2878"/>
      <c r="Y35" s="2878"/>
      <c r="Z35" s="2878"/>
      <c r="AA35" s="2878"/>
      <c r="AB35" s="2878"/>
      <c r="AC35" s="2878"/>
      <c r="AD35" s="2878"/>
      <c r="AE35" s="2878"/>
      <c r="AF35" s="2879"/>
      <c r="AG35" s="2880">
        <f>COUNTIF(実績!$AD$5:$AD$1474,U35)</f>
        <v>4</v>
      </c>
      <c r="AH35" s="2881"/>
      <c r="AI35" s="2876">
        <f>COUNTIF(実績!$AE$5:$AE$1474,U35)</f>
        <v>0</v>
      </c>
      <c r="AJ35" s="2876"/>
      <c r="AK35" s="3"/>
      <c r="AL35" s="2875"/>
      <c r="AM35" s="2912" t="s">
        <v>16054</v>
      </c>
      <c r="AN35" s="2913"/>
      <c r="AO35" s="2913"/>
      <c r="AP35" s="2913"/>
      <c r="AQ35" s="2913"/>
      <c r="AR35" s="2913"/>
      <c r="AS35" s="2913"/>
      <c r="AT35" s="2913"/>
      <c r="AU35" s="2913"/>
      <c r="AV35" s="2913"/>
      <c r="AW35" s="2913"/>
      <c r="AX35" s="2914"/>
      <c r="AY35" s="2876">
        <f>COUNTIF(実績!$AD$5:$AD$1474,AM35)</f>
        <v>1</v>
      </c>
      <c r="AZ35" s="2876"/>
      <c r="BA35" s="2880">
        <f>COUNTIF(実績!$AE$5:$AE$1474,AM35)</f>
        <v>0</v>
      </c>
      <c r="BB35" s="2898"/>
      <c r="BC35" s="3"/>
      <c r="BD35" s="46"/>
      <c r="BE35" s="2892"/>
      <c r="BF35" s="2901"/>
      <c r="BG35" s="2901"/>
      <c r="BH35" s="2901"/>
      <c r="BI35" s="2901"/>
      <c r="BJ35" s="2901"/>
      <c r="BK35" s="2901"/>
      <c r="BL35" s="2901"/>
      <c r="BM35" s="2901"/>
      <c r="BN35" s="2901"/>
      <c r="BO35" s="2901"/>
      <c r="BP35" s="2902"/>
      <c r="BQ35" s="2876"/>
      <c r="BR35" s="2876"/>
      <c r="BS35" s="2880"/>
      <c r="BT35" s="2881"/>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row>
    <row r="36" spans="1:232" s="4" customFormat="1" ht="20.100000000000001" customHeight="1">
      <c r="A36" s="3"/>
      <c r="B36" s="2874" t="s">
        <v>842</v>
      </c>
      <c r="C36" s="2968" t="s">
        <v>7094</v>
      </c>
      <c r="D36" s="2969"/>
      <c r="E36" s="2969"/>
      <c r="F36" s="2969"/>
      <c r="G36" s="2969"/>
      <c r="H36" s="2969"/>
      <c r="I36" s="2969"/>
      <c r="J36" s="2969"/>
      <c r="K36" s="2969"/>
      <c r="L36" s="2969"/>
      <c r="M36" s="2969"/>
      <c r="N36" s="2970"/>
      <c r="O36" s="2974">
        <f>COUNTIF(実績!$AD$5:$AD$1474,C36)</f>
        <v>2</v>
      </c>
      <c r="P36" s="2975"/>
      <c r="Q36" s="2967">
        <f>COUNTIF(実績!$AE$5:$AE$1474,C36)</f>
        <v>0</v>
      </c>
      <c r="R36" s="2967"/>
      <c r="S36" s="3"/>
      <c r="T36" s="2900"/>
      <c r="U36" s="2885" t="s">
        <v>3657</v>
      </c>
      <c r="V36" s="2878"/>
      <c r="W36" s="2878"/>
      <c r="X36" s="2878"/>
      <c r="Y36" s="2878"/>
      <c r="Z36" s="2878"/>
      <c r="AA36" s="2878"/>
      <c r="AB36" s="2878"/>
      <c r="AC36" s="2878"/>
      <c r="AD36" s="2878"/>
      <c r="AE36" s="2878"/>
      <c r="AF36" s="2879"/>
      <c r="AG36" s="2880">
        <f>COUNTIF(実績!$AD$5:$AD$1474,U36)</f>
        <v>3</v>
      </c>
      <c r="AH36" s="2881"/>
      <c r="AI36" s="2876">
        <f>COUNTIF(実績!$AE$5:$AE$1474,U36)</f>
        <v>0</v>
      </c>
      <c r="AJ36" s="2876"/>
      <c r="AK36" s="3"/>
      <c r="AL36" s="2899" t="s">
        <v>845</v>
      </c>
      <c r="AM36" s="2903" t="s">
        <v>861</v>
      </c>
      <c r="AN36" s="2904"/>
      <c r="AO36" s="2904"/>
      <c r="AP36" s="2904"/>
      <c r="AQ36" s="2904"/>
      <c r="AR36" s="2904"/>
      <c r="AS36" s="2904"/>
      <c r="AT36" s="2904"/>
      <c r="AU36" s="2904"/>
      <c r="AV36" s="2904"/>
      <c r="AW36" s="2904"/>
      <c r="AX36" s="2905"/>
      <c r="AY36" s="2911">
        <f>COUNTIF(実績!$AD$5:$AD$1474,AM36)</f>
        <v>0</v>
      </c>
      <c r="AZ36" s="2911"/>
      <c r="BA36" s="2890">
        <f>COUNTIF(実績!$AE$5:$AE$1474,AM36)</f>
        <v>1</v>
      </c>
      <c r="BB36" s="2910"/>
      <c r="BC36" s="3"/>
      <c r="BD36" s="46"/>
      <c r="BE36" s="2892"/>
      <c r="BF36" s="2901"/>
      <c r="BG36" s="2901"/>
      <c r="BH36" s="2901"/>
      <c r="BI36" s="2901"/>
      <c r="BJ36" s="2901"/>
      <c r="BK36" s="2901"/>
      <c r="BL36" s="2901"/>
      <c r="BM36" s="2901"/>
      <c r="BN36" s="2901"/>
      <c r="BO36" s="2901"/>
      <c r="BP36" s="2902"/>
      <c r="BQ36" s="2876"/>
      <c r="BR36" s="2876"/>
      <c r="BS36" s="2880"/>
      <c r="BT36" s="2881"/>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row>
    <row r="37" spans="1:232" s="4" customFormat="1" ht="20.100000000000001" customHeight="1">
      <c r="A37" s="3"/>
      <c r="B37" s="2875"/>
      <c r="C37" s="2885" t="s">
        <v>15374</v>
      </c>
      <c r="D37" s="2878"/>
      <c r="E37" s="2878"/>
      <c r="F37" s="2878"/>
      <c r="G37" s="2878"/>
      <c r="H37" s="2878"/>
      <c r="I37" s="2878"/>
      <c r="J37" s="2878"/>
      <c r="K37" s="2878"/>
      <c r="L37" s="2878"/>
      <c r="M37" s="2878"/>
      <c r="N37" s="2879"/>
      <c r="O37" s="2880">
        <f>COUNTIF(実績!$AD$5:$AD$1474,C37)</f>
        <v>0</v>
      </c>
      <c r="P37" s="2881"/>
      <c r="Q37" s="2876">
        <f>COUNTIF(実績!$AE$5:$AE$1474,C37)</f>
        <v>1</v>
      </c>
      <c r="R37" s="2876"/>
      <c r="S37" s="3"/>
      <c r="T37" s="2900"/>
      <c r="U37" s="2907" t="s">
        <v>4175</v>
      </c>
      <c r="V37" s="2711"/>
      <c r="W37" s="2711"/>
      <c r="X37" s="2711"/>
      <c r="Y37" s="2711"/>
      <c r="Z37" s="2711"/>
      <c r="AA37" s="2711"/>
      <c r="AB37" s="2711"/>
      <c r="AC37" s="2711"/>
      <c r="AD37" s="2711"/>
      <c r="AE37" s="2711"/>
      <c r="AF37" s="2908"/>
      <c r="AG37" s="2916">
        <f>COUNTIF(実績!$AD$5:$AD$1474,U37)</f>
        <v>1</v>
      </c>
      <c r="AH37" s="2917"/>
      <c r="AI37" s="2932">
        <f>COUNTIF(実績!$AE$5:$AE$1474,U37)</f>
        <v>0</v>
      </c>
      <c r="AJ37" s="2932"/>
      <c r="AK37" s="3"/>
      <c r="AL37" s="2900"/>
      <c r="AM37" s="2892" t="s">
        <v>862</v>
      </c>
      <c r="AN37" s="2893"/>
      <c r="AO37" s="2893"/>
      <c r="AP37" s="2893"/>
      <c r="AQ37" s="2893"/>
      <c r="AR37" s="2893"/>
      <c r="AS37" s="2893"/>
      <c r="AT37" s="2893"/>
      <c r="AU37" s="2893"/>
      <c r="AV37" s="2893"/>
      <c r="AW37" s="2893"/>
      <c r="AX37" s="2894"/>
      <c r="AY37" s="2876">
        <f>COUNTIF(実績!$AD$5:$AD$1474,AM37)</f>
        <v>1</v>
      </c>
      <c r="AZ37" s="2876"/>
      <c r="BA37" s="2880">
        <f>COUNTIF(実績!$AE$5:$AE$1474,AM37)</f>
        <v>0</v>
      </c>
      <c r="BB37" s="2898"/>
      <c r="BC37" s="3"/>
      <c r="BD37" s="46"/>
      <c r="BE37" s="2892"/>
      <c r="BF37" s="2901"/>
      <c r="BG37" s="2901"/>
      <c r="BH37" s="2901"/>
      <c r="BI37" s="2901"/>
      <c r="BJ37" s="2901"/>
      <c r="BK37" s="2901"/>
      <c r="BL37" s="2901"/>
      <c r="BM37" s="2901"/>
      <c r="BN37" s="2901"/>
      <c r="BO37" s="2901"/>
      <c r="BP37" s="2902"/>
      <c r="BQ37" s="2876"/>
      <c r="BR37" s="2876"/>
      <c r="BS37" s="2880"/>
      <c r="BT37" s="2881"/>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row>
    <row r="38" spans="1:232" s="4" customFormat="1" ht="20.100000000000001" customHeight="1">
      <c r="A38" s="3"/>
      <c r="B38" s="2875"/>
      <c r="C38" s="2885" t="s">
        <v>4616</v>
      </c>
      <c r="D38" s="2878"/>
      <c r="E38" s="2878"/>
      <c r="F38" s="2878"/>
      <c r="G38" s="2878"/>
      <c r="H38" s="2878"/>
      <c r="I38" s="2878"/>
      <c r="J38" s="2878"/>
      <c r="K38" s="2878"/>
      <c r="L38" s="2878"/>
      <c r="M38" s="2878"/>
      <c r="N38" s="2879"/>
      <c r="O38" s="2880">
        <f>COUNTIF(実績!$AD$5:$AD$1474,C38)</f>
        <v>2</v>
      </c>
      <c r="P38" s="2881"/>
      <c r="Q38" s="2876">
        <f>COUNTIF(実績!$AE$5:$AE$1474,C38)</f>
        <v>0</v>
      </c>
      <c r="R38" s="2876"/>
      <c r="S38" s="3"/>
      <c r="T38" s="2874"/>
      <c r="U38" s="2889" t="s">
        <v>6434</v>
      </c>
      <c r="V38" s="2869"/>
      <c r="W38" s="2869"/>
      <c r="X38" s="2869"/>
      <c r="Y38" s="2869"/>
      <c r="Z38" s="2869"/>
      <c r="AA38" s="2869"/>
      <c r="AB38" s="2869"/>
      <c r="AC38" s="2869"/>
      <c r="AD38" s="2869"/>
      <c r="AE38" s="2869"/>
      <c r="AF38" s="2870"/>
      <c r="AG38" s="2871">
        <f>COUNTIF(実績!$AD$5:$AD$1474,U38)</f>
        <v>4</v>
      </c>
      <c r="AH38" s="2872"/>
      <c r="AI38" s="2873">
        <f>COUNTIF(実績!$AE$5:$AE$1474,U38)</f>
        <v>0</v>
      </c>
      <c r="AJ38" s="2873"/>
      <c r="AK38" s="3"/>
      <c r="AL38" s="2900"/>
      <c r="AM38" s="2892" t="s">
        <v>17034</v>
      </c>
      <c r="AN38" s="2893"/>
      <c r="AO38" s="2893"/>
      <c r="AP38" s="2893"/>
      <c r="AQ38" s="2893"/>
      <c r="AR38" s="2893"/>
      <c r="AS38" s="2893"/>
      <c r="AT38" s="2893"/>
      <c r="AU38" s="2893"/>
      <c r="AV38" s="2893"/>
      <c r="AW38" s="2893"/>
      <c r="AX38" s="2894"/>
      <c r="AY38" s="2876">
        <f>COUNTIF(実績!$AD$5:$AD$1474,AM38)</f>
        <v>1</v>
      </c>
      <c r="AZ38" s="2876"/>
      <c r="BA38" s="2880">
        <f>COUNTIF(実績!$AE$5:$AE$1474,AM38)</f>
        <v>5</v>
      </c>
      <c r="BB38" s="2898"/>
      <c r="BC38" s="3"/>
      <c r="BD38" s="46"/>
      <c r="BE38" s="2892"/>
      <c r="BF38" s="2901"/>
      <c r="BG38" s="2901"/>
      <c r="BH38" s="2901"/>
      <c r="BI38" s="2901"/>
      <c r="BJ38" s="2901"/>
      <c r="BK38" s="2901"/>
      <c r="BL38" s="2901"/>
      <c r="BM38" s="2901"/>
      <c r="BN38" s="2901"/>
      <c r="BO38" s="2901"/>
      <c r="BP38" s="2902"/>
      <c r="BQ38" s="2876"/>
      <c r="BR38" s="2876"/>
      <c r="BS38" s="2880"/>
      <c r="BT38" s="2881"/>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row>
    <row r="39" spans="1:232" s="4" customFormat="1" ht="20.100000000000001" customHeight="1">
      <c r="A39" s="3"/>
      <c r="B39" s="2875"/>
      <c r="C39" s="2885" t="s">
        <v>8072</v>
      </c>
      <c r="D39" s="2878"/>
      <c r="E39" s="2878"/>
      <c r="F39" s="2878"/>
      <c r="G39" s="2878"/>
      <c r="H39" s="2878"/>
      <c r="I39" s="2878"/>
      <c r="J39" s="2878"/>
      <c r="K39" s="2878"/>
      <c r="L39" s="2878"/>
      <c r="M39" s="2878"/>
      <c r="N39" s="2879"/>
      <c r="O39" s="2880">
        <f>COUNTIF(実績!$AD$5:$AD$1474,C39)</f>
        <v>4</v>
      </c>
      <c r="P39" s="2881"/>
      <c r="Q39" s="2876">
        <f>COUNTIF(実績!$AE$5:$AE$1474,C39)</f>
        <v>0</v>
      </c>
      <c r="R39" s="2876"/>
      <c r="S39" s="3"/>
      <c r="T39" s="2875" t="s">
        <v>847</v>
      </c>
      <c r="U39" s="2886" t="s">
        <v>10042</v>
      </c>
      <c r="V39" s="2887"/>
      <c r="W39" s="2887"/>
      <c r="X39" s="2887"/>
      <c r="Y39" s="2887"/>
      <c r="Z39" s="2887"/>
      <c r="AA39" s="2887"/>
      <c r="AB39" s="2887"/>
      <c r="AC39" s="2887"/>
      <c r="AD39" s="2887"/>
      <c r="AE39" s="2887"/>
      <c r="AF39" s="2888"/>
      <c r="AG39" s="2918">
        <f>COUNTIF(実績!$AD$5:$AD$1474,"*ハウスプラス中国住宅保証*")</f>
        <v>26</v>
      </c>
      <c r="AH39" s="2919"/>
      <c r="AI39" s="2956">
        <f>COUNTIF(実績!$AE$6:$AE$1474,"*ハウスプラス中国*")</f>
        <v>0</v>
      </c>
      <c r="AJ39" s="2956"/>
      <c r="AK39" s="3"/>
      <c r="AL39" s="2900"/>
      <c r="AM39" s="2892" t="s">
        <v>965</v>
      </c>
      <c r="AN39" s="2893"/>
      <c r="AO39" s="2893"/>
      <c r="AP39" s="2893"/>
      <c r="AQ39" s="2893"/>
      <c r="AR39" s="2893"/>
      <c r="AS39" s="2893"/>
      <c r="AT39" s="2893"/>
      <c r="AU39" s="2893"/>
      <c r="AV39" s="2893"/>
      <c r="AW39" s="2893"/>
      <c r="AX39" s="2894"/>
      <c r="AY39" s="2876">
        <f>COUNTIF(実績!$AD$5:$AD$1474,AM39)</f>
        <v>1</v>
      </c>
      <c r="AZ39" s="2876"/>
      <c r="BA39" s="2880">
        <f>COUNTIF(実績!$AE$5:$AE$1474,AM39)</f>
        <v>0</v>
      </c>
      <c r="BB39" s="2898"/>
      <c r="BC39" s="3"/>
      <c r="BD39" s="46"/>
      <c r="BE39" s="2892"/>
      <c r="BF39" s="2901"/>
      <c r="BG39" s="2901"/>
      <c r="BH39" s="2901"/>
      <c r="BI39" s="2901"/>
      <c r="BJ39" s="2901"/>
      <c r="BK39" s="2901"/>
      <c r="BL39" s="2901"/>
      <c r="BM39" s="2901"/>
      <c r="BN39" s="2901"/>
      <c r="BO39" s="2901"/>
      <c r="BP39" s="2902"/>
      <c r="BQ39" s="2876"/>
      <c r="BR39" s="2876"/>
      <c r="BS39" s="2880"/>
      <c r="BT39" s="2881"/>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row>
    <row r="40" spans="1:232" s="4" customFormat="1" ht="20.100000000000001" customHeight="1">
      <c r="A40" s="3"/>
      <c r="B40" s="2875"/>
      <c r="C40" s="2877" t="s">
        <v>2955</v>
      </c>
      <c r="D40" s="2878"/>
      <c r="E40" s="2878"/>
      <c r="F40" s="2878"/>
      <c r="G40" s="2878"/>
      <c r="H40" s="2878"/>
      <c r="I40" s="2878"/>
      <c r="J40" s="2878"/>
      <c r="K40" s="2878"/>
      <c r="L40" s="2878"/>
      <c r="M40" s="2878"/>
      <c r="N40" s="2879"/>
      <c r="O40" s="2896">
        <f>COUNTIF(実績!$AD$5:$AD$1474,"*株式会社 建築住宅センター*")</f>
        <v>1</v>
      </c>
      <c r="P40" s="2897"/>
      <c r="Q40" s="2895">
        <f>COUNTIF(実績!$AE$5:$AE$1474,"*株式会社 建築住宅センター*")</f>
        <v>10</v>
      </c>
      <c r="R40" s="2895"/>
      <c r="S40" s="3"/>
      <c r="T40" s="2875"/>
      <c r="U40" s="2885" t="s">
        <v>244</v>
      </c>
      <c r="V40" s="2878"/>
      <c r="W40" s="2878"/>
      <c r="X40" s="2878"/>
      <c r="Y40" s="2878"/>
      <c r="Z40" s="2878"/>
      <c r="AA40" s="2878"/>
      <c r="AB40" s="2878"/>
      <c r="AC40" s="2878"/>
      <c r="AD40" s="2878"/>
      <c r="AE40" s="2878"/>
      <c r="AF40" s="2879"/>
      <c r="AG40" s="2880">
        <f>COUNTIF(実績!$AD$5:$AD$1474,U40)</f>
        <v>3</v>
      </c>
      <c r="AH40" s="2881"/>
      <c r="AI40" s="2876">
        <f>COUNTIF(実績!$AE$5:$AE$1474,U40)</f>
        <v>0</v>
      </c>
      <c r="AJ40" s="2876"/>
      <c r="AK40" s="3"/>
      <c r="AL40" s="2900"/>
      <c r="AM40" s="2892" t="s">
        <v>10274</v>
      </c>
      <c r="AN40" s="2893"/>
      <c r="AO40" s="2893"/>
      <c r="AP40" s="2893"/>
      <c r="AQ40" s="2893"/>
      <c r="AR40" s="2893"/>
      <c r="AS40" s="2893"/>
      <c r="AT40" s="2893"/>
      <c r="AU40" s="2893"/>
      <c r="AV40" s="2893"/>
      <c r="AW40" s="2893"/>
      <c r="AX40" s="2894"/>
      <c r="AY40" s="2876">
        <f>COUNTIF(実績!$AD$5:$AD$1474,AM40)</f>
        <v>1</v>
      </c>
      <c r="AZ40" s="2876"/>
      <c r="BA40" s="2880">
        <f>COUNTIF(実績!$AE$5:$AE$1474,AM40)</f>
        <v>0</v>
      </c>
      <c r="BB40" s="2898"/>
      <c r="BC40" s="3"/>
      <c r="BD40" s="46"/>
      <c r="BE40" s="2892"/>
      <c r="BF40" s="2901"/>
      <c r="BG40" s="2901"/>
      <c r="BH40" s="2901"/>
      <c r="BI40" s="2901"/>
      <c r="BJ40" s="2901"/>
      <c r="BK40" s="2901"/>
      <c r="BL40" s="2901"/>
      <c r="BM40" s="2901"/>
      <c r="BN40" s="2901"/>
      <c r="BO40" s="2901"/>
      <c r="BP40" s="2902"/>
      <c r="BQ40" s="2876"/>
      <c r="BR40" s="2876"/>
      <c r="BS40" s="2880"/>
      <c r="BT40" s="2881"/>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row>
    <row r="41" spans="1:232" s="4" customFormat="1" ht="20.100000000000001" customHeight="1">
      <c r="A41" s="3"/>
      <c r="B41" s="2875"/>
      <c r="C41" s="2877" t="s">
        <v>7166</v>
      </c>
      <c r="D41" s="2878"/>
      <c r="E41" s="2878"/>
      <c r="F41" s="2878"/>
      <c r="G41" s="2878"/>
      <c r="H41" s="2878"/>
      <c r="I41" s="2878"/>
      <c r="J41" s="2878"/>
      <c r="K41" s="2878"/>
      <c r="L41" s="2878"/>
      <c r="M41" s="2878"/>
      <c r="N41" s="2879"/>
      <c r="O41" s="2880">
        <f>COUNTIF(実績!$AD$5:$AD$1474,C41)</f>
        <v>0</v>
      </c>
      <c r="P41" s="2881"/>
      <c r="Q41" s="2876">
        <f>COUNTIF(実績!$AE$5:$AE$1474,C41)</f>
        <v>2</v>
      </c>
      <c r="R41" s="2876"/>
      <c r="S41" s="3"/>
      <c r="T41" s="2875"/>
      <c r="U41" s="2885" t="s">
        <v>17675</v>
      </c>
      <c r="V41" s="2878"/>
      <c r="W41" s="2878"/>
      <c r="X41" s="2878"/>
      <c r="Y41" s="2878"/>
      <c r="Z41" s="2878"/>
      <c r="AA41" s="2878"/>
      <c r="AB41" s="2878"/>
      <c r="AC41" s="2878"/>
      <c r="AD41" s="2878"/>
      <c r="AE41" s="2878"/>
      <c r="AF41" s="2879"/>
      <c r="AG41" s="2880">
        <f>COUNTIF(実績!$AD$5:$AD$1474,U41)</f>
        <v>2</v>
      </c>
      <c r="AH41" s="2881"/>
      <c r="AI41" s="2876">
        <f>COUNTIF(実績!$AE$5:$AE$1474,U41)</f>
        <v>2</v>
      </c>
      <c r="AJ41" s="2876"/>
      <c r="AK41" s="3"/>
      <c r="AL41" s="2900"/>
      <c r="AM41" s="2892" t="s">
        <v>17927</v>
      </c>
      <c r="AN41" s="2901"/>
      <c r="AO41" s="2901"/>
      <c r="AP41" s="2901"/>
      <c r="AQ41" s="2901"/>
      <c r="AR41" s="2901"/>
      <c r="AS41" s="2901"/>
      <c r="AT41" s="2901"/>
      <c r="AU41" s="2901"/>
      <c r="AV41" s="2901"/>
      <c r="AW41" s="2901"/>
      <c r="AX41" s="2902"/>
      <c r="AY41" s="2876">
        <f>COUNTIF(実績!$AD$5:$AD$1474,AM41)</f>
        <v>1</v>
      </c>
      <c r="AZ41" s="2876"/>
      <c r="BA41" s="2880">
        <f>COUNTIF(実績!$AE$5:$AE$1474,AM41)</f>
        <v>0</v>
      </c>
      <c r="BB41" s="2898"/>
      <c r="BC41" s="3"/>
      <c r="BD41" s="46"/>
      <c r="BE41" s="2892"/>
      <c r="BF41" s="2901"/>
      <c r="BG41" s="2901"/>
      <c r="BH41" s="2901"/>
      <c r="BI41" s="2901"/>
      <c r="BJ41" s="2901"/>
      <c r="BK41" s="2901"/>
      <c r="BL41" s="2901"/>
      <c r="BM41" s="2901"/>
      <c r="BN41" s="2901"/>
      <c r="BO41" s="2901"/>
      <c r="BP41" s="2902"/>
      <c r="BQ41" s="2876"/>
      <c r="BR41" s="2876"/>
      <c r="BS41" s="2880"/>
      <c r="BT41" s="2881"/>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32" s="3" customFormat="1" ht="20.100000000000001" customHeight="1">
      <c r="B42" s="2875"/>
      <c r="C42" s="2885" t="s">
        <v>7986</v>
      </c>
      <c r="D42" s="2878"/>
      <c r="E42" s="2878"/>
      <c r="F42" s="2878"/>
      <c r="G42" s="2878"/>
      <c r="H42" s="2878"/>
      <c r="I42" s="2878"/>
      <c r="J42" s="2878"/>
      <c r="K42" s="2878"/>
      <c r="L42" s="2878"/>
      <c r="M42" s="2878"/>
      <c r="N42" s="2879"/>
      <c r="O42" s="2880">
        <f>COUNTIF(実績!$AD$5:$AD$1474,C42)</f>
        <v>10</v>
      </c>
      <c r="P42" s="2881"/>
      <c r="Q42" s="2876">
        <f>COUNTIF(実績!$AE$5:$AE$1474,C42)</f>
        <v>0</v>
      </c>
      <c r="R42" s="2876"/>
      <c r="T42" s="2875"/>
      <c r="U42" s="2885" t="s">
        <v>252</v>
      </c>
      <c r="V42" s="2878"/>
      <c r="W42" s="2878"/>
      <c r="X42" s="2878"/>
      <c r="Y42" s="2878"/>
      <c r="Z42" s="2878"/>
      <c r="AA42" s="2878"/>
      <c r="AB42" s="2878"/>
      <c r="AC42" s="2878"/>
      <c r="AD42" s="2878"/>
      <c r="AE42" s="2878"/>
      <c r="AF42" s="2879"/>
      <c r="AG42" s="2880">
        <f>COUNTIF(実績!$AD$5:$AD$1474,U42)</f>
        <v>0</v>
      </c>
      <c r="AH42" s="2881"/>
      <c r="AI42" s="2876">
        <f>COUNTIF(実績!$AE$5:$AE$1474,U42)</f>
        <v>2</v>
      </c>
      <c r="AJ42" s="2876"/>
      <c r="AL42" s="2874"/>
      <c r="AM42" s="2912"/>
      <c r="AN42" s="2913"/>
      <c r="AO42" s="2913"/>
      <c r="AP42" s="2913"/>
      <c r="AQ42" s="2913"/>
      <c r="AR42" s="2913"/>
      <c r="AS42" s="2913"/>
      <c r="AT42" s="2913"/>
      <c r="AU42" s="2913"/>
      <c r="AV42" s="2913"/>
      <c r="AW42" s="2913"/>
      <c r="AX42" s="2914"/>
      <c r="AY42" s="2873"/>
      <c r="AZ42" s="2873"/>
      <c r="BA42" s="2871"/>
      <c r="BB42" s="2872"/>
      <c r="BD42" s="46"/>
      <c r="BE42" s="2892"/>
      <c r="BF42" s="2901"/>
      <c r="BG42" s="2901"/>
      <c r="BH42" s="2901"/>
      <c r="BI42" s="2901"/>
      <c r="BJ42" s="2901"/>
      <c r="BK42" s="2901"/>
      <c r="BL42" s="2901"/>
      <c r="BM42" s="2901"/>
      <c r="BN42" s="2901"/>
      <c r="BO42" s="2901"/>
      <c r="BP42" s="2902"/>
      <c r="BQ42" s="2876"/>
      <c r="BR42" s="2876"/>
      <c r="BS42" s="2880"/>
      <c r="BT42" s="2881"/>
      <c r="HF42" s="4"/>
      <c r="HG42" s="4"/>
      <c r="HH42" s="4"/>
      <c r="HI42" s="4"/>
      <c r="HJ42" s="4"/>
      <c r="HK42" s="4"/>
      <c r="HL42" s="4"/>
      <c r="HM42" s="4"/>
    </row>
    <row r="43" spans="1:232" s="3" customFormat="1" ht="20.100000000000001" customHeight="1">
      <c r="B43" s="2875"/>
      <c r="C43" s="2877" t="s">
        <v>16965</v>
      </c>
      <c r="D43" s="2971"/>
      <c r="E43" s="2971"/>
      <c r="F43" s="2971"/>
      <c r="G43" s="2971"/>
      <c r="H43" s="2971"/>
      <c r="I43" s="2971"/>
      <c r="J43" s="2971"/>
      <c r="K43" s="2971"/>
      <c r="L43" s="2971"/>
      <c r="M43" s="2971"/>
      <c r="N43" s="2972"/>
      <c r="O43" s="2880">
        <f>COUNTIF(実績!$AD$5:$AD$1474,C43)</f>
        <v>10</v>
      </c>
      <c r="P43" s="2881"/>
      <c r="Q43" s="2876">
        <f>COUNTIF(実績!$AE$5:$AE$1474,C43)</f>
        <v>11</v>
      </c>
      <c r="R43" s="2876"/>
      <c r="T43" s="2875"/>
      <c r="U43" s="2885" t="s">
        <v>4608</v>
      </c>
      <c r="V43" s="2878"/>
      <c r="W43" s="2878"/>
      <c r="X43" s="2878"/>
      <c r="Y43" s="2878"/>
      <c r="Z43" s="2878"/>
      <c r="AA43" s="2878"/>
      <c r="AB43" s="2878"/>
      <c r="AC43" s="2878"/>
      <c r="AD43" s="2878"/>
      <c r="AE43" s="2878"/>
      <c r="AF43" s="2879"/>
      <c r="AG43" s="2880">
        <f>COUNTIF(実績!$AD$5:$AD$1474,U43)</f>
        <v>1</v>
      </c>
      <c r="AH43" s="2881"/>
      <c r="AI43" s="2876">
        <f>COUNTIF(実績!$AE$5:$AE$1474,U43)</f>
        <v>6</v>
      </c>
      <c r="AJ43" s="2876"/>
      <c r="AL43" s="2875" t="s">
        <v>846</v>
      </c>
      <c r="AM43" s="2955" t="s">
        <v>64</v>
      </c>
      <c r="AN43" s="2904"/>
      <c r="AO43" s="2904"/>
      <c r="AP43" s="2904"/>
      <c r="AQ43" s="2904"/>
      <c r="AR43" s="2904"/>
      <c r="AS43" s="2904"/>
      <c r="AT43" s="2904"/>
      <c r="AU43" s="2904"/>
      <c r="AV43" s="2904"/>
      <c r="AW43" s="2904"/>
      <c r="AX43" s="2905"/>
      <c r="AY43" s="2911">
        <f>COUNTIF(実績!$AD$5:$AD$1474,AM43)</f>
        <v>1</v>
      </c>
      <c r="AZ43" s="2911"/>
      <c r="BA43" s="2890">
        <f>COUNTIF(実績!$AE$5:$AE$1474,AM43)</f>
        <v>0</v>
      </c>
      <c r="BB43" s="2910"/>
      <c r="BC43" s="4"/>
      <c r="BD43" s="46"/>
      <c r="BE43" s="2892"/>
      <c r="BF43" s="2901"/>
      <c r="BG43" s="2901"/>
      <c r="BH43" s="2901"/>
      <c r="BI43" s="2901"/>
      <c r="BJ43" s="2901"/>
      <c r="BK43" s="2901"/>
      <c r="BL43" s="2901"/>
      <c r="BM43" s="2901"/>
      <c r="BN43" s="2901"/>
      <c r="BO43" s="2901"/>
      <c r="BP43" s="2902"/>
      <c r="BQ43" s="2876"/>
      <c r="BR43" s="2876"/>
      <c r="BS43" s="2880"/>
      <c r="BT43" s="2881"/>
      <c r="HF43" s="4"/>
      <c r="HG43" s="4"/>
      <c r="HH43" s="4"/>
      <c r="HI43" s="4"/>
      <c r="HJ43" s="4"/>
      <c r="HK43" s="4"/>
      <c r="HL43" s="4"/>
      <c r="HM43" s="4"/>
    </row>
    <row r="44" spans="1:232" ht="20.100000000000001" customHeight="1">
      <c r="A44" s="3"/>
      <c r="B44" s="2875"/>
      <c r="C44" s="2877" t="s">
        <v>1036</v>
      </c>
      <c r="D44" s="2971"/>
      <c r="E44" s="2971"/>
      <c r="F44" s="2971"/>
      <c r="G44" s="2971"/>
      <c r="H44" s="2971"/>
      <c r="I44" s="2971"/>
      <c r="J44" s="2971"/>
      <c r="K44" s="2971"/>
      <c r="L44" s="2971"/>
      <c r="M44" s="2971"/>
      <c r="N44" s="2972"/>
      <c r="O44" s="2880">
        <f>COUNTIF(実績!$AD$5:$AD$1474,C44)</f>
        <v>6</v>
      </c>
      <c r="P44" s="2881"/>
      <c r="Q44" s="2876">
        <f>COUNTIF(実績!$AE$5:$AE$1474,C44)</f>
        <v>1</v>
      </c>
      <c r="R44" s="2876"/>
      <c r="S44" s="3"/>
      <c r="T44" s="2875"/>
      <c r="U44" s="2907" t="s">
        <v>5359</v>
      </c>
      <c r="V44" s="2711"/>
      <c r="W44" s="2711"/>
      <c r="X44" s="2711"/>
      <c r="Y44" s="2711"/>
      <c r="Z44" s="2711"/>
      <c r="AA44" s="2711"/>
      <c r="AB44" s="2711"/>
      <c r="AC44" s="2711"/>
      <c r="AD44" s="2711"/>
      <c r="AE44" s="2711"/>
      <c r="AF44" s="2908"/>
      <c r="AG44" s="2916">
        <f>COUNTIF(実績!$AD$5:$AD$1474,U44)</f>
        <v>0</v>
      </c>
      <c r="AH44" s="2917"/>
      <c r="AI44" s="2932">
        <f>COUNTIF(実績!$AE$5:$AE$1474,U44)</f>
        <v>2</v>
      </c>
      <c r="AJ44" s="2932"/>
      <c r="AK44" s="3"/>
      <c r="AL44" s="2875"/>
      <c r="AM44" s="2892" t="s">
        <v>864</v>
      </c>
      <c r="AN44" s="2893"/>
      <c r="AO44" s="2893"/>
      <c r="AP44" s="2893"/>
      <c r="AQ44" s="2893"/>
      <c r="AR44" s="2893"/>
      <c r="AS44" s="2893"/>
      <c r="AT44" s="2893"/>
      <c r="AU44" s="2893"/>
      <c r="AV44" s="2893"/>
      <c r="AW44" s="2893"/>
      <c r="AX44" s="2894"/>
      <c r="AY44" s="2876">
        <f>COUNTIF(実績!$AD$5:$AD$1474,AM44)</f>
        <v>2</v>
      </c>
      <c r="AZ44" s="2876"/>
      <c r="BA44" s="2880">
        <f>COUNTIF(実績!$AE$5:$AE$1474,AM44)</f>
        <v>0</v>
      </c>
      <c r="BB44" s="2898"/>
      <c r="BC44" s="3"/>
      <c r="BD44" s="46"/>
      <c r="BE44" s="2892"/>
      <c r="BF44" s="2901"/>
      <c r="BG44" s="2901"/>
      <c r="BH44" s="2901"/>
      <c r="BI44" s="2901"/>
      <c r="BJ44" s="2901"/>
      <c r="BK44" s="2901"/>
      <c r="BL44" s="2901"/>
      <c r="BM44" s="2901"/>
      <c r="BN44" s="2901"/>
      <c r="BO44" s="2901"/>
      <c r="BP44" s="2902"/>
      <c r="BQ44" s="2876"/>
      <c r="BR44" s="2876"/>
      <c r="BS44" s="2880"/>
      <c r="BT44" s="2881"/>
    </row>
    <row r="45" spans="1:232" ht="20.100000000000001" customHeight="1">
      <c r="A45" s="7"/>
      <c r="B45" s="2875"/>
      <c r="C45" s="2877" t="s">
        <v>291</v>
      </c>
      <c r="D45" s="2971"/>
      <c r="E45" s="2971"/>
      <c r="F45" s="2971"/>
      <c r="G45" s="2971"/>
      <c r="H45" s="2971"/>
      <c r="I45" s="2971"/>
      <c r="J45" s="2971"/>
      <c r="K45" s="2971"/>
      <c r="L45" s="2971"/>
      <c r="M45" s="2971"/>
      <c r="N45" s="2972"/>
      <c r="O45" s="2880">
        <f>COUNTIF(実績!$AD$5:$AD$1474,C45)</f>
        <v>0</v>
      </c>
      <c r="P45" s="2881"/>
      <c r="Q45" s="2876">
        <f>COUNTIF(実績!$AE$5:$AE$1474,C45)</f>
        <v>4</v>
      </c>
      <c r="R45" s="2876"/>
      <c r="S45" s="3"/>
      <c r="T45" s="2875"/>
      <c r="U45" s="2889" t="s">
        <v>6675</v>
      </c>
      <c r="V45" s="2869"/>
      <c r="W45" s="2869"/>
      <c r="X45" s="2869"/>
      <c r="Y45" s="2869"/>
      <c r="Z45" s="2869"/>
      <c r="AA45" s="2869"/>
      <c r="AB45" s="2869"/>
      <c r="AC45" s="2869"/>
      <c r="AD45" s="2869"/>
      <c r="AE45" s="2869"/>
      <c r="AF45" s="2870"/>
      <c r="AG45" s="2871">
        <f>COUNTIF(実績!$AD$5:$AD$1474,U45)</f>
        <v>1</v>
      </c>
      <c r="AH45" s="2872"/>
      <c r="AI45" s="2873">
        <f>COUNTIF(実績!$AE$5:$AE$1474,U45)</f>
        <v>0</v>
      </c>
      <c r="AJ45" s="2873"/>
      <c r="AK45" s="3"/>
      <c r="AL45" s="2875"/>
      <c r="AM45" s="2892" t="s">
        <v>4614</v>
      </c>
      <c r="AN45" s="2893"/>
      <c r="AO45" s="2893"/>
      <c r="AP45" s="2893"/>
      <c r="AQ45" s="2893"/>
      <c r="AR45" s="2893"/>
      <c r="AS45" s="2893"/>
      <c r="AT45" s="2893"/>
      <c r="AU45" s="2893"/>
      <c r="AV45" s="2893"/>
      <c r="AW45" s="2893"/>
      <c r="AX45" s="2894"/>
      <c r="AY45" s="2876">
        <f>COUNTIF(実績!$AD$5:$AD$1474,AM45)</f>
        <v>1</v>
      </c>
      <c r="AZ45" s="2876"/>
      <c r="BA45" s="2880">
        <f>COUNTIF(実績!$AE$5:$AE$1474,AM45)</f>
        <v>0</v>
      </c>
      <c r="BB45" s="2898"/>
      <c r="BC45" s="3"/>
      <c r="BD45" s="46"/>
      <c r="BE45" s="2892"/>
      <c r="BF45" s="2901"/>
      <c r="BG45" s="2901"/>
      <c r="BH45" s="2901"/>
      <c r="BI45" s="2901"/>
      <c r="BJ45" s="2901"/>
      <c r="BK45" s="2901"/>
      <c r="BL45" s="2901"/>
      <c r="BM45" s="2901"/>
      <c r="BN45" s="2901"/>
      <c r="BO45" s="2901"/>
      <c r="BP45" s="2902"/>
      <c r="BQ45" s="2876"/>
      <c r="BR45" s="2876"/>
      <c r="BS45" s="2880"/>
      <c r="BT45" s="2881"/>
    </row>
    <row r="46" spans="1:232" ht="20.100000000000001" customHeight="1">
      <c r="A46" s="7"/>
      <c r="B46" s="2875"/>
      <c r="C46" s="2885" t="s">
        <v>218</v>
      </c>
      <c r="D46" s="2878"/>
      <c r="E46" s="2878"/>
      <c r="F46" s="2878"/>
      <c r="G46" s="2878"/>
      <c r="H46" s="2878"/>
      <c r="I46" s="2878"/>
      <c r="J46" s="2878"/>
      <c r="K46" s="2878"/>
      <c r="L46" s="2878"/>
      <c r="M46" s="2878"/>
      <c r="N46" s="2879"/>
      <c r="O46" s="2880">
        <f>COUNTIF(実績!$AD$5:$AD$1474,C46)</f>
        <v>4</v>
      </c>
      <c r="P46" s="2881"/>
      <c r="Q46" s="2876">
        <f>COUNTIF(実績!$AE$5:$AE$1474,C46)</f>
        <v>0</v>
      </c>
      <c r="R46" s="2876"/>
      <c r="S46" s="3"/>
      <c r="T46" s="2899" t="s">
        <v>848</v>
      </c>
      <c r="U46" s="2937" t="s">
        <v>270</v>
      </c>
      <c r="V46" s="2887"/>
      <c r="W46" s="2887"/>
      <c r="X46" s="2887"/>
      <c r="Y46" s="2887"/>
      <c r="Z46" s="2887"/>
      <c r="AA46" s="2887"/>
      <c r="AB46" s="2887"/>
      <c r="AC46" s="2887"/>
      <c r="AD46" s="2887"/>
      <c r="AE46" s="2887"/>
      <c r="AF46" s="2888"/>
      <c r="AG46" s="2890">
        <f>COUNTIF(実績!$AD$5:$AD$1474,U46)</f>
        <v>0</v>
      </c>
      <c r="AH46" s="2891"/>
      <c r="AI46" s="2911">
        <f>COUNTIF(実績!$AE$5:$AE$1474,U46)</f>
        <v>1</v>
      </c>
      <c r="AJ46" s="2911"/>
      <c r="AK46" s="3"/>
      <c r="AL46" s="2875"/>
      <c r="AM46" s="2892" t="s">
        <v>4333</v>
      </c>
      <c r="AN46" s="2893"/>
      <c r="AO46" s="2893"/>
      <c r="AP46" s="2893"/>
      <c r="AQ46" s="2893"/>
      <c r="AR46" s="2893"/>
      <c r="AS46" s="2893"/>
      <c r="AT46" s="2893"/>
      <c r="AU46" s="2893"/>
      <c r="AV46" s="2893"/>
      <c r="AW46" s="2893"/>
      <c r="AX46" s="2894"/>
      <c r="AY46" s="2876">
        <f>COUNTIF(実績!$AD$5:$AD$1474,AM46)</f>
        <v>3</v>
      </c>
      <c r="AZ46" s="2876"/>
      <c r="BA46" s="2880">
        <f>COUNTIF(実績!$AE$5:$AE$1474,AM46)</f>
        <v>0</v>
      </c>
      <c r="BB46" s="2898"/>
      <c r="BC46" s="3"/>
      <c r="BD46" s="46"/>
      <c r="BE46" s="2892"/>
      <c r="BF46" s="2901"/>
      <c r="BG46" s="2901"/>
      <c r="BH46" s="2901"/>
      <c r="BI46" s="2901"/>
      <c r="BJ46" s="2901"/>
      <c r="BK46" s="2901"/>
      <c r="BL46" s="2901"/>
      <c r="BM46" s="2901"/>
      <c r="BN46" s="2901"/>
      <c r="BO46" s="2901"/>
      <c r="BP46" s="2902"/>
      <c r="BQ46" s="2876"/>
      <c r="BR46" s="2876"/>
      <c r="BS46" s="2880"/>
      <c r="BT46" s="2881"/>
    </row>
    <row r="47" spans="1:232" ht="20.100000000000001" customHeight="1">
      <c r="A47" s="7"/>
      <c r="B47" s="2875"/>
      <c r="C47" s="2885" t="s">
        <v>316</v>
      </c>
      <c r="D47" s="2878"/>
      <c r="E47" s="2878"/>
      <c r="F47" s="2878"/>
      <c r="G47" s="2878"/>
      <c r="H47" s="2878"/>
      <c r="I47" s="2878"/>
      <c r="J47" s="2878"/>
      <c r="K47" s="2878"/>
      <c r="L47" s="2878"/>
      <c r="M47" s="2878"/>
      <c r="N47" s="2879"/>
      <c r="O47" s="2880">
        <f>COUNTIF(実績!$AD$5:$AD$1474,C47)</f>
        <v>11</v>
      </c>
      <c r="P47" s="2881"/>
      <c r="Q47" s="2876">
        <f>COUNTIF(実績!$AE$5:$AE$1474,C47)</f>
        <v>0</v>
      </c>
      <c r="R47" s="2876"/>
      <c r="S47" s="3"/>
      <c r="T47" s="2874"/>
      <c r="U47" s="2889"/>
      <c r="V47" s="2869"/>
      <c r="W47" s="2869"/>
      <c r="X47" s="2869"/>
      <c r="Y47" s="2869"/>
      <c r="Z47" s="2869"/>
      <c r="AA47" s="2869"/>
      <c r="AB47" s="2869"/>
      <c r="AC47" s="2869"/>
      <c r="AD47" s="2869"/>
      <c r="AE47" s="2869"/>
      <c r="AF47" s="2870"/>
      <c r="AG47" s="2873"/>
      <c r="AH47" s="2873"/>
      <c r="AI47" s="2873"/>
      <c r="AJ47" s="2873"/>
      <c r="AK47" s="7"/>
      <c r="AL47" s="2875"/>
      <c r="AM47" s="2892" t="s">
        <v>867</v>
      </c>
      <c r="AN47" s="2893"/>
      <c r="AO47" s="2893"/>
      <c r="AP47" s="2893"/>
      <c r="AQ47" s="2893"/>
      <c r="AR47" s="2893"/>
      <c r="AS47" s="2893"/>
      <c r="AT47" s="2893"/>
      <c r="AU47" s="2893"/>
      <c r="AV47" s="2893"/>
      <c r="AW47" s="2893"/>
      <c r="AX47" s="2894"/>
      <c r="AY47" s="2876">
        <f>COUNTIF(実績!$AD$5:$AD$1474,AM47)</f>
        <v>2</v>
      </c>
      <c r="AZ47" s="2876"/>
      <c r="BA47" s="2880">
        <f>COUNTIF(実績!$AE$5:$AE$1474,AM47)</f>
        <v>0</v>
      </c>
      <c r="BB47" s="2898"/>
      <c r="BC47" s="3"/>
      <c r="BD47" s="46"/>
      <c r="BE47" s="2892"/>
      <c r="BF47" s="2901"/>
      <c r="BG47" s="2901"/>
      <c r="BH47" s="2901"/>
      <c r="BI47" s="2901"/>
      <c r="BJ47" s="2901"/>
      <c r="BK47" s="2901"/>
      <c r="BL47" s="2901"/>
      <c r="BM47" s="2901"/>
      <c r="BN47" s="2901"/>
      <c r="BO47" s="2901"/>
      <c r="BP47" s="2902"/>
      <c r="BQ47" s="2876"/>
      <c r="BR47" s="2876"/>
      <c r="BS47" s="2880"/>
      <c r="BT47" s="2881"/>
    </row>
    <row r="48" spans="1:232" ht="20.100000000000001" customHeight="1">
      <c r="B48" s="2875"/>
      <c r="C48" s="2885" t="s">
        <v>7892</v>
      </c>
      <c r="D48" s="2878"/>
      <c r="E48" s="2878"/>
      <c r="F48" s="2878"/>
      <c r="G48" s="2878"/>
      <c r="H48" s="2878"/>
      <c r="I48" s="2878"/>
      <c r="J48" s="2878"/>
      <c r="K48" s="2878"/>
      <c r="L48" s="2878"/>
      <c r="M48" s="2878"/>
      <c r="N48" s="2879"/>
      <c r="O48" s="2880">
        <f>COUNTIF(実績!$AD$5:$AD$1474,C48)</f>
        <v>0</v>
      </c>
      <c r="P48" s="2881"/>
      <c r="Q48" s="2876">
        <f>COUNTIF(実績!$AE$5:$AE$1474,C48)</f>
        <v>2</v>
      </c>
      <c r="R48" s="2876"/>
      <c r="S48" s="7"/>
      <c r="T48" s="2899" t="s">
        <v>849</v>
      </c>
      <c r="U48" s="2886" t="s">
        <v>815</v>
      </c>
      <c r="V48" s="2887"/>
      <c r="W48" s="2887"/>
      <c r="X48" s="2887"/>
      <c r="Y48" s="2887"/>
      <c r="Z48" s="2887"/>
      <c r="AA48" s="2887"/>
      <c r="AB48" s="2887"/>
      <c r="AC48" s="2887"/>
      <c r="AD48" s="2887"/>
      <c r="AE48" s="2887"/>
      <c r="AF48" s="2888"/>
      <c r="AG48" s="2890">
        <f>COUNTIF(実績!$AD$5:$AD$1474,U48)</f>
        <v>2</v>
      </c>
      <c r="AH48" s="2891"/>
      <c r="AI48" s="2911">
        <f>COUNTIF(実績!$AE$5:$AE$1474,U48)</f>
        <v>1</v>
      </c>
      <c r="AJ48" s="2961"/>
      <c r="AK48" s="7"/>
      <c r="AL48" s="2875"/>
      <c r="AM48" s="2892" t="s">
        <v>869</v>
      </c>
      <c r="AN48" s="2893"/>
      <c r="AO48" s="2893"/>
      <c r="AP48" s="2893"/>
      <c r="AQ48" s="2893"/>
      <c r="AR48" s="2893"/>
      <c r="AS48" s="2893"/>
      <c r="AT48" s="2893"/>
      <c r="AU48" s="2893"/>
      <c r="AV48" s="2893"/>
      <c r="AW48" s="2893"/>
      <c r="AX48" s="2894"/>
      <c r="AY48" s="2876">
        <f>COUNTIF(実績!$AD$5:$AD$1474,AM48)</f>
        <v>1</v>
      </c>
      <c r="AZ48" s="2876"/>
      <c r="BA48" s="2880">
        <f>COUNTIF(実績!$AE$5:$AE$1474,AM48)</f>
        <v>0</v>
      </c>
      <c r="BB48" s="2898"/>
      <c r="BD48" s="46"/>
      <c r="BE48" s="2892"/>
      <c r="BF48" s="2901"/>
      <c r="BG48" s="2901"/>
      <c r="BH48" s="2901"/>
      <c r="BI48" s="2901"/>
      <c r="BJ48" s="2901"/>
      <c r="BK48" s="2901"/>
      <c r="BL48" s="2901"/>
      <c r="BM48" s="2901"/>
      <c r="BN48" s="2901"/>
      <c r="BO48" s="2901"/>
      <c r="BP48" s="2902"/>
      <c r="BQ48" s="2876"/>
      <c r="BR48" s="2876"/>
      <c r="BS48" s="2880"/>
      <c r="BT48" s="2881"/>
    </row>
    <row r="49" spans="2:72" ht="20.100000000000001" customHeight="1">
      <c r="B49" s="2875"/>
      <c r="C49" s="2885" t="s">
        <v>1746</v>
      </c>
      <c r="D49" s="2878"/>
      <c r="E49" s="2878"/>
      <c r="F49" s="2878"/>
      <c r="G49" s="2878"/>
      <c r="H49" s="2878"/>
      <c r="I49" s="2878"/>
      <c r="J49" s="2878"/>
      <c r="K49" s="2878"/>
      <c r="L49" s="2878"/>
      <c r="M49" s="2878"/>
      <c r="N49" s="2879"/>
      <c r="O49" s="2880">
        <f>COUNTIF(実績!$AD$5:$AD$1474,C49)</f>
        <v>2</v>
      </c>
      <c r="P49" s="2881"/>
      <c r="Q49" s="2876">
        <f>COUNTIF(実績!$AE$5:$AE$1474,C49)</f>
        <v>22</v>
      </c>
      <c r="R49" s="2876"/>
      <c r="S49" s="7"/>
      <c r="T49" s="2900"/>
      <c r="U49" s="2958" t="s">
        <v>810</v>
      </c>
      <c r="V49" s="2959"/>
      <c r="W49" s="2959"/>
      <c r="X49" s="2959"/>
      <c r="Y49" s="2959"/>
      <c r="Z49" s="2959"/>
      <c r="AA49" s="2959"/>
      <c r="AB49" s="2959"/>
      <c r="AC49" s="2959"/>
      <c r="AD49" s="2959"/>
      <c r="AE49" s="2959"/>
      <c r="AF49" s="2960"/>
      <c r="AG49" s="2880">
        <f>COUNTIF(実績!$AD$5:$AD$1474,U49)</f>
        <v>0</v>
      </c>
      <c r="AH49" s="2881"/>
      <c r="AI49" s="2876">
        <f>COUNTIF(実績!$AE$5:$AE$1474,U49)</f>
        <v>10</v>
      </c>
      <c r="AJ49" s="2957"/>
      <c r="AL49" s="2875"/>
      <c r="AM49" s="2892" t="s">
        <v>873</v>
      </c>
      <c r="AN49" s="2893"/>
      <c r="AO49" s="2893"/>
      <c r="AP49" s="2893"/>
      <c r="AQ49" s="2893"/>
      <c r="AR49" s="2893"/>
      <c r="AS49" s="2893"/>
      <c r="AT49" s="2893"/>
      <c r="AU49" s="2893"/>
      <c r="AV49" s="2893"/>
      <c r="AW49" s="2893"/>
      <c r="AX49" s="2894"/>
      <c r="AY49" s="2876">
        <f>COUNTIF(実績!$AD$5:$AD$1474,AM49)</f>
        <v>1</v>
      </c>
      <c r="AZ49" s="2876"/>
      <c r="BA49" s="2880">
        <f>COUNTIF(実績!$AE$5:$AE$1474,AM49)</f>
        <v>0</v>
      </c>
      <c r="BB49" s="2898"/>
      <c r="BD49" s="46"/>
      <c r="BE49" s="2892"/>
      <c r="BF49" s="2901"/>
      <c r="BG49" s="2901"/>
      <c r="BH49" s="2901"/>
      <c r="BI49" s="2901"/>
      <c r="BJ49" s="2901"/>
      <c r="BK49" s="2901"/>
      <c r="BL49" s="2901"/>
      <c r="BM49" s="2901"/>
      <c r="BN49" s="2901"/>
      <c r="BO49" s="2901"/>
      <c r="BP49" s="2902"/>
      <c r="BQ49" s="2876"/>
      <c r="BR49" s="2876"/>
      <c r="BS49" s="2880"/>
      <c r="BT49" s="2881"/>
    </row>
    <row r="50" spans="2:72" ht="20.100000000000001" customHeight="1">
      <c r="B50" s="2875"/>
      <c r="C50" s="2912"/>
      <c r="D50" s="2913"/>
      <c r="E50" s="2913"/>
      <c r="F50" s="2913"/>
      <c r="G50" s="2913"/>
      <c r="H50" s="2913"/>
      <c r="I50" s="2913"/>
      <c r="J50" s="2913"/>
      <c r="K50" s="2913"/>
      <c r="L50" s="2913"/>
      <c r="M50" s="2913"/>
      <c r="N50" s="2914"/>
      <c r="O50" s="2873"/>
      <c r="P50" s="2873"/>
      <c r="Q50" s="2871"/>
      <c r="R50" s="2872"/>
      <c r="S50" s="7"/>
      <c r="T50" s="2900"/>
      <c r="U50" s="2885" t="s">
        <v>192</v>
      </c>
      <c r="V50" s="2878"/>
      <c r="W50" s="2878"/>
      <c r="X50" s="2878"/>
      <c r="Y50" s="2878"/>
      <c r="Z50" s="2878"/>
      <c r="AA50" s="2878"/>
      <c r="AB50" s="2878"/>
      <c r="AC50" s="2878"/>
      <c r="AD50" s="2878"/>
      <c r="AE50" s="2878"/>
      <c r="AF50" s="2879"/>
      <c r="AG50" s="2880">
        <f>COUNTIF(実績!$AD$5:$AD$1474,U50)</f>
        <v>0</v>
      </c>
      <c r="AH50" s="2881"/>
      <c r="AI50" s="2876">
        <f>COUNTIF(実績!$AE$5:$AE$1474,U50)</f>
        <v>1</v>
      </c>
      <c r="AJ50" s="2957"/>
      <c r="AL50" s="2875"/>
      <c r="AM50" s="2892" t="s">
        <v>871</v>
      </c>
      <c r="AN50" s="2893"/>
      <c r="AO50" s="2893"/>
      <c r="AP50" s="2893"/>
      <c r="AQ50" s="2893"/>
      <c r="AR50" s="2893"/>
      <c r="AS50" s="2893"/>
      <c r="AT50" s="2893"/>
      <c r="AU50" s="2893"/>
      <c r="AV50" s="2893"/>
      <c r="AW50" s="2893"/>
      <c r="AX50" s="2894"/>
      <c r="AY50" s="2876">
        <f>COUNTIF(実績!$AD$5:$AD$1474,AM50)</f>
        <v>1</v>
      </c>
      <c r="AZ50" s="2876"/>
      <c r="BA50" s="2880">
        <f>COUNTIF(実績!$AE$5:$AE$1474,AM50)</f>
        <v>0</v>
      </c>
      <c r="BB50" s="2898"/>
      <c r="BD50" s="46"/>
      <c r="BE50" s="2892"/>
      <c r="BF50" s="2901"/>
      <c r="BG50" s="2901"/>
      <c r="BH50" s="2901"/>
      <c r="BI50" s="2901"/>
      <c r="BJ50" s="2901"/>
      <c r="BK50" s="2901"/>
      <c r="BL50" s="2901"/>
      <c r="BM50" s="2901"/>
      <c r="BN50" s="2901"/>
      <c r="BO50" s="2901"/>
      <c r="BP50" s="2902"/>
      <c r="BQ50" s="2876"/>
      <c r="BR50" s="2876"/>
      <c r="BS50" s="2880"/>
      <c r="BT50" s="2881"/>
    </row>
    <row r="51" spans="2:72" ht="20.100000000000001" customHeight="1">
      <c r="B51" s="2973" t="s">
        <v>844</v>
      </c>
      <c r="C51" s="2886" t="s">
        <v>843</v>
      </c>
      <c r="D51" s="2887"/>
      <c r="E51" s="2887"/>
      <c r="F51" s="2887"/>
      <c r="G51" s="2887"/>
      <c r="H51" s="2887"/>
      <c r="I51" s="2887"/>
      <c r="J51" s="2887"/>
      <c r="K51" s="2887"/>
      <c r="L51" s="2887"/>
      <c r="M51" s="2887"/>
      <c r="N51" s="2888"/>
      <c r="O51" s="2890">
        <f>COUNTIF(実績!$AD$5:$AD$1474,C51)</f>
        <v>1</v>
      </c>
      <c r="P51" s="2891"/>
      <c r="Q51" s="2911">
        <f>COUNTIF(実績!$AE$5:$AE$1474,C51)</f>
        <v>2</v>
      </c>
      <c r="R51" s="2911"/>
      <c r="T51" s="2900"/>
      <c r="U51" s="2885" t="s">
        <v>8855</v>
      </c>
      <c r="V51" s="2878"/>
      <c r="W51" s="2878"/>
      <c r="X51" s="2878"/>
      <c r="Y51" s="2878"/>
      <c r="Z51" s="2878"/>
      <c r="AA51" s="2878"/>
      <c r="AB51" s="2878"/>
      <c r="AC51" s="2878"/>
      <c r="AD51" s="2878"/>
      <c r="AE51" s="2878"/>
      <c r="AF51" s="2879"/>
      <c r="AG51" s="2880">
        <f>COUNTIF(実績!$AD$5:$AD$1474,U51)</f>
        <v>0</v>
      </c>
      <c r="AH51" s="2881"/>
      <c r="AI51" s="2876">
        <f>COUNTIF(実績!$AE$5:$AE$1474,U51)</f>
        <v>5</v>
      </c>
      <c r="AJ51" s="2957"/>
      <c r="AL51" s="2875"/>
      <c r="AM51" s="2892" t="s">
        <v>6864</v>
      </c>
      <c r="AN51" s="2893"/>
      <c r="AO51" s="2893"/>
      <c r="AP51" s="2893"/>
      <c r="AQ51" s="2893"/>
      <c r="AR51" s="2893"/>
      <c r="AS51" s="2893"/>
      <c r="AT51" s="2893"/>
      <c r="AU51" s="2893"/>
      <c r="AV51" s="2893"/>
      <c r="AW51" s="2893"/>
      <c r="AX51" s="2894"/>
      <c r="AY51" s="2876">
        <f>COUNTIF(実績!$AD$5:$AD$1474,AM51)</f>
        <v>1</v>
      </c>
      <c r="AZ51" s="2876"/>
      <c r="BA51" s="2880">
        <f>COUNTIF(実績!$AE$5:$AE$1474,AM51)</f>
        <v>0</v>
      </c>
      <c r="BB51" s="2898"/>
      <c r="BD51" s="46"/>
      <c r="BE51" s="2892"/>
      <c r="BF51" s="2901"/>
      <c r="BG51" s="2901"/>
      <c r="BH51" s="2901"/>
      <c r="BI51" s="2901"/>
      <c r="BJ51" s="2901"/>
      <c r="BK51" s="2901"/>
      <c r="BL51" s="2901"/>
      <c r="BM51" s="2901"/>
      <c r="BN51" s="2901"/>
      <c r="BO51" s="2901"/>
      <c r="BP51" s="2902"/>
      <c r="BQ51" s="2876"/>
      <c r="BR51" s="2876"/>
      <c r="BS51" s="2880"/>
      <c r="BT51" s="2881"/>
    </row>
    <row r="52" spans="2:72" ht="20.100000000000001" customHeight="1">
      <c r="B52" s="2973"/>
      <c r="C52" s="2877" t="s">
        <v>4758</v>
      </c>
      <c r="D52" s="2878"/>
      <c r="E52" s="2878"/>
      <c r="F52" s="2878"/>
      <c r="G52" s="2878"/>
      <c r="H52" s="2878"/>
      <c r="I52" s="2878"/>
      <c r="J52" s="2878"/>
      <c r="K52" s="2878"/>
      <c r="L52" s="2878"/>
      <c r="M52" s="2878"/>
      <c r="N52" s="2879"/>
      <c r="O52" s="2880">
        <f>COUNTIF(実績!$AD$5:$AD$1474,C52)</f>
        <v>0</v>
      </c>
      <c r="P52" s="2881"/>
      <c r="Q52" s="2876">
        <f>COUNTIF(実績!$AE$5:$AE$1474,C52)</f>
        <v>1</v>
      </c>
      <c r="R52" s="2876"/>
      <c r="T52" s="2900"/>
      <c r="U52" s="2885" t="s">
        <v>8854</v>
      </c>
      <c r="V52" s="2878"/>
      <c r="W52" s="2878"/>
      <c r="X52" s="2878"/>
      <c r="Y52" s="2878"/>
      <c r="Z52" s="2878"/>
      <c r="AA52" s="2878"/>
      <c r="AB52" s="2878"/>
      <c r="AC52" s="2878"/>
      <c r="AD52" s="2878"/>
      <c r="AE52" s="2878"/>
      <c r="AF52" s="2879"/>
      <c r="AG52" s="2880">
        <f>COUNTIF(実績!$AD$5:$AD$1474,U52)</f>
        <v>0</v>
      </c>
      <c r="AH52" s="2881"/>
      <c r="AI52" s="2876">
        <f>COUNTIF(実績!$AE$5:$AE$1474,U52)</f>
        <v>7</v>
      </c>
      <c r="AJ52" s="2957"/>
      <c r="AL52" s="2875"/>
      <c r="AM52" s="2892"/>
      <c r="AN52" s="2901"/>
      <c r="AO52" s="2901"/>
      <c r="AP52" s="2901"/>
      <c r="AQ52" s="2901"/>
      <c r="AR52" s="2901"/>
      <c r="AS52" s="2901"/>
      <c r="AT52" s="2901"/>
      <c r="AU52" s="2901"/>
      <c r="AV52" s="2901"/>
      <c r="AW52" s="2901"/>
      <c r="AX52" s="2902"/>
      <c r="AY52" s="2876"/>
      <c r="AZ52" s="2876"/>
      <c r="BA52" s="2880"/>
      <c r="BB52" s="2898"/>
      <c r="BD52" s="46"/>
      <c r="BE52" s="2892"/>
      <c r="BF52" s="2901"/>
      <c r="BG52" s="2901"/>
      <c r="BH52" s="2901"/>
      <c r="BI52" s="2901"/>
      <c r="BJ52" s="2901"/>
      <c r="BK52" s="2901"/>
      <c r="BL52" s="2901"/>
      <c r="BM52" s="2901"/>
      <c r="BN52" s="2901"/>
      <c r="BO52" s="2901"/>
      <c r="BP52" s="2902"/>
      <c r="BQ52" s="2876"/>
      <c r="BR52" s="2876"/>
      <c r="BS52" s="2880"/>
      <c r="BT52" s="2898"/>
    </row>
    <row r="53" spans="2:72" ht="20.100000000000001" customHeight="1">
      <c r="B53" s="2973"/>
      <c r="C53" s="2877" t="s">
        <v>17723</v>
      </c>
      <c r="D53" s="2878"/>
      <c r="E53" s="2878"/>
      <c r="F53" s="2878"/>
      <c r="G53" s="2878"/>
      <c r="H53" s="2878"/>
      <c r="I53" s="2878"/>
      <c r="J53" s="2878"/>
      <c r="K53" s="2878"/>
      <c r="L53" s="2878"/>
      <c r="M53" s="2878"/>
      <c r="N53" s="2879"/>
      <c r="O53" s="2880">
        <f>COUNTIF(実績!$AD$5:$AD$1474,C53)</f>
        <v>15</v>
      </c>
      <c r="P53" s="2881"/>
      <c r="Q53" s="2876">
        <f>COUNTIF(実績!$AE$5:$AE$1474,C53)</f>
        <v>6</v>
      </c>
      <c r="R53" s="2876"/>
      <c r="T53" s="2900"/>
      <c r="U53" s="2885" t="s">
        <v>16126</v>
      </c>
      <c r="V53" s="2878"/>
      <c r="W53" s="2878"/>
      <c r="X53" s="2878"/>
      <c r="Y53" s="2878"/>
      <c r="Z53" s="2878"/>
      <c r="AA53" s="2878"/>
      <c r="AB53" s="2878"/>
      <c r="AC53" s="2878"/>
      <c r="AD53" s="2878"/>
      <c r="AE53" s="2878"/>
      <c r="AF53" s="2879"/>
      <c r="AG53" s="2880">
        <f>COUNTIF(実績!$AD$5:$AD$1474,U53)</f>
        <v>1</v>
      </c>
      <c r="AH53" s="2881"/>
      <c r="AI53" s="2876">
        <f>COUNTIF(実績!$AE$5:$AE$1474,U53)</f>
        <v>0</v>
      </c>
      <c r="AJ53" s="2957"/>
      <c r="AL53" s="2875"/>
      <c r="AM53" s="2912"/>
      <c r="AN53" s="2913"/>
      <c r="AO53" s="2913"/>
      <c r="AP53" s="2913"/>
      <c r="AQ53" s="2913"/>
      <c r="AR53" s="2913"/>
      <c r="AS53" s="2913"/>
      <c r="AT53" s="2913"/>
      <c r="AU53" s="2913"/>
      <c r="AV53" s="2913"/>
      <c r="AW53" s="2913"/>
      <c r="AX53" s="2914"/>
      <c r="AY53" s="2873"/>
      <c r="AZ53" s="2873"/>
      <c r="BA53" s="2871"/>
      <c r="BB53" s="2915"/>
      <c r="BD53" s="47"/>
      <c r="BE53" s="2912"/>
      <c r="BF53" s="2913"/>
      <c r="BG53" s="2913"/>
      <c r="BH53" s="2913"/>
      <c r="BI53" s="2913"/>
      <c r="BJ53" s="2913"/>
      <c r="BK53" s="2913"/>
      <c r="BL53" s="2913"/>
      <c r="BM53" s="2913"/>
      <c r="BN53" s="2913"/>
      <c r="BO53" s="2913"/>
      <c r="BP53" s="2914"/>
      <c r="BQ53" s="2873"/>
      <c r="BR53" s="2873"/>
      <c r="BS53" s="2871"/>
      <c r="BT53" s="2915"/>
    </row>
    <row r="54" spans="2:72" ht="20.100000000000001" customHeight="1">
      <c r="B54" s="2973"/>
      <c r="C54" s="2877" t="s">
        <v>860</v>
      </c>
      <c r="D54" s="2878"/>
      <c r="E54" s="2878"/>
      <c r="F54" s="2878"/>
      <c r="G54" s="2878"/>
      <c r="H54" s="2878"/>
      <c r="I54" s="2878"/>
      <c r="J54" s="2878"/>
      <c r="K54" s="2878"/>
      <c r="L54" s="2878"/>
      <c r="M54" s="2878"/>
      <c r="N54" s="2879"/>
      <c r="O54" s="2880">
        <f>COUNTIF(実績!$AD$5:$AD$1474,C54)</f>
        <v>0</v>
      </c>
      <c r="P54" s="2881"/>
      <c r="Q54" s="2876">
        <f>COUNTIF(実績!$AE$5:$AE$1474,C54)</f>
        <v>8</v>
      </c>
      <c r="R54" s="2876"/>
      <c r="T54" s="2900"/>
      <c r="U54" s="2885" t="s">
        <v>8754</v>
      </c>
      <c r="V54" s="2878"/>
      <c r="W54" s="2878"/>
      <c r="X54" s="2878"/>
      <c r="Y54" s="2878"/>
      <c r="Z54" s="2878"/>
      <c r="AA54" s="2878"/>
      <c r="AB54" s="2878"/>
      <c r="AC54" s="2878"/>
      <c r="AD54" s="2878"/>
      <c r="AE54" s="2878"/>
      <c r="AF54" s="2879"/>
      <c r="AG54" s="2880">
        <f>COUNTIF(実績!$AD$5:$AD$1474,U54)</f>
        <v>3</v>
      </c>
      <c r="AH54" s="2881"/>
      <c r="AI54" s="2876">
        <f>COUNTIF(実績!$AE$5:$AE$1474,U54)</f>
        <v>0</v>
      </c>
      <c r="AJ54" s="2957"/>
    </row>
    <row r="55" spans="2:72" ht="20.100000000000001" customHeight="1">
      <c r="B55" s="2973"/>
      <c r="C55" s="2877" t="s">
        <v>253</v>
      </c>
      <c r="D55" s="2878"/>
      <c r="E55" s="2878"/>
      <c r="F55" s="2878"/>
      <c r="G55" s="2878"/>
      <c r="H55" s="2878"/>
      <c r="I55" s="2878"/>
      <c r="J55" s="2878"/>
      <c r="K55" s="2878"/>
      <c r="L55" s="2878"/>
      <c r="M55" s="2878"/>
      <c r="N55" s="2879"/>
      <c r="O55" s="2896">
        <f>COUNTIF(実績!$AD$5:$AD$1474,"*株式会社 東京建築検査機構*")</f>
        <v>1</v>
      </c>
      <c r="P55" s="2897"/>
      <c r="Q55" s="2895">
        <f>COUNTIF(実績!$AE$5:$AE$1474,"*株式会社 東京建築検査機構*")</f>
        <v>7</v>
      </c>
      <c r="R55" s="2895"/>
      <c r="T55" s="2900"/>
      <c r="U55" s="2885" t="s">
        <v>1463</v>
      </c>
      <c r="V55" s="2878"/>
      <c r="W55" s="2878"/>
      <c r="X55" s="2878"/>
      <c r="Y55" s="2878"/>
      <c r="Z55" s="2878"/>
      <c r="AA55" s="2878"/>
      <c r="AB55" s="2878"/>
      <c r="AC55" s="2878"/>
      <c r="AD55" s="2878"/>
      <c r="AE55" s="2878"/>
      <c r="AF55" s="2879"/>
      <c r="AG55" s="2880">
        <f>COUNTIF(実績!$AD$5:$AD$1474,U55)</f>
        <v>1</v>
      </c>
      <c r="AH55" s="2881"/>
      <c r="AI55" s="2876">
        <f>COUNTIF(実績!$AE$5:$AE$1474,U55)</f>
        <v>0</v>
      </c>
      <c r="AJ55" s="2957"/>
    </row>
    <row r="56" spans="2:72" ht="20.100000000000001" customHeight="1">
      <c r="B56" s="2973"/>
      <c r="C56" s="2877" t="s">
        <v>5003</v>
      </c>
      <c r="D56" s="2878"/>
      <c r="E56" s="2878"/>
      <c r="F56" s="2878"/>
      <c r="G56" s="2878"/>
      <c r="H56" s="2878"/>
      <c r="I56" s="2878"/>
      <c r="J56" s="2878"/>
      <c r="K56" s="2878"/>
      <c r="L56" s="2878"/>
      <c r="M56" s="2878"/>
      <c r="N56" s="2879"/>
      <c r="O56" s="2880">
        <f>COUNTIF(実績!$AD$5:$AD$1474,C56)</f>
        <v>0</v>
      </c>
      <c r="P56" s="2881"/>
      <c r="Q56" s="2876">
        <f>COUNTIF(実績!$AE$5:$AE$1474,C56)</f>
        <v>1</v>
      </c>
      <c r="R56" s="2876"/>
      <c r="T56" s="2900"/>
      <c r="U56" s="2885" t="s">
        <v>1465</v>
      </c>
      <c r="V56" s="2878"/>
      <c r="W56" s="2878"/>
      <c r="X56" s="2878"/>
      <c r="Y56" s="2878"/>
      <c r="Z56" s="2878"/>
      <c r="AA56" s="2878"/>
      <c r="AB56" s="2878"/>
      <c r="AC56" s="2878"/>
      <c r="AD56" s="2878"/>
      <c r="AE56" s="2878"/>
      <c r="AF56" s="2879"/>
      <c r="AG56" s="2880">
        <f>COUNTIF(実績!$AD$5:$AD$1474,U56)</f>
        <v>0</v>
      </c>
      <c r="AH56" s="2881"/>
      <c r="AI56" s="2876">
        <f>COUNTIF(実績!$AE$5:$AE$1474,U56)</f>
        <v>1</v>
      </c>
      <c r="AJ56" s="2957"/>
    </row>
    <row r="57" spans="2:72" ht="20.100000000000001" customHeight="1">
      <c r="B57" s="2973"/>
      <c r="C57" s="2877" t="s">
        <v>1421</v>
      </c>
      <c r="D57" s="2878"/>
      <c r="E57" s="2878"/>
      <c r="F57" s="2878"/>
      <c r="G57" s="2878"/>
      <c r="H57" s="2878"/>
      <c r="I57" s="2878"/>
      <c r="J57" s="2878"/>
      <c r="K57" s="2878"/>
      <c r="L57" s="2878"/>
      <c r="M57" s="2878"/>
      <c r="N57" s="2879"/>
      <c r="O57" s="2880">
        <f>COUNTIF(実績!$AD$5:$AD$1474,C57)</f>
        <v>3</v>
      </c>
      <c r="P57" s="2881"/>
      <c r="Q57" s="2876">
        <f>COUNTIF(実績!$AE$5:$AE$1474,C57)</f>
        <v>1</v>
      </c>
      <c r="R57" s="2876"/>
      <c r="T57" s="2900"/>
      <c r="U57" s="2885" t="s">
        <v>17524</v>
      </c>
      <c r="V57" s="2878"/>
      <c r="W57" s="2878"/>
      <c r="X57" s="2878"/>
      <c r="Y57" s="2878"/>
      <c r="Z57" s="2878"/>
      <c r="AA57" s="2878"/>
      <c r="AB57" s="2878"/>
      <c r="AC57" s="2878"/>
      <c r="AD57" s="2878"/>
      <c r="AE57" s="2878"/>
      <c r="AF57" s="2879"/>
      <c r="AG57" s="2880">
        <f>COUNTIF(実績!$AD$5:$AD$1474,U57)</f>
        <v>1</v>
      </c>
      <c r="AH57" s="2881"/>
      <c r="AI57" s="2876">
        <f>COUNTIF(実績!$AE$5:$AE$1474,U57)</f>
        <v>1</v>
      </c>
      <c r="AJ57" s="2957"/>
    </row>
    <row r="58" spans="2:72" ht="20.100000000000001" customHeight="1">
      <c r="B58" s="2973"/>
      <c r="C58" s="2877" t="s">
        <v>13952</v>
      </c>
      <c r="D58" s="2878"/>
      <c r="E58" s="2878"/>
      <c r="F58" s="2878"/>
      <c r="G58" s="2878"/>
      <c r="H58" s="2878"/>
      <c r="I58" s="2878"/>
      <c r="J58" s="2878"/>
      <c r="K58" s="2878"/>
      <c r="L58" s="2878"/>
      <c r="M58" s="2878"/>
      <c r="N58" s="2879"/>
      <c r="O58" s="2880">
        <f>COUNTIF(実績!$AD$5:$AD$1474,C58)</f>
        <v>1</v>
      </c>
      <c r="P58" s="2881"/>
      <c r="Q58" s="2876">
        <f>COUNTIF(実績!$AE$5:$AE$1474,C58)</f>
        <v>0</v>
      </c>
      <c r="R58" s="2876"/>
      <c r="T58" s="2900"/>
      <c r="U58" s="2885" t="s">
        <v>10069</v>
      </c>
      <c r="V58" s="2878"/>
      <c r="W58" s="2878"/>
      <c r="X58" s="2878"/>
      <c r="Y58" s="2878"/>
      <c r="Z58" s="2878"/>
      <c r="AA58" s="2878"/>
      <c r="AB58" s="2878"/>
      <c r="AC58" s="2878"/>
      <c r="AD58" s="2878"/>
      <c r="AE58" s="2878"/>
      <c r="AF58" s="2879"/>
      <c r="AG58" s="2880">
        <f>COUNTIF(実績!$AD$5:$AD$1474,U58)</f>
        <v>6</v>
      </c>
      <c r="AH58" s="2881"/>
      <c r="AI58" s="2876">
        <f>COUNTIF(実績!$AE$5:$AE$1474,U58)</f>
        <v>0</v>
      </c>
      <c r="AJ58" s="2957"/>
    </row>
    <row r="59" spans="2:72" ht="20.100000000000001" customHeight="1">
      <c r="B59" s="2973"/>
      <c r="C59" s="2868"/>
      <c r="D59" s="2869"/>
      <c r="E59" s="2869"/>
      <c r="F59" s="2869"/>
      <c r="G59" s="2869"/>
      <c r="H59" s="2869"/>
      <c r="I59" s="2869"/>
      <c r="J59" s="2869"/>
      <c r="K59" s="2869"/>
      <c r="L59" s="2869"/>
      <c r="M59" s="2869"/>
      <c r="N59" s="2870"/>
      <c r="O59" s="2871"/>
      <c r="P59" s="2872"/>
      <c r="Q59" s="2873"/>
      <c r="R59" s="2873"/>
      <c r="T59" s="2874"/>
      <c r="U59" s="2889" t="s">
        <v>8536</v>
      </c>
      <c r="V59" s="2869"/>
      <c r="W59" s="2869"/>
      <c r="X59" s="2869"/>
      <c r="Y59" s="2869"/>
      <c r="Z59" s="2869"/>
      <c r="AA59" s="2869"/>
      <c r="AB59" s="2869"/>
      <c r="AC59" s="2869"/>
      <c r="AD59" s="2869"/>
      <c r="AE59" s="2869"/>
      <c r="AF59" s="2870"/>
      <c r="AG59" s="2871">
        <f>COUNTIF(実績!$AD$5:$AD$1474,U59)</f>
        <v>0</v>
      </c>
      <c r="AH59" s="2872"/>
      <c r="AI59" s="2873">
        <f>COUNTIF(実績!$AE$5:$AE$1474,U59)</f>
        <v>2</v>
      </c>
      <c r="AJ59" s="2906"/>
      <c r="BH59" s="27"/>
      <c r="BI59" s="27"/>
      <c r="BJ59" s="27"/>
      <c r="BK59" s="27"/>
      <c r="BL59" s="27"/>
      <c r="BM59" s="27"/>
      <c r="BN59" s="27"/>
      <c r="BO59" s="27"/>
      <c r="BP59" s="27"/>
      <c r="BQ59" s="7"/>
      <c r="BR59" s="7"/>
      <c r="BS59" s="7"/>
      <c r="BT59" s="7"/>
    </row>
    <row r="60" spans="2:72" ht="20.100000000000001" customHeight="1"/>
    <row r="61" spans="2:72" ht="20.100000000000001" customHeight="1"/>
    <row r="62" spans="2:72" ht="20.100000000000001" customHeight="1"/>
    <row r="63" spans="2:72" ht="20.100000000000001" customHeight="1">
      <c r="M63" s="2962" t="s">
        <v>807</v>
      </c>
      <c r="N63" s="2963"/>
      <c r="O63" s="2963">
        <f>SUM(O5:P59)+SUM(AG5:AH59)+SUM(AY5:AZ55)+SUM(BQ5:BR51)</f>
        <v>1127</v>
      </c>
      <c r="P63" s="2963"/>
      <c r="Q63" s="2963">
        <f>SUM(Q5:R58)+SUM(AI5:AJ59)+SUM(BA5:BB55)+SUM(BS5:BT51)</f>
        <v>739</v>
      </c>
      <c r="R63" s="2963"/>
    </row>
    <row r="64" spans="2:72" ht="20.100000000000001" customHeight="1"/>
    <row r="65" ht="20.100000000000001" customHeight="1"/>
    <row r="66" ht="20.100000000000001" customHeight="1"/>
    <row r="67" ht="20.100000000000001" customHeight="1"/>
    <row r="68" ht="20.100000000000001" customHeight="1"/>
    <row r="69" ht="20.100000000000001" customHeight="1"/>
  </sheetData>
  <mergeCells count="659">
    <mergeCell ref="B34:B35"/>
    <mergeCell ref="C58:N58"/>
    <mergeCell ref="O58:P58"/>
    <mergeCell ref="Q58:R58"/>
    <mergeCell ref="B51:B59"/>
    <mergeCell ref="AI49:AJ49"/>
    <mergeCell ref="AI50:AJ50"/>
    <mergeCell ref="C56:N56"/>
    <mergeCell ref="Q55:R55"/>
    <mergeCell ref="C55:N55"/>
    <mergeCell ref="O37:P37"/>
    <mergeCell ref="O36:P36"/>
    <mergeCell ref="Q38:R38"/>
    <mergeCell ref="Q44:R44"/>
    <mergeCell ref="O49:P49"/>
    <mergeCell ref="Q49:R49"/>
    <mergeCell ref="O48:P48"/>
    <mergeCell ref="O45:P45"/>
    <mergeCell ref="Q47:R47"/>
    <mergeCell ref="Q46:R46"/>
    <mergeCell ref="C47:N47"/>
    <mergeCell ref="C39:N39"/>
    <mergeCell ref="Q39:R39"/>
    <mergeCell ref="O39:P39"/>
    <mergeCell ref="C41:N41"/>
    <mergeCell ref="Q41:R41"/>
    <mergeCell ref="O43:P43"/>
    <mergeCell ref="Q43:R43"/>
    <mergeCell ref="O47:P47"/>
    <mergeCell ref="Q45:R45"/>
    <mergeCell ref="BA53:BB53"/>
    <mergeCell ref="AY47:AZ47"/>
    <mergeCell ref="AY50:AZ50"/>
    <mergeCell ref="BA47:BB47"/>
    <mergeCell ref="AY51:AZ51"/>
    <mergeCell ref="BA51:BB51"/>
    <mergeCell ref="BA50:BB50"/>
    <mergeCell ref="BA49:BB49"/>
    <mergeCell ref="AY46:AZ46"/>
    <mergeCell ref="AY52:AZ52"/>
    <mergeCell ref="BA52:BB52"/>
    <mergeCell ref="C51:N51"/>
    <mergeCell ref="C45:N45"/>
    <mergeCell ref="C43:N43"/>
    <mergeCell ref="C44:N44"/>
    <mergeCell ref="C42:N42"/>
    <mergeCell ref="AM51:AX51"/>
    <mergeCell ref="AM52:AX52"/>
    <mergeCell ref="BQ32:BR32"/>
    <mergeCell ref="BQ37:BR37"/>
    <mergeCell ref="BS48:BT48"/>
    <mergeCell ref="BS29:BT29"/>
    <mergeCell ref="BQ29:BR29"/>
    <mergeCell ref="BS47:BT47"/>
    <mergeCell ref="BS49:BT49"/>
    <mergeCell ref="BQ50:BR50"/>
    <mergeCell ref="O41:P41"/>
    <mergeCell ref="O46:P46"/>
    <mergeCell ref="BA35:BB35"/>
    <mergeCell ref="BA48:BB48"/>
    <mergeCell ref="BA46:BB46"/>
    <mergeCell ref="AM50:AX50"/>
    <mergeCell ref="AM48:AX48"/>
    <mergeCell ref="AY38:AZ38"/>
    <mergeCell ref="BA45:BB45"/>
    <mergeCell ref="AY43:AZ43"/>
    <mergeCell ref="BA41:BB41"/>
    <mergeCell ref="BA37:BB37"/>
    <mergeCell ref="AY49:AZ49"/>
    <mergeCell ref="AY48:AZ48"/>
    <mergeCell ref="AY44:AZ44"/>
    <mergeCell ref="AM38:AX38"/>
    <mergeCell ref="BQ51:BR51"/>
    <mergeCell ref="BS51:BT51"/>
    <mergeCell ref="BQ43:BR43"/>
    <mergeCell ref="BQ47:BR47"/>
    <mergeCell ref="BS35:BT35"/>
    <mergeCell ref="BQ49:BR49"/>
    <mergeCell ref="BQ46:BR46"/>
    <mergeCell ref="BS46:BT46"/>
    <mergeCell ref="BQ35:BR35"/>
    <mergeCell ref="BQ48:BR48"/>
    <mergeCell ref="BS38:BT38"/>
    <mergeCell ref="BS45:BT45"/>
    <mergeCell ref="BS41:BT41"/>
    <mergeCell ref="O8:P8"/>
    <mergeCell ref="O10:P10"/>
    <mergeCell ref="C7:N7"/>
    <mergeCell ref="C16:N16"/>
    <mergeCell ref="Q5:R5"/>
    <mergeCell ref="U6:AF6"/>
    <mergeCell ref="U9:AF9"/>
    <mergeCell ref="AG25:AH25"/>
    <mergeCell ref="C37:N37"/>
    <mergeCell ref="O26:P26"/>
    <mergeCell ref="C27:N27"/>
    <mergeCell ref="Q36:R36"/>
    <mergeCell ref="C26:N26"/>
    <mergeCell ref="C36:N36"/>
    <mergeCell ref="O35:P35"/>
    <mergeCell ref="Q30:R30"/>
    <mergeCell ref="C10:N10"/>
    <mergeCell ref="C9:N9"/>
    <mergeCell ref="C12:N12"/>
    <mergeCell ref="O17:P17"/>
    <mergeCell ref="C19:N19"/>
    <mergeCell ref="C20:N20"/>
    <mergeCell ref="AG35:AH35"/>
    <mergeCell ref="U35:AF35"/>
    <mergeCell ref="O25:P25"/>
    <mergeCell ref="Q23:R23"/>
    <mergeCell ref="C24:N24"/>
    <mergeCell ref="Q22:R22"/>
    <mergeCell ref="Q31:R31"/>
    <mergeCell ref="C35:N35"/>
    <mergeCell ref="O38:P38"/>
    <mergeCell ref="Q37:R37"/>
    <mergeCell ref="O24:P24"/>
    <mergeCell ref="Q25:R25"/>
    <mergeCell ref="Q26:R26"/>
    <mergeCell ref="Q27:R27"/>
    <mergeCell ref="C22:N22"/>
    <mergeCell ref="O22:P22"/>
    <mergeCell ref="C29:N29"/>
    <mergeCell ref="Q29:R29"/>
    <mergeCell ref="O29:P29"/>
    <mergeCell ref="C33:N33"/>
    <mergeCell ref="C34:N34"/>
    <mergeCell ref="C30:N30"/>
    <mergeCell ref="O30:P30"/>
    <mergeCell ref="O34:P34"/>
    <mergeCell ref="Q34:R34"/>
    <mergeCell ref="Q28:R28"/>
    <mergeCell ref="C57:N57"/>
    <mergeCell ref="AG55:AH55"/>
    <mergeCell ref="O55:P55"/>
    <mergeCell ref="Q53:R53"/>
    <mergeCell ref="O54:P54"/>
    <mergeCell ref="AG53:AH53"/>
    <mergeCell ref="C46:N46"/>
    <mergeCell ref="O50:P50"/>
    <mergeCell ref="Q50:R50"/>
    <mergeCell ref="U57:AF57"/>
    <mergeCell ref="AG57:AH57"/>
    <mergeCell ref="T46:T47"/>
    <mergeCell ref="C52:N52"/>
    <mergeCell ref="AG54:AH54"/>
    <mergeCell ref="U52:AF52"/>
    <mergeCell ref="AG52:AH52"/>
    <mergeCell ref="AG50:AH50"/>
    <mergeCell ref="C54:N54"/>
    <mergeCell ref="C53:N53"/>
    <mergeCell ref="O51:P51"/>
    <mergeCell ref="U51:AF51"/>
    <mergeCell ref="U48:AF48"/>
    <mergeCell ref="O52:P52"/>
    <mergeCell ref="M63:N63"/>
    <mergeCell ref="O63:P63"/>
    <mergeCell ref="Q63:R63"/>
    <mergeCell ref="Q54:R54"/>
    <mergeCell ref="O56:P56"/>
    <mergeCell ref="AG59:AH59"/>
    <mergeCell ref="T48:T59"/>
    <mergeCell ref="Q52:R52"/>
    <mergeCell ref="O57:P57"/>
    <mergeCell ref="Q56:R56"/>
    <mergeCell ref="Q57:R57"/>
    <mergeCell ref="AG58:AH58"/>
    <mergeCell ref="U56:AF56"/>
    <mergeCell ref="AG56:AH56"/>
    <mergeCell ref="U58:AF58"/>
    <mergeCell ref="U55:AF55"/>
    <mergeCell ref="U54:AF54"/>
    <mergeCell ref="O53:P53"/>
    <mergeCell ref="U59:AF59"/>
    <mergeCell ref="Q48:R48"/>
    <mergeCell ref="C49:N49"/>
    <mergeCell ref="Q51:R51"/>
    <mergeCell ref="C48:N48"/>
    <mergeCell ref="C50:N50"/>
    <mergeCell ref="AM36:AX36"/>
    <mergeCell ref="AM35:AX35"/>
    <mergeCell ref="AM47:AX47"/>
    <mergeCell ref="AM46:AX46"/>
    <mergeCell ref="BA36:BB36"/>
    <mergeCell ref="BA42:BB42"/>
    <mergeCell ref="BA44:BB44"/>
    <mergeCell ref="AM39:AX39"/>
    <mergeCell ref="AM37:AX37"/>
    <mergeCell ref="AY36:AZ36"/>
    <mergeCell ref="AY35:AZ35"/>
    <mergeCell ref="AY41:AZ41"/>
    <mergeCell ref="AY39:AZ39"/>
    <mergeCell ref="AY40:AZ40"/>
    <mergeCell ref="AY37:AZ37"/>
    <mergeCell ref="AM42:AX42"/>
    <mergeCell ref="AY53:AZ53"/>
    <mergeCell ref="AM45:AX45"/>
    <mergeCell ref="AI51:AJ51"/>
    <mergeCell ref="AG51:AH51"/>
    <mergeCell ref="AI55:AJ55"/>
    <mergeCell ref="AI54:AJ54"/>
    <mergeCell ref="U53:AF53"/>
    <mergeCell ref="AI48:AJ48"/>
    <mergeCell ref="AI47:AJ47"/>
    <mergeCell ref="AY45:AZ45"/>
    <mergeCell ref="AL43:AL53"/>
    <mergeCell ref="AM49:AX49"/>
    <mergeCell ref="U43:AF43"/>
    <mergeCell ref="AI24:AJ24"/>
    <mergeCell ref="AI26:AJ26"/>
    <mergeCell ref="AM34:AX34"/>
    <mergeCell ref="AG17:AH17"/>
    <mergeCell ref="AI59:AJ59"/>
    <mergeCell ref="AI53:AJ53"/>
    <mergeCell ref="AI58:AJ58"/>
    <mergeCell ref="U44:AF44"/>
    <mergeCell ref="AG47:AH47"/>
    <mergeCell ref="U50:AF50"/>
    <mergeCell ref="AG44:AH44"/>
    <mergeCell ref="AI44:AJ44"/>
    <mergeCell ref="AI57:AJ57"/>
    <mergeCell ref="AG49:AH49"/>
    <mergeCell ref="U45:AF45"/>
    <mergeCell ref="AG45:AH45"/>
    <mergeCell ref="U49:AF49"/>
    <mergeCell ref="U46:AF46"/>
    <mergeCell ref="U47:AF47"/>
    <mergeCell ref="AI56:AJ56"/>
    <mergeCell ref="AG48:AH48"/>
    <mergeCell ref="AI52:AJ52"/>
    <mergeCell ref="AG38:AH38"/>
    <mergeCell ref="AM53:AX53"/>
    <mergeCell ref="AI23:AJ23"/>
    <mergeCell ref="AY29:AZ29"/>
    <mergeCell ref="AM31:AX31"/>
    <mergeCell ref="AM14:AX14"/>
    <mergeCell ref="AI35:AJ35"/>
    <mergeCell ref="AL31:AL35"/>
    <mergeCell ref="AI27:AJ27"/>
    <mergeCell ref="AI25:AJ25"/>
    <mergeCell ref="AI46:AJ46"/>
    <mergeCell ref="AM43:AX43"/>
    <mergeCell ref="AL36:AL42"/>
    <mergeCell ref="AI41:AJ41"/>
    <mergeCell ref="AI37:AJ37"/>
    <mergeCell ref="AI40:AJ40"/>
    <mergeCell ref="AI38:AJ38"/>
    <mergeCell ref="AI39:AJ39"/>
    <mergeCell ref="AI42:AJ42"/>
    <mergeCell ref="AM40:AX40"/>
    <mergeCell ref="AI31:AJ31"/>
    <mergeCell ref="AI36:AJ36"/>
    <mergeCell ref="AI45:AJ45"/>
    <mergeCell ref="AM41:AX41"/>
    <mergeCell ref="AM29:AX29"/>
    <mergeCell ref="AL11:AL30"/>
    <mergeCell ref="AY34:AZ34"/>
    <mergeCell ref="AG27:AH27"/>
    <mergeCell ref="AG32:AH32"/>
    <mergeCell ref="AG28:AH28"/>
    <mergeCell ref="AY33:AZ33"/>
    <mergeCell ref="AM33:AX33"/>
    <mergeCell ref="AM27:AX27"/>
    <mergeCell ref="AM28:AX28"/>
    <mergeCell ref="AM30:AX30"/>
    <mergeCell ref="AY32:AZ32"/>
    <mergeCell ref="AM32:AX32"/>
    <mergeCell ref="AI34:AJ34"/>
    <mergeCell ref="AG30:AH30"/>
    <mergeCell ref="AG31:AH31"/>
    <mergeCell ref="AI28:AJ28"/>
    <mergeCell ref="AG29:AH29"/>
    <mergeCell ref="AI30:AJ30"/>
    <mergeCell ref="AY15:AZ15"/>
    <mergeCell ref="AM19:AX19"/>
    <mergeCell ref="AY25:AZ25"/>
    <mergeCell ref="AY22:AZ22"/>
    <mergeCell ref="AM25:AX25"/>
    <mergeCell ref="AM17:AX17"/>
    <mergeCell ref="AM21:AX21"/>
    <mergeCell ref="AM18:AX18"/>
    <mergeCell ref="AM15:AX15"/>
    <mergeCell ref="AM16:AX16"/>
    <mergeCell ref="AM22:AX22"/>
    <mergeCell ref="AY24:AZ24"/>
    <mergeCell ref="AY21:AZ21"/>
    <mergeCell ref="AY16:AZ16"/>
    <mergeCell ref="AM23:AX23"/>
    <mergeCell ref="AY19:AZ19"/>
    <mergeCell ref="AY18:AZ18"/>
    <mergeCell ref="AY17:AZ17"/>
    <mergeCell ref="AY23:AZ23"/>
    <mergeCell ref="AM24:AX24"/>
    <mergeCell ref="B4:N4"/>
    <mergeCell ref="C6:N6"/>
    <mergeCell ref="C5:N5"/>
    <mergeCell ref="O5:P5"/>
    <mergeCell ref="O4:P4"/>
    <mergeCell ref="B5:B33"/>
    <mergeCell ref="C31:N31"/>
    <mergeCell ref="C11:N11"/>
    <mergeCell ref="Q4:R4"/>
    <mergeCell ref="C14:N14"/>
    <mergeCell ref="O15:P15"/>
    <mergeCell ref="C28:N28"/>
    <mergeCell ref="O27:P27"/>
    <mergeCell ref="C21:N21"/>
    <mergeCell ref="C23:N23"/>
    <mergeCell ref="C25:N25"/>
    <mergeCell ref="O21:P21"/>
    <mergeCell ref="O23:P23"/>
    <mergeCell ref="O28:P28"/>
    <mergeCell ref="O31:P31"/>
    <mergeCell ref="Q24:R24"/>
    <mergeCell ref="C13:N13"/>
    <mergeCell ref="O19:P19"/>
    <mergeCell ref="Q14:R14"/>
    <mergeCell ref="C15:N15"/>
    <mergeCell ref="AG22:AH22"/>
    <mergeCell ref="AG16:AH16"/>
    <mergeCell ref="Q7:R7"/>
    <mergeCell ref="U20:AF20"/>
    <mergeCell ref="U19:AF19"/>
    <mergeCell ref="O7:P7"/>
    <mergeCell ref="O12:P12"/>
    <mergeCell ref="O14:P14"/>
    <mergeCell ref="Q21:R21"/>
    <mergeCell ref="O13:P13"/>
    <mergeCell ref="Q10:R10"/>
    <mergeCell ref="U13:AF13"/>
    <mergeCell ref="U10:AF10"/>
    <mergeCell ref="T5:T10"/>
    <mergeCell ref="U14:AF14"/>
    <mergeCell ref="U17:AF17"/>
    <mergeCell ref="O18:P18"/>
    <mergeCell ref="O6:P6"/>
    <mergeCell ref="O11:P11"/>
    <mergeCell ref="C17:N17"/>
    <mergeCell ref="C8:N8"/>
    <mergeCell ref="C18:N18"/>
    <mergeCell ref="O20:P20"/>
    <mergeCell ref="AI6:AJ6"/>
    <mergeCell ref="U18:AF18"/>
    <mergeCell ref="AY4:AZ4"/>
    <mergeCell ref="AY11:AZ11"/>
    <mergeCell ref="AG14:AH14"/>
    <mergeCell ref="AY7:AZ7"/>
    <mergeCell ref="AM8:AX8"/>
    <mergeCell ref="AY8:AZ8"/>
    <mergeCell ref="AI5:AJ5"/>
    <mergeCell ref="AM10:AX10"/>
    <mergeCell ref="AY12:AZ12"/>
    <mergeCell ref="AM9:AX9"/>
    <mergeCell ref="AM7:AX7"/>
    <mergeCell ref="AY13:AZ13"/>
    <mergeCell ref="AM11:AX11"/>
    <mergeCell ref="AM12:AX12"/>
    <mergeCell ref="AG7:AH7"/>
    <mergeCell ref="AG10:AH10"/>
    <mergeCell ref="AI14:AJ14"/>
    <mergeCell ref="AY5:AZ5"/>
    <mergeCell ref="AY6:AZ6"/>
    <mergeCell ref="AG13:AH13"/>
    <mergeCell ref="AG5:AH5"/>
    <mergeCell ref="AG9:AH9"/>
    <mergeCell ref="Q8:R8"/>
    <mergeCell ref="U8:AF8"/>
    <mergeCell ref="Q11:R11"/>
    <mergeCell ref="AG18:AH18"/>
    <mergeCell ref="U11:AF11"/>
    <mergeCell ref="Q6:R6"/>
    <mergeCell ref="U23:AF23"/>
    <mergeCell ref="AC2:AS2"/>
    <mergeCell ref="AI18:AJ18"/>
    <mergeCell ref="AI21:AJ21"/>
    <mergeCell ref="AG11:AH11"/>
    <mergeCell ref="AI11:AJ11"/>
    <mergeCell ref="AG21:AH21"/>
    <mergeCell ref="U21:AF21"/>
    <mergeCell ref="AM5:AX5"/>
    <mergeCell ref="AL4:AX4"/>
    <mergeCell ref="U12:AF12"/>
    <mergeCell ref="AG4:AH4"/>
    <mergeCell ref="AI4:AJ4"/>
    <mergeCell ref="T4:AF4"/>
    <mergeCell ref="AI20:AJ20"/>
    <mergeCell ref="AG19:AH19"/>
    <mergeCell ref="U16:AF16"/>
    <mergeCell ref="AG6:AH6"/>
    <mergeCell ref="O9:P9"/>
    <mergeCell ref="T11:T22"/>
    <mergeCell ref="Q20:R20"/>
    <mergeCell ref="AI17:AJ17"/>
    <mergeCell ref="Q15:R15"/>
    <mergeCell ref="U15:AF15"/>
    <mergeCell ref="AG12:AH12"/>
    <mergeCell ref="AI12:AJ12"/>
    <mergeCell ref="AG20:AH20"/>
    <mergeCell ref="Q12:R12"/>
    <mergeCell ref="Q13:R13"/>
    <mergeCell ref="Q18:R18"/>
    <mergeCell ref="Q17:R17"/>
    <mergeCell ref="AI16:AJ16"/>
    <mergeCell ref="AI9:AJ9"/>
    <mergeCell ref="AI10:AJ10"/>
    <mergeCell ref="O16:P16"/>
    <mergeCell ref="Q9:R9"/>
    <mergeCell ref="U22:AF22"/>
    <mergeCell ref="AI19:AJ19"/>
    <mergeCell ref="AG15:AH15"/>
    <mergeCell ref="AI22:AJ22"/>
    <mergeCell ref="Q16:R16"/>
    <mergeCell ref="Q19:R19"/>
    <mergeCell ref="U5:AF5"/>
    <mergeCell ref="BE14:BP14"/>
    <mergeCell ref="BE10:BP10"/>
    <mergeCell ref="BE15:BP15"/>
    <mergeCell ref="BA12:BB12"/>
    <mergeCell ref="BA5:BB5"/>
    <mergeCell ref="BA7:BB7"/>
    <mergeCell ref="BA6:BB6"/>
    <mergeCell ref="BA16:BB16"/>
    <mergeCell ref="AL5:AL10"/>
    <mergeCell ref="AY10:AZ10"/>
    <mergeCell ref="AM6:AX6"/>
    <mergeCell ref="AI13:AJ13"/>
    <mergeCell ref="BA11:BB11"/>
    <mergeCell ref="AI7:AJ7"/>
    <mergeCell ref="AI8:AJ8"/>
    <mergeCell ref="BE16:BP16"/>
    <mergeCell ref="BE7:BP7"/>
    <mergeCell ref="AG8:AH8"/>
    <mergeCell ref="U7:AF7"/>
    <mergeCell ref="AM13:AX13"/>
    <mergeCell ref="AY9:AZ9"/>
    <mergeCell ref="AI15:AJ15"/>
    <mergeCell ref="AY14:AZ14"/>
    <mergeCell ref="BE36:BP36"/>
    <mergeCell ref="BE45:BP45"/>
    <mergeCell ref="BS50:BT50"/>
    <mergeCell ref="BE49:BP49"/>
    <mergeCell ref="BS32:BT32"/>
    <mergeCell ref="BS40:BT40"/>
    <mergeCell ref="BE39:BP39"/>
    <mergeCell ref="BQ39:BR39"/>
    <mergeCell ref="BE46:BP46"/>
    <mergeCell ref="BE43:BP43"/>
    <mergeCell ref="BE38:BP38"/>
    <mergeCell ref="BE44:BP44"/>
    <mergeCell ref="BQ33:BR33"/>
    <mergeCell ref="BQ34:BR34"/>
    <mergeCell ref="BE33:BP33"/>
    <mergeCell ref="BE40:BP40"/>
    <mergeCell ref="BE32:BP32"/>
    <mergeCell ref="BE37:BP37"/>
    <mergeCell ref="BE47:BP47"/>
    <mergeCell ref="BE41:BP41"/>
    <mergeCell ref="BE34:BP34"/>
    <mergeCell ref="BE35:BP35"/>
    <mergeCell ref="BS33:BT33"/>
    <mergeCell ref="BQ36:BR36"/>
    <mergeCell ref="BS34:BT34"/>
    <mergeCell ref="BS36:BT36"/>
    <mergeCell ref="BS4:BT4"/>
    <mergeCell ref="BQ21:BR21"/>
    <mergeCell ref="BQ9:BR9"/>
    <mergeCell ref="BQ13:BR13"/>
    <mergeCell ref="BQ12:BR12"/>
    <mergeCell ref="BQ10:BR10"/>
    <mergeCell ref="BQ5:BR5"/>
    <mergeCell ref="BS6:BT6"/>
    <mergeCell ref="BS9:BT9"/>
    <mergeCell ref="BQ17:BR17"/>
    <mergeCell ref="BQ6:BR6"/>
    <mergeCell ref="BQ8:BR8"/>
    <mergeCell ref="BS10:BT10"/>
    <mergeCell ref="BS12:BT12"/>
    <mergeCell ref="BS13:BT13"/>
    <mergeCell ref="BS14:BT14"/>
    <mergeCell ref="BS21:BT21"/>
    <mergeCell ref="BS15:BT15"/>
    <mergeCell ref="BS28:BT28"/>
    <mergeCell ref="BS31:BT31"/>
    <mergeCell ref="BQ28:BR28"/>
    <mergeCell ref="BS7:BT7"/>
    <mergeCell ref="BS8:BT8"/>
    <mergeCell ref="BS11:BT11"/>
    <mergeCell ref="BQ15:BR15"/>
    <mergeCell ref="BS16:BT16"/>
    <mergeCell ref="BQ16:BR16"/>
    <mergeCell ref="BS17:BT17"/>
    <mergeCell ref="BQ27:BR27"/>
    <mergeCell ref="BS23:BT23"/>
    <mergeCell ref="BS20:BT20"/>
    <mergeCell ref="BQ19:BR19"/>
    <mergeCell ref="BQ22:BR22"/>
    <mergeCell ref="BS22:BT22"/>
    <mergeCell ref="BS27:BT27"/>
    <mergeCell ref="BS24:BT24"/>
    <mergeCell ref="BS26:BT26"/>
    <mergeCell ref="BS25:BT25"/>
    <mergeCell ref="BQ23:BR23"/>
    <mergeCell ref="BQ20:BR20"/>
    <mergeCell ref="BQ26:BR26"/>
    <mergeCell ref="BS18:BT18"/>
    <mergeCell ref="BQ18:BR18"/>
    <mergeCell ref="BS19:BT19"/>
    <mergeCell ref="BA19:BB19"/>
    <mergeCell ref="BA13:BB13"/>
    <mergeCell ref="BE6:BP6"/>
    <mergeCell ref="BA9:BB9"/>
    <mergeCell ref="BA10:BB10"/>
    <mergeCell ref="BA15:BB15"/>
    <mergeCell ref="BE12:BP12"/>
    <mergeCell ref="BE5:BP5"/>
    <mergeCell ref="BE11:BP11"/>
    <mergeCell ref="BE17:BP17"/>
    <mergeCell ref="BA18:BB18"/>
    <mergeCell ref="BE19:BP19"/>
    <mergeCell ref="BA17:BB17"/>
    <mergeCell ref="BE9:BP9"/>
    <mergeCell ref="BE13:BP13"/>
    <mergeCell ref="BE8:BP8"/>
    <mergeCell ref="BD5:BD18"/>
    <mergeCell ref="BD19:BD23"/>
    <mergeCell ref="BA22:BB22"/>
    <mergeCell ref="BE22:BP22"/>
    <mergeCell ref="BE21:BP21"/>
    <mergeCell ref="BE20:BP20"/>
    <mergeCell ref="BA23:BB23"/>
    <mergeCell ref="BE18:BP18"/>
    <mergeCell ref="BP3:BT3"/>
    <mergeCell ref="AY20:AZ20"/>
    <mergeCell ref="BA20:BB20"/>
    <mergeCell ref="BS5:BT5"/>
    <mergeCell ref="BA38:BB38"/>
    <mergeCell ref="BQ24:BR24"/>
    <mergeCell ref="AM20:AX20"/>
    <mergeCell ref="BQ44:BR44"/>
    <mergeCell ref="BQ41:BR41"/>
    <mergeCell ref="BS39:BT39"/>
    <mergeCell ref="BS30:BT30"/>
    <mergeCell ref="BQ38:BR38"/>
    <mergeCell ref="BA21:BB21"/>
    <mergeCell ref="AM44:AX44"/>
    <mergeCell ref="AY42:AZ42"/>
    <mergeCell ref="BA43:BB43"/>
    <mergeCell ref="BE23:BP23"/>
    <mergeCell ref="BD4:BP4"/>
    <mergeCell ref="BA4:BB4"/>
    <mergeCell ref="BQ4:BR4"/>
    <mergeCell ref="BQ7:BR7"/>
    <mergeCell ref="BQ14:BR14"/>
    <mergeCell ref="BQ11:BR11"/>
    <mergeCell ref="BA8:BB8"/>
    <mergeCell ref="AG37:AH37"/>
    <mergeCell ref="U37:AF37"/>
    <mergeCell ref="AG39:AH39"/>
    <mergeCell ref="T23:T38"/>
    <mergeCell ref="AG23:AH23"/>
    <mergeCell ref="U42:AF42"/>
    <mergeCell ref="AG41:AH41"/>
    <mergeCell ref="U29:AF29"/>
    <mergeCell ref="U41:AF41"/>
    <mergeCell ref="AG36:AH36"/>
    <mergeCell ref="U33:AF33"/>
    <mergeCell ref="U36:AF36"/>
    <mergeCell ref="AG34:AH34"/>
    <mergeCell ref="U31:AF31"/>
    <mergeCell ref="AG33:AH33"/>
    <mergeCell ref="U30:AF30"/>
    <mergeCell ref="BE53:BP53"/>
    <mergeCell ref="BQ53:BR53"/>
    <mergeCell ref="BS53:BT53"/>
    <mergeCell ref="BE48:BP48"/>
    <mergeCell ref="BA40:BB40"/>
    <mergeCell ref="BA39:BB39"/>
    <mergeCell ref="BA33:BB33"/>
    <mergeCell ref="BA30:BB30"/>
    <mergeCell ref="BE51:BP51"/>
    <mergeCell ref="BE50:BP50"/>
    <mergeCell ref="BS44:BT44"/>
    <mergeCell ref="BS42:BT42"/>
    <mergeCell ref="BS43:BT43"/>
    <mergeCell ref="BQ42:BR42"/>
    <mergeCell ref="BS37:BT37"/>
    <mergeCell ref="BQ45:BR45"/>
    <mergeCell ref="BQ52:BR52"/>
    <mergeCell ref="BS52:BT52"/>
    <mergeCell ref="BQ30:BR30"/>
    <mergeCell ref="BQ31:BR31"/>
    <mergeCell ref="BA34:BB34"/>
    <mergeCell ref="BA32:BB32"/>
    <mergeCell ref="BE52:BP52"/>
    <mergeCell ref="BE30:BP30"/>
    <mergeCell ref="BA27:BB27"/>
    <mergeCell ref="BA25:BB25"/>
    <mergeCell ref="BE26:BP26"/>
    <mergeCell ref="BA29:BB29"/>
    <mergeCell ref="BA26:BB26"/>
    <mergeCell ref="BE25:BP25"/>
    <mergeCell ref="BE27:BP27"/>
    <mergeCell ref="BA31:BB31"/>
    <mergeCell ref="AY28:AZ28"/>
    <mergeCell ref="AY27:AZ27"/>
    <mergeCell ref="AY31:AZ31"/>
    <mergeCell ref="AY30:AZ30"/>
    <mergeCell ref="BE31:BP31"/>
    <mergeCell ref="BE28:BP28"/>
    <mergeCell ref="AY26:AZ26"/>
    <mergeCell ref="AM26:AX26"/>
    <mergeCell ref="Q40:R40"/>
    <mergeCell ref="C40:N40"/>
    <mergeCell ref="O40:P40"/>
    <mergeCell ref="BA14:BB14"/>
    <mergeCell ref="BD24:BD30"/>
    <mergeCell ref="BQ40:BR40"/>
    <mergeCell ref="BE42:BP42"/>
    <mergeCell ref="C32:N32"/>
    <mergeCell ref="O32:P32"/>
    <mergeCell ref="Q32:R32"/>
    <mergeCell ref="T39:T45"/>
    <mergeCell ref="AG40:AH40"/>
    <mergeCell ref="AI43:AJ43"/>
    <mergeCell ref="BQ25:BR25"/>
    <mergeCell ref="AI29:AJ29"/>
    <mergeCell ref="BE24:BP24"/>
    <mergeCell ref="BE29:BP29"/>
    <mergeCell ref="BA24:BB24"/>
    <mergeCell ref="BA28:BB28"/>
    <mergeCell ref="AG26:AH26"/>
    <mergeCell ref="Q33:R33"/>
    <mergeCell ref="U32:AF32"/>
    <mergeCell ref="Q35:R35"/>
    <mergeCell ref="C59:N59"/>
    <mergeCell ref="O59:P59"/>
    <mergeCell ref="Q59:R59"/>
    <mergeCell ref="B36:B50"/>
    <mergeCell ref="AI32:AJ32"/>
    <mergeCell ref="AI33:AJ33"/>
    <mergeCell ref="U26:AF26"/>
    <mergeCell ref="U27:AF27"/>
    <mergeCell ref="AG24:AH24"/>
    <mergeCell ref="U28:AF28"/>
    <mergeCell ref="U34:AF34"/>
    <mergeCell ref="U24:AF24"/>
    <mergeCell ref="U25:AF25"/>
    <mergeCell ref="U39:AF39"/>
    <mergeCell ref="U40:AF40"/>
    <mergeCell ref="U38:AF38"/>
    <mergeCell ref="AG43:AH43"/>
    <mergeCell ref="AG42:AH42"/>
    <mergeCell ref="AG46:AH46"/>
    <mergeCell ref="O33:P33"/>
    <mergeCell ref="C38:N38"/>
    <mergeCell ref="O44:P44"/>
    <mergeCell ref="O42:P42"/>
    <mergeCell ref="Q42:R42"/>
  </mergeCells>
  <phoneticPr fontId="4"/>
  <pageMargins left="0.70866141732283472" right="0.70866141732283472" top="0.74803149606299213" bottom="0.74803149606299213" header="0.31496062992125984" footer="0.31496062992125984"/>
  <pageSetup paperSize="9" scale="45" orientation="landscape" r:id="rId1"/>
  <rowBreaks count="1" manualBreakCount="1">
    <brk id="59" max="71" man="1"/>
  </row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3" tint="-0.249977111117893"/>
  </sheetPr>
  <dimension ref="A2:G999"/>
  <sheetViews>
    <sheetView topLeftCell="A958" zoomScale="85" zoomScaleNormal="85" workbookViewId="0">
      <selection activeCell="A998" sqref="A998:A999"/>
    </sheetView>
  </sheetViews>
  <sheetFormatPr defaultColWidth="9" defaultRowHeight="13.5"/>
  <cols>
    <col min="1" max="1" width="57.25" style="10" customWidth="1"/>
    <col min="2" max="4" width="5.625" style="88" customWidth="1"/>
    <col min="5" max="5" width="47.625" style="99" customWidth="1"/>
    <col min="6" max="7" width="33.625" style="99" hidden="1" customWidth="1"/>
    <col min="8" max="16384" width="9" style="99"/>
  </cols>
  <sheetData>
    <row r="2" spans="1:7" ht="13.5" customHeight="1">
      <c r="A2" s="97" t="s">
        <v>6870</v>
      </c>
      <c r="B2" s="97" t="s">
        <v>1117</v>
      </c>
      <c r="C2" s="97" t="s">
        <v>1116</v>
      </c>
      <c r="D2" s="97" t="s">
        <v>5561</v>
      </c>
      <c r="E2" s="97" t="s">
        <v>1383</v>
      </c>
      <c r="F2" s="98" t="s">
        <v>5564</v>
      </c>
      <c r="G2" s="98" t="s">
        <v>6440</v>
      </c>
    </row>
    <row r="3" spans="1:7" ht="13.5" customHeight="1">
      <c r="A3" s="8" t="s">
        <v>2279</v>
      </c>
      <c r="B3" s="9">
        <f>COUNTIF(実績!$R$5:$R$1474,A3)</f>
        <v>1</v>
      </c>
      <c r="C3" s="9">
        <f>COUNTIF(実績!$W$5:$W$1474,A3)</f>
        <v>0</v>
      </c>
      <c r="D3" s="9">
        <f>COUNTIF(実績!$AB$5:$AC$1474,A3)</f>
        <v>0</v>
      </c>
      <c r="E3" s="12" t="s">
        <v>4393</v>
      </c>
      <c r="F3" s="12"/>
      <c r="G3" s="12"/>
    </row>
    <row r="4" spans="1:7" ht="13.5" customHeight="1">
      <c r="A4" s="8" t="s">
        <v>12356</v>
      </c>
      <c r="B4" s="9">
        <f>COUNTIF(実績!$R$5:$R$1474,A4)</f>
        <v>0</v>
      </c>
      <c r="C4" s="9">
        <f>COUNTIF(実績!$W$5:$W$1474,A4)</f>
        <v>1</v>
      </c>
      <c r="D4" s="9">
        <f>COUNTIF(実績!$AB$5:$AC$1474,A4)</f>
        <v>0</v>
      </c>
      <c r="E4" s="12" t="s">
        <v>12357</v>
      </c>
      <c r="F4" s="12"/>
      <c r="G4" s="12"/>
    </row>
    <row r="5" spans="1:7" ht="13.5" customHeight="1">
      <c r="A5" s="8" t="s">
        <v>5161</v>
      </c>
      <c r="B5" s="9">
        <f>COUNTIF(実績!$R$5:$R$1474,A5)</f>
        <v>1</v>
      </c>
      <c r="C5" s="9">
        <f>COUNTIF(実績!$W$5:$W$1474,A5)</f>
        <v>0</v>
      </c>
      <c r="D5" s="9">
        <f>COUNTIF(実績!$AB$5:$AC$1474,A5)</f>
        <v>0</v>
      </c>
      <c r="E5" s="8" t="s">
        <v>5161</v>
      </c>
      <c r="F5" s="12"/>
      <c r="G5" s="12"/>
    </row>
    <row r="6" spans="1:7" ht="13.5" customHeight="1">
      <c r="A6" s="8" t="s">
        <v>4253</v>
      </c>
      <c r="B6" s="9">
        <f>COUNTIF(実績!$R$5:$R$1474,A6)</f>
        <v>0</v>
      </c>
      <c r="C6" s="9">
        <f>COUNTIF(実績!$W$5:$W$1474,A6)</f>
        <v>2</v>
      </c>
      <c r="D6" s="9">
        <f>COUNTIF(実績!$AB$5:$AC$1474,A6)</f>
        <v>0</v>
      </c>
      <c r="E6" s="12" t="s">
        <v>4254</v>
      </c>
      <c r="F6" s="12"/>
      <c r="G6" s="12"/>
    </row>
    <row r="7" spans="1:7">
      <c r="A7" s="8" t="s">
        <v>4373</v>
      </c>
      <c r="B7" s="9">
        <f>COUNTIF(実績!$R$5:$R$1474,A7)</f>
        <v>0</v>
      </c>
      <c r="C7" s="9">
        <f>COUNTIF(実績!$W$5:$W$1474,A7)</f>
        <v>2</v>
      </c>
      <c r="D7" s="9">
        <f>COUNTIF(実績!$AB$5:$AC$1474,A7)</f>
        <v>0</v>
      </c>
      <c r="E7" s="12" t="s">
        <v>4374</v>
      </c>
      <c r="F7" s="12"/>
      <c r="G7" s="12"/>
    </row>
    <row r="8" spans="1:7">
      <c r="A8" s="8" t="s">
        <v>4377</v>
      </c>
      <c r="B8" s="9">
        <f>COUNTIF(実績!$R$5:$R$1474,A8)</f>
        <v>1</v>
      </c>
      <c r="C8" s="9">
        <f>COUNTIF(実績!$W$5:$W$1474,A8)</f>
        <v>0</v>
      </c>
      <c r="D8" s="9">
        <f>COUNTIF(実績!$AB$5:$AC$1474,A8)</f>
        <v>0</v>
      </c>
      <c r="E8" s="8" t="s">
        <v>4377</v>
      </c>
      <c r="F8" s="12"/>
      <c r="G8" s="12"/>
    </row>
    <row r="9" spans="1:7">
      <c r="A9" s="8" t="s">
        <v>7885</v>
      </c>
      <c r="B9" s="9">
        <f>COUNTIF(実績!$R$5:$R$1474,A9)</f>
        <v>1</v>
      </c>
      <c r="C9" s="9">
        <f>COUNTIF(実績!$W$5:$W$1474,A9)</f>
        <v>0</v>
      </c>
      <c r="D9" s="9">
        <f>COUNTIF(実績!$AB$5:$AC$1474,A9)</f>
        <v>0</v>
      </c>
      <c r="E9" s="12" t="s">
        <v>7886</v>
      </c>
      <c r="F9" s="12" t="s">
        <v>5839</v>
      </c>
      <c r="G9" s="12" t="s">
        <v>5839</v>
      </c>
    </row>
    <row r="10" spans="1:7">
      <c r="A10" s="8" t="s">
        <v>4375</v>
      </c>
      <c r="B10" s="9">
        <f>COUNTIF(実績!$R$5:$R$1474,A10)</f>
        <v>0</v>
      </c>
      <c r="C10" s="9">
        <f>COUNTIF(実績!$W$5:$W$1474,A10)</f>
        <v>1</v>
      </c>
      <c r="D10" s="9">
        <f>COUNTIF(実績!$AB$5:$AC$1474,A10)</f>
        <v>0</v>
      </c>
      <c r="E10" s="12" t="s">
        <v>4376</v>
      </c>
      <c r="F10" s="12"/>
      <c r="G10" s="12"/>
    </row>
    <row r="11" spans="1:7">
      <c r="A11" s="8" t="s">
        <v>13637</v>
      </c>
      <c r="B11" s="9">
        <f>COUNTIF(実績!$R$5:$R$1474,A11)</f>
        <v>0</v>
      </c>
      <c r="C11" s="9">
        <f>COUNTIF(実績!$W$5:$W$1474,A11)</f>
        <v>1</v>
      </c>
      <c r="D11" s="9">
        <f>COUNTIF(実績!$AB$5:$AC$1474,A11)</f>
        <v>0</v>
      </c>
      <c r="E11" s="12" t="s">
        <v>13638</v>
      </c>
      <c r="F11" s="12"/>
      <c r="G11" s="12"/>
    </row>
    <row r="12" spans="1:7" ht="13.5" customHeight="1">
      <c r="A12" s="8" t="s">
        <v>4381</v>
      </c>
      <c r="B12" s="9">
        <f>COUNTIF(実績!$R$5:$R$1474,A12)</f>
        <v>0</v>
      </c>
      <c r="C12" s="9">
        <f>COUNTIF(実績!$W$5:$W$1474,A12)</f>
        <v>1</v>
      </c>
      <c r="D12" s="9">
        <f>COUNTIF(実績!$AB$5:$AC$1474,A12)</f>
        <v>0</v>
      </c>
      <c r="E12" s="12" t="s">
        <v>4382</v>
      </c>
      <c r="F12" s="12"/>
      <c r="G12" s="12"/>
    </row>
    <row r="13" spans="1:7">
      <c r="A13" s="8" t="s">
        <v>9048</v>
      </c>
      <c r="B13" s="9">
        <f>COUNTIF(実績!$R$5:$R$1474,A13)</f>
        <v>0</v>
      </c>
      <c r="C13" s="9">
        <f>COUNTIF(実績!$W$5:$W$1474,A13)</f>
        <v>1</v>
      </c>
      <c r="D13" s="9">
        <f>COUNTIF(実績!$AB$5:$AC$1474,A13)</f>
        <v>0</v>
      </c>
      <c r="E13" s="12" t="s">
        <v>9049</v>
      </c>
      <c r="F13" s="12" t="s">
        <v>5839</v>
      </c>
      <c r="G13" s="12" t="s">
        <v>5839</v>
      </c>
    </row>
    <row r="14" spans="1:7" ht="13.5" customHeight="1">
      <c r="A14" s="8" t="s">
        <v>8447</v>
      </c>
      <c r="B14" s="9">
        <f>COUNTIF(実績!$R$5:$R$1474,A14)</f>
        <v>0</v>
      </c>
      <c r="C14" s="9">
        <f>COUNTIF(実績!$W$5:$W$1474,A14)</f>
        <v>1</v>
      </c>
      <c r="D14" s="9">
        <f>COUNTIF(実績!$AB$5:$AC$1474,A14)</f>
        <v>0</v>
      </c>
      <c r="E14" s="12" t="s">
        <v>8448</v>
      </c>
      <c r="F14" s="12" t="s">
        <v>5839</v>
      </c>
      <c r="G14" s="12" t="s">
        <v>5839</v>
      </c>
    </row>
    <row r="15" spans="1:7" ht="13.5" customHeight="1">
      <c r="A15" s="8" t="s">
        <v>756</v>
      </c>
      <c r="B15" s="9">
        <f>COUNTIF(実績!$R$5:$R$1474,A15)</f>
        <v>1</v>
      </c>
      <c r="C15" s="9">
        <f>COUNTIF(実績!$W$5:$W$1474,A15)</f>
        <v>0</v>
      </c>
      <c r="D15" s="9">
        <f>COUNTIF(実績!$AB$5:$AC$1474,A15)</f>
        <v>0</v>
      </c>
      <c r="E15" s="12" t="s">
        <v>4383</v>
      </c>
      <c r="F15" s="12"/>
      <c r="G15" s="12"/>
    </row>
    <row r="16" spans="1:7" ht="13.5" customHeight="1">
      <c r="A16" s="8" t="s">
        <v>676</v>
      </c>
      <c r="B16" s="9">
        <f>COUNTIF(実績!$R$5:$R$1474,A16)</f>
        <v>2</v>
      </c>
      <c r="C16" s="9">
        <f>COUNTIF(実績!$W$5:$W$1474,A16)</f>
        <v>0</v>
      </c>
      <c r="D16" s="9">
        <f>COUNTIF(実績!$AB$5:$AC$1474,A16)</f>
        <v>0</v>
      </c>
      <c r="E16" s="12" t="s">
        <v>4353</v>
      </c>
      <c r="F16" s="12"/>
      <c r="G16" s="12"/>
    </row>
    <row r="17" spans="1:7" ht="13.5" customHeight="1">
      <c r="A17" s="8" t="s">
        <v>6887</v>
      </c>
      <c r="B17" s="9">
        <f>COUNTIF(実績!$R$5:$R$1474,A17)</f>
        <v>0</v>
      </c>
      <c r="C17" s="9">
        <f>COUNTIF(実績!$W$5:$W$1474,A17)</f>
        <v>1</v>
      </c>
      <c r="D17" s="9">
        <f>COUNTIF(実績!$AB$5:$AC$1474,A17)</f>
        <v>0</v>
      </c>
      <c r="E17" s="12" t="s">
        <v>6888</v>
      </c>
      <c r="F17" s="12" t="s">
        <v>5839</v>
      </c>
      <c r="G17" s="12" t="s">
        <v>5839</v>
      </c>
    </row>
    <row r="18" spans="1:7" ht="13.5" customHeight="1">
      <c r="A18" s="8" t="s">
        <v>9223</v>
      </c>
      <c r="B18" s="9">
        <f>COUNTIF(実績!$R$5:$R$1474,A18)</f>
        <v>1</v>
      </c>
      <c r="C18" s="9">
        <f>COUNTIF(実績!$W$5:$W$1474,A18)</f>
        <v>0</v>
      </c>
      <c r="D18" s="9">
        <f>COUNTIF(実績!$AB$5:$AC$1474,A18)</f>
        <v>0</v>
      </c>
      <c r="E18" s="12" t="s">
        <v>9224</v>
      </c>
      <c r="F18" s="12" t="s">
        <v>5839</v>
      </c>
      <c r="G18" s="12" t="s">
        <v>5839</v>
      </c>
    </row>
    <row r="19" spans="1:7" ht="13.5" customHeight="1">
      <c r="A19" s="8" t="s">
        <v>15335</v>
      </c>
      <c r="B19" s="9">
        <f>COUNTIF(実績!$R$5:$R$1474,A19)</f>
        <v>0</v>
      </c>
      <c r="C19" s="9">
        <f>COUNTIF(実績!$W$5:$W$1474,A19)</f>
        <v>1</v>
      </c>
      <c r="D19" s="9">
        <f>COUNTIF(実績!$AB$5:$AC$1474,A19)</f>
        <v>0</v>
      </c>
      <c r="E19" s="12" t="s">
        <v>15335</v>
      </c>
      <c r="F19" s="12"/>
      <c r="G19" s="12"/>
    </row>
    <row r="20" spans="1:7" ht="13.5" customHeight="1">
      <c r="A20" s="8" t="s">
        <v>15136</v>
      </c>
      <c r="B20" s="9">
        <f>COUNTIF(実績!$R$5:$R$1474,A20)</f>
        <v>1</v>
      </c>
      <c r="C20" s="9">
        <f>COUNTIF(実績!$W$5:$W$1474,A20)</f>
        <v>0</v>
      </c>
      <c r="D20" s="9">
        <f>COUNTIF(実績!$AB$5:$AC$1474,A20)</f>
        <v>0</v>
      </c>
      <c r="E20" s="12" t="s">
        <v>15137</v>
      </c>
      <c r="F20" s="12"/>
      <c r="G20" s="12"/>
    </row>
    <row r="21" spans="1:7" ht="13.5" customHeight="1">
      <c r="A21" s="8" t="s">
        <v>11047</v>
      </c>
      <c r="B21" s="9">
        <f>COUNTIF(実績!$R$5:$R$1474,A21)</f>
        <v>1</v>
      </c>
      <c r="C21" s="9">
        <f>COUNTIF(実績!$W$5:$W$1474,A21)</f>
        <v>0</v>
      </c>
      <c r="D21" s="9">
        <f>COUNTIF(実績!$AB$5:$AC$1474,A21)</f>
        <v>0</v>
      </c>
      <c r="E21" s="12" t="s">
        <v>11048</v>
      </c>
      <c r="F21" s="12"/>
      <c r="G21" s="12"/>
    </row>
    <row r="22" spans="1:7" ht="13.5" customHeight="1">
      <c r="A22" s="8" t="s">
        <v>3801</v>
      </c>
      <c r="B22" s="9">
        <f>COUNTIF(実績!$R$5:$R$1474,A22)</f>
        <v>0</v>
      </c>
      <c r="C22" s="9">
        <f>COUNTIF(実績!$W$5:$W$1474,A22)</f>
        <v>8</v>
      </c>
      <c r="D22" s="9">
        <f>COUNTIF(実績!$AB$5:$AC$1474,A22)</f>
        <v>0</v>
      </c>
      <c r="E22" s="12" t="s">
        <v>3804</v>
      </c>
      <c r="F22" s="12" t="s">
        <v>6153</v>
      </c>
      <c r="G22" s="12"/>
    </row>
    <row r="23" spans="1:7" ht="13.5" customHeight="1">
      <c r="A23" s="8" t="s">
        <v>4397</v>
      </c>
      <c r="B23" s="9">
        <f>COUNTIF(実績!$R$5:$R$1474,A23)</f>
        <v>4</v>
      </c>
      <c r="C23" s="9">
        <f>COUNTIF(実績!$W$5:$W$1474,A23)</f>
        <v>0</v>
      </c>
      <c r="D23" s="9">
        <f>COUNTIF(実績!$AB$5:$AC$1474,A23)</f>
        <v>0</v>
      </c>
      <c r="E23" s="12" t="s">
        <v>4391</v>
      </c>
      <c r="F23" s="12"/>
      <c r="G23" s="12"/>
    </row>
    <row r="24" spans="1:7" ht="13.5" customHeight="1">
      <c r="A24" s="8" t="s">
        <v>8430</v>
      </c>
      <c r="B24" s="9">
        <f>COUNTIF(実績!$R$5:$R$1474,A24)</f>
        <v>2</v>
      </c>
      <c r="C24" s="9">
        <f>COUNTIF(実績!$W$5:$W$1474,A24)</f>
        <v>1</v>
      </c>
      <c r="D24" s="9">
        <f>COUNTIF(実績!$AB$5:$AC$1474,A24)</f>
        <v>0</v>
      </c>
      <c r="E24" s="12" t="s">
        <v>8431</v>
      </c>
      <c r="F24" s="12" t="s">
        <v>5839</v>
      </c>
      <c r="G24" s="12" t="s">
        <v>5839</v>
      </c>
    </row>
    <row r="25" spans="1:7" ht="13.5" customHeight="1">
      <c r="A25" s="8" t="s">
        <v>1019</v>
      </c>
      <c r="B25" s="9">
        <f>COUNTIF(実績!$R$5:$R$1474,A25)</f>
        <v>3</v>
      </c>
      <c r="C25" s="9">
        <f>COUNTIF(実績!$W$5:$W$1474,A25)</f>
        <v>3</v>
      </c>
      <c r="D25" s="9">
        <f>COUNTIF(実績!$AB$5:$AC$1474,A25)</f>
        <v>3</v>
      </c>
      <c r="E25" s="12" t="s">
        <v>4392</v>
      </c>
      <c r="F25" s="12"/>
      <c r="G25" s="12"/>
    </row>
    <row r="26" spans="1:7" ht="13.5" customHeight="1">
      <c r="A26" s="8" t="s">
        <v>4394</v>
      </c>
      <c r="B26" s="9">
        <f>COUNTIF(実績!$R$5:$R$1474,A26)</f>
        <v>0</v>
      </c>
      <c r="C26" s="9">
        <f>COUNTIF(実績!$W$5:$W$1474,A26)</f>
        <v>3</v>
      </c>
      <c r="D26" s="9">
        <f>COUNTIF(実績!$AB$5:$AC$1474,A26)</f>
        <v>0</v>
      </c>
      <c r="E26" s="12" t="s">
        <v>4395</v>
      </c>
      <c r="F26" s="12"/>
      <c r="G26" s="12"/>
    </row>
    <row r="27" spans="1:7">
      <c r="A27" s="8" t="s">
        <v>13219</v>
      </c>
      <c r="B27" s="9">
        <f>COUNTIF(実績!$R$5:$R$1474,A27)</f>
        <v>3</v>
      </c>
      <c r="C27" s="9">
        <f>COUNTIF(実績!$W$5:$W$1474,A27)</f>
        <v>0</v>
      </c>
      <c r="D27" s="9">
        <f>COUNTIF(実績!$AB$5:$AC$1474,A27)</f>
        <v>0</v>
      </c>
      <c r="E27" s="12" t="s">
        <v>9434</v>
      </c>
      <c r="F27" s="12" t="s">
        <v>5839</v>
      </c>
      <c r="G27" s="12" t="s">
        <v>5839</v>
      </c>
    </row>
    <row r="28" spans="1:7" ht="13.5" customHeight="1">
      <c r="A28" s="13" t="s">
        <v>4369</v>
      </c>
      <c r="B28" s="9">
        <f>COUNTIF(実績!$R$5:$R$1474,A28)</f>
        <v>3</v>
      </c>
      <c r="C28" s="9">
        <f>COUNTIF(実績!$W$5:$W$1474,A28)</f>
        <v>0</v>
      </c>
      <c r="D28" s="9">
        <f>COUNTIF(実績!$AB$5:$AC$1474,A28)</f>
        <v>0</v>
      </c>
      <c r="E28" s="12" t="s">
        <v>4370</v>
      </c>
      <c r="F28" s="12"/>
      <c r="G28" s="12"/>
    </row>
    <row r="29" spans="1:7" ht="13.5" customHeight="1">
      <c r="A29" s="8" t="s">
        <v>9523</v>
      </c>
      <c r="B29" s="9">
        <f>COUNTIF(実績!$R$5:$R$1474,A29)</f>
        <v>0</v>
      </c>
      <c r="C29" s="9">
        <f>COUNTIF(実績!$W$5:$W$1474,A29)</f>
        <v>2</v>
      </c>
      <c r="D29" s="9">
        <f>COUNTIF(実績!$AB$5:$AC$1474,A29)</f>
        <v>0</v>
      </c>
      <c r="E29" s="12" t="s">
        <v>9524</v>
      </c>
      <c r="F29" s="12" t="s">
        <v>5839</v>
      </c>
      <c r="G29" s="12" t="s">
        <v>5839</v>
      </c>
    </row>
    <row r="30" spans="1:7" ht="13.5" customHeight="1">
      <c r="A30" s="8" t="s">
        <v>4368</v>
      </c>
      <c r="B30" s="9">
        <f>COUNTIF(実績!$R$5:$R$1474,A30)</f>
        <v>0</v>
      </c>
      <c r="C30" s="9">
        <f>COUNTIF(実績!$W$5:$W$1474,A30)</f>
        <v>3</v>
      </c>
      <c r="D30" s="9">
        <f>COUNTIF(実績!$AB$5:$AC$1474,A30)</f>
        <v>0</v>
      </c>
      <c r="E30" s="12" t="s">
        <v>457</v>
      </c>
      <c r="F30" s="12" t="s">
        <v>5563</v>
      </c>
      <c r="G30" s="12"/>
    </row>
    <row r="31" spans="1:7" ht="13.5" customHeight="1">
      <c r="A31" s="8" t="s">
        <v>4371</v>
      </c>
      <c r="B31" s="9">
        <f>COUNTIF(実績!$R$5:$R$1474,A31)</f>
        <v>1</v>
      </c>
      <c r="C31" s="9">
        <f>COUNTIF(実績!$W$5:$W$1474,A31)</f>
        <v>0</v>
      </c>
      <c r="D31" s="9">
        <f>COUNTIF(実績!$AB$5:$AC$1474,A31)</f>
        <v>0</v>
      </c>
      <c r="E31" s="12" t="s">
        <v>4372</v>
      </c>
      <c r="F31" s="12"/>
      <c r="G31" s="12"/>
    </row>
    <row r="32" spans="1:7" ht="13.5" customHeight="1">
      <c r="A32" s="8" t="s">
        <v>4364</v>
      </c>
      <c r="B32" s="9">
        <f>COUNTIF(実績!$R$5:$R$1474,A32)</f>
        <v>0</v>
      </c>
      <c r="C32" s="9">
        <f>COUNTIF(実績!$W$5:$W$1474,A32)</f>
        <v>1</v>
      </c>
      <c r="D32" s="9">
        <f>COUNTIF(実績!$AB$5:$AC$1474,A32)</f>
        <v>0</v>
      </c>
      <c r="E32" s="12" t="s">
        <v>4365</v>
      </c>
      <c r="F32" s="12"/>
      <c r="G32" s="12"/>
    </row>
    <row r="33" spans="1:7">
      <c r="A33" s="8" t="s">
        <v>9045</v>
      </c>
      <c r="B33" s="9">
        <f>COUNTIF(実績!$R$5:$R$1474,A33)</f>
        <v>1</v>
      </c>
      <c r="C33" s="9">
        <f>COUNTIF(実績!$W$5:$W$1474,A33)</f>
        <v>0</v>
      </c>
      <c r="D33" s="9">
        <f>COUNTIF(実績!$AB$5:$AC$1474,A33)</f>
        <v>0</v>
      </c>
      <c r="E33" s="12" t="s">
        <v>9047</v>
      </c>
      <c r="F33" s="12" t="s">
        <v>5839</v>
      </c>
      <c r="G33" s="12" t="s">
        <v>5839</v>
      </c>
    </row>
    <row r="34" spans="1:7" ht="13.5" customHeight="1">
      <c r="A34" s="8" t="s">
        <v>7548</v>
      </c>
      <c r="B34" s="9">
        <f>COUNTIF(実績!$R$5:$R$1474,A34)</f>
        <v>0</v>
      </c>
      <c r="C34" s="9">
        <f>COUNTIF(実績!$W$5:$W$1474,A34)</f>
        <v>2</v>
      </c>
      <c r="D34" s="9">
        <f>COUNTIF(実績!$AB$5:$AC$1474,A34)</f>
        <v>0</v>
      </c>
      <c r="E34" s="12" t="s">
        <v>7548</v>
      </c>
      <c r="F34" s="12" t="s">
        <v>5839</v>
      </c>
      <c r="G34" s="12" t="s">
        <v>5839</v>
      </c>
    </row>
    <row r="35" spans="1:7" ht="13.5" customHeight="1">
      <c r="A35" s="8" t="s">
        <v>5846</v>
      </c>
      <c r="B35" s="9">
        <f>COUNTIF(実績!$R$5:$R$1474,A35)</f>
        <v>0</v>
      </c>
      <c r="C35" s="9">
        <f>COUNTIF(実績!$W$5:$W$1474,A35)</f>
        <v>1</v>
      </c>
      <c r="D35" s="9">
        <f>COUNTIF(実績!$AB$5:$AC$1474,A35)</f>
        <v>0</v>
      </c>
      <c r="E35" s="12" t="s">
        <v>5847</v>
      </c>
      <c r="F35" s="12" t="s">
        <v>5839</v>
      </c>
      <c r="G35" s="12"/>
    </row>
    <row r="36" spans="1:7" ht="13.5" customHeight="1">
      <c r="A36" s="8" t="s">
        <v>3043</v>
      </c>
      <c r="B36" s="9">
        <f>COUNTIF(実績!$R$5:$R$1474,A36)</f>
        <v>1</v>
      </c>
      <c r="C36" s="9">
        <f>COUNTIF(実績!$W$5:$W$1474,A36)</f>
        <v>0</v>
      </c>
      <c r="D36" s="9">
        <f>COUNTIF(実績!$AB$5:$AC$1474,A36)</f>
        <v>0</v>
      </c>
      <c r="E36" s="12" t="s">
        <v>3044</v>
      </c>
      <c r="F36" s="12"/>
      <c r="G36" s="12"/>
    </row>
    <row r="37" spans="1:7" ht="13.5" customHeight="1">
      <c r="A37" s="8" t="s">
        <v>16190</v>
      </c>
      <c r="B37" s="9">
        <f>COUNTIF(実績!$R$5:$R$1474,A37)</f>
        <v>4</v>
      </c>
      <c r="C37" s="9">
        <f>COUNTIF(実績!$W$5:$W$1474,A37)</f>
        <v>0</v>
      </c>
      <c r="D37" s="9">
        <f>COUNTIF(実績!$AB$5:$AC$1474,A37)</f>
        <v>1</v>
      </c>
      <c r="E37" s="12" t="s">
        <v>10847</v>
      </c>
      <c r="F37" s="12"/>
      <c r="G37" s="12"/>
    </row>
    <row r="38" spans="1:7" ht="13.5" customHeight="1">
      <c r="A38" s="8" t="s">
        <v>7671</v>
      </c>
      <c r="B38" s="9">
        <f>COUNTIF(実績!$R$5:$R$1474,A38)</f>
        <v>0</v>
      </c>
      <c r="C38" s="9">
        <f>COUNTIF(実績!$W$5:$W$1474,A38)</f>
        <v>1</v>
      </c>
      <c r="D38" s="9">
        <f>COUNTIF(実績!$AB$5:$AC$1474,A38)</f>
        <v>0</v>
      </c>
      <c r="E38" s="12" t="s">
        <v>7672</v>
      </c>
      <c r="F38" s="12" t="s">
        <v>5839</v>
      </c>
      <c r="G38" s="12" t="s">
        <v>5839</v>
      </c>
    </row>
    <row r="39" spans="1:7" ht="13.5" customHeight="1">
      <c r="A39" s="8" t="s">
        <v>10604</v>
      </c>
      <c r="B39" s="9">
        <f>COUNTIF(実績!$R$5:$R$1474,A39)</f>
        <v>0</v>
      </c>
      <c r="C39" s="9">
        <f>COUNTIF(実績!$W$5:$W$1474,A39)</f>
        <v>1</v>
      </c>
      <c r="D39" s="9">
        <f>COUNTIF(実績!$AB$5:$AC$1474,A39)</f>
        <v>0</v>
      </c>
      <c r="E39" s="12" t="s">
        <v>10605</v>
      </c>
      <c r="F39" s="12"/>
      <c r="G39" s="12"/>
    </row>
    <row r="40" spans="1:7" ht="13.5" customHeight="1">
      <c r="A40" s="8" t="s">
        <v>752</v>
      </c>
      <c r="B40" s="9">
        <f>COUNTIF(実績!$R$5:$R$1474,A40)</f>
        <v>1</v>
      </c>
      <c r="C40" s="9">
        <f>COUNTIF(実績!$W$5:$W$1474,A40)</f>
        <v>0</v>
      </c>
      <c r="D40" s="9">
        <f>COUNTIF(実績!$AB$5:$AC$1474,A40)</f>
        <v>0</v>
      </c>
      <c r="E40" s="12" t="s">
        <v>4385</v>
      </c>
      <c r="F40" s="12"/>
      <c r="G40" s="12"/>
    </row>
    <row r="41" spans="1:7" ht="13.5" customHeight="1">
      <c r="A41" s="8" t="s">
        <v>5144</v>
      </c>
      <c r="B41" s="9">
        <f>COUNTIF(実績!$R$5:$R$1474,A41)</f>
        <v>1</v>
      </c>
      <c r="C41" s="9">
        <f>COUNTIF(実績!$W$5:$W$1474,A41)</f>
        <v>0</v>
      </c>
      <c r="D41" s="9">
        <f>COUNTIF(実績!$AB$5:$AC$1474,A41)</f>
        <v>0</v>
      </c>
      <c r="E41" s="12" t="s">
        <v>5145</v>
      </c>
      <c r="F41" s="12"/>
      <c r="G41" s="12"/>
    </row>
    <row r="42" spans="1:7" ht="13.5" customHeight="1">
      <c r="A42" s="8" t="s">
        <v>6989</v>
      </c>
      <c r="B42" s="9">
        <f>COUNTIF(実績!$R$5:$R$1474,A42)</f>
        <v>0</v>
      </c>
      <c r="C42" s="9">
        <f>COUNTIF(実績!$W$5:$W$1474,A42)</f>
        <v>1</v>
      </c>
      <c r="D42" s="9">
        <f>COUNTIF(実績!$AB$5:$AC$1474,A42)</f>
        <v>0</v>
      </c>
      <c r="E42" s="12" t="s">
        <v>6989</v>
      </c>
      <c r="F42" s="12" t="s">
        <v>5839</v>
      </c>
      <c r="G42" s="12" t="s">
        <v>5839</v>
      </c>
    </row>
    <row r="43" spans="1:7" ht="13.5" customHeight="1">
      <c r="A43" s="8" t="s">
        <v>3599</v>
      </c>
      <c r="B43" s="9">
        <f>COUNTIF(実績!$R$5:$R$1474,A43)</f>
        <v>1</v>
      </c>
      <c r="C43" s="9">
        <f>COUNTIF(実績!$W$5:$W$1474,A43)</f>
        <v>0</v>
      </c>
      <c r="D43" s="9">
        <f>COUNTIF(実績!$AB$5:$AC$1474,A43)</f>
        <v>0</v>
      </c>
      <c r="E43" s="12" t="s">
        <v>3600</v>
      </c>
      <c r="F43" s="12"/>
      <c r="G43" s="12"/>
    </row>
    <row r="44" spans="1:7" ht="13.5" customHeight="1">
      <c r="A44" s="8" t="s">
        <v>4399</v>
      </c>
      <c r="B44" s="9">
        <f>COUNTIF(実績!$R$5:$R$1474,A44)</f>
        <v>1</v>
      </c>
      <c r="C44" s="9">
        <f>COUNTIF(実績!$W$5:$W$1474,A44)</f>
        <v>0</v>
      </c>
      <c r="D44" s="9">
        <f>COUNTIF(実績!$AB$5:$AC$1474,A44)</f>
        <v>0</v>
      </c>
      <c r="E44" s="12" t="s">
        <v>4400</v>
      </c>
      <c r="F44" s="12"/>
      <c r="G44" s="12"/>
    </row>
    <row r="45" spans="1:7" ht="13.5" customHeight="1">
      <c r="A45" s="8" t="s">
        <v>4398</v>
      </c>
      <c r="B45" s="9">
        <f>COUNTIF(実績!$R$5:$R$1474,A45)</f>
        <v>0</v>
      </c>
      <c r="C45" s="9">
        <f>COUNTIF(実績!$W$5:$W$1474,A45)</f>
        <v>1</v>
      </c>
      <c r="D45" s="9">
        <f>COUNTIF(実績!$AB$5:$AC$1474,A45)</f>
        <v>0</v>
      </c>
      <c r="E45" s="12" t="s">
        <v>3066</v>
      </c>
      <c r="F45" s="12"/>
      <c r="G45" s="12"/>
    </row>
    <row r="46" spans="1:7" ht="13.5" customHeight="1">
      <c r="A46" s="8" t="s">
        <v>8669</v>
      </c>
      <c r="B46" s="9">
        <f>COUNTIF(実績!$R$5:$R$1474,A46)</f>
        <v>0</v>
      </c>
      <c r="C46" s="9">
        <f>COUNTIF(実績!$W$5:$W$1474,A46)</f>
        <v>1</v>
      </c>
      <c r="D46" s="9">
        <f>COUNTIF(実績!$AB$5:$AC$1474,A46)</f>
        <v>0</v>
      </c>
      <c r="E46" s="12" t="s">
        <v>8670</v>
      </c>
      <c r="F46" s="12" t="s">
        <v>5839</v>
      </c>
      <c r="G46" s="12" t="s">
        <v>5839</v>
      </c>
    </row>
    <row r="47" spans="1:7" ht="13.5" customHeight="1">
      <c r="A47" s="8" t="s">
        <v>4091</v>
      </c>
      <c r="B47" s="9">
        <f>COUNTIF(実績!$R$5:$R$1474,A47)</f>
        <v>1</v>
      </c>
      <c r="C47" s="9">
        <f>COUNTIF(実績!$W$5:$W$1474,A47)</f>
        <v>0</v>
      </c>
      <c r="D47" s="9">
        <f>COUNTIF(実績!$AB$5:$AC$1474,A47)</f>
        <v>0</v>
      </c>
      <c r="E47" s="12" t="s">
        <v>4092</v>
      </c>
      <c r="F47" s="12"/>
      <c r="G47" s="12"/>
    </row>
    <row r="48" spans="1:7" ht="13.5" customHeight="1">
      <c r="A48" s="8" t="s">
        <v>9861</v>
      </c>
      <c r="B48" s="9">
        <f>COUNTIF(実績!$R$5:$R$1474,A48)</f>
        <v>0</v>
      </c>
      <c r="C48" s="9">
        <f>COUNTIF(実績!$W$5:$W$1474,A48)</f>
        <v>1</v>
      </c>
      <c r="D48" s="9">
        <f>COUNTIF(実績!$AB$5:$AC$1474,A48)</f>
        <v>0</v>
      </c>
      <c r="E48" s="12" t="s">
        <v>9862</v>
      </c>
      <c r="F48" s="12"/>
      <c r="G48" s="12"/>
    </row>
    <row r="49" spans="1:7" ht="13.5" customHeight="1">
      <c r="A49" s="8" t="s">
        <v>2975</v>
      </c>
      <c r="B49" s="9">
        <f>COUNTIF(実績!$R$5:$R$1474,A49)</f>
        <v>6</v>
      </c>
      <c r="C49" s="9">
        <f>COUNTIF(実績!$W$5:$W$1474,A49)</f>
        <v>0</v>
      </c>
      <c r="D49" s="9">
        <f>COUNTIF(実績!$AB$5:$AC$1474,A49)</f>
        <v>0</v>
      </c>
      <c r="E49" s="12" t="s">
        <v>2976</v>
      </c>
      <c r="F49" s="12"/>
      <c r="G49" s="12"/>
    </row>
    <row r="50" spans="1:7" ht="13.5" customHeight="1">
      <c r="A50" s="8" t="s">
        <v>3601</v>
      </c>
      <c r="B50" s="9">
        <f>COUNTIF(実績!$R$5:$R$1474,A50)</f>
        <v>0</v>
      </c>
      <c r="C50" s="9">
        <f>COUNTIF(実績!$W$5:$W$1474,A50)</f>
        <v>5</v>
      </c>
      <c r="D50" s="9">
        <f>COUNTIF(実績!$AB$5:$AC$1474,A50)</f>
        <v>0</v>
      </c>
      <c r="E50" s="12" t="s">
        <v>3602</v>
      </c>
      <c r="F50" s="12"/>
      <c r="G50" s="12"/>
    </row>
    <row r="51" spans="1:7" ht="13.5" customHeight="1">
      <c r="A51" s="8" t="s">
        <v>14344</v>
      </c>
      <c r="B51" s="9">
        <f>COUNTIF(実績!$R$5:$R$1474,A51)</f>
        <v>0</v>
      </c>
      <c r="C51" s="9">
        <f>COUNTIF(実績!$W$5:$W$1474,A51)</f>
        <v>1</v>
      </c>
      <c r="D51" s="9">
        <f>COUNTIF(実績!$AB$5:$AC$1474,A51)</f>
        <v>0</v>
      </c>
      <c r="E51" s="12" t="s">
        <v>14345</v>
      </c>
      <c r="F51" s="12"/>
      <c r="G51" s="12"/>
    </row>
    <row r="52" spans="1:7">
      <c r="A52" s="8" t="s">
        <v>3242</v>
      </c>
      <c r="B52" s="9">
        <f>COUNTIF(実績!$R$5:$R$1474,A52)</f>
        <v>1</v>
      </c>
      <c r="C52" s="9">
        <f>COUNTIF(実績!$W$5:$W$1474,A52)</f>
        <v>0</v>
      </c>
      <c r="D52" s="9">
        <f>COUNTIF(実績!$AB$5:$AC$1474,A52)</f>
        <v>0</v>
      </c>
      <c r="E52" s="12" t="s">
        <v>4350</v>
      </c>
      <c r="F52" s="12"/>
      <c r="G52" s="12"/>
    </row>
    <row r="53" spans="1:7" ht="13.5" customHeight="1">
      <c r="A53" s="8" t="s">
        <v>4804</v>
      </c>
      <c r="B53" s="9">
        <f>COUNTIF(実績!$R$5:$R$1474,A53)</f>
        <v>5</v>
      </c>
      <c r="C53" s="9">
        <f>COUNTIF(実績!$W$5:$W$1474,A53)</f>
        <v>0</v>
      </c>
      <c r="D53" s="9">
        <f>COUNTIF(実績!$AB$5:$AC$1474,A53)</f>
        <v>0</v>
      </c>
      <c r="E53" s="12" t="s">
        <v>4804</v>
      </c>
      <c r="F53" s="12"/>
      <c r="G53" s="12"/>
    </row>
    <row r="54" spans="1:7" ht="13.5" customHeight="1">
      <c r="A54" s="8" t="s">
        <v>15911</v>
      </c>
      <c r="B54" s="9">
        <f>COUNTIF(実績!$R$5:$R$1474,A54)</f>
        <v>0</v>
      </c>
      <c r="C54" s="9">
        <f>COUNTIF(実績!$W$5:$W$1474,A54)</f>
        <v>2</v>
      </c>
      <c r="D54" s="9">
        <f>COUNTIF(実績!$AB$5:$AC$1474,A54)</f>
        <v>0</v>
      </c>
      <c r="E54" s="12" t="s">
        <v>4401</v>
      </c>
      <c r="F54" s="12"/>
      <c r="G54" s="12"/>
    </row>
    <row r="55" spans="1:7" ht="13.5" customHeight="1">
      <c r="A55" s="8" t="s">
        <v>4799</v>
      </c>
      <c r="B55" s="9">
        <f>COUNTIF(実績!$R$5:$R$1474,A55)</f>
        <v>0</v>
      </c>
      <c r="C55" s="9">
        <f>COUNTIF(実績!$W$5:$W$1474,A55)</f>
        <v>1</v>
      </c>
      <c r="D55" s="9">
        <f>COUNTIF(実績!$AB$5:$AC$1474,A55)</f>
        <v>0</v>
      </c>
      <c r="E55" s="12" t="s">
        <v>4801</v>
      </c>
      <c r="F55" s="12"/>
      <c r="G55" s="12"/>
    </row>
    <row r="56" spans="1:7" ht="13.5" customHeight="1">
      <c r="A56" s="8" t="s">
        <v>8921</v>
      </c>
      <c r="B56" s="9">
        <f>COUNTIF(実績!$R$5:$R$1474,A56)</f>
        <v>0</v>
      </c>
      <c r="C56" s="9">
        <f>COUNTIF(実績!$W$5:$W$1474,A56)</f>
        <v>2</v>
      </c>
      <c r="D56" s="9">
        <f>COUNTIF(実績!$AB$5:$AC$1474,A56)</f>
        <v>0</v>
      </c>
      <c r="E56" s="12" t="s">
        <v>8929</v>
      </c>
      <c r="F56" s="12" t="s">
        <v>5839</v>
      </c>
      <c r="G56" s="12" t="s">
        <v>5839</v>
      </c>
    </row>
    <row r="57" spans="1:7" ht="13.5" customHeight="1">
      <c r="A57" s="8" t="s">
        <v>6109</v>
      </c>
      <c r="B57" s="9">
        <f>COUNTIF(実績!$R$5:$R$1474,A57)</f>
        <v>0</v>
      </c>
      <c r="C57" s="9">
        <f>COUNTIF(実績!$W$5:$W$1474,A57)</f>
        <v>3</v>
      </c>
      <c r="D57" s="9">
        <f>COUNTIF(実績!$AB$5:$AC$1474,A57)</f>
        <v>0</v>
      </c>
      <c r="E57" s="12" t="s">
        <v>6110</v>
      </c>
      <c r="F57" s="12" t="s">
        <v>5839</v>
      </c>
      <c r="G57" s="12"/>
    </row>
    <row r="58" spans="1:7" ht="13.5" customHeight="1">
      <c r="A58" s="8" t="s">
        <v>8149</v>
      </c>
      <c r="B58" s="9">
        <f>COUNTIF(実績!$R$5:$R$1474,A58)</f>
        <v>1</v>
      </c>
      <c r="C58" s="9">
        <f>COUNTIF(実績!$W$5:$W$1474,A58)</f>
        <v>0</v>
      </c>
      <c r="D58" s="9">
        <f>COUNTIF(実績!$AB$5:$AC$1474,A58)</f>
        <v>0</v>
      </c>
      <c r="E58" s="12" t="s">
        <v>8152</v>
      </c>
      <c r="F58" s="12" t="s">
        <v>5839</v>
      </c>
      <c r="G58" s="12" t="s">
        <v>5839</v>
      </c>
    </row>
    <row r="59" spans="1:7" ht="13.5" customHeight="1">
      <c r="A59" s="8" t="s">
        <v>4507</v>
      </c>
      <c r="B59" s="9">
        <f>COUNTIF(実績!$R$5:$R$1474,A59)</f>
        <v>0</v>
      </c>
      <c r="C59" s="9">
        <f>COUNTIF(実績!$W$5:$W$1474,A59)</f>
        <v>1</v>
      </c>
      <c r="D59" s="9">
        <f>COUNTIF(実績!$AB$5:$AC$1474,A59)</f>
        <v>0</v>
      </c>
      <c r="E59" s="12" t="s">
        <v>4508</v>
      </c>
      <c r="F59" s="12"/>
      <c r="G59" s="12"/>
    </row>
    <row r="60" spans="1:7">
      <c r="A60" s="8" t="s">
        <v>1105</v>
      </c>
      <c r="B60" s="9">
        <f>COUNTIF(実績!$R$5:$R$1474,A60)</f>
        <v>2</v>
      </c>
      <c r="C60" s="9">
        <f>COUNTIF(実績!$W$5:$W$1474,A60)</f>
        <v>0</v>
      </c>
      <c r="D60" s="9">
        <f>COUNTIF(実績!$AB$5:$AC$1474,A60)</f>
        <v>0</v>
      </c>
      <c r="E60" s="12" t="s">
        <v>1255</v>
      </c>
      <c r="F60" s="12"/>
      <c r="G60" s="12"/>
    </row>
    <row r="61" spans="1:7" ht="13.5" customHeight="1">
      <c r="A61" s="8" t="s">
        <v>5437</v>
      </c>
      <c r="B61" s="9">
        <f>COUNTIF(実績!$R$5:$R$1474,A61)</f>
        <v>7</v>
      </c>
      <c r="C61" s="9">
        <f>COUNTIF(実績!$W$5:$W$1474,A61)</f>
        <v>0</v>
      </c>
      <c r="D61" s="9">
        <f>COUNTIF(実績!$AB$5:$AC$1474,A61)</f>
        <v>0</v>
      </c>
      <c r="E61" s="12" t="s">
        <v>5438</v>
      </c>
      <c r="F61" s="12"/>
      <c r="G61" s="12"/>
    </row>
    <row r="62" spans="1:7" ht="13.5" customHeight="1">
      <c r="A62" s="8" t="s">
        <v>1680</v>
      </c>
      <c r="B62" s="9">
        <f>COUNTIF(実績!$R$5:$R$1474,A62)</f>
        <v>1</v>
      </c>
      <c r="C62" s="9">
        <f>COUNTIF(実績!$W$5:$W$1474,A62)</f>
        <v>0</v>
      </c>
      <c r="D62" s="9">
        <f>COUNTIF(実績!$AB$5:$AC$1474,A62)</f>
        <v>0</v>
      </c>
      <c r="E62" s="12" t="s">
        <v>1681</v>
      </c>
      <c r="F62" s="12"/>
      <c r="G62" s="12"/>
    </row>
    <row r="63" spans="1:7" ht="13.5" customHeight="1">
      <c r="A63" s="8" t="s">
        <v>1698</v>
      </c>
      <c r="B63" s="9">
        <f>COUNTIF(実績!$R$5:$R$1474,A63)</f>
        <v>7</v>
      </c>
      <c r="C63" s="9">
        <f>COUNTIF(実績!$W$5:$W$1474,A63)</f>
        <v>5</v>
      </c>
      <c r="D63" s="9">
        <f>COUNTIF(実績!$AB$5:$AC$1474,A63)</f>
        <v>0</v>
      </c>
      <c r="E63" s="12" t="s">
        <v>1699</v>
      </c>
      <c r="F63" s="12" t="s">
        <v>5777</v>
      </c>
      <c r="G63" s="12"/>
    </row>
    <row r="64" spans="1:7">
      <c r="A64" s="8" t="s">
        <v>10030</v>
      </c>
      <c r="B64" s="9">
        <f>COUNTIF(実績!$R$5:$R$1474,A64)</f>
        <v>0</v>
      </c>
      <c r="C64" s="9">
        <f>COUNTIF(実績!$W$5:$W$1474,A64)</f>
        <v>1</v>
      </c>
      <c r="D64" s="9">
        <f>COUNTIF(実績!$AB$5:$AC$1474,A64)</f>
        <v>0</v>
      </c>
      <c r="E64" s="12" t="s">
        <v>10031</v>
      </c>
      <c r="F64" s="12"/>
      <c r="G64" s="12"/>
    </row>
    <row r="65" spans="1:7">
      <c r="A65" s="8" t="s">
        <v>9694</v>
      </c>
      <c r="B65" s="9">
        <f>COUNTIF(実績!$R$5:$R$1474,A65)</f>
        <v>1</v>
      </c>
      <c r="C65" s="9">
        <f>COUNTIF(実績!$W$5:$W$1474,A65)</f>
        <v>0</v>
      </c>
      <c r="D65" s="9">
        <f>COUNTIF(実績!$AB$5:$AC$1474,A65)</f>
        <v>0</v>
      </c>
      <c r="E65" s="12" t="s">
        <v>9695</v>
      </c>
      <c r="F65" s="12"/>
      <c r="G65" s="12"/>
    </row>
    <row r="66" spans="1:7">
      <c r="A66" s="8" t="s">
        <v>658</v>
      </c>
      <c r="B66" s="9">
        <f>COUNTIF(実績!$R$5:$R$1474,A66)</f>
        <v>2</v>
      </c>
      <c r="C66" s="9">
        <f>COUNTIF(実績!$W$5:$W$1474,A66)</f>
        <v>0</v>
      </c>
      <c r="D66" s="9">
        <f>COUNTIF(実績!$AB$5:$AC$1474,A66)</f>
        <v>1</v>
      </c>
      <c r="E66" s="12" t="s">
        <v>1256</v>
      </c>
      <c r="F66" s="12"/>
      <c r="G66" s="12"/>
    </row>
    <row r="67" spans="1:7">
      <c r="A67" s="8" t="s">
        <v>3406</v>
      </c>
      <c r="B67" s="9">
        <f>COUNTIF(実績!$R$5:$R$1474,A67)</f>
        <v>0</v>
      </c>
      <c r="C67" s="9">
        <f>COUNTIF(実績!$W$5:$W$1474,A67)</f>
        <v>1</v>
      </c>
      <c r="D67" s="9">
        <f>COUNTIF(実績!$AB$5:$AC$1474,A67)</f>
        <v>0</v>
      </c>
      <c r="E67" s="12" t="s">
        <v>3407</v>
      </c>
      <c r="F67" s="12"/>
      <c r="G67" s="12"/>
    </row>
    <row r="68" spans="1:7">
      <c r="A68" s="13" t="s">
        <v>1622</v>
      </c>
      <c r="B68" s="9">
        <f>COUNTIF(実績!$R$5:$R$1474,A68)</f>
        <v>0</v>
      </c>
      <c r="C68" s="9">
        <f>COUNTIF(実績!$W$5:$W$1474,A68)</f>
        <v>1</v>
      </c>
      <c r="D68" s="9">
        <f>COUNTIF(実績!$AB$5:$AC$1474,A68)</f>
        <v>0</v>
      </c>
      <c r="E68" s="12" t="s">
        <v>1628</v>
      </c>
      <c r="F68" s="12"/>
      <c r="G68" s="12"/>
    </row>
    <row r="69" spans="1:7">
      <c r="A69" s="8" t="s">
        <v>5814</v>
      </c>
      <c r="B69" s="9">
        <f>COUNTIF(実績!$R$5:$R$1474,A69)</f>
        <v>1</v>
      </c>
      <c r="C69" s="9">
        <f>COUNTIF(実績!$W$5:$W$1474,A69)</f>
        <v>0</v>
      </c>
      <c r="D69" s="9">
        <f>COUNTIF(実績!$AB$5:$AC$1474,A69)</f>
        <v>0</v>
      </c>
      <c r="E69" s="12" t="s">
        <v>5815</v>
      </c>
      <c r="F69" s="12"/>
      <c r="G69" s="12"/>
    </row>
    <row r="70" spans="1:7">
      <c r="A70" s="8" t="s">
        <v>9540</v>
      </c>
      <c r="B70" s="9">
        <f>COUNTIF(実績!$R$5:$R$1474,A70)</f>
        <v>1</v>
      </c>
      <c r="C70" s="9">
        <f>COUNTIF(実績!$W$5:$W$1474,A70)</f>
        <v>0</v>
      </c>
      <c r="D70" s="9">
        <f>COUNTIF(実績!$AB$5:$AC$1474,A70)</f>
        <v>0</v>
      </c>
      <c r="E70" s="12" t="s">
        <v>9540</v>
      </c>
      <c r="F70" s="12" t="s">
        <v>5839</v>
      </c>
      <c r="G70" s="12" t="s">
        <v>5839</v>
      </c>
    </row>
    <row r="71" spans="1:7">
      <c r="A71" s="8" t="s">
        <v>7669</v>
      </c>
      <c r="B71" s="9">
        <f>COUNTIF(実績!$R$5:$R$1474,A71)</f>
        <v>1</v>
      </c>
      <c r="C71" s="9">
        <f>COUNTIF(実績!$W$5:$W$1474,A71)</f>
        <v>0</v>
      </c>
      <c r="D71" s="9">
        <f>COUNTIF(実績!$AB$5:$AC$1474,A71)</f>
        <v>0</v>
      </c>
      <c r="E71" s="12" t="s">
        <v>7670</v>
      </c>
      <c r="F71" s="12" t="s">
        <v>5839</v>
      </c>
      <c r="G71" s="12" t="s">
        <v>5839</v>
      </c>
    </row>
    <row r="72" spans="1:7">
      <c r="A72" s="13" t="s">
        <v>1435</v>
      </c>
      <c r="B72" s="9">
        <f>COUNTIF(実績!$R$5:$R$1474,A72)</f>
        <v>5</v>
      </c>
      <c r="C72" s="9">
        <f>COUNTIF(実績!$W$5:$W$1474,A72)</f>
        <v>0</v>
      </c>
      <c r="D72" s="9">
        <f>COUNTIF(実績!$AB$5:$AC$1474,A72)</f>
        <v>0</v>
      </c>
      <c r="E72" s="12" t="s">
        <v>1436</v>
      </c>
      <c r="F72" s="12" t="s">
        <v>6535</v>
      </c>
      <c r="G72" s="12" t="s">
        <v>6535</v>
      </c>
    </row>
    <row r="73" spans="1:7">
      <c r="A73" s="8" t="s">
        <v>5517</v>
      </c>
      <c r="B73" s="9">
        <f>COUNTIF(実績!$R$5:$R$1474,A73)</f>
        <v>1</v>
      </c>
      <c r="C73" s="9">
        <f>COUNTIF(実績!$W$5:$W$1474,A73)</f>
        <v>4</v>
      </c>
      <c r="D73" s="9">
        <f>COUNTIF(実績!$AB$5:$AC$1474,A73)</f>
        <v>0</v>
      </c>
      <c r="E73" s="12" t="s">
        <v>5518</v>
      </c>
      <c r="F73" s="12"/>
      <c r="G73" s="12"/>
    </row>
    <row r="74" spans="1:7">
      <c r="A74" s="8" t="s">
        <v>9502</v>
      </c>
      <c r="B74" s="9">
        <f>COUNTIF(実績!$R$5:$R$1474,A74)</f>
        <v>1</v>
      </c>
      <c r="C74" s="9">
        <f>COUNTIF(実績!$W$5:$W$1474,A74)</f>
        <v>0</v>
      </c>
      <c r="D74" s="9">
        <f>COUNTIF(実績!$AB$5:$AC$1474,A74)</f>
        <v>0</v>
      </c>
      <c r="E74" s="12" t="s">
        <v>9503</v>
      </c>
      <c r="F74" s="12" t="s">
        <v>5839</v>
      </c>
      <c r="G74" s="12" t="s">
        <v>5839</v>
      </c>
    </row>
    <row r="75" spans="1:7">
      <c r="A75" s="8" t="s">
        <v>8664</v>
      </c>
      <c r="B75" s="9">
        <f>COUNTIF(実績!$R$5:$R$1474,A75)</f>
        <v>5</v>
      </c>
      <c r="C75" s="9">
        <f>COUNTIF(実績!$W$5:$W$1474,A75)</f>
        <v>1</v>
      </c>
      <c r="D75" s="9">
        <f>COUNTIF(実績!$AB$5:$AC$1474,A75)</f>
        <v>0</v>
      </c>
      <c r="E75" s="12" t="s">
        <v>4314</v>
      </c>
      <c r="F75" s="12"/>
      <c r="G75" s="12"/>
    </row>
    <row r="76" spans="1:7">
      <c r="A76" s="8" t="s">
        <v>6382</v>
      </c>
      <c r="B76" s="9">
        <f>COUNTIF(実績!$R$5:$R$1474,A76)</f>
        <v>4</v>
      </c>
      <c r="C76" s="9">
        <f>COUNTIF(実績!$W$5:$W$1474,A76)</f>
        <v>0</v>
      </c>
      <c r="D76" s="9">
        <f>COUNTIF(実績!$AB$5:$AC$1474,A76)</f>
        <v>0</v>
      </c>
      <c r="E76" s="12" t="s">
        <v>6403</v>
      </c>
      <c r="F76" s="12"/>
      <c r="G76" s="12"/>
    </row>
    <row r="77" spans="1:7">
      <c r="A77" s="8" t="s">
        <v>1083</v>
      </c>
      <c r="B77" s="9">
        <f>COUNTIF(実績!$R$5:$R$1474,A77)</f>
        <v>0</v>
      </c>
      <c r="C77" s="9">
        <f>COUNTIF(実績!$W$5:$W$1474,A77)</f>
        <v>1</v>
      </c>
      <c r="D77" s="9">
        <f>COUNTIF(実績!$AB$5:$AC$1474,A77)</f>
        <v>0</v>
      </c>
      <c r="E77" s="12" t="s">
        <v>1144</v>
      </c>
      <c r="F77" s="12"/>
      <c r="G77" s="12"/>
    </row>
    <row r="78" spans="1:7">
      <c r="A78" s="8" t="s">
        <v>7836</v>
      </c>
      <c r="B78" s="9">
        <f>COUNTIF(実績!$R$5:$R$1474,A78)</f>
        <v>1</v>
      </c>
      <c r="C78" s="9">
        <f>COUNTIF(実績!$W$5:$W$1474,A78)</f>
        <v>0</v>
      </c>
      <c r="D78" s="9">
        <f>COUNTIF(実績!$AB$5:$AC$1474,A78)</f>
        <v>0</v>
      </c>
      <c r="E78" s="12" t="s">
        <v>7837</v>
      </c>
      <c r="F78" s="12" t="s">
        <v>5839</v>
      </c>
      <c r="G78" s="12" t="s">
        <v>5839</v>
      </c>
    </row>
    <row r="79" spans="1:7">
      <c r="A79" s="8" t="s">
        <v>4122</v>
      </c>
      <c r="B79" s="9">
        <f>COUNTIF(実績!$R$5:$R$1474,A79)</f>
        <v>0</v>
      </c>
      <c r="C79" s="9">
        <f>COUNTIF(実績!$W$5:$W$1474,A79)</f>
        <v>1</v>
      </c>
      <c r="D79" s="9">
        <f>COUNTIF(実績!$AB$5:$AC$1474,A79)</f>
        <v>0</v>
      </c>
      <c r="E79" s="12" t="s">
        <v>4123</v>
      </c>
      <c r="F79" s="12"/>
      <c r="G79" s="12"/>
    </row>
    <row r="80" spans="1:7">
      <c r="A80" s="8" t="s">
        <v>623</v>
      </c>
      <c r="B80" s="9">
        <f>COUNTIF(実績!$R$5:$R$1474,A80)</f>
        <v>3</v>
      </c>
      <c r="C80" s="9">
        <f>COUNTIF(実績!$W$5:$W$1474,A80)</f>
        <v>0</v>
      </c>
      <c r="D80" s="9">
        <f>COUNTIF(実績!$AB$5:$AC$1474,A80)</f>
        <v>0</v>
      </c>
      <c r="E80" s="12" t="s">
        <v>1276</v>
      </c>
      <c r="F80" s="12"/>
      <c r="G80" s="12"/>
    </row>
    <row r="81" spans="1:7">
      <c r="A81" s="8" t="s">
        <v>5948</v>
      </c>
      <c r="B81" s="9">
        <f>COUNTIF(実績!$R$5:$R$1474,A81)</f>
        <v>0</v>
      </c>
      <c r="C81" s="9">
        <f>COUNTIF(実績!$W$5:$W$1474,A81)</f>
        <v>1</v>
      </c>
      <c r="D81" s="9">
        <f>COUNTIF(実績!$AB$5:$AC$1474,A81)</f>
        <v>0</v>
      </c>
      <c r="E81" s="12" t="s">
        <v>5952</v>
      </c>
      <c r="F81" s="12" t="s">
        <v>5839</v>
      </c>
      <c r="G81" s="12"/>
    </row>
    <row r="82" spans="1:7">
      <c r="A82" s="8" t="s">
        <v>8918</v>
      </c>
      <c r="B82" s="9">
        <f>COUNTIF(実績!$R$5:$R$1474,A82)</f>
        <v>0</v>
      </c>
      <c r="C82" s="9">
        <f>COUNTIF(実績!$W$5:$W$1474,A82)</f>
        <v>0</v>
      </c>
      <c r="D82" s="9">
        <f>COUNTIF(実績!$AB$5:$AC$1474,A82)</f>
        <v>1</v>
      </c>
      <c r="E82" s="12" t="s">
        <v>8928</v>
      </c>
      <c r="F82" s="12" t="s">
        <v>5839</v>
      </c>
      <c r="G82" s="12" t="s">
        <v>5839</v>
      </c>
    </row>
    <row r="83" spans="1:7">
      <c r="A83" s="8" t="s">
        <v>6208</v>
      </c>
      <c r="B83" s="9">
        <f>COUNTIF(実績!$R$5:$R$1474,A83)</f>
        <v>1</v>
      </c>
      <c r="C83" s="9">
        <f>COUNTIF(実績!$W$5:$W$1474,A83)</f>
        <v>0</v>
      </c>
      <c r="D83" s="9">
        <f>COUNTIF(実績!$AB$5:$AC$1474,A83)</f>
        <v>0</v>
      </c>
      <c r="E83" s="12" t="s">
        <v>6209</v>
      </c>
      <c r="F83" s="12" t="s">
        <v>5839</v>
      </c>
      <c r="G83" s="12"/>
    </row>
    <row r="84" spans="1:7">
      <c r="A84" s="8" t="s">
        <v>6589</v>
      </c>
      <c r="B84" s="9">
        <f>COUNTIF(実績!$R$5:$R$1474,A84)</f>
        <v>2</v>
      </c>
      <c r="C84" s="9">
        <f>COUNTIF(実績!$W$5:$W$1474,A84)</f>
        <v>0</v>
      </c>
      <c r="D84" s="9">
        <f>COUNTIF(実績!$AB$5:$AC$1474,A84)</f>
        <v>0</v>
      </c>
      <c r="E84" s="12" t="s">
        <v>6590</v>
      </c>
      <c r="F84" s="12" t="s">
        <v>5839</v>
      </c>
      <c r="G84" s="12" t="s">
        <v>5839</v>
      </c>
    </row>
    <row r="85" spans="1:7">
      <c r="A85" s="8" t="s">
        <v>4008</v>
      </c>
      <c r="B85" s="9">
        <f>COUNTIF(実績!$R$5:$R$1474,A85)</f>
        <v>1</v>
      </c>
      <c r="C85" s="9">
        <f>COUNTIF(実績!$W$5:$W$1474,A85)</f>
        <v>0</v>
      </c>
      <c r="D85" s="9">
        <f>COUNTIF(実績!$AB$5:$AC$1474,A85)</f>
        <v>0</v>
      </c>
      <c r="E85" s="12" t="s">
        <v>4009</v>
      </c>
      <c r="F85" s="12"/>
      <c r="G85" s="12"/>
    </row>
    <row r="86" spans="1:7">
      <c r="A86" s="8" t="s">
        <v>10444</v>
      </c>
      <c r="B86" s="9">
        <f>COUNTIF(実績!$R$5:$R$1474,A86)</f>
        <v>1</v>
      </c>
      <c r="C86" s="9">
        <f>COUNTIF(実績!$W$5:$W$1474,A86)</f>
        <v>0</v>
      </c>
      <c r="D86" s="9">
        <f>COUNTIF(実績!$AB$5:$AC$1474,A86)</f>
        <v>0</v>
      </c>
      <c r="E86" s="12" t="s">
        <v>10445</v>
      </c>
      <c r="F86" s="12"/>
      <c r="G86" s="12"/>
    </row>
    <row r="87" spans="1:7">
      <c r="A87" s="8" t="s">
        <v>8060</v>
      </c>
      <c r="B87" s="9">
        <f>COUNTIF(実績!$R$5:$R$1474,A87)</f>
        <v>0</v>
      </c>
      <c r="C87" s="9">
        <f>COUNTIF(実績!$W$5:$W$1474,A87)</f>
        <v>6</v>
      </c>
      <c r="D87" s="9">
        <f>COUNTIF(実績!$AB$5:$AC$1474,A87)</f>
        <v>0</v>
      </c>
      <c r="E87" s="12" t="s">
        <v>8061</v>
      </c>
      <c r="F87" s="12" t="s">
        <v>5839</v>
      </c>
      <c r="G87" s="12" t="s">
        <v>5839</v>
      </c>
    </row>
    <row r="88" spans="1:7">
      <c r="A88" s="8" t="s">
        <v>10523</v>
      </c>
      <c r="B88" s="9">
        <f>COUNTIF(実績!$R$5:$R$1474,A88)</f>
        <v>1</v>
      </c>
      <c r="C88" s="9">
        <f>COUNTIF(実績!$W$5:$W$1474,A88)</f>
        <v>0</v>
      </c>
      <c r="D88" s="9">
        <f>COUNTIF(実績!$AB$5:$AC$1474,A88)</f>
        <v>0</v>
      </c>
      <c r="E88" s="12" t="s">
        <v>10524</v>
      </c>
      <c r="F88" s="12"/>
      <c r="G88" s="12"/>
    </row>
    <row r="89" spans="1:7">
      <c r="A89" s="8" t="s">
        <v>4403</v>
      </c>
      <c r="B89" s="9">
        <f>COUNTIF(実績!$R$5:$R$1474,A89)</f>
        <v>1</v>
      </c>
      <c r="C89" s="9">
        <f>COUNTIF(実績!$W$5:$W$1474,A89)</f>
        <v>0</v>
      </c>
      <c r="D89" s="9">
        <f>COUNTIF(実績!$AB$5:$AC$1474,A89)</f>
        <v>0</v>
      </c>
      <c r="E89" s="12" t="s">
        <v>4404</v>
      </c>
      <c r="F89" s="12"/>
      <c r="G89" s="12"/>
    </row>
    <row r="90" spans="1:7">
      <c r="A90" s="8" t="s">
        <v>5290</v>
      </c>
      <c r="B90" s="9">
        <f>COUNTIF(実績!$R$5:$R$1474,A90)</f>
        <v>1</v>
      </c>
      <c r="C90" s="9">
        <f>COUNTIF(実績!$W$5:$W$1474,A90)</f>
        <v>0</v>
      </c>
      <c r="D90" s="9">
        <f>COUNTIF(実績!$AB$5:$AC$1474,A90)</f>
        <v>0</v>
      </c>
      <c r="E90" s="12" t="s">
        <v>5291</v>
      </c>
      <c r="F90" s="12"/>
      <c r="G90" s="12"/>
    </row>
    <row r="91" spans="1:7">
      <c r="A91" s="8" t="s">
        <v>6029</v>
      </c>
      <c r="B91" s="9">
        <f>COUNTIF(実績!$R$5:$R$1474,A91)</f>
        <v>0</v>
      </c>
      <c r="C91" s="9">
        <f>COUNTIF(実績!$W$5:$W$1474,A91)</f>
        <v>1</v>
      </c>
      <c r="D91" s="9">
        <f>COUNTIF(実績!$AB$5:$AC$1474,A91)</f>
        <v>0</v>
      </c>
      <c r="E91" s="12" t="s">
        <v>6031</v>
      </c>
      <c r="F91" s="12" t="s">
        <v>5839</v>
      </c>
      <c r="G91" s="12"/>
    </row>
    <row r="92" spans="1:7">
      <c r="A92" s="8" t="s">
        <v>14604</v>
      </c>
      <c r="B92" s="9">
        <f>COUNTIF(実績!$R$5:$R$1474,A92)</f>
        <v>0</v>
      </c>
      <c r="C92" s="9">
        <f>COUNTIF(実績!$W$5:$W$1474,A92)</f>
        <v>1</v>
      </c>
      <c r="D92" s="9">
        <f>COUNTIF(実績!$AB$5:$AC$1474,A92)</f>
        <v>0</v>
      </c>
      <c r="E92" s="12" t="s">
        <v>14605</v>
      </c>
      <c r="F92" s="12"/>
      <c r="G92" s="12"/>
    </row>
    <row r="93" spans="1:7">
      <c r="A93" s="8" t="s">
        <v>8468</v>
      </c>
      <c r="B93" s="9">
        <f>COUNTIF(実績!$R$5:$R$1474,A93)</f>
        <v>1</v>
      </c>
      <c r="C93" s="9">
        <f>COUNTIF(実績!$W$5:$W$1474,A93)</f>
        <v>0</v>
      </c>
      <c r="D93" s="9">
        <f>COUNTIF(実績!$AB$5:$AC$1474,A93)</f>
        <v>0</v>
      </c>
      <c r="E93" s="12" t="s">
        <v>8469</v>
      </c>
      <c r="F93" s="12" t="s">
        <v>5839</v>
      </c>
      <c r="G93" s="12" t="s">
        <v>5839</v>
      </c>
    </row>
    <row r="94" spans="1:7">
      <c r="A94" s="8" t="s">
        <v>800</v>
      </c>
      <c r="B94" s="9">
        <f>COUNTIF(実績!$R$5:$R$1474,A94)</f>
        <v>0</v>
      </c>
      <c r="C94" s="9">
        <f>COUNTIF(実績!$W$5:$W$1474,A94)</f>
        <v>1</v>
      </c>
      <c r="D94" s="9">
        <f>COUNTIF(実績!$AB$5:$AC$1474,A94)</f>
        <v>0</v>
      </c>
      <c r="E94" s="12" t="s">
        <v>1277</v>
      </c>
      <c r="F94" s="12"/>
      <c r="G94" s="12"/>
    </row>
    <row r="95" spans="1:7">
      <c r="A95" s="8" t="s">
        <v>6939</v>
      </c>
      <c r="B95" s="9">
        <f>COUNTIF(実績!$R$5:$R$1474,A95)</f>
        <v>1</v>
      </c>
      <c r="C95" s="9">
        <f>COUNTIF(実績!$W$5:$W$1474,A95)</f>
        <v>0</v>
      </c>
      <c r="D95" s="9">
        <f>COUNTIF(実績!$AB$5:$AC$1474,A95)</f>
        <v>0</v>
      </c>
      <c r="E95" s="12" t="s">
        <v>6940</v>
      </c>
      <c r="F95" s="12" t="s">
        <v>5839</v>
      </c>
      <c r="G95" s="12" t="s">
        <v>5839</v>
      </c>
    </row>
    <row r="96" spans="1:7">
      <c r="A96" s="8" t="s">
        <v>13960</v>
      </c>
      <c r="B96" s="9">
        <f>COUNTIF(実績!$R$5:$R$1474,A96)</f>
        <v>0</v>
      </c>
      <c r="C96" s="9">
        <f>COUNTIF(実績!$W$5:$W$1474,A96)</f>
        <v>2</v>
      </c>
      <c r="D96" s="9">
        <f>COUNTIF(実績!$AB$5:$AC$1474,A96)</f>
        <v>0</v>
      </c>
      <c r="E96" s="12" t="s">
        <v>13961</v>
      </c>
      <c r="F96" s="12"/>
      <c r="G96" s="12"/>
    </row>
    <row r="97" spans="1:7">
      <c r="A97" s="8" t="s">
        <v>7668</v>
      </c>
      <c r="B97" s="9">
        <f>COUNTIF(実績!$R$5:$R$1474,A97)</f>
        <v>0</v>
      </c>
      <c r="C97" s="9">
        <f>COUNTIF(実績!$W$5:$W$1474,A97)</f>
        <v>0</v>
      </c>
      <c r="D97" s="9">
        <f>COUNTIF(実績!$AB$5:$AC$1474,A97)</f>
        <v>1</v>
      </c>
      <c r="E97" s="12" t="s">
        <v>7673</v>
      </c>
      <c r="F97" s="12" t="s">
        <v>5839</v>
      </c>
      <c r="G97" s="12" t="s">
        <v>5839</v>
      </c>
    </row>
    <row r="98" spans="1:7">
      <c r="A98" s="8" t="s">
        <v>8218</v>
      </c>
      <c r="B98" s="9">
        <f>COUNTIF(実績!$R$5:$R$1474,A98)</f>
        <v>1</v>
      </c>
      <c r="C98" s="9">
        <f>COUNTIF(実績!$W$5:$W$1474,A98)</f>
        <v>0</v>
      </c>
      <c r="D98" s="9">
        <f>COUNTIF(実績!$AB$5:$AC$1474,A98)</f>
        <v>0</v>
      </c>
      <c r="E98" s="12" t="s">
        <v>8219</v>
      </c>
      <c r="F98" s="12" t="s">
        <v>5839</v>
      </c>
      <c r="G98" s="12" t="s">
        <v>5839</v>
      </c>
    </row>
    <row r="99" spans="1:7">
      <c r="A99" s="8" t="s">
        <v>7873</v>
      </c>
      <c r="B99" s="9">
        <f>COUNTIF(実績!$R$5:$R$1474,A99)</f>
        <v>0</v>
      </c>
      <c r="C99" s="9">
        <f>COUNTIF(実績!$W$5:$W$1474,A99)</f>
        <v>1</v>
      </c>
      <c r="D99" s="9">
        <f>COUNTIF(実績!$AB$5:$AC$1474,A99)</f>
        <v>0</v>
      </c>
      <c r="E99" s="12" t="s">
        <v>7874</v>
      </c>
      <c r="F99" s="12" t="s">
        <v>5839</v>
      </c>
      <c r="G99" s="12" t="s">
        <v>5839</v>
      </c>
    </row>
    <row r="100" spans="1:7">
      <c r="A100" s="8" t="s">
        <v>7546</v>
      </c>
      <c r="B100" s="9">
        <f>COUNTIF(実績!$R$5:$R$1474,A100)</f>
        <v>1</v>
      </c>
      <c r="C100" s="9">
        <f>COUNTIF(実績!$W$5:$W$1474,A100)</f>
        <v>0</v>
      </c>
      <c r="D100" s="9">
        <f>COUNTIF(実績!$AB$5:$AC$1474,A100)</f>
        <v>0</v>
      </c>
      <c r="E100" s="12" t="s">
        <v>7547</v>
      </c>
      <c r="F100" s="12" t="s">
        <v>5839</v>
      </c>
      <c r="G100" s="12" t="s">
        <v>5839</v>
      </c>
    </row>
    <row r="101" spans="1:7">
      <c r="A101" s="8" t="s">
        <v>6500</v>
      </c>
      <c r="B101" s="9">
        <f>COUNTIF(実績!$R$5:$R$1474,A101)</f>
        <v>1</v>
      </c>
      <c r="C101" s="9">
        <f>COUNTIF(実績!$W$5:$W$1474,A101)</f>
        <v>0</v>
      </c>
      <c r="D101" s="9">
        <f>COUNTIF(実績!$AB$5:$AC$1474,A101)</f>
        <v>0</v>
      </c>
      <c r="E101" s="12" t="s">
        <v>6501</v>
      </c>
      <c r="F101" s="12" t="s">
        <v>5839</v>
      </c>
      <c r="G101" s="12" t="s">
        <v>5839</v>
      </c>
    </row>
    <row r="102" spans="1:7">
      <c r="A102" s="8" t="s">
        <v>15199</v>
      </c>
      <c r="B102" s="9">
        <f>COUNTIF(実績!$R$5:$R$1474,A102)</f>
        <v>0</v>
      </c>
      <c r="C102" s="9">
        <f>COUNTIF(実績!$W$5:$W$1474,A102)</f>
        <v>1</v>
      </c>
      <c r="D102" s="9">
        <f>COUNTIF(実績!$AB$5:$AC$1474,A102)</f>
        <v>0</v>
      </c>
      <c r="E102" s="12" t="s">
        <v>15200</v>
      </c>
      <c r="F102" s="12"/>
      <c r="G102" s="12"/>
    </row>
    <row r="103" spans="1:7">
      <c r="A103" s="8" t="s">
        <v>2883</v>
      </c>
      <c r="B103" s="9">
        <f>COUNTIF(実績!$R$5:$R$1474,A103)</f>
        <v>1</v>
      </c>
      <c r="C103" s="9">
        <f>COUNTIF(実績!$W$5:$W$1474,A103)</f>
        <v>0</v>
      </c>
      <c r="D103" s="9">
        <f>COUNTIF(実績!$AB$5:$AC$1474,A103)</f>
        <v>0</v>
      </c>
      <c r="E103" s="12" t="s">
        <v>2884</v>
      </c>
      <c r="F103" s="12"/>
      <c r="G103" s="12"/>
    </row>
    <row r="104" spans="1:7">
      <c r="A104" s="8" t="s">
        <v>7563</v>
      </c>
      <c r="B104" s="9">
        <f>COUNTIF(実績!$R$5:$R$1474,A104)</f>
        <v>0</v>
      </c>
      <c r="C104" s="9">
        <f>COUNTIF(実績!$W$5:$W$1474,A104)</f>
        <v>1</v>
      </c>
      <c r="D104" s="9">
        <f>COUNTIF(実績!$AB$5:$AC$1474,A104)</f>
        <v>0</v>
      </c>
      <c r="E104" s="12" t="s">
        <v>7565</v>
      </c>
      <c r="F104" s="12" t="s">
        <v>5839</v>
      </c>
      <c r="G104" s="12" t="s">
        <v>5839</v>
      </c>
    </row>
    <row r="105" spans="1:7">
      <c r="A105" s="8" t="s">
        <v>8671</v>
      </c>
      <c r="B105" s="9">
        <f>COUNTIF(実績!$R$5:$R$1474,A105)</f>
        <v>0</v>
      </c>
      <c r="C105" s="9">
        <f>COUNTIF(実績!$W$5:$W$1474,A105)</f>
        <v>0</v>
      </c>
      <c r="D105" s="9">
        <f>COUNTIF(実績!$AB$5:$AC$1474,A105)</f>
        <v>1</v>
      </c>
      <c r="E105" s="12" t="s">
        <v>8798</v>
      </c>
      <c r="F105" s="12" t="s">
        <v>5839</v>
      </c>
      <c r="G105" s="12" t="s">
        <v>5839</v>
      </c>
    </row>
    <row r="106" spans="1:7">
      <c r="A106" s="8" t="s">
        <v>1050</v>
      </c>
      <c r="B106" s="9">
        <f>COUNTIF(実績!$R$5:$R$1474,A106)</f>
        <v>0</v>
      </c>
      <c r="C106" s="9">
        <f>COUNTIF(実績!$W$5:$W$1474,A106)</f>
        <v>5</v>
      </c>
      <c r="D106" s="9">
        <f>COUNTIF(実績!$AB$5:$AC$1474,A106)</f>
        <v>0</v>
      </c>
      <c r="E106" s="12" t="s">
        <v>1145</v>
      </c>
      <c r="F106" s="12"/>
      <c r="G106" s="12"/>
    </row>
    <row r="107" spans="1:7">
      <c r="A107" s="8" t="s">
        <v>3803</v>
      </c>
      <c r="B107" s="9">
        <f>COUNTIF(実績!$R$5:$R$1474,A107)</f>
        <v>1</v>
      </c>
      <c r="C107" s="9">
        <f>COUNTIF(実績!$W$5:$W$1474,A107)</f>
        <v>0</v>
      </c>
      <c r="D107" s="9">
        <f>COUNTIF(実績!$AB$5:$AC$1474,A107)</f>
        <v>0</v>
      </c>
      <c r="E107" s="12" t="s">
        <v>4027</v>
      </c>
      <c r="F107" s="12"/>
      <c r="G107" s="12"/>
    </row>
    <row r="108" spans="1:7">
      <c r="A108" s="8" t="s">
        <v>8975</v>
      </c>
      <c r="B108" s="9">
        <f>COUNTIF(実績!$R$5:$R$1474,A108)</f>
        <v>0</v>
      </c>
      <c r="C108" s="9">
        <f>COUNTIF(実績!$W$5:$W$1474,A108)</f>
        <v>2</v>
      </c>
      <c r="D108" s="9">
        <f>COUNTIF(実績!$AB$5:$AC$1474,A108)</f>
        <v>0</v>
      </c>
      <c r="E108" s="12" t="s">
        <v>8977</v>
      </c>
      <c r="F108" s="12" t="s">
        <v>5839</v>
      </c>
      <c r="G108" s="12" t="s">
        <v>5839</v>
      </c>
    </row>
    <row r="109" spans="1:7">
      <c r="A109" s="8" t="s">
        <v>2981</v>
      </c>
      <c r="B109" s="9">
        <f>COUNTIF(実績!$R$5:$R$1474,A109)</f>
        <v>0</v>
      </c>
      <c r="C109" s="9">
        <f>COUNTIF(実績!$W$5:$W$1474,A109)</f>
        <v>1</v>
      </c>
      <c r="D109" s="9">
        <f>COUNTIF(実績!$AB$5:$AC$1474,A109)</f>
        <v>0</v>
      </c>
      <c r="E109" s="12" t="s">
        <v>2982</v>
      </c>
      <c r="F109" s="12"/>
      <c r="G109" s="12"/>
    </row>
    <row r="110" spans="1:7">
      <c r="A110" s="8" t="s">
        <v>4806</v>
      </c>
      <c r="B110" s="9">
        <f>COUNTIF(実績!$R$5:$R$1474,A110)</f>
        <v>2</v>
      </c>
      <c r="C110" s="9">
        <f>COUNTIF(実績!$W$5:$W$1474,A110)</f>
        <v>0</v>
      </c>
      <c r="D110" s="9">
        <f>COUNTIF(実績!$AB$5:$AC$1474,A110)</f>
        <v>0</v>
      </c>
      <c r="E110" s="12" t="s">
        <v>4807</v>
      </c>
      <c r="F110" s="12"/>
      <c r="G110" s="12"/>
    </row>
    <row r="111" spans="1:7">
      <c r="A111" s="8" t="s">
        <v>11044</v>
      </c>
      <c r="B111" s="9">
        <f>COUNTIF(実績!$R$5:$R$1474,A111)</f>
        <v>0</v>
      </c>
      <c r="C111" s="9">
        <f>COUNTIF(実績!$W$5:$W$1474,A111)</f>
        <v>1</v>
      </c>
      <c r="D111" s="9">
        <f>COUNTIF(実績!$AB$5:$AC$1474,A111)</f>
        <v>0</v>
      </c>
      <c r="E111" s="12" t="s">
        <v>11045</v>
      </c>
      <c r="F111" s="12"/>
      <c r="G111" s="12"/>
    </row>
    <row r="112" spans="1:7">
      <c r="A112" s="8" t="s">
        <v>6415</v>
      </c>
      <c r="B112" s="9">
        <f>COUNTIF(実績!$R$5:$R$1474,A112)</f>
        <v>0</v>
      </c>
      <c r="C112" s="9">
        <f>COUNTIF(実績!$W$5:$W$1474,A112)</f>
        <v>3</v>
      </c>
      <c r="D112" s="9">
        <f>COUNTIF(実績!$AB$5:$AC$1474,A112)</f>
        <v>0</v>
      </c>
      <c r="E112" s="12" t="s">
        <v>6416</v>
      </c>
      <c r="F112" s="12" t="s">
        <v>6658</v>
      </c>
      <c r="G112" s="12" t="s">
        <v>6658</v>
      </c>
    </row>
    <row r="113" spans="1:7">
      <c r="A113" s="8" t="s">
        <v>6429</v>
      </c>
      <c r="B113" s="9">
        <f>COUNTIF(実績!$R$5:$R$1474,A113)</f>
        <v>0</v>
      </c>
      <c r="C113" s="9">
        <f>COUNTIF(実績!$W$5:$W$1474,A113)</f>
        <v>1</v>
      </c>
      <c r="D113" s="9">
        <f>COUNTIF(実績!$AB$5:$AC$1474,A113)</f>
        <v>0</v>
      </c>
      <c r="E113" s="8" t="s">
        <v>6429</v>
      </c>
      <c r="F113" s="12" t="s">
        <v>5839</v>
      </c>
      <c r="G113" s="12"/>
    </row>
    <row r="114" spans="1:7">
      <c r="A114" s="8" t="s">
        <v>450</v>
      </c>
      <c r="B114" s="9">
        <f>COUNTIF(実績!$R$5:$R$1474,A114)</f>
        <v>1</v>
      </c>
      <c r="C114" s="9">
        <f>COUNTIF(実績!$W$5:$W$1474,A114)</f>
        <v>0</v>
      </c>
      <c r="D114" s="9">
        <f>COUNTIF(実績!$AB$5:$AC$1474,A114)</f>
        <v>0</v>
      </c>
      <c r="E114" s="12" t="s">
        <v>1209</v>
      </c>
      <c r="F114" s="12"/>
      <c r="G114" s="12"/>
    </row>
    <row r="115" spans="1:7">
      <c r="A115" s="8" t="s">
        <v>6283</v>
      </c>
      <c r="B115" s="9">
        <f>COUNTIF(実績!$R$5:$R$1474,A115)</f>
        <v>0</v>
      </c>
      <c r="C115" s="9">
        <f>COUNTIF(実績!$W$5:$W$1474,A115)</f>
        <v>1</v>
      </c>
      <c r="D115" s="9">
        <f>COUNTIF(実績!$AB$5:$AC$1474,A115)</f>
        <v>0</v>
      </c>
      <c r="E115" s="12" t="s">
        <v>6284</v>
      </c>
      <c r="F115" s="12" t="s">
        <v>5839</v>
      </c>
      <c r="G115" s="12"/>
    </row>
    <row r="116" spans="1:7">
      <c r="A116" s="8" t="s">
        <v>8565</v>
      </c>
      <c r="B116" s="9">
        <f>COUNTIF(実績!$R$5:$R$1474,A116)</f>
        <v>1</v>
      </c>
      <c r="C116" s="9">
        <f>COUNTIF(実績!$W$5:$W$1474,A116)</f>
        <v>0</v>
      </c>
      <c r="D116" s="9">
        <f>COUNTIF(実績!$AB$5:$AC$1474,A116)</f>
        <v>0</v>
      </c>
      <c r="E116" s="12" t="s">
        <v>8566</v>
      </c>
      <c r="F116" s="12" t="s">
        <v>5839</v>
      </c>
      <c r="G116" s="12" t="s">
        <v>5839</v>
      </c>
    </row>
    <row r="117" spans="1:7">
      <c r="A117" s="8" t="s">
        <v>4018</v>
      </c>
      <c r="B117" s="9">
        <f>COUNTIF(実績!$R$5:$R$1474,A117)</f>
        <v>1</v>
      </c>
      <c r="C117" s="9">
        <f>COUNTIF(実績!$W$5:$W$1474,A117)</f>
        <v>0</v>
      </c>
      <c r="D117" s="9">
        <f>COUNTIF(実績!$AB$5:$AC$1474,A117)</f>
        <v>0</v>
      </c>
      <c r="E117" s="12" t="s">
        <v>4019</v>
      </c>
      <c r="F117" s="12"/>
      <c r="G117" s="12"/>
    </row>
    <row r="118" spans="1:7">
      <c r="A118" s="8" t="s">
        <v>3228</v>
      </c>
      <c r="B118" s="9">
        <f>COUNTIF(実績!$R$5:$R$1474,A118)</f>
        <v>0</v>
      </c>
      <c r="C118" s="9">
        <f>COUNTIF(実績!$W$5:$W$1474,A118)</f>
        <v>1</v>
      </c>
      <c r="D118" s="9">
        <f>COUNTIF(実績!$AB$5:$AC$1474,A118)</f>
        <v>0</v>
      </c>
      <c r="E118" s="12" t="s">
        <v>3229</v>
      </c>
      <c r="F118" s="12"/>
      <c r="G118" s="12"/>
    </row>
    <row r="119" spans="1:7">
      <c r="A119" s="8" t="s">
        <v>2842</v>
      </c>
      <c r="B119" s="9">
        <f>COUNTIF(実績!$R$5:$R$1474,A119)</f>
        <v>1</v>
      </c>
      <c r="C119" s="9">
        <f>COUNTIF(実績!$W$5:$W$1474,A119)</f>
        <v>0</v>
      </c>
      <c r="D119" s="9">
        <f>COUNTIF(実績!$AB$5:$AC$1474,A119)</f>
        <v>0</v>
      </c>
      <c r="E119" s="12" t="s">
        <v>2843</v>
      </c>
      <c r="F119" s="12"/>
      <c r="G119" s="12"/>
    </row>
    <row r="120" spans="1:7">
      <c r="A120" s="8" t="s">
        <v>603</v>
      </c>
      <c r="B120" s="9">
        <f>COUNTIF(実績!$R$5:$R$1474,A120)</f>
        <v>2</v>
      </c>
      <c r="C120" s="9">
        <f>COUNTIF(実績!$W$5:$W$1474,A120)</f>
        <v>0</v>
      </c>
      <c r="D120" s="9">
        <f>COUNTIF(実績!$AB$5:$AC$1474,A120)</f>
        <v>0</v>
      </c>
      <c r="E120" s="12" t="s">
        <v>1210</v>
      </c>
      <c r="F120" s="12"/>
      <c r="G120" s="12"/>
    </row>
    <row r="121" spans="1:7">
      <c r="A121" s="8" t="s">
        <v>7129</v>
      </c>
      <c r="B121" s="9">
        <f>COUNTIF(実績!$R$5:$R$1474,A121)</f>
        <v>1</v>
      </c>
      <c r="C121" s="9">
        <f>COUNTIF(実績!$W$5:$W$1474,A121)</f>
        <v>0</v>
      </c>
      <c r="D121" s="9">
        <f>COUNTIF(実績!$AB$5:$AC$1474,A121)</f>
        <v>0</v>
      </c>
      <c r="E121" s="12" t="s">
        <v>7130</v>
      </c>
      <c r="F121" s="12" t="s">
        <v>5839</v>
      </c>
      <c r="G121" s="12" t="s">
        <v>5839</v>
      </c>
    </row>
    <row r="122" spans="1:7">
      <c r="A122" s="13" t="s">
        <v>1524</v>
      </c>
      <c r="B122" s="9">
        <f>COUNTIF(実績!$R$5:$R$1474,A122)</f>
        <v>1</v>
      </c>
      <c r="C122" s="9">
        <f>COUNTIF(実績!$W$5:$W$1474,A122)</f>
        <v>0</v>
      </c>
      <c r="D122" s="9">
        <f>COUNTIF(実績!$AB$5:$AC$1474,A122)</f>
        <v>0</v>
      </c>
      <c r="E122" s="12" t="s">
        <v>1525</v>
      </c>
      <c r="F122" s="12"/>
      <c r="G122" s="12"/>
    </row>
    <row r="123" spans="1:7">
      <c r="A123" s="8" t="s">
        <v>11023</v>
      </c>
      <c r="B123" s="9">
        <f>COUNTIF(実績!$R$5:$R$1474,A123)</f>
        <v>1</v>
      </c>
      <c r="C123" s="9">
        <f>COUNTIF(実績!$W$5:$W$1474,A123)</f>
        <v>0</v>
      </c>
      <c r="D123" s="9">
        <f>COUNTIF(実績!$AB$5:$AC$1474,A123)</f>
        <v>0</v>
      </c>
      <c r="E123" s="12" t="s">
        <v>11024</v>
      </c>
      <c r="F123" s="12"/>
      <c r="G123" s="12"/>
    </row>
    <row r="124" spans="1:7">
      <c r="A124" s="8" t="s">
        <v>998</v>
      </c>
      <c r="B124" s="9">
        <f>COUNTIF(実績!$R$5:$R$1474,A124)</f>
        <v>1</v>
      </c>
      <c r="C124" s="9">
        <f>COUNTIF(実績!$W$5:$W$1474,A124)</f>
        <v>0</v>
      </c>
      <c r="D124" s="9">
        <f>COUNTIF(実績!$AB$5:$AC$1474,A124)</f>
        <v>0</v>
      </c>
      <c r="E124" s="12" t="s">
        <v>1211</v>
      </c>
      <c r="F124" s="12"/>
      <c r="G124" s="12"/>
    </row>
    <row r="125" spans="1:7">
      <c r="A125" s="8" t="s">
        <v>906</v>
      </c>
      <c r="B125" s="9">
        <f>COUNTIF(実績!$R$5:$R$1474,A125)</f>
        <v>2</v>
      </c>
      <c r="C125" s="9">
        <f>COUNTIF(実績!$W$5:$W$1474,A125)</f>
        <v>0</v>
      </c>
      <c r="D125" s="9">
        <f>COUNTIF(実績!$AB$5:$AC$1474,A125)</f>
        <v>0</v>
      </c>
      <c r="E125" s="12" t="s">
        <v>1212</v>
      </c>
      <c r="F125" s="12"/>
      <c r="G125" s="12"/>
    </row>
    <row r="126" spans="1:7">
      <c r="A126" s="8" t="s">
        <v>566</v>
      </c>
      <c r="B126" s="9">
        <f>COUNTIF(実績!$R$5:$R$1474,A126)</f>
        <v>0</v>
      </c>
      <c r="C126" s="9">
        <f>COUNTIF(実績!$W$5:$W$1474,A126)</f>
        <v>1</v>
      </c>
      <c r="D126" s="9">
        <f>COUNTIF(実績!$AB$5:$AC$1474,A126)</f>
        <v>0</v>
      </c>
      <c r="E126" s="12" t="s">
        <v>1213</v>
      </c>
      <c r="F126" s="12"/>
      <c r="G126" s="12"/>
    </row>
    <row r="127" spans="1:7">
      <c r="A127" s="8" t="s">
        <v>8003</v>
      </c>
      <c r="B127" s="9">
        <f>COUNTIF(実績!$R$5:$R$1474,A127)</f>
        <v>0</v>
      </c>
      <c r="C127" s="9">
        <f>COUNTIF(実績!$W$5:$W$1474,A127)</f>
        <v>2</v>
      </c>
      <c r="D127" s="9">
        <f>COUNTIF(実績!$AB$5:$AC$1474,A127)</f>
        <v>0</v>
      </c>
      <c r="E127" s="12" t="s">
        <v>4747</v>
      </c>
      <c r="F127" s="12"/>
      <c r="G127" s="12"/>
    </row>
    <row r="128" spans="1:7">
      <c r="A128" s="8" t="s">
        <v>1674</v>
      </c>
      <c r="B128" s="9">
        <f>COUNTIF(実績!$R$5:$R$1474,A128)</f>
        <v>1</v>
      </c>
      <c r="C128" s="9">
        <f>COUNTIF(実績!$W$5:$W$1474,A128)</f>
        <v>0</v>
      </c>
      <c r="D128" s="9">
        <f>COUNTIF(実績!$AB$5:$AC$1474,A128)</f>
        <v>0</v>
      </c>
      <c r="E128" s="12" t="s">
        <v>1675</v>
      </c>
      <c r="F128" s="12"/>
      <c r="G128" s="12"/>
    </row>
    <row r="129" spans="1:7">
      <c r="A129" s="8" t="s">
        <v>5054</v>
      </c>
      <c r="B129" s="9">
        <f>COUNTIF(実績!$R$5:$R$1474,A129)</f>
        <v>1</v>
      </c>
      <c r="C129" s="9">
        <f>COUNTIF(実績!$W$5:$W$1474,A129)</f>
        <v>0</v>
      </c>
      <c r="D129" s="9">
        <f>COUNTIF(実績!$AB$5:$AC$1474,A129)</f>
        <v>0</v>
      </c>
      <c r="E129" s="12" t="s">
        <v>5055</v>
      </c>
      <c r="F129" s="12"/>
      <c r="G129" s="12"/>
    </row>
    <row r="130" spans="1:7">
      <c r="A130" s="13" t="s">
        <v>1566</v>
      </c>
      <c r="B130" s="9">
        <f>COUNTIF(実績!$R$5:$R$1474,A130)</f>
        <v>1</v>
      </c>
      <c r="C130" s="9">
        <f>COUNTIF(実績!$W$5:$W$1474,A130)</f>
        <v>0</v>
      </c>
      <c r="D130" s="9">
        <f>COUNTIF(実績!$AB$5:$AC$1474,A130)</f>
        <v>1</v>
      </c>
      <c r="E130" s="12" t="s">
        <v>1567</v>
      </c>
      <c r="F130" s="12"/>
      <c r="G130" s="12"/>
    </row>
    <row r="131" spans="1:7">
      <c r="A131" s="8" t="s">
        <v>8038</v>
      </c>
      <c r="B131" s="9">
        <f>COUNTIF(実績!$R$5:$R$1474,A131)</f>
        <v>0</v>
      </c>
      <c r="C131" s="9">
        <f>COUNTIF(実績!$W$5:$W$1474,A131)</f>
        <v>3</v>
      </c>
      <c r="D131" s="9">
        <f>COUNTIF(実績!$AB$5:$AC$1474,A131)</f>
        <v>0</v>
      </c>
      <c r="E131" s="12" t="s">
        <v>8039</v>
      </c>
      <c r="F131" s="12" t="s">
        <v>5839</v>
      </c>
      <c r="G131" s="12" t="s">
        <v>5839</v>
      </c>
    </row>
    <row r="132" spans="1:7">
      <c r="A132" s="8" t="s">
        <v>8877</v>
      </c>
      <c r="B132" s="9">
        <f>COUNTIF(実績!$R$5:$R$1474,A132)</f>
        <v>1</v>
      </c>
      <c r="C132" s="9">
        <f>COUNTIF(実績!$W$5:$W$1474,A132)</f>
        <v>0</v>
      </c>
      <c r="D132" s="9">
        <f>COUNTIF(実績!$AB$5:$AC$1474,A132)</f>
        <v>0</v>
      </c>
      <c r="E132" s="12" t="s">
        <v>8925</v>
      </c>
      <c r="F132" s="12" t="s">
        <v>5839</v>
      </c>
      <c r="G132" s="12" t="s">
        <v>5839</v>
      </c>
    </row>
    <row r="133" spans="1:7">
      <c r="A133" s="8" t="s">
        <v>787</v>
      </c>
      <c r="B133" s="9">
        <f>COUNTIF(実績!$R$5:$R$1474,A133)</f>
        <v>1</v>
      </c>
      <c r="C133" s="9">
        <f>COUNTIF(実績!$W$5:$W$1474,A133)</f>
        <v>0</v>
      </c>
      <c r="D133" s="9">
        <f>COUNTIF(実績!$AB$5:$AC$1474,A133)</f>
        <v>0</v>
      </c>
      <c r="E133" s="12" t="s">
        <v>1146</v>
      </c>
      <c r="F133" s="12"/>
      <c r="G133" s="12"/>
    </row>
    <row r="134" spans="1:7">
      <c r="A134" s="8" t="s">
        <v>9856</v>
      </c>
      <c r="B134" s="9">
        <f>COUNTIF(実績!$R$5:$R$1474,A134)</f>
        <v>1</v>
      </c>
      <c r="C134" s="9">
        <f>COUNTIF(実績!$W$5:$W$1474,A134)</f>
        <v>0</v>
      </c>
      <c r="D134" s="9">
        <f>COUNTIF(実績!$AB$5:$AC$1474,A134)</f>
        <v>0</v>
      </c>
      <c r="E134" s="12" t="s">
        <v>9856</v>
      </c>
      <c r="F134" s="12"/>
      <c r="G134" s="12"/>
    </row>
    <row r="135" spans="1:7">
      <c r="A135" s="8" t="s">
        <v>10023</v>
      </c>
      <c r="B135" s="9">
        <f>COUNTIF(実績!$R$5:$R$1474,A135)</f>
        <v>2</v>
      </c>
      <c r="C135" s="9">
        <f>COUNTIF(実績!$W$5:$W$1474,A135)</f>
        <v>0</v>
      </c>
      <c r="D135" s="9">
        <f>COUNTIF(実績!$AB$5:$AC$1474,A135)</f>
        <v>0</v>
      </c>
      <c r="E135" s="12" t="s">
        <v>10024</v>
      </c>
      <c r="F135" s="12"/>
      <c r="G135" s="12"/>
    </row>
    <row r="136" spans="1:7">
      <c r="A136" s="8" t="s">
        <v>5367</v>
      </c>
      <c r="B136" s="9">
        <f>COUNTIF(実績!$R$5:$R$1474,A136)</f>
        <v>1</v>
      </c>
      <c r="C136" s="9">
        <f>COUNTIF(実績!$W$5:$W$1474,A136)</f>
        <v>0</v>
      </c>
      <c r="D136" s="9">
        <f>COUNTIF(実績!$AB$5:$AC$1474,A136)</f>
        <v>0</v>
      </c>
      <c r="E136" s="12" t="s">
        <v>5368</v>
      </c>
      <c r="F136" s="12"/>
      <c r="G136" s="12"/>
    </row>
    <row r="137" spans="1:7">
      <c r="A137" s="8" t="s">
        <v>1054</v>
      </c>
      <c r="B137" s="9">
        <f>COUNTIF(実績!$R$5:$R$1474,A137)</f>
        <v>0</v>
      </c>
      <c r="C137" s="9">
        <f>COUNTIF(実績!$W$5:$W$1474,A137)</f>
        <v>1</v>
      </c>
      <c r="D137" s="9">
        <f>COUNTIF(実績!$AB$5:$AC$1474,A137)</f>
        <v>0</v>
      </c>
      <c r="E137" s="12" t="s">
        <v>1147</v>
      </c>
      <c r="F137" s="12"/>
      <c r="G137" s="12"/>
    </row>
    <row r="138" spans="1:7">
      <c r="A138" s="8" t="s">
        <v>3744</v>
      </c>
      <c r="B138" s="9">
        <f>COUNTIF(実績!$R$5:$R$1474,A138)</f>
        <v>2</v>
      </c>
      <c r="C138" s="9">
        <f>COUNTIF(実績!$W$5:$W$1474,A138)</f>
        <v>0</v>
      </c>
      <c r="D138" s="9">
        <f>COUNTIF(実績!$AB$5:$AC$1474,A138)</f>
        <v>0</v>
      </c>
      <c r="E138" s="12" t="s">
        <v>3745</v>
      </c>
      <c r="F138" s="12"/>
      <c r="G138" s="12"/>
    </row>
    <row r="139" spans="1:7">
      <c r="A139" s="8" t="s">
        <v>8714</v>
      </c>
      <c r="B139" s="9">
        <f>COUNTIF(実績!$R$5:$R$1474,A139)</f>
        <v>3</v>
      </c>
      <c r="C139" s="9">
        <f>COUNTIF(実績!$W$5:$W$1474,A139)</f>
        <v>0</v>
      </c>
      <c r="D139" s="9">
        <f>COUNTIF(実績!$AB$5:$AC$1474,A139)</f>
        <v>2</v>
      </c>
      <c r="E139" s="12" t="s">
        <v>8749</v>
      </c>
      <c r="F139" s="12" t="s">
        <v>5839</v>
      </c>
      <c r="G139" s="12" t="s">
        <v>5839</v>
      </c>
    </row>
    <row r="140" spans="1:7">
      <c r="A140" s="8" t="s">
        <v>7838</v>
      </c>
      <c r="B140" s="9">
        <f>COUNTIF(実績!$R$5:$R$1474,A140)</f>
        <v>0</v>
      </c>
      <c r="C140" s="9">
        <f>COUNTIF(実績!$W$5:$W$1474,A140)</f>
        <v>1</v>
      </c>
      <c r="D140" s="9">
        <f>COUNTIF(実績!$AB$5:$AC$1474,A140)</f>
        <v>0</v>
      </c>
      <c r="E140" s="12" t="s">
        <v>7852</v>
      </c>
      <c r="F140" s="12" t="s">
        <v>5839</v>
      </c>
      <c r="G140" s="12" t="s">
        <v>5839</v>
      </c>
    </row>
    <row r="141" spans="1:7">
      <c r="A141" s="8" t="s">
        <v>8922</v>
      </c>
      <c r="B141" s="9">
        <f>COUNTIF(実績!$R$5:$R$1474,A141)</f>
        <v>3</v>
      </c>
      <c r="C141" s="9">
        <f>COUNTIF(実績!$W$5:$W$1474,A141)</f>
        <v>2</v>
      </c>
      <c r="D141" s="9">
        <f>COUNTIF(実績!$AB$5:$AC$1474,A141)</f>
        <v>0</v>
      </c>
      <c r="E141" s="12" t="s">
        <v>8923</v>
      </c>
      <c r="F141" s="12" t="s">
        <v>5839</v>
      </c>
      <c r="G141" s="12" t="s">
        <v>5839</v>
      </c>
    </row>
    <row r="142" spans="1:7">
      <c r="A142" s="8" t="s">
        <v>5472</v>
      </c>
      <c r="B142" s="9">
        <f>COUNTIF(実績!$R$5:$R$1474,A142)</f>
        <v>0</v>
      </c>
      <c r="C142" s="9">
        <f>COUNTIF(実績!$W$5:$W$1474,A142)</f>
        <v>2</v>
      </c>
      <c r="D142" s="9">
        <f>COUNTIF(実績!$AB$5:$AC$1474,A142)</f>
        <v>0</v>
      </c>
      <c r="E142" s="12" t="s">
        <v>5473</v>
      </c>
      <c r="F142" s="12"/>
      <c r="G142" s="12"/>
    </row>
    <row r="143" spans="1:7">
      <c r="A143" s="8" t="s">
        <v>3462</v>
      </c>
      <c r="B143" s="9">
        <f>COUNTIF(実績!$R$5:$R$1474,A143)</f>
        <v>0</v>
      </c>
      <c r="C143" s="9">
        <f>COUNTIF(実績!$W$5:$W$1474,A143)</f>
        <v>4</v>
      </c>
      <c r="D143" s="9">
        <f>COUNTIF(実績!$AB$5:$AC$1474,A143)</f>
        <v>0</v>
      </c>
      <c r="E143" s="12" t="s">
        <v>3463</v>
      </c>
      <c r="F143" s="12"/>
      <c r="G143" s="12"/>
    </row>
    <row r="144" spans="1:7">
      <c r="A144" s="8" t="s">
        <v>8255</v>
      </c>
      <c r="B144" s="9">
        <f>COUNTIF(実績!$R$5:$R$1474,A144)</f>
        <v>1</v>
      </c>
      <c r="C144" s="9">
        <f>COUNTIF(実績!$W$5:$W$1474,A144)</f>
        <v>0</v>
      </c>
      <c r="D144" s="9">
        <f>COUNTIF(実績!$AB$5:$AC$1474,A144)</f>
        <v>0</v>
      </c>
      <c r="E144" s="12" t="s">
        <v>8314</v>
      </c>
      <c r="F144" s="12" t="s">
        <v>5839</v>
      </c>
      <c r="G144" s="12" t="s">
        <v>5839</v>
      </c>
    </row>
    <row r="145" spans="1:7">
      <c r="A145" s="8" t="s">
        <v>6450</v>
      </c>
      <c r="B145" s="9">
        <f>COUNTIF(実績!$R$5:$R$1474,A145)</f>
        <v>1</v>
      </c>
      <c r="C145" s="9">
        <f>COUNTIF(実績!$W$5:$W$1474,A145)</f>
        <v>0</v>
      </c>
      <c r="D145" s="9">
        <f>COUNTIF(実績!$AB$5:$AC$1474,A145)</f>
        <v>0</v>
      </c>
      <c r="E145" s="12" t="s">
        <v>6451</v>
      </c>
      <c r="F145" s="12" t="s">
        <v>5839</v>
      </c>
      <c r="G145" s="12" t="s">
        <v>5839</v>
      </c>
    </row>
    <row r="146" spans="1:7">
      <c r="A146" s="8" t="s">
        <v>6992</v>
      </c>
      <c r="B146" s="9">
        <f>COUNTIF(実績!$R$5:$R$1474,A146)</f>
        <v>2</v>
      </c>
      <c r="C146" s="9">
        <f>COUNTIF(実績!$W$5:$W$1474,A146)</f>
        <v>0</v>
      </c>
      <c r="D146" s="9">
        <f>COUNTIF(実績!$AB$5:$AC$1474,A146)</f>
        <v>0</v>
      </c>
      <c r="E146" s="12" t="s">
        <v>6991</v>
      </c>
      <c r="F146" s="12" t="s">
        <v>5839</v>
      </c>
      <c r="G146" s="12" t="s">
        <v>5839</v>
      </c>
    </row>
    <row r="147" spans="1:7">
      <c r="A147" s="8" t="s">
        <v>910</v>
      </c>
      <c r="B147" s="9">
        <f>COUNTIF(実績!$R$5:$R$1474,A147)</f>
        <v>2</v>
      </c>
      <c r="C147" s="9">
        <f>COUNTIF(実績!$W$5:$W$1474,A147)</f>
        <v>0</v>
      </c>
      <c r="D147" s="9">
        <f>COUNTIF(実績!$AB$5:$AC$1474,A147)</f>
        <v>0</v>
      </c>
      <c r="E147" s="12" t="s">
        <v>4389</v>
      </c>
      <c r="F147" s="12"/>
      <c r="G147" s="12"/>
    </row>
    <row r="148" spans="1:7">
      <c r="A148" s="8" t="s">
        <v>4165</v>
      </c>
      <c r="B148" s="9">
        <f>COUNTIF(実績!$R$5:$R$1474,A148)</f>
        <v>0</v>
      </c>
      <c r="C148" s="9">
        <f>COUNTIF(実績!$W$5:$W$1474,A148)</f>
        <v>2</v>
      </c>
      <c r="D148" s="9">
        <f>COUNTIF(実績!$AB$5:$AC$1474,A148)</f>
        <v>0</v>
      </c>
      <c r="E148" s="12" t="s">
        <v>4167</v>
      </c>
      <c r="F148" s="12"/>
      <c r="G148" s="12"/>
    </row>
    <row r="149" spans="1:7">
      <c r="A149" s="8" t="s">
        <v>6656</v>
      </c>
      <c r="B149" s="9">
        <f>COUNTIF(実績!$R$5:$R$1474,A149)</f>
        <v>3</v>
      </c>
      <c r="C149" s="9">
        <f>COUNTIF(実績!$W$5:$W$1474,A149)</f>
        <v>0</v>
      </c>
      <c r="D149" s="9">
        <f>COUNTIF(実績!$AB$5:$AC$1474,A149)</f>
        <v>0</v>
      </c>
      <c r="E149" s="12" t="s">
        <v>6657</v>
      </c>
      <c r="F149" s="12" t="s">
        <v>5839</v>
      </c>
      <c r="G149" s="12" t="s">
        <v>5839</v>
      </c>
    </row>
    <row r="150" spans="1:7">
      <c r="A150" s="8" t="s">
        <v>489</v>
      </c>
      <c r="B150" s="9">
        <f>COUNTIF(実績!$R$5:$R$1474,A150)</f>
        <v>1</v>
      </c>
      <c r="C150" s="9">
        <f>COUNTIF(実績!$W$5:$W$1474,A150)</f>
        <v>0</v>
      </c>
      <c r="D150" s="9">
        <f>COUNTIF(実績!$AB$5:$AC$1474,A150)</f>
        <v>0</v>
      </c>
      <c r="E150" s="12" t="s">
        <v>4390</v>
      </c>
      <c r="F150" s="12"/>
      <c r="G150" s="12"/>
    </row>
    <row r="151" spans="1:7">
      <c r="A151" s="8" t="s">
        <v>4358</v>
      </c>
      <c r="B151" s="9">
        <f>COUNTIF(実績!$R$5:$R$1474,A151)</f>
        <v>0</v>
      </c>
      <c r="C151" s="9">
        <f>COUNTIF(実績!$W$5:$W$1474,A151)</f>
        <v>1</v>
      </c>
      <c r="D151" s="9">
        <f>COUNTIF(実績!$AB$5:$AC$1474,A151)</f>
        <v>0</v>
      </c>
      <c r="E151" s="12" t="s">
        <v>4359</v>
      </c>
      <c r="F151" s="12"/>
      <c r="G151" s="12"/>
    </row>
    <row r="152" spans="1:7">
      <c r="A152" s="8" t="s">
        <v>14532</v>
      </c>
      <c r="B152" s="9">
        <f>COUNTIF(実績!$R$5:$R$1474,A152)</f>
        <v>0</v>
      </c>
      <c r="C152" s="9">
        <f>COUNTIF(実績!$W$5:$W$1474,A152)</f>
        <v>0</v>
      </c>
      <c r="D152" s="9">
        <f>COUNTIF(実績!$AB$5:$AC$1474,A152)</f>
        <v>1</v>
      </c>
      <c r="E152" s="12" t="s">
        <v>14533</v>
      </c>
      <c r="F152" s="12"/>
      <c r="G152" s="12"/>
    </row>
    <row r="153" spans="1:7">
      <c r="A153" s="8" t="s">
        <v>991</v>
      </c>
      <c r="B153" s="9">
        <f>COUNTIF(実績!$R$5:$R$1474,A153)</f>
        <v>5</v>
      </c>
      <c r="C153" s="9">
        <f>COUNTIF(実績!$W$5:$W$1474,A153)</f>
        <v>0</v>
      </c>
      <c r="D153" s="9">
        <f>COUNTIF(実績!$AB$5:$AC$1474,A153)</f>
        <v>0</v>
      </c>
      <c r="E153" s="12" t="s">
        <v>2901</v>
      </c>
      <c r="F153" s="12"/>
      <c r="G153" s="12"/>
    </row>
    <row r="154" spans="1:7">
      <c r="A154" s="8" t="s">
        <v>4354</v>
      </c>
      <c r="B154" s="9">
        <f>COUNTIF(実績!$R$5:$R$1474,A154)</f>
        <v>2</v>
      </c>
      <c r="C154" s="9">
        <f>COUNTIF(実績!$W$5:$W$1474,A154)</f>
        <v>0</v>
      </c>
      <c r="D154" s="9">
        <f>COUNTIF(実績!$AB$5:$AC$1474,A154)</f>
        <v>0</v>
      </c>
      <c r="E154" s="12" t="s">
        <v>4355</v>
      </c>
      <c r="F154" s="12"/>
      <c r="G154" s="12"/>
    </row>
    <row r="155" spans="1:7">
      <c r="A155" s="8" t="s">
        <v>3828</v>
      </c>
      <c r="B155" s="9">
        <f>COUNTIF(実績!$R$5:$R$1474,A155)</f>
        <v>4</v>
      </c>
      <c r="C155" s="9">
        <f>COUNTIF(実績!$W$5:$W$1474,A155)</f>
        <v>0</v>
      </c>
      <c r="D155" s="9">
        <f>COUNTIF(実績!$AB$5:$AC$1474,A155)</f>
        <v>1</v>
      </c>
      <c r="E155" s="12" t="s">
        <v>3829</v>
      </c>
      <c r="F155" s="12"/>
      <c r="G155" s="12"/>
    </row>
    <row r="156" spans="1:7">
      <c r="A156" s="8" t="s">
        <v>7328</v>
      </c>
      <c r="B156" s="9">
        <f>COUNTIF(実績!$R$5:$R$1474,A156)</f>
        <v>2</v>
      </c>
      <c r="C156" s="9">
        <f>COUNTIF(実績!$W$5:$W$1474,A156)</f>
        <v>1</v>
      </c>
      <c r="D156" s="9">
        <f>COUNTIF(実績!$AB$5:$AC$1474,A156)</f>
        <v>1</v>
      </c>
      <c r="E156" s="12" t="s">
        <v>7329</v>
      </c>
      <c r="F156" s="12"/>
      <c r="G156" s="12"/>
    </row>
    <row r="157" spans="1:7">
      <c r="A157" s="8" t="s">
        <v>8673</v>
      </c>
      <c r="B157" s="9">
        <f>COUNTIF(実績!$R$5:$R$1474,A157)</f>
        <v>0</v>
      </c>
      <c r="C157" s="9">
        <f>COUNTIF(実績!$W$5:$W$1474,A157)</f>
        <v>1</v>
      </c>
      <c r="D157" s="9">
        <f>COUNTIF(実績!$AB$5:$AC$1474,A157)</f>
        <v>0</v>
      </c>
      <c r="E157" s="12" t="s">
        <v>8674</v>
      </c>
      <c r="F157" s="12" t="s">
        <v>5839</v>
      </c>
      <c r="G157" s="12" t="s">
        <v>5839</v>
      </c>
    </row>
    <row r="158" spans="1:7" ht="12.75" customHeight="1">
      <c r="A158" s="8" t="s">
        <v>3811</v>
      </c>
      <c r="B158" s="9">
        <f>COUNTIF(実績!$R$5:$R$1474,A158)</f>
        <v>0</v>
      </c>
      <c r="C158" s="9">
        <f>COUNTIF(実績!$W$5:$W$1474,A158)</f>
        <v>0</v>
      </c>
      <c r="D158" s="9">
        <f>COUNTIF(実績!$AB$5:$AC$1474,A158)</f>
        <v>1</v>
      </c>
      <c r="E158" s="12" t="s">
        <v>3813</v>
      </c>
      <c r="F158" s="12"/>
      <c r="G158" s="12"/>
    </row>
    <row r="159" spans="1:7">
      <c r="A159" s="8" t="s">
        <v>3296</v>
      </c>
      <c r="B159" s="9">
        <f>COUNTIF(実績!$R$5:$R$1474,A159)</f>
        <v>0</v>
      </c>
      <c r="C159" s="9">
        <f>COUNTIF(実績!$W$5:$W$1474,A159)</f>
        <v>2</v>
      </c>
      <c r="D159" s="9">
        <f>COUNTIF(実績!$AB$5:$AC$1474,A159)</f>
        <v>0</v>
      </c>
      <c r="E159" s="12" t="s">
        <v>3297</v>
      </c>
      <c r="F159" s="12"/>
      <c r="G159" s="12"/>
    </row>
    <row r="160" spans="1:7">
      <c r="A160" s="8" t="s">
        <v>14516</v>
      </c>
      <c r="B160" s="9">
        <f>COUNTIF(実績!$R$5:$R$1474,A160)</f>
        <v>0</v>
      </c>
      <c r="C160" s="9">
        <f>COUNTIF(実績!$W$5:$W$1474,A160)</f>
        <v>1</v>
      </c>
      <c r="D160" s="9">
        <f>COUNTIF(実績!$AB$5:$AC$1474,A160)</f>
        <v>0</v>
      </c>
      <c r="E160" s="12" t="s">
        <v>14517</v>
      </c>
      <c r="F160" s="12"/>
      <c r="G160" s="12"/>
    </row>
    <row r="161" spans="1:7">
      <c r="A161" s="8" t="s">
        <v>6028</v>
      </c>
      <c r="B161" s="9">
        <f>COUNTIF(実績!$R$5:$R$1474,A161)</f>
        <v>1</v>
      </c>
      <c r="C161" s="9">
        <f>COUNTIF(実績!$W$5:$W$1474,A161)</f>
        <v>0</v>
      </c>
      <c r="D161" s="9">
        <f>COUNTIF(実績!$AB$5:$AC$1474,A161)</f>
        <v>0</v>
      </c>
      <c r="E161" s="12" t="s">
        <v>6030</v>
      </c>
      <c r="F161" s="12" t="s">
        <v>5839</v>
      </c>
      <c r="G161" s="12"/>
    </row>
    <row r="162" spans="1:7">
      <c r="A162" s="8" t="s">
        <v>5989</v>
      </c>
      <c r="B162" s="9">
        <f>COUNTIF(実績!$R$5:$R$1474,A162)</f>
        <v>1</v>
      </c>
      <c r="C162" s="9">
        <f>COUNTIF(実績!$W$5:$W$1474,A162)</f>
        <v>0</v>
      </c>
      <c r="D162" s="9">
        <f>COUNTIF(実績!$AB$5:$AC$1474,A162)</f>
        <v>0</v>
      </c>
      <c r="E162" s="12" t="s">
        <v>5990</v>
      </c>
      <c r="F162" s="12" t="s">
        <v>5839</v>
      </c>
      <c r="G162" s="12"/>
    </row>
    <row r="163" spans="1:7">
      <c r="A163" s="8" t="s">
        <v>8172</v>
      </c>
      <c r="B163" s="9">
        <f>COUNTIF(実績!$R$5:$R$1474,A163)</f>
        <v>2</v>
      </c>
      <c r="C163" s="9">
        <f>COUNTIF(実績!$W$5:$W$1474,A163)</f>
        <v>0</v>
      </c>
      <c r="D163" s="9">
        <f>COUNTIF(実績!$AB$5:$AC$1474,A163)</f>
        <v>0</v>
      </c>
      <c r="E163" s="12" t="s">
        <v>8174</v>
      </c>
      <c r="F163" s="12" t="s">
        <v>5839</v>
      </c>
      <c r="G163" s="12" t="s">
        <v>5839</v>
      </c>
    </row>
    <row r="164" spans="1:7">
      <c r="A164" s="8" t="s">
        <v>4875</v>
      </c>
      <c r="B164" s="9">
        <f>COUNTIF(実績!$R$5:$R$1474,A164)</f>
        <v>1</v>
      </c>
      <c r="C164" s="9">
        <f>COUNTIF(実績!$W$5:$W$1474,A164)</f>
        <v>0</v>
      </c>
      <c r="D164" s="9">
        <f>COUNTIF(実績!$AB$5:$AC$1474,A164)</f>
        <v>0</v>
      </c>
      <c r="E164" s="12" t="s">
        <v>4876</v>
      </c>
      <c r="F164" s="12"/>
      <c r="G164" s="12"/>
    </row>
    <row r="165" spans="1:7">
      <c r="A165" s="8" t="s">
        <v>11005</v>
      </c>
      <c r="B165" s="9">
        <f>COUNTIF(実績!$R$5:$R$1474,A165)</f>
        <v>0</v>
      </c>
      <c r="C165" s="9">
        <f>COUNTIF(実績!$W$5:$W$1474,A165)</f>
        <v>1</v>
      </c>
      <c r="D165" s="9">
        <f>COUNTIF(実績!$AB$5:$AC$1474,A165)</f>
        <v>0</v>
      </c>
      <c r="E165" s="12" t="s">
        <v>11006</v>
      </c>
      <c r="F165" s="12"/>
      <c r="G165" s="12"/>
    </row>
    <row r="166" spans="1:7">
      <c r="A166" s="8" t="s">
        <v>8716</v>
      </c>
      <c r="B166" s="9">
        <f>COUNTIF(実績!$R$5:$R$1474,A166)</f>
        <v>0</v>
      </c>
      <c r="C166" s="9">
        <f>COUNTIF(実績!$W$5:$W$1474,A166)</f>
        <v>3</v>
      </c>
      <c r="D166" s="9">
        <f>COUNTIF(実績!$AB$5:$AC$1474,A166)</f>
        <v>0</v>
      </c>
      <c r="E166" s="12" t="s">
        <v>8752</v>
      </c>
      <c r="F166" s="12" t="s">
        <v>5839</v>
      </c>
      <c r="G166" s="12" t="s">
        <v>5839</v>
      </c>
    </row>
    <row r="167" spans="1:7">
      <c r="A167" s="8" t="s">
        <v>10192</v>
      </c>
      <c r="B167" s="9">
        <f>COUNTIF(実績!$R$5:$R$1474,A167)</f>
        <v>0</v>
      </c>
      <c r="C167" s="9">
        <f>COUNTIF(実績!$W$5:$W$1474,A167)</f>
        <v>3</v>
      </c>
      <c r="D167" s="9">
        <f>COUNTIF(実績!$AB$5:$AC$1474,A167)</f>
        <v>1</v>
      </c>
      <c r="E167" s="12" t="s">
        <v>10193</v>
      </c>
      <c r="F167" s="12"/>
      <c r="G167" s="12"/>
    </row>
    <row r="168" spans="1:7">
      <c r="A168" s="8" t="s">
        <v>1141</v>
      </c>
      <c r="B168" s="9">
        <f>COUNTIF(実績!$R$5:$R$1474,A168)</f>
        <v>0</v>
      </c>
      <c r="C168" s="9">
        <f>COUNTIF(実績!$W$5:$W$1474,A168)</f>
        <v>1</v>
      </c>
      <c r="D168" s="9">
        <f>COUNTIF(実績!$AB$5:$AC$1474,A168)</f>
        <v>0</v>
      </c>
      <c r="E168" s="12" t="s">
        <v>4363</v>
      </c>
      <c r="F168" s="12"/>
      <c r="G168" s="12"/>
    </row>
    <row r="169" spans="1:7">
      <c r="A169" s="8" t="s">
        <v>4356</v>
      </c>
      <c r="B169" s="9">
        <f>COUNTIF(実績!$R$5:$R$1474,A169)</f>
        <v>0</v>
      </c>
      <c r="C169" s="9">
        <f>COUNTIF(実績!$W$5:$W$1474,A169)</f>
        <v>2</v>
      </c>
      <c r="D169" s="9">
        <f>COUNTIF(実績!$AB$5:$AC$1474,A169)</f>
        <v>0</v>
      </c>
      <c r="E169" s="12" t="s">
        <v>4357</v>
      </c>
      <c r="F169" s="12"/>
      <c r="G169" s="12"/>
    </row>
    <row r="170" spans="1:7">
      <c r="A170" s="8" t="s">
        <v>5911</v>
      </c>
      <c r="B170" s="9">
        <f>COUNTIF(実績!$R$5:$R$1474,A170)</f>
        <v>6</v>
      </c>
      <c r="C170" s="9">
        <f>COUNTIF(実績!$W$5:$W$1474,A170)</f>
        <v>2</v>
      </c>
      <c r="D170" s="9">
        <f>COUNTIF(実績!$AB$5:$AC$1474,A170)</f>
        <v>0</v>
      </c>
      <c r="E170" s="12" t="s">
        <v>5912</v>
      </c>
      <c r="F170" s="12" t="s">
        <v>5839</v>
      </c>
      <c r="G170" s="12"/>
    </row>
    <row r="171" spans="1:7">
      <c r="A171" s="13" t="s">
        <v>10150</v>
      </c>
      <c r="B171" s="9">
        <f>COUNTIF(実績!$R$5:$R$1474,A171)</f>
        <v>0</v>
      </c>
      <c r="C171" s="9">
        <f>COUNTIF(実績!$W$5:$W$1474,A171)</f>
        <v>7</v>
      </c>
      <c r="D171" s="9">
        <f>COUNTIF(実績!$AB$5:$AC$1474,A171)</f>
        <v>0</v>
      </c>
      <c r="E171" s="12" t="s">
        <v>2902</v>
      </c>
      <c r="F171" s="12"/>
      <c r="G171" s="12"/>
    </row>
    <row r="172" spans="1:7">
      <c r="A172" s="8" t="s">
        <v>970</v>
      </c>
      <c r="B172" s="9">
        <f>COUNTIF(実績!$R$5:$R$1474,A172)</f>
        <v>1</v>
      </c>
      <c r="C172" s="9">
        <f>COUNTIF(実績!$W$5:$W$1474,A172)</f>
        <v>0</v>
      </c>
      <c r="D172" s="9">
        <f>COUNTIF(実績!$AB$5:$AC$1474,A172)</f>
        <v>0</v>
      </c>
      <c r="E172" s="12" t="s">
        <v>4388</v>
      </c>
      <c r="F172" s="12"/>
      <c r="G172" s="12"/>
    </row>
    <row r="173" spans="1:7">
      <c r="A173" s="8" t="s">
        <v>3885</v>
      </c>
      <c r="B173" s="9">
        <f>COUNTIF(実績!$R$5:$R$1474,A173)</f>
        <v>1</v>
      </c>
      <c r="C173" s="9">
        <f>COUNTIF(実績!$W$5:$W$1474,A173)</f>
        <v>1</v>
      </c>
      <c r="D173" s="9">
        <f>COUNTIF(実績!$AB$5:$AC$1474,A173)</f>
        <v>0</v>
      </c>
      <c r="E173" s="12" t="s">
        <v>3887</v>
      </c>
      <c r="F173" s="12"/>
      <c r="G173" s="12"/>
    </row>
    <row r="174" spans="1:7">
      <c r="A174" s="8" t="s">
        <v>9631</v>
      </c>
      <c r="B174" s="9">
        <f>COUNTIF(実績!$R$5:$R$1474,A174)</f>
        <v>0</v>
      </c>
      <c r="C174" s="9">
        <f>COUNTIF(実績!$W$5:$W$1474,A174)</f>
        <v>1</v>
      </c>
      <c r="D174" s="9">
        <f>COUNTIF(実績!$AB$5:$AC$1474,A174)</f>
        <v>0</v>
      </c>
      <c r="E174" s="12" t="s">
        <v>9632</v>
      </c>
      <c r="F174" s="12"/>
      <c r="G174" s="12"/>
    </row>
    <row r="175" spans="1:7">
      <c r="A175" s="8" t="s">
        <v>6183</v>
      </c>
      <c r="B175" s="9">
        <f>COUNTIF(実績!$R$5:$R$1474,A175)</f>
        <v>1</v>
      </c>
      <c r="C175" s="9">
        <f>COUNTIF(実績!$W$5:$W$1474,A175)</f>
        <v>0</v>
      </c>
      <c r="D175" s="9">
        <f>COUNTIF(実績!$AB$5:$AC$1474,A175)</f>
        <v>0</v>
      </c>
      <c r="E175" s="12" t="s">
        <v>6184</v>
      </c>
      <c r="F175" s="12" t="s">
        <v>5839</v>
      </c>
      <c r="G175" s="12"/>
    </row>
    <row r="176" spans="1:7">
      <c r="A176" s="8" t="s">
        <v>15994</v>
      </c>
      <c r="B176" s="9">
        <f>COUNTIF(実績!$R$5:$R$1474,A176)</f>
        <v>0</v>
      </c>
      <c r="C176" s="9">
        <f>COUNTIF(実績!$W$5:$W$1474,A176)</f>
        <v>0</v>
      </c>
      <c r="D176" s="9">
        <f>COUNTIF(実績!$AB$5:$AC$1474,A176)</f>
        <v>1</v>
      </c>
      <c r="E176" s="12" t="s">
        <v>15545</v>
      </c>
      <c r="F176" s="12"/>
      <c r="G176" s="12"/>
    </row>
    <row r="177" spans="1:7">
      <c r="A177" s="8" t="s">
        <v>4468</v>
      </c>
      <c r="B177" s="9">
        <f>COUNTIF(実績!$R$5:$R$1474,A177)</f>
        <v>1</v>
      </c>
      <c r="C177" s="9">
        <f>COUNTIF(実績!$W$5:$W$1474,A177)</f>
        <v>0</v>
      </c>
      <c r="D177" s="9">
        <f>COUNTIF(実績!$AB$5:$AC$1474,A177)</f>
        <v>0</v>
      </c>
      <c r="E177" s="12" t="s">
        <v>4469</v>
      </c>
      <c r="F177" s="12"/>
      <c r="G177" s="12"/>
    </row>
    <row r="178" spans="1:7">
      <c r="A178" s="8" t="s">
        <v>6224</v>
      </c>
      <c r="B178" s="9">
        <f>COUNTIF(実績!$R$5:$R$1474,A178)</f>
        <v>0</v>
      </c>
      <c r="C178" s="9">
        <f>COUNTIF(実績!$W$5:$W$1474,A178)</f>
        <v>1</v>
      </c>
      <c r="D178" s="9">
        <f>COUNTIF(実績!$AB$5:$AC$1474,A178)</f>
        <v>1</v>
      </c>
      <c r="E178" s="12" t="s">
        <v>6250</v>
      </c>
      <c r="F178" s="12" t="s">
        <v>5839</v>
      </c>
      <c r="G178" s="12"/>
    </row>
    <row r="179" spans="1:7">
      <c r="A179" s="8" t="s">
        <v>3384</v>
      </c>
      <c r="B179" s="9">
        <f>COUNTIF(実績!$R$5:$R$1474,A179)</f>
        <v>1</v>
      </c>
      <c r="C179" s="9">
        <f>COUNTIF(実績!$W$5:$W$1474,A179)</f>
        <v>0</v>
      </c>
      <c r="D179" s="9">
        <f>COUNTIF(実績!$AB$5:$AC$1474,A179)</f>
        <v>0</v>
      </c>
      <c r="E179" s="12" t="s">
        <v>3385</v>
      </c>
      <c r="F179" s="12"/>
      <c r="G179" s="12"/>
    </row>
    <row r="180" spans="1:7">
      <c r="A180" s="8" t="s">
        <v>629</v>
      </c>
      <c r="B180" s="9">
        <f>COUNTIF(実績!$R$5:$R$1474,A180)</f>
        <v>2</v>
      </c>
      <c r="C180" s="9">
        <f>COUNTIF(実績!$W$5:$W$1474,A180)</f>
        <v>0</v>
      </c>
      <c r="D180" s="9">
        <f>COUNTIF(実績!$AB$5:$AC$1474,A180)</f>
        <v>0</v>
      </c>
      <c r="E180" s="12" t="s">
        <v>4360</v>
      </c>
      <c r="F180" s="12"/>
      <c r="G180" s="12"/>
    </row>
    <row r="181" spans="1:7">
      <c r="A181" s="8" t="s">
        <v>15120</v>
      </c>
      <c r="B181" s="9">
        <f>COUNTIF(実績!$R$5:$R$1474,A181)</f>
        <v>1</v>
      </c>
      <c r="C181" s="9">
        <f>COUNTIF(実績!$W$5:$W$1474,A181)</f>
        <v>0</v>
      </c>
      <c r="D181" s="9">
        <f>COUNTIF(実績!$AB$5:$AC$1474,A181)</f>
        <v>0</v>
      </c>
      <c r="E181" s="12" t="s">
        <v>15121</v>
      </c>
      <c r="F181" s="12"/>
      <c r="G181" s="12"/>
    </row>
    <row r="182" spans="1:7">
      <c r="A182" s="8" t="s">
        <v>7652</v>
      </c>
      <c r="B182" s="9">
        <f>COUNTIF(実績!$R$5:$R$1474,A182)</f>
        <v>1</v>
      </c>
      <c r="C182" s="9">
        <f>COUNTIF(実績!$W$5:$W$1474,A182)</f>
        <v>0</v>
      </c>
      <c r="D182" s="9">
        <f>COUNTIF(実績!$AB$5:$AC$1474,A182)</f>
        <v>0</v>
      </c>
      <c r="E182" s="12" t="s">
        <v>7653</v>
      </c>
      <c r="F182" s="12" t="s">
        <v>5839</v>
      </c>
      <c r="G182" s="12" t="s">
        <v>5839</v>
      </c>
    </row>
    <row r="183" spans="1:7">
      <c r="A183" s="8" t="s">
        <v>4406</v>
      </c>
      <c r="B183" s="9">
        <f>COUNTIF(実績!$R$5:$R$1474,A183)</f>
        <v>1</v>
      </c>
      <c r="C183" s="9">
        <f>COUNTIF(実績!$W$5:$W$1474,A183)</f>
        <v>0</v>
      </c>
      <c r="D183" s="9">
        <f>COUNTIF(実績!$AB$5:$AC$1474,A183)</f>
        <v>0</v>
      </c>
      <c r="E183" s="12" t="s">
        <v>4407</v>
      </c>
      <c r="F183" s="12"/>
      <c r="G183" s="12"/>
    </row>
    <row r="184" spans="1:7">
      <c r="A184" s="8" t="s">
        <v>3145</v>
      </c>
      <c r="B184" s="9">
        <f>COUNTIF(実績!$R$5:$R$1474,A184)</f>
        <v>3</v>
      </c>
      <c r="C184" s="9">
        <f>COUNTIF(実績!$W$5:$W$1474,A184)</f>
        <v>3</v>
      </c>
      <c r="D184" s="9">
        <f>COUNTIF(実績!$AB$5:$AC$1474,A184)</f>
        <v>0</v>
      </c>
      <c r="E184" s="12" t="s">
        <v>3146</v>
      </c>
      <c r="F184" s="12"/>
      <c r="G184" s="12"/>
    </row>
    <row r="185" spans="1:7">
      <c r="A185" s="8" t="s">
        <v>8236</v>
      </c>
      <c r="B185" s="9">
        <f>COUNTIF(実績!$R$5:$R$1474,A185)</f>
        <v>1</v>
      </c>
      <c r="C185" s="9">
        <f>COUNTIF(実績!$W$5:$W$1474,A185)</f>
        <v>1</v>
      </c>
      <c r="D185" s="9">
        <f>COUNTIF(実績!$AB$5:$AC$1474,A185)</f>
        <v>0</v>
      </c>
      <c r="E185" s="12" t="s">
        <v>8237</v>
      </c>
      <c r="F185" s="12" t="s">
        <v>5839</v>
      </c>
      <c r="G185" s="12" t="s">
        <v>5839</v>
      </c>
    </row>
    <row r="186" spans="1:7">
      <c r="A186" s="8" t="s">
        <v>768</v>
      </c>
      <c r="B186" s="9">
        <f>COUNTIF(実績!$R$5:$R$1474,A186)</f>
        <v>1</v>
      </c>
      <c r="C186" s="9">
        <f>COUNTIF(実績!$W$5:$W$1474,A186)</f>
        <v>0</v>
      </c>
      <c r="D186" s="9">
        <f>COUNTIF(実績!$AB$5:$AC$1474,A186)</f>
        <v>0</v>
      </c>
      <c r="E186" s="12" t="s">
        <v>1281</v>
      </c>
      <c r="F186" s="12"/>
      <c r="G186" s="12"/>
    </row>
    <row r="187" spans="1:7">
      <c r="A187" s="8" t="s">
        <v>2894</v>
      </c>
      <c r="B187" s="9">
        <f>COUNTIF(実績!$R$5:$R$1474,A187)</f>
        <v>1</v>
      </c>
      <c r="C187" s="9">
        <f>COUNTIF(実績!$W$5:$W$1474,A187)</f>
        <v>0</v>
      </c>
      <c r="D187" s="9">
        <f>COUNTIF(実績!$AB$5:$AC$1474,A187)</f>
        <v>0</v>
      </c>
      <c r="E187" s="12" t="s">
        <v>2895</v>
      </c>
      <c r="F187" s="12"/>
      <c r="G187" s="12"/>
    </row>
    <row r="188" spans="1:7">
      <c r="A188" s="8" t="s">
        <v>12468</v>
      </c>
      <c r="B188" s="9">
        <f>COUNTIF(実績!$R$5:$R$1474,A188)</f>
        <v>0</v>
      </c>
      <c r="C188" s="9">
        <f>COUNTIF(実績!$W$5:$W$1474,A188)</f>
        <v>0</v>
      </c>
      <c r="D188" s="9">
        <f>COUNTIF(実績!$AB$5:$AC$1474,A188)</f>
        <v>3</v>
      </c>
      <c r="E188" s="12" t="s">
        <v>4329</v>
      </c>
      <c r="F188" s="12"/>
      <c r="G188" s="12"/>
    </row>
    <row r="189" spans="1:7">
      <c r="A189" s="8" t="s">
        <v>8914</v>
      </c>
      <c r="B189" s="9">
        <f>COUNTIF(実績!$R$5:$R$1474,A189)</f>
        <v>2</v>
      </c>
      <c r="C189" s="9">
        <f>COUNTIF(実績!$W$5:$W$1474,A189)</f>
        <v>0</v>
      </c>
      <c r="D189" s="9">
        <f>COUNTIF(実績!$AB$5:$AC$1474,A189)</f>
        <v>0</v>
      </c>
      <c r="E189" s="12" t="s">
        <v>8927</v>
      </c>
      <c r="F189" s="12" t="s">
        <v>5839</v>
      </c>
      <c r="G189" s="12" t="s">
        <v>5839</v>
      </c>
    </row>
    <row r="190" spans="1:7">
      <c r="A190" s="8" t="s">
        <v>500</v>
      </c>
      <c r="B190" s="9">
        <f>COUNTIF(実績!$R$5:$R$1474,A190)</f>
        <v>1</v>
      </c>
      <c r="C190" s="9">
        <f>COUNTIF(実績!$W$5:$W$1474,A190)</f>
        <v>0</v>
      </c>
      <c r="D190" s="9">
        <f>COUNTIF(実績!$AB$5:$AC$1474,A190)</f>
        <v>3</v>
      </c>
      <c r="E190" s="12" t="s">
        <v>1264</v>
      </c>
      <c r="F190" s="12"/>
      <c r="G190" s="12"/>
    </row>
    <row r="191" spans="1:7">
      <c r="A191" s="8" t="s">
        <v>4456</v>
      </c>
      <c r="B191" s="9">
        <f>COUNTIF(実績!$R$5:$R$1474,A191)</f>
        <v>0</v>
      </c>
      <c r="C191" s="9">
        <f>COUNTIF(実績!$W$5:$W$1474,A191)</f>
        <v>0</v>
      </c>
      <c r="D191" s="9">
        <f>COUNTIF(実績!$AB$5:$AC$1474,A191)</f>
        <v>1</v>
      </c>
      <c r="E191" s="12" t="s">
        <v>4457</v>
      </c>
      <c r="F191" s="12"/>
      <c r="G191" s="12"/>
    </row>
    <row r="192" spans="1:7">
      <c r="A192" s="8" t="s">
        <v>6052</v>
      </c>
      <c r="B192" s="9">
        <f>COUNTIF(実績!$R$5:$R$1474,A192)</f>
        <v>1</v>
      </c>
      <c r="C192" s="9">
        <f>COUNTIF(実績!$W$5:$W$1474,A192)</f>
        <v>0</v>
      </c>
      <c r="D192" s="9">
        <f>COUNTIF(実績!$AB$5:$AC$1474,A192)</f>
        <v>0</v>
      </c>
      <c r="E192" s="12" t="s">
        <v>6054</v>
      </c>
      <c r="F192" s="12" t="s">
        <v>5839</v>
      </c>
      <c r="G192" s="12"/>
    </row>
    <row r="193" spans="1:7">
      <c r="A193" s="8" t="s">
        <v>712</v>
      </c>
      <c r="B193" s="9">
        <f>COUNTIF(実績!$R$5:$R$1474,A193)</f>
        <v>7</v>
      </c>
      <c r="C193" s="9">
        <f>COUNTIF(実績!$W$5:$W$1474,A193)</f>
        <v>19</v>
      </c>
      <c r="D193" s="9">
        <f>COUNTIF(実績!$AB$5:$AC$1474,A193)</f>
        <v>0</v>
      </c>
      <c r="E193" s="12" t="s">
        <v>1265</v>
      </c>
      <c r="F193" s="12"/>
      <c r="G193" s="12"/>
    </row>
    <row r="194" spans="1:7">
      <c r="A194" s="8" t="s">
        <v>4386</v>
      </c>
      <c r="B194" s="9">
        <f>COUNTIF(実績!$R$5:$R$1474,A194)</f>
        <v>1</v>
      </c>
      <c r="C194" s="9">
        <f>COUNTIF(実績!$W$5:$W$1474,A194)</f>
        <v>2</v>
      </c>
      <c r="D194" s="9">
        <f>COUNTIF(実績!$AB$5:$AC$1474,A194)</f>
        <v>0</v>
      </c>
      <c r="E194" s="12" t="s">
        <v>3763</v>
      </c>
      <c r="F194" s="12"/>
      <c r="G194" s="12"/>
    </row>
    <row r="195" spans="1:7">
      <c r="A195" s="8" t="s">
        <v>3688</v>
      </c>
      <c r="B195" s="9">
        <f>COUNTIF(実績!$R$5:$R$1474,A195)</f>
        <v>3</v>
      </c>
      <c r="C195" s="9">
        <f>COUNTIF(実績!$W$5:$W$1474,A195)</f>
        <v>0</v>
      </c>
      <c r="D195" s="9">
        <f>COUNTIF(実績!$AB$5:$AC$1474,A195)</f>
        <v>0</v>
      </c>
      <c r="E195" s="12" t="s">
        <v>3689</v>
      </c>
      <c r="F195" s="12"/>
      <c r="G195" s="12"/>
    </row>
    <row r="196" spans="1:7">
      <c r="A196" s="8" t="s">
        <v>5285</v>
      </c>
      <c r="B196" s="9">
        <f>COUNTIF(実績!$R$5:$R$1474,A196)</f>
        <v>0</v>
      </c>
      <c r="C196" s="9">
        <f>COUNTIF(実績!$W$5:$W$1474,A196)</f>
        <v>3</v>
      </c>
      <c r="D196" s="9">
        <f>COUNTIF(実績!$AB$5:$AC$1474,A196)</f>
        <v>0</v>
      </c>
      <c r="E196" s="12" t="s">
        <v>5292</v>
      </c>
      <c r="F196" s="12"/>
      <c r="G196" s="12"/>
    </row>
    <row r="197" spans="1:7">
      <c r="A197" s="8" t="s">
        <v>8151</v>
      </c>
      <c r="B197" s="9">
        <f>COUNTIF(実績!$R$5:$R$1474,A197)</f>
        <v>0</v>
      </c>
      <c r="C197" s="9">
        <f>COUNTIF(実績!$W$5:$W$1474,A197)</f>
        <v>1</v>
      </c>
      <c r="D197" s="9">
        <f>COUNTIF(実績!$AB$5:$AC$1474,A197)</f>
        <v>0</v>
      </c>
      <c r="E197" s="12" t="s">
        <v>8153</v>
      </c>
      <c r="F197" s="12" t="s">
        <v>5839</v>
      </c>
      <c r="G197" s="12" t="s">
        <v>5839</v>
      </c>
    </row>
    <row r="198" spans="1:7">
      <c r="A198" s="8" t="s">
        <v>15694</v>
      </c>
      <c r="B198" s="9">
        <f>COUNTIF(実績!$R$5:$R$1474,A198)</f>
        <v>2</v>
      </c>
      <c r="C198" s="9">
        <f>COUNTIF(実績!$W$5:$W$1474,A198)</f>
        <v>1</v>
      </c>
      <c r="D198" s="9">
        <f>COUNTIF(実績!$AB$5:$AC$1474,A198)</f>
        <v>1</v>
      </c>
      <c r="E198" s="12" t="s">
        <v>1266</v>
      </c>
      <c r="F198" s="12"/>
      <c r="G198" s="12"/>
    </row>
    <row r="199" spans="1:7">
      <c r="A199" s="8" t="s">
        <v>5773</v>
      </c>
      <c r="B199" s="9">
        <f>COUNTIF(実績!$R$5:$R$1474,A199)</f>
        <v>1</v>
      </c>
      <c r="C199" s="9">
        <f>COUNTIF(実績!$W$5:$W$1474,A199)</f>
        <v>1</v>
      </c>
      <c r="D199" s="9">
        <f>COUNTIF(実績!$AB$5:$AC$1474,A199)</f>
        <v>0</v>
      </c>
      <c r="E199" s="12" t="s">
        <v>5774</v>
      </c>
      <c r="F199" s="12" t="s">
        <v>5839</v>
      </c>
      <c r="G199" s="12"/>
    </row>
    <row r="200" spans="1:7">
      <c r="A200" s="8" t="s">
        <v>16133</v>
      </c>
      <c r="B200" s="9">
        <f>COUNTIF(実績!$R$5:$R$1474,A200)</f>
        <v>12</v>
      </c>
      <c r="C200" s="9">
        <f>COUNTIF(実績!$W$5:$W$1474,A200)</f>
        <v>2</v>
      </c>
      <c r="D200" s="9">
        <f>COUNTIF(実績!$AB$5:$AC$1474,A200)</f>
        <v>4</v>
      </c>
      <c r="E200" s="12" t="s">
        <v>1315</v>
      </c>
      <c r="F200" s="12"/>
      <c r="G200" s="12"/>
    </row>
    <row r="201" spans="1:7">
      <c r="A201" s="8" t="s">
        <v>1096</v>
      </c>
      <c r="B201" s="9">
        <f>COUNTIF(実績!$R$5:$R$1474,A201)</f>
        <v>0</v>
      </c>
      <c r="C201" s="9">
        <f>COUNTIF(実績!$W$5:$W$1474,A201)</f>
        <v>20</v>
      </c>
      <c r="D201" s="9">
        <f>COUNTIF(実績!$AB$5:$AC$1474,A201)</f>
        <v>1</v>
      </c>
      <c r="E201" s="12" t="s">
        <v>1282</v>
      </c>
      <c r="F201" s="12"/>
      <c r="G201" s="12"/>
    </row>
    <row r="202" spans="1:7">
      <c r="A202" s="8" t="s">
        <v>16566</v>
      </c>
      <c r="B202" s="9">
        <f>COUNTIF(実績!$R$5:$R$1474,A202)</f>
        <v>1</v>
      </c>
      <c r="C202" s="9">
        <f>COUNTIF(実績!$W$5:$W$1474,A202)</f>
        <v>1</v>
      </c>
      <c r="D202" s="9">
        <f>COUNTIF(実績!$AB$5:$AC$1474,A202)</f>
        <v>2</v>
      </c>
      <c r="E202" s="12" t="s">
        <v>3958</v>
      </c>
      <c r="F202" s="12"/>
      <c r="G202" s="12"/>
    </row>
    <row r="203" spans="1:7">
      <c r="A203" s="8" t="s">
        <v>2291</v>
      </c>
      <c r="B203" s="9">
        <f>COUNTIF(実績!$R$5:$R$1474,A203)</f>
        <v>1</v>
      </c>
      <c r="C203" s="9">
        <f>COUNTIF(実績!$W$5:$W$1474,A203)</f>
        <v>0</v>
      </c>
      <c r="D203" s="9">
        <f>COUNTIF(実績!$AB$5:$AC$1474,A203)</f>
        <v>0</v>
      </c>
      <c r="E203" s="12" t="s">
        <v>2292</v>
      </c>
      <c r="F203" s="12"/>
      <c r="G203" s="12"/>
    </row>
    <row r="204" spans="1:7">
      <c r="A204" s="8" t="s">
        <v>6948</v>
      </c>
      <c r="B204" s="9">
        <f>COUNTIF(実績!$R$5:$R$1474,A204)</f>
        <v>1</v>
      </c>
      <c r="C204" s="9">
        <f>COUNTIF(実績!$W$5:$W$1474,A204)</f>
        <v>0</v>
      </c>
      <c r="D204" s="9">
        <f>COUNTIF(実績!$AB$5:$AC$1474,A204)</f>
        <v>0</v>
      </c>
      <c r="E204" s="12" t="s">
        <v>6949</v>
      </c>
      <c r="F204" s="12" t="s">
        <v>5839</v>
      </c>
      <c r="G204" s="12" t="s">
        <v>5839</v>
      </c>
    </row>
    <row r="205" spans="1:7">
      <c r="A205" s="8" t="s">
        <v>3426</v>
      </c>
      <c r="B205" s="9">
        <f>COUNTIF(実績!$R$5:$R$1474,A205)</f>
        <v>0</v>
      </c>
      <c r="C205" s="9">
        <f>COUNTIF(実績!$W$5:$W$1474,A205)</f>
        <v>2</v>
      </c>
      <c r="D205" s="9">
        <f>COUNTIF(実績!$AB$5:$AC$1474,A205)</f>
        <v>0</v>
      </c>
      <c r="E205" s="12" t="s">
        <v>3427</v>
      </c>
      <c r="F205" s="12"/>
      <c r="G205" s="12"/>
    </row>
    <row r="206" spans="1:7">
      <c r="A206" s="8" t="s">
        <v>4828</v>
      </c>
      <c r="B206" s="9">
        <f>COUNTIF(実績!$R$5:$R$1474,A206)</f>
        <v>1</v>
      </c>
      <c r="C206" s="9">
        <f>COUNTIF(実績!$W$5:$W$1474,A206)</f>
        <v>0</v>
      </c>
      <c r="D206" s="9">
        <f>COUNTIF(実績!$AB$5:$AC$1474,A206)</f>
        <v>0</v>
      </c>
      <c r="E206" s="12" t="s">
        <v>4829</v>
      </c>
      <c r="F206" s="12"/>
      <c r="G206" s="12"/>
    </row>
    <row r="207" spans="1:7">
      <c r="A207" s="8" t="s">
        <v>8082</v>
      </c>
      <c r="B207" s="9">
        <f>COUNTIF(実績!$R$5:$R$1474,A207)</f>
        <v>0</v>
      </c>
      <c r="C207" s="9">
        <f>COUNTIF(実績!$W$5:$W$1474,A207)</f>
        <v>1</v>
      </c>
      <c r="D207" s="9">
        <f>COUNTIF(実績!$AB$5:$AC$1474,A207)</f>
        <v>0</v>
      </c>
      <c r="E207" s="12" t="s">
        <v>8136</v>
      </c>
      <c r="F207" s="12" t="s">
        <v>5839</v>
      </c>
      <c r="G207" s="12" t="s">
        <v>5839</v>
      </c>
    </row>
    <row r="208" spans="1:7">
      <c r="A208" s="8" t="s">
        <v>4576</v>
      </c>
      <c r="B208" s="9">
        <f>COUNTIF(実績!$R$5:$R$1474,A208)</f>
        <v>0</v>
      </c>
      <c r="C208" s="9">
        <f>COUNTIF(実績!$W$5:$W$1474,A208)</f>
        <v>1</v>
      </c>
      <c r="D208" s="9">
        <f>COUNTIF(実績!$AB$5:$AC$1474,A208)</f>
        <v>0</v>
      </c>
      <c r="E208" s="12" t="s">
        <v>4578</v>
      </c>
      <c r="F208" s="12"/>
      <c r="G208" s="12"/>
    </row>
    <row r="209" spans="1:7">
      <c r="A209" s="8" t="s">
        <v>1009</v>
      </c>
      <c r="B209" s="9">
        <f>COUNTIF(実績!$R$5:$R$1474,A209)</f>
        <v>1</v>
      </c>
      <c r="C209" s="9">
        <f>COUNTIF(実績!$W$5:$W$1474,A209)</f>
        <v>0</v>
      </c>
      <c r="D209" s="9">
        <f>COUNTIF(実績!$AB$5:$AC$1474,A209)</f>
        <v>0</v>
      </c>
      <c r="E209" s="12" t="s">
        <v>1267</v>
      </c>
      <c r="F209" s="12"/>
      <c r="G209" s="12"/>
    </row>
    <row r="210" spans="1:7">
      <c r="A210" s="8" t="s">
        <v>1136</v>
      </c>
      <c r="B210" s="9">
        <f>COUNTIF(実績!$R$5:$R$1474,A210)</f>
        <v>8</v>
      </c>
      <c r="C210" s="9">
        <f>COUNTIF(実績!$W$5:$W$1474,A210)</f>
        <v>0</v>
      </c>
      <c r="D210" s="9">
        <f>COUNTIF(実績!$AB$5:$AC$1474,A210)</f>
        <v>0</v>
      </c>
      <c r="E210" s="12" t="s">
        <v>1283</v>
      </c>
      <c r="F210" s="12"/>
      <c r="G210" s="12"/>
    </row>
    <row r="211" spans="1:7">
      <c r="A211" s="8" t="s">
        <v>1100</v>
      </c>
      <c r="B211" s="9">
        <f>COUNTIF(実績!$R$5:$R$1474,A211)</f>
        <v>5</v>
      </c>
      <c r="C211" s="9">
        <f>COUNTIF(実績!$W$5:$W$1474,A211)</f>
        <v>0</v>
      </c>
      <c r="D211" s="9">
        <f>COUNTIF(実績!$AB$5:$AC$1474,A211)</f>
        <v>0</v>
      </c>
      <c r="E211" s="12" t="s">
        <v>1284</v>
      </c>
      <c r="F211" s="12"/>
      <c r="G211" s="12"/>
    </row>
    <row r="212" spans="1:7">
      <c r="A212" s="8" t="s">
        <v>576</v>
      </c>
      <c r="B212" s="9">
        <f>COUNTIF(実績!$R$5:$R$1474,A212)</f>
        <v>2</v>
      </c>
      <c r="C212" s="9">
        <f>COUNTIF(実績!$W$5:$W$1474,A212)</f>
        <v>0</v>
      </c>
      <c r="D212" s="9">
        <f>COUNTIF(実績!$AB$5:$AC$1474,A212)</f>
        <v>0</v>
      </c>
      <c r="E212" s="12" t="s">
        <v>1268</v>
      </c>
      <c r="F212" s="12"/>
      <c r="G212" s="12"/>
    </row>
    <row r="213" spans="1:7">
      <c r="A213" s="8" t="s">
        <v>797</v>
      </c>
      <c r="B213" s="9">
        <f>COUNTIF(実績!$R$5:$R$1474,A213)</f>
        <v>1</v>
      </c>
      <c r="C213" s="9">
        <f>COUNTIF(実績!$W$5:$W$1474,A213)</f>
        <v>0</v>
      </c>
      <c r="D213" s="9">
        <f>COUNTIF(実績!$AB$5:$AC$1474,A213)</f>
        <v>0</v>
      </c>
      <c r="E213" s="12" t="s">
        <v>1214</v>
      </c>
      <c r="F213" s="12"/>
      <c r="G213" s="12"/>
    </row>
    <row r="214" spans="1:7">
      <c r="A214" s="8" t="s">
        <v>7516</v>
      </c>
      <c r="B214" s="9">
        <f>COUNTIF(実績!$R$5:$R$1474,A214)</f>
        <v>1</v>
      </c>
      <c r="C214" s="9">
        <f>COUNTIF(実績!$W$5:$W$1474,A214)</f>
        <v>0</v>
      </c>
      <c r="D214" s="9">
        <f>COUNTIF(実績!$AB$5:$AC$1474,A214)</f>
        <v>0</v>
      </c>
      <c r="E214" s="12" t="s">
        <v>7517</v>
      </c>
      <c r="F214" s="12" t="s">
        <v>5839</v>
      </c>
      <c r="G214" s="12" t="s">
        <v>5839</v>
      </c>
    </row>
    <row r="215" spans="1:7">
      <c r="A215" s="8" t="s">
        <v>10586</v>
      </c>
      <c r="B215" s="9">
        <f>COUNTIF(実績!$R$5:$R$1474,A215)</f>
        <v>1</v>
      </c>
      <c r="C215" s="9">
        <f>COUNTIF(実績!$W$5:$W$1474,A215)</f>
        <v>0</v>
      </c>
      <c r="D215" s="9">
        <f>COUNTIF(実績!$AB$5:$AC$1474,A215)</f>
        <v>0</v>
      </c>
      <c r="E215" s="12" t="s">
        <v>10589</v>
      </c>
      <c r="F215" s="12"/>
      <c r="G215" s="12"/>
    </row>
    <row r="216" spans="1:7">
      <c r="A216" s="8" t="s">
        <v>496</v>
      </c>
      <c r="B216" s="9">
        <f>COUNTIF(実績!$R$5:$R$1474,A216)</f>
        <v>5</v>
      </c>
      <c r="C216" s="9">
        <f>COUNTIF(実績!$W$5:$W$1474,A216)</f>
        <v>0</v>
      </c>
      <c r="D216" s="9">
        <f>COUNTIF(実績!$AB$5:$AC$1474,A216)</f>
        <v>1</v>
      </c>
      <c r="E216" s="12" t="s">
        <v>1215</v>
      </c>
      <c r="F216" s="12"/>
      <c r="G216" s="12"/>
    </row>
    <row r="217" spans="1:7">
      <c r="A217" s="13" t="s">
        <v>1492</v>
      </c>
      <c r="B217" s="9">
        <f>COUNTIF(実績!$R$5:$R$1474,A217)</f>
        <v>0</v>
      </c>
      <c r="C217" s="9">
        <f>COUNTIF(実績!$W$5:$W$1474,A217)</f>
        <v>2</v>
      </c>
      <c r="D217" s="9">
        <f>COUNTIF(実績!$AB$5:$AC$1474,A217)</f>
        <v>0</v>
      </c>
      <c r="E217" s="12" t="s">
        <v>1493</v>
      </c>
      <c r="F217" s="12"/>
      <c r="G217" s="12"/>
    </row>
    <row r="218" spans="1:7">
      <c r="A218" s="8" t="s">
        <v>578</v>
      </c>
      <c r="B218" s="9">
        <f>COUNTIF(実績!$R$5:$R$1474,A218)</f>
        <v>0</v>
      </c>
      <c r="C218" s="9">
        <f>COUNTIF(実績!$W$5:$W$1474,A218)</f>
        <v>1</v>
      </c>
      <c r="D218" s="9">
        <f>COUNTIF(実績!$AB$5:$AC$1474,A218)</f>
        <v>0</v>
      </c>
      <c r="E218" s="12" t="s">
        <v>1216</v>
      </c>
      <c r="F218" s="12"/>
      <c r="G218" s="12"/>
    </row>
    <row r="219" spans="1:7">
      <c r="A219" s="8" t="s">
        <v>5747</v>
      </c>
      <c r="B219" s="9">
        <f>COUNTIF(実績!$R$5:$R$1474,A219)</f>
        <v>5</v>
      </c>
      <c r="C219" s="9">
        <f>COUNTIF(実績!$W$5:$W$1474,A219)</f>
        <v>0</v>
      </c>
      <c r="D219" s="9">
        <f>COUNTIF(実績!$AB$5:$AC$1474,A219)</f>
        <v>0</v>
      </c>
      <c r="E219" s="12" t="s">
        <v>5748</v>
      </c>
      <c r="F219" s="12" t="s">
        <v>5825</v>
      </c>
      <c r="G219" s="12"/>
    </row>
    <row r="220" spans="1:7">
      <c r="A220" s="8" t="s">
        <v>729</v>
      </c>
      <c r="B220" s="9">
        <f>COUNTIF(実績!$R$5:$R$1474,A220)</f>
        <v>0</v>
      </c>
      <c r="C220" s="9">
        <f>COUNTIF(実績!$W$5:$W$1474,A220)</f>
        <v>1</v>
      </c>
      <c r="D220" s="9">
        <f>COUNTIF(実績!$AB$5:$AC$1474,A220)</f>
        <v>0</v>
      </c>
      <c r="E220" s="12" t="s">
        <v>1217</v>
      </c>
      <c r="F220" s="12"/>
      <c r="G220" s="12"/>
    </row>
    <row r="221" spans="1:7">
      <c r="A221" s="8" t="s">
        <v>597</v>
      </c>
      <c r="B221" s="9">
        <f>COUNTIF(実績!$R$5:$R$1474,A221)</f>
        <v>1</v>
      </c>
      <c r="C221" s="9">
        <f>COUNTIF(実績!$W$5:$W$1474,A221)</f>
        <v>0</v>
      </c>
      <c r="D221" s="9">
        <f>COUNTIF(実績!$AB$5:$AC$1474,A221)</f>
        <v>0</v>
      </c>
      <c r="E221" s="12" t="s">
        <v>1218</v>
      </c>
      <c r="F221" s="12"/>
      <c r="G221" s="12"/>
    </row>
    <row r="222" spans="1:7">
      <c r="A222" s="8" t="s">
        <v>528</v>
      </c>
      <c r="B222" s="9">
        <f>COUNTIF(実績!$R$5:$R$1474,A222)</f>
        <v>8</v>
      </c>
      <c r="C222" s="9">
        <f>COUNTIF(実績!$W$5:$W$1474,A222)</f>
        <v>8</v>
      </c>
      <c r="D222" s="9">
        <f>COUNTIF(実績!$AB$5:$AC$1474,A222)</f>
        <v>0</v>
      </c>
      <c r="E222" s="12" t="s">
        <v>1219</v>
      </c>
      <c r="F222" s="12"/>
      <c r="G222" s="12"/>
    </row>
    <row r="223" spans="1:7">
      <c r="A223" s="8" t="s">
        <v>905</v>
      </c>
      <c r="B223" s="9">
        <f>COUNTIF(実績!$R$5:$R$1474,A223)</f>
        <v>1</v>
      </c>
      <c r="C223" s="9">
        <f>COUNTIF(実績!$W$5:$W$1474,A223)</f>
        <v>0</v>
      </c>
      <c r="D223" s="9">
        <f>COUNTIF(実績!$AB$5:$AC$1474,A223)</f>
        <v>0</v>
      </c>
      <c r="E223" s="12" t="s">
        <v>1295</v>
      </c>
      <c r="F223" s="12"/>
      <c r="G223" s="12"/>
    </row>
    <row r="224" spans="1:7">
      <c r="A224" s="8" t="s">
        <v>7362</v>
      </c>
      <c r="B224" s="9">
        <f>COUNTIF(実績!$R$5:$R$1474,A224)</f>
        <v>1</v>
      </c>
      <c r="C224" s="9">
        <f>COUNTIF(実績!$W$5:$W$1474,A224)</f>
        <v>0</v>
      </c>
      <c r="D224" s="9">
        <f>COUNTIF(実績!$AB$5:$AC$1474,A224)</f>
        <v>0</v>
      </c>
      <c r="E224" s="12" t="s">
        <v>7363</v>
      </c>
      <c r="F224" s="12" t="s">
        <v>5839</v>
      </c>
      <c r="G224" s="12" t="s">
        <v>5839</v>
      </c>
    </row>
    <row r="225" spans="1:7">
      <c r="A225" s="8" t="s">
        <v>1079</v>
      </c>
      <c r="B225" s="9">
        <f>COUNTIF(実績!$R$5:$R$1474,A225)</f>
        <v>1</v>
      </c>
      <c r="C225" s="9">
        <f>COUNTIF(実績!$W$5:$W$1474,A225)</f>
        <v>0</v>
      </c>
      <c r="D225" s="9">
        <f>COUNTIF(実績!$AB$5:$AC$1474,A225)</f>
        <v>0</v>
      </c>
      <c r="E225" s="12" t="s">
        <v>1220</v>
      </c>
      <c r="F225" s="12"/>
      <c r="G225" s="12"/>
    </row>
    <row r="226" spans="1:7">
      <c r="A226" s="8" t="s">
        <v>10815</v>
      </c>
      <c r="B226" s="9">
        <f>COUNTIF(実績!$R$5:$R$1474,A226)</f>
        <v>1</v>
      </c>
      <c r="C226" s="9">
        <f>COUNTIF(実績!$W$5:$W$1474,A226)</f>
        <v>0</v>
      </c>
      <c r="D226" s="9">
        <f>COUNTIF(実績!$AB$5:$AC$1474,A226)</f>
        <v>0</v>
      </c>
      <c r="E226" s="12" t="s">
        <v>10830</v>
      </c>
      <c r="F226" s="12"/>
      <c r="G226" s="12"/>
    </row>
    <row r="227" spans="1:7">
      <c r="A227" s="8" t="s">
        <v>15270</v>
      </c>
      <c r="B227" s="9">
        <f>COUNTIF(実績!$R$5:$R$1474,A227)</f>
        <v>1</v>
      </c>
      <c r="C227" s="9">
        <f>COUNTIF(実績!$W$5:$W$1474,A227)</f>
        <v>0</v>
      </c>
      <c r="D227" s="9">
        <f>COUNTIF(実績!$AB$5:$AC$1474,A227)</f>
        <v>0</v>
      </c>
      <c r="E227" s="12" t="s">
        <v>15271</v>
      </c>
      <c r="F227" s="12"/>
      <c r="G227" s="12"/>
    </row>
    <row r="228" spans="1:7">
      <c r="A228" s="8" t="s">
        <v>2294</v>
      </c>
      <c r="B228" s="9">
        <f>COUNTIF(実績!$R$5:$R$1474,A228)</f>
        <v>1</v>
      </c>
      <c r="C228" s="9">
        <f>COUNTIF(実績!$W$5:$W$1474,A228)</f>
        <v>0</v>
      </c>
      <c r="D228" s="9">
        <f>COUNTIF(実績!$AB$5:$AC$1474,A228)</f>
        <v>0</v>
      </c>
      <c r="E228" s="12" t="s">
        <v>2304</v>
      </c>
      <c r="F228" s="12"/>
      <c r="G228" s="12"/>
    </row>
    <row r="229" spans="1:7">
      <c r="A229" s="8" t="s">
        <v>1691</v>
      </c>
      <c r="B229" s="9">
        <f>COUNTIF(実績!$R$5:$R$1474,A229)</f>
        <v>1</v>
      </c>
      <c r="C229" s="9">
        <f>COUNTIF(実績!$W$5:$W$1474,A229)</f>
        <v>0</v>
      </c>
      <c r="D229" s="9">
        <f>COUNTIF(実績!$AB$5:$AC$1474,A229)</f>
        <v>0</v>
      </c>
      <c r="E229" s="12" t="s">
        <v>1692</v>
      </c>
      <c r="F229" s="12"/>
      <c r="G229" s="12"/>
    </row>
    <row r="230" spans="1:7">
      <c r="A230" s="8" t="s">
        <v>1022</v>
      </c>
      <c r="B230" s="9">
        <f>COUNTIF(実績!$R$5:$R$1474,A230)</f>
        <v>5</v>
      </c>
      <c r="C230" s="9">
        <f>COUNTIF(実績!$W$5:$W$1474,A230)</f>
        <v>1</v>
      </c>
      <c r="D230" s="9">
        <f>COUNTIF(実績!$AB$5:$AC$1474,A230)</f>
        <v>0</v>
      </c>
      <c r="E230" s="12" t="s">
        <v>1221</v>
      </c>
      <c r="F230" s="12"/>
      <c r="G230" s="12"/>
    </row>
    <row r="231" spans="1:7">
      <c r="A231" s="8" t="s">
        <v>447</v>
      </c>
      <c r="B231" s="9">
        <f>COUNTIF(実績!$R$5:$R$1474,A231)</f>
        <v>58</v>
      </c>
      <c r="C231" s="9">
        <f>COUNTIF(実績!$W$5:$W$1474,A231)</f>
        <v>0</v>
      </c>
      <c r="D231" s="9">
        <f>COUNTIF(実績!$AB$5:$AC$1474,A231)</f>
        <v>0</v>
      </c>
      <c r="E231" s="12" t="s">
        <v>1308</v>
      </c>
      <c r="F231" s="12" t="s">
        <v>5867</v>
      </c>
      <c r="G231" s="12"/>
    </row>
    <row r="232" spans="1:7">
      <c r="A232" s="8" t="s">
        <v>674</v>
      </c>
      <c r="B232" s="9">
        <f>COUNTIF(実績!$R$5:$R$1474,A232)</f>
        <v>0</v>
      </c>
      <c r="C232" s="9">
        <f>COUNTIF(実績!$W$5:$W$1474,A232)</f>
        <v>2</v>
      </c>
      <c r="D232" s="9">
        <f>COUNTIF(実績!$AB$5:$AC$1474,A232)</f>
        <v>0</v>
      </c>
      <c r="E232" s="12" t="s">
        <v>1285</v>
      </c>
      <c r="F232" s="12"/>
      <c r="G232" s="12"/>
    </row>
    <row r="233" spans="1:7">
      <c r="A233" s="8" t="s">
        <v>10705</v>
      </c>
      <c r="B233" s="9">
        <f>COUNTIF(実績!$R$5:$R$1474,A233)</f>
        <v>1</v>
      </c>
      <c r="C233" s="9">
        <f>COUNTIF(実績!$W$5:$W$1474,A233)</f>
        <v>0</v>
      </c>
      <c r="D233" s="9">
        <f>COUNTIF(実績!$AB$5:$AC$1474,A233)</f>
        <v>0</v>
      </c>
      <c r="E233" s="12" t="s">
        <v>10706</v>
      </c>
      <c r="F233" s="12"/>
      <c r="G233" s="12"/>
    </row>
    <row r="234" spans="1:7">
      <c r="A234" s="8" t="s">
        <v>4453</v>
      </c>
      <c r="B234" s="9">
        <f>COUNTIF(実績!$R$5:$R$1474,A234)</f>
        <v>2</v>
      </c>
      <c r="C234" s="9">
        <f>COUNTIF(実績!$W$5:$W$1474,A234)</f>
        <v>2</v>
      </c>
      <c r="D234" s="9">
        <f>COUNTIF(実績!$AB$5:$AC$1474,A234)</f>
        <v>0</v>
      </c>
      <c r="E234" s="12" t="s">
        <v>4454</v>
      </c>
      <c r="F234" s="12"/>
      <c r="G234" s="12"/>
    </row>
    <row r="235" spans="1:7">
      <c r="A235" s="8" t="s">
        <v>4577</v>
      </c>
      <c r="B235" s="9">
        <f>COUNTIF(実績!$R$5:$R$1474,A235)</f>
        <v>1</v>
      </c>
      <c r="C235" s="9">
        <f>COUNTIF(実績!$W$5:$W$1474,A235)</f>
        <v>0</v>
      </c>
      <c r="D235" s="9">
        <f>COUNTIF(実績!$AB$5:$AC$1474,A235)</f>
        <v>0</v>
      </c>
      <c r="E235" s="12" t="s">
        <v>4579</v>
      </c>
      <c r="F235" s="12"/>
      <c r="G235" s="12"/>
    </row>
    <row r="236" spans="1:7">
      <c r="A236" s="8" t="s">
        <v>10945</v>
      </c>
      <c r="B236" s="9">
        <f>COUNTIF(実績!$R$5:$R$1474,A236)</f>
        <v>0</v>
      </c>
      <c r="C236" s="9">
        <f>COUNTIF(実績!$W$5:$W$1474,A236)</f>
        <v>1</v>
      </c>
      <c r="D236" s="9">
        <f>COUNTIF(実績!$AB$5:$AC$1474,A236)</f>
        <v>0</v>
      </c>
      <c r="E236" s="12" t="s">
        <v>10946</v>
      </c>
      <c r="F236" s="12"/>
      <c r="G236" s="12"/>
    </row>
    <row r="237" spans="1:7">
      <c r="A237" s="8" t="s">
        <v>463</v>
      </c>
      <c r="B237" s="9">
        <f>COUNTIF(実績!$R$5:$R$1474,A237)</f>
        <v>0</v>
      </c>
      <c r="C237" s="9">
        <f>COUNTIF(実績!$W$5:$W$1474,A237)</f>
        <v>2</v>
      </c>
      <c r="D237" s="9">
        <f>COUNTIF(実績!$AB$5:$AC$1474,A237)</f>
        <v>0</v>
      </c>
      <c r="E237" s="12" t="s">
        <v>1286</v>
      </c>
      <c r="F237" s="12"/>
      <c r="G237" s="12"/>
    </row>
    <row r="238" spans="1:7">
      <c r="A238" s="13" t="s">
        <v>1558</v>
      </c>
      <c r="B238" s="9">
        <f>COUNTIF(実績!$R$5:$R$1474,A238)</f>
        <v>0</v>
      </c>
      <c r="C238" s="9">
        <f>COUNTIF(実績!$W$5:$W$1474,A238)</f>
        <v>1</v>
      </c>
      <c r="D238" s="9">
        <f>COUNTIF(実績!$AB$5:$AC$1474,A238)</f>
        <v>0</v>
      </c>
      <c r="E238" s="12" t="s">
        <v>1559</v>
      </c>
      <c r="F238" s="12"/>
      <c r="G238" s="12"/>
    </row>
    <row r="239" spans="1:7">
      <c r="A239" s="13" t="s">
        <v>1552</v>
      </c>
      <c r="B239" s="9">
        <f>COUNTIF(実績!$R$5:$R$1474,A239)</f>
        <v>5</v>
      </c>
      <c r="C239" s="9">
        <f>COUNTIF(実績!$W$5:$W$1474,A239)</f>
        <v>0</v>
      </c>
      <c r="D239" s="9">
        <f>COUNTIF(実績!$AB$5:$AC$1474,A239)</f>
        <v>0</v>
      </c>
      <c r="E239" s="12" t="s">
        <v>1554</v>
      </c>
      <c r="F239" s="12"/>
      <c r="G239" s="12"/>
    </row>
    <row r="240" spans="1:7">
      <c r="A240" s="8" t="s">
        <v>554</v>
      </c>
      <c r="B240" s="9">
        <f>COUNTIF(実績!$R$5:$R$1474,A240)</f>
        <v>0</v>
      </c>
      <c r="C240" s="9">
        <f>COUNTIF(実績!$W$5:$W$1474,A240)</f>
        <v>9</v>
      </c>
      <c r="D240" s="9">
        <f>COUNTIF(実績!$AB$5:$AC$1474,A240)</f>
        <v>5</v>
      </c>
      <c r="E240" s="12" t="s">
        <v>1222</v>
      </c>
      <c r="F240" s="12" t="s">
        <v>5836</v>
      </c>
      <c r="G240" s="12"/>
    </row>
    <row r="241" spans="1:7">
      <c r="A241" s="13" t="s">
        <v>1600</v>
      </c>
      <c r="B241" s="9">
        <f>COUNTIF(実績!$R$5:$R$1474,A241)</f>
        <v>0</v>
      </c>
      <c r="C241" s="9">
        <f>COUNTIF(実績!$W$5:$W$1474,A241)</f>
        <v>3</v>
      </c>
      <c r="D241" s="9">
        <f>COUNTIF(実績!$AB$5:$AC$1474,A241)</f>
        <v>0</v>
      </c>
      <c r="E241" s="12" t="s">
        <v>1624</v>
      </c>
      <c r="F241" s="12"/>
      <c r="G241" s="12"/>
    </row>
    <row r="242" spans="1:7">
      <c r="A242" s="8" t="s">
        <v>1137</v>
      </c>
      <c r="B242" s="9">
        <f>COUNTIF(実績!$R$5:$R$1474,A242)</f>
        <v>0</v>
      </c>
      <c r="C242" s="9">
        <f>COUNTIF(実績!$W$5:$W$1474,A242)</f>
        <v>1</v>
      </c>
      <c r="D242" s="9">
        <f>COUNTIF(実績!$AB$5:$AC$1474,A242)</f>
        <v>0</v>
      </c>
      <c r="E242" s="12" t="s">
        <v>1287</v>
      </c>
      <c r="F242" s="12"/>
      <c r="G242" s="12"/>
    </row>
    <row r="243" spans="1:7">
      <c r="A243" s="8" t="s">
        <v>15876</v>
      </c>
      <c r="B243" s="9">
        <f>COUNTIF(実績!$R$5:$R$1474,A243)</f>
        <v>7</v>
      </c>
      <c r="C243" s="9">
        <f>COUNTIF(実績!$W$5:$W$1474,A243)</f>
        <v>0</v>
      </c>
      <c r="D243" s="9">
        <f>COUNTIF(実績!$AB$5:$AC$1474,A243)</f>
        <v>0</v>
      </c>
      <c r="E243" s="12" t="s">
        <v>4097</v>
      </c>
      <c r="F243" s="12"/>
      <c r="G243" s="12"/>
    </row>
    <row r="244" spans="1:7">
      <c r="A244" s="8" t="s">
        <v>552</v>
      </c>
      <c r="B244" s="9">
        <f>COUNTIF(実績!$R$5:$R$1474,A244)</f>
        <v>13</v>
      </c>
      <c r="C244" s="9">
        <f>COUNTIF(実績!$W$5:$W$1474,A244)</f>
        <v>0</v>
      </c>
      <c r="D244" s="9">
        <f>COUNTIF(実績!$AB$5:$AC$1474,A244)</f>
        <v>1</v>
      </c>
      <c r="E244" s="12" t="s">
        <v>1223</v>
      </c>
      <c r="F244" s="12"/>
      <c r="G244" s="12"/>
    </row>
    <row r="245" spans="1:7">
      <c r="A245" s="8" t="s">
        <v>6884</v>
      </c>
      <c r="B245" s="9">
        <f>COUNTIF(実績!$R$5:$R$1474,A245)</f>
        <v>1</v>
      </c>
      <c r="C245" s="9">
        <f>COUNTIF(実績!$W$5:$W$1474,A245)</f>
        <v>0</v>
      </c>
      <c r="D245" s="9">
        <f>COUNTIF(実績!$AB$5:$AC$1474,A245)</f>
        <v>0</v>
      </c>
      <c r="E245" s="12" t="s">
        <v>6885</v>
      </c>
      <c r="F245" s="12" t="s">
        <v>5839</v>
      </c>
      <c r="G245" s="12" t="s">
        <v>5839</v>
      </c>
    </row>
    <row r="246" spans="1:7">
      <c r="A246" s="8" t="s">
        <v>5941</v>
      </c>
      <c r="B246" s="9">
        <f>COUNTIF(実績!$R$5:$R$1474,A246)</f>
        <v>1</v>
      </c>
      <c r="C246" s="9">
        <f>COUNTIF(実績!$W$5:$W$1474,A246)</f>
        <v>0</v>
      </c>
      <c r="D246" s="9">
        <f>COUNTIF(実績!$AB$5:$AC$1474,A246)</f>
        <v>0</v>
      </c>
      <c r="E246" s="12" t="s">
        <v>5942</v>
      </c>
      <c r="F246" s="12" t="s">
        <v>5839</v>
      </c>
      <c r="G246" s="12"/>
    </row>
    <row r="247" spans="1:7">
      <c r="A247" s="8" t="s">
        <v>3313</v>
      </c>
      <c r="B247" s="9">
        <f>COUNTIF(実績!$R$5:$R$1474,A247)</f>
        <v>1</v>
      </c>
      <c r="C247" s="9">
        <f>COUNTIF(実績!$W$5:$W$1474,A247)</f>
        <v>0</v>
      </c>
      <c r="D247" s="9">
        <f>COUNTIF(実績!$AB$5:$AC$1474,A247)</f>
        <v>0</v>
      </c>
      <c r="E247" s="12" t="s">
        <v>3314</v>
      </c>
      <c r="F247" s="12"/>
      <c r="G247" s="12"/>
    </row>
    <row r="248" spans="1:7">
      <c r="A248" s="8" t="s">
        <v>15586</v>
      </c>
      <c r="B248" s="9">
        <f>COUNTIF(実績!$R$5:$R$1474,A248)</f>
        <v>0</v>
      </c>
      <c r="C248" s="9">
        <f>COUNTIF(実績!$W$5:$W$1474,A248)</f>
        <v>0</v>
      </c>
      <c r="D248" s="9">
        <f>COUNTIF(実績!$AB$5:$AC$1474,A248)</f>
        <v>1</v>
      </c>
      <c r="E248" s="12" t="s">
        <v>15587</v>
      </c>
      <c r="F248" s="12"/>
      <c r="G248" s="12"/>
    </row>
    <row r="249" spans="1:7">
      <c r="A249" s="8" t="s">
        <v>10723</v>
      </c>
      <c r="B249" s="9">
        <f>COUNTIF(実績!$R$5:$R$1474,A249)</f>
        <v>1</v>
      </c>
      <c r="C249" s="9">
        <f>COUNTIF(実績!$W$5:$W$1474,A249)</f>
        <v>0</v>
      </c>
      <c r="D249" s="9">
        <f>COUNTIF(実績!$AB$5:$AC$1474,A249)</f>
        <v>0</v>
      </c>
      <c r="E249" s="12" t="s">
        <v>10724</v>
      </c>
      <c r="F249" s="12"/>
      <c r="G249" s="12"/>
    </row>
    <row r="250" spans="1:7">
      <c r="A250" s="8" t="s">
        <v>6339</v>
      </c>
      <c r="B250" s="9">
        <f>COUNTIF(実績!$R$5:$R$1474,A250)</f>
        <v>1</v>
      </c>
      <c r="C250" s="9">
        <f>COUNTIF(実績!$W$5:$W$1474,A250)</f>
        <v>0</v>
      </c>
      <c r="D250" s="9">
        <f>COUNTIF(実績!$AB$5:$AC$1474,A250)</f>
        <v>0</v>
      </c>
      <c r="E250" s="12" t="s">
        <v>6340</v>
      </c>
      <c r="F250" s="12" t="s">
        <v>5839</v>
      </c>
      <c r="G250" s="12"/>
    </row>
    <row r="251" spans="1:7">
      <c r="A251" s="8" t="s">
        <v>7850</v>
      </c>
      <c r="B251" s="9">
        <f>COUNTIF(実績!$R$5:$R$1474,A251)</f>
        <v>4</v>
      </c>
      <c r="C251" s="9">
        <f>COUNTIF(実績!$W$5:$W$1474,A251)</f>
        <v>0</v>
      </c>
      <c r="D251" s="9">
        <f>COUNTIF(実績!$AB$5:$AC$1474,A251)</f>
        <v>0</v>
      </c>
      <c r="E251" s="12" t="s">
        <v>7851</v>
      </c>
      <c r="F251" s="12" t="s">
        <v>5839</v>
      </c>
      <c r="G251" s="12" t="s">
        <v>5839</v>
      </c>
    </row>
    <row r="252" spans="1:7">
      <c r="A252" s="13" t="s">
        <v>1666</v>
      </c>
      <c r="B252" s="9">
        <f>COUNTIF(実績!$R$5:$R$1474,A252)</f>
        <v>2</v>
      </c>
      <c r="C252" s="9">
        <f>COUNTIF(実績!$W$5:$W$1474,A252)</f>
        <v>1</v>
      </c>
      <c r="D252" s="9">
        <f>COUNTIF(実績!$AB$5:$AC$1474,A252)</f>
        <v>0</v>
      </c>
      <c r="E252" s="12" t="s">
        <v>1667</v>
      </c>
      <c r="F252" s="12"/>
      <c r="G252" s="12"/>
    </row>
    <row r="253" spans="1:7">
      <c r="A253" s="8" t="s">
        <v>7501</v>
      </c>
      <c r="B253" s="9">
        <f>COUNTIF(実績!$R$5:$R$1474,A253)</f>
        <v>0</v>
      </c>
      <c r="C253" s="9">
        <f>COUNTIF(実績!$W$5:$W$1474,A253)</f>
        <v>1</v>
      </c>
      <c r="D253" s="9">
        <f>COUNTIF(実績!$AB$5:$AC$1474,A253)</f>
        <v>0</v>
      </c>
      <c r="E253" s="12" t="s">
        <v>7502</v>
      </c>
      <c r="F253" s="12" t="s">
        <v>5839</v>
      </c>
      <c r="G253" s="12" t="s">
        <v>5839</v>
      </c>
    </row>
    <row r="254" spans="1:7">
      <c r="A254" s="8" t="s">
        <v>2307</v>
      </c>
      <c r="B254" s="9">
        <f>COUNTIF(実績!$R$5:$R$1474,A254)</f>
        <v>0</v>
      </c>
      <c r="C254" s="9">
        <f>COUNTIF(実績!$W$5:$W$1474,A254)</f>
        <v>2</v>
      </c>
      <c r="D254" s="9">
        <f>COUNTIF(実績!$AB$5:$AC$1474,A254)</f>
        <v>0</v>
      </c>
      <c r="E254" s="12" t="s">
        <v>2308</v>
      </c>
      <c r="F254" s="12"/>
      <c r="G254" s="12"/>
    </row>
    <row r="255" spans="1:7">
      <c r="A255" s="8" t="s">
        <v>6438</v>
      </c>
      <c r="B255" s="9">
        <f>COUNTIF(実績!$R$5:$R$1474,A255)</f>
        <v>1</v>
      </c>
      <c r="C255" s="9">
        <f>COUNTIF(実績!$W$5:$W$1474,A255)</f>
        <v>0</v>
      </c>
      <c r="D255" s="9">
        <f>COUNTIF(実績!$AB$5:$AC$1474,A255)</f>
        <v>0</v>
      </c>
      <c r="E255" s="12" t="s">
        <v>6439</v>
      </c>
      <c r="F255" s="12" t="s">
        <v>5839</v>
      </c>
      <c r="G255" s="12"/>
    </row>
    <row r="256" spans="1:7">
      <c r="A256" s="8" t="s">
        <v>4099</v>
      </c>
      <c r="B256" s="9">
        <f>COUNTIF(実績!$R$5:$R$1474,A256)</f>
        <v>0</v>
      </c>
      <c r="C256" s="9">
        <f>COUNTIF(実績!$W$5:$W$1474,A256)</f>
        <v>0</v>
      </c>
      <c r="D256" s="9">
        <f>COUNTIF(実績!$AB$5:$AC$1474,A256)</f>
        <v>1</v>
      </c>
      <c r="E256" s="12" t="s">
        <v>4100</v>
      </c>
      <c r="F256" s="12"/>
      <c r="G256" s="12"/>
    </row>
    <row r="257" spans="1:7">
      <c r="A257" s="8" t="s">
        <v>1065</v>
      </c>
      <c r="B257" s="9">
        <f>COUNTIF(実績!$R$5:$R$1474,A257)</f>
        <v>0</v>
      </c>
      <c r="C257" s="9">
        <f>COUNTIF(実績!$W$5:$W$1474,A257)</f>
        <v>1</v>
      </c>
      <c r="D257" s="9">
        <f>COUNTIF(実績!$AB$5:$AC$1474,A257)</f>
        <v>0</v>
      </c>
      <c r="E257" s="12" t="s">
        <v>1224</v>
      </c>
      <c r="F257" s="12"/>
      <c r="G257" s="12"/>
    </row>
    <row r="258" spans="1:7">
      <c r="A258" s="8" t="s">
        <v>1018</v>
      </c>
      <c r="B258" s="9">
        <f>COUNTIF(実績!$R$5:$R$1474,A258)</f>
        <v>0</v>
      </c>
      <c r="C258" s="9">
        <f>COUNTIF(実績!$W$5:$W$1474,A258)</f>
        <v>2</v>
      </c>
      <c r="D258" s="9">
        <f>COUNTIF(実績!$AB$5:$AC$1474,A258)</f>
        <v>0</v>
      </c>
      <c r="E258" s="12" t="s">
        <v>1309</v>
      </c>
      <c r="F258" s="12"/>
      <c r="G258" s="12"/>
    </row>
    <row r="259" spans="1:7">
      <c r="A259" s="8" t="s">
        <v>16099</v>
      </c>
      <c r="B259" s="9">
        <f>COUNTIF(実績!$R$5:$R$1474,A259)</f>
        <v>0</v>
      </c>
      <c r="C259" s="9">
        <f>COUNTIF(実績!$W$5:$W$1474,A259)</f>
        <v>0</v>
      </c>
      <c r="D259" s="9">
        <f>COUNTIF(実績!$AB$5:$AC$1474,A259)</f>
        <v>25</v>
      </c>
      <c r="E259" s="12" t="s">
        <v>4181</v>
      </c>
      <c r="F259" s="12"/>
      <c r="G259" s="12"/>
    </row>
    <row r="260" spans="1:7">
      <c r="A260" s="8" t="s">
        <v>536</v>
      </c>
      <c r="B260" s="9">
        <f>COUNTIF(実績!$R$5:$R$1474,A260)</f>
        <v>1</v>
      </c>
      <c r="C260" s="9">
        <f>COUNTIF(実績!$W$5:$W$1474,A260)</f>
        <v>0</v>
      </c>
      <c r="D260" s="9">
        <f>COUNTIF(実績!$AB$5:$AC$1474,A260)</f>
        <v>0</v>
      </c>
      <c r="E260" s="12" t="s">
        <v>1225</v>
      </c>
      <c r="F260" s="12"/>
      <c r="G260" s="12"/>
    </row>
    <row r="261" spans="1:7">
      <c r="A261" s="8" t="s">
        <v>5333</v>
      </c>
      <c r="B261" s="9">
        <f>COUNTIF(実績!$R$5:$R$1474,A261)</f>
        <v>0</v>
      </c>
      <c r="C261" s="9">
        <f>COUNTIF(実績!$W$5:$W$1474,A261)</f>
        <v>1</v>
      </c>
      <c r="D261" s="9">
        <f>COUNTIF(実績!$AB$5:$AC$1474,A261)</f>
        <v>0</v>
      </c>
      <c r="E261" s="12" t="s">
        <v>5334</v>
      </c>
      <c r="F261" s="12"/>
      <c r="G261" s="12"/>
    </row>
    <row r="262" spans="1:7">
      <c r="A262" s="8" t="s">
        <v>668</v>
      </c>
      <c r="B262" s="9">
        <f>COUNTIF(実績!$R$5:$R$1474,A262)</f>
        <v>2</v>
      </c>
      <c r="C262" s="9">
        <f>COUNTIF(実績!$W$5:$W$1474,A262)</f>
        <v>0</v>
      </c>
      <c r="D262" s="9">
        <f>COUNTIF(実績!$AB$5:$AC$1474,A262)</f>
        <v>0</v>
      </c>
      <c r="E262" s="12" t="s">
        <v>1226</v>
      </c>
      <c r="F262" s="12"/>
      <c r="G262" s="12"/>
    </row>
    <row r="263" spans="1:7">
      <c r="A263" s="8" t="s">
        <v>8100</v>
      </c>
      <c r="B263" s="9">
        <f>COUNTIF(実績!$R$5:$R$1474,A263)</f>
        <v>0</v>
      </c>
      <c r="C263" s="9">
        <f>COUNTIF(実績!$W$5:$W$1474,A263)</f>
        <v>2</v>
      </c>
      <c r="D263" s="9">
        <f>COUNTIF(実績!$AB$5:$AC$1474,A263)</f>
        <v>0</v>
      </c>
      <c r="E263" s="12" t="s">
        <v>3925</v>
      </c>
      <c r="F263" s="12"/>
      <c r="G263" s="12"/>
    </row>
    <row r="264" spans="1:7">
      <c r="A264" s="8" t="s">
        <v>666</v>
      </c>
      <c r="B264" s="9">
        <f>COUNTIF(実績!$R$5:$R$1474,A264)</f>
        <v>0</v>
      </c>
      <c r="C264" s="9">
        <f>COUNTIF(実績!$W$5:$W$1474,A264)</f>
        <v>1</v>
      </c>
      <c r="D264" s="9">
        <f>COUNTIF(実績!$AB$5:$AC$1474,A264)</f>
        <v>0</v>
      </c>
      <c r="E264" s="12" t="s">
        <v>1227</v>
      </c>
      <c r="F264" s="12"/>
      <c r="G264" s="12"/>
    </row>
    <row r="265" spans="1:7">
      <c r="A265" s="8" t="s">
        <v>15337</v>
      </c>
      <c r="B265" s="9">
        <f>COUNTIF(実績!$R$5:$R$1474,A265)</f>
        <v>1</v>
      </c>
      <c r="C265" s="9">
        <f>COUNTIF(実績!$W$5:$W$1474,A265)</f>
        <v>1</v>
      </c>
      <c r="D265" s="9">
        <f>COUNTIF(実績!$AB$5:$AC$1474,A265)</f>
        <v>0</v>
      </c>
      <c r="E265" s="12" t="s">
        <v>15338</v>
      </c>
      <c r="F265" s="12"/>
      <c r="G265" s="12"/>
    </row>
    <row r="266" spans="1:7">
      <c r="A266" s="8" t="s">
        <v>551</v>
      </c>
      <c r="B266" s="9">
        <f>COUNTIF(実績!$R$5:$R$1474,A266)</f>
        <v>2</v>
      </c>
      <c r="C266" s="9">
        <f>COUNTIF(実績!$W$5:$W$1474,A266)</f>
        <v>0</v>
      </c>
      <c r="D266" s="9">
        <f>COUNTIF(実績!$AB$5:$AC$1474,A266)</f>
        <v>0</v>
      </c>
      <c r="E266" s="12" t="s">
        <v>1228</v>
      </c>
      <c r="F266" s="12"/>
      <c r="G266" s="12"/>
    </row>
    <row r="267" spans="1:7">
      <c r="A267" s="8" t="s">
        <v>9310</v>
      </c>
      <c r="B267" s="9">
        <f>COUNTIF(実績!$R$5:$R$1474,A267)</f>
        <v>0</v>
      </c>
      <c r="C267" s="9">
        <f>COUNTIF(実績!$W$5:$W$1474,A267)</f>
        <v>1</v>
      </c>
      <c r="D267" s="9">
        <f>COUNTIF(実績!$AB$5:$AC$1474,A267)</f>
        <v>0</v>
      </c>
      <c r="E267" s="12" t="s">
        <v>9311</v>
      </c>
      <c r="F267" s="12" t="s">
        <v>5839</v>
      </c>
      <c r="G267" s="12" t="s">
        <v>5839</v>
      </c>
    </row>
    <row r="268" spans="1:7">
      <c r="A268" s="8" t="s">
        <v>691</v>
      </c>
      <c r="B268" s="9">
        <f>COUNTIF(実績!$R$5:$R$1474,A268)</f>
        <v>7</v>
      </c>
      <c r="C268" s="9">
        <f>COUNTIF(実績!$W$5:$W$1474,A268)</f>
        <v>0</v>
      </c>
      <c r="D268" s="9">
        <f>COUNTIF(実績!$AB$5:$AC$1474,A268)</f>
        <v>0</v>
      </c>
      <c r="E268" s="12" t="s">
        <v>1229</v>
      </c>
      <c r="F268" s="12"/>
      <c r="G268" s="12"/>
    </row>
    <row r="269" spans="1:7">
      <c r="A269" s="8" t="s">
        <v>8080</v>
      </c>
      <c r="B269" s="9">
        <f>COUNTIF(実績!$R$5:$R$1474,A269)</f>
        <v>1</v>
      </c>
      <c r="C269" s="9">
        <f>COUNTIF(実績!$W$5:$W$1474,A269)</f>
        <v>0</v>
      </c>
      <c r="D269" s="9">
        <f>COUNTIF(実績!$AB$5:$AC$1474,A269)</f>
        <v>0</v>
      </c>
      <c r="E269" s="12" t="s">
        <v>8137</v>
      </c>
      <c r="F269" s="12" t="s">
        <v>5839</v>
      </c>
      <c r="G269" s="12" t="s">
        <v>5839</v>
      </c>
    </row>
    <row r="270" spans="1:7">
      <c r="A270" s="8" t="s">
        <v>14524</v>
      </c>
      <c r="B270" s="9">
        <f>COUNTIF(実績!$R$5:$R$1474,A270)</f>
        <v>1</v>
      </c>
      <c r="C270" s="9">
        <f>COUNTIF(実績!$W$5:$W$1474,A270)</f>
        <v>0</v>
      </c>
      <c r="D270" s="9">
        <f>COUNTIF(実績!$AB$5:$AC$1474,A270)</f>
        <v>0</v>
      </c>
      <c r="E270" s="12" t="s">
        <v>14525</v>
      </c>
      <c r="F270" s="12"/>
      <c r="G270" s="12"/>
    </row>
    <row r="271" spans="1:7">
      <c r="A271" s="8" t="s">
        <v>4410</v>
      </c>
      <c r="B271" s="9">
        <f>COUNTIF(実績!$R$5:$R$1474,A271)</f>
        <v>0</v>
      </c>
      <c r="C271" s="9">
        <f>COUNTIF(実績!$W$5:$W$1474,A271)</f>
        <v>1</v>
      </c>
      <c r="D271" s="9">
        <f>COUNTIF(実績!$AB$5:$AC$1474,A271)</f>
        <v>0</v>
      </c>
      <c r="E271" s="12" t="s">
        <v>4411</v>
      </c>
      <c r="F271" s="12"/>
      <c r="G271" s="12"/>
    </row>
    <row r="272" spans="1:7">
      <c r="A272" s="8" t="s">
        <v>10278</v>
      </c>
      <c r="B272" s="9">
        <f>COUNTIF(実績!$R$5:$R$1474,A272)</f>
        <v>1</v>
      </c>
      <c r="C272" s="9">
        <f>COUNTIF(実績!$W$5:$W$1474,A272)</f>
        <v>0</v>
      </c>
      <c r="D272" s="9">
        <f>COUNTIF(実績!$AB$5:$AC$1474,A272)</f>
        <v>0</v>
      </c>
      <c r="E272" s="12" t="s">
        <v>10279</v>
      </c>
      <c r="F272" s="12"/>
      <c r="G272" s="12"/>
    </row>
    <row r="273" spans="1:7">
      <c r="A273" s="8" t="s">
        <v>2846</v>
      </c>
      <c r="B273" s="9">
        <f>COUNTIF(実績!$R$5:$R$1474,A273)</f>
        <v>0</v>
      </c>
      <c r="C273" s="9">
        <f>COUNTIF(実績!$W$5:$W$1474,A273)</f>
        <v>4</v>
      </c>
      <c r="D273" s="9">
        <f>COUNTIF(実績!$AB$5:$AC$1474,A273)</f>
        <v>0</v>
      </c>
      <c r="E273" s="12" t="s">
        <v>2847</v>
      </c>
      <c r="F273" s="12"/>
      <c r="G273" s="12"/>
    </row>
    <row r="274" spans="1:7">
      <c r="A274" s="8" t="s">
        <v>2853</v>
      </c>
      <c r="B274" s="9">
        <f>COUNTIF(実績!$R$5:$R$1474,A274)</f>
        <v>2</v>
      </c>
      <c r="C274" s="9">
        <f>COUNTIF(実績!$W$5:$W$1474,A274)</f>
        <v>0</v>
      </c>
      <c r="D274" s="9">
        <f>COUNTIF(実績!$AB$5:$AC$1474,A274)</f>
        <v>0</v>
      </c>
      <c r="E274" s="12" t="s">
        <v>2854</v>
      </c>
      <c r="F274" s="12"/>
      <c r="G274" s="12"/>
    </row>
    <row r="275" spans="1:7">
      <c r="A275" s="8" t="s">
        <v>836</v>
      </c>
      <c r="B275" s="9">
        <f>COUNTIF(実績!$R$5:$R$1474,A275)</f>
        <v>1</v>
      </c>
      <c r="C275" s="9">
        <f>COUNTIF(実績!$W$5:$W$1474,A275)</f>
        <v>0</v>
      </c>
      <c r="D275" s="9">
        <f>COUNTIF(実績!$AB$5:$AC$1474,A275)</f>
        <v>0</v>
      </c>
      <c r="E275" s="12" t="s">
        <v>1230</v>
      </c>
      <c r="F275" s="12"/>
      <c r="G275" s="12"/>
    </row>
    <row r="276" spans="1:7">
      <c r="A276" s="8" t="s">
        <v>8717</v>
      </c>
      <c r="B276" s="9">
        <f>COUNTIF(実績!$R$5:$R$1474,A276)</f>
        <v>1</v>
      </c>
      <c r="C276" s="9">
        <f>COUNTIF(実績!$W$5:$W$1474,A276)</f>
        <v>0</v>
      </c>
      <c r="D276" s="9">
        <f>COUNTIF(実績!$AB$5:$AC$1474,A276)</f>
        <v>0</v>
      </c>
      <c r="E276" s="12" t="s">
        <v>8751</v>
      </c>
      <c r="F276" s="12" t="s">
        <v>5839</v>
      </c>
      <c r="G276" s="12" t="s">
        <v>5839</v>
      </c>
    </row>
    <row r="277" spans="1:7">
      <c r="A277" s="8" t="s">
        <v>4164</v>
      </c>
      <c r="B277" s="9">
        <f>COUNTIF(実績!$R$5:$R$1474,A277)</f>
        <v>1</v>
      </c>
      <c r="C277" s="9">
        <f>COUNTIF(実績!$W$5:$W$1474,A277)</f>
        <v>0</v>
      </c>
      <c r="D277" s="9">
        <f>COUNTIF(実績!$AB$5:$AC$1474,A277)</f>
        <v>0</v>
      </c>
      <c r="E277" s="12" t="s">
        <v>4166</v>
      </c>
      <c r="F277" s="12"/>
      <c r="G277" s="12"/>
    </row>
    <row r="278" spans="1:7">
      <c r="A278" s="8" t="s">
        <v>4945</v>
      </c>
      <c r="B278" s="9">
        <f>COUNTIF(実績!$R$5:$R$1474,A278)</f>
        <v>2</v>
      </c>
      <c r="C278" s="9">
        <f>COUNTIF(実績!$W$5:$W$1474,A278)</f>
        <v>0</v>
      </c>
      <c r="D278" s="9">
        <f>COUNTIF(実績!$AB$5:$AC$1474,A278)</f>
        <v>0</v>
      </c>
      <c r="E278" s="12" t="s">
        <v>4946</v>
      </c>
      <c r="F278" s="12" t="s">
        <v>5807</v>
      </c>
      <c r="G278" s="12"/>
    </row>
    <row r="279" spans="1:7">
      <c r="A279" s="8" t="s">
        <v>6681</v>
      </c>
      <c r="B279" s="9">
        <f>COUNTIF(実績!$R$5:$R$1474,A279)</f>
        <v>2</v>
      </c>
      <c r="C279" s="9">
        <f>COUNTIF(実績!$W$5:$W$1474,A279)</f>
        <v>0</v>
      </c>
      <c r="D279" s="9">
        <f>COUNTIF(実績!$AB$5:$AC$1474,A279)</f>
        <v>0</v>
      </c>
      <c r="E279" s="12" t="s">
        <v>6682</v>
      </c>
      <c r="F279" s="12" t="s">
        <v>5839</v>
      </c>
      <c r="G279" s="12" t="s">
        <v>5839</v>
      </c>
    </row>
    <row r="280" spans="1:7">
      <c r="A280" s="8" t="s">
        <v>6607</v>
      </c>
      <c r="B280" s="9">
        <f>COUNTIF(実績!$R$5:$R$1474,A280)</f>
        <v>6</v>
      </c>
      <c r="C280" s="9">
        <f>COUNTIF(実績!$W$5:$W$1474,A280)</f>
        <v>0</v>
      </c>
      <c r="D280" s="9">
        <f>COUNTIF(実績!$AB$5:$AC$1474,A280)</f>
        <v>0</v>
      </c>
      <c r="E280" s="12" t="s">
        <v>6608</v>
      </c>
      <c r="F280" s="12" t="s">
        <v>5839</v>
      </c>
      <c r="G280" s="12" t="s">
        <v>5839</v>
      </c>
    </row>
    <row r="281" spans="1:7">
      <c r="A281" s="8" t="s">
        <v>753</v>
      </c>
      <c r="B281" s="9">
        <f>COUNTIF(実績!$R$5:$R$1474,A281)</f>
        <v>1</v>
      </c>
      <c r="C281" s="9">
        <f>COUNTIF(実績!$W$5:$W$1474,A281)</f>
        <v>0</v>
      </c>
      <c r="D281" s="9">
        <f>COUNTIF(実績!$AB$5:$AC$1474,A281)</f>
        <v>0</v>
      </c>
      <c r="E281" s="12" t="s">
        <v>1231</v>
      </c>
      <c r="F281" s="12"/>
      <c r="G281" s="12"/>
    </row>
    <row r="282" spans="1:7">
      <c r="A282" s="8" t="s">
        <v>6737</v>
      </c>
      <c r="B282" s="9">
        <f>COUNTIF(実績!$R$5:$R$1474,A282)</f>
        <v>2</v>
      </c>
      <c r="C282" s="9">
        <f>COUNTIF(実績!$W$5:$W$1474,A282)</f>
        <v>0</v>
      </c>
      <c r="D282" s="9">
        <f>COUNTIF(実績!$AB$5:$AC$1474,A282)</f>
        <v>0</v>
      </c>
      <c r="E282" s="12" t="s">
        <v>6738</v>
      </c>
      <c r="F282" s="12" t="s">
        <v>5839</v>
      </c>
      <c r="G282" s="12" t="s">
        <v>5839</v>
      </c>
    </row>
    <row r="283" spans="1:7">
      <c r="A283" s="8" t="s">
        <v>6399</v>
      </c>
      <c r="B283" s="9">
        <f>COUNTIF(実績!$R$5:$R$1474,A283)</f>
        <v>5</v>
      </c>
      <c r="C283" s="9">
        <f>COUNTIF(実績!$W$5:$W$1474,A283)</f>
        <v>0</v>
      </c>
      <c r="D283" s="9">
        <f>COUNTIF(実績!$AB$5:$AC$1474,A283)</f>
        <v>0</v>
      </c>
      <c r="E283" s="12" t="s">
        <v>5725</v>
      </c>
      <c r="F283" s="12"/>
      <c r="G283" s="12"/>
    </row>
    <row r="284" spans="1:7">
      <c r="A284" s="8" t="s">
        <v>3088</v>
      </c>
      <c r="B284" s="9">
        <f>COUNTIF(実績!$R$5:$R$1474,A284)</f>
        <v>3</v>
      </c>
      <c r="C284" s="9">
        <f>COUNTIF(実績!$W$5:$W$1474,A284)</f>
        <v>0</v>
      </c>
      <c r="D284" s="9">
        <f>COUNTIF(実績!$AB$5:$AC$1474,A284)</f>
        <v>0</v>
      </c>
      <c r="E284" s="12" t="s">
        <v>3089</v>
      </c>
      <c r="F284" s="12" t="s">
        <v>5586</v>
      </c>
      <c r="G284" s="12"/>
    </row>
    <row r="285" spans="1:7">
      <c r="A285" s="8" t="s">
        <v>473</v>
      </c>
      <c r="B285" s="9">
        <f>COUNTIF(実績!$R$5:$R$1474,A285)</f>
        <v>4</v>
      </c>
      <c r="C285" s="9">
        <f>COUNTIF(実績!$W$5:$W$1474,A285)</f>
        <v>0</v>
      </c>
      <c r="D285" s="9">
        <f>COUNTIF(実績!$AB$5:$AC$1474,A285)</f>
        <v>0</v>
      </c>
      <c r="E285" s="12" t="s">
        <v>1299</v>
      </c>
      <c r="F285" s="12"/>
      <c r="G285" s="12"/>
    </row>
    <row r="286" spans="1:7">
      <c r="A286" s="8" t="s">
        <v>549</v>
      </c>
      <c r="B286" s="9">
        <f>COUNTIF(実績!$R$5:$R$1474,A286)</f>
        <v>1</v>
      </c>
      <c r="C286" s="9">
        <f>COUNTIF(実績!$W$5:$W$1474,A286)</f>
        <v>0</v>
      </c>
      <c r="D286" s="9">
        <f>COUNTIF(実績!$AB$5:$AC$1474,A286)</f>
        <v>0</v>
      </c>
      <c r="E286" s="12" t="s">
        <v>1300</v>
      </c>
      <c r="F286" s="12"/>
      <c r="G286" s="12"/>
    </row>
    <row r="287" spans="1:7">
      <c r="A287" s="13" t="s">
        <v>1405</v>
      </c>
      <c r="B287" s="9">
        <f>COUNTIF(実績!$R$5:$R$1474,A287)</f>
        <v>1</v>
      </c>
      <c r="C287" s="9">
        <f>COUNTIF(実績!$W$5:$W$1474,A287)</f>
        <v>0</v>
      </c>
      <c r="D287" s="9">
        <f>COUNTIF(実績!$AB$5:$AC$1474,A287)</f>
        <v>0</v>
      </c>
      <c r="E287" s="12" t="s">
        <v>1406</v>
      </c>
      <c r="F287" s="12"/>
      <c r="G287" s="12"/>
    </row>
    <row r="288" spans="1:7">
      <c r="A288" s="8" t="s">
        <v>1084</v>
      </c>
      <c r="B288" s="9">
        <f>COUNTIF(実績!$R$5:$R$1474,A288)</f>
        <v>4</v>
      </c>
      <c r="C288" s="9">
        <f>COUNTIF(実績!$W$5:$W$1474,A288)</f>
        <v>0</v>
      </c>
      <c r="D288" s="9">
        <f>COUNTIF(実績!$AB$5:$AC$1474,A288)</f>
        <v>0</v>
      </c>
      <c r="E288" s="12" t="s">
        <v>1302</v>
      </c>
      <c r="F288" s="12"/>
      <c r="G288" s="12"/>
    </row>
    <row r="289" spans="1:7">
      <c r="A289" s="8" t="s">
        <v>1095</v>
      </c>
      <c r="B289" s="9">
        <f>COUNTIF(実績!$R$5:$R$1474,A289)</f>
        <v>0</v>
      </c>
      <c r="C289" s="9">
        <f>COUNTIF(実績!$W$5:$W$1474,A289)</f>
        <v>15</v>
      </c>
      <c r="D289" s="9">
        <f>COUNTIF(実績!$AB$5:$AC$1474,A289)</f>
        <v>2</v>
      </c>
      <c r="E289" s="12" t="s">
        <v>1288</v>
      </c>
      <c r="F289" s="12"/>
      <c r="G289" s="12"/>
    </row>
    <row r="290" spans="1:7">
      <c r="A290" s="8" t="s">
        <v>5014</v>
      </c>
      <c r="B290" s="9">
        <f>COUNTIF(実績!$R$5:$R$1474,A290)</f>
        <v>1</v>
      </c>
      <c r="C290" s="9">
        <f>COUNTIF(実績!$W$5:$W$1474,A290)</f>
        <v>1</v>
      </c>
      <c r="D290" s="9">
        <f>COUNTIF(実績!$AB$5:$AC$1474,A290)</f>
        <v>0</v>
      </c>
      <c r="E290" s="12" t="s">
        <v>5015</v>
      </c>
      <c r="F290" s="12"/>
      <c r="G290" s="12"/>
    </row>
    <row r="291" spans="1:7">
      <c r="A291" s="8" t="s">
        <v>3105</v>
      </c>
      <c r="B291" s="9">
        <f>COUNTIF(実績!$R$5:$R$1474,A291)</f>
        <v>2</v>
      </c>
      <c r="C291" s="9">
        <f>COUNTIF(実績!$W$5:$W$1474,A291)</f>
        <v>0</v>
      </c>
      <c r="D291" s="9">
        <f>COUNTIF(実績!$AB$5:$AC$1474,A291)</f>
        <v>0</v>
      </c>
      <c r="E291" s="12" t="s">
        <v>3106</v>
      </c>
      <c r="F291" s="12"/>
      <c r="G291" s="12"/>
    </row>
    <row r="292" spans="1:7">
      <c r="A292" s="8" t="s">
        <v>2367</v>
      </c>
      <c r="B292" s="9">
        <f>COUNTIF(実績!$R$5:$R$1474,A292)</f>
        <v>2</v>
      </c>
      <c r="C292" s="9">
        <f>COUNTIF(実績!$W$5:$W$1474,A292)</f>
        <v>0</v>
      </c>
      <c r="D292" s="9">
        <f>COUNTIF(実績!$AB$5:$AC$1474,A292)</f>
        <v>0</v>
      </c>
      <c r="E292" s="12" t="s">
        <v>2368</v>
      </c>
      <c r="F292" s="12"/>
      <c r="G292" s="12"/>
    </row>
    <row r="293" spans="1:7">
      <c r="A293" s="8" t="s">
        <v>934</v>
      </c>
      <c r="B293" s="9">
        <f>COUNTIF(実績!$R$5:$R$1474,A293)</f>
        <v>1</v>
      </c>
      <c r="C293" s="9">
        <f>COUNTIF(実績!$W$5:$W$1474,A293)</f>
        <v>0</v>
      </c>
      <c r="D293" s="9">
        <f>COUNTIF(実績!$AB$5:$AC$1474,A293)</f>
        <v>0</v>
      </c>
      <c r="E293" s="12" t="s">
        <v>1232</v>
      </c>
      <c r="F293" s="12"/>
      <c r="G293" s="12"/>
    </row>
    <row r="294" spans="1:7">
      <c r="A294" s="8" t="s">
        <v>6555</v>
      </c>
      <c r="B294" s="9">
        <f>COUNTIF(実績!$R$5:$R$1474,A294)</f>
        <v>1</v>
      </c>
      <c r="C294" s="9">
        <f>COUNTIF(実績!$W$5:$W$1474,A294)</f>
        <v>0</v>
      </c>
      <c r="D294" s="9">
        <f>COUNTIF(実績!$AB$5:$AC$1474,A294)</f>
        <v>0</v>
      </c>
      <c r="E294" s="12" t="s">
        <v>6556</v>
      </c>
      <c r="F294" s="12" t="s">
        <v>5839</v>
      </c>
      <c r="G294" s="12" t="s">
        <v>5839</v>
      </c>
    </row>
    <row r="295" spans="1:7">
      <c r="A295" s="8" t="s">
        <v>4839</v>
      </c>
      <c r="B295" s="9">
        <f>COUNTIF(実績!$R$5:$R$1474,A295)</f>
        <v>2</v>
      </c>
      <c r="C295" s="9">
        <f>COUNTIF(実績!$W$5:$W$1474,A295)</f>
        <v>3</v>
      </c>
      <c r="D295" s="9">
        <f>COUNTIF(実績!$AB$5:$AC$1474,A295)</f>
        <v>0</v>
      </c>
      <c r="E295" s="12" t="s">
        <v>4840</v>
      </c>
      <c r="F295" s="12"/>
      <c r="G295" s="12"/>
    </row>
    <row r="296" spans="1:7">
      <c r="A296" s="8" t="s">
        <v>719</v>
      </c>
      <c r="B296" s="9">
        <f>COUNTIF(実績!$R$5:$R$1474,A296)</f>
        <v>1</v>
      </c>
      <c r="C296" s="9">
        <f>COUNTIF(実績!$W$5:$W$1474,A296)</f>
        <v>0</v>
      </c>
      <c r="D296" s="9">
        <f>COUNTIF(実績!$AB$5:$AC$1474,A296)</f>
        <v>0</v>
      </c>
      <c r="E296" s="12" t="s">
        <v>1303</v>
      </c>
      <c r="F296" s="12"/>
      <c r="G296" s="12"/>
    </row>
    <row r="297" spans="1:7">
      <c r="A297" s="8" t="s">
        <v>5451</v>
      </c>
      <c r="B297" s="9">
        <f>COUNTIF(実績!$R$5:$R$1474,A297)</f>
        <v>0</v>
      </c>
      <c r="C297" s="9">
        <f>COUNTIF(実績!$W$5:$W$1474,A297)</f>
        <v>0</v>
      </c>
      <c r="D297" s="9">
        <f>COUNTIF(実績!$AB$5:$AC$1474,A297)</f>
        <v>2</v>
      </c>
      <c r="E297" s="12" t="s">
        <v>5452</v>
      </c>
      <c r="F297" s="12"/>
      <c r="G297" s="12"/>
    </row>
    <row r="298" spans="1:7">
      <c r="A298" s="8" t="s">
        <v>921</v>
      </c>
      <c r="B298" s="9">
        <f>COUNTIF(実績!$R$5:$R$1474,A298)</f>
        <v>3</v>
      </c>
      <c r="C298" s="9">
        <f>COUNTIF(実績!$W$5:$W$1474,A298)</f>
        <v>2</v>
      </c>
      <c r="D298" s="9">
        <f>COUNTIF(実績!$AB$5:$AC$1474,A298)</f>
        <v>0</v>
      </c>
      <c r="E298" s="12" t="s">
        <v>1259</v>
      </c>
      <c r="F298" s="12"/>
      <c r="G298" s="12"/>
    </row>
    <row r="299" spans="1:7">
      <c r="A299" s="8" t="s">
        <v>7888</v>
      </c>
      <c r="B299" s="9">
        <f>COUNTIF(実績!$R$5:$R$1474,A299)</f>
        <v>0</v>
      </c>
      <c r="C299" s="9">
        <f>COUNTIF(実績!$W$5:$W$1474,A299)</f>
        <v>1</v>
      </c>
      <c r="D299" s="9">
        <f>COUNTIF(実績!$AB$5:$AC$1474,A299)</f>
        <v>0</v>
      </c>
      <c r="E299" s="12" t="s">
        <v>7889</v>
      </c>
      <c r="F299" s="12" t="s">
        <v>5839</v>
      </c>
      <c r="G299" s="12" t="s">
        <v>5839</v>
      </c>
    </row>
    <row r="300" spans="1:7">
      <c r="A300" s="8" t="s">
        <v>777</v>
      </c>
      <c r="B300" s="9">
        <f>COUNTIF(実績!$R$5:$R$1474,A300)</f>
        <v>1</v>
      </c>
      <c r="C300" s="9">
        <f>COUNTIF(実績!$W$5:$W$1474,A300)</f>
        <v>0</v>
      </c>
      <c r="D300" s="9">
        <f>COUNTIF(実績!$AB$5:$AC$1474,A300)</f>
        <v>0</v>
      </c>
      <c r="E300" s="12" t="s">
        <v>1233</v>
      </c>
      <c r="F300" s="12"/>
      <c r="G300" s="12"/>
    </row>
    <row r="301" spans="1:7">
      <c r="A301" s="8" t="s">
        <v>7270</v>
      </c>
      <c r="B301" s="9">
        <f>COUNTIF(実績!$R$5:$R$1474,A301)</f>
        <v>1</v>
      </c>
      <c r="C301" s="9">
        <f>COUNTIF(実績!$W$5:$W$1474,A301)</f>
        <v>2</v>
      </c>
      <c r="D301" s="9">
        <f>COUNTIF(実績!$AB$5:$AC$1474,A301)</f>
        <v>0</v>
      </c>
      <c r="E301" s="12" t="s">
        <v>7271</v>
      </c>
      <c r="F301" s="12" t="s">
        <v>5839</v>
      </c>
      <c r="G301" s="12" t="s">
        <v>5839</v>
      </c>
    </row>
    <row r="302" spans="1:7">
      <c r="A302" s="8" t="s">
        <v>15193</v>
      </c>
      <c r="B302" s="9">
        <f>COUNTIF(実績!$R$5:$R$1474,A302)</f>
        <v>0</v>
      </c>
      <c r="C302" s="9">
        <f>COUNTIF(実績!$W$5:$W$1474,A302)</f>
        <v>0</v>
      </c>
      <c r="D302" s="9">
        <f>COUNTIF(実績!$AB$5:$AC$1474,A302)</f>
        <v>1</v>
      </c>
      <c r="E302" s="12" t="s">
        <v>15194</v>
      </c>
      <c r="F302" s="12"/>
      <c r="G302" s="12"/>
    </row>
    <row r="303" spans="1:7">
      <c r="A303" s="8" t="s">
        <v>4229</v>
      </c>
      <c r="B303" s="9">
        <f>COUNTIF(実績!$R$5:$R$1474,A303)</f>
        <v>0</v>
      </c>
      <c r="C303" s="9">
        <f>COUNTIF(実績!$W$5:$W$1474,A303)</f>
        <v>1</v>
      </c>
      <c r="D303" s="9">
        <f>COUNTIF(実績!$AB$5:$AC$1474,A303)</f>
        <v>0</v>
      </c>
      <c r="E303" s="12" t="s">
        <v>4230</v>
      </c>
      <c r="F303" s="12"/>
      <c r="G303" s="12"/>
    </row>
    <row r="304" spans="1:7">
      <c r="A304" s="8" t="s">
        <v>8350</v>
      </c>
      <c r="B304" s="9">
        <f>COUNTIF(実績!$R$5:$R$1474,A304)</f>
        <v>1</v>
      </c>
      <c r="C304" s="9">
        <f>COUNTIF(実績!$W$5:$W$1474,A304)</f>
        <v>0</v>
      </c>
      <c r="D304" s="9">
        <f>COUNTIF(実績!$AB$5:$AC$1474,A304)</f>
        <v>0</v>
      </c>
      <c r="E304" s="12" t="s">
        <v>8351</v>
      </c>
      <c r="F304" s="12" t="s">
        <v>5839</v>
      </c>
      <c r="G304" s="12" t="s">
        <v>5839</v>
      </c>
    </row>
    <row r="305" spans="1:7">
      <c r="A305" s="8" t="s">
        <v>442</v>
      </c>
      <c r="B305" s="9">
        <f>COUNTIF(実績!$R$5:$R$1474,A305)</f>
        <v>19</v>
      </c>
      <c r="C305" s="9">
        <f>COUNTIF(実績!$W$5:$W$1474,A305)</f>
        <v>0</v>
      </c>
      <c r="D305" s="9">
        <f>COUNTIF(実績!$AB$5:$AC$1474,A305)</f>
        <v>0</v>
      </c>
      <c r="E305" s="12" t="s">
        <v>1304</v>
      </c>
      <c r="F305" s="12"/>
      <c r="G305" s="12"/>
    </row>
    <row r="306" spans="1:7">
      <c r="A306" s="8" t="s">
        <v>898</v>
      </c>
      <c r="B306" s="9">
        <f>COUNTIF(実績!$R$5:$R$1474,A306)</f>
        <v>1</v>
      </c>
      <c r="C306" s="9">
        <f>COUNTIF(実績!$W$5:$W$1474,A306)</f>
        <v>0</v>
      </c>
      <c r="D306" s="9">
        <f>COUNTIF(実績!$AB$5:$AC$1474,A306)</f>
        <v>0</v>
      </c>
      <c r="E306" s="12" t="s">
        <v>1234</v>
      </c>
      <c r="F306" s="12"/>
      <c r="G306" s="12"/>
    </row>
    <row r="307" spans="1:7">
      <c r="A307" s="8" t="s">
        <v>1751</v>
      </c>
      <c r="B307" s="9">
        <f>COUNTIF(実績!$R$5:$R$1474,A307)</f>
        <v>1</v>
      </c>
      <c r="C307" s="9">
        <f>COUNTIF(実績!$W$5:$W$1474,A307)</f>
        <v>0</v>
      </c>
      <c r="D307" s="9">
        <f>COUNTIF(実績!$AB$5:$AC$1474,A307)</f>
        <v>0</v>
      </c>
      <c r="E307" s="12" t="s">
        <v>1752</v>
      </c>
      <c r="F307" s="12"/>
      <c r="G307" s="12"/>
    </row>
    <row r="308" spans="1:7">
      <c r="A308" s="8" t="s">
        <v>5182</v>
      </c>
      <c r="B308" s="9">
        <f>COUNTIF(実績!$R$5:$R$1474,A308)</f>
        <v>0</v>
      </c>
      <c r="C308" s="9">
        <f>COUNTIF(実績!$W$5:$W$1474,A308)</f>
        <v>0</v>
      </c>
      <c r="D308" s="9">
        <f>COUNTIF(実績!$AB$5:$AC$1474,A308)</f>
        <v>1</v>
      </c>
      <c r="E308" s="12" t="s">
        <v>5183</v>
      </c>
      <c r="F308" s="12"/>
      <c r="G308" s="12"/>
    </row>
    <row r="309" spans="1:7">
      <c r="A309" s="8" t="s">
        <v>2287</v>
      </c>
      <c r="B309" s="9">
        <f>COUNTIF(実績!$R$5:$R$1474,A309)</f>
        <v>1</v>
      </c>
      <c r="C309" s="9">
        <f>COUNTIF(実績!$W$5:$W$1474,A309)</f>
        <v>0</v>
      </c>
      <c r="D309" s="9">
        <f>COUNTIF(実績!$AB$5:$AC$1474,A309)</f>
        <v>0</v>
      </c>
      <c r="E309" s="12" t="s">
        <v>2288</v>
      </c>
      <c r="F309" s="12"/>
      <c r="G309" s="12"/>
    </row>
    <row r="310" spans="1:7">
      <c r="A310" s="8" t="s">
        <v>10901</v>
      </c>
      <c r="B310" s="9">
        <f>COUNTIF(実績!$R$5:$R$1474,A310)</f>
        <v>1</v>
      </c>
      <c r="C310" s="9">
        <f>COUNTIF(実績!$W$5:$W$1474,A310)</f>
        <v>0</v>
      </c>
      <c r="D310" s="9">
        <f>COUNTIF(実績!$AB$5:$AC$1474,A310)</f>
        <v>0</v>
      </c>
      <c r="E310" s="12" t="s">
        <v>10902</v>
      </c>
      <c r="F310" s="12"/>
      <c r="G310" s="12"/>
    </row>
    <row r="311" spans="1:7">
      <c r="A311" s="8" t="s">
        <v>2993</v>
      </c>
      <c r="B311" s="9">
        <f>COUNTIF(実績!$R$5:$R$1474,A311)</f>
        <v>0</v>
      </c>
      <c r="C311" s="9">
        <f>COUNTIF(実績!$W$5:$W$1474,A311)</f>
        <v>1</v>
      </c>
      <c r="D311" s="9">
        <f>COUNTIF(実績!$AB$5:$AC$1474,A311)</f>
        <v>0</v>
      </c>
      <c r="E311" s="12" t="s">
        <v>2994</v>
      </c>
      <c r="F311" s="12"/>
      <c r="G311" s="12"/>
    </row>
    <row r="312" spans="1:7">
      <c r="A312" s="8" t="s">
        <v>573</v>
      </c>
      <c r="B312" s="9">
        <f>COUNTIF(実績!$R$5:$R$1474,A312)</f>
        <v>2</v>
      </c>
      <c r="C312" s="9">
        <f>COUNTIF(実績!$W$5:$W$1474,A312)</f>
        <v>0</v>
      </c>
      <c r="D312" s="9">
        <f>COUNTIF(実績!$AB$5:$AC$1474,A312)</f>
        <v>1</v>
      </c>
      <c r="E312" s="12" t="s">
        <v>1235</v>
      </c>
      <c r="F312" s="12"/>
      <c r="G312" s="12"/>
    </row>
    <row r="313" spans="1:7">
      <c r="A313" s="8" t="s">
        <v>9754</v>
      </c>
      <c r="B313" s="9">
        <f>COUNTIF(実績!$R$5:$R$1474,A313)</f>
        <v>0</v>
      </c>
      <c r="C313" s="9">
        <f>COUNTIF(実績!$W$5:$W$1474,A313)</f>
        <v>1</v>
      </c>
      <c r="D313" s="9">
        <f>COUNTIF(実績!$AB$5:$AC$1474,A313)</f>
        <v>0</v>
      </c>
      <c r="E313" s="12" t="s">
        <v>9756</v>
      </c>
      <c r="F313" s="12"/>
      <c r="G313" s="12"/>
    </row>
    <row r="314" spans="1:7">
      <c r="A314" s="8" t="s">
        <v>6085</v>
      </c>
      <c r="B314" s="9">
        <f>COUNTIF(実績!$R$5:$R$1474,A314)</f>
        <v>2</v>
      </c>
      <c r="C314" s="9">
        <f>COUNTIF(実績!$W$5:$W$1474,A314)</f>
        <v>0</v>
      </c>
      <c r="D314" s="9">
        <f>COUNTIF(実績!$AB$5:$AC$1474,A314)</f>
        <v>0</v>
      </c>
      <c r="E314" s="12" t="s">
        <v>6086</v>
      </c>
      <c r="F314" s="12" t="s">
        <v>5839</v>
      </c>
      <c r="G314" s="12"/>
    </row>
    <row r="315" spans="1:7">
      <c r="A315" s="8" t="s">
        <v>4226</v>
      </c>
      <c r="B315" s="9">
        <f>COUNTIF(実績!$R$5:$R$1474,A315)</f>
        <v>1</v>
      </c>
      <c r="C315" s="9">
        <f>COUNTIF(実績!$W$5:$W$1474,A315)</f>
        <v>0</v>
      </c>
      <c r="D315" s="9">
        <f>COUNTIF(実績!$AB$5:$AC$1474,A315)</f>
        <v>0</v>
      </c>
      <c r="E315" s="12" t="s">
        <v>4227</v>
      </c>
      <c r="F315" s="12"/>
      <c r="G315" s="12"/>
    </row>
    <row r="316" spans="1:7">
      <c r="A316" s="8" t="s">
        <v>6807</v>
      </c>
      <c r="B316" s="9">
        <f>COUNTIF(実績!$R$5:$R$1474,A316)</f>
        <v>0</v>
      </c>
      <c r="C316" s="9">
        <f>COUNTIF(実績!$W$5:$W$1474,A316)</f>
        <v>1</v>
      </c>
      <c r="D316" s="9">
        <f>COUNTIF(実績!$AB$5:$AC$1474,A316)</f>
        <v>0</v>
      </c>
      <c r="E316" s="12" t="s">
        <v>6809</v>
      </c>
      <c r="F316" s="12" t="s">
        <v>5839</v>
      </c>
      <c r="G316" s="12" t="s">
        <v>5839</v>
      </c>
    </row>
    <row r="317" spans="1:7">
      <c r="A317" s="8" t="s">
        <v>8423</v>
      </c>
      <c r="B317" s="9">
        <f>COUNTIF(実績!$R$5:$R$1474,A317)</f>
        <v>0</v>
      </c>
      <c r="C317" s="9">
        <f>COUNTIF(実績!$W$5:$W$1474,A317)</f>
        <v>3</v>
      </c>
      <c r="D317" s="9">
        <f>COUNTIF(実績!$AB$5:$AC$1474,A317)</f>
        <v>0</v>
      </c>
      <c r="E317" s="12" t="s">
        <v>8422</v>
      </c>
      <c r="F317" s="12" t="s">
        <v>5839</v>
      </c>
      <c r="G317" s="12" t="s">
        <v>5839</v>
      </c>
    </row>
    <row r="318" spans="1:7">
      <c r="A318" s="8" t="s">
        <v>7048</v>
      </c>
      <c r="B318" s="9">
        <f>COUNTIF(実績!$R$5:$R$1474,A318)</f>
        <v>0</v>
      </c>
      <c r="C318" s="9">
        <f>COUNTIF(実績!$W$5:$W$1474,A318)</f>
        <v>4</v>
      </c>
      <c r="D318" s="9">
        <f>COUNTIF(実績!$AB$5:$AC$1474,A318)</f>
        <v>0</v>
      </c>
      <c r="E318" s="12" t="s">
        <v>7049</v>
      </c>
      <c r="F318" s="12" t="s">
        <v>5839</v>
      </c>
      <c r="G318" s="12" t="s">
        <v>5839</v>
      </c>
    </row>
    <row r="319" spans="1:7">
      <c r="A319" s="8" t="s">
        <v>664</v>
      </c>
      <c r="B319" s="9">
        <f>COUNTIF(実績!$R$5:$R$1474,A319)</f>
        <v>0</v>
      </c>
      <c r="C319" s="9">
        <f>COUNTIF(実績!$W$5:$W$1474,A319)</f>
        <v>14</v>
      </c>
      <c r="D319" s="9">
        <f>COUNTIF(実績!$AB$5:$AC$1474,A319)</f>
        <v>0</v>
      </c>
      <c r="E319" s="12" t="s">
        <v>1236</v>
      </c>
      <c r="F319" s="12" t="s">
        <v>6497</v>
      </c>
      <c r="G319" s="12"/>
    </row>
    <row r="320" spans="1:7">
      <c r="A320" s="8" t="s">
        <v>9520</v>
      </c>
      <c r="B320" s="9">
        <f>COUNTIF(実績!$R$5:$R$1474,A320)</f>
        <v>2</v>
      </c>
      <c r="C320" s="9">
        <f>COUNTIF(実績!$W$5:$W$1474,A320)</f>
        <v>0</v>
      </c>
      <c r="D320" s="9">
        <f>COUNTIF(実績!$AB$5:$AC$1474,A320)</f>
        <v>0</v>
      </c>
      <c r="E320" s="12" t="s">
        <v>9522</v>
      </c>
      <c r="F320" s="12" t="s">
        <v>5839</v>
      </c>
      <c r="G320" s="12" t="s">
        <v>5839</v>
      </c>
    </row>
    <row r="321" spans="1:7">
      <c r="A321" s="8" t="s">
        <v>9116</v>
      </c>
      <c r="B321" s="9">
        <f>COUNTIF(実績!$R$5:$R$1474,A321)</f>
        <v>2</v>
      </c>
      <c r="C321" s="9">
        <f>COUNTIF(実績!$W$5:$W$1474,A321)</f>
        <v>0</v>
      </c>
      <c r="D321" s="9">
        <f>COUNTIF(実績!$AB$5:$AC$1474,A321)</f>
        <v>0</v>
      </c>
      <c r="E321" s="12" t="s">
        <v>9117</v>
      </c>
      <c r="F321" s="12" t="s">
        <v>5839</v>
      </c>
      <c r="G321" s="12" t="s">
        <v>5839</v>
      </c>
    </row>
    <row r="322" spans="1:7">
      <c r="A322" s="8" t="s">
        <v>580</v>
      </c>
      <c r="B322" s="9">
        <f>COUNTIF(実績!$R$5:$R$1474,A322)</f>
        <v>0</v>
      </c>
      <c r="C322" s="9">
        <f>COUNTIF(実績!$W$5:$W$1474,A322)</f>
        <v>1</v>
      </c>
      <c r="D322" s="9">
        <f>COUNTIF(実績!$AB$5:$AC$1474,A322)</f>
        <v>0</v>
      </c>
      <c r="E322" s="12" t="s">
        <v>1305</v>
      </c>
      <c r="F322" s="12"/>
      <c r="G322" s="12"/>
    </row>
    <row r="323" spans="1:7">
      <c r="A323" s="8" t="s">
        <v>14841</v>
      </c>
      <c r="B323" s="9">
        <f>COUNTIF(実績!$R$5:$R$1474,A323)</f>
        <v>0</v>
      </c>
      <c r="C323" s="9">
        <f>COUNTIF(実績!$W$5:$W$1474,A323)</f>
        <v>2</v>
      </c>
      <c r="D323" s="9">
        <f>COUNTIF(実績!$AB$5:$AC$1474,A323)</f>
        <v>0</v>
      </c>
      <c r="E323" s="12" t="s">
        <v>14842</v>
      </c>
      <c r="F323" s="12"/>
      <c r="G323" s="12"/>
    </row>
    <row r="324" spans="1:7">
      <c r="A324" s="8" t="s">
        <v>1687</v>
      </c>
      <c r="B324" s="9">
        <f>COUNTIF(実績!$R$5:$R$1474,A324)</f>
        <v>2</v>
      </c>
      <c r="C324" s="9">
        <f>COUNTIF(実績!$W$5:$W$1474,A324)</f>
        <v>0</v>
      </c>
      <c r="D324" s="9">
        <f>COUNTIF(実績!$AB$5:$AC$1474,A324)</f>
        <v>1</v>
      </c>
      <c r="E324" s="12" t="s">
        <v>1688</v>
      </c>
      <c r="F324" s="12"/>
      <c r="G324" s="12"/>
    </row>
    <row r="325" spans="1:7">
      <c r="A325" s="13" t="s">
        <v>1445</v>
      </c>
      <c r="B325" s="9">
        <f>COUNTIF(実績!$R$5:$R$1474,A325)</f>
        <v>1</v>
      </c>
      <c r="C325" s="9">
        <f>COUNTIF(実績!$W$5:$W$1474,A325)</f>
        <v>0</v>
      </c>
      <c r="D325" s="9">
        <f>COUNTIF(実績!$AB$5:$AC$1474,A325)</f>
        <v>0</v>
      </c>
      <c r="E325" s="12" t="s">
        <v>1446</v>
      </c>
      <c r="F325" s="12"/>
      <c r="G325" s="12"/>
    </row>
    <row r="326" spans="1:7">
      <c r="A326" s="8" t="s">
        <v>4960</v>
      </c>
      <c r="B326" s="9">
        <f>COUNTIF(実績!$R$5:$R$1474,A326)</f>
        <v>2</v>
      </c>
      <c r="C326" s="9">
        <f>COUNTIF(実績!$W$5:$W$1474,A326)</f>
        <v>0</v>
      </c>
      <c r="D326" s="9">
        <f>COUNTIF(実績!$AB$5:$AC$1474,A326)</f>
        <v>0</v>
      </c>
      <c r="E326" s="12" t="s">
        <v>4961</v>
      </c>
      <c r="F326" s="12"/>
      <c r="G326" s="12"/>
    </row>
    <row r="327" spans="1:7">
      <c r="A327" s="8" t="s">
        <v>721</v>
      </c>
      <c r="B327" s="9">
        <f>COUNTIF(実績!$R$5:$R$1474,A327)</f>
        <v>2</v>
      </c>
      <c r="C327" s="9">
        <f>COUNTIF(実績!$W$5:$W$1474,A327)</f>
        <v>0</v>
      </c>
      <c r="D327" s="9">
        <f>COUNTIF(実績!$AB$5:$AC$1474,A327)</f>
        <v>0</v>
      </c>
      <c r="E327" s="12" t="s">
        <v>1237</v>
      </c>
      <c r="F327" s="12"/>
      <c r="G327" s="12"/>
    </row>
    <row r="328" spans="1:7">
      <c r="A328" s="8" t="s">
        <v>443</v>
      </c>
      <c r="B328" s="9">
        <f>COUNTIF(実績!$R$5:$R$1474,A328)</f>
        <v>1</v>
      </c>
      <c r="C328" s="9">
        <f>COUNTIF(実績!$W$5:$W$1474,A328)</f>
        <v>0</v>
      </c>
      <c r="D328" s="9">
        <f>COUNTIF(実績!$AB$5:$AC$1474,A328)</f>
        <v>0</v>
      </c>
      <c r="E328" s="12" t="s">
        <v>1301</v>
      </c>
      <c r="F328" s="12"/>
      <c r="G328" s="12"/>
    </row>
    <row r="329" spans="1:7">
      <c r="A329" s="8" t="s">
        <v>3862</v>
      </c>
      <c r="B329" s="9">
        <f>COUNTIF(実績!$R$5:$R$1474,A329)</f>
        <v>0</v>
      </c>
      <c r="C329" s="9">
        <f>COUNTIF(実績!$W$5:$W$1474,A329)</f>
        <v>9</v>
      </c>
      <c r="D329" s="9">
        <f>COUNTIF(実績!$AB$5:$AC$1474,A329)</f>
        <v>0</v>
      </c>
      <c r="E329" s="12" t="s">
        <v>3863</v>
      </c>
      <c r="F329" s="12"/>
      <c r="G329" s="12"/>
    </row>
    <row r="330" spans="1:7">
      <c r="A330" s="8" t="s">
        <v>4798</v>
      </c>
      <c r="B330" s="9">
        <f>COUNTIF(実績!$R$5:$R$1474,A330)</f>
        <v>1</v>
      </c>
      <c r="C330" s="9">
        <f>COUNTIF(実績!$W$5:$W$1474,A330)</f>
        <v>0</v>
      </c>
      <c r="D330" s="9">
        <f>COUNTIF(実績!$AB$5:$AC$1474,A330)</f>
        <v>0</v>
      </c>
      <c r="E330" s="12" t="s">
        <v>4800</v>
      </c>
      <c r="F330" s="12"/>
      <c r="G330" s="12"/>
    </row>
    <row r="331" spans="1:7">
      <c r="A331" s="8" t="s">
        <v>10499</v>
      </c>
      <c r="B331" s="9">
        <f>COUNTIF(実績!$R$5:$R$1474,A331)</f>
        <v>0</v>
      </c>
      <c r="C331" s="9">
        <f>COUNTIF(実績!$W$5:$W$1474,A331)</f>
        <v>0</v>
      </c>
      <c r="D331" s="9">
        <f>COUNTIF(実績!$AB$5:$AC$1474,A331)</f>
        <v>1</v>
      </c>
      <c r="E331" s="12" t="s">
        <v>10500</v>
      </c>
      <c r="F331" s="12"/>
      <c r="G331" s="12"/>
    </row>
    <row r="332" spans="1:7">
      <c r="A332" s="8" t="s">
        <v>9628</v>
      </c>
      <c r="B332" s="9">
        <f>COUNTIF(実績!$R$5:$R$1474,A332)</f>
        <v>1</v>
      </c>
      <c r="C332" s="9">
        <f>COUNTIF(実績!$W$5:$W$1474,A332)</f>
        <v>0</v>
      </c>
      <c r="D332" s="9">
        <f>COUNTIF(実績!$AB$5:$AC$1474,A332)</f>
        <v>0</v>
      </c>
      <c r="E332" s="12" t="s">
        <v>9629</v>
      </c>
      <c r="F332" s="12"/>
      <c r="G332" s="12"/>
    </row>
    <row r="333" spans="1:7">
      <c r="A333" s="8" t="s">
        <v>1113</v>
      </c>
      <c r="B333" s="9">
        <f>COUNTIF(実績!$R$5:$R$1474,A333)</f>
        <v>0</v>
      </c>
      <c r="C333" s="9">
        <f>COUNTIF(実績!$W$5:$W$1474,A333)</f>
        <v>5</v>
      </c>
      <c r="D333" s="9">
        <f>COUNTIF(実績!$AB$5:$AC$1474,A333)</f>
        <v>0</v>
      </c>
      <c r="E333" s="12" t="s">
        <v>1306</v>
      </c>
      <c r="F333" s="12"/>
      <c r="G333" s="12"/>
    </row>
    <row r="334" spans="1:7">
      <c r="A334" s="8" t="s">
        <v>3973</v>
      </c>
      <c r="B334" s="9">
        <f>COUNTIF(実績!$R$5:$R$1474,A334)</f>
        <v>2</v>
      </c>
      <c r="C334" s="9">
        <f>COUNTIF(実績!$W$5:$W$1474,A334)</f>
        <v>1</v>
      </c>
      <c r="D334" s="9">
        <f>COUNTIF(実績!$AB$5:$AC$1474,A334)</f>
        <v>0</v>
      </c>
      <c r="E334" s="12" t="s">
        <v>3974</v>
      </c>
      <c r="F334" s="12"/>
      <c r="G334" s="12"/>
    </row>
    <row r="335" spans="1:7">
      <c r="A335" s="12" t="s">
        <v>5154</v>
      </c>
      <c r="B335" s="9">
        <f>COUNTIF(実績!$R$5:$R$1474,A335)</f>
        <v>0</v>
      </c>
      <c r="C335" s="9">
        <f>COUNTIF(実績!$W$5:$W$1474,A335)</f>
        <v>6</v>
      </c>
      <c r="D335" s="9">
        <f>COUNTIF(実績!$AB$5:$AC$1474,A335)</f>
        <v>0</v>
      </c>
      <c r="E335" s="12" t="s">
        <v>5155</v>
      </c>
      <c r="F335" s="12"/>
      <c r="G335" s="12"/>
    </row>
    <row r="336" spans="1:7">
      <c r="A336" s="8" t="s">
        <v>3200</v>
      </c>
      <c r="B336" s="9">
        <f>COUNTIF(実績!$R$5:$R$1474,A336)</f>
        <v>1</v>
      </c>
      <c r="C336" s="9">
        <f>COUNTIF(実績!$W$5:$W$1474,A336)</f>
        <v>0</v>
      </c>
      <c r="D336" s="9">
        <f>COUNTIF(実績!$AB$5:$AC$1474,A336)</f>
        <v>0</v>
      </c>
      <c r="E336" s="12" t="s">
        <v>3201</v>
      </c>
      <c r="F336" s="12"/>
      <c r="G336" s="12"/>
    </row>
    <row r="337" spans="1:7">
      <c r="A337" s="8" t="s">
        <v>3902</v>
      </c>
      <c r="B337" s="9">
        <f>COUNTIF(実績!$R$5:$R$1474,A337)</f>
        <v>1</v>
      </c>
      <c r="C337" s="9">
        <f>COUNTIF(実績!$W$5:$W$1474,A337)</f>
        <v>0</v>
      </c>
      <c r="D337" s="9">
        <f>COUNTIF(実績!$AB$5:$AC$1474,A337)</f>
        <v>0</v>
      </c>
      <c r="E337" s="12" t="s">
        <v>3903</v>
      </c>
      <c r="F337" s="12"/>
      <c r="G337" s="12"/>
    </row>
    <row r="338" spans="1:7">
      <c r="A338" s="8" t="s">
        <v>634</v>
      </c>
      <c r="B338" s="9">
        <f>COUNTIF(実績!$R$5:$R$1474,A338)</f>
        <v>1</v>
      </c>
      <c r="C338" s="9">
        <f>COUNTIF(実績!$W$5:$W$1474,A338)</f>
        <v>0</v>
      </c>
      <c r="D338" s="9">
        <f>COUNTIF(実績!$AB$5:$AC$1474,A338)</f>
        <v>0</v>
      </c>
      <c r="E338" s="12" t="s">
        <v>1312</v>
      </c>
      <c r="F338" s="12"/>
      <c r="G338" s="12"/>
    </row>
    <row r="339" spans="1:7">
      <c r="A339" s="8" t="s">
        <v>3335</v>
      </c>
      <c r="B339" s="9">
        <f>COUNTIF(実績!$R$5:$R$1474,A339)</f>
        <v>1</v>
      </c>
      <c r="C339" s="9">
        <f>COUNTIF(実績!$W$5:$W$1474,A339)</f>
        <v>2</v>
      </c>
      <c r="D339" s="9">
        <f>COUNTIF(実績!$AB$5:$AC$1474,A339)</f>
        <v>0</v>
      </c>
      <c r="E339" s="12" t="s">
        <v>3336</v>
      </c>
      <c r="F339" s="12"/>
      <c r="G339" s="12"/>
    </row>
    <row r="340" spans="1:7">
      <c r="A340" s="8" t="s">
        <v>4893</v>
      </c>
      <c r="B340" s="9">
        <f>COUNTIF(実績!$R$5:$R$1474,A340)</f>
        <v>1</v>
      </c>
      <c r="C340" s="9">
        <f>COUNTIF(実績!$W$5:$W$1474,A340)</f>
        <v>0</v>
      </c>
      <c r="D340" s="9">
        <f>COUNTIF(実績!$AB$5:$AC$1474,A340)</f>
        <v>0</v>
      </c>
      <c r="E340" s="12" t="s">
        <v>4894</v>
      </c>
      <c r="F340" s="12"/>
      <c r="G340" s="12"/>
    </row>
    <row r="341" spans="1:7">
      <c r="A341" s="8" t="s">
        <v>7290</v>
      </c>
      <c r="B341" s="9">
        <f>COUNTIF(実績!$R$5:$R$1474,A341)</f>
        <v>1</v>
      </c>
      <c r="C341" s="9">
        <f>COUNTIF(実績!$W$5:$W$1474,A341)</f>
        <v>0</v>
      </c>
      <c r="D341" s="9">
        <f>COUNTIF(実績!$AB$5:$AC$1474,A341)</f>
        <v>0</v>
      </c>
      <c r="E341" s="12" t="s">
        <v>7291</v>
      </c>
      <c r="F341" s="12" t="s">
        <v>5839</v>
      </c>
      <c r="G341" s="12" t="s">
        <v>5839</v>
      </c>
    </row>
    <row r="342" spans="1:7">
      <c r="A342" s="8" t="s">
        <v>4286</v>
      </c>
      <c r="B342" s="9">
        <f>COUNTIF(実績!$R$5:$R$1474,A342)</f>
        <v>0</v>
      </c>
      <c r="C342" s="9">
        <f>COUNTIF(実績!$W$5:$W$1474,A342)</f>
        <v>3</v>
      </c>
      <c r="D342" s="9">
        <f>COUNTIF(実績!$AB$5:$AC$1474,A342)</f>
        <v>1</v>
      </c>
      <c r="E342" s="12" t="s">
        <v>4287</v>
      </c>
      <c r="F342" s="12"/>
      <c r="G342" s="12"/>
    </row>
    <row r="343" spans="1:7">
      <c r="A343" s="8" t="s">
        <v>14172</v>
      </c>
      <c r="B343" s="9">
        <f>COUNTIF(実績!$R$5:$R$1474,A343)</f>
        <v>1</v>
      </c>
      <c r="C343" s="9">
        <f>COUNTIF(実績!$W$5:$W$1474,A343)</f>
        <v>0</v>
      </c>
      <c r="D343" s="9">
        <f>COUNTIF(実績!$AB$5:$AC$1474,A343)</f>
        <v>0</v>
      </c>
      <c r="E343" s="12" t="s">
        <v>14173</v>
      </c>
      <c r="F343" s="12" t="s">
        <v>5839</v>
      </c>
      <c r="G343" s="12" t="s">
        <v>5839</v>
      </c>
    </row>
    <row r="344" spans="1:7">
      <c r="A344" s="8" t="s">
        <v>2968</v>
      </c>
      <c r="B344" s="9">
        <f>COUNTIF(実績!$R$5:$R$1474,A344)</f>
        <v>1</v>
      </c>
      <c r="C344" s="9">
        <f>COUNTIF(実績!$W$5:$W$1474,A344)</f>
        <v>0</v>
      </c>
      <c r="D344" s="9">
        <f>COUNTIF(実績!$AB$5:$AC$1474,A344)</f>
        <v>0</v>
      </c>
      <c r="E344" s="12" t="s">
        <v>2969</v>
      </c>
      <c r="F344" s="12"/>
      <c r="G344" s="12"/>
    </row>
    <row r="345" spans="1:7">
      <c r="A345" s="8" t="s">
        <v>467</v>
      </c>
      <c r="B345" s="9">
        <f>COUNTIF(実績!$R$5:$R$1474,A345)</f>
        <v>27</v>
      </c>
      <c r="C345" s="9">
        <f>COUNTIF(実績!$W$5:$W$1474,A345)</f>
        <v>0</v>
      </c>
      <c r="D345" s="9">
        <f>COUNTIF(実績!$AB$5:$AC$1474,A345)</f>
        <v>0</v>
      </c>
      <c r="E345" s="12" t="s">
        <v>1307</v>
      </c>
      <c r="F345" s="12"/>
      <c r="G345" s="12"/>
    </row>
    <row r="346" spans="1:7">
      <c r="A346" s="8" t="s">
        <v>10519</v>
      </c>
      <c r="B346" s="9">
        <f>COUNTIF(実績!$R$5:$R$1474,A346)</f>
        <v>2</v>
      </c>
      <c r="C346" s="9">
        <f>COUNTIF(実績!$W$5:$W$1474,A346)</f>
        <v>0</v>
      </c>
      <c r="D346" s="9">
        <f>COUNTIF(実績!$AB$5:$AC$1474,A346)</f>
        <v>0</v>
      </c>
      <c r="E346" s="12" t="s">
        <v>10520</v>
      </c>
      <c r="F346" s="12"/>
      <c r="G346" s="12"/>
    </row>
    <row r="347" spans="1:7">
      <c r="A347" s="8" t="s">
        <v>3520</v>
      </c>
      <c r="B347" s="9">
        <f>COUNTIF(実績!$R$5:$R$1474,A347)</f>
        <v>0</v>
      </c>
      <c r="C347" s="9">
        <f>COUNTIF(実績!$W$5:$W$1474,A347)</f>
        <v>0</v>
      </c>
      <c r="D347" s="9">
        <f>COUNTIF(実績!$AB$5:$AC$1474,A347)</f>
        <v>1</v>
      </c>
      <c r="E347" s="12" t="s">
        <v>3522</v>
      </c>
      <c r="F347" s="12"/>
      <c r="G347" s="12"/>
    </row>
    <row r="348" spans="1:7">
      <c r="A348" s="8" t="s">
        <v>15096</v>
      </c>
      <c r="B348" s="9">
        <f>COUNTIF(実績!$R$5:$R$1474,A348)</f>
        <v>0</v>
      </c>
      <c r="C348" s="9">
        <f>COUNTIF(実績!$W$5:$W$1474,A348)</f>
        <v>1</v>
      </c>
      <c r="D348" s="9">
        <f>COUNTIF(実績!$AB$5:$AC$1474,A348)</f>
        <v>0</v>
      </c>
      <c r="E348" s="12" t="s">
        <v>15097</v>
      </c>
      <c r="F348" s="12"/>
      <c r="G348" s="12"/>
    </row>
    <row r="349" spans="1:7">
      <c r="A349" s="8" t="s">
        <v>6270</v>
      </c>
      <c r="B349" s="9">
        <f>COUNTIF(実績!$R$5:$R$1474,A349)</f>
        <v>1</v>
      </c>
      <c r="C349" s="9">
        <f>COUNTIF(実績!$W$5:$W$1474,A349)</f>
        <v>0</v>
      </c>
      <c r="D349" s="9">
        <f>COUNTIF(実績!$AB$5:$AC$1474,A349)</f>
        <v>0</v>
      </c>
      <c r="E349" s="12" t="s">
        <v>6271</v>
      </c>
      <c r="F349" s="12" t="s">
        <v>5839</v>
      </c>
      <c r="G349" s="12"/>
    </row>
    <row r="350" spans="1:7">
      <c r="A350" s="8" t="s">
        <v>645</v>
      </c>
      <c r="B350" s="9">
        <f>COUNTIF(実績!$R$5:$R$1474,A350)</f>
        <v>4</v>
      </c>
      <c r="C350" s="9">
        <f>COUNTIF(実績!$W$5:$W$1474,A350)</f>
        <v>0</v>
      </c>
      <c r="D350" s="9">
        <f>COUNTIF(実績!$AB$5:$AC$1474,A350)</f>
        <v>0</v>
      </c>
      <c r="E350" s="12" t="s">
        <v>1238</v>
      </c>
      <c r="F350" s="12"/>
      <c r="G350" s="12"/>
    </row>
    <row r="351" spans="1:7">
      <c r="A351" s="8" t="s">
        <v>16827</v>
      </c>
      <c r="B351" s="9">
        <f>COUNTIF(実績!$R$5:$R$1474,A351)</f>
        <v>3</v>
      </c>
      <c r="C351" s="9">
        <f>COUNTIF(実績!$W$5:$W$1474,A351)</f>
        <v>0</v>
      </c>
      <c r="D351" s="9">
        <f>COUNTIF(実績!$AB$5:$AC$1474,A351)</f>
        <v>0</v>
      </c>
      <c r="E351" s="12" t="s">
        <v>4575</v>
      </c>
      <c r="F351" s="12"/>
      <c r="G351" s="12"/>
    </row>
    <row r="352" spans="1:7">
      <c r="A352" s="8" t="s">
        <v>1140</v>
      </c>
      <c r="B352" s="9">
        <f>COUNTIF(実績!$R$5:$R$1474,A352)</f>
        <v>6</v>
      </c>
      <c r="C352" s="9">
        <f>COUNTIF(実績!$W$5:$W$1474,A352)</f>
        <v>0</v>
      </c>
      <c r="D352" s="9">
        <f>COUNTIF(実績!$AB$5:$AC$1474,A352)</f>
        <v>0</v>
      </c>
      <c r="E352" s="12" t="s">
        <v>1289</v>
      </c>
      <c r="F352" s="12"/>
      <c r="G352" s="12"/>
    </row>
    <row r="353" spans="1:7">
      <c r="A353" s="8" t="s">
        <v>1001</v>
      </c>
      <c r="B353" s="9">
        <f>COUNTIF(実績!$R$5:$R$1474,A353)</f>
        <v>1</v>
      </c>
      <c r="C353" s="9">
        <f>COUNTIF(実績!$W$5:$W$1474,A353)</f>
        <v>0</v>
      </c>
      <c r="D353" s="9">
        <f>COUNTIF(実績!$AB$5:$AC$1474,A353)</f>
        <v>0</v>
      </c>
      <c r="E353" s="12" t="s">
        <v>1239</v>
      </c>
      <c r="F353" s="12"/>
      <c r="G353" s="12"/>
    </row>
    <row r="354" spans="1:7">
      <c r="A354" s="8" t="s">
        <v>548</v>
      </c>
      <c r="B354" s="9">
        <f>COUNTIF(実績!$R$5:$R$1474,A354)</f>
        <v>0</v>
      </c>
      <c r="C354" s="9">
        <f>COUNTIF(実績!$W$5:$W$1474,A354)</f>
        <v>2</v>
      </c>
      <c r="D354" s="9">
        <f>COUNTIF(実績!$AB$5:$AC$1474,A354)</f>
        <v>0</v>
      </c>
      <c r="E354" s="12" t="s">
        <v>1240</v>
      </c>
      <c r="F354" s="12"/>
      <c r="G354" s="12"/>
    </row>
    <row r="355" spans="1:7">
      <c r="A355" s="8" t="s">
        <v>514</v>
      </c>
      <c r="B355" s="9">
        <f>COUNTIF(実績!$R$5:$R$1474,A355)</f>
        <v>0</v>
      </c>
      <c r="C355" s="9">
        <f>COUNTIF(実績!$W$5:$W$1474,A355)</f>
        <v>34</v>
      </c>
      <c r="D355" s="9">
        <f>COUNTIF(実績!$AB$5:$AC$1474,A355)</f>
        <v>0</v>
      </c>
      <c r="E355" s="12" t="s">
        <v>1241</v>
      </c>
      <c r="F355" s="12"/>
      <c r="G355" s="12"/>
    </row>
    <row r="356" spans="1:7">
      <c r="A356" s="8" t="s">
        <v>5992</v>
      </c>
      <c r="B356" s="9">
        <f>COUNTIF(実績!$R$5:$R$1474,A356)</f>
        <v>0</v>
      </c>
      <c r="C356" s="9">
        <f>COUNTIF(実績!$W$5:$W$1474,A356)</f>
        <v>1</v>
      </c>
      <c r="D356" s="9">
        <f>COUNTIF(実績!$AB$5:$AC$1474,A356)</f>
        <v>0</v>
      </c>
      <c r="E356" s="12" t="s">
        <v>5993</v>
      </c>
      <c r="F356" s="12" t="s">
        <v>5839</v>
      </c>
      <c r="G356" s="12"/>
    </row>
    <row r="357" spans="1:7">
      <c r="A357" s="8" t="s">
        <v>464</v>
      </c>
      <c r="B357" s="9">
        <f>COUNTIF(実績!$R$5:$R$1474,A357)</f>
        <v>2</v>
      </c>
      <c r="C357" s="9">
        <f>COUNTIF(実績!$W$5:$W$1474,A357)</f>
        <v>0</v>
      </c>
      <c r="D357" s="9">
        <f>COUNTIF(実績!$AB$5:$AC$1474,A357)</f>
        <v>0</v>
      </c>
      <c r="E357" s="12" t="s">
        <v>1290</v>
      </c>
      <c r="F357" s="12"/>
      <c r="G357" s="12"/>
    </row>
    <row r="358" spans="1:7">
      <c r="A358" s="8" t="s">
        <v>7896</v>
      </c>
      <c r="B358" s="9">
        <f>COUNTIF(実績!$R$5:$R$1474,A358)</f>
        <v>1</v>
      </c>
      <c r="C358" s="9">
        <f>COUNTIF(実績!$W$5:$W$1474,A358)</f>
        <v>0</v>
      </c>
      <c r="D358" s="9">
        <f>COUNTIF(実績!$AB$5:$AC$1474,A358)</f>
        <v>0</v>
      </c>
      <c r="E358" s="12" t="s">
        <v>7897</v>
      </c>
      <c r="F358" s="12" t="s">
        <v>5839</v>
      </c>
      <c r="G358" s="12" t="s">
        <v>5839</v>
      </c>
    </row>
    <row r="359" spans="1:7">
      <c r="A359" s="8" t="s">
        <v>7032</v>
      </c>
      <c r="B359" s="9">
        <f>COUNTIF(実績!$R$5:$R$1474,A359)</f>
        <v>1</v>
      </c>
      <c r="C359" s="9">
        <f>COUNTIF(実績!$W$5:$W$1474,A359)</f>
        <v>1</v>
      </c>
      <c r="D359" s="9">
        <f>COUNTIF(実績!$AB$5:$AC$1474,A359)</f>
        <v>0</v>
      </c>
      <c r="E359" s="12" t="s">
        <v>7031</v>
      </c>
      <c r="F359" s="12" t="s">
        <v>5839</v>
      </c>
      <c r="G359" s="12" t="s">
        <v>5839</v>
      </c>
    </row>
    <row r="360" spans="1:7">
      <c r="A360" s="8" t="s">
        <v>713</v>
      </c>
      <c r="B360" s="9">
        <f>COUNTIF(実績!$R$5:$R$1474,A360)</f>
        <v>3</v>
      </c>
      <c r="C360" s="9">
        <f>COUNTIF(実績!$W$5:$W$1474,A360)</f>
        <v>0</v>
      </c>
      <c r="D360" s="9">
        <f>COUNTIF(実績!$AB$5:$AC$1474,A360)</f>
        <v>0</v>
      </c>
      <c r="E360" s="12" t="s">
        <v>1242</v>
      </c>
      <c r="F360" s="12"/>
      <c r="G360" s="12"/>
    </row>
    <row r="361" spans="1:7">
      <c r="A361" s="8" t="s">
        <v>7750</v>
      </c>
      <c r="B361" s="9">
        <f>COUNTIF(実績!$R$5:$R$1474,A361)</f>
        <v>1</v>
      </c>
      <c r="C361" s="9">
        <f>COUNTIF(実績!$W$5:$W$1474,A361)</f>
        <v>0</v>
      </c>
      <c r="D361" s="9">
        <f>COUNTIF(実績!$AB$5:$AC$1474,A361)</f>
        <v>0</v>
      </c>
      <c r="E361" s="12" t="s">
        <v>7751</v>
      </c>
      <c r="F361" s="12" t="s">
        <v>5839</v>
      </c>
      <c r="G361" s="12" t="s">
        <v>5839</v>
      </c>
    </row>
    <row r="362" spans="1:7">
      <c r="A362" s="8" t="s">
        <v>755</v>
      </c>
      <c r="B362" s="9">
        <f>COUNTIF(実績!$R$5:$R$1474,A362)</f>
        <v>1</v>
      </c>
      <c r="C362" s="9">
        <f>COUNTIF(実績!$W$5:$W$1474,A362)</f>
        <v>0</v>
      </c>
      <c r="D362" s="9">
        <f>COUNTIF(実績!$AB$5:$AC$1474,A362)</f>
        <v>0</v>
      </c>
      <c r="E362" s="12" t="s">
        <v>1243</v>
      </c>
      <c r="F362" s="12"/>
      <c r="G362" s="12"/>
    </row>
    <row r="363" spans="1:7">
      <c r="A363" s="8" t="s">
        <v>2317</v>
      </c>
      <c r="B363" s="9">
        <f>COUNTIF(実績!$R$5:$R$1474,A363)</f>
        <v>0</v>
      </c>
      <c r="C363" s="9">
        <f>COUNTIF(実績!$W$5:$W$1474,A363)</f>
        <v>2</v>
      </c>
      <c r="D363" s="9">
        <f>COUNTIF(実績!$AB$5:$AC$1474,A363)</f>
        <v>0</v>
      </c>
      <c r="E363" s="12" t="s">
        <v>2318</v>
      </c>
      <c r="F363" s="12"/>
      <c r="G363" s="12"/>
    </row>
    <row r="364" spans="1:7">
      <c r="A364" s="8" t="s">
        <v>14190</v>
      </c>
      <c r="B364" s="9">
        <f>COUNTIF(実績!$R$5:$R$1474,A364)</f>
        <v>1</v>
      </c>
      <c r="C364" s="9">
        <f>COUNTIF(実績!$W$5:$W$1474,A364)</f>
        <v>0</v>
      </c>
      <c r="D364" s="9">
        <f>COUNTIF(実績!$AB$5:$AC$1474,A364)</f>
        <v>0</v>
      </c>
      <c r="E364" s="12" t="s">
        <v>14189</v>
      </c>
      <c r="F364" s="12"/>
      <c r="G364" s="12"/>
    </row>
    <row r="365" spans="1:7">
      <c r="A365" s="8" t="s">
        <v>4330</v>
      </c>
      <c r="B365" s="9">
        <f>COUNTIF(実績!$R$5:$R$1474,A365)</f>
        <v>0</v>
      </c>
      <c r="C365" s="9">
        <f>COUNTIF(実績!$W$5:$W$1474,A365)</f>
        <v>0</v>
      </c>
      <c r="D365" s="9">
        <f>COUNTIF(実績!$AB$5:$AC$1474,A365)</f>
        <v>1</v>
      </c>
      <c r="E365" s="12" t="s">
        <v>4331</v>
      </c>
      <c r="F365" s="12"/>
      <c r="G365" s="12"/>
    </row>
    <row r="366" spans="1:7">
      <c r="A366" s="8" t="s">
        <v>486</v>
      </c>
      <c r="B366" s="9">
        <f>COUNTIF(実績!$R$5:$R$1474,A366)</f>
        <v>12</v>
      </c>
      <c r="C366" s="9">
        <f>COUNTIF(実績!$W$5:$W$1474,A366)</f>
        <v>0</v>
      </c>
      <c r="D366" s="9">
        <f>COUNTIF(実績!$AB$5:$AC$1474,A366)</f>
        <v>0</v>
      </c>
      <c r="E366" s="12" t="s">
        <v>1244</v>
      </c>
      <c r="F366" s="12"/>
      <c r="G366" s="12"/>
    </row>
    <row r="367" spans="1:7">
      <c r="A367" s="8" t="s">
        <v>716</v>
      </c>
      <c r="B367" s="9">
        <f>COUNTIF(実績!$R$5:$R$1474,A367)</f>
        <v>0</v>
      </c>
      <c r="C367" s="9">
        <f>COUNTIF(実績!$W$5:$W$1474,A367)</f>
        <v>7</v>
      </c>
      <c r="D367" s="9">
        <f>COUNTIF(実績!$AB$5:$AC$1474,A367)</f>
        <v>0</v>
      </c>
      <c r="E367" s="12" t="s">
        <v>1260</v>
      </c>
      <c r="F367" s="12"/>
      <c r="G367" s="12"/>
    </row>
    <row r="368" spans="1:7">
      <c r="A368" s="8" t="s">
        <v>1735</v>
      </c>
      <c r="B368" s="9">
        <f>COUNTIF(実績!$R$5:$R$1474,A368)</f>
        <v>1</v>
      </c>
      <c r="C368" s="9">
        <f>COUNTIF(実績!$W$5:$W$1474,A368)</f>
        <v>1</v>
      </c>
      <c r="D368" s="9">
        <f>COUNTIF(実績!$AB$5:$AC$1474,A368)</f>
        <v>0</v>
      </c>
      <c r="E368" s="12" t="s">
        <v>1736</v>
      </c>
      <c r="F368" s="12"/>
      <c r="G368" s="12"/>
    </row>
    <row r="369" spans="1:7">
      <c r="A369" s="8" t="s">
        <v>8606</v>
      </c>
      <c r="B369" s="9">
        <f>COUNTIF(実績!$R$5:$R$1474,A369)</f>
        <v>0</v>
      </c>
      <c r="C369" s="9">
        <f>COUNTIF(実績!$W$5:$W$1474,A369)</f>
        <v>1</v>
      </c>
      <c r="D369" s="9">
        <f>COUNTIF(実績!$AB$5:$AC$1474,A369)</f>
        <v>0</v>
      </c>
      <c r="E369" s="12" t="s">
        <v>8607</v>
      </c>
      <c r="F369" s="12" t="s">
        <v>5839</v>
      </c>
      <c r="G369" s="12" t="s">
        <v>5839</v>
      </c>
    </row>
    <row r="370" spans="1:7">
      <c r="A370" s="8" t="s">
        <v>10139</v>
      </c>
      <c r="B370" s="9">
        <f>COUNTIF(実績!$R$5:$R$1474,A370)</f>
        <v>1</v>
      </c>
      <c r="C370" s="9">
        <f>COUNTIF(実績!$W$5:$W$1474,A370)</f>
        <v>0</v>
      </c>
      <c r="D370" s="9">
        <f>COUNTIF(実績!$AB$5:$AC$1474,A370)</f>
        <v>0</v>
      </c>
      <c r="E370" s="12" t="s">
        <v>10140</v>
      </c>
      <c r="F370" s="12"/>
      <c r="G370" s="12"/>
    </row>
    <row r="371" spans="1:7">
      <c r="A371" s="13" t="s">
        <v>1541</v>
      </c>
      <c r="B371" s="9">
        <f>COUNTIF(実績!$R$5:$R$1474,A371)</f>
        <v>1</v>
      </c>
      <c r="C371" s="9">
        <f>COUNTIF(実績!$W$5:$W$1474,A371)</f>
        <v>0</v>
      </c>
      <c r="D371" s="9">
        <f>COUNTIF(実績!$AB$5:$AC$1474,A371)</f>
        <v>0</v>
      </c>
      <c r="E371" s="12" t="s">
        <v>1542</v>
      </c>
      <c r="F371" s="12"/>
      <c r="G371" s="12"/>
    </row>
    <row r="372" spans="1:7">
      <c r="A372" s="8" t="s">
        <v>1082</v>
      </c>
      <c r="B372" s="9">
        <f>COUNTIF(実績!$R$5:$R$1474,A372)</f>
        <v>11</v>
      </c>
      <c r="C372" s="9">
        <f>COUNTIF(実績!$W$5:$W$1474,A372)</f>
        <v>0</v>
      </c>
      <c r="D372" s="9">
        <f>COUNTIF(実績!$AB$5:$AC$1474,A372)</f>
        <v>0</v>
      </c>
      <c r="E372" s="12" t="s">
        <v>1245</v>
      </c>
      <c r="F372" s="12"/>
      <c r="G372" s="12"/>
    </row>
    <row r="373" spans="1:7">
      <c r="A373" s="8" t="s">
        <v>10912</v>
      </c>
      <c r="B373" s="9">
        <f>COUNTIF(実績!$R$5:$R$1474,A373)</f>
        <v>1</v>
      </c>
      <c r="C373" s="9">
        <f>COUNTIF(実績!$W$5:$W$1474,A373)</f>
        <v>0</v>
      </c>
      <c r="D373" s="9">
        <f>COUNTIF(実績!$AB$5:$AC$1474,A373)</f>
        <v>0</v>
      </c>
      <c r="E373" s="12" t="s">
        <v>10913</v>
      </c>
      <c r="F373" s="12"/>
      <c r="G373" s="12"/>
    </row>
    <row r="374" spans="1:7">
      <c r="A374" s="8" t="s">
        <v>3338</v>
      </c>
      <c r="B374" s="9">
        <f>COUNTIF(実績!$R$5:$R$1474,A374)</f>
        <v>1</v>
      </c>
      <c r="C374" s="9">
        <f>COUNTIF(実績!$W$5:$W$1474,A374)</f>
        <v>0</v>
      </c>
      <c r="D374" s="9">
        <f>COUNTIF(実績!$AB$5:$AC$1474,A374)</f>
        <v>0</v>
      </c>
      <c r="E374" s="12" t="s">
        <v>3339</v>
      </c>
      <c r="F374" s="12"/>
      <c r="G374" s="12"/>
    </row>
    <row r="375" spans="1:7">
      <c r="A375" s="8" t="s">
        <v>744</v>
      </c>
      <c r="B375" s="9">
        <f>COUNTIF(実績!$R$5:$R$1474,A375)</f>
        <v>1</v>
      </c>
      <c r="C375" s="9">
        <f>COUNTIF(実績!$W$5:$W$1474,A375)</f>
        <v>0</v>
      </c>
      <c r="D375" s="9">
        <f>COUNTIF(実績!$AB$5:$AC$1474,A375)</f>
        <v>0</v>
      </c>
      <c r="E375" s="12" t="s">
        <v>1261</v>
      </c>
      <c r="F375" s="12"/>
      <c r="G375" s="12"/>
    </row>
    <row r="376" spans="1:7">
      <c r="A376" s="8" t="s">
        <v>592</v>
      </c>
      <c r="B376" s="9">
        <f>COUNTIF(実績!$R$5:$R$1474,A376)</f>
        <v>0</v>
      </c>
      <c r="C376" s="9">
        <f>COUNTIF(実績!$W$5:$W$1474,A376)</f>
        <v>28</v>
      </c>
      <c r="D376" s="9">
        <f>COUNTIF(実績!$AB$5:$AC$1474,A376)</f>
        <v>4</v>
      </c>
      <c r="E376" s="12" t="s">
        <v>1246</v>
      </c>
      <c r="F376" s="12" t="s">
        <v>5808</v>
      </c>
      <c r="G376" s="12"/>
    </row>
    <row r="377" spans="1:7">
      <c r="A377" s="8" t="s">
        <v>1711</v>
      </c>
      <c r="B377" s="9">
        <f>COUNTIF(実績!$R$5:$R$1474,A377)</f>
        <v>2</v>
      </c>
      <c r="C377" s="9">
        <f>COUNTIF(実績!$W$5:$W$1474,A377)</f>
        <v>0</v>
      </c>
      <c r="D377" s="9">
        <f>COUNTIF(実績!$AB$5:$AC$1474,A377)</f>
        <v>0</v>
      </c>
      <c r="E377" s="12" t="s">
        <v>1714</v>
      </c>
      <c r="F377" s="86"/>
      <c r="G377" s="12"/>
    </row>
    <row r="378" spans="1:7">
      <c r="A378" s="8" t="s">
        <v>14705</v>
      </c>
      <c r="B378" s="9">
        <f>COUNTIF(実績!$R$5:$R$1474,A378)</f>
        <v>1</v>
      </c>
      <c r="C378" s="9">
        <f>COUNTIF(実績!$W$5:$W$1474,A378)</f>
        <v>0</v>
      </c>
      <c r="D378" s="9">
        <f>COUNTIF(実績!$AB$5:$AC$1474,A378)</f>
        <v>0</v>
      </c>
      <c r="E378" s="12" t="s">
        <v>14706</v>
      </c>
      <c r="F378" s="12"/>
      <c r="G378" s="12"/>
    </row>
    <row r="379" spans="1:7">
      <c r="A379" s="8" t="s">
        <v>2862</v>
      </c>
      <c r="B379" s="9">
        <f>COUNTIF(実績!$R$5:$R$1474,A379)</f>
        <v>2</v>
      </c>
      <c r="C379" s="9">
        <f>COUNTIF(実績!$W$5:$W$1474,A379)</f>
        <v>2</v>
      </c>
      <c r="D379" s="9">
        <f>COUNTIF(実績!$AB$5:$AC$1474,A379)</f>
        <v>0</v>
      </c>
      <c r="E379" s="12" t="s">
        <v>2863</v>
      </c>
      <c r="F379" s="12"/>
      <c r="G379" s="12"/>
    </row>
    <row r="380" spans="1:7">
      <c r="A380" s="8" t="s">
        <v>5849</v>
      </c>
      <c r="B380" s="9">
        <f>COUNTIF(実績!$R$5:$R$1474,A380)</f>
        <v>1</v>
      </c>
      <c r="C380" s="9">
        <f>COUNTIF(実績!$W$5:$W$1474,A380)</f>
        <v>0</v>
      </c>
      <c r="D380" s="9">
        <f>COUNTIF(実績!$AB$5:$AC$1474,A380)</f>
        <v>0</v>
      </c>
      <c r="E380" s="12" t="s">
        <v>5850</v>
      </c>
      <c r="F380" s="12" t="s">
        <v>5839</v>
      </c>
      <c r="G380" s="12"/>
    </row>
    <row r="381" spans="1:7">
      <c r="A381" s="8" t="s">
        <v>3413</v>
      </c>
      <c r="B381" s="9">
        <f>COUNTIF(実績!$R$5:$R$1474,A381)</f>
        <v>0</v>
      </c>
      <c r="C381" s="9">
        <f>COUNTIF(実績!$W$5:$W$1474,A381)</f>
        <v>0</v>
      </c>
      <c r="D381" s="9">
        <f>COUNTIF(実績!$AB$5:$AC$1474,A381)</f>
        <v>1</v>
      </c>
      <c r="E381" s="12" t="s">
        <v>3414</v>
      </c>
      <c r="F381" s="12"/>
      <c r="G381" s="12"/>
    </row>
    <row r="382" spans="1:7">
      <c r="A382" s="8" t="s">
        <v>535</v>
      </c>
      <c r="B382" s="9">
        <f>COUNTIF(実績!$R$5:$R$1474,A382)</f>
        <v>2</v>
      </c>
      <c r="C382" s="9">
        <f>COUNTIF(実績!$W$5:$W$1474,A382)</f>
        <v>0</v>
      </c>
      <c r="D382" s="9">
        <f>COUNTIF(実績!$AB$5:$AC$1474,A382)</f>
        <v>0</v>
      </c>
      <c r="E382" s="12" t="s">
        <v>1253</v>
      </c>
      <c r="F382" s="12"/>
      <c r="G382" s="12"/>
    </row>
    <row r="383" spans="1:7">
      <c r="A383" s="8" t="s">
        <v>13761</v>
      </c>
      <c r="B383" s="9">
        <f>COUNTIF(実績!$R$5:$R$1474,A383)</f>
        <v>1</v>
      </c>
      <c r="C383" s="9">
        <f>COUNTIF(実績!$W$5:$W$1474,A383)</f>
        <v>0</v>
      </c>
      <c r="D383" s="9">
        <f>COUNTIF(実績!$AB$5:$AC$1474,A383)</f>
        <v>0</v>
      </c>
      <c r="E383" s="12" t="s">
        <v>13762</v>
      </c>
      <c r="F383" s="12"/>
      <c r="G383" s="12"/>
    </row>
    <row r="384" spans="1:7">
      <c r="A384" s="8" t="s">
        <v>3150</v>
      </c>
      <c r="B384" s="9">
        <f>COUNTIF(実績!$R$5:$R$1474,A384)</f>
        <v>1</v>
      </c>
      <c r="C384" s="9">
        <f>COUNTIF(実績!$W$5:$W$1474,A384)</f>
        <v>0</v>
      </c>
      <c r="D384" s="9">
        <f>COUNTIF(実績!$AB$5:$AC$1474,A384)</f>
        <v>0</v>
      </c>
      <c r="E384" s="12" t="s">
        <v>3151</v>
      </c>
      <c r="F384" s="12"/>
      <c r="G384" s="12"/>
    </row>
    <row r="385" spans="1:7">
      <c r="A385" s="8" t="s">
        <v>3792</v>
      </c>
      <c r="B385" s="9">
        <f>COUNTIF(実績!$R$5:$R$1474,A385)</f>
        <v>1</v>
      </c>
      <c r="C385" s="9">
        <f>COUNTIF(実績!$W$5:$W$1474,A385)</f>
        <v>0</v>
      </c>
      <c r="D385" s="9">
        <f>COUNTIF(実績!$AB$5:$AC$1474,A385)</f>
        <v>0</v>
      </c>
      <c r="E385" s="12" t="s">
        <v>3795</v>
      </c>
      <c r="F385" s="12"/>
      <c r="G385" s="12"/>
    </row>
    <row r="386" spans="1:7">
      <c r="A386" s="8" t="s">
        <v>1057</v>
      </c>
      <c r="B386" s="9">
        <f>COUNTIF(実績!$R$5:$R$1474,A386)</f>
        <v>9</v>
      </c>
      <c r="C386" s="9">
        <f>COUNTIF(実績!$W$5:$W$1474,A386)</f>
        <v>0</v>
      </c>
      <c r="D386" s="9">
        <f>COUNTIF(実績!$AB$5:$AC$1474,A386)</f>
        <v>0</v>
      </c>
      <c r="E386" s="12" t="s">
        <v>1311</v>
      </c>
      <c r="F386" s="12"/>
      <c r="G386" s="12"/>
    </row>
    <row r="387" spans="1:7">
      <c r="A387" s="13" t="s">
        <v>1485</v>
      </c>
      <c r="B387" s="9">
        <f>COUNTIF(実績!$R$5:$R$1474,A387)</f>
        <v>6</v>
      </c>
      <c r="C387" s="9">
        <f>COUNTIF(実績!$W$5:$W$1474,A387)</f>
        <v>0</v>
      </c>
      <c r="D387" s="9">
        <f>COUNTIF(実績!$AB$5:$AC$1474,A387)</f>
        <v>0</v>
      </c>
      <c r="E387" s="12" t="s">
        <v>1486</v>
      </c>
      <c r="F387" s="12"/>
      <c r="G387" s="12"/>
    </row>
    <row r="388" spans="1:7">
      <c r="A388" s="8" t="s">
        <v>7592</v>
      </c>
      <c r="B388" s="9">
        <f>COUNTIF(実績!$R$5:$R$1474,A388)</f>
        <v>1</v>
      </c>
      <c r="C388" s="9">
        <f>COUNTIF(実績!$W$5:$W$1474,A388)</f>
        <v>0</v>
      </c>
      <c r="D388" s="9">
        <f>COUNTIF(実績!$AB$5:$AC$1474,A388)</f>
        <v>0</v>
      </c>
      <c r="E388" s="12" t="s">
        <v>7593</v>
      </c>
      <c r="F388" s="12" t="s">
        <v>5839</v>
      </c>
      <c r="G388" s="12" t="s">
        <v>5839</v>
      </c>
    </row>
    <row r="389" spans="1:7">
      <c r="A389" s="8" t="s">
        <v>9007</v>
      </c>
      <c r="B389" s="9">
        <f>COUNTIF(実績!$R$5:$R$1474,A389)</f>
        <v>1</v>
      </c>
      <c r="C389" s="9">
        <f>COUNTIF(実績!$W$5:$W$1474,A389)</f>
        <v>0</v>
      </c>
      <c r="D389" s="9">
        <f>COUNTIF(実績!$AB$5:$AC$1474,A389)</f>
        <v>0</v>
      </c>
      <c r="E389" s="12" t="s">
        <v>9008</v>
      </c>
      <c r="F389" s="12" t="s">
        <v>5839</v>
      </c>
      <c r="G389" s="12" t="s">
        <v>5839</v>
      </c>
    </row>
    <row r="390" spans="1:7">
      <c r="A390" s="8" t="s">
        <v>3469</v>
      </c>
      <c r="B390" s="9">
        <f>COUNTIF(実績!$R$5:$R$1474,A390)</f>
        <v>1</v>
      </c>
      <c r="C390" s="9">
        <f>COUNTIF(実績!$W$5:$W$1474,A390)</f>
        <v>0</v>
      </c>
      <c r="D390" s="9">
        <f>COUNTIF(実績!$AB$5:$AC$1474,A390)</f>
        <v>0</v>
      </c>
      <c r="E390" s="12" t="s">
        <v>3470</v>
      </c>
      <c r="F390" s="12"/>
      <c r="G390" s="12"/>
    </row>
    <row r="391" spans="1:7">
      <c r="A391" s="8" t="s">
        <v>7306</v>
      </c>
      <c r="B391" s="9">
        <f>COUNTIF(実績!$R$5:$R$1474,A391)</f>
        <v>2</v>
      </c>
      <c r="C391" s="9">
        <f>COUNTIF(実績!$W$5:$W$1474,A391)</f>
        <v>1</v>
      </c>
      <c r="D391" s="9">
        <f>COUNTIF(実績!$AB$5:$AC$1474,A391)</f>
        <v>0</v>
      </c>
      <c r="E391" s="12" t="s">
        <v>7307</v>
      </c>
      <c r="F391" s="12" t="s">
        <v>5839</v>
      </c>
      <c r="G391" s="12" t="s">
        <v>5839</v>
      </c>
    </row>
    <row r="392" spans="1:7">
      <c r="A392" s="8" t="s">
        <v>3013</v>
      </c>
      <c r="B392" s="9">
        <f>COUNTIF(実績!$R$5:$R$1474,A392)</f>
        <v>1</v>
      </c>
      <c r="C392" s="9">
        <f>COUNTIF(実績!$W$5:$W$1474,A392)</f>
        <v>0</v>
      </c>
      <c r="D392" s="9">
        <f>COUNTIF(実績!$AB$5:$AC$1474,A392)</f>
        <v>0</v>
      </c>
      <c r="E392" s="12" t="s">
        <v>3014</v>
      </c>
      <c r="F392" s="12"/>
      <c r="G392" s="12"/>
    </row>
    <row r="393" spans="1:7">
      <c r="A393" s="8" t="s">
        <v>1086</v>
      </c>
      <c r="B393" s="9">
        <f>COUNTIF(実績!$R$5:$R$1474,A393)</f>
        <v>7</v>
      </c>
      <c r="C393" s="9">
        <f>COUNTIF(実績!$W$5:$W$1474,A393)</f>
        <v>0</v>
      </c>
      <c r="D393" s="9">
        <f>COUNTIF(実績!$AB$5:$AC$1474,A393)</f>
        <v>0</v>
      </c>
      <c r="E393" s="12" t="s">
        <v>1291</v>
      </c>
      <c r="F393" s="12"/>
      <c r="G393" s="12"/>
    </row>
    <row r="394" spans="1:7">
      <c r="A394" s="8" t="s">
        <v>16748</v>
      </c>
      <c r="B394" s="9">
        <f>COUNTIF(実績!$R$5:$R$1474,A394)</f>
        <v>0</v>
      </c>
      <c r="C394" s="9">
        <f>COUNTIF(実績!$W$5:$W$1474,A394)</f>
        <v>3</v>
      </c>
      <c r="D394" s="9">
        <f>COUNTIF(実績!$AB$5:$AC$1474,A394)</f>
        <v>0</v>
      </c>
      <c r="E394" s="12" t="s">
        <v>8750</v>
      </c>
      <c r="F394" s="12" t="s">
        <v>5839</v>
      </c>
      <c r="G394" s="12" t="s">
        <v>5839</v>
      </c>
    </row>
    <row r="395" spans="1:7">
      <c r="A395" s="8" t="s">
        <v>10509</v>
      </c>
      <c r="B395" s="9">
        <f>COUNTIF(実績!$R$5:$R$1474,A395)</f>
        <v>1</v>
      </c>
      <c r="C395" s="9">
        <f>COUNTIF(実績!$W$5:$W$1474,A395)</f>
        <v>0</v>
      </c>
      <c r="D395" s="9">
        <f>COUNTIF(実績!$AB$5:$AC$1474,A395)</f>
        <v>0</v>
      </c>
      <c r="E395" s="12" t="s">
        <v>10510</v>
      </c>
      <c r="F395" s="12"/>
      <c r="G395" s="12"/>
    </row>
    <row r="396" spans="1:7">
      <c r="A396" s="8" t="s">
        <v>1049</v>
      </c>
      <c r="B396" s="9">
        <f>COUNTIF(実績!$R$5:$R$1474,A396)</f>
        <v>3</v>
      </c>
      <c r="C396" s="9">
        <f>COUNTIF(実績!$W$5:$W$1474,A396)</f>
        <v>0</v>
      </c>
      <c r="D396" s="9">
        <f>COUNTIF(実績!$AB$5:$AC$1474,A396)</f>
        <v>0</v>
      </c>
      <c r="E396" s="12" t="s">
        <v>1247</v>
      </c>
      <c r="F396" s="12"/>
      <c r="G396" s="12"/>
    </row>
    <row r="397" spans="1:7">
      <c r="A397" s="8" t="s">
        <v>10800</v>
      </c>
      <c r="B397" s="9">
        <f>COUNTIF(実績!$R$5:$R$1474,A397)</f>
        <v>1</v>
      </c>
      <c r="C397" s="9">
        <f>COUNTIF(実績!$W$5:$W$1474,A397)</f>
        <v>0</v>
      </c>
      <c r="D397" s="9">
        <f>COUNTIF(実績!$AB$5:$AC$1474,A397)</f>
        <v>0</v>
      </c>
      <c r="E397" s="12" t="s">
        <v>10828</v>
      </c>
      <c r="F397" s="12"/>
      <c r="G397" s="12"/>
    </row>
    <row r="398" spans="1:7">
      <c r="A398" s="8" t="s">
        <v>4627</v>
      </c>
      <c r="B398" s="9">
        <f>COUNTIF(実績!$R$5:$R$1474,A398)</f>
        <v>1</v>
      </c>
      <c r="C398" s="9">
        <f>COUNTIF(実績!$W$5:$W$1474,A398)</f>
        <v>0</v>
      </c>
      <c r="D398" s="9">
        <f>COUNTIF(実績!$AB$5:$AC$1474,A398)</f>
        <v>0</v>
      </c>
      <c r="E398" s="12" t="s">
        <v>4629</v>
      </c>
      <c r="F398" s="12"/>
      <c r="G398" s="12"/>
    </row>
    <row r="399" spans="1:7">
      <c r="A399" s="8" t="s">
        <v>7323</v>
      </c>
      <c r="B399" s="9">
        <f>COUNTIF(実績!$R$5:$R$1474,A399)</f>
        <v>3</v>
      </c>
      <c r="C399" s="9">
        <f>COUNTIF(実績!$W$5:$W$1474,A399)</f>
        <v>0</v>
      </c>
      <c r="D399" s="9">
        <f>COUNTIF(実績!$AB$5:$AC$1474,A399)</f>
        <v>0</v>
      </c>
      <c r="E399" s="12" t="s">
        <v>7324</v>
      </c>
      <c r="F399" s="12" t="s">
        <v>5839</v>
      </c>
      <c r="G399" s="12" t="s">
        <v>5839</v>
      </c>
    </row>
    <row r="400" spans="1:7">
      <c r="A400" s="8" t="s">
        <v>1040</v>
      </c>
      <c r="B400" s="9">
        <f>COUNTIF(実績!$R$5:$R$1474,A400)</f>
        <v>13</v>
      </c>
      <c r="C400" s="9">
        <f>COUNTIF(実績!$W$5:$W$1474,A400)</f>
        <v>9</v>
      </c>
      <c r="D400" s="9">
        <f>COUNTIF(実績!$AB$5:$AC$1474,A400)</f>
        <v>4</v>
      </c>
      <c r="E400" s="12" t="s">
        <v>1248</v>
      </c>
      <c r="F400" s="12" t="s">
        <v>6919</v>
      </c>
      <c r="G400" s="12" t="s">
        <v>6919</v>
      </c>
    </row>
    <row r="401" spans="1:7">
      <c r="A401" s="8" t="s">
        <v>1021</v>
      </c>
      <c r="B401" s="9">
        <f>COUNTIF(実績!$R$5:$R$1474,A401)</f>
        <v>0</v>
      </c>
      <c r="C401" s="9">
        <f>COUNTIF(実績!$W$5:$W$1474,A401)</f>
        <v>1</v>
      </c>
      <c r="D401" s="9">
        <f>COUNTIF(実績!$AB$5:$AC$1474,A401)</f>
        <v>0</v>
      </c>
      <c r="E401" s="12" t="s">
        <v>1316</v>
      </c>
      <c r="F401" s="12"/>
      <c r="G401" s="12"/>
    </row>
    <row r="402" spans="1:7">
      <c r="A402" s="8" t="s">
        <v>5960</v>
      </c>
      <c r="B402" s="9">
        <f>COUNTIF(実績!$R$5:$R$1474,A402)</f>
        <v>0</v>
      </c>
      <c r="C402" s="9">
        <f>COUNTIF(実績!$W$5:$W$1474,A402)</f>
        <v>1</v>
      </c>
      <c r="D402" s="9">
        <f>COUNTIF(実績!$AB$5:$AC$1474,A402)</f>
        <v>0</v>
      </c>
      <c r="E402" s="12" t="s">
        <v>5961</v>
      </c>
      <c r="F402" s="12" t="s">
        <v>5839</v>
      </c>
      <c r="G402" s="12"/>
    </row>
    <row r="403" spans="1:7">
      <c r="A403" s="8" t="s">
        <v>647</v>
      </c>
      <c r="B403" s="9">
        <f>COUNTIF(実績!$R$5:$R$1474,A403)</f>
        <v>0</v>
      </c>
      <c r="C403" s="9">
        <f>COUNTIF(実績!$W$5:$W$1474,A403)</f>
        <v>20</v>
      </c>
      <c r="D403" s="9">
        <f>COUNTIF(実績!$AB$5:$AC$1474,A403)</f>
        <v>10</v>
      </c>
      <c r="E403" s="12" t="s">
        <v>1249</v>
      </c>
      <c r="F403" s="12" t="s">
        <v>5797</v>
      </c>
      <c r="G403" s="12"/>
    </row>
    <row r="404" spans="1:7">
      <c r="A404" s="8" t="s">
        <v>720</v>
      </c>
      <c r="B404" s="9">
        <f>COUNTIF(実績!$R$5:$R$1474,A404)</f>
        <v>1</v>
      </c>
      <c r="C404" s="9">
        <f>COUNTIF(実績!$W$5:$W$1474,A404)</f>
        <v>0</v>
      </c>
      <c r="D404" s="9">
        <f>COUNTIF(実績!$AB$5:$AC$1474,A404)</f>
        <v>0</v>
      </c>
      <c r="E404" s="12" t="s">
        <v>1250</v>
      </c>
      <c r="F404" s="12"/>
      <c r="G404" s="12"/>
    </row>
    <row r="405" spans="1:7">
      <c r="A405" s="8" t="s">
        <v>13371</v>
      </c>
      <c r="B405" s="9">
        <f>COUNTIF(実績!$R$5:$R$1474,A405)</f>
        <v>0</v>
      </c>
      <c r="C405" s="9">
        <f>COUNTIF(実績!$W$5:$W$1474,A405)</f>
        <v>2</v>
      </c>
      <c r="D405" s="9">
        <f>COUNTIF(実績!$AB$5:$AC$1474,A405)</f>
        <v>0</v>
      </c>
      <c r="E405" s="12" t="s">
        <v>13370</v>
      </c>
      <c r="F405" s="12"/>
      <c r="G405" s="12"/>
    </row>
    <row r="406" spans="1:7">
      <c r="A406" s="8" t="s">
        <v>2987</v>
      </c>
      <c r="B406" s="9">
        <f>COUNTIF(実績!$R$5:$R$1474,A406)</f>
        <v>1</v>
      </c>
      <c r="C406" s="9">
        <f>COUNTIF(実績!$W$5:$W$1474,A406)</f>
        <v>0</v>
      </c>
      <c r="D406" s="9">
        <f>COUNTIF(実績!$AB$5:$AC$1474,A406)</f>
        <v>0</v>
      </c>
      <c r="E406" s="12" t="s">
        <v>2988</v>
      </c>
      <c r="F406" s="12"/>
      <c r="G406" s="12"/>
    </row>
    <row r="407" spans="1:7">
      <c r="A407" s="8" t="s">
        <v>1101</v>
      </c>
      <c r="B407" s="9">
        <f>COUNTIF(実績!$R$5:$R$1474,A407)</f>
        <v>3</v>
      </c>
      <c r="C407" s="9">
        <f>COUNTIF(実績!$W$5:$W$1474,A407)</f>
        <v>0</v>
      </c>
      <c r="D407" s="9">
        <f>COUNTIF(実績!$AB$5:$AC$1474,A407)</f>
        <v>0</v>
      </c>
      <c r="E407" s="12" t="s">
        <v>1313</v>
      </c>
      <c r="F407" s="12"/>
      <c r="G407" s="12"/>
    </row>
    <row r="408" spans="1:7">
      <c r="A408" s="8" t="s">
        <v>3169</v>
      </c>
      <c r="B408" s="9">
        <f>COUNTIF(実績!$R$5:$R$1474,A408)</f>
        <v>0</v>
      </c>
      <c r="C408" s="9">
        <f>COUNTIF(実績!$W$5:$W$1474,A408)</f>
        <v>1</v>
      </c>
      <c r="D408" s="9">
        <f>COUNTIF(実績!$AB$5:$AC$1474,A408)</f>
        <v>0</v>
      </c>
      <c r="E408" s="12" t="s">
        <v>3170</v>
      </c>
      <c r="F408" s="12"/>
      <c r="G408" s="12"/>
    </row>
    <row r="409" spans="1:7">
      <c r="A409" s="8" t="s">
        <v>1093</v>
      </c>
      <c r="B409" s="9">
        <f>COUNTIF(実績!$R$5:$R$1474,A409)</f>
        <v>7</v>
      </c>
      <c r="C409" s="9">
        <f>COUNTIF(実績!$W$5:$W$1474,A409)</f>
        <v>0</v>
      </c>
      <c r="D409" s="9">
        <f>COUNTIF(実績!$AB$5:$AC$1474,A409)</f>
        <v>0</v>
      </c>
      <c r="E409" s="12" t="s">
        <v>1251</v>
      </c>
      <c r="F409" s="12" t="s">
        <v>8041</v>
      </c>
      <c r="G409" s="12"/>
    </row>
    <row r="410" spans="1:7">
      <c r="A410" s="8" t="s">
        <v>516</v>
      </c>
      <c r="B410" s="9">
        <f>COUNTIF(実績!$R$5:$R$1474,A410)</f>
        <v>12</v>
      </c>
      <c r="C410" s="9">
        <f>COUNTIF(実績!$W$5:$W$1474,A410)</f>
        <v>0</v>
      </c>
      <c r="D410" s="9">
        <f>COUNTIF(実績!$AB$5:$AC$1474,A410)</f>
        <v>0</v>
      </c>
      <c r="E410" s="12" t="s">
        <v>1252</v>
      </c>
      <c r="F410" s="12"/>
      <c r="G410" s="12"/>
    </row>
    <row r="411" spans="1:7">
      <c r="A411" s="8" t="s">
        <v>2720</v>
      </c>
      <c r="B411" s="9">
        <f>COUNTIF(実績!$R$5:$R$1474,A411)</f>
        <v>0</v>
      </c>
      <c r="C411" s="9">
        <f>COUNTIF(実績!$W$5:$W$1474,A411)</f>
        <v>1</v>
      </c>
      <c r="D411" s="9">
        <f>COUNTIF(実績!$AB$5:$AC$1474,A411)</f>
        <v>0</v>
      </c>
      <c r="E411" s="12" t="s">
        <v>2721</v>
      </c>
      <c r="F411" s="12"/>
      <c r="G411" s="12"/>
    </row>
    <row r="412" spans="1:7">
      <c r="A412" s="8" t="s">
        <v>9526</v>
      </c>
      <c r="B412" s="9">
        <f>COUNTIF(実績!$R$5:$R$1474,A412)</f>
        <v>0</v>
      </c>
      <c r="C412" s="9">
        <f>COUNTIF(実績!$W$5:$W$1474,A412)</f>
        <v>2</v>
      </c>
      <c r="D412" s="9">
        <f>COUNTIF(実績!$AB$5:$AC$1474,A412)</f>
        <v>0</v>
      </c>
      <c r="E412" s="12" t="s">
        <v>9527</v>
      </c>
      <c r="F412" s="12" t="s">
        <v>5839</v>
      </c>
      <c r="G412" s="12" t="s">
        <v>5839</v>
      </c>
    </row>
    <row r="413" spans="1:7">
      <c r="A413" s="8" t="s">
        <v>1085</v>
      </c>
      <c r="B413" s="9">
        <f>COUNTIF(実績!$R$5:$R$1474,A413)</f>
        <v>1</v>
      </c>
      <c r="C413" s="9">
        <f>COUNTIF(実績!$W$5:$W$1474,A413)</f>
        <v>0</v>
      </c>
      <c r="D413" s="9">
        <f>COUNTIF(実績!$AB$5:$AC$1474,A413)</f>
        <v>0</v>
      </c>
      <c r="E413" s="12" t="s">
        <v>1292</v>
      </c>
      <c r="F413" s="12"/>
      <c r="G413" s="12"/>
    </row>
    <row r="414" spans="1:7">
      <c r="A414" s="8" t="s">
        <v>924</v>
      </c>
      <c r="B414" s="9">
        <f>COUNTIF(実績!$R$5:$R$1474,A414)</f>
        <v>4</v>
      </c>
      <c r="C414" s="9">
        <f>COUNTIF(実績!$W$5:$W$1474,A414)</f>
        <v>0</v>
      </c>
      <c r="D414" s="9">
        <f>COUNTIF(実績!$AB$5:$AC$1474,A414)</f>
        <v>0</v>
      </c>
      <c r="E414" s="12" t="s">
        <v>1254</v>
      </c>
      <c r="F414" s="12"/>
      <c r="G414" s="12"/>
    </row>
    <row r="415" spans="1:7">
      <c r="A415" s="8" t="s">
        <v>8679</v>
      </c>
      <c r="B415" s="9">
        <f>COUNTIF(実績!$R$5:$R$1474,A415)</f>
        <v>0</v>
      </c>
      <c r="C415" s="9">
        <f>COUNTIF(実績!$W$5:$W$1474,A415)</f>
        <v>0</v>
      </c>
      <c r="D415" s="9">
        <f>COUNTIF(実績!$AB$5:$AC$1474,A415)</f>
        <v>1</v>
      </c>
      <c r="E415" s="12" t="s">
        <v>8680</v>
      </c>
      <c r="F415" s="12" t="s">
        <v>5839</v>
      </c>
      <c r="G415" s="12" t="s">
        <v>5839</v>
      </c>
    </row>
    <row r="416" spans="1:7">
      <c r="A416" s="13" t="s">
        <v>2909</v>
      </c>
      <c r="B416" s="9">
        <f>COUNTIF(実績!$R$5:$R$1474,A416)</f>
        <v>2</v>
      </c>
      <c r="C416" s="9">
        <f>COUNTIF(実績!$W$5:$W$1474,A416)</f>
        <v>0</v>
      </c>
      <c r="D416" s="9">
        <f>COUNTIF(実績!$AB$5:$AC$1474,A416)</f>
        <v>0</v>
      </c>
      <c r="E416" s="12" t="s">
        <v>1668</v>
      </c>
      <c r="F416" s="12"/>
      <c r="G416" s="12"/>
    </row>
    <row r="417" spans="1:7">
      <c r="A417" s="8" t="s">
        <v>13931</v>
      </c>
      <c r="B417" s="9">
        <f>COUNTIF(実績!$R$5:$R$1474,A417)</f>
        <v>1</v>
      </c>
      <c r="C417" s="9">
        <f>COUNTIF(実績!$W$5:$W$1474,A417)</f>
        <v>0</v>
      </c>
      <c r="D417" s="9">
        <f>COUNTIF(実績!$AB$5:$AC$1474,A417)</f>
        <v>0</v>
      </c>
      <c r="E417" s="12" t="s">
        <v>13932</v>
      </c>
      <c r="F417" s="12"/>
      <c r="G417" s="12"/>
    </row>
    <row r="418" spans="1:7">
      <c r="A418" s="8" t="s">
        <v>616</v>
      </c>
      <c r="B418" s="9">
        <f>COUNTIF(実績!$R$5:$R$1474,A418)</f>
        <v>1</v>
      </c>
      <c r="C418" s="9">
        <f>COUNTIF(実績!$W$5:$W$1474,A418)</f>
        <v>0</v>
      </c>
      <c r="D418" s="9">
        <f>COUNTIF(実績!$AB$5:$AC$1474,A418)</f>
        <v>0</v>
      </c>
      <c r="E418" s="12" t="s">
        <v>1148</v>
      </c>
      <c r="F418" s="12"/>
      <c r="G418" s="12"/>
    </row>
    <row r="419" spans="1:7">
      <c r="A419" s="8" t="s">
        <v>8795</v>
      </c>
      <c r="B419" s="9">
        <f>COUNTIF(実績!$R$5:$R$1474,A419)</f>
        <v>0</v>
      </c>
      <c r="C419" s="9">
        <f>COUNTIF(実績!$W$5:$W$1474,A419)</f>
        <v>1</v>
      </c>
      <c r="D419" s="9">
        <f>COUNTIF(実績!$AB$5:$AC$1474,A419)</f>
        <v>0</v>
      </c>
      <c r="E419" s="12" t="s">
        <v>8797</v>
      </c>
      <c r="F419" s="12" t="s">
        <v>5839</v>
      </c>
      <c r="G419" s="12" t="s">
        <v>5839</v>
      </c>
    </row>
    <row r="420" spans="1:7">
      <c r="A420" s="8" t="s">
        <v>4488</v>
      </c>
      <c r="B420" s="9">
        <f>COUNTIF(実績!$R$5:$R$1474,A420)</f>
        <v>1</v>
      </c>
      <c r="C420" s="9">
        <f>COUNTIF(実績!$W$5:$W$1474,A420)</f>
        <v>0</v>
      </c>
      <c r="D420" s="9">
        <f>COUNTIF(実績!$AB$5:$AC$1474,A420)</f>
        <v>0</v>
      </c>
      <c r="E420" s="12" t="s">
        <v>4489</v>
      </c>
      <c r="F420" s="12"/>
      <c r="G420" s="12"/>
    </row>
    <row r="421" spans="1:7">
      <c r="A421" s="8" t="s">
        <v>1069</v>
      </c>
      <c r="B421" s="9">
        <f>COUNTIF(実績!$R$5:$R$1474,A421)</f>
        <v>0</v>
      </c>
      <c r="C421" s="9">
        <f>COUNTIF(実績!$W$5:$W$1474,A421)</f>
        <v>2</v>
      </c>
      <c r="D421" s="9">
        <f>COUNTIF(実績!$AB$5:$AC$1474,A421)</f>
        <v>0</v>
      </c>
      <c r="E421" s="12" t="s">
        <v>1149</v>
      </c>
      <c r="F421" s="12"/>
      <c r="G421" s="12"/>
    </row>
    <row r="422" spans="1:7">
      <c r="A422" s="8" t="s">
        <v>466</v>
      </c>
      <c r="B422" s="9">
        <f>COUNTIF(実績!$R$5:$R$1474,A422)</f>
        <v>1</v>
      </c>
      <c r="C422" s="9">
        <f>COUNTIF(実績!$W$5:$W$1474,A422)</f>
        <v>2</v>
      </c>
      <c r="D422" s="9">
        <f>COUNTIF(実績!$AB$5:$AC$1474,A422)</f>
        <v>0</v>
      </c>
      <c r="E422" s="12" t="s">
        <v>1317</v>
      </c>
      <c r="F422" s="12"/>
      <c r="G422" s="12"/>
    </row>
    <row r="423" spans="1:7">
      <c r="A423" s="8" t="s">
        <v>6324</v>
      </c>
      <c r="B423" s="9">
        <f>COUNTIF(実績!$R$5:$R$1474,A423)</f>
        <v>0</v>
      </c>
      <c r="C423" s="9">
        <f>COUNTIF(実績!$W$5:$W$1474,A423)</f>
        <v>1</v>
      </c>
      <c r="D423" s="9">
        <f>COUNTIF(実績!$AB$5:$AC$1474,A423)</f>
        <v>0</v>
      </c>
      <c r="E423" s="12" t="s">
        <v>6325</v>
      </c>
      <c r="F423" s="12" t="s">
        <v>5839</v>
      </c>
      <c r="G423" s="12"/>
    </row>
    <row r="424" spans="1:7">
      <c r="A424" s="8" t="s">
        <v>1677</v>
      </c>
      <c r="B424" s="9">
        <f>COUNTIF(実績!$R$5:$R$1474,A424)</f>
        <v>0</v>
      </c>
      <c r="C424" s="9">
        <f>COUNTIF(実績!$W$5:$W$1474,A424)</f>
        <v>2</v>
      </c>
      <c r="D424" s="9">
        <f>COUNTIF(実績!$AB$5:$AC$1474,A424)</f>
        <v>0</v>
      </c>
      <c r="E424" s="12" t="s">
        <v>1678</v>
      </c>
      <c r="F424" s="12"/>
      <c r="G424" s="12"/>
    </row>
    <row r="425" spans="1:7">
      <c r="A425" s="8" t="s">
        <v>5327</v>
      </c>
      <c r="B425" s="9">
        <f>COUNTIF(実績!$R$5:$R$1474,A425)</f>
        <v>0</v>
      </c>
      <c r="C425" s="9">
        <f>COUNTIF(実績!$W$5:$W$1474,A425)</f>
        <v>1</v>
      </c>
      <c r="D425" s="9">
        <f>COUNTIF(実績!$AB$5:$AC$1474,A425)</f>
        <v>0</v>
      </c>
      <c r="E425" s="12" t="s">
        <v>5328</v>
      </c>
      <c r="F425" s="12"/>
      <c r="G425" s="12"/>
    </row>
    <row r="426" spans="1:7">
      <c r="A426" s="8" t="s">
        <v>14956</v>
      </c>
      <c r="B426" s="9">
        <f>COUNTIF(実績!$R$5:$R$1474,A426)</f>
        <v>0</v>
      </c>
      <c r="C426" s="9">
        <f>COUNTIF(実績!$W$5:$W$1474,A426)</f>
        <v>0</v>
      </c>
      <c r="D426" s="9">
        <f>COUNTIF(実績!$AB$5:$AC$1474,A426)</f>
        <v>4</v>
      </c>
      <c r="E426" s="12" t="s">
        <v>14957</v>
      </c>
      <c r="F426" s="12"/>
      <c r="G426" s="12"/>
    </row>
    <row r="427" spans="1:7">
      <c r="A427" s="8" t="s">
        <v>14445</v>
      </c>
      <c r="B427" s="9">
        <f>COUNTIF(実績!$R$5:$R$1474,A427)</f>
        <v>1</v>
      </c>
      <c r="C427" s="9">
        <f>COUNTIF(実績!$W$5:$W$1474,A427)</f>
        <v>0</v>
      </c>
      <c r="D427" s="9">
        <f>COUNTIF(実績!$AB$5:$AC$1474,A427)</f>
        <v>0</v>
      </c>
      <c r="E427" s="12" t="s">
        <v>14446</v>
      </c>
      <c r="F427" s="12"/>
      <c r="G427" s="12"/>
    </row>
    <row r="428" spans="1:7">
      <c r="A428" s="8" t="s">
        <v>10793</v>
      </c>
      <c r="B428" s="9">
        <f>COUNTIF(実績!$R$5:$R$1474,A428)</f>
        <v>0</v>
      </c>
      <c r="C428" s="9">
        <f>COUNTIF(実績!$W$5:$W$1474,A428)</f>
        <v>0</v>
      </c>
      <c r="D428" s="9">
        <f>COUNTIF(実績!$AB$5:$AC$1474,A428)</f>
        <v>0</v>
      </c>
      <c r="E428" s="12" t="s">
        <v>10827</v>
      </c>
      <c r="F428" s="12"/>
      <c r="G428" s="12"/>
    </row>
    <row r="429" spans="1:7">
      <c r="A429" s="8" t="s">
        <v>1053</v>
      </c>
      <c r="B429" s="9">
        <f>COUNTIF(実績!$R$5:$R$1474,A429)</f>
        <v>1</v>
      </c>
      <c r="C429" s="9">
        <f>COUNTIF(実績!$W$5:$W$1474,A429)</f>
        <v>0</v>
      </c>
      <c r="D429" s="9">
        <f>COUNTIF(実績!$AB$5:$AC$1474,A429)</f>
        <v>0</v>
      </c>
      <c r="E429" s="12" t="s">
        <v>1150</v>
      </c>
      <c r="F429" s="12"/>
      <c r="G429" s="12"/>
    </row>
    <row r="430" spans="1:7">
      <c r="A430" s="13" t="s">
        <v>1397</v>
      </c>
      <c r="B430" s="9">
        <f>COUNTIF(実績!$R$5:$R$1474,A430)</f>
        <v>1</v>
      </c>
      <c r="C430" s="9">
        <f>COUNTIF(実績!$W$5:$W$1474,A430)</f>
        <v>0</v>
      </c>
      <c r="D430" s="9">
        <f>COUNTIF(実績!$AB$5:$AC$1474,A430)</f>
        <v>0</v>
      </c>
      <c r="E430" s="12" t="s">
        <v>1396</v>
      </c>
      <c r="F430" s="12"/>
      <c r="G430" s="12"/>
    </row>
    <row r="431" spans="1:7">
      <c r="A431" s="8" t="s">
        <v>1098</v>
      </c>
      <c r="B431" s="9">
        <f>COUNTIF(実績!$R$5:$R$1474,A431)</f>
        <v>22</v>
      </c>
      <c r="C431" s="9">
        <f>COUNTIF(実績!$W$5:$W$1474,A431)</f>
        <v>0</v>
      </c>
      <c r="D431" s="9">
        <f>COUNTIF(実績!$AB$5:$AC$1474,A431)</f>
        <v>0</v>
      </c>
      <c r="E431" s="12" t="s">
        <v>1151</v>
      </c>
      <c r="F431" s="12"/>
      <c r="G431" s="12"/>
    </row>
    <row r="432" spans="1:7">
      <c r="A432" s="8" t="s">
        <v>758</v>
      </c>
      <c r="B432" s="9">
        <f>COUNTIF(実績!$R$5:$R$1474,A432)</f>
        <v>0</v>
      </c>
      <c r="C432" s="9">
        <f>COUNTIF(実績!$W$5:$W$1474,A432)</f>
        <v>1</v>
      </c>
      <c r="D432" s="9">
        <f>COUNTIF(実績!$AB$5:$AC$1474,A432)</f>
        <v>0</v>
      </c>
      <c r="E432" s="12" t="s">
        <v>1314</v>
      </c>
      <c r="F432" s="12"/>
      <c r="G432" s="12"/>
    </row>
    <row r="433" spans="1:7">
      <c r="A433" s="8" t="s">
        <v>8563</v>
      </c>
      <c r="B433" s="9">
        <f>COUNTIF(実績!$R$5:$R$1474,A433)</f>
        <v>1</v>
      </c>
      <c r="C433" s="9">
        <f>COUNTIF(実績!$W$5:$W$1474,A433)</f>
        <v>1</v>
      </c>
      <c r="D433" s="9">
        <f>COUNTIF(実績!$AB$5:$AC$1474,A433)</f>
        <v>0</v>
      </c>
      <c r="E433" s="12" t="s">
        <v>8564</v>
      </c>
      <c r="F433" s="12" t="s">
        <v>5839</v>
      </c>
      <c r="G433" s="12" t="s">
        <v>5839</v>
      </c>
    </row>
    <row r="434" spans="1:7">
      <c r="A434" s="8" t="s">
        <v>3166</v>
      </c>
      <c r="B434" s="9">
        <f>COUNTIF(実績!$R$5:$R$1474,A434)</f>
        <v>0</v>
      </c>
      <c r="C434" s="9">
        <f>COUNTIF(実績!$W$5:$W$1474,A434)</f>
        <v>1</v>
      </c>
      <c r="D434" s="9">
        <f>COUNTIF(実績!$AB$5:$AC$1474,A434)</f>
        <v>0</v>
      </c>
      <c r="E434" s="12" t="s">
        <v>3167</v>
      </c>
      <c r="F434" s="12"/>
      <c r="G434" s="12"/>
    </row>
    <row r="435" spans="1:7">
      <c r="A435" s="8" t="s">
        <v>4313</v>
      </c>
      <c r="B435" s="9">
        <f>COUNTIF(実績!$R$5:$R$1474,A435)</f>
        <v>0</v>
      </c>
      <c r="C435" s="9">
        <f>COUNTIF(実績!$W$5:$W$1474,A435)</f>
        <v>0</v>
      </c>
      <c r="D435" s="9">
        <f>COUNTIF(実績!$AB$5:$AC$1474,A435)</f>
        <v>8</v>
      </c>
      <c r="E435" s="12" t="s">
        <v>4315</v>
      </c>
      <c r="F435" s="12"/>
      <c r="G435" s="12"/>
    </row>
    <row r="436" spans="1:7">
      <c r="A436" s="8" t="s">
        <v>996</v>
      </c>
      <c r="B436" s="9">
        <f>COUNTIF(実績!$R$5:$R$1474,A436)</f>
        <v>13</v>
      </c>
      <c r="C436" s="9">
        <f>COUNTIF(実績!$W$5:$W$1474,A436)</f>
        <v>13</v>
      </c>
      <c r="D436" s="9">
        <f>COUNTIF(実績!$AB$5:$AC$1474,A436)</f>
        <v>0</v>
      </c>
      <c r="E436" s="12" t="s">
        <v>1152</v>
      </c>
      <c r="F436" s="12"/>
      <c r="G436" s="12"/>
    </row>
    <row r="437" spans="1:7">
      <c r="A437" s="8" t="s">
        <v>909</v>
      </c>
      <c r="B437" s="9">
        <f>COUNTIF(実績!$R$5:$R$1474,A437)</f>
        <v>1</v>
      </c>
      <c r="C437" s="9">
        <f>COUNTIF(実績!$W$5:$W$1474,A437)</f>
        <v>0</v>
      </c>
      <c r="D437" s="9">
        <f>COUNTIF(実績!$AB$5:$AC$1474,A437)</f>
        <v>0</v>
      </c>
      <c r="E437" s="12" t="s">
        <v>1153</v>
      </c>
      <c r="F437" s="12"/>
      <c r="G437" s="12"/>
    </row>
    <row r="438" spans="1:7">
      <c r="A438" s="8" t="s">
        <v>4948</v>
      </c>
      <c r="B438" s="9">
        <f>COUNTIF(実績!$R$5:$R$1474,A438)</f>
        <v>3</v>
      </c>
      <c r="C438" s="9">
        <f>COUNTIF(実績!$W$5:$W$1474,A438)</f>
        <v>1</v>
      </c>
      <c r="D438" s="9">
        <f>COUNTIF(実績!$AB$5:$AC$1474,A438)</f>
        <v>0</v>
      </c>
      <c r="E438" s="12" t="s">
        <v>4949</v>
      </c>
      <c r="F438" s="12"/>
      <c r="G438" s="12"/>
    </row>
    <row r="439" spans="1:7">
      <c r="A439" s="8" t="s">
        <v>3794</v>
      </c>
      <c r="B439" s="9">
        <f>COUNTIF(実績!$R$5:$R$1474,A439)</f>
        <v>0</v>
      </c>
      <c r="C439" s="9">
        <f>COUNTIF(実績!$W$5:$W$1474,A439)</f>
        <v>2</v>
      </c>
      <c r="D439" s="9">
        <f>COUNTIF(実績!$AB$5:$AC$1474,A439)</f>
        <v>0</v>
      </c>
      <c r="E439" s="12" t="s">
        <v>3796</v>
      </c>
      <c r="F439" s="12"/>
      <c r="G439" s="12"/>
    </row>
    <row r="440" spans="1:7">
      <c r="A440" s="8" t="s">
        <v>568</v>
      </c>
      <c r="B440" s="9">
        <f>COUNTIF(実績!$R$5:$R$1474,A440)</f>
        <v>1</v>
      </c>
      <c r="C440" s="9">
        <f>COUNTIF(実績!$W$5:$W$1474,A440)</f>
        <v>0</v>
      </c>
      <c r="D440" s="9">
        <f>COUNTIF(実績!$AB$5:$AC$1474,A440)</f>
        <v>0</v>
      </c>
      <c r="E440" s="12" t="s">
        <v>1154</v>
      </c>
      <c r="F440" s="12"/>
      <c r="G440" s="12"/>
    </row>
    <row r="441" spans="1:7">
      <c r="A441" s="8" t="s">
        <v>512</v>
      </c>
      <c r="B441" s="9">
        <f>COUNTIF(実績!$R$5:$R$1474,A441)</f>
        <v>0</v>
      </c>
      <c r="C441" s="9">
        <f>COUNTIF(実績!$W$5:$W$1474,A441)</f>
        <v>3</v>
      </c>
      <c r="D441" s="9">
        <f>COUNTIF(実績!$AB$5:$AC$1474,A441)</f>
        <v>0</v>
      </c>
      <c r="E441" s="12" t="s">
        <v>1155</v>
      </c>
      <c r="F441" s="12"/>
      <c r="G441" s="12"/>
    </row>
    <row r="442" spans="1:7">
      <c r="A442" s="8" t="s">
        <v>7398</v>
      </c>
      <c r="B442" s="9">
        <f>COUNTIF(実績!$R$5:$R$1474,A442)</f>
        <v>1</v>
      </c>
      <c r="C442" s="9">
        <f>COUNTIF(実績!$W$5:$W$1474,A442)</f>
        <v>0</v>
      </c>
      <c r="D442" s="9">
        <f>COUNTIF(実績!$AB$5:$AC$1474,A442)</f>
        <v>0</v>
      </c>
      <c r="E442" s="12" t="s">
        <v>7399</v>
      </c>
      <c r="F442" s="12" t="s">
        <v>5839</v>
      </c>
      <c r="G442" s="12" t="s">
        <v>5839</v>
      </c>
    </row>
    <row r="443" spans="1:7">
      <c r="A443" s="8" t="s">
        <v>4325</v>
      </c>
      <c r="B443" s="9">
        <f>COUNTIF(実績!$R$5:$R$1474,A443)</f>
        <v>0</v>
      </c>
      <c r="C443" s="9">
        <f>COUNTIF(実績!$W$5:$W$1474,A443)</f>
        <v>0</v>
      </c>
      <c r="D443" s="9">
        <f>COUNTIF(実績!$AB$5:$AC$1474,A443)</f>
        <v>1</v>
      </c>
      <c r="E443" s="12" t="s">
        <v>4326</v>
      </c>
      <c r="F443" s="12"/>
      <c r="G443" s="12"/>
    </row>
    <row r="444" spans="1:7">
      <c r="A444" s="8" t="s">
        <v>971</v>
      </c>
      <c r="B444" s="9">
        <f>COUNTIF(実績!$R$5:$R$1474,A444)</f>
        <v>0</v>
      </c>
      <c r="C444" s="9">
        <f>COUNTIF(実績!$W$5:$W$1474,A444)</f>
        <v>1</v>
      </c>
      <c r="D444" s="9">
        <f>COUNTIF(実績!$AB$5:$AC$1474,A444)</f>
        <v>0</v>
      </c>
      <c r="E444" s="12" t="s">
        <v>1156</v>
      </c>
      <c r="F444" s="12"/>
      <c r="G444" s="12"/>
    </row>
    <row r="445" spans="1:7">
      <c r="A445" s="8" t="s">
        <v>686</v>
      </c>
      <c r="B445" s="9">
        <f>COUNTIF(実績!$R$5:$R$1474,A445)</f>
        <v>1</v>
      </c>
      <c r="C445" s="9">
        <f>COUNTIF(実績!$W$5:$W$1474,A445)</f>
        <v>0</v>
      </c>
      <c r="D445" s="9">
        <f>COUNTIF(実績!$AB$5:$AC$1474,A445)</f>
        <v>0</v>
      </c>
      <c r="E445" s="12" t="s">
        <v>1293</v>
      </c>
      <c r="F445" s="12"/>
      <c r="G445" s="12"/>
    </row>
    <row r="446" spans="1:7">
      <c r="A446" s="13" t="s">
        <v>1504</v>
      </c>
      <c r="B446" s="9">
        <f>COUNTIF(実績!$R$5:$R$1474,A446)</f>
        <v>0</v>
      </c>
      <c r="C446" s="9">
        <f>COUNTIF(実績!$W$5:$W$1474,A446)</f>
        <v>1</v>
      </c>
      <c r="D446" s="9">
        <f>COUNTIF(実績!$AB$5:$AC$1474,A446)</f>
        <v>0</v>
      </c>
      <c r="E446" s="12" t="s">
        <v>1505</v>
      </c>
      <c r="F446" s="12"/>
      <c r="G446" s="12"/>
    </row>
    <row r="447" spans="1:7">
      <c r="A447" s="8" t="s">
        <v>7318</v>
      </c>
      <c r="B447" s="9">
        <f>COUNTIF(実績!$R$5:$R$1474,A447)</f>
        <v>0</v>
      </c>
      <c r="C447" s="9">
        <f>COUNTIF(実績!$W$5:$W$1474,A447)</f>
        <v>2</v>
      </c>
      <c r="D447" s="9">
        <f>COUNTIF(実績!$AB$5:$AC$1474,A447)</f>
        <v>0</v>
      </c>
      <c r="E447" s="12" t="s">
        <v>7319</v>
      </c>
      <c r="F447" s="12" t="s">
        <v>5839</v>
      </c>
      <c r="G447" s="12" t="s">
        <v>5839</v>
      </c>
    </row>
    <row r="448" spans="1:7">
      <c r="A448" s="8" t="s">
        <v>572</v>
      </c>
      <c r="B448" s="9">
        <f>COUNTIF(実績!$R$5:$R$1474,A448)</f>
        <v>0</v>
      </c>
      <c r="C448" s="9">
        <f>COUNTIF(実績!$W$5:$W$1474,A448)</f>
        <v>1</v>
      </c>
      <c r="D448" s="9">
        <f>COUNTIF(実績!$AB$5:$AC$1474,A448)</f>
        <v>0</v>
      </c>
      <c r="E448" s="12" t="s">
        <v>1157</v>
      </c>
      <c r="F448" s="12"/>
      <c r="G448" s="12"/>
    </row>
    <row r="449" spans="1:7">
      <c r="A449" s="8" t="s">
        <v>9789</v>
      </c>
      <c r="B449" s="9">
        <f>COUNTIF(実績!$R$5:$R$1474,A449)</f>
        <v>1</v>
      </c>
      <c r="C449" s="9">
        <f>COUNTIF(実績!$W$5:$W$1474,A449)</f>
        <v>0</v>
      </c>
      <c r="D449" s="9">
        <f>COUNTIF(実績!$AB$5:$AC$1474,A449)</f>
        <v>0</v>
      </c>
      <c r="E449" s="12" t="s">
        <v>9790</v>
      </c>
      <c r="F449" s="12"/>
      <c r="G449" s="12"/>
    </row>
    <row r="450" spans="1:7">
      <c r="A450" s="8" t="s">
        <v>577</v>
      </c>
      <c r="B450" s="9">
        <f>COUNTIF(実績!$R$5:$R$1474,A450)</f>
        <v>1</v>
      </c>
      <c r="C450" s="9">
        <f>COUNTIF(実績!$W$5:$W$1474,A450)</f>
        <v>0</v>
      </c>
      <c r="D450" s="9">
        <f>COUNTIF(実績!$AB$5:$AC$1474,A450)</f>
        <v>0</v>
      </c>
      <c r="E450" s="12" t="s">
        <v>1294</v>
      </c>
      <c r="F450" s="12"/>
      <c r="G450" s="12"/>
    </row>
    <row r="451" spans="1:7">
      <c r="A451" s="8" t="s">
        <v>1323</v>
      </c>
      <c r="B451" s="9">
        <f>COUNTIF(実績!$R$5:$R$1474,A451)</f>
        <v>2</v>
      </c>
      <c r="C451" s="9">
        <f>COUNTIF(実績!$W$5:$W$1474,A451)</f>
        <v>0</v>
      </c>
      <c r="D451" s="9">
        <f>COUNTIF(実績!$AB$5:$AC$1474,A451)</f>
        <v>0</v>
      </c>
      <c r="E451" s="12" t="s">
        <v>1321</v>
      </c>
      <c r="F451" s="12"/>
      <c r="G451" s="12"/>
    </row>
    <row r="452" spans="1:7">
      <c r="A452" s="8" t="s">
        <v>7761</v>
      </c>
      <c r="B452" s="9">
        <f>COUNTIF(実績!$R$5:$R$1474,A452)</f>
        <v>0</v>
      </c>
      <c r="C452" s="9">
        <f>COUNTIF(実績!$W$5:$W$1474,A452)</f>
        <v>1</v>
      </c>
      <c r="D452" s="9">
        <f>COUNTIF(実績!$AB$5:$AC$1474,A452)</f>
        <v>0</v>
      </c>
      <c r="E452" s="12" t="s">
        <v>7762</v>
      </c>
      <c r="F452" s="12" t="s">
        <v>5839</v>
      </c>
      <c r="G452" s="12" t="s">
        <v>5839</v>
      </c>
    </row>
    <row r="453" spans="1:7">
      <c r="A453" s="8" t="s">
        <v>456</v>
      </c>
      <c r="B453" s="9">
        <f>COUNTIF(実績!$R$5:$R$1474,A453)</f>
        <v>3</v>
      </c>
      <c r="C453" s="9">
        <f>COUNTIF(実績!$W$5:$W$1474,A453)</f>
        <v>0</v>
      </c>
      <c r="D453" s="9">
        <f>COUNTIF(実績!$AB$5:$AC$1474,A453)</f>
        <v>0</v>
      </c>
      <c r="E453" s="12" t="s">
        <v>1319</v>
      </c>
      <c r="F453" s="12"/>
      <c r="G453" s="12"/>
    </row>
    <row r="454" spans="1:7">
      <c r="A454" s="8" t="s">
        <v>617</v>
      </c>
      <c r="B454" s="9">
        <f>COUNTIF(実績!$R$5:$R$1474,A454)</f>
        <v>0</v>
      </c>
      <c r="C454" s="9">
        <f>COUNTIF(実績!$W$5:$W$1474,A454)</f>
        <v>4</v>
      </c>
      <c r="D454" s="9">
        <f>COUNTIF(実績!$AB$5:$AC$1474,A454)</f>
        <v>0</v>
      </c>
      <c r="E454" s="12" t="s">
        <v>1310</v>
      </c>
      <c r="F454" s="12" t="s">
        <v>5562</v>
      </c>
      <c r="G454" s="12"/>
    </row>
    <row r="455" spans="1:7">
      <c r="A455" s="8" t="s">
        <v>3536</v>
      </c>
      <c r="B455" s="9">
        <f>COUNTIF(実績!$R$5:$R$1474,A455)</f>
        <v>3</v>
      </c>
      <c r="C455" s="9">
        <f>COUNTIF(実績!$W$5:$W$1474,A455)</f>
        <v>0</v>
      </c>
      <c r="D455" s="9">
        <f>COUNTIF(実績!$AB$5:$AC$1474,A455)</f>
        <v>0</v>
      </c>
      <c r="E455" s="12" t="s">
        <v>3537</v>
      </c>
      <c r="F455" s="12"/>
      <c r="G455" s="12"/>
    </row>
    <row r="456" spans="1:7">
      <c r="A456" s="8" t="s">
        <v>920</v>
      </c>
      <c r="B456" s="9">
        <f>COUNTIF(実績!$R$5:$R$1474,A456)</f>
        <v>2</v>
      </c>
      <c r="C456" s="9">
        <f>COUNTIF(実績!$W$5:$W$1474,A456)</f>
        <v>0</v>
      </c>
      <c r="D456" s="9">
        <f>COUNTIF(実績!$AB$5:$AC$1474,A456)</f>
        <v>0</v>
      </c>
      <c r="E456" s="12" t="s">
        <v>1158</v>
      </c>
      <c r="F456" s="12"/>
      <c r="G456" s="12"/>
    </row>
    <row r="457" spans="1:7">
      <c r="A457" s="8" t="s">
        <v>16040</v>
      </c>
      <c r="B457" s="9">
        <f>COUNTIF(実績!$R$5:$R$1474,A457)</f>
        <v>0</v>
      </c>
      <c r="C457" s="9">
        <f>COUNTIF(実績!$W$5:$W$1474,A457)</f>
        <v>3</v>
      </c>
      <c r="D457" s="9">
        <f>COUNTIF(実績!$AB$5:$AC$1474,A457)</f>
        <v>1</v>
      </c>
      <c r="E457" s="12" t="s">
        <v>4224</v>
      </c>
      <c r="F457" s="12"/>
      <c r="G457" s="12"/>
    </row>
    <row r="458" spans="1:7">
      <c r="A458" s="8" t="s">
        <v>3068</v>
      </c>
      <c r="B458" s="9">
        <f>COUNTIF(実績!$R$5:$R$1474,A458)</f>
        <v>1</v>
      </c>
      <c r="C458" s="9">
        <f>COUNTIF(実績!$W$5:$W$1474,A458)</f>
        <v>0</v>
      </c>
      <c r="D458" s="9">
        <f>COUNTIF(実績!$AB$5:$AC$1474,A458)</f>
        <v>0</v>
      </c>
      <c r="E458" s="12" t="s">
        <v>3069</v>
      </c>
      <c r="F458" s="12"/>
      <c r="G458" s="12"/>
    </row>
    <row r="459" spans="1:7">
      <c r="A459" s="8" t="s">
        <v>5795</v>
      </c>
      <c r="B459" s="9">
        <f>COUNTIF(実績!$R$5:$R$1474,A459)</f>
        <v>3</v>
      </c>
      <c r="C459" s="9">
        <f>COUNTIF(実績!$W$5:$W$1474,A459)</f>
        <v>0</v>
      </c>
      <c r="D459" s="9">
        <f>COUNTIF(実績!$AB$5:$AC$1474,A459)</f>
        <v>0</v>
      </c>
      <c r="E459" s="12" t="s">
        <v>5796</v>
      </c>
      <c r="F459" s="12" t="s">
        <v>5839</v>
      </c>
      <c r="G459" s="12"/>
    </row>
    <row r="460" spans="1:7">
      <c r="A460" s="8" t="s">
        <v>1324</v>
      </c>
      <c r="B460" s="9">
        <f>COUNTIF(実績!$R$5:$R$1474,A460)</f>
        <v>1</v>
      </c>
      <c r="C460" s="9">
        <f>COUNTIF(実績!$W$5:$W$1474,A460)</f>
        <v>0</v>
      </c>
      <c r="D460" s="9">
        <f>COUNTIF(実績!$AB$5:$AC$1474,A460)</f>
        <v>0</v>
      </c>
      <c r="E460" s="12" t="s">
        <v>1326</v>
      </c>
      <c r="F460" s="12"/>
      <c r="G460" s="12"/>
    </row>
    <row r="461" spans="1:7">
      <c r="A461" s="8" t="s">
        <v>765</v>
      </c>
      <c r="B461" s="9">
        <f>COUNTIF(実績!$R$5:$R$1474,A461)</f>
        <v>1</v>
      </c>
      <c r="C461" s="9">
        <f>COUNTIF(実績!$W$5:$W$1474,A461)</f>
        <v>0</v>
      </c>
      <c r="D461" s="9">
        <f>COUNTIF(実績!$AB$5:$AC$1474,A461)</f>
        <v>0</v>
      </c>
      <c r="E461" s="12" t="s">
        <v>1159</v>
      </c>
      <c r="F461" s="12"/>
      <c r="G461" s="12"/>
    </row>
    <row r="462" spans="1:7">
      <c r="A462" s="8" t="s">
        <v>15180</v>
      </c>
      <c r="B462" s="9">
        <f>COUNTIF(実績!$R$5:$R$1474,A462)</f>
        <v>1</v>
      </c>
      <c r="C462" s="9">
        <f>COUNTIF(実績!$W$5:$W$1474,A462)</f>
        <v>0</v>
      </c>
      <c r="D462" s="9">
        <f>COUNTIF(実績!$AB$5:$AC$1474,A462)</f>
        <v>0</v>
      </c>
      <c r="E462" s="12" t="s">
        <v>15181</v>
      </c>
      <c r="F462" s="12"/>
      <c r="G462" s="12"/>
    </row>
    <row r="463" spans="1:7">
      <c r="A463" s="8" t="s">
        <v>714</v>
      </c>
      <c r="B463" s="9">
        <f>COUNTIF(実績!$R$5:$R$1474,A463)</f>
        <v>1</v>
      </c>
      <c r="C463" s="9">
        <f>COUNTIF(実績!$W$5:$W$1474,A463)</f>
        <v>0</v>
      </c>
      <c r="D463" s="9">
        <f>COUNTIF(実績!$AB$5:$AC$1474,A463)</f>
        <v>0</v>
      </c>
      <c r="E463" s="12" t="s">
        <v>1258</v>
      </c>
      <c r="F463" s="12"/>
      <c r="G463" s="12"/>
    </row>
    <row r="464" spans="1:7">
      <c r="A464" s="8" t="s">
        <v>4653</v>
      </c>
      <c r="B464" s="9">
        <f>COUNTIF(実績!$R$5:$R$1474,A464)</f>
        <v>0</v>
      </c>
      <c r="C464" s="9">
        <f>COUNTIF(実績!$W$5:$W$1474,A464)</f>
        <v>1</v>
      </c>
      <c r="D464" s="9">
        <f>COUNTIF(実績!$AB$5:$AC$1474,A464)</f>
        <v>0</v>
      </c>
      <c r="E464" s="12" t="s">
        <v>4652</v>
      </c>
      <c r="F464" s="12"/>
      <c r="G464" s="12"/>
    </row>
    <row r="465" spans="1:7">
      <c r="A465" s="8" t="s">
        <v>6899</v>
      </c>
      <c r="B465" s="9">
        <f>COUNTIF(実績!$R$5:$R$1474,A465)</f>
        <v>1</v>
      </c>
      <c r="C465" s="9">
        <f>COUNTIF(実績!$W$5:$W$1474,A465)</f>
        <v>0</v>
      </c>
      <c r="D465" s="9">
        <f>COUNTIF(実績!$AB$5:$AC$1474,A465)</f>
        <v>0</v>
      </c>
      <c r="E465" s="12" t="s">
        <v>6901</v>
      </c>
      <c r="F465" s="12" t="s">
        <v>5839</v>
      </c>
      <c r="G465" s="12" t="s">
        <v>5839</v>
      </c>
    </row>
    <row r="466" spans="1:7">
      <c r="A466" s="13" t="s">
        <v>1601</v>
      </c>
      <c r="B466" s="9">
        <f>COUNTIF(実績!$R$5:$R$1474,A466)</f>
        <v>2</v>
      </c>
      <c r="C466" s="9">
        <f>COUNTIF(実績!$W$5:$W$1474,A466)</f>
        <v>0</v>
      </c>
      <c r="D466" s="9">
        <f>COUNTIF(実績!$AB$5:$AC$1474,A466)</f>
        <v>0</v>
      </c>
      <c r="E466" s="12" t="s">
        <v>1625</v>
      </c>
      <c r="F466" s="12"/>
      <c r="G466" s="12"/>
    </row>
    <row r="467" spans="1:7">
      <c r="A467" s="8" t="s">
        <v>1020</v>
      </c>
      <c r="B467" s="9">
        <f>COUNTIF(実績!$R$5:$R$1474,A467)</f>
        <v>1</v>
      </c>
      <c r="C467" s="9">
        <f>COUNTIF(実績!$W$5:$W$1474,A467)</f>
        <v>0</v>
      </c>
      <c r="D467" s="9">
        <f>COUNTIF(実績!$AB$5:$AC$1474,A467)</f>
        <v>0</v>
      </c>
      <c r="E467" s="12" t="s">
        <v>1160</v>
      </c>
      <c r="F467" s="12"/>
      <c r="G467" s="12"/>
    </row>
    <row r="468" spans="1:7">
      <c r="A468" s="8" t="s">
        <v>673</v>
      </c>
      <c r="B468" s="9">
        <f>COUNTIF(実績!$R$5:$R$1474,A468)</f>
        <v>14</v>
      </c>
      <c r="C468" s="9">
        <f>COUNTIF(実績!$W$5:$W$1474,A468)</f>
        <v>0</v>
      </c>
      <c r="D468" s="9">
        <f>COUNTIF(実績!$AB$5:$AC$1474,A468)</f>
        <v>0</v>
      </c>
      <c r="E468" s="12" t="s">
        <v>1161</v>
      </c>
      <c r="F468" s="12" t="s">
        <v>6907</v>
      </c>
      <c r="G468" s="12" t="s">
        <v>6908</v>
      </c>
    </row>
    <row r="469" spans="1:7">
      <c r="A469" s="8" t="s">
        <v>8639</v>
      </c>
      <c r="B469" s="9">
        <f>COUNTIF(実績!$R$5:$R$1474,A469)</f>
        <v>1</v>
      </c>
      <c r="C469" s="9">
        <f>COUNTIF(実績!$W$5:$W$1474,A469)</f>
        <v>0</v>
      </c>
      <c r="D469" s="9">
        <f>COUNTIF(実績!$AB$5:$AC$1474,A469)</f>
        <v>0</v>
      </c>
      <c r="E469" s="12" t="s">
        <v>8640</v>
      </c>
      <c r="F469" s="12" t="s">
        <v>5839</v>
      </c>
      <c r="G469" s="12" t="s">
        <v>5839</v>
      </c>
    </row>
    <row r="470" spans="1:7">
      <c r="A470" s="8" t="s">
        <v>5115</v>
      </c>
      <c r="B470" s="9">
        <f>COUNTIF(実績!$R$5:$R$1474,A470)</f>
        <v>0</v>
      </c>
      <c r="C470" s="9">
        <f>COUNTIF(実績!$W$5:$W$1474,A470)</f>
        <v>1</v>
      </c>
      <c r="D470" s="9">
        <f>COUNTIF(実績!$AB$5:$AC$1474,A470)</f>
        <v>0</v>
      </c>
      <c r="E470" s="12" t="s">
        <v>5116</v>
      </c>
      <c r="F470" s="12"/>
      <c r="G470" s="12"/>
    </row>
    <row r="471" spans="1:7">
      <c r="A471" s="8" t="s">
        <v>10877</v>
      </c>
      <c r="B471" s="9">
        <f>COUNTIF(実績!$R$5:$R$1474,A471)</f>
        <v>1</v>
      </c>
      <c r="C471" s="9">
        <f>COUNTIF(実績!$W$5:$W$1474,A471)</f>
        <v>1</v>
      </c>
      <c r="D471" s="9">
        <f>COUNTIF(実績!$AB$5:$AC$1474,A471)</f>
        <v>0</v>
      </c>
      <c r="E471" s="12" t="s">
        <v>10878</v>
      </c>
      <c r="F471" s="12"/>
      <c r="G471" s="12"/>
    </row>
    <row r="472" spans="1:7">
      <c r="A472" s="8" t="s">
        <v>10183</v>
      </c>
      <c r="B472" s="9">
        <f>COUNTIF(実績!$R$5:$R$1474,A472)</f>
        <v>1</v>
      </c>
      <c r="C472" s="9">
        <f>COUNTIF(実績!$W$5:$W$1474,A472)</f>
        <v>0</v>
      </c>
      <c r="D472" s="9">
        <f>COUNTIF(実績!$AB$5:$AC$1474,A472)</f>
        <v>0</v>
      </c>
      <c r="E472" s="12" t="s">
        <v>10184</v>
      </c>
      <c r="F472" s="12"/>
      <c r="G472" s="12"/>
    </row>
    <row r="473" spans="1:7">
      <c r="A473" s="8" t="s">
        <v>2370</v>
      </c>
      <c r="B473" s="9">
        <f>COUNTIF(実績!$R$5:$R$1474,A473)</f>
        <v>1</v>
      </c>
      <c r="C473" s="9">
        <f>COUNTIF(実績!$W$5:$W$1474,A473)</f>
        <v>0</v>
      </c>
      <c r="D473" s="9">
        <f>COUNTIF(実績!$AB$5:$AC$1474,A473)</f>
        <v>0</v>
      </c>
      <c r="E473" s="12" t="s">
        <v>2371</v>
      </c>
      <c r="F473" s="12"/>
      <c r="G473" s="12"/>
    </row>
    <row r="474" spans="1:7">
      <c r="A474" s="8" t="s">
        <v>509</v>
      </c>
      <c r="B474" s="9">
        <f>COUNTIF(実績!$R$5:$R$1474,A474)</f>
        <v>3</v>
      </c>
      <c r="C474" s="9">
        <f>COUNTIF(実績!$W$5:$W$1474,A474)</f>
        <v>0</v>
      </c>
      <c r="D474" s="9">
        <f>COUNTIF(実績!$AB$5:$AC$1474,A474)</f>
        <v>0</v>
      </c>
      <c r="E474" s="12" t="s">
        <v>1162</v>
      </c>
      <c r="F474" s="12"/>
      <c r="G474" s="12"/>
    </row>
    <row r="475" spans="1:7">
      <c r="A475" s="8" t="s">
        <v>786</v>
      </c>
      <c r="B475" s="9">
        <f>COUNTIF(実績!$R$5:$R$1474,A475)</f>
        <v>6</v>
      </c>
      <c r="C475" s="9">
        <f>COUNTIF(実績!$W$5:$W$1474,A475)</f>
        <v>4</v>
      </c>
      <c r="D475" s="9">
        <f>COUNTIF(実績!$AB$5:$AC$1474,A475)</f>
        <v>0</v>
      </c>
      <c r="E475" s="12" t="s">
        <v>1163</v>
      </c>
      <c r="F475" s="12"/>
      <c r="G475" s="12"/>
    </row>
    <row r="476" spans="1:7">
      <c r="A476" s="8" t="s">
        <v>8776</v>
      </c>
      <c r="B476" s="9">
        <f>COUNTIF(実績!$R$5:$R$1474,A476)</f>
        <v>0</v>
      </c>
      <c r="C476" s="9">
        <f>COUNTIF(実績!$W$5:$W$1474,A476)</f>
        <v>1</v>
      </c>
      <c r="D476" s="9">
        <f>COUNTIF(実績!$AB$5:$AC$1474,A476)</f>
        <v>0</v>
      </c>
      <c r="E476" s="12" t="s">
        <v>8779</v>
      </c>
      <c r="F476" s="12" t="s">
        <v>5839</v>
      </c>
      <c r="G476" s="12" t="s">
        <v>5839</v>
      </c>
    </row>
    <row r="477" spans="1:7">
      <c r="A477" s="13" t="s">
        <v>15564</v>
      </c>
      <c r="B477" s="9">
        <f>COUNTIF(実績!$R$5:$R$1474,A477)</f>
        <v>3</v>
      </c>
      <c r="C477" s="9">
        <f>COUNTIF(実績!$W$5:$W$1474,A477)</f>
        <v>0</v>
      </c>
      <c r="D477" s="9">
        <f>COUNTIF(実績!$AB$5:$AC$1474,A477)</f>
        <v>0</v>
      </c>
      <c r="E477" s="12" t="s">
        <v>1499</v>
      </c>
      <c r="F477" s="12"/>
      <c r="G477" s="12"/>
    </row>
    <row r="478" spans="1:7">
      <c r="A478" s="8" t="s">
        <v>3842</v>
      </c>
      <c r="B478" s="9">
        <f>COUNTIF(実績!$R$5:$R$1474,A478)</f>
        <v>0</v>
      </c>
      <c r="C478" s="9">
        <f>COUNTIF(実績!$W$5:$W$1474,A478)</f>
        <v>1</v>
      </c>
      <c r="D478" s="9">
        <f>COUNTIF(実績!$AB$5:$AC$1474,A478)</f>
        <v>0</v>
      </c>
      <c r="E478" s="12" t="s">
        <v>3843</v>
      </c>
      <c r="F478" s="12"/>
      <c r="G478" s="12"/>
    </row>
    <row r="479" spans="1:7">
      <c r="A479" s="8" t="s">
        <v>3179</v>
      </c>
      <c r="B479" s="9">
        <f>COUNTIF(実績!$R$5:$R$1474,A479)</f>
        <v>0</v>
      </c>
      <c r="C479" s="9">
        <f>COUNTIF(実績!$W$5:$W$1474,A479)</f>
        <v>2</v>
      </c>
      <c r="D479" s="9">
        <f>COUNTIF(実績!$AB$5:$AC$1474,A479)</f>
        <v>0</v>
      </c>
      <c r="E479" s="12" t="s">
        <v>3180</v>
      </c>
      <c r="F479" s="12"/>
      <c r="G479" s="12"/>
    </row>
    <row r="480" spans="1:7">
      <c r="A480" s="8" t="s">
        <v>742</v>
      </c>
      <c r="B480" s="9">
        <f>COUNTIF(実績!$R$5:$R$1474,A480)</f>
        <v>1</v>
      </c>
      <c r="C480" s="9">
        <f>COUNTIF(実績!$W$5:$W$1474,A480)</f>
        <v>0</v>
      </c>
      <c r="D480" s="9">
        <f>COUNTIF(実績!$AB$5:$AC$1474,A480)</f>
        <v>0</v>
      </c>
      <c r="E480" s="12" t="s">
        <v>1164</v>
      </c>
      <c r="F480" s="12"/>
      <c r="G480" s="12"/>
    </row>
    <row r="481" spans="1:7">
      <c r="A481" s="8" t="s">
        <v>3642</v>
      </c>
      <c r="B481" s="9">
        <f>COUNTIF(実績!$R$5:$R$1474,A481)</f>
        <v>1</v>
      </c>
      <c r="C481" s="9">
        <f>COUNTIF(実績!$W$5:$W$1474,A481)</f>
        <v>0</v>
      </c>
      <c r="D481" s="9">
        <f>COUNTIF(実績!$AB$5:$AC$1474,A481)</f>
        <v>0</v>
      </c>
      <c r="E481" s="12" t="s">
        <v>3643</v>
      </c>
      <c r="F481" s="12"/>
      <c r="G481" s="12"/>
    </row>
    <row r="482" spans="1:7">
      <c r="A482" s="8" t="s">
        <v>4498</v>
      </c>
      <c r="B482" s="9">
        <f>COUNTIF(実績!$R$5:$R$1474,A482)</f>
        <v>1</v>
      </c>
      <c r="C482" s="9">
        <f>COUNTIF(実績!$W$5:$W$1474,A482)</f>
        <v>1</v>
      </c>
      <c r="D482" s="9">
        <f>COUNTIF(実績!$AB$5:$AC$1474,A482)</f>
        <v>0</v>
      </c>
      <c r="E482" s="12" t="s">
        <v>4499</v>
      </c>
      <c r="F482" s="12"/>
      <c r="G482" s="12"/>
    </row>
    <row r="483" spans="1:7">
      <c r="A483" s="8" t="s">
        <v>7898</v>
      </c>
      <c r="B483" s="9">
        <f>COUNTIF(実績!$R$5:$R$1474,A483)</f>
        <v>0</v>
      </c>
      <c r="C483" s="9">
        <f>COUNTIF(実績!$W$5:$W$1474,A483)</f>
        <v>0</v>
      </c>
      <c r="D483" s="9">
        <f>COUNTIF(実績!$AB$5:$AC$1474,A483)</f>
        <v>1</v>
      </c>
      <c r="E483" s="12" t="s">
        <v>7899</v>
      </c>
      <c r="F483" s="12" t="s">
        <v>5839</v>
      </c>
      <c r="G483" s="12" t="s">
        <v>5839</v>
      </c>
    </row>
    <row r="484" spans="1:7">
      <c r="A484" s="8" t="s">
        <v>2311</v>
      </c>
      <c r="B484" s="9">
        <f>COUNTIF(実績!$R$5:$R$1474,A484)</f>
        <v>1</v>
      </c>
      <c r="C484" s="9">
        <f>COUNTIF(実績!$W$5:$W$1474,A484)</f>
        <v>0</v>
      </c>
      <c r="D484" s="9">
        <f>COUNTIF(実績!$AB$5:$AC$1474,A484)</f>
        <v>0</v>
      </c>
      <c r="E484" s="12" t="s">
        <v>2878</v>
      </c>
      <c r="F484" s="12"/>
      <c r="G484" s="12"/>
    </row>
    <row r="485" spans="1:7">
      <c r="A485" s="8" t="s">
        <v>636</v>
      </c>
      <c r="B485" s="9">
        <f>COUNTIF(実績!$R$5:$R$1474,A485)</f>
        <v>10</v>
      </c>
      <c r="C485" s="9">
        <f>COUNTIF(実績!$W$5:$W$1474,A485)</f>
        <v>0</v>
      </c>
      <c r="D485" s="9">
        <f>COUNTIF(実績!$AB$5:$AC$1474,A485)</f>
        <v>0</v>
      </c>
      <c r="E485" s="12" t="s">
        <v>1257</v>
      </c>
      <c r="F485" s="12"/>
      <c r="G485" s="12"/>
    </row>
    <row r="486" spans="1:7">
      <c r="A486" s="8" t="s">
        <v>4361</v>
      </c>
      <c r="B486" s="9">
        <f>COUNTIF(実績!$R$5:$R$1474,A486)</f>
        <v>4</v>
      </c>
      <c r="C486" s="9">
        <f>COUNTIF(実績!$W$5:$W$1474,A486)</f>
        <v>0</v>
      </c>
      <c r="D486" s="9">
        <f>COUNTIF(実績!$AB$5:$AC$1474,A486)</f>
        <v>0</v>
      </c>
      <c r="E486" s="12" t="s">
        <v>4362</v>
      </c>
      <c r="F486" s="12"/>
      <c r="G486" s="12"/>
    </row>
    <row r="487" spans="1:7">
      <c r="A487" s="8" t="s">
        <v>5073</v>
      </c>
      <c r="B487" s="9">
        <f>COUNTIF(実績!$R$5:$R$1474,A487)</f>
        <v>1</v>
      </c>
      <c r="C487" s="9">
        <f>COUNTIF(実績!$W$5:$W$1474,A487)</f>
        <v>0</v>
      </c>
      <c r="D487" s="9">
        <f>COUNTIF(実績!$AB$5:$AC$1474,A487)</f>
        <v>0</v>
      </c>
      <c r="E487" s="12" t="s">
        <v>5074</v>
      </c>
      <c r="F487" s="12"/>
      <c r="G487" s="12"/>
    </row>
    <row r="488" spans="1:7">
      <c r="A488" s="8" t="s">
        <v>5025</v>
      </c>
      <c r="B488" s="9">
        <f>COUNTIF(実績!$R$5:$R$1474,A488)</f>
        <v>0</v>
      </c>
      <c r="C488" s="9">
        <f>COUNTIF(実績!$W$5:$W$1474,A488)</f>
        <v>1</v>
      </c>
      <c r="D488" s="9">
        <f>COUNTIF(実績!$AB$5:$AC$1474,A488)</f>
        <v>0</v>
      </c>
      <c r="E488" s="12" t="s">
        <v>5026</v>
      </c>
      <c r="F488" s="12"/>
      <c r="G488" s="12"/>
    </row>
    <row r="489" spans="1:7">
      <c r="A489" s="8" t="s">
        <v>989</v>
      </c>
      <c r="B489" s="9">
        <f>COUNTIF(実績!$R$5:$R$1474,A489)</f>
        <v>0</v>
      </c>
      <c r="C489" s="9">
        <f>COUNTIF(実績!$W$5:$W$1474,A489)</f>
        <v>1</v>
      </c>
      <c r="D489" s="9">
        <f>COUNTIF(実績!$AB$5:$AC$1474,A489)</f>
        <v>0</v>
      </c>
      <c r="E489" s="12" t="s">
        <v>1262</v>
      </c>
      <c r="F489" s="12"/>
      <c r="G489" s="12"/>
    </row>
    <row r="490" spans="1:7">
      <c r="A490" s="8" t="s">
        <v>5022</v>
      </c>
      <c r="B490" s="9">
        <f>COUNTIF(実績!$R$5:$R$1474,A490)</f>
        <v>2</v>
      </c>
      <c r="C490" s="9">
        <f>COUNTIF(実績!$W$5:$W$1474,A490)</f>
        <v>0</v>
      </c>
      <c r="D490" s="9">
        <f>COUNTIF(実績!$AB$5:$AC$1474,A490)</f>
        <v>0</v>
      </c>
      <c r="E490" s="12" t="s">
        <v>5023</v>
      </c>
      <c r="F490" s="12"/>
      <c r="G490" s="12"/>
    </row>
    <row r="491" spans="1:7">
      <c r="A491" s="8" t="s">
        <v>16569</v>
      </c>
      <c r="B491" s="9">
        <f>COUNTIF(実績!$R$5:$R$1474,A491)</f>
        <v>2</v>
      </c>
      <c r="C491" s="9">
        <f>COUNTIF(実績!$W$5:$W$1474,A491)</f>
        <v>0</v>
      </c>
      <c r="D491" s="9">
        <f>COUNTIF(実績!$AB$5:$AC$1474,A491)</f>
        <v>2</v>
      </c>
      <c r="E491" s="12" t="s">
        <v>4882</v>
      </c>
      <c r="F491" s="12"/>
      <c r="G491" s="12"/>
    </row>
    <row r="492" spans="1:7">
      <c r="A492" s="1090" t="s">
        <v>559</v>
      </c>
      <c r="B492" s="9">
        <f>COUNTIF(実績!$R$5:$R$1474,A492)</f>
        <v>0</v>
      </c>
      <c r="C492" s="9">
        <f>COUNTIF(実績!$W$5:$W$1474,A492)</f>
        <v>0</v>
      </c>
      <c r="D492" s="9">
        <f>COUNTIF(実績!$AB$5:$AC$1474,A492)</f>
        <v>3</v>
      </c>
      <c r="E492" s="12" t="s">
        <v>1165</v>
      </c>
      <c r="F492" s="12"/>
      <c r="G492" s="12"/>
    </row>
    <row r="493" spans="1:7">
      <c r="A493" s="8" t="s">
        <v>10662</v>
      </c>
      <c r="B493" s="9">
        <f>COUNTIF(実績!$R$5:$R$1474,A493)</f>
        <v>1</v>
      </c>
      <c r="C493" s="9">
        <f>COUNTIF(実績!$W$5:$W$1474,A493)</f>
        <v>0</v>
      </c>
      <c r="D493" s="9">
        <f>COUNTIF(実績!$AB$5:$AC$1474,A493)</f>
        <v>0</v>
      </c>
      <c r="E493" s="12" t="s">
        <v>10687</v>
      </c>
      <c r="F493" s="12"/>
      <c r="G493" s="12"/>
    </row>
    <row r="494" spans="1:7">
      <c r="A494" s="8" t="s">
        <v>6821</v>
      </c>
      <c r="B494" s="9">
        <f>COUNTIF(実績!$R$5:$R$1474,A494)</f>
        <v>1</v>
      </c>
      <c r="C494" s="9">
        <f>COUNTIF(実績!$W$5:$W$1474,A494)</f>
        <v>0</v>
      </c>
      <c r="D494" s="9">
        <f>COUNTIF(実績!$AB$5:$AC$1474,A494)</f>
        <v>0</v>
      </c>
      <c r="E494" s="12" t="s">
        <v>6822</v>
      </c>
      <c r="F494" s="12" t="s">
        <v>5839</v>
      </c>
      <c r="G494" s="12" t="s">
        <v>5839</v>
      </c>
    </row>
    <row r="495" spans="1:7">
      <c r="A495" s="11" t="s">
        <v>4327</v>
      </c>
      <c r="B495" s="9">
        <f>COUNTIF(実績!$R$5:$R$1474,A495)</f>
        <v>0</v>
      </c>
      <c r="C495" s="9">
        <f>COUNTIF(実績!$W$5:$W$1474,A495)</f>
        <v>0</v>
      </c>
      <c r="D495" s="9">
        <f>COUNTIF(実績!$AB$5:$AC$1474,A495)</f>
        <v>1</v>
      </c>
      <c r="E495" s="12" t="s">
        <v>4328</v>
      </c>
      <c r="F495" s="12"/>
      <c r="G495" s="12"/>
    </row>
    <row r="496" spans="1:7">
      <c r="A496" s="11" t="s">
        <v>988</v>
      </c>
      <c r="B496" s="9">
        <f>COUNTIF(実績!$R$5:$R$1474,A496)</f>
        <v>0</v>
      </c>
      <c r="C496" s="9">
        <f>COUNTIF(実績!$W$5:$W$1474,A496)</f>
        <v>1</v>
      </c>
      <c r="D496" s="9">
        <f>COUNTIF(実績!$AB$5:$AC$1474,A496)</f>
        <v>0</v>
      </c>
      <c r="E496" s="12" t="s">
        <v>1166</v>
      </c>
      <c r="F496" s="12"/>
      <c r="G496" s="12"/>
    </row>
    <row r="497" spans="1:7">
      <c r="A497" s="11" t="s">
        <v>7342</v>
      </c>
      <c r="B497" s="9">
        <f>COUNTIF(実績!$R$5:$R$1474,A497)</f>
        <v>0</v>
      </c>
      <c r="C497" s="9">
        <f>COUNTIF(実績!$W$5:$W$1474,A497)</f>
        <v>1</v>
      </c>
      <c r="D497" s="9">
        <f>COUNTIF(実績!$AB$5:$AC$1474,A497)</f>
        <v>0</v>
      </c>
      <c r="E497" s="12" t="s">
        <v>7343</v>
      </c>
      <c r="F497" s="12" t="s">
        <v>5839</v>
      </c>
      <c r="G497" s="12" t="s">
        <v>5839</v>
      </c>
    </row>
    <row r="498" spans="1:7">
      <c r="A498" s="11" t="s">
        <v>8001</v>
      </c>
      <c r="B498" s="9">
        <f>COUNTIF(実績!$R$5:$R$1474,A498)</f>
        <v>1</v>
      </c>
      <c r="C498" s="9">
        <f>COUNTIF(実績!$W$5:$W$1474,A498)</f>
        <v>0</v>
      </c>
      <c r="D498" s="9">
        <f>COUNTIF(実績!$AB$5:$AC$1474,A498)</f>
        <v>0</v>
      </c>
      <c r="E498" s="12" t="s">
        <v>8037</v>
      </c>
      <c r="F498" s="12" t="s">
        <v>5839</v>
      </c>
      <c r="G498" s="12" t="s">
        <v>5839</v>
      </c>
    </row>
    <row r="499" spans="1:7">
      <c r="A499" s="11" t="s">
        <v>472</v>
      </c>
      <c r="B499" s="9">
        <f>COUNTIF(実績!$R$5:$R$1474,A499)</f>
        <v>2</v>
      </c>
      <c r="C499" s="9">
        <f>COUNTIF(実績!$W$5:$W$1474,A499)</f>
        <v>0</v>
      </c>
      <c r="D499" s="9">
        <f>COUNTIF(実績!$AB$5:$AC$1474,A499)</f>
        <v>0</v>
      </c>
      <c r="E499" s="12" t="s">
        <v>1318</v>
      </c>
      <c r="F499" s="12"/>
      <c r="G499" s="12"/>
    </row>
    <row r="500" spans="1:7">
      <c r="A500" s="11" t="s">
        <v>2930</v>
      </c>
      <c r="B500" s="9">
        <f>COUNTIF(実績!$R$5:$R$1474,A500)</f>
        <v>0</v>
      </c>
      <c r="C500" s="9">
        <f>COUNTIF(実績!$W$5:$W$1474,A500)</f>
        <v>3</v>
      </c>
      <c r="D500" s="9">
        <f>COUNTIF(実績!$AB$5:$AC$1474,A500)</f>
        <v>0</v>
      </c>
      <c r="E500" s="12" t="s">
        <v>2931</v>
      </c>
      <c r="F500" s="12"/>
      <c r="G500" s="12"/>
    </row>
    <row r="501" spans="1:7">
      <c r="A501" s="11" t="s">
        <v>546</v>
      </c>
      <c r="B501" s="9">
        <f>COUNTIF(実績!$R$5:$R$1474,A501)</f>
        <v>1</v>
      </c>
      <c r="C501" s="9">
        <f>COUNTIF(実績!$W$5:$W$1474,A501)</f>
        <v>0</v>
      </c>
      <c r="D501" s="9">
        <f>COUNTIF(実績!$AB$5:$AC$1474,A501)</f>
        <v>0</v>
      </c>
      <c r="E501" s="12" t="s">
        <v>1297</v>
      </c>
      <c r="F501" s="12"/>
      <c r="G501" s="12"/>
    </row>
    <row r="502" spans="1:7">
      <c r="A502" s="11" t="s">
        <v>10496</v>
      </c>
      <c r="B502" s="9">
        <f>COUNTIF(実績!$R$5:$R$1474,A502)</f>
        <v>1</v>
      </c>
      <c r="C502" s="9">
        <f>COUNTIF(実績!$W$5:$W$1474,A502)</f>
        <v>0</v>
      </c>
      <c r="D502" s="9">
        <f>COUNTIF(実績!$AB$5:$AC$1474,A502)</f>
        <v>0</v>
      </c>
      <c r="E502" s="12" t="s">
        <v>10497</v>
      </c>
      <c r="F502" s="12"/>
      <c r="G502" s="12"/>
    </row>
    <row r="503" spans="1:7">
      <c r="A503" s="11" t="s">
        <v>8775</v>
      </c>
      <c r="B503" s="9">
        <f>COUNTIF(実績!$R$5:$R$1474,A503)</f>
        <v>1</v>
      </c>
      <c r="C503" s="9">
        <f>COUNTIF(実績!$W$5:$W$1474,A503)</f>
        <v>0</v>
      </c>
      <c r="D503" s="9">
        <f>COUNTIF(実績!$AB$5:$AC$1474,A503)</f>
        <v>0</v>
      </c>
      <c r="E503" s="12" t="s">
        <v>8778</v>
      </c>
      <c r="F503" s="12" t="s">
        <v>5839</v>
      </c>
      <c r="G503" s="12" t="s">
        <v>5839</v>
      </c>
    </row>
    <row r="504" spans="1:7">
      <c r="A504" s="11" t="s">
        <v>13242</v>
      </c>
      <c r="B504" s="9">
        <f>COUNTIF(実績!$R$5:$R$1474,A504)</f>
        <v>1</v>
      </c>
      <c r="C504" s="9">
        <f>COUNTIF(実績!$W$5:$W$1474,A504)</f>
        <v>0</v>
      </c>
      <c r="D504" s="9">
        <f>COUNTIF(実績!$AB$5:$AC$1474,A504)</f>
        <v>0</v>
      </c>
      <c r="E504" s="12" t="s">
        <v>13243</v>
      </c>
      <c r="F504" s="12"/>
      <c r="G504" s="12"/>
    </row>
    <row r="505" spans="1:7">
      <c r="A505" s="11" t="s">
        <v>785</v>
      </c>
      <c r="B505" s="9">
        <f>COUNTIF(実績!$R$5:$R$1474,A505)</f>
        <v>1</v>
      </c>
      <c r="C505" s="9">
        <f>COUNTIF(実績!$W$5:$W$1474,A505)</f>
        <v>0</v>
      </c>
      <c r="D505" s="9">
        <f>COUNTIF(実績!$AB$5:$AC$1474,A505)</f>
        <v>0</v>
      </c>
      <c r="E505" s="12" t="s">
        <v>1263</v>
      </c>
      <c r="F505" s="12"/>
      <c r="G505" s="12"/>
    </row>
    <row r="506" spans="1:7">
      <c r="A506" s="123" t="s">
        <v>1571</v>
      </c>
      <c r="B506" s="9">
        <f>COUNTIF(実績!$R$5:$R$1474,A506)</f>
        <v>6</v>
      </c>
      <c r="C506" s="9">
        <f>COUNTIF(実績!$W$5:$W$1474,A506)</f>
        <v>5</v>
      </c>
      <c r="D506" s="9">
        <f>COUNTIF(実績!$AB$5:$AC$1474,A506)</f>
        <v>0</v>
      </c>
      <c r="E506" s="100" t="s">
        <v>1572</v>
      </c>
      <c r="F506" s="12"/>
      <c r="G506" s="12"/>
    </row>
    <row r="507" spans="1:7">
      <c r="A507" s="11" t="s">
        <v>541</v>
      </c>
      <c r="B507" s="9">
        <f>COUNTIF(実績!$R$5:$R$1474,A507)</f>
        <v>15</v>
      </c>
      <c r="C507" s="9">
        <f>COUNTIF(実績!$W$5:$W$1474,A507)</f>
        <v>0</v>
      </c>
      <c r="D507" s="9">
        <f>COUNTIF(実績!$AB$5:$AC$1474,A507)</f>
        <v>0</v>
      </c>
      <c r="E507" s="12" t="s">
        <v>1167</v>
      </c>
      <c r="F507" s="12"/>
      <c r="G507" s="12"/>
    </row>
    <row r="508" spans="1:7">
      <c r="A508" s="8" t="s">
        <v>7175</v>
      </c>
      <c r="B508" s="9">
        <f>COUNTIF(実績!$R$5:$R$1474,A508)</f>
        <v>1</v>
      </c>
      <c r="C508" s="9">
        <f>COUNTIF(実績!$W$5:$W$1474,A508)</f>
        <v>0</v>
      </c>
      <c r="D508" s="9">
        <f>COUNTIF(実績!$AB$5:$AC$1474,A508)</f>
        <v>0</v>
      </c>
      <c r="E508" s="12" t="s">
        <v>7176</v>
      </c>
      <c r="F508" s="12" t="s">
        <v>5839</v>
      </c>
      <c r="G508" s="12" t="s">
        <v>5839</v>
      </c>
    </row>
    <row r="509" spans="1:7">
      <c r="A509" s="13" t="s">
        <v>7006</v>
      </c>
      <c r="B509" s="9">
        <f>COUNTIF(実績!$R$5:$R$1474,A509)</f>
        <v>2</v>
      </c>
      <c r="C509" s="9">
        <f>COUNTIF(実績!$W$5:$W$1474,A509)</f>
        <v>0</v>
      </c>
      <c r="D509" s="9">
        <f>COUNTIF(実績!$AB$5:$AC$1474,A509)</f>
        <v>0</v>
      </c>
      <c r="E509" s="12" t="s">
        <v>1623</v>
      </c>
      <c r="F509" s="12"/>
      <c r="G509" s="12"/>
    </row>
    <row r="510" spans="1:7">
      <c r="A510" s="13" t="s">
        <v>1595</v>
      </c>
      <c r="B510" s="9">
        <f>COUNTIF(実績!$R$5:$R$1474,A510)</f>
        <v>0</v>
      </c>
      <c r="C510" s="9">
        <f>COUNTIF(実績!$W$5:$W$1474,A510)</f>
        <v>1</v>
      </c>
      <c r="D510" s="9">
        <f>COUNTIF(実績!$AB$5:$AC$1474,A510)</f>
        <v>0</v>
      </c>
      <c r="E510" s="12" t="s">
        <v>1626</v>
      </c>
      <c r="F510" s="12"/>
      <c r="G510" s="12"/>
    </row>
    <row r="511" spans="1:7">
      <c r="A511" s="8" t="s">
        <v>4244</v>
      </c>
      <c r="B511" s="9">
        <f>COUNTIF(実績!$R$5:$R$1474,A511)</f>
        <v>0</v>
      </c>
      <c r="C511" s="9">
        <f>COUNTIF(実績!$W$5:$W$1474,A511)</f>
        <v>1</v>
      </c>
      <c r="D511" s="9">
        <f>COUNTIF(実績!$AB$5:$AC$1474,A511)</f>
        <v>0</v>
      </c>
      <c r="E511" s="12" t="s">
        <v>4245</v>
      </c>
      <c r="F511" s="12"/>
      <c r="G511" s="12"/>
    </row>
    <row r="512" spans="1:7">
      <c r="A512" s="8" t="s">
        <v>3875</v>
      </c>
      <c r="B512" s="9">
        <f>COUNTIF(実績!$R$5:$R$1474,A512)</f>
        <v>1</v>
      </c>
      <c r="C512" s="9">
        <f>COUNTIF(実績!$W$5:$W$1474,A512)</f>
        <v>8</v>
      </c>
      <c r="D512" s="9">
        <f>COUNTIF(実績!$AB$5:$AC$1474,A512)</f>
        <v>0</v>
      </c>
      <c r="E512" s="12" t="s">
        <v>3876</v>
      </c>
      <c r="F512" s="12" t="s">
        <v>5839</v>
      </c>
      <c r="G512" s="12"/>
    </row>
    <row r="513" spans="1:7">
      <c r="A513" s="8" t="s">
        <v>7016</v>
      </c>
      <c r="B513" s="9">
        <f>COUNTIF(実績!$R$5:$R$1474,A513)</f>
        <v>1</v>
      </c>
      <c r="C513" s="9">
        <f>COUNTIF(実績!$W$5:$W$1474,A513)</f>
        <v>0</v>
      </c>
      <c r="D513" s="9">
        <f>COUNTIF(実績!$AB$5:$AC$1474,A513)</f>
        <v>0</v>
      </c>
      <c r="E513" s="12" t="s">
        <v>7325</v>
      </c>
      <c r="F513" s="12" t="s">
        <v>5839</v>
      </c>
      <c r="G513" s="12" t="s">
        <v>5839</v>
      </c>
    </row>
    <row r="514" spans="1:7">
      <c r="A514" s="8" t="s">
        <v>15594</v>
      </c>
      <c r="B514" s="9">
        <f>COUNTIF(実績!$R$5:$R$1474,A514)</f>
        <v>0</v>
      </c>
      <c r="C514" s="9">
        <f>COUNTIF(実績!$W$5:$W$1474,A514)</f>
        <v>1</v>
      </c>
      <c r="D514" s="9">
        <f>COUNTIF(実績!$AB$5:$AC$1474,A514)</f>
        <v>0</v>
      </c>
      <c r="E514" s="12" t="s">
        <v>15595</v>
      </c>
      <c r="F514" s="12"/>
      <c r="G514" s="12"/>
    </row>
    <row r="515" spans="1:7">
      <c r="A515" s="8" t="s">
        <v>3810</v>
      </c>
      <c r="B515" s="9">
        <f>COUNTIF(実績!$R$5:$R$1474,A515)</f>
        <v>2</v>
      </c>
      <c r="C515" s="9">
        <f>COUNTIF(実績!$W$5:$W$1474,A515)</f>
        <v>0</v>
      </c>
      <c r="D515" s="9">
        <f>COUNTIF(実績!$AB$5:$AC$1474,A515)</f>
        <v>0</v>
      </c>
      <c r="E515" s="12" t="s">
        <v>3809</v>
      </c>
      <c r="F515" s="12"/>
      <c r="G515" s="12"/>
    </row>
    <row r="516" spans="1:7">
      <c r="A516" s="8" t="s">
        <v>15525</v>
      </c>
      <c r="B516" s="9">
        <f>COUNTIF(実績!$R$5:$R$1474,A516)</f>
        <v>0</v>
      </c>
      <c r="C516" s="9">
        <f>COUNTIF(実績!$W$5:$W$1474,A516)</f>
        <v>2</v>
      </c>
      <c r="D516" s="9">
        <f>COUNTIF(実績!$AB$5:$AC$1474,A516)</f>
        <v>0</v>
      </c>
      <c r="E516" s="12" t="s">
        <v>15526</v>
      </c>
      <c r="F516" s="12"/>
      <c r="G516" s="12"/>
    </row>
    <row r="517" spans="1:7">
      <c r="A517" s="8" t="s">
        <v>708</v>
      </c>
      <c r="B517" s="9">
        <f>COUNTIF(実績!$R$5:$R$1474,A517)</f>
        <v>2</v>
      </c>
      <c r="C517" s="9">
        <f>COUNTIF(実績!$W$5:$W$1474,A517)</f>
        <v>0</v>
      </c>
      <c r="D517" s="9">
        <f>COUNTIF(実績!$AB$5:$AC$1474,A517)</f>
        <v>1</v>
      </c>
      <c r="E517" s="12" t="s">
        <v>1168</v>
      </c>
      <c r="F517" s="12"/>
      <c r="G517" s="12"/>
    </row>
    <row r="518" spans="1:7">
      <c r="A518" s="8" t="s">
        <v>3775</v>
      </c>
      <c r="B518" s="9">
        <f>COUNTIF(実績!$R$5:$R$1474,A518)</f>
        <v>0</v>
      </c>
      <c r="C518" s="9">
        <f>COUNTIF(実績!$W$5:$W$1474,A518)</f>
        <v>0</v>
      </c>
      <c r="D518" s="9">
        <f>COUNTIF(実績!$AB$5:$AC$1474,A518)</f>
        <v>7</v>
      </c>
      <c r="E518" s="12" t="s">
        <v>4317</v>
      </c>
      <c r="F518" s="12"/>
      <c r="G518" s="12"/>
    </row>
    <row r="519" spans="1:7">
      <c r="A519" s="8" t="s">
        <v>5995</v>
      </c>
      <c r="B519" s="9">
        <f>COUNTIF(実績!$R$5:$R$1474,A519)</f>
        <v>0</v>
      </c>
      <c r="C519" s="9">
        <f>COUNTIF(実績!$W$5:$W$1474,A519)</f>
        <v>0</v>
      </c>
      <c r="D519" s="9">
        <f>COUNTIF(実績!$AB$5:$AC$1474,A519)</f>
        <v>1</v>
      </c>
      <c r="E519" s="12" t="s">
        <v>5996</v>
      </c>
      <c r="F519" s="12" t="s">
        <v>5839</v>
      </c>
      <c r="G519" s="12"/>
    </row>
    <row r="520" spans="1:7">
      <c r="A520" s="8" t="s">
        <v>3304</v>
      </c>
      <c r="B520" s="9">
        <f>COUNTIF(実績!$R$5:$R$1474,A520)</f>
        <v>2</v>
      </c>
      <c r="C520" s="9">
        <f>COUNTIF(実績!$W$5:$W$1474,A520)</f>
        <v>0</v>
      </c>
      <c r="D520" s="9">
        <f>COUNTIF(実績!$AB$5:$AC$1474,A520)</f>
        <v>0</v>
      </c>
      <c r="E520" s="12" t="s">
        <v>3305</v>
      </c>
      <c r="F520" s="12"/>
      <c r="G520" s="12"/>
    </row>
    <row r="521" spans="1:7">
      <c r="A521" s="8" t="s">
        <v>3955</v>
      </c>
      <c r="B521" s="9">
        <f>COUNTIF(実績!$R$5:$R$1474,A521)</f>
        <v>0</v>
      </c>
      <c r="C521" s="9">
        <f>COUNTIF(実績!$W$5:$W$1474,A521)</f>
        <v>1</v>
      </c>
      <c r="D521" s="9">
        <f>COUNTIF(実績!$AB$5:$AC$1474,A521)</f>
        <v>0</v>
      </c>
      <c r="E521" s="12" t="s">
        <v>3957</v>
      </c>
      <c r="F521" s="12"/>
      <c r="G521" s="12"/>
    </row>
    <row r="522" spans="1:7">
      <c r="A522" s="8" t="s">
        <v>4504</v>
      </c>
      <c r="B522" s="9">
        <f>COUNTIF(実績!$R$5:$R$1474,A522)</f>
        <v>1</v>
      </c>
      <c r="C522" s="9">
        <f>COUNTIF(実績!$W$5:$W$1474,A522)</f>
        <v>0</v>
      </c>
      <c r="D522" s="9">
        <f>COUNTIF(実績!$AB$5:$AC$1474,A522)</f>
        <v>0</v>
      </c>
      <c r="E522" s="12" t="s">
        <v>4505</v>
      </c>
      <c r="F522" s="12"/>
      <c r="G522" s="12"/>
    </row>
    <row r="523" spans="1:7">
      <c r="A523" s="8" t="s">
        <v>4232</v>
      </c>
      <c r="B523" s="9">
        <f>COUNTIF(実績!$R$5:$R$1474,A523)</f>
        <v>2</v>
      </c>
      <c r="C523" s="9">
        <f>COUNTIF(実績!$W$5:$W$1474,A523)</f>
        <v>0</v>
      </c>
      <c r="D523" s="9">
        <f>COUNTIF(実績!$AB$5:$AC$1474,A523)</f>
        <v>0</v>
      </c>
      <c r="E523" s="12" t="s">
        <v>4233</v>
      </c>
      <c r="F523" s="12"/>
      <c r="G523" s="12"/>
    </row>
    <row r="524" spans="1:7">
      <c r="A524" s="13" t="s">
        <v>1517</v>
      </c>
      <c r="B524" s="9">
        <f>COUNTIF(実績!$R$5:$R$1474,A524)</f>
        <v>1</v>
      </c>
      <c r="C524" s="9">
        <f>COUNTIF(実績!$W$5:$W$1474,A524)</f>
        <v>0</v>
      </c>
      <c r="D524" s="9">
        <f>COUNTIF(実績!$AB$5:$AC$1474,A524)</f>
        <v>0</v>
      </c>
      <c r="E524" s="12" t="s">
        <v>1518</v>
      </c>
      <c r="F524" s="12"/>
      <c r="G524" s="12"/>
    </row>
    <row r="525" spans="1:7">
      <c r="A525" s="8" t="s">
        <v>3153</v>
      </c>
      <c r="B525" s="9">
        <f>COUNTIF(実績!$R$5:$R$1474,A525)</f>
        <v>0</v>
      </c>
      <c r="C525" s="9">
        <f>COUNTIF(実績!$W$5:$W$1474,A525)</f>
        <v>1</v>
      </c>
      <c r="D525" s="9">
        <f>COUNTIF(実績!$AB$5:$AC$1474,A525)</f>
        <v>0</v>
      </c>
      <c r="E525" s="12" t="s">
        <v>3154</v>
      </c>
      <c r="F525" s="12"/>
      <c r="G525" s="12"/>
    </row>
    <row r="526" spans="1:7">
      <c r="A526" s="8" t="s">
        <v>477</v>
      </c>
      <c r="B526" s="9">
        <f>COUNTIF(実績!$R$5:$R$1474,A526)</f>
        <v>2</v>
      </c>
      <c r="C526" s="9">
        <f>COUNTIF(実績!$W$5:$W$1474,A526)</f>
        <v>0</v>
      </c>
      <c r="D526" s="9">
        <f>COUNTIF(実績!$AB$5:$AC$1474,A526)</f>
        <v>0</v>
      </c>
      <c r="E526" s="12" t="s">
        <v>1320</v>
      </c>
      <c r="F526" s="12"/>
      <c r="G526" s="12"/>
    </row>
    <row r="527" spans="1:7">
      <c r="A527" s="8" t="s">
        <v>600</v>
      </c>
      <c r="B527" s="9">
        <f>COUNTIF(実績!$R$5:$R$1474,A527)</f>
        <v>5</v>
      </c>
      <c r="C527" s="9">
        <f>COUNTIF(実績!$W$5:$W$1474,A527)</f>
        <v>0</v>
      </c>
      <c r="D527" s="9">
        <f>COUNTIF(実績!$AB$5:$AC$1474,A527)</f>
        <v>1</v>
      </c>
      <c r="E527" s="12" t="s">
        <v>1169</v>
      </c>
      <c r="F527" s="12"/>
      <c r="G527" s="12"/>
    </row>
    <row r="528" spans="1:7">
      <c r="A528" s="8" t="s">
        <v>644</v>
      </c>
      <c r="B528" s="9">
        <f>COUNTIF(実績!$R$5:$R$1474,A528)</f>
        <v>0</v>
      </c>
      <c r="C528" s="9">
        <f>COUNTIF(実績!$W$5:$W$1474,A528)</f>
        <v>70</v>
      </c>
      <c r="D528" s="9">
        <f>COUNTIF(実績!$AB$5:$AC$1474,A528)</f>
        <v>5</v>
      </c>
      <c r="E528" s="12" t="s">
        <v>1296</v>
      </c>
      <c r="F528" s="12"/>
      <c r="G528" s="12"/>
    </row>
    <row r="529" spans="1:7">
      <c r="A529" s="8" t="s">
        <v>2990</v>
      </c>
      <c r="B529" s="9">
        <f>COUNTIF(実績!$R$5:$R$1474,A529)</f>
        <v>0</v>
      </c>
      <c r="C529" s="9">
        <f>COUNTIF(実績!$W$5:$W$1474,A529)</f>
        <v>1</v>
      </c>
      <c r="D529" s="9">
        <f>COUNTIF(実績!$AB$5:$AC$1474,A529)</f>
        <v>0</v>
      </c>
      <c r="E529" s="12" t="s">
        <v>2991</v>
      </c>
      <c r="F529" s="12"/>
      <c r="G529" s="12"/>
    </row>
    <row r="530" spans="1:7">
      <c r="A530" s="8" t="s">
        <v>757</v>
      </c>
      <c r="B530" s="9">
        <f>COUNTIF(実績!$R$5:$R$1474,A530)</f>
        <v>1</v>
      </c>
      <c r="C530" s="9">
        <f>COUNTIF(実績!$W$5:$W$1474,A530)</f>
        <v>0</v>
      </c>
      <c r="D530" s="9">
        <f>COUNTIF(実績!$AB$5:$AC$1474,A530)</f>
        <v>0</v>
      </c>
      <c r="E530" s="12" t="s">
        <v>1298</v>
      </c>
      <c r="F530" s="12"/>
      <c r="G530" s="12"/>
    </row>
    <row r="531" spans="1:7">
      <c r="A531" s="8" t="s">
        <v>9427</v>
      </c>
      <c r="B531" s="9">
        <f>COUNTIF(実績!$R$5:$R$1474,A531)</f>
        <v>2</v>
      </c>
      <c r="C531" s="9">
        <f>COUNTIF(実績!$W$5:$W$1474,A531)</f>
        <v>0</v>
      </c>
      <c r="D531" s="9">
        <f>COUNTIF(実績!$AB$5:$AC$1474,A531)</f>
        <v>2</v>
      </c>
      <c r="E531" s="12" t="s">
        <v>9428</v>
      </c>
      <c r="F531" s="12" t="s">
        <v>5839</v>
      </c>
      <c r="G531" s="12" t="s">
        <v>5839</v>
      </c>
    </row>
    <row r="532" spans="1:7">
      <c r="A532" s="8" t="s">
        <v>14697</v>
      </c>
      <c r="B532" s="9">
        <f>COUNTIF(実績!$R$5:$R$1474,A532)</f>
        <v>0</v>
      </c>
      <c r="C532" s="9">
        <f>COUNTIF(実績!$W$5:$W$1474,A532)</f>
        <v>1</v>
      </c>
      <c r="D532" s="9">
        <f>COUNTIF(実績!$AB$5:$AC$1474,A532)</f>
        <v>0</v>
      </c>
      <c r="E532" s="12" t="s">
        <v>1170</v>
      </c>
      <c r="F532" s="12"/>
      <c r="G532" s="12"/>
    </row>
    <row r="533" spans="1:7">
      <c r="A533" s="8" t="s">
        <v>1064</v>
      </c>
      <c r="B533" s="9">
        <f>COUNTIF(実績!$R$5:$R$1474,A533)</f>
        <v>1</v>
      </c>
      <c r="C533" s="9">
        <f>COUNTIF(実績!$W$5:$W$1474,A533)</f>
        <v>0</v>
      </c>
      <c r="D533" s="9">
        <f>COUNTIF(実績!$AB$5:$AC$1474,A533)</f>
        <v>0</v>
      </c>
      <c r="E533" s="12" t="s">
        <v>1171</v>
      </c>
      <c r="F533" s="12"/>
      <c r="G533" s="12"/>
    </row>
    <row r="534" spans="1:7">
      <c r="A534" s="8" t="s">
        <v>5039</v>
      </c>
      <c r="B534" s="9">
        <f>COUNTIF(実績!$R$5:$R$1474,A534)</f>
        <v>1</v>
      </c>
      <c r="C534" s="9">
        <f>COUNTIF(実績!$W$5:$W$1474,A534)</f>
        <v>0</v>
      </c>
      <c r="D534" s="9">
        <f>COUNTIF(実績!$AB$5:$AC$1474,A534)</f>
        <v>0</v>
      </c>
      <c r="E534" s="12" t="s">
        <v>5040</v>
      </c>
      <c r="F534" s="12"/>
      <c r="G534" s="12"/>
    </row>
    <row r="535" spans="1:7">
      <c r="A535" s="8" t="s">
        <v>3164</v>
      </c>
      <c r="B535" s="9">
        <f>COUNTIF(実績!$R$5:$R$1474,A535)</f>
        <v>1</v>
      </c>
      <c r="C535" s="9">
        <f>COUNTIF(実績!$W$5:$W$1474,A535)</f>
        <v>0</v>
      </c>
      <c r="D535" s="9">
        <f>COUNTIF(実績!$AB$5:$AC$1474,A535)</f>
        <v>0</v>
      </c>
      <c r="E535" s="12" t="s">
        <v>3165</v>
      </c>
      <c r="F535" s="12"/>
      <c r="G535" s="12"/>
    </row>
    <row r="536" spans="1:7">
      <c r="A536" s="13" t="s">
        <v>1488</v>
      </c>
      <c r="B536" s="9">
        <f>COUNTIF(実績!$R$5:$R$1474,A536)</f>
        <v>4</v>
      </c>
      <c r="C536" s="9">
        <f>COUNTIF(実績!$W$5:$W$1474,A536)</f>
        <v>0</v>
      </c>
      <c r="D536" s="9">
        <f>COUNTIF(実績!$AB$5:$AC$1474,A536)</f>
        <v>0</v>
      </c>
      <c r="E536" s="12" t="s">
        <v>1489</v>
      </c>
      <c r="F536" s="12"/>
      <c r="G536" s="12"/>
    </row>
    <row r="537" spans="1:7">
      <c r="A537" s="8" t="s">
        <v>4925</v>
      </c>
      <c r="B537" s="9">
        <f>COUNTIF(実績!$R$5:$R$1474,A537)</f>
        <v>1</v>
      </c>
      <c r="C537" s="9">
        <f>COUNTIF(実績!$W$5:$W$1474,A537)</f>
        <v>1</v>
      </c>
      <c r="D537" s="9">
        <f>COUNTIF(実績!$AB$5:$AC$1474,A537)</f>
        <v>0</v>
      </c>
      <c r="E537" s="12" t="s">
        <v>4926</v>
      </c>
      <c r="F537" s="12"/>
      <c r="G537" s="12"/>
    </row>
    <row r="538" spans="1:7">
      <c r="A538" s="8" t="s">
        <v>5242</v>
      </c>
      <c r="B538" s="9">
        <f>COUNTIF(実績!$R$5:$R$1474,A538)</f>
        <v>1</v>
      </c>
      <c r="C538" s="9">
        <f>COUNTIF(実績!$W$5:$W$1474,A538)</f>
        <v>0</v>
      </c>
      <c r="D538" s="9">
        <f>COUNTIF(実績!$AB$5:$AC$1474,A538)</f>
        <v>0</v>
      </c>
      <c r="E538" s="12" t="s">
        <v>5243</v>
      </c>
      <c r="F538" s="12"/>
      <c r="G538" s="12"/>
    </row>
    <row r="539" spans="1:7">
      <c r="A539" s="8" t="s">
        <v>1035</v>
      </c>
      <c r="B539" s="9">
        <f>COUNTIF(実績!$R$5:$R$1474,A539)</f>
        <v>1</v>
      </c>
      <c r="C539" s="9">
        <f>COUNTIF(実績!$W$5:$W$1474,A539)</f>
        <v>0</v>
      </c>
      <c r="D539" s="9">
        <f>COUNTIF(実績!$AB$5:$AC$1474,A539)</f>
        <v>0</v>
      </c>
      <c r="E539" s="12" t="s">
        <v>1172</v>
      </c>
      <c r="F539" s="12"/>
      <c r="G539" s="12"/>
    </row>
    <row r="540" spans="1:7">
      <c r="A540" s="8" t="s">
        <v>738</v>
      </c>
      <c r="B540" s="9">
        <f>COUNTIF(実績!$R$5:$R$1474,A540)</f>
        <v>3</v>
      </c>
      <c r="C540" s="9">
        <f>COUNTIF(実績!$W$5:$W$1474,A540)</f>
        <v>0</v>
      </c>
      <c r="D540" s="9">
        <f>COUNTIF(実績!$AB$5:$AC$1474,A540)</f>
        <v>0</v>
      </c>
      <c r="E540" s="12" t="s">
        <v>1173</v>
      </c>
      <c r="F540" s="12"/>
      <c r="G540" s="12"/>
    </row>
    <row r="541" spans="1:7">
      <c r="A541" s="8" t="s">
        <v>5931</v>
      </c>
      <c r="B541" s="9">
        <f>COUNTIF(実績!$R$5:$R$1474,A541)</f>
        <v>1</v>
      </c>
      <c r="C541" s="9">
        <f>COUNTIF(実績!$W$5:$W$1474,A541)</f>
        <v>0</v>
      </c>
      <c r="D541" s="9">
        <f>COUNTIF(実績!$AB$5:$AC$1474,A541)</f>
        <v>0</v>
      </c>
      <c r="E541" s="12" t="s">
        <v>5932</v>
      </c>
      <c r="F541" s="12" t="s">
        <v>5839</v>
      </c>
      <c r="G541" s="12"/>
    </row>
    <row r="542" spans="1:7">
      <c r="A542" s="8" t="s">
        <v>6402</v>
      </c>
      <c r="B542" s="9">
        <f>COUNTIF(実績!$R$5:$R$1474,A542)</f>
        <v>1</v>
      </c>
      <c r="C542" s="9">
        <f>COUNTIF(実績!$W$5:$W$1474,A542)</f>
        <v>0</v>
      </c>
      <c r="D542" s="9">
        <f>COUNTIF(実績!$AB$5:$AC$1474,A542)</f>
        <v>0</v>
      </c>
      <c r="E542" s="12" t="s">
        <v>6404</v>
      </c>
      <c r="F542" s="12"/>
      <c r="G542" s="12"/>
    </row>
    <row r="543" spans="1:7">
      <c r="A543" s="8" t="s">
        <v>10917</v>
      </c>
      <c r="B543" s="9">
        <f>COUNTIF(実績!$R$5:$R$1474,A543)</f>
        <v>0</v>
      </c>
      <c r="C543" s="9">
        <f>COUNTIF(実績!$W$5:$W$1474,A543)</f>
        <v>0</v>
      </c>
      <c r="D543" s="9">
        <f>COUNTIF(実績!$AB$5:$AC$1474,A543)</f>
        <v>1</v>
      </c>
      <c r="E543" s="12" t="s">
        <v>10918</v>
      </c>
      <c r="F543" s="12"/>
      <c r="G543" s="12"/>
    </row>
    <row r="544" spans="1:7">
      <c r="A544" s="8" t="s">
        <v>654</v>
      </c>
      <c r="B544" s="9">
        <f>COUNTIF(実績!$R$5:$R$1474,A544)</f>
        <v>0</v>
      </c>
      <c r="C544" s="9">
        <f>COUNTIF(実績!$W$5:$W$1474,A544)</f>
        <v>2</v>
      </c>
      <c r="D544" s="9">
        <f>COUNTIF(実績!$AB$5:$AC$1474,A544)</f>
        <v>0</v>
      </c>
      <c r="E544" s="12" t="s">
        <v>1174</v>
      </c>
      <c r="F544" s="12"/>
      <c r="G544" s="12"/>
    </row>
    <row r="545" spans="1:7">
      <c r="A545" s="8" t="s">
        <v>1081</v>
      </c>
      <c r="B545" s="9">
        <f>COUNTIF(実績!$R$5:$R$1474,A545)</f>
        <v>0</v>
      </c>
      <c r="C545" s="9">
        <f>COUNTIF(実績!$W$5:$W$1474,A545)</f>
        <v>1</v>
      </c>
      <c r="D545" s="9">
        <f>COUNTIF(実績!$AB$5:$AC$1474,A545)</f>
        <v>0</v>
      </c>
      <c r="E545" s="12" t="s">
        <v>1175</v>
      </c>
      <c r="F545" s="12"/>
      <c r="G545" s="12"/>
    </row>
    <row r="546" spans="1:7">
      <c r="A546" s="8" t="s">
        <v>762</v>
      </c>
      <c r="B546" s="9">
        <f>COUNTIF(実績!$R$5:$R$1474,A546)</f>
        <v>0</v>
      </c>
      <c r="C546" s="9">
        <f>COUNTIF(実績!$W$5:$W$1474,A546)</f>
        <v>1</v>
      </c>
      <c r="D546" s="9">
        <f>COUNTIF(実績!$AB$5:$AC$1474,A546)</f>
        <v>0</v>
      </c>
      <c r="E546" s="12" t="s">
        <v>1280</v>
      </c>
      <c r="F546" s="12"/>
      <c r="G546" s="12"/>
    </row>
    <row r="547" spans="1:7">
      <c r="A547" s="8" t="s">
        <v>555</v>
      </c>
      <c r="B547" s="9">
        <f>COUNTIF(実績!$R$5:$R$1474,A547)</f>
        <v>0</v>
      </c>
      <c r="C547" s="9">
        <f>COUNTIF(実績!$W$5:$W$1474,A547)</f>
        <v>1</v>
      </c>
      <c r="D547" s="9">
        <f>COUNTIF(実績!$AB$5:$AC$1474,A547)</f>
        <v>0</v>
      </c>
      <c r="E547" s="12" t="s">
        <v>1176</v>
      </c>
      <c r="F547" s="12"/>
      <c r="G547" s="12"/>
    </row>
    <row r="548" spans="1:7">
      <c r="A548" s="8" t="s">
        <v>10561</v>
      </c>
      <c r="B548" s="9">
        <f>COUNTIF(実績!$R$5:$R$1474,A548)</f>
        <v>0</v>
      </c>
      <c r="C548" s="9">
        <f>COUNTIF(実績!$W$5:$W$1474,A548)</f>
        <v>1</v>
      </c>
      <c r="D548" s="9">
        <f>COUNTIF(実績!$AB$5:$AC$1474,A548)</f>
        <v>0</v>
      </c>
      <c r="E548" s="12" t="s">
        <v>10511</v>
      </c>
      <c r="F548" s="12"/>
      <c r="G548" s="12"/>
    </row>
    <row r="549" spans="1:7">
      <c r="A549" s="8" t="s">
        <v>641</v>
      </c>
      <c r="B549" s="9">
        <f>COUNTIF(実績!$R$5:$R$1474,A549)</f>
        <v>2</v>
      </c>
      <c r="C549" s="9">
        <f>COUNTIF(実績!$W$5:$W$1474,A549)</f>
        <v>0</v>
      </c>
      <c r="D549" s="9">
        <f>COUNTIF(実績!$AB$5:$AC$1474,A549)</f>
        <v>0</v>
      </c>
      <c r="E549" s="12" t="s">
        <v>1344</v>
      </c>
      <c r="F549" s="12"/>
      <c r="G549" s="12"/>
    </row>
    <row r="550" spans="1:7">
      <c r="A550" s="8" t="s">
        <v>986</v>
      </c>
      <c r="B550" s="9">
        <f>COUNTIF(実績!$R$5:$R$1474,A550)</f>
        <v>3</v>
      </c>
      <c r="C550" s="9">
        <f>COUNTIF(実績!$W$5:$W$1474,A550)</f>
        <v>0</v>
      </c>
      <c r="D550" s="9">
        <f>COUNTIF(実績!$AB$5:$AC$1474,A550)</f>
        <v>0</v>
      </c>
      <c r="E550" s="12" t="s">
        <v>1177</v>
      </c>
      <c r="F550" s="12"/>
      <c r="G550" s="12"/>
    </row>
    <row r="551" spans="1:7">
      <c r="A551" s="8" t="s">
        <v>10270</v>
      </c>
      <c r="B551" s="9">
        <f>COUNTIF(実績!$R$5:$R$1474,A551)</f>
        <v>0</v>
      </c>
      <c r="C551" s="9">
        <f>COUNTIF(実績!$W$5:$W$1474,A551)</f>
        <v>0</v>
      </c>
      <c r="D551" s="9">
        <f>COUNTIF(実績!$AB$5:$AC$1474,A551)</f>
        <v>1</v>
      </c>
      <c r="E551" s="12" t="s">
        <v>10271</v>
      </c>
      <c r="F551" s="12"/>
      <c r="G551" s="12"/>
    </row>
    <row r="552" spans="1:7">
      <c r="A552" s="8" t="s">
        <v>13741</v>
      </c>
      <c r="B552" s="9">
        <f>COUNTIF(実績!$R$5:$R$1474,A552)</f>
        <v>1</v>
      </c>
      <c r="C552" s="9">
        <f>COUNTIF(実績!$W$5:$W$1474,A552)</f>
        <v>0</v>
      </c>
      <c r="D552" s="9">
        <f>COUNTIF(実績!$AB$5:$AC$1474,A552)</f>
        <v>0</v>
      </c>
      <c r="E552" s="12" t="s">
        <v>13742</v>
      </c>
      <c r="F552" s="12"/>
      <c r="G552" s="12"/>
    </row>
    <row r="553" spans="1:7">
      <c r="A553" s="8" t="s">
        <v>517</v>
      </c>
      <c r="B553" s="9">
        <f>COUNTIF(実績!$R$5:$R$1474,A553)</f>
        <v>1</v>
      </c>
      <c r="C553" s="9">
        <f>COUNTIF(実績!$W$5:$W$1474,A553)</f>
        <v>0</v>
      </c>
      <c r="D553" s="9">
        <f>COUNTIF(実績!$AB$5:$AC$1474,A553)</f>
        <v>0</v>
      </c>
      <c r="E553" s="12" t="s">
        <v>1269</v>
      </c>
      <c r="F553" s="12"/>
      <c r="G553" s="12"/>
    </row>
    <row r="554" spans="1:7">
      <c r="A554" s="8" t="s">
        <v>681</v>
      </c>
      <c r="B554" s="9">
        <f>COUNTIF(実績!$R$5:$R$1474,A554)</f>
        <v>1</v>
      </c>
      <c r="C554" s="9">
        <f>COUNTIF(実績!$W$5:$W$1474,A554)</f>
        <v>0</v>
      </c>
      <c r="D554" s="9">
        <f>COUNTIF(実績!$AB$5:$AC$1474,A554)</f>
        <v>0</v>
      </c>
      <c r="E554" s="12" t="s">
        <v>1178</v>
      </c>
      <c r="F554" s="12"/>
      <c r="G554" s="12"/>
    </row>
    <row r="555" spans="1:7">
      <c r="A555" s="8" t="s">
        <v>10000</v>
      </c>
      <c r="B555" s="9">
        <f>COUNTIF(実績!$R$5:$R$1474,A555)</f>
        <v>0</v>
      </c>
      <c r="C555" s="9">
        <f>COUNTIF(実績!$W$5:$W$1474,A555)</f>
        <v>1</v>
      </c>
      <c r="D555" s="9">
        <f>COUNTIF(実績!$AB$5:$AC$1474,A555)</f>
        <v>0</v>
      </c>
      <c r="E555" s="12" t="s">
        <v>10001</v>
      </c>
      <c r="F555" s="12"/>
      <c r="G555" s="12"/>
    </row>
    <row r="556" spans="1:7">
      <c r="A556" s="8" t="s">
        <v>15065</v>
      </c>
      <c r="B556" s="9">
        <f>COUNTIF(実績!$R$5:$R$1474,A556)</f>
        <v>0</v>
      </c>
      <c r="C556" s="9">
        <f>COUNTIF(実績!$W$5:$W$1474,A556)</f>
        <v>0</v>
      </c>
      <c r="D556" s="9">
        <f>COUNTIF(実績!$AB$5:$AC$1474,A556)</f>
        <v>1</v>
      </c>
      <c r="E556" s="12" t="s">
        <v>15066</v>
      </c>
      <c r="F556" s="12"/>
      <c r="G556" s="12"/>
    </row>
    <row r="557" spans="1:7">
      <c r="A557" s="8" t="s">
        <v>590</v>
      </c>
      <c r="B557" s="9">
        <f>COUNTIF(実績!$R$5:$R$1474,A557)</f>
        <v>1</v>
      </c>
      <c r="C557" s="9">
        <f>COUNTIF(実績!$W$5:$W$1474,A557)</f>
        <v>0</v>
      </c>
      <c r="D557" s="9">
        <f>COUNTIF(実績!$AB$5:$AC$1474,A557)</f>
        <v>0</v>
      </c>
      <c r="E557" s="12" t="s">
        <v>1328</v>
      </c>
      <c r="F557" s="12"/>
      <c r="G557" s="12"/>
    </row>
    <row r="558" spans="1:7">
      <c r="A558" s="8" t="s">
        <v>6978</v>
      </c>
      <c r="B558" s="9">
        <f>COUNTIF(実績!$R$5:$R$1474,A558)</f>
        <v>1</v>
      </c>
      <c r="C558" s="9">
        <f>COUNTIF(実績!$W$5:$W$1474,A558)</f>
        <v>1</v>
      </c>
      <c r="D558" s="9">
        <f>COUNTIF(実績!$AB$5:$AC$1474,A558)</f>
        <v>0</v>
      </c>
      <c r="E558" s="12" t="s">
        <v>6979</v>
      </c>
      <c r="F558" s="12" t="s">
        <v>5839</v>
      </c>
      <c r="G558" s="12" t="s">
        <v>5839</v>
      </c>
    </row>
    <row r="559" spans="1:7">
      <c r="A559" s="8" t="s">
        <v>8444</v>
      </c>
      <c r="B559" s="9">
        <f>COUNTIF(実績!$R$5:$R$1474,A559)</f>
        <v>1</v>
      </c>
      <c r="C559" s="9">
        <f>COUNTIF(実績!$W$5:$W$1474,A559)</f>
        <v>1</v>
      </c>
      <c r="D559" s="9">
        <f>COUNTIF(実績!$AB$5:$AC$1474,A559)</f>
        <v>0</v>
      </c>
      <c r="E559" s="12" t="s">
        <v>8445</v>
      </c>
      <c r="F559" s="12" t="s">
        <v>5839</v>
      </c>
      <c r="G559" s="12" t="s">
        <v>5839</v>
      </c>
    </row>
    <row r="560" spans="1:7">
      <c r="A560" s="8" t="s">
        <v>4366</v>
      </c>
      <c r="B560" s="9">
        <f>COUNTIF(実績!$R$5:$R$1474,A560)</f>
        <v>1</v>
      </c>
      <c r="C560" s="9">
        <f>COUNTIF(実績!$W$5:$W$1474,A560)</f>
        <v>0</v>
      </c>
      <c r="D560" s="9">
        <f>COUNTIF(実績!$AB$5:$AC$1474,A560)</f>
        <v>0</v>
      </c>
      <c r="E560" s="12" t="s">
        <v>4367</v>
      </c>
      <c r="F560" s="12"/>
      <c r="G560" s="12"/>
    </row>
    <row r="561" spans="1:7">
      <c r="A561" s="13" t="s">
        <v>1412</v>
      </c>
      <c r="B561" s="9">
        <f>COUNTIF(実績!$R$5:$R$1474,A561)</f>
        <v>0</v>
      </c>
      <c r="C561" s="9">
        <f>COUNTIF(実績!$W$5:$W$1474,A561)</f>
        <v>1</v>
      </c>
      <c r="D561" s="9">
        <f>COUNTIF(実績!$AB$5:$AC$1474,A561)</f>
        <v>0</v>
      </c>
      <c r="E561" s="12" t="s">
        <v>1413</v>
      </c>
      <c r="F561" s="12"/>
      <c r="G561" s="12"/>
    </row>
    <row r="562" spans="1:7">
      <c r="A562" s="8" t="s">
        <v>735</v>
      </c>
      <c r="B562" s="9">
        <f>COUNTIF(実績!$R$5:$R$1474,A562)</f>
        <v>0</v>
      </c>
      <c r="C562" s="9">
        <f>COUNTIF(実績!$W$5:$W$1474,A562)</f>
        <v>2</v>
      </c>
      <c r="D562" s="9">
        <f>COUNTIF(実績!$AB$5:$AC$1474,A562)</f>
        <v>0</v>
      </c>
      <c r="E562" s="12" t="s">
        <v>1179</v>
      </c>
      <c r="F562" s="12"/>
      <c r="G562" s="12"/>
    </row>
    <row r="563" spans="1:7">
      <c r="A563" s="8" t="s">
        <v>3472</v>
      </c>
      <c r="B563" s="9">
        <f>COUNTIF(実績!$R$5:$R$1474,A563)</f>
        <v>0</v>
      </c>
      <c r="C563" s="9">
        <f>COUNTIF(実績!$W$5:$W$1474,A563)</f>
        <v>1</v>
      </c>
      <c r="D563" s="9">
        <f>COUNTIF(実績!$AB$5:$AC$1474,A563)</f>
        <v>0</v>
      </c>
      <c r="E563" s="12" t="s">
        <v>3473</v>
      </c>
      <c r="F563" s="12"/>
      <c r="G563" s="12"/>
    </row>
    <row r="564" spans="1:7">
      <c r="A564" s="13" t="s">
        <v>1393</v>
      </c>
      <c r="B564" s="9">
        <f>COUNTIF(実績!$R$5:$R$1474,A564)</f>
        <v>0</v>
      </c>
      <c r="C564" s="9">
        <f>COUNTIF(実績!$W$5:$W$1474,A564)</f>
        <v>1</v>
      </c>
      <c r="D564" s="9">
        <f>COUNTIF(実績!$AB$5:$AC$1474,A564)</f>
        <v>0</v>
      </c>
      <c r="E564" s="12" t="s">
        <v>1394</v>
      </c>
      <c r="F564" s="12"/>
      <c r="G564" s="12"/>
    </row>
    <row r="565" spans="1:7">
      <c r="A565" s="8" t="s">
        <v>2280</v>
      </c>
      <c r="B565" s="9">
        <f>COUNTIF(実績!$R$5:$R$1474,A565)</f>
        <v>7</v>
      </c>
      <c r="C565" s="9">
        <f>COUNTIF(実績!$W$5:$W$1474,A565)</f>
        <v>0</v>
      </c>
      <c r="D565" s="9">
        <f>COUNTIF(実績!$AB$5:$AC$1474,A565)</f>
        <v>0</v>
      </c>
      <c r="E565" s="12" t="s">
        <v>2281</v>
      </c>
      <c r="F565" s="12"/>
      <c r="G565" s="12"/>
    </row>
    <row r="566" spans="1:7">
      <c r="A566" s="8" t="s">
        <v>588</v>
      </c>
      <c r="B566" s="9">
        <f>COUNTIF(実績!$R$5:$R$1474,A566)</f>
        <v>1</v>
      </c>
      <c r="C566" s="9">
        <f>COUNTIF(実績!$W$5:$W$1474,A566)</f>
        <v>0</v>
      </c>
      <c r="D566" s="9">
        <f>COUNTIF(実績!$AB$5:$AC$1474,A566)</f>
        <v>0</v>
      </c>
      <c r="E566" s="12" t="s">
        <v>1341</v>
      </c>
      <c r="F566" s="12"/>
      <c r="G566" s="12"/>
    </row>
    <row r="567" spans="1:7">
      <c r="A567" s="8" t="s">
        <v>9342</v>
      </c>
      <c r="B567" s="9">
        <f>COUNTIF(実績!$R$5:$R$1474,A567)</f>
        <v>0</v>
      </c>
      <c r="C567" s="9">
        <f>COUNTIF(実績!$W$5:$W$1474,A567)</f>
        <v>1</v>
      </c>
      <c r="D567" s="9">
        <f>COUNTIF(実績!$AB$5:$AC$1474,A567)</f>
        <v>0</v>
      </c>
      <c r="E567" s="12" t="s">
        <v>9343</v>
      </c>
      <c r="F567" s="12" t="s">
        <v>5839</v>
      </c>
      <c r="G567" s="12" t="s">
        <v>5839</v>
      </c>
    </row>
    <row r="568" spans="1:7">
      <c r="A568" s="8" t="s">
        <v>5398</v>
      </c>
      <c r="B568" s="9">
        <f>COUNTIF(実績!$R$5:$R$1474,A568)</f>
        <v>1</v>
      </c>
      <c r="C568" s="9">
        <f>COUNTIF(実績!$W$5:$W$1474,A568)</f>
        <v>0</v>
      </c>
      <c r="D568" s="9">
        <f>COUNTIF(実績!$AB$5:$AC$1474,A568)</f>
        <v>0</v>
      </c>
      <c r="E568" s="12" t="s">
        <v>5399</v>
      </c>
      <c r="F568" s="12"/>
      <c r="G568" s="12"/>
    </row>
    <row r="569" spans="1:7">
      <c r="A569" s="8" t="s">
        <v>8312</v>
      </c>
      <c r="B569" s="9">
        <f>COUNTIF(実績!$R$5:$R$1474,A569)</f>
        <v>1</v>
      </c>
      <c r="C569" s="9">
        <f>COUNTIF(実績!$W$5:$W$1474,A569)</f>
        <v>0</v>
      </c>
      <c r="D569" s="9">
        <f>COUNTIF(実績!$AB$5:$AC$1474,A569)</f>
        <v>0</v>
      </c>
      <c r="E569" s="12" t="s">
        <v>8313</v>
      </c>
      <c r="F569" s="12" t="s">
        <v>5839</v>
      </c>
      <c r="G569" s="12" t="s">
        <v>5839</v>
      </c>
    </row>
    <row r="570" spans="1:7">
      <c r="A570" s="8" t="s">
        <v>4825</v>
      </c>
      <c r="B570" s="9">
        <f>COUNTIF(実績!$R$5:$R$1474,A570)</f>
        <v>3</v>
      </c>
      <c r="C570" s="9">
        <f>COUNTIF(実績!$W$5:$W$1474,A570)</f>
        <v>0</v>
      </c>
      <c r="D570" s="9">
        <f>COUNTIF(実績!$AB$5:$AC$1474,A570)</f>
        <v>0</v>
      </c>
      <c r="E570" s="12" t="s">
        <v>4826</v>
      </c>
      <c r="F570" s="12"/>
      <c r="G570" s="12"/>
    </row>
    <row r="571" spans="1:7">
      <c r="A571" s="8" t="s">
        <v>5319</v>
      </c>
      <c r="B571" s="9">
        <f>COUNTIF(実績!$R$5:$R$1474,A571)</f>
        <v>0</v>
      </c>
      <c r="C571" s="9">
        <f>COUNTIF(実績!$W$5:$W$1474,A571)</f>
        <v>1</v>
      </c>
      <c r="D571" s="9">
        <f>COUNTIF(実績!$AB$5:$AC$1474,A571)</f>
        <v>0</v>
      </c>
      <c r="E571" s="12" t="s">
        <v>5320</v>
      </c>
      <c r="F571" s="12"/>
      <c r="G571" s="12"/>
    </row>
    <row r="572" spans="1:7">
      <c r="A572" s="8" t="s">
        <v>5630</v>
      </c>
      <c r="B572" s="9">
        <f>COUNTIF(実績!$R$5:$R$1474,A572)</f>
        <v>1</v>
      </c>
      <c r="C572" s="9">
        <f>COUNTIF(実績!$W$5:$W$1474,A572)</f>
        <v>1</v>
      </c>
      <c r="D572" s="9">
        <f>COUNTIF(実績!$AB$5:$AC$1474,A572)</f>
        <v>0</v>
      </c>
      <c r="E572" s="12" t="s">
        <v>4818</v>
      </c>
      <c r="F572" s="12"/>
      <c r="G572" s="12"/>
    </row>
    <row r="573" spans="1:7">
      <c r="A573" s="8" t="s">
        <v>3970</v>
      </c>
      <c r="B573" s="9">
        <f>COUNTIF(実績!$R$5:$R$1474,A573)</f>
        <v>0</v>
      </c>
      <c r="C573" s="9">
        <f>COUNTIF(実績!$W$5:$W$1474,A573)</f>
        <v>0</v>
      </c>
      <c r="D573" s="9">
        <f>COUNTIF(実績!$AB$5:$AC$1474,A573)</f>
        <v>1</v>
      </c>
      <c r="E573" s="12" t="s">
        <v>3971</v>
      </c>
      <c r="F573" s="12"/>
      <c r="G573" s="12"/>
    </row>
    <row r="574" spans="1:7">
      <c r="A574" s="8" t="s">
        <v>1684</v>
      </c>
      <c r="B574" s="9">
        <f>COUNTIF(実績!$R$5:$R$1474,A574)</f>
        <v>0</v>
      </c>
      <c r="C574" s="9">
        <f>COUNTIF(実績!$W$5:$W$1474,A574)</f>
        <v>9</v>
      </c>
      <c r="D574" s="9">
        <f>COUNTIF(実績!$AB$5:$AC$1474,A574)</f>
        <v>0</v>
      </c>
      <c r="E574" s="12" t="s">
        <v>1685</v>
      </c>
      <c r="F574" s="12"/>
      <c r="G574" s="12"/>
    </row>
    <row r="575" spans="1:7">
      <c r="A575" s="8" t="s">
        <v>3746</v>
      </c>
      <c r="B575" s="9">
        <f>COUNTIF(実績!$R$5:$R$1474,A575)</f>
        <v>0</v>
      </c>
      <c r="C575" s="9">
        <f>COUNTIF(実績!$W$5:$W$1474,A575)</f>
        <v>1</v>
      </c>
      <c r="D575" s="9">
        <f>COUNTIF(実績!$AB$5:$AC$1474,A575)</f>
        <v>0</v>
      </c>
      <c r="E575" s="12" t="s">
        <v>3747</v>
      </c>
      <c r="F575" s="12"/>
      <c r="G575" s="12"/>
    </row>
    <row r="576" spans="1:7">
      <c r="A576" s="8" t="s">
        <v>506</v>
      </c>
      <c r="B576" s="9">
        <f>COUNTIF(実績!$R$5:$R$1474,A576)</f>
        <v>1</v>
      </c>
      <c r="C576" s="9">
        <f>COUNTIF(実績!$W$5:$W$1474,A576)</f>
        <v>0</v>
      </c>
      <c r="D576" s="9">
        <f>COUNTIF(実績!$AB$5:$AC$1474,A576)</f>
        <v>0</v>
      </c>
      <c r="E576" s="12" t="s">
        <v>1332</v>
      </c>
      <c r="F576" s="12"/>
      <c r="G576" s="12"/>
    </row>
    <row r="577" spans="1:7">
      <c r="A577" s="8" t="s">
        <v>2856</v>
      </c>
      <c r="B577" s="9">
        <f>COUNTIF(実績!$R$5:$R$1474,A577)</f>
        <v>1</v>
      </c>
      <c r="C577" s="9">
        <f>COUNTIF(実績!$W$5:$W$1474,A577)</f>
        <v>0</v>
      </c>
      <c r="D577" s="9">
        <f>COUNTIF(実績!$AB$5:$AC$1474,A577)</f>
        <v>0</v>
      </c>
      <c r="E577" s="12" t="s">
        <v>2857</v>
      </c>
      <c r="F577" s="12"/>
      <c r="G577" s="12"/>
    </row>
    <row r="578" spans="1:7">
      <c r="A578" s="8" t="s">
        <v>4335</v>
      </c>
      <c r="B578" s="9">
        <f>COUNTIF(実績!$R$5:$R$1474,A578)</f>
        <v>0</v>
      </c>
      <c r="C578" s="9">
        <f>COUNTIF(実績!$W$5:$W$1474,A578)</f>
        <v>0</v>
      </c>
      <c r="D578" s="9">
        <f>COUNTIF(実績!$AB$5:$AC$1474,A578)</f>
        <v>1</v>
      </c>
      <c r="E578" s="12" t="s">
        <v>4336</v>
      </c>
      <c r="F578" s="12"/>
      <c r="G578" s="12"/>
    </row>
    <row r="579" spans="1:7">
      <c r="A579" s="8" t="s">
        <v>663</v>
      </c>
      <c r="B579" s="9">
        <f>COUNTIF(実績!$R$5:$R$1474,A579)</f>
        <v>5</v>
      </c>
      <c r="C579" s="9">
        <f>COUNTIF(実績!$W$5:$W$1474,A579)</f>
        <v>0</v>
      </c>
      <c r="D579" s="9">
        <f>COUNTIF(実績!$AB$5:$AC$1474,A579)</f>
        <v>0</v>
      </c>
      <c r="E579" s="12" t="s">
        <v>1329</v>
      </c>
      <c r="F579" s="12" t="s">
        <v>6497</v>
      </c>
      <c r="G579" s="12"/>
    </row>
    <row r="580" spans="1:7">
      <c r="A580" s="8" t="s">
        <v>5354</v>
      </c>
      <c r="B580" s="9">
        <f>COUNTIF(実績!$R$5:$R$1474,A580)</f>
        <v>0</v>
      </c>
      <c r="C580" s="9">
        <f>COUNTIF(実績!$W$5:$W$1474,A580)</f>
        <v>1</v>
      </c>
      <c r="D580" s="9">
        <f>COUNTIF(実績!$AB$5:$AC$1474,A580)</f>
        <v>0</v>
      </c>
      <c r="E580" s="12" t="s">
        <v>5355</v>
      </c>
      <c r="F580" s="12"/>
      <c r="G580" s="12"/>
    </row>
    <row r="581" spans="1:7">
      <c r="A581" s="8" t="s">
        <v>6453</v>
      </c>
      <c r="B581" s="9">
        <f>COUNTIF(実績!$R$5:$R$1474,A581)</f>
        <v>0</v>
      </c>
      <c r="C581" s="9">
        <f>COUNTIF(実績!$W$5:$W$1474,A581)</f>
        <v>1</v>
      </c>
      <c r="D581" s="9">
        <f>COUNTIF(実績!$AB$5:$AC$1474,A581)</f>
        <v>0</v>
      </c>
      <c r="E581" s="12" t="s">
        <v>6454</v>
      </c>
      <c r="F581" s="12" t="s">
        <v>5839</v>
      </c>
      <c r="G581" s="12" t="s">
        <v>5839</v>
      </c>
    </row>
    <row r="582" spans="1:7">
      <c r="A582" s="8" t="s">
        <v>2734</v>
      </c>
      <c r="B582" s="9">
        <f>COUNTIF(実績!$R$5:$R$1474,A582)</f>
        <v>0</v>
      </c>
      <c r="C582" s="9">
        <f>COUNTIF(実績!$W$5:$W$1474,A582)</f>
        <v>4</v>
      </c>
      <c r="D582" s="9">
        <f>COUNTIF(実績!$AB$5:$AC$1474,A582)</f>
        <v>0</v>
      </c>
      <c r="E582" s="12" t="s">
        <v>2735</v>
      </c>
      <c r="F582" s="12"/>
      <c r="G582" s="12"/>
    </row>
    <row r="583" spans="1:7">
      <c r="A583" s="8" t="s">
        <v>6957</v>
      </c>
      <c r="B583" s="9">
        <f>COUNTIF(実績!$R$5:$R$1474,A583)</f>
        <v>0</v>
      </c>
      <c r="C583" s="9">
        <f>COUNTIF(実績!$W$5:$W$1474,A583)</f>
        <v>1</v>
      </c>
      <c r="D583" s="9">
        <f>COUNTIF(実績!$AB$5:$AC$1474,A583)</f>
        <v>0</v>
      </c>
      <c r="E583" s="12" t="s">
        <v>6958</v>
      </c>
      <c r="F583" s="12" t="s">
        <v>5839</v>
      </c>
      <c r="G583" s="12" t="s">
        <v>5839</v>
      </c>
    </row>
    <row r="584" spans="1:7">
      <c r="A584" s="8" t="s">
        <v>8642</v>
      </c>
      <c r="B584" s="9">
        <f>COUNTIF(実績!$R$5:$R$1474,A584)</f>
        <v>0</v>
      </c>
      <c r="C584" s="9">
        <f>COUNTIF(実績!$W$5:$W$1474,A584)</f>
        <v>1</v>
      </c>
      <c r="D584" s="9">
        <f>COUNTIF(実績!$AB$5:$AC$1474,A584)</f>
        <v>0</v>
      </c>
      <c r="E584" s="12" t="s">
        <v>8643</v>
      </c>
      <c r="F584" s="12" t="s">
        <v>5839</v>
      </c>
      <c r="G584" s="12" t="s">
        <v>5839</v>
      </c>
    </row>
    <row r="585" spans="1:7">
      <c r="A585" s="8" t="s">
        <v>5706</v>
      </c>
      <c r="B585" s="9">
        <f>COUNTIF(実績!$R$5:$R$1474,A585)</f>
        <v>1</v>
      </c>
      <c r="C585" s="9">
        <f>COUNTIF(実績!$W$5:$W$1474,A585)</f>
        <v>0</v>
      </c>
      <c r="D585" s="9">
        <f>COUNTIF(実績!$AB$5:$AC$1474,A585)</f>
        <v>0</v>
      </c>
      <c r="E585" s="12" t="s">
        <v>5707</v>
      </c>
      <c r="F585" s="12"/>
      <c r="G585" s="12"/>
    </row>
    <row r="586" spans="1:7">
      <c r="A586" s="8" t="s">
        <v>15592</v>
      </c>
      <c r="B586" s="9">
        <f>COUNTIF(実績!$R$5:$R$1474,A586)</f>
        <v>0</v>
      </c>
      <c r="C586" s="9">
        <f>COUNTIF(実績!$W$5:$W$1474,A586)</f>
        <v>1</v>
      </c>
      <c r="D586" s="9">
        <f>COUNTIF(実績!$AB$5:$AC$1474,A586)</f>
        <v>0</v>
      </c>
      <c r="E586" s="12" t="s">
        <v>15593</v>
      </c>
      <c r="F586" s="12"/>
      <c r="G586" s="12"/>
    </row>
    <row r="587" spans="1:7">
      <c r="A587" s="8" t="s">
        <v>6460</v>
      </c>
      <c r="B587" s="9">
        <f>COUNTIF(実績!$R$5:$R$1474,A587)</f>
        <v>0</v>
      </c>
      <c r="C587" s="9">
        <f>COUNTIF(実績!$W$5:$W$1474,A587)</f>
        <v>1</v>
      </c>
      <c r="D587" s="9">
        <f>COUNTIF(実績!$AB$5:$AC$1474,A587)</f>
        <v>0</v>
      </c>
      <c r="E587" s="12" t="s">
        <v>6461</v>
      </c>
      <c r="F587" s="12" t="s">
        <v>5839</v>
      </c>
      <c r="G587" s="12" t="s">
        <v>5839</v>
      </c>
    </row>
    <row r="588" spans="1:7">
      <c r="A588" s="8" t="s">
        <v>4011</v>
      </c>
      <c r="B588" s="9">
        <f>COUNTIF(実績!$R$5:$R$1474,A588)</f>
        <v>0</v>
      </c>
      <c r="C588" s="9">
        <f>COUNTIF(実績!$W$5:$W$1474,A588)</f>
        <v>1</v>
      </c>
      <c r="D588" s="9">
        <f>COUNTIF(実績!$AB$5:$AC$1474,A588)</f>
        <v>0</v>
      </c>
      <c r="E588" s="12" t="s">
        <v>4012</v>
      </c>
      <c r="F588" s="12"/>
      <c r="G588" s="12"/>
    </row>
    <row r="589" spans="1:7">
      <c r="A589" s="8" t="s">
        <v>6376</v>
      </c>
      <c r="B589" s="9">
        <f>COUNTIF(実績!$R$5:$R$1474,A589)</f>
        <v>1</v>
      </c>
      <c r="C589" s="9">
        <f>COUNTIF(実績!$W$5:$W$1474,A589)</f>
        <v>0</v>
      </c>
      <c r="D589" s="9">
        <f>COUNTIF(実績!$AB$5:$AC$1474,A589)</f>
        <v>0</v>
      </c>
      <c r="E589" s="12" t="s">
        <v>6377</v>
      </c>
      <c r="F589" s="12" t="s">
        <v>5839</v>
      </c>
      <c r="G589" s="12"/>
    </row>
    <row r="590" spans="1:7">
      <c r="A590" s="8" t="s">
        <v>6366</v>
      </c>
      <c r="B590" s="9">
        <f>COUNTIF(実績!$R$5:$R$1474,A590)</f>
        <v>0</v>
      </c>
      <c r="C590" s="9">
        <f>COUNTIF(実績!$W$5:$W$1474,A590)</f>
        <v>1</v>
      </c>
      <c r="D590" s="9">
        <f>COUNTIF(実績!$AB$5:$AC$1474,A590)</f>
        <v>0</v>
      </c>
      <c r="E590" s="12" t="s">
        <v>6367</v>
      </c>
      <c r="F590" s="12" t="s">
        <v>5839</v>
      </c>
      <c r="G590" s="12"/>
    </row>
    <row r="591" spans="1:7">
      <c r="A591" s="13" t="s">
        <v>1658</v>
      </c>
      <c r="B591" s="9">
        <f>COUNTIF(実績!$R$5:$R$1474,A591)</f>
        <v>1</v>
      </c>
      <c r="C591" s="9">
        <f>COUNTIF(実績!$W$5:$W$1474,A591)</f>
        <v>0</v>
      </c>
      <c r="D591" s="9">
        <f>COUNTIF(実績!$AB$5:$AC$1474,A591)</f>
        <v>0</v>
      </c>
      <c r="E591" s="12" t="s">
        <v>1659</v>
      </c>
      <c r="F591" s="12"/>
      <c r="G591" s="12"/>
    </row>
    <row r="592" spans="1:7">
      <c r="A592" s="8" t="s">
        <v>1080</v>
      </c>
      <c r="B592" s="9">
        <f>COUNTIF(実績!$R$5:$R$1474,A592)</f>
        <v>0</v>
      </c>
      <c r="C592" s="9">
        <f>COUNTIF(実績!$W$5:$W$1474,A592)</f>
        <v>1</v>
      </c>
      <c r="D592" s="9">
        <f>COUNTIF(実績!$AB$5:$AC$1474,A592)</f>
        <v>0</v>
      </c>
      <c r="E592" s="12" t="s">
        <v>1180</v>
      </c>
      <c r="F592" s="12"/>
      <c r="G592" s="12"/>
    </row>
    <row r="593" spans="1:7">
      <c r="A593" s="8" t="s">
        <v>1015</v>
      </c>
      <c r="B593" s="9">
        <f>COUNTIF(実績!$R$5:$R$1474,A593)</f>
        <v>1</v>
      </c>
      <c r="C593" s="9">
        <f>COUNTIF(実績!$W$5:$W$1474,A593)</f>
        <v>0</v>
      </c>
      <c r="D593" s="9">
        <f>COUNTIF(実績!$AB$5:$AC$1474,A593)</f>
        <v>0</v>
      </c>
      <c r="E593" s="12" t="s">
        <v>1270</v>
      </c>
      <c r="F593" s="12"/>
      <c r="G593" s="12"/>
    </row>
    <row r="594" spans="1:7">
      <c r="A594" s="8" t="s">
        <v>6299</v>
      </c>
      <c r="B594" s="9">
        <f>COUNTIF(実績!$R$5:$R$1474,A594)</f>
        <v>0</v>
      </c>
      <c r="C594" s="9">
        <f>COUNTIF(実績!$W$5:$W$1474,A594)</f>
        <v>1</v>
      </c>
      <c r="D594" s="9">
        <f>COUNTIF(実績!$AB$5:$AC$1474,A594)</f>
        <v>0</v>
      </c>
      <c r="E594" s="12" t="s">
        <v>6300</v>
      </c>
      <c r="F594" s="12" t="s">
        <v>5839</v>
      </c>
      <c r="G594" s="12"/>
    </row>
    <row r="595" spans="1:7">
      <c r="A595" s="8" t="s">
        <v>9579</v>
      </c>
      <c r="B595" s="9">
        <f>COUNTIF(実績!$R$5:$R$1474,A595)</f>
        <v>0</v>
      </c>
      <c r="C595" s="9">
        <f>COUNTIF(実績!$W$5:$W$1474,A595)</f>
        <v>1</v>
      </c>
      <c r="D595" s="9">
        <f>COUNTIF(実績!$AB$5:$AC$1474,A595)</f>
        <v>0</v>
      </c>
      <c r="E595" s="12" t="s">
        <v>9580</v>
      </c>
      <c r="F595" s="12" t="s">
        <v>5839</v>
      </c>
      <c r="G595" s="12" t="s">
        <v>5839</v>
      </c>
    </row>
    <row r="596" spans="1:7">
      <c r="A596" s="8" t="s">
        <v>10904</v>
      </c>
      <c r="B596" s="9">
        <f>COUNTIF(実績!$R$5:$R$1474,A596)</f>
        <v>0</v>
      </c>
      <c r="C596" s="9">
        <f>COUNTIF(実績!$W$5:$W$1474,A596)</f>
        <v>1</v>
      </c>
      <c r="D596" s="9">
        <f>COUNTIF(実績!$AB$5:$AC$1474,A596)</f>
        <v>0</v>
      </c>
      <c r="E596" s="12" t="s">
        <v>10905</v>
      </c>
      <c r="F596" s="12"/>
      <c r="G596" s="12"/>
    </row>
    <row r="597" spans="1:7">
      <c r="A597" s="8" t="s">
        <v>5739</v>
      </c>
      <c r="B597" s="9">
        <f>COUNTIF(実績!$R$5:$R$1474,A597)</f>
        <v>0</v>
      </c>
      <c r="C597" s="9">
        <f>COUNTIF(実績!$W$5:$W$1474,A597)</f>
        <v>1</v>
      </c>
      <c r="D597" s="9">
        <f>COUNTIF(実績!$AB$5:$AC$1474,A597)</f>
        <v>0</v>
      </c>
      <c r="E597" s="12" t="s">
        <v>5740</v>
      </c>
      <c r="F597" s="12"/>
      <c r="G597" s="12"/>
    </row>
    <row r="598" spans="1:7">
      <c r="A598" s="8" t="s">
        <v>1097</v>
      </c>
      <c r="B598" s="9">
        <f>COUNTIF(実績!$R$5:$R$1474,A598)</f>
        <v>0</v>
      </c>
      <c r="C598" s="9">
        <f>COUNTIF(実績!$W$5:$W$1474,A598)</f>
        <v>1</v>
      </c>
      <c r="D598" s="9">
        <f>COUNTIF(実績!$AB$5:$AC$1474,A598)</f>
        <v>0</v>
      </c>
      <c r="E598" s="12" t="s">
        <v>1330</v>
      </c>
      <c r="F598" s="12"/>
      <c r="G598" s="12"/>
    </row>
    <row r="599" spans="1:7">
      <c r="A599" s="8" t="s">
        <v>461</v>
      </c>
      <c r="B599" s="9">
        <f>COUNTIF(実績!$R$5:$R$1474,A599)</f>
        <v>1</v>
      </c>
      <c r="C599" s="9">
        <f>COUNTIF(実績!$W$5:$W$1474,A599)</f>
        <v>0</v>
      </c>
      <c r="D599" s="9">
        <f>COUNTIF(実績!$AB$5:$AC$1474,A599)</f>
        <v>0</v>
      </c>
      <c r="E599" s="12" t="s">
        <v>1331</v>
      </c>
      <c r="F599" s="12"/>
      <c r="G599" s="12"/>
    </row>
    <row r="600" spans="1:7">
      <c r="A600" s="8" t="s">
        <v>3273</v>
      </c>
      <c r="B600" s="9">
        <f>COUNTIF(実績!$R$5:$R$1474,A600)</f>
        <v>0</v>
      </c>
      <c r="C600" s="9">
        <f>COUNTIF(実績!$W$5:$W$1474,A600)</f>
        <v>2</v>
      </c>
      <c r="D600" s="9">
        <f>COUNTIF(実績!$AB$5:$AC$1474,A600)</f>
        <v>0</v>
      </c>
      <c r="E600" s="12" t="s">
        <v>3274</v>
      </c>
      <c r="F600" s="12"/>
      <c r="G600" s="12"/>
    </row>
    <row r="601" spans="1:7">
      <c r="A601" s="8" t="s">
        <v>6751</v>
      </c>
      <c r="B601" s="9">
        <f>COUNTIF(実績!$R$5:$R$1474,A601)</f>
        <v>0</v>
      </c>
      <c r="C601" s="9">
        <f>COUNTIF(実績!$W$5:$W$1474,A601)</f>
        <v>1</v>
      </c>
      <c r="D601" s="9">
        <f>COUNTIF(実績!$AB$5:$AC$1474,A601)</f>
        <v>0</v>
      </c>
      <c r="E601" s="12" t="s">
        <v>6754</v>
      </c>
      <c r="F601" s="12" t="s">
        <v>5839</v>
      </c>
      <c r="G601" s="12" t="s">
        <v>5839</v>
      </c>
    </row>
    <row r="602" spans="1:7">
      <c r="A602" s="8" t="s">
        <v>5621</v>
      </c>
      <c r="B602" s="9">
        <f>COUNTIF(実績!$R$5:$R$1474,A602)</f>
        <v>1</v>
      </c>
      <c r="C602" s="9">
        <f>COUNTIF(実績!$W$5:$W$1474,A602)</f>
        <v>0</v>
      </c>
      <c r="D602" s="9">
        <f>COUNTIF(実績!$AB$5:$AC$1474,A602)</f>
        <v>0</v>
      </c>
      <c r="E602" s="12" t="s">
        <v>5622</v>
      </c>
      <c r="F602" s="12"/>
      <c r="G602" s="12"/>
    </row>
    <row r="603" spans="1:7">
      <c r="A603" s="8" t="s">
        <v>4417</v>
      </c>
      <c r="B603" s="9">
        <f>COUNTIF(実績!$R$5:$R$1474,A603)</f>
        <v>5</v>
      </c>
      <c r="C603" s="9">
        <f>COUNTIF(実績!$W$5:$W$1474,A603)</f>
        <v>0</v>
      </c>
      <c r="D603" s="9">
        <f>COUNTIF(実績!$AB$5:$AC$1474,A603)</f>
        <v>1</v>
      </c>
      <c r="E603" s="12" t="s">
        <v>4418</v>
      </c>
      <c r="F603" s="12" t="s">
        <v>5664</v>
      </c>
      <c r="G603" s="12"/>
    </row>
    <row r="604" spans="1:7">
      <c r="A604" s="8" t="s">
        <v>7689</v>
      </c>
      <c r="B604" s="9">
        <f>COUNTIF(実績!$R$5:$R$1474,A604)</f>
        <v>0</v>
      </c>
      <c r="C604" s="9">
        <f>COUNTIF(実績!$W$5:$W$1474,A604)</f>
        <v>3</v>
      </c>
      <c r="D604" s="9">
        <f>COUNTIF(実績!$AB$5:$AC$1474,A604)</f>
        <v>0</v>
      </c>
      <c r="E604" s="12" t="s">
        <v>7690</v>
      </c>
      <c r="F604" s="12" t="s">
        <v>5839</v>
      </c>
      <c r="G604" s="12" t="s">
        <v>5839</v>
      </c>
    </row>
    <row r="605" spans="1:7">
      <c r="A605" s="8" t="s">
        <v>7002</v>
      </c>
      <c r="B605" s="9">
        <f>COUNTIF(実績!$R$5:$R$1474,A605)</f>
        <v>0</v>
      </c>
      <c r="C605" s="9">
        <f>COUNTIF(実績!$W$5:$W$1474,A605)</f>
        <v>1</v>
      </c>
      <c r="D605" s="9">
        <f>COUNTIF(実績!$AB$5:$AC$1474,A605)</f>
        <v>0</v>
      </c>
      <c r="E605" s="12" t="s">
        <v>7003</v>
      </c>
      <c r="F605" s="12" t="s">
        <v>5839</v>
      </c>
      <c r="G605" s="12" t="s">
        <v>5839</v>
      </c>
    </row>
    <row r="606" spans="1:7">
      <c r="A606" s="8" t="s">
        <v>4140</v>
      </c>
      <c r="B606" s="9">
        <f>COUNTIF(実績!$R$5:$R$1474,A606)</f>
        <v>0</v>
      </c>
      <c r="C606" s="9">
        <f>COUNTIF(実績!$W$5:$W$1474,A606)</f>
        <v>3</v>
      </c>
      <c r="D606" s="9">
        <f>COUNTIF(実績!$AB$5:$AC$1474,A606)</f>
        <v>0</v>
      </c>
      <c r="E606" s="12" t="s">
        <v>4141</v>
      </c>
      <c r="F606" s="12"/>
      <c r="G606" s="12"/>
    </row>
    <row r="607" spans="1:7">
      <c r="A607" s="13" t="s">
        <v>1433</v>
      </c>
      <c r="B607" s="9">
        <f>COUNTIF(実績!$R$5:$R$1474,A607)</f>
        <v>0</v>
      </c>
      <c r="C607" s="9">
        <f>COUNTIF(実績!$W$5:$W$1474,A607)</f>
        <v>5</v>
      </c>
      <c r="D607" s="9">
        <f>COUNTIF(実績!$AB$5:$AC$1474,A607)</f>
        <v>0</v>
      </c>
      <c r="E607" s="12" t="s">
        <v>1434</v>
      </c>
      <c r="F607" s="12" t="s">
        <v>6536</v>
      </c>
      <c r="G607" s="12" t="s">
        <v>6536</v>
      </c>
    </row>
    <row r="608" spans="1:7">
      <c r="A608" s="8" t="s">
        <v>3518</v>
      </c>
      <c r="B608" s="9">
        <f>COUNTIF(実績!$R$5:$R$1474,A608)</f>
        <v>1</v>
      </c>
      <c r="C608" s="9">
        <f>COUNTIF(実績!$W$5:$W$1474,A608)</f>
        <v>0</v>
      </c>
      <c r="D608" s="9">
        <f>COUNTIF(実績!$AB$5:$AC$1474,A608)</f>
        <v>0</v>
      </c>
      <c r="E608" s="12" t="s">
        <v>3521</v>
      </c>
      <c r="F608" s="12"/>
      <c r="G608" s="12"/>
    </row>
    <row r="609" spans="1:7">
      <c r="A609" s="8" t="s">
        <v>682</v>
      </c>
      <c r="B609" s="9">
        <f>COUNTIF(実績!$R$5:$R$1474,A609)</f>
        <v>0</v>
      </c>
      <c r="C609" s="9">
        <f>COUNTIF(実績!$W$5:$W$1474,A609)</f>
        <v>1</v>
      </c>
      <c r="D609" s="9">
        <f>COUNTIF(実績!$AB$5:$AC$1474,A609)</f>
        <v>0</v>
      </c>
      <c r="E609" s="12" t="s">
        <v>1181</v>
      </c>
      <c r="F609" s="12"/>
      <c r="G609" s="12"/>
    </row>
    <row r="610" spans="1:7">
      <c r="A610" s="8" t="s">
        <v>519</v>
      </c>
      <c r="B610" s="9">
        <f>COUNTIF(実績!$R$5:$R$1474,A610)</f>
        <v>0</v>
      </c>
      <c r="C610" s="9">
        <f>COUNTIF(実績!$W$5:$W$1474,A610)</f>
        <v>7</v>
      </c>
      <c r="D610" s="9">
        <f>COUNTIF(実績!$AB$5:$AC$1474,A610)</f>
        <v>0</v>
      </c>
      <c r="E610" s="12" t="s">
        <v>1334</v>
      </c>
      <c r="F610" s="12"/>
      <c r="G610" s="12"/>
    </row>
    <row r="611" spans="1:7">
      <c r="A611" s="8" t="s">
        <v>454</v>
      </c>
      <c r="B611" s="9">
        <f>COUNTIF(実績!$R$5:$R$1474,A611)</f>
        <v>0</v>
      </c>
      <c r="C611" s="9">
        <f>COUNTIF(実績!$W$5:$W$1474,A611)</f>
        <v>4</v>
      </c>
      <c r="D611" s="9">
        <f>COUNTIF(実績!$AB$5:$AC$1474,A611)</f>
        <v>0</v>
      </c>
      <c r="E611" s="12" t="s">
        <v>1271</v>
      </c>
      <c r="F611" s="12"/>
      <c r="G611" s="12"/>
    </row>
    <row r="612" spans="1:7">
      <c r="A612" s="8" t="s">
        <v>6466</v>
      </c>
      <c r="B612" s="9">
        <f>COUNTIF(実績!$R$5:$R$1474,A612)</f>
        <v>1</v>
      </c>
      <c r="C612" s="9">
        <f>COUNTIF(実績!$W$5:$W$1474,A612)</f>
        <v>0</v>
      </c>
      <c r="D612" s="9">
        <f>COUNTIF(実績!$AB$5:$AC$1474,A612)</f>
        <v>0</v>
      </c>
      <c r="E612" s="12" t="s">
        <v>6467</v>
      </c>
      <c r="F612" s="12" t="s">
        <v>5839</v>
      </c>
      <c r="G612" s="12" t="s">
        <v>5839</v>
      </c>
    </row>
    <row r="613" spans="1:7">
      <c r="A613" s="8" t="s">
        <v>4323</v>
      </c>
      <c r="B613" s="9">
        <f>COUNTIF(実績!$R$5:$R$1474,A613)</f>
        <v>0</v>
      </c>
      <c r="C613" s="9">
        <f>COUNTIF(実績!$W$5:$W$1474,A613)</f>
        <v>0</v>
      </c>
      <c r="D613" s="9">
        <f>COUNTIF(実績!$AB$5:$AC$1474,A613)</f>
        <v>1</v>
      </c>
      <c r="E613" s="12" t="s">
        <v>4324</v>
      </c>
      <c r="F613" s="12"/>
      <c r="G613" s="12"/>
    </row>
    <row r="614" spans="1:7">
      <c r="A614" s="8" t="s">
        <v>9570</v>
      </c>
      <c r="B614" s="9">
        <f>COUNTIF(実績!$R$5:$R$1474,A614)</f>
        <v>1</v>
      </c>
      <c r="C614" s="9">
        <f>COUNTIF(実績!$W$5:$W$1474,A614)</f>
        <v>0</v>
      </c>
      <c r="D614" s="9">
        <f>COUNTIF(実績!$AB$5:$AC$1474,A614)</f>
        <v>0</v>
      </c>
      <c r="E614" s="12" t="s">
        <v>9571</v>
      </c>
      <c r="F614" s="12" t="s">
        <v>5839</v>
      </c>
      <c r="G614" s="12" t="s">
        <v>5839</v>
      </c>
    </row>
    <row r="615" spans="1:7">
      <c r="A615" s="8" t="s">
        <v>13814</v>
      </c>
      <c r="B615" s="9">
        <f>COUNTIF(実績!$R$5:$R$1474,A615)</f>
        <v>1</v>
      </c>
      <c r="C615" s="9">
        <f>COUNTIF(実績!$W$5:$W$1474,A615)</f>
        <v>0</v>
      </c>
      <c r="D615" s="9">
        <f>COUNTIF(実績!$AB$5:$AC$1474,A615)</f>
        <v>0</v>
      </c>
      <c r="E615" s="12" t="s">
        <v>1182</v>
      </c>
      <c r="F615" s="12"/>
      <c r="G615" s="12"/>
    </row>
    <row r="616" spans="1:7">
      <c r="A616" s="8" t="s">
        <v>458</v>
      </c>
      <c r="B616" s="9">
        <f>COUNTIF(実績!$R$5:$R$1474,A616)</f>
        <v>21</v>
      </c>
      <c r="C616" s="9">
        <f>COUNTIF(実績!$W$5:$W$1474,A616)</f>
        <v>4</v>
      </c>
      <c r="D616" s="9">
        <f>COUNTIF(実績!$AB$5:$AC$1474,A616)</f>
        <v>0</v>
      </c>
      <c r="E616" s="12" t="s">
        <v>1279</v>
      </c>
      <c r="F616" s="12" t="s">
        <v>6941</v>
      </c>
      <c r="G616" s="12" t="s">
        <v>6941</v>
      </c>
    </row>
    <row r="617" spans="1:7">
      <c r="A617" s="8" t="s">
        <v>3723</v>
      </c>
      <c r="B617" s="9">
        <f>COUNTIF(実績!$R$5:$R$1474,A617)</f>
        <v>0</v>
      </c>
      <c r="C617" s="9">
        <f>COUNTIF(実績!$W$5:$W$1474,A617)</f>
        <v>1</v>
      </c>
      <c r="D617" s="9">
        <f>COUNTIF(実績!$AB$5:$AC$1474,A617)</f>
        <v>0</v>
      </c>
      <c r="E617" s="12" t="s">
        <v>3724</v>
      </c>
      <c r="F617" s="12"/>
      <c r="G617" s="12"/>
    </row>
    <row r="618" spans="1:7">
      <c r="A618" s="8" t="s">
        <v>6970</v>
      </c>
      <c r="B618" s="9">
        <f>COUNTIF(実績!$R$5:$R$1474,A618)</f>
        <v>3</v>
      </c>
      <c r="C618" s="9">
        <f>COUNTIF(実績!$W$5:$W$1474,A618)</f>
        <v>2</v>
      </c>
      <c r="D618" s="9">
        <f>COUNTIF(実績!$AB$5:$AC$1474,A618)</f>
        <v>0</v>
      </c>
      <c r="E618" s="12" t="s">
        <v>6971</v>
      </c>
      <c r="F618" s="12" t="s">
        <v>5839</v>
      </c>
      <c r="G618" s="12" t="s">
        <v>5839</v>
      </c>
    </row>
    <row r="619" spans="1:7">
      <c r="A619" s="8" t="s">
        <v>8738</v>
      </c>
      <c r="B619" s="9">
        <f>COUNTIF(実績!$R$5:$R$1474,A619)</f>
        <v>1</v>
      </c>
      <c r="C619" s="9">
        <f>COUNTIF(実績!$W$5:$W$1474,A619)</f>
        <v>0</v>
      </c>
      <c r="D619" s="9">
        <f>COUNTIF(実績!$AB$5:$AC$1474,A619)</f>
        <v>0</v>
      </c>
      <c r="E619" s="12" t="s">
        <v>8753</v>
      </c>
      <c r="F619" s="12" t="s">
        <v>5839</v>
      </c>
      <c r="G619" s="12" t="s">
        <v>5839</v>
      </c>
    </row>
    <row r="620" spans="1:7">
      <c r="A620" s="8" t="s">
        <v>10685</v>
      </c>
      <c r="B620" s="9">
        <f>COUNTIF(実績!$R$5:$R$1474,A620)</f>
        <v>0</v>
      </c>
      <c r="C620" s="9">
        <f>COUNTIF(実績!$W$5:$W$1474,A620)</f>
        <v>0</v>
      </c>
      <c r="D620" s="9">
        <f>COUNTIF(実績!$AB$5:$AC$1474,A620)</f>
        <v>2</v>
      </c>
      <c r="E620" s="12" t="s">
        <v>10691</v>
      </c>
      <c r="F620" s="12"/>
      <c r="G620" s="12"/>
    </row>
    <row r="621" spans="1:7">
      <c r="A621" s="8" t="s">
        <v>794</v>
      </c>
      <c r="B621" s="9">
        <f>COUNTIF(実績!$R$5:$R$1474,A621)</f>
        <v>1</v>
      </c>
      <c r="C621" s="9">
        <f>COUNTIF(実績!$W$5:$W$1474,A621)</f>
        <v>0</v>
      </c>
      <c r="D621" s="9">
        <f>COUNTIF(実績!$AB$5:$AC$1474,A621)</f>
        <v>0</v>
      </c>
      <c r="E621" s="12" t="s">
        <v>1337</v>
      </c>
      <c r="F621" s="12"/>
      <c r="G621" s="12"/>
    </row>
    <row r="622" spans="1:7">
      <c r="A622" s="8" t="s">
        <v>5546</v>
      </c>
      <c r="B622" s="9">
        <f>COUNTIF(実績!$R$5:$R$1474,A622)</f>
        <v>1</v>
      </c>
      <c r="C622" s="9">
        <f>COUNTIF(実績!$W$5:$W$1474,A622)</f>
        <v>0</v>
      </c>
      <c r="D622" s="9">
        <f>COUNTIF(実績!$AB$5:$AC$1474,A622)</f>
        <v>0</v>
      </c>
      <c r="E622" s="12" t="s">
        <v>5547</v>
      </c>
      <c r="F622" s="12" t="s">
        <v>5839</v>
      </c>
      <c r="G622" s="12"/>
    </row>
    <row r="623" spans="1:7">
      <c r="A623" s="8" t="s">
        <v>5086</v>
      </c>
      <c r="B623" s="9">
        <f>COUNTIF(実績!$R$5:$R$1474,A623)</f>
        <v>1</v>
      </c>
      <c r="C623" s="9">
        <f>COUNTIF(実績!$W$5:$W$1474,A623)</f>
        <v>1</v>
      </c>
      <c r="D623" s="9">
        <f>COUNTIF(実績!$AB$5:$AC$1474,A623)</f>
        <v>0</v>
      </c>
      <c r="E623" s="12" t="s">
        <v>5087</v>
      </c>
      <c r="F623" s="12"/>
      <c r="G623" s="12"/>
    </row>
    <row r="624" spans="1:7">
      <c r="A624" s="8" t="s">
        <v>7959</v>
      </c>
      <c r="B624" s="9">
        <f>COUNTIF(実績!$R$5:$R$1474,A624)</f>
        <v>1</v>
      </c>
      <c r="C624" s="9">
        <f>COUNTIF(実績!$W$5:$W$1474,A624)</f>
        <v>1</v>
      </c>
      <c r="D624" s="9">
        <f>COUNTIF(実績!$AB$5:$AC$1474,A624)</f>
        <v>0</v>
      </c>
      <c r="E624" s="12" t="s">
        <v>7960</v>
      </c>
      <c r="F624" s="12" t="s">
        <v>5839</v>
      </c>
      <c r="G624" s="12" t="s">
        <v>5839</v>
      </c>
    </row>
    <row r="625" spans="1:7">
      <c r="A625" s="8" t="s">
        <v>3773</v>
      </c>
      <c r="B625" s="9">
        <f>COUNTIF(実績!$R$5:$R$1474,A625)</f>
        <v>0</v>
      </c>
      <c r="C625" s="9">
        <f>COUNTIF(実績!$W$5:$W$1474,A625)</f>
        <v>2</v>
      </c>
      <c r="D625" s="9">
        <f>COUNTIF(実績!$AB$5:$AC$1474,A625)</f>
        <v>0</v>
      </c>
      <c r="E625" s="12" t="s">
        <v>3774</v>
      </c>
      <c r="F625" s="12"/>
      <c r="G625" s="12"/>
    </row>
    <row r="626" spans="1:7">
      <c r="A626" s="8" t="s">
        <v>556</v>
      </c>
      <c r="B626" s="9">
        <f>COUNTIF(実績!$R$5:$R$1474,A626)</f>
        <v>0</v>
      </c>
      <c r="C626" s="9">
        <f>COUNTIF(実績!$W$5:$W$1474,A626)</f>
        <v>2</v>
      </c>
      <c r="D626" s="9">
        <f>COUNTIF(実績!$AB$5:$AC$1474,A626)</f>
        <v>0</v>
      </c>
      <c r="E626" s="12" t="s">
        <v>1183</v>
      </c>
      <c r="F626" s="12"/>
      <c r="G626" s="12"/>
    </row>
    <row r="627" spans="1:7">
      <c r="A627" s="8" t="s">
        <v>3498</v>
      </c>
      <c r="B627" s="9">
        <f>COUNTIF(実績!$R$5:$R$1474,A627)</f>
        <v>0</v>
      </c>
      <c r="C627" s="9">
        <f>COUNTIF(実績!$W$5:$W$1474,A627)</f>
        <v>4</v>
      </c>
      <c r="D627" s="9">
        <f>COUNTIF(実績!$AB$5:$AC$1474,A627)</f>
        <v>1</v>
      </c>
      <c r="E627" s="12" t="s">
        <v>3500</v>
      </c>
      <c r="F627" s="12"/>
      <c r="G627" s="12"/>
    </row>
    <row r="628" spans="1:7">
      <c r="A628" s="8" t="s">
        <v>8567</v>
      </c>
      <c r="B628" s="9">
        <f>COUNTIF(実績!$R$5:$R$1474,A628)</f>
        <v>0</v>
      </c>
      <c r="C628" s="9">
        <f>COUNTIF(実績!$W$5:$W$1474,A628)</f>
        <v>1</v>
      </c>
      <c r="D628" s="9">
        <f>COUNTIF(実績!$AB$5:$AC$1474,A628)</f>
        <v>0</v>
      </c>
      <c r="E628" s="12" t="s">
        <v>8568</v>
      </c>
      <c r="F628" s="12" t="s">
        <v>5839</v>
      </c>
      <c r="G628" s="12" t="s">
        <v>5839</v>
      </c>
    </row>
    <row r="629" spans="1:7">
      <c r="A629" s="8" t="s">
        <v>10474</v>
      </c>
      <c r="B629" s="9">
        <f>COUNTIF(実績!$R$5:$R$1474,A629)</f>
        <v>0</v>
      </c>
      <c r="C629" s="9">
        <f>COUNTIF(実績!$W$5:$W$1474,A629)</f>
        <v>1</v>
      </c>
      <c r="D629" s="9">
        <f>COUNTIF(実績!$AB$5:$AC$1474,A629)</f>
        <v>0</v>
      </c>
      <c r="E629" s="12" t="s">
        <v>10475</v>
      </c>
      <c r="F629" s="12"/>
      <c r="G629" s="12"/>
    </row>
    <row r="630" spans="1:7">
      <c r="A630" s="8" t="s">
        <v>9831</v>
      </c>
      <c r="B630" s="9">
        <f>COUNTIF(実績!$R$5:$R$1474,A630)</f>
        <v>3</v>
      </c>
      <c r="C630" s="9">
        <f>COUNTIF(実績!$W$5:$W$1474,A630)</f>
        <v>1</v>
      </c>
      <c r="D630" s="9">
        <f>COUNTIF(実績!$AB$5:$AC$1474,A630)</f>
        <v>0</v>
      </c>
      <c r="E630" s="12" t="s">
        <v>9832</v>
      </c>
      <c r="F630" s="12"/>
      <c r="G630" s="12"/>
    </row>
    <row r="631" spans="1:7">
      <c r="A631" s="13" t="s">
        <v>1502</v>
      </c>
      <c r="B631" s="9">
        <f>COUNTIF(実績!$R$5:$R$1474,A631)</f>
        <v>1</v>
      </c>
      <c r="C631" s="9">
        <f>COUNTIF(実績!$W$5:$W$1474,A631)</f>
        <v>0</v>
      </c>
      <c r="D631" s="9">
        <f>COUNTIF(実績!$AB$5:$AC$1474,A631)</f>
        <v>0</v>
      </c>
      <c r="E631" s="12" t="s">
        <v>1503</v>
      </c>
      <c r="F631" s="12"/>
      <c r="G631" s="12"/>
    </row>
    <row r="632" spans="1:7">
      <c r="A632" s="8" t="s">
        <v>5709</v>
      </c>
      <c r="B632" s="9">
        <f>COUNTIF(実績!$R$5:$R$1474,A632)</f>
        <v>0</v>
      </c>
      <c r="C632" s="9">
        <f>COUNTIF(実績!$W$5:$W$1474,A632)</f>
        <v>1</v>
      </c>
      <c r="D632" s="9">
        <f>COUNTIF(実績!$AB$5:$AC$1474,A632)</f>
        <v>0</v>
      </c>
      <c r="E632" s="12" t="s">
        <v>5710</v>
      </c>
      <c r="F632" s="12"/>
      <c r="G632" s="12"/>
    </row>
    <row r="633" spans="1:7">
      <c r="A633" s="8" t="s">
        <v>14685</v>
      </c>
      <c r="B633" s="9">
        <f>COUNTIF(実績!$R$5:$R$1474,A633)</f>
        <v>0</v>
      </c>
      <c r="C633" s="9">
        <f>COUNTIF(実績!$W$5:$W$1474,A633)</f>
        <v>1</v>
      </c>
      <c r="D633" s="9">
        <f>COUNTIF(実績!$AB$5:$AC$1474,A633)</f>
        <v>0</v>
      </c>
      <c r="E633" s="12" t="s">
        <v>14686</v>
      </c>
      <c r="F633" s="12"/>
      <c r="G633" s="12"/>
    </row>
    <row r="634" spans="1:7">
      <c r="A634" s="8" t="s">
        <v>3307</v>
      </c>
      <c r="B634" s="9">
        <f>COUNTIF(実績!$R$5:$R$1474,A634)</f>
        <v>0</v>
      </c>
      <c r="C634" s="9">
        <f>COUNTIF(実績!$W$5:$W$1474,A634)</f>
        <v>3</v>
      </c>
      <c r="D634" s="9">
        <f>COUNTIF(実績!$AB$5:$AC$1474,A634)</f>
        <v>0</v>
      </c>
      <c r="E634" s="12" t="s">
        <v>3308</v>
      </c>
      <c r="F634" s="12"/>
      <c r="G634" s="12"/>
    </row>
    <row r="635" spans="1:7">
      <c r="A635" s="8" t="s">
        <v>649</v>
      </c>
      <c r="B635" s="9">
        <f>COUNTIF(実績!$R$5:$R$1474,A635)</f>
        <v>2</v>
      </c>
      <c r="C635" s="9">
        <f>COUNTIF(実績!$W$5:$W$1474,A635)</f>
        <v>0</v>
      </c>
      <c r="D635" s="9">
        <f>COUNTIF(実績!$AB$5:$AC$1474,A635)</f>
        <v>0</v>
      </c>
      <c r="E635" s="12" t="s">
        <v>1184</v>
      </c>
      <c r="F635" s="12"/>
      <c r="G635" s="12"/>
    </row>
    <row r="636" spans="1:7">
      <c r="A636" s="8" t="s">
        <v>987</v>
      </c>
      <c r="B636" s="9">
        <f>COUNTIF(実績!$R$5:$R$1474,A636)</f>
        <v>1</v>
      </c>
      <c r="C636" s="9">
        <f>COUNTIF(実績!$W$5:$W$1474,A636)</f>
        <v>0</v>
      </c>
      <c r="D636" s="9">
        <f>COUNTIF(実績!$AB$5:$AC$1474,A636)</f>
        <v>0</v>
      </c>
      <c r="E636" s="12" t="s">
        <v>1382</v>
      </c>
      <c r="F636" s="12"/>
      <c r="G636" s="12"/>
    </row>
    <row r="637" spans="1:7">
      <c r="A637" s="8" t="s">
        <v>4537</v>
      </c>
      <c r="B637" s="9">
        <f>COUNTIF(実績!$R$5:$R$1474,A637)</f>
        <v>0</v>
      </c>
      <c r="C637" s="9">
        <f>COUNTIF(実績!$W$5:$W$1474,A637)</f>
        <v>3</v>
      </c>
      <c r="D637" s="9">
        <f>COUNTIF(実績!$AB$5:$AC$1474,A637)</f>
        <v>0</v>
      </c>
      <c r="E637" s="12" t="s">
        <v>4538</v>
      </c>
      <c r="F637" s="12"/>
      <c r="G637" s="12"/>
    </row>
    <row r="638" spans="1:7">
      <c r="A638" s="8" t="s">
        <v>504</v>
      </c>
      <c r="B638" s="9">
        <f>COUNTIF(実績!$R$5:$R$1474,A638)</f>
        <v>3</v>
      </c>
      <c r="C638" s="9">
        <f>COUNTIF(実績!$W$5:$W$1474,A638)</f>
        <v>1</v>
      </c>
      <c r="D638" s="9">
        <f>COUNTIF(実績!$AB$5:$AC$1474,A638)</f>
        <v>3</v>
      </c>
      <c r="E638" s="12" t="s">
        <v>1185</v>
      </c>
      <c r="F638" s="12"/>
      <c r="G638" s="12"/>
    </row>
    <row r="639" spans="1:7">
      <c r="A639" s="13" t="s">
        <v>5780</v>
      </c>
      <c r="B639" s="9">
        <f>COUNTIF(実績!$R$5:$R$1474,A639)</f>
        <v>1</v>
      </c>
      <c r="C639" s="9">
        <f>COUNTIF(実績!$W$5:$W$1474,A639)</f>
        <v>2</v>
      </c>
      <c r="D639" s="9">
        <f>COUNTIF(実績!$AB$5:$AC$1474,A639)</f>
        <v>0</v>
      </c>
      <c r="E639" s="12" t="s">
        <v>5781</v>
      </c>
      <c r="F639" s="12"/>
      <c r="G639" s="12"/>
    </row>
    <row r="640" spans="1:7">
      <c r="A640" s="8" t="s">
        <v>8000</v>
      </c>
      <c r="B640" s="9">
        <f>COUNTIF(実績!$R$5:$R$1474,A640)</f>
        <v>2</v>
      </c>
      <c r="C640" s="9">
        <f>COUNTIF(実績!$W$5:$W$1474,A640)</f>
        <v>0</v>
      </c>
      <c r="D640" s="9">
        <f>COUNTIF(実績!$AB$5:$AC$1474,A640)</f>
        <v>0</v>
      </c>
      <c r="E640" s="12" t="s">
        <v>8036</v>
      </c>
      <c r="F640" s="12" t="s">
        <v>5839</v>
      </c>
      <c r="G640" s="12" t="s">
        <v>5839</v>
      </c>
    </row>
    <row r="641" spans="1:7">
      <c r="A641" s="8" t="s">
        <v>7143</v>
      </c>
      <c r="B641" s="9">
        <f>COUNTIF(実績!$R$5:$R$1474,A641)</f>
        <v>0</v>
      </c>
      <c r="C641" s="9">
        <f>COUNTIF(実績!$W$5:$W$1474,A641)</f>
        <v>1</v>
      </c>
      <c r="D641" s="9">
        <f>COUNTIF(実績!$AB$5:$AC$1474,A641)</f>
        <v>0</v>
      </c>
      <c r="E641" s="12" t="s">
        <v>7144</v>
      </c>
      <c r="F641" s="12" t="s">
        <v>5839</v>
      </c>
      <c r="G641" s="12" t="s">
        <v>5839</v>
      </c>
    </row>
    <row r="642" spans="1:7">
      <c r="A642" s="8" t="s">
        <v>557</v>
      </c>
      <c r="B642" s="9">
        <f>COUNTIF(実績!$R$5:$R$1474,A642)</f>
        <v>1</v>
      </c>
      <c r="C642" s="9">
        <f>COUNTIF(実績!$W$5:$W$1474,A642)</f>
        <v>0</v>
      </c>
      <c r="D642" s="9">
        <f>COUNTIF(実績!$AB$5:$AC$1474,A642)</f>
        <v>0</v>
      </c>
      <c r="E642" s="12" t="s">
        <v>1186</v>
      </c>
      <c r="F642" s="12"/>
      <c r="G642" s="12"/>
    </row>
    <row r="643" spans="1:7">
      <c r="A643" s="8" t="s">
        <v>3466</v>
      </c>
      <c r="B643" s="9">
        <f>COUNTIF(実績!$R$5:$R$1474,A643)</f>
        <v>0</v>
      </c>
      <c r="C643" s="9">
        <f>COUNTIF(実績!$W$5:$W$1474,A643)</f>
        <v>3</v>
      </c>
      <c r="D643" s="9">
        <f>COUNTIF(実績!$AB$5:$AC$1474,A643)</f>
        <v>0</v>
      </c>
      <c r="E643" s="12" t="s">
        <v>3467</v>
      </c>
      <c r="F643" s="12"/>
      <c r="G643" s="12"/>
    </row>
    <row r="644" spans="1:7">
      <c r="A644" s="8" t="s">
        <v>5312</v>
      </c>
      <c r="B644" s="9">
        <f>COUNTIF(実績!$R$5:$R$1474,A644)</f>
        <v>2</v>
      </c>
      <c r="C644" s="9">
        <f>COUNTIF(実績!$W$5:$W$1474,A644)</f>
        <v>0</v>
      </c>
      <c r="D644" s="9">
        <f>COUNTIF(実績!$AB$5:$AC$1474,A644)</f>
        <v>0</v>
      </c>
      <c r="E644" s="12" t="s">
        <v>5313</v>
      </c>
      <c r="F644" s="12"/>
      <c r="G644" s="12"/>
    </row>
    <row r="645" spans="1:7">
      <c r="A645" s="8" t="s">
        <v>6286</v>
      </c>
      <c r="B645" s="9">
        <f>COUNTIF(実績!$R$5:$R$1474,A645)</f>
        <v>1</v>
      </c>
      <c r="C645" s="9">
        <f>COUNTIF(実績!$W$5:$W$1474,A645)</f>
        <v>0</v>
      </c>
      <c r="D645" s="9">
        <f>COUNTIF(実績!$AB$5:$AC$1474,A645)</f>
        <v>0</v>
      </c>
      <c r="E645" s="12" t="s">
        <v>6287</v>
      </c>
      <c r="F645" s="12" t="s">
        <v>5839</v>
      </c>
      <c r="G645" s="12"/>
    </row>
    <row r="646" spans="1:7">
      <c r="A646" s="8" t="s">
        <v>570</v>
      </c>
      <c r="B646" s="9">
        <f>COUNTIF(実績!$R$5:$R$1474,A646)</f>
        <v>1</v>
      </c>
      <c r="C646" s="9">
        <f>COUNTIF(実績!$W$5:$W$1474,A646)</f>
        <v>0</v>
      </c>
      <c r="D646" s="9">
        <f>COUNTIF(実績!$AB$5:$AC$1474,A646)</f>
        <v>0</v>
      </c>
      <c r="E646" s="12" t="s">
        <v>1187</v>
      </c>
      <c r="F646" s="12"/>
      <c r="G646" s="12"/>
    </row>
    <row r="647" spans="1:7">
      <c r="A647" s="8" t="s">
        <v>4054</v>
      </c>
      <c r="B647" s="9">
        <f>COUNTIF(実績!$R$5:$R$1474,A647)</f>
        <v>1</v>
      </c>
      <c r="C647" s="9">
        <f>COUNTIF(実績!$W$5:$W$1474,A647)</f>
        <v>0</v>
      </c>
      <c r="D647" s="9">
        <f>COUNTIF(実績!$AB$5:$AC$1474,A647)</f>
        <v>0</v>
      </c>
      <c r="E647" s="8" t="s">
        <v>4054</v>
      </c>
      <c r="F647" s="12"/>
      <c r="G647" s="12"/>
    </row>
    <row r="648" spans="1:7">
      <c r="A648" s="8" t="s">
        <v>1017</v>
      </c>
      <c r="B648" s="9">
        <f>COUNTIF(実績!$R$5:$R$1474,A648)</f>
        <v>4</v>
      </c>
      <c r="C648" s="9">
        <f>COUNTIF(実績!$W$5:$W$1474,A648)</f>
        <v>1</v>
      </c>
      <c r="D648" s="9">
        <f>COUNTIF(実績!$AB$5:$AC$1474,A648)</f>
        <v>0</v>
      </c>
      <c r="E648" s="12" t="s">
        <v>1188</v>
      </c>
      <c r="F648" s="12"/>
      <c r="G648" s="12"/>
    </row>
    <row r="649" spans="1:7">
      <c r="A649" s="8" t="s">
        <v>790</v>
      </c>
      <c r="B649" s="9">
        <f>COUNTIF(実績!$R$5:$R$1474,A649)</f>
        <v>0</v>
      </c>
      <c r="C649" s="9">
        <f>COUNTIF(実績!$W$5:$W$1474,A649)</f>
        <v>7</v>
      </c>
      <c r="D649" s="9">
        <f>COUNTIF(実績!$AB$5:$AC$1474,A649)</f>
        <v>0</v>
      </c>
      <c r="E649" s="12" t="s">
        <v>1189</v>
      </c>
      <c r="F649" s="12"/>
      <c r="G649" s="12"/>
    </row>
    <row r="650" spans="1:7">
      <c r="A650" s="8" t="s">
        <v>16576</v>
      </c>
      <c r="B650" s="9">
        <f>COUNTIF(実績!$R$5:$R$1474,A650)</f>
        <v>1</v>
      </c>
      <c r="C650" s="9">
        <f>COUNTIF(実績!$W$5:$W$1474,A650)</f>
        <v>0</v>
      </c>
      <c r="D650" s="9">
        <f>COUNTIF(実績!$AB$5:$AC$1474,A650)</f>
        <v>3</v>
      </c>
      <c r="E650" s="12" t="s">
        <v>5463</v>
      </c>
      <c r="F650" s="12"/>
      <c r="G650" s="12"/>
    </row>
    <row r="651" spans="1:7">
      <c r="A651" s="8" t="s">
        <v>8871</v>
      </c>
      <c r="B651" s="9">
        <f>COUNTIF(実績!$R$5:$R$1474,A651)</f>
        <v>0</v>
      </c>
      <c r="C651" s="9">
        <f>COUNTIF(実績!$W$5:$W$1474,A651)</f>
        <v>1</v>
      </c>
      <c r="D651" s="9">
        <f>COUNTIF(実績!$AB$5:$AC$1474,A651)</f>
        <v>0</v>
      </c>
      <c r="E651" s="12" t="s">
        <v>8924</v>
      </c>
      <c r="F651" s="12" t="s">
        <v>5839</v>
      </c>
      <c r="G651" s="12" t="s">
        <v>5839</v>
      </c>
    </row>
    <row r="652" spans="1:7">
      <c r="A652" s="8" t="s">
        <v>2970</v>
      </c>
      <c r="B652" s="9">
        <f>COUNTIF(実績!$R$5:$R$1474,A652)</f>
        <v>0</v>
      </c>
      <c r="C652" s="9">
        <f>COUNTIF(実績!$W$5:$W$1474,A652)</f>
        <v>2</v>
      </c>
      <c r="D652" s="9">
        <f>COUNTIF(実績!$AB$5:$AC$1474,A652)</f>
        <v>0</v>
      </c>
      <c r="E652" s="12" t="s">
        <v>2971</v>
      </c>
      <c r="F652" s="12"/>
      <c r="G652" s="12"/>
    </row>
    <row r="653" spans="1:7">
      <c r="A653" s="8" t="s">
        <v>10588</v>
      </c>
      <c r="B653" s="9">
        <f>COUNTIF(実績!$R$5:$R$1474,A653)</f>
        <v>0</v>
      </c>
      <c r="C653" s="9">
        <f>COUNTIF(実績!$W$5:$W$1474,A653)</f>
        <v>1</v>
      </c>
      <c r="D653" s="9">
        <f>COUNTIF(実績!$AB$5:$AC$1474,A653)</f>
        <v>0</v>
      </c>
      <c r="E653" s="12" t="s">
        <v>10590</v>
      </c>
      <c r="F653" s="12"/>
      <c r="G653" s="12"/>
    </row>
    <row r="654" spans="1:7">
      <c r="A654" s="8" t="s">
        <v>15861</v>
      </c>
      <c r="B654" s="9">
        <f>COUNTIF(実績!$R$5:$R$1474,A654)</f>
        <v>5</v>
      </c>
      <c r="C654" s="9">
        <f>COUNTIF(実績!$W$5:$W$1474,A654)</f>
        <v>0</v>
      </c>
      <c r="D654" s="9">
        <f>COUNTIF(実績!$AB$5:$AC$1474,A654)</f>
        <v>0</v>
      </c>
      <c r="E654" s="12" t="s">
        <v>1346</v>
      </c>
      <c r="F654" s="12"/>
      <c r="G654" s="12"/>
    </row>
    <row r="655" spans="1:7">
      <c r="A655" s="8" t="s">
        <v>14560</v>
      </c>
      <c r="B655" s="9">
        <f>COUNTIF(実績!$R$5:$R$1474,A655)</f>
        <v>2</v>
      </c>
      <c r="C655" s="9">
        <f>COUNTIF(実績!$W$5:$W$1474,A655)</f>
        <v>0</v>
      </c>
      <c r="D655" s="9">
        <f>COUNTIF(実績!$AB$5:$AC$1474,A655)</f>
        <v>0</v>
      </c>
      <c r="E655" s="12" t="s">
        <v>14561</v>
      </c>
      <c r="F655" s="12"/>
      <c r="G655" s="12"/>
    </row>
    <row r="656" spans="1:7">
      <c r="A656" s="8" t="s">
        <v>16704</v>
      </c>
      <c r="B656" s="9">
        <f>COUNTIF(実績!$R$5:$R$1474,A656)</f>
        <v>4</v>
      </c>
      <c r="C656" s="9">
        <f>COUNTIF(実績!$W$5:$W$1474,A656)</f>
        <v>1</v>
      </c>
      <c r="D656" s="9">
        <f>COUNTIF(実績!$AB$5:$AC$1474,A656)</f>
        <v>0</v>
      </c>
      <c r="E656" s="12" t="s">
        <v>1347</v>
      </c>
      <c r="F656" s="12"/>
      <c r="G656" s="12"/>
    </row>
    <row r="657" spans="1:7">
      <c r="A657" s="8" t="s">
        <v>2984</v>
      </c>
      <c r="B657" s="9">
        <f>COUNTIF(実績!$R$5:$R$1474,A657)</f>
        <v>3</v>
      </c>
      <c r="C657" s="9">
        <f>COUNTIF(実績!$W$5:$W$1474,A657)</f>
        <v>0</v>
      </c>
      <c r="D657" s="9">
        <f>COUNTIF(実績!$AB$5:$AC$1474,A657)</f>
        <v>0</v>
      </c>
      <c r="E657" s="12" t="s">
        <v>2985</v>
      </c>
      <c r="F657" s="12"/>
      <c r="G657" s="12"/>
    </row>
    <row r="658" spans="1:7">
      <c r="A658" s="8" t="s">
        <v>4032</v>
      </c>
      <c r="B658" s="9">
        <f>COUNTIF(実績!$R$5:$R$1474,A658)</f>
        <v>7</v>
      </c>
      <c r="C658" s="9">
        <f>COUNTIF(実績!$W$5:$W$1474,A658)</f>
        <v>0</v>
      </c>
      <c r="D658" s="9">
        <f>COUNTIF(実績!$AB$5:$AC$1474,A658)</f>
        <v>0</v>
      </c>
      <c r="E658" s="12" t="s">
        <v>4031</v>
      </c>
      <c r="F658" s="12"/>
      <c r="G658" s="12"/>
    </row>
    <row r="659" spans="1:7">
      <c r="A659" s="8" t="s">
        <v>5897</v>
      </c>
      <c r="B659" s="9">
        <f>COUNTIF(実績!$R$5:$R$1474,A659)</f>
        <v>1</v>
      </c>
      <c r="C659" s="9">
        <f>COUNTIF(実績!$W$5:$W$1474,A659)</f>
        <v>1</v>
      </c>
      <c r="D659" s="9">
        <f>COUNTIF(実績!$AB$5:$AC$1474,A659)</f>
        <v>0</v>
      </c>
      <c r="E659" s="12" t="s">
        <v>5899</v>
      </c>
      <c r="F659" s="12" t="s">
        <v>5839</v>
      </c>
      <c r="G659" s="12"/>
    </row>
    <row r="660" spans="1:7">
      <c r="A660" s="8" t="s">
        <v>5624</v>
      </c>
      <c r="B660" s="9">
        <f>COUNTIF(実績!$R$5:$R$1474,A660)</f>
        <v>0</v>
      </c>
      <c r="C660" s="9">
        <f>COUNTIF(実績!$W$5:$W$1474,A660)</f>
        <v>1</v>
      </c>
      <c r="D660" s="9">
        <f>COUNTIF(実績!$AB$5:$AC$1474,A660)</f>
        <v>0</v>
      </c>
      <c r="E660" s="12" t="s">
        <v>5625</v>
      </c>
      <c r="F660" s="12"/>
      <c r="G660" s="12"/>
    </row>
    <row r="661" spans="1:7">
      <c r="A661" s="8" t="s">
        <v>5171</v>
      </c>
      <c r="B661" s="9">
        <f>COUNTIF(実績!$R$5:$R$1474,A661)</f>
        <v>2</v>
      </c>
      <c r="C661" s="9">
        <f>COUNTIF(実績!$W$5:$W$1474,A661)</f>
        <v>0</v>
      </c>
      <c r="D661" s="9">
        <f>COUNTIF(実績!$AB$5:$AC$1474,A661)</f>
        <v>0</v>
      </c>
      <c r="E661" s="12" t="s">
        <v>5172</v>
      </c>
      <c r="F661" s="12"/>
      <c r="G661" s="12"/>
    </row>
    <row r="662" spans="1:7">
      <c r="A662" s="8" t="s">
        <v>6480</v>
      </c>
      <c r="B662" s="9">
        <f>COUNTIF(実績!$R$5:$R$1474,A662)</f>
        <v>1</v>
      </c>
      <c r="C662" s="9">
        <f>COUNTIF(実績!$W$5:$W$1474,A662)</f>
        <v>1</v>
      </c>
      <c r="D662" s="9">
        <f>COUNTIF(実績!$AB$5:$AC$1474,A662)</f>
        <v>0</v>
      </c>
      <c r="E662" s="12" t="s">
        <v>6481</v>
      </c>
      <c r="F662" s="12" t="s">
        <v>5839</v>
      </c>
      <c r="G662" s="12" t="s">
        <v>5839</v>
      </c>
    </row>
    <row r="663" spans="1:7">
      <c r="A663" s="8" t="s">
        <v>16647</v>
      </c>
      <c r="B663" s="9">
        <f>COUNTIF(実績!$R$5:$R$1474,A663)</f>
        <v>2</v>
      </c>
      <c r="C663" s="9">
        <f>COUNTIF(実績!$W$5:$W$1474,A663)</f>
        <v>0</v>
      </c>
      <c r="D663" s="9">
        <f>COUNTIF(実績!$AB$5:$AC$1474,A663)</f>
        <v>0</v>
      </c>
      <c r="E663" s="12" t="s">
        <v>10377</v>
      </c>
      <c r="F663" s="12"/>
      <c r="G663" s="12"/>
    </row>
    <row r="664" spans="1:7">
      <c r="A664" s="8" t="s">
        <v>8456</v>
      </c>
      <c r="B664" s="9">
        <f>COUNTIF(実績!$R$5:$R$1474,A664)</f>
        <v>2</v>
      </c>
      <c r="C664" s="9">
        <f>COUNTIF(実績!$W$5:$W$1474,A664)</f>
        <v>0</v>
      </c>
      <c r="D664" s="9">
        <f>COUNTIF(実績!$AB$5:$AC$1474,A664)</f>
        <v>0</v>
      </c>
      <c r="E664" s="12" t="s">
        <v>8457</v>
      </c>
      <c r="F664" s="12" t="s">
        <v>5839</v>
      </c>
      <c r="G664" s="12" t="s">
        <v>5839</v>
      </c>
    </row>
    <row r="665" spans="1:7">
      <c r="A665" s="8" t="s">
        <v>4351</v>
      </c>
      <c r="B665" s="9">
        <f>COUNTIF(実績!$R$5:$R$1474,A665)</f>
        <v>1</v>
      </c>
      <c r="C665" s="9">
        <f>COUNTIF(実績!$W$5:$W$1474,A665)</f>
        <v>0</v>
      </c>
      <c r="D665" s="9">
        <f>COUNTIF(実績!$AB$5:$AC$1474,A665)</f>
        <v>1</v>
      </c>
      <c r="E665" s="12" t="s">
        <v>4352</v>
      </c>
      <c r="F665" s="12"/>
      <c r="G665" s="12"/>
    </row>
    <row r="666" spans="1:7">
      <c r="A666" s="8" t="s">
        <v>15692</v>
      </c>
      <c r="B666" s="9">
        <f>COUNTIF(実績!$R$5:$R$1474,A666)</f>
        <v>26</v>
      </c>
      <c r="C666" s="9">
        <f>COUNTIF(実績!$W$5:$W$1474,A666)</f>
        <v>19</v>
      </c>
      <c r="D666" s="9">
        <f>COUNTIF(実績!$AB$5:$AC$1474,A666)</f>
        <v>0</v>
      </c>
      <c r="E666" s="12" t="s">
        <v>1348</v>
      </c>
      <c r="F666" s="12" t="s">
        <v>5633</v>
      </c>
      <c r="G666" s="12"/>
    </row>
    <row r="667" spans="1:7">
      <c r="A667" s="8" t="s">
        <v>4384</v>
      </c>
      <c r="B667" s="9">
        <f>COUNTIF(実績!$R$5:$R$1474,A667)</f>
        <v>1</v>
      </c>
      <c r="C667" s="9">
        <f>COUNTIF(実績!$W$5:$W$1474,A667)</f>
        <v>0</v>
      </c>
      <c r="D667" s="9">
        <f>COUNTIF(実績!$AB$5:$AC$1474,A667)</f>
        <v>0</v>
      </c>
      <c r="E667" s="12" t="s">
        <v>4396</v>
      </c>
      <c r="F667" s="12"/>
      <c r="G667" s="12"/>
    </row>
    <row r="668" spans="1:7">
      <c r="A668" s="8" t="s">
        <v>4650</v>
      </c>
      <c r="B668" s="9">
        <f>COUNTIF(実績!$R$5:$R$1474,A668)</f>
        <v>1</v>
      </c>
      <c r="C668" s="9">
        <f>COUNTIF(実績!$W$5:$W$1474,A668)</f>
        <v>0</v>
      </c>
      <c r="D668" s="9">
        <f>COUNTIF(実績!$AB$5:$AC$1474,A668)</f>
        <v>0</v>
      </c>
      <c r="E668" s="12" t="s">
        <v>4651</v>
      </c>
      <c r="F668" s="12"/>
      <c r="G668" s="12"/>
    </row>
    <row r="669" spans="1:7">
      <c r="A669" s="8" t="s">
        <v>4664</v>
      </c>
      <c r="B669" s="9">
        <f>COUNTIF(実績!$R$5:$R$1474,A669)</f>
        <v>0</v>
      </c>
      <c r="C669" s="9">
        <f>COUNTIF(実績!$W$5:$W$1474,A669)</f>
        <v>1</v>
      </c>
      <c r="D669" s="9">
        <f>COUNTIF(実績!$AB$5:$AC$1474,A669)</f>
        <v>0</v>
      </c>
      <c r="E669" s="12" t="s">
        <v>4665</v>
      </c>
      <c r="F669" s="12"/>
      <c r="G669" s="12"/>
    </row>
    <row r="670" spans="1:7">
      <c r="A670" s="8" t="s">
        <v>6272</v>
      </c>
      <c r="B670" s="9">
        <f>COUNTIF(実績!$R$5:$R$1474,A670)</f>
        <v>0</v>
      </c>
      <c r="C670" s="9">
        <f>COUNTIF(実績!$W$5:$W$1474,A670)</f>
        <v>1</v>
      </c>
      <c r="D670" s="9">
        <f>COUNTIF(実績!$AB$5:$AC$1474,A670)</f>
        <v>0</v>
      </c>
      <c r="E670" s="12" t="s">
        <v>6273</v>
      </c>
      <c r="F670" s="12" t="s">
        <v>5839</v>
      </c>
      <c r="G670" s="12"/>
    </row>
    <row r="671" spans="1:7">
      <c r="A671" s="8" t="s">
        <v>10689</v>
      </c>
      <c r="B671" s="9">
        <f>COUNTIF(実績!$R$5:$R$1474,A671)</f>
        <v>1</v>
      </c>
      <c r="C671" s="9">
        <f>COUNTIF(実績!$W$5:$W$1474,A671)</f>
        <v>0</v>
      </c>
      <c r="D671" s="9">
        <f>COUNTIF(実績!$AB$5:$AC$1474,A671)</f>
        <v>0</v>
      </c>
      <c r="E671" s="12" t="s">
        <v>10690</v>
      </c>
      <c r="F671" s="12"/>
      <c r="G671" s="12"/>
    </row>
    <row r="672" spans="1:7">
      <c r="A672" s="13" t="s">
        <v>1480</v>
      </c>
      <c r="B672" s="9">
        <f>COUNTIF(実績!$R$5:$R$1474,A672)</f>
        <v>0</v>
      </c>
      <c r="C672" s="9">
        <f>COUNTIF(実績!$W$5:$W$1474,A672)</f>
        <v>2</v>
      </c>
      <c r="D672" s="9">
        <f>COUNTIF(実績!$AB$5:$AC$1474,A672)</f>
        <v>0</v>
      </c>
      <c r="E672" s="12" t="s">
        <v>1481</v>
      </c>
      <c r="F672" s="12"/>
      <c r="G672" s="12"/>
    </row>
    <row r="673" spans="1:7">
      <c r="A673" s="13" t="s">
        <v>1660</v>
      </c>
      <c r="B673" s="9">
        <f>COUNTIF(実績!$R$5:$R$1474,A673)</f>
        <v>0</v>
      </c>
      <c r="C673" s="9">
        <f>COUNTIF(実績!$W$5:$W$1474,A673)</f>
        <v>1</v>
      </c>
      <c r="D673" s="9">
        <f>COUNTIF(実績!$AB$5:$AC$1474,A673)</f>
        <v>0</v>
      </c>
      <c r="E673" s="12" t="s">
        <v>1661</v>
      </c>
      <c r="F673" s="12"/>
      <c r="G673" s="12"/>
    </row>
    <row r="674" spans="1:7">
      <c r="A674" s="8" t="s">
        <v>9649</v>
      </c>
      <c r="B674" s="9">
        <f>COUNTIF(実績!$R$5:$R$1474,A674)</f>
        <v>1</v>
      </c>
      <c r="C674" s="9">
        <f>COUNTIF(実績!$W$5:$W$1474,A674)</f>
        <v>0</v>
      </c>
      <c r="D674" s="9">
        <f>COUNTIF(実績!$AB$5:$AC$1474,A674)</f>
        <v>0</v>
      </c>
      <c r="E674" s="12" t="s">
        <v>9650</v>
      </c>
      <c r="F674" s="12"/>
      <c r="G674" s="12"/>
    </row>
    <row r="675" spans="1:7">
      <c r="A675" s="8" t="s">
        <v>974</v>
      </c>
      <c r="B675" s="9">
        <f>COUNTIF(実績!$R$5:$R$1474,A675)</f>
        <v>2</v>
      </c>
      <c r="C675" s="9">
        <f>COUNTIF(実績!$W$5:$W$1474,A675)</f>
        <v>0</v>
      </c>
      <c r="D675" s="9">
        <f>COUNTIF(実績!$AB$5:$AC$1474,A675)</f>
        <v>0</v>
      </c>
      <c r="E675" s="12" t="s">
        <v>1349</v>
      </c>
      <c r="F675" s="12"/>
      <c r="G675" s="12"/>
    </row>
    <row r="676" spans="1:7">
      <c r="A676" s="8" t="s">
        <v>3047</v>
      </c>
      <c r="B676" s="9">
        <f>COUNTIF(実績!$R$5:$R$1474,A676)</f>
        <v>0</v>
      </c>
      <c r="C676" s="9">
        <f>COUNTIF(実績!$W$5:$W$1474,A676)</f>
        <v>1</v>
      </c>
      <c r="D676" s="9">
        <f>COUNTIF(実績!$AB$5:$AC$1474,A676)</f>
        <v>0</v>
      </c>
      <c r="E676" s="12" t="s">
        <v>3048</v>
      </c>
      <c r="F676" s="12"/>
      <c r="G676" s="12"/>
    </row>
    <row r="677" spans="1:7">
      <c r="A677" s="8" t="s">
        <v>7432</v>
      </c>
      <c r="B677" s="9">
        <f>COUNTIF(実績!$R$5:$R$1474,A677)</f>
        <v>1</v>
      </c>
      <c r="C677" s="9">
        <f>COUNTIF(実績!$W$5:$W$1474,A677)</f>
        <v>0</v>
      </c>
      <c r="D677" s="9">
        <f>COUNTIF(実績!$AB$5:$AC$1474,A677)</f>
        <v>0</v>
      </c>
      <c r="E677" s="12" t="s">
        <v>7434</v>
      </c>
      <c r="F677" s="12" t="s">
        <v>5839</v>
      </c>
      <c r="G677" s="12" t="s">
        <v>5839</v>
      </c>
    </row>
    <row r="678" spans="1:7">
      <c r="A678" s="8" t="s">
        <v>5880</v>
      </c>
      <c r="B678" s="9">
        <f>COUNTIF(実績!$R$5:$R$1474,A678)</f>
        <v>1</v>
      </c>
      <c r="C678" s="9">
        <f>COUNTIF(実績!$W$5:$W$1474,A678)</f>
        <v>0</v>
      </c>
      <c r="D678" s="9">
        <f>COUNTIF(実績!$AB$5:$AC$1474,A678)</f>
        <v>0</v>
      </c>
      <c r="E678" s="8" t="s">
        <v>5880</v>
      </c>
      <c r="F678" s="12" t="s">
        <v>5839</v>
      </c>
      <c r="G678" s="12"/>
    </row>
    <row r="679" spans="1:7">
      <c r="A679" s="8" t="s">
        <v>9180</v>
      </c>
      <c r="B679" s="9">
        <f>COUNTIF(実績!$R$5:$R$1474,A679)</f>
        <v>1</v>
      </c>
      <c r="C679" s="9">
        <f>COUNTIF(実績!$W$5:$W$1474,A679)</f>
        <v>0</v>
      </c>
      <c r="D679" s="9">
        <f>COUNTIF(実績!$AB$5:$AC$1474,A679)</f>
        <v>0</v>
      </c>
      <c r="E679" s="12" t="s">
        <v>9181</v>
      </c>
      <c r="F679" s="12" t="s">
        <v>5839</v>
      </c>
      <c r="G679" s="12" t="s">
        <v>5839</v>
      </c>
    </row>
    <row r="680" spans="1:7">
      <c r="A680" s="8" t="s">
        <v>7379</v>
      </c>
      <c r="B680" s="9">
        <f>COUNTIF(実績!$R$5:$R$1474,A680)</f>
        <v>2</v>
      </c>
      <c r="C680" s="9">
        <f>COUNTIF(実績!$W$5:$W$1474,A680)</f>
        <v>0</v>
      </c>
      <c r="D680" s="9">
        <f>COUNTIF(実績!$AB$5:$AC$1474,A680)</f>
        <v>0</v>
      </c>
      <c r="E680" s="12" t="s">
        <v>7381</v>
      </c>
      <c r="F680" s="12" t="s">
        <v>5839</v>
      </c>
      <c r="G680" s="12" t="s">
        <v>5839</v>
      </c>
    </row>
    <row r="681" spans="1:7">
      <c r="A681" s="8" t="s">
        <v>3502</v>
      </c>
      <c r="B681" s="9">
        <f>COUNTIF(実績!$R$5:$R$1474,A681)</f>
        <v>2</v>
      </c>
      <c r="C681" s="9">
        <f>COUNTIF(実績!$W$5:$W$1474,A681)</f>
        <v>0</v>
      </c>
      <c r="D681" s="9">
        <f>COUNTIF(実績!$AB$5:$AC$1474,A681)</f>
        <v>0</v>
      </c>
      <c r="E681" s="12" t="s">
        <v>3503</v>
      </c>
      <c r="F681" s="12"/>
      <c r="G681" s="12"/>
    </row>
    <row r="682" spans="1:7">
      <c r="A682" s="8" t="s">
        <v>10686</v>
      </c>
      <c r="B682" s="9">
        <f>COUNTIF(実績!$R$5:$R$1474,A682)</f>
        <v>2</v>
      </c>
      <c r="C682" s="9">
        <f>COUNTIF(実績!$W$5:$W$1474,A682)</f>
        <v>0</v>
      </c>
      <c r="D682" s="9">
        <f>COUNTIF(実績!$AB$5:$AC$1474,A682)</f>
        <v>0</v>
      </c>
      <c r="E682" s="12" t="s">
        <v>10692</v>
      </c>
      <c r="F682" s="12"/>
      <c r="G682" s="12"/>
    </row>
    <row r="683" spans="1:7">
      <c r="A683" s="8" t="s">
        <v>620</v>
      </c>
      <c r="B683" s="9">
        <f>COUNTIF(実績!$R$5:$R$1474,A683)</f>
        <v>4</v>
      </c>
      <c r="C683" s="9">
        <f>COUNTIF(実績!$W$5:$W$1474,A683)</f>
        <v>0</v>
      </c>
      <c r="D683" s="9">
        <f>COUNTIF(実績!$AB$5:$AC$1474,A683)</f>
        <v>0</v>
      </c>
      <c r="E683" s="12" t="s">
        <v>1190</v>
      </c>
      <c r="F683" s="12"/>
      <c r="G683" s="12"/>
    </row>
    <row r="684" spans="1:7">
      <c r="A684" s="8" t="s">
        <v>432</v>
      </c>
      <c r="B684" s="9">
        <f>COUNTIF(実績!$R$5:$R$1474,A684)</f>
        <v>35</v>
      </c>
      <c r="C684" s="9">
        <f>COUNTIF(実績!$W$5:$W$1474,A684)</f>
        <v>379</v>
      </c>
      <c r="D684" s="9">
        <f>COUNTIF(実績!$AB$5:$AC$1474,A684)</f>
        <v>0</v>
      </c>
      <c r="E684" s="12" t="s">
        <v>1191</v>
      </c>
      <c r="F684" s="12"/>
      <c r="G684" s="12"/>
    </row>
    <row r="685" spans="1:7">
      <c r="A685" s="8" t="s">
        <v>2978</v>
      </c>
      <c r="B685" s="9">
        <f>COUNTIF(実績!$R$5:$R$1474,A685)</f>
        <v>0</v>
      </c>
      <c r="C685" s="9">
        <f>COUNTIF(実績!$W$5:$W$1474,A685)</f>
        <v>1</v>
      </c>
      <c r="D685" s="9">
        <f>COUNTIF(実績!$AB$5:$AC$1474,A685)</f>
        <v>0</v>
      </c>
      <c r="E685" s="12" t="s">
        <v>2979</v>
      </c>
      <c r="F685" s="12"/>
      <c r="G685" s="12"/>
    </row>
    <row r="686" spans="1:7">
      <c r="A686" s="8" t="s">
        <v>4318</v>
      </c>
      <c r="B686" s="9">
        <f>COUNTIF(実績!$R$5:$R$1474,A686)</f>
        <v>0</v>
      </c>
      <c r="C686" s="9">
        <f>COUNTIF(実績!$W$5:$W$1474,A686)</f>
        <v>0</v>
      </c>
      <c r="D686" s="9">
        <f>COUNTIF(実績!$AB$5:$AC$1474,A686)</f>
        <v>8</v>
      </c>
      <c r="E686" s="12" t="s">
        <v>4319</v>
      </c>
      <c r="F686" s="12"/>
      <c r="G686" s="12"/>
    </row>
    <row r="687" spans="1:7">
      <c r="A687" s="8" t="s">
        <v>684</v>
      </c>
      <c r="B687" s="9">
        <f>COUNTIF(実績!$R$5:$R$1474,A687)</f>
        <v>1</v>
      </c>
      <c r="C687" s="9">
        <f>COUNTIF(実績!$W$5:$W$1474,A687)</f>
        <v>0</v>
      </c>
      <c r="D687" s="9">
        <f>COUNTIF(実績!$AB$5:$AC$1474,A687)</f>
        <v>0</v>
      </c>
      <c r="E687" s="12" t="s">
        <v>1336</v>
      </c>
      <c r="F687" s="12"/>
      <c r="G687" s="12"/>
    </row>
    <row r="688" spans="1:7">
      <c r="A688" s="8" t="s">
        <v>7326</v>
      </c>
      <c r="B688" s="9">
        <f>COUNTIF(実績!$R$5:$R$1474,A688)</f>
        <v>1</v>
      </c>
      <c r="C688" s="9">
        <f>COUNTIF(実績!$W$5:$W$1474,A688)</f>
        <v>0</v>
      </c>
      <c r="D688" s="9">
        <f>COUNTIF(実績!$AB$5:$AC$1474,A688)</f>
        <v>0</v>
      </c>
      <c r="E688" s="12" t="s">
        <v>7327</v>
      </c>
      <c r="F688" s="12" t="s">
        <v>5839</v>
      </c>
      <c r="G688" s="12" t="s">
        <v>5839</v>
      </c>
    </row>
    <row r="689" spans="1:7">
      <c r="A689" s="8" t="s">
        <v>6868</v>
      </c>
      <c r="B689" s="9">
        <f>COUNTIF(実績!$R$5:$R$1474,A689)</f>
        <v>0</v>
      </c>
      <c r="C689" s="9">
        <f>COUNTIF(実績!$W$5:$W$1474,A689)</f>
        <v>0</v>
      </c>
      <c r="D689" s="9">
        <f>COUNTIF(実績!$AB$5:$AC$1474,A689)</f>
        <v>3</v>
      </c>
      <c r="E689" s="12" t="s">
        <v>8040</v>
      </c>
      <c r="F689" s="12" t="s">
        <v>5839</v>
      </c>
      <c r="G689" s="12" t="s">
        <v>5839</v>
      </c>
    </row>
    <row r="690" spans="1:7">
      <c r="A690" s="8" t="s">
        <v>10914</v>
      </c>
      <c r="B690" s="9">
        <f>COUNTIF(実績!$R$5:$R$1474,A690)</f>
        <v>1</v>
      </c>
      <c r="C690" s="9">
        <f>COUNTIF(実績!$W$5:$W$1474,A690)</f>
        <v>0</v>
      </c>
      <c r="D690" s="9">
        <f>COUNTIF(実績!$AB$5:$AC$1474,A690)</f>
        <v>1</v>
      </c>
      <c r="E690" s="12" t="s">
        <v>10915</v>
      </c>
      <c r="F690" s="12"/>
      <c r="G690" s="12"/>
    </row>
    <row r="691" spans="1:7">
      <c r="A691" s="8" t="s">
        <v>5632</v>
      </c>
      <c r="B691" s="9">
        <f>COUNTIF(実績!$R$5:$R$1474,A691)</f>
        <v>1</v>
      </c>
      <c r="C691" s="9">
        <f>COUNTIF(実績!$W$5:$W$1474,A691)</f>
        <v>0</v>
      </c>
      <c r="D691" s="9">
        <f>COUNTIF(実績!$AB$5:$AC$1474,A691)</f>
        <v>0</v>
      </c>
      <c r="E691" s="12" t="s">
        <v>5683</v>
      </c>
      <c r="F691" s="12"/>
      <c r="G691" s="12"/>
    </row>
    <row r="692" spans="1:7">
      <c r="A692" s="8" t="s">
        <v>3198</v>
      </c>
      <c r="B692" s="9">
        <f>COUNTIF(実績!$R$5:$R$1474,A692)</f>
        <v>1</v>
      </c>
      <c r="C692" s="9">
        <f>COUNTIF(実績!$W$5:$W$1474,A692)</f>
        <v>1</v>
      </c>
      <c r="D692" s="9">
        <f>COUNTIF(実績!$AB$5:$AC$1474,A692)</f>
        <v>1</v>
      </c>
      <c r="E692" s="12" t="s">
        <v>4322</v>
      </c>
      <c r="F692" s="12"/>
      <c r="G692" s="12"/>
    </row>
    <row r="693" spans="1:7">
      <c r="A693" s="8" t="s">
        <v>5096</v>
      </c>
      <c r="B693" s="9">
        <f>COUNTIF(実績!$R$5:$R$1474,A693)</f>
        <v>0</v>
      </c>
      <c r="C693" s="9">
        <f>COUNTIF(実績!$W$5:$W$1474,A693)</f>
        <v>1</v>
      </c>
      <c r="D693" s="9">
        <f>COUNTIF(実績!$AB$5:$AC$1474,A693)</f>
        <v>0</v>
      </c>
      <c r="E693" s="12" t="s">
        <v>5097</v>
      </c>
      <c r="F693" s="12"/>
      <c r="G693" s="12"/>
    </row>
    <row r="694" spans="1:7">
      <c r="A694" s="8" t="s">
        <v>6806</v>
      </c>
      <c r="B694" s="9">
        <f>COUNTIF(実績!$R$5:$R$1474,A694)</f>
        <v>1</v>
      </c>
      <c r="C694" s="9">
        <f>COUNTIF(実績!$W$5:$W$1474,A694)</f>
        <v>0</v>
      </c>
      <c r="D694" s="9">
        <f>COUNTIF(実績!$AB$5:$AC$1474,A694)</f>
        <v>0</v>
      </c>
      <c r="E694" s="12" t="s">
        <v>6808</v>
      </c>
      <c r="F694" s="12" t="s">
        <v>5839</v>
      </c>
      <c r="G694" s="12" t="s">
        <v>5839</v>
      </c>
    </row>
    <row r="695" spans="1:7">
      <c r="A695" s="13" t="s">
        <v>1546</v>
      </c>
      <c r="B695" s="9">
        <f>COUNTIF(実績!$R$5:$R$1474,A695)</f>
        <v>1</v>
      </c>
      <c r="C695" s="9">
        <f>COUNTIF(実績!$W$5:$W$1474,A695)</f>
        <v>0</v>
      </c>
      <c r="D695" s="9">
        <f>COUNTIF(実績!$AB$5:$AC$1474,A695)</f>
        <v>0</v>
      </c>
      <c r="E695" s="12" t="s">
        <v>1547</v>
      </c>
      <c r="F695" s="12"/>
      <c r="G695" s="12"/>
    </row>
    <row r="696" spans="1:7">
      <c r="A696" s="8" t="s">
        <v>4022</v>
      </c>
      <c r="B696" s="9">
        <f>COUNTIF(実績!$R$5:$R$1474,A696)</f>
        <v>1</v>
      </c>
      <c r="C696" s="9">
        <f>COUNTIF(実績!$W$5:$W$1474,A696)</f>
        <v>0</v>
      </c>
      <c r="D696" s="9">
        <f>COUNTIF(実績!$AB$5:$AC$1474,A696)</f>
        <v>0</v>
      </c>
      <c r="E696" s="12" t="s">
        <v>4026</v>
      </c>
      <c r="F696" s="12"/>
      <c r="G696" s="12"/>
    </row>
    <row r="697" spans="1:7">
      <c r="A697" s="8" t="s">
        <v>4666</v>
      </c>
      <c r="B697" s="9">
        <f>COUNTIF(実績!$R$5:$R$1474,A697)</f>
        <v>3</v>
      </c>
      <c r="C697" s="9">
        <f>COUNTIF(実績!$W$5:$W$1474,A697)</f>
        <v>0</v>
      </c>
      <c r="D697" s="9">
        <f>COUNTIF(実績!$AB$5:$AC$1474,A697)</f>
        <v>0</v>
      </c>
      <c r="E697" s="12" t="s">
        <v>4667</v>
      </c>
      <c r="F697" s="12"/>
      <c r="G697" s="12"/>
    </row>
    <row r="698" spans="1:7">
      <c r="A698" s="8" t="s">
        <v>7606</v>
      </c>
      <c r="B698" s="9">
        <f>COUNTIF(実績!$R$5:$R$1474,A698)</f>
        <v>3</v>
      </c>
      <c r="C698" s="9">
        <f>COUNTIF(実績!$W$5:$W$1474,A698)</f>
        <v>0</v>
      </c>
      <c r="D698" s="9">
        <f>COUNTIF(実績!$AB$5:$AC$1474,A698)</f>
        <v>1</v>
      </c>
      <c r="E698" s="12" t="s">
        <v>7607</v>
      </c>
      <c r="F698" s="12" t="s">
        <v>5839</v>
      </c>
      <c r="G698" s="12" t="s">
        <v>5839</v>
      </c>
    </row>
    <row r="699" spans="1:7">
      <c r="A699" s="8" t="s">
        <v>678</v>
      </c>
      <c r="B699" s="9">
        <f>COUNTIF(実績!$R$5:$R$1474,A699)</f>
        <v>1</v>
      </c>
      <c r="C699" s="9">
        <f>COUNTIF(実績!$W$5:$W$1474,A699)</f>
        <v>0</v>
      </c>
      <c r="D699" s="9">
        <f>COUNTIF(実績!$AB$5:$AC$1474,A699)</f>
        <v>0</v>
      </c>
      <c r="E699" s="12" t="s">
        <v>1333</v>
      </c>
      <c r="F699" s="12"/>
      <c r="G699" s="12"/>
    </row>
    <row r="700" spans="1:7">
      <c r="A700" s="8" t="s">
        <v>15060</v>
      </c>
      <c r="B700" s="9">
        <f>COUNTIF(実績!$R$5:$R$1474,A700)</f>
        <v>1</v>
      </c>
      <c r="C700" s="9">
        <f>COUNTIF(実績!$W$5:$W$1474,A700)</f>
        <v>0</v>
      </c>
      <c r="D700" s="9">
        <f>COUNTIF(実績!$AB$5:$AC$1474,A700)</f>
        <v>0</v>
      </c>
      <c r="E700" s="12" t="s">
        <v>15061</v>
      </c>
      <c r="F700" s="12"/>
      <c r="G700" s="12"/>
    </row>
    <row r="701" spans="1:7">
      <c r="A701" s="8" t="s">
        <v>8344</v>
      </c>
      <c r="B701" s="9">
        <f>COUNTIF(実績!$R$5:$R$1474,A701)</f>
        <v>1</v>
      </c>
      <c r="C701" s="9">
        <f>COUNTIF(実績!$W$5:$W$1474,A701)</f>
        <v>0</v>
      </c>
      <c r="D701" s="9">
        <f>COUNTIF(実績!$AB$5:$AC$1474,A701)</f>
        <v>0</v>
      </c>
      <c r="E701" s="12" t="s">
        <v>8345</v>
      </c>
      <c r="F701" s="12" t="s">
        <v>5839</v>
      </c>
      <c r="G701" s="12" t="s">
        <v>5839</v>
      </c>
    </row>
    <row r="702" spans="1:7">
      <c r="A702" s="8" t="s">
        <v>3324</v>
      </c>
      <c r="B702" s="9">
        <f>COUNTIF(実績!$R$5:$R$1474,A702)</f>
        <v>0</v>
      </c>
      <c r="C702" s="9">
        <f>COUNTIF(実績!$W$5:$W$1474,A702)</f>
        <v>2</v>
      </c>
      <c r="D702" s="9">
        <f>COUNTIF(実績!$AB$5:$AC$1474,A702)</f>
        <v>0</v>
      </c>
      <c r="E702" s="12" t="s">
        <v>3325</v>
      </c>
      <c r="F702" s="12"/>
      <c r="G702" s="12"/>
    </row>
    <row r="703" spans="1:7">
      <c r="A703" s="8" t="s">
        <v>6178</v>
      </c>
      <c r="B703" s="9">
        <f>COUNTIF(実績!$R$5:$R$1474,A703)</f>
        <v>0</v>
      </c>
      <c r="C703" s="9">
        <f>COUNTIF(実績!$W$5:$W$1474,A703)</f>
        <v>2</v>
      </c>
      <c r="D703" s="9">
        <f>COUNTIF(実績!$AB$5:$AC$1474,A703)</f>
        <v>0</v>
      </c>
      <c r="E703" s="12" t="s">
        <v>6179</v>
      </c>
      <c r="F703" s="12" t="s">
        <v>5839</v>
      </c>
      <c r="G703" s="12"/>
    </row>
    <row r="704" spans="1:7">
      <c r="A704" s="8" t="s">
        <v>4534</v>
      </c>
      <c r="B704" s="9">
        <f>COUNTIF(実績!$R$5:$R$1474,A704)</f>
        <v>3</v>
      </c>
      <c r="C704" s="9">
        <f>COUNTIF(実績!$W$5:$W$1474,A704)</f>
        <v>0</v>
      </c>
      <c r="D704" s="9">
        <f>COUNTIF(実績!$AB$5:$AC$1474,A704)</f>
        <v>0</v>
      </c>
      <c r="E704" s="12" t="s">
        <v>4535</v>
      </c>
      <c r="F704" s="12"/>
      <c r="G704" s="12"/>
    </row>
    <row r="705" spans="1:7">
      <c r="A705" s="8" t="s">
        <v>2891</v>
      </c>
      <c r="B705" s="9">
        <f>COUNTIF(実績!$R$5:$R$1474,A705)</f>
        <v>1</v>
      </c>
      <c r="C705" s="9">
        <f>COUNTIF(実績!$W$5:$W$1474,A705)</f>
        <v>0</v>
      </c>
      <c r="D705" s="9">
        <f>COUNTIF(実績!$AB$5:$AC$1474,A705)</f>
        <v>0</v>
      </c>
      <c r="E705" s="12" t="s">
        <v>2892</v>
      </c>
      <c r="F705" s="12"/>
      <c r="G705" s="12"/>
    </row>
    <row r="706" spans="1:7">
      <c r="A706" s="8" t="s">
        <v>770</v>
      </c>
      <c r="B706" s="9">
        <f>COUNTIF(実績!$R$5:$R$1474,A706)</f>
        <v>1</v>
      </c>
      <c r="C706" s="9">
        <f>COUNTIF(実績!$W$5:$W$1474,A706)</f>
        <v>0</v>
      </c>
      <c r="D706" s="9">
        <f>COUNTIF(実績!$AB$5:$AC$1474,A706)</f>
        <v>0</v>
      </c>
      <c r="E706" s="12" t="s">
        <v>1278</v>
      </c>
      <c r="F706" s="12"/>
      <c r="G706" s="12"/>
    </row>
    <row r="707" spans="1:7">
      <c r="A707" s="8" t="s">
        <v>9110</v>
      </c>
      <c r="B707" s="9">
        <f>COUNTIF(実績!$R$5:$R$1474,A707)</f>
        <v>0</v>
      </c>
      <c r="C707" s="9">
        <f>COUNTIF(実績!$W$5:$W$1474,A707)</f>
        <v>1</v>
      </c>
      <c r="D707" s="9">
        <f>COUNTIF(実績!$AB$5:$AC$1474,A707)</f>
        <v>0</v>
      </c>
      <c r="E707" s="12" t="s">
        <v>9111</v>
      </c>
      <c r="F707" s="12" t="s">
        <v>5839</v>
      </c>
      <c r="G707" s="12" t="s">
        <v>5839</v>
      </c>
    </row>
    <row r="708" spans="1:7">
      <c r="A708" s="8" t="s">
        <v>4584</v>
      </c>
      <c r="B708" s="9">
        <f>COUNTIF(実績!$R$5:$R$1474,A708)</f>
        <v>1</v>
      </c>
      <c r="C708" s="9">
        <f>COUNTIF(実績!$W$5:$W$1474,A708)</f>
        <v>0</v>
      </c>
      <c r="D708" s="9">
        <f>COUNTIF(実績!$AB$5:$AC$1474,A708)</f>
        <v>0</v>
      </c>
      <c r="E708" s="12" t="s">
        <v>4585</v>
      </c>
      <c r="F708" s="12"/>
      <c r="G708" s="12"/>
    </row>
    <row r="709" spans="1:7">
      <c r="A709" s="8" t="s">
        <v>10281</v>
      </c>
      <c r="B709" s="9">
        <f>COUNTIF(実績!$R$5:$R$1474,A709)</f>
        <v>0</v>
      </c>
      <c r="C709" s="9">
        <f>COUNTIF(実績!$W$5:$W$1474,A709)</f>
        <v>1</v>
      </c>
      <c r="D709" s="9">
        <f>COUNTIF(実績!$AB$5:$AC$1474,A709)</f>
        <v>0</v>
      </c>
      <c r="E709" s="12" t="s">
        <v>10282</v>
      </c>
      <c r="F709" s="12"/>
      <c r="G709" s="12"/>
    </row>
    <row r="710" spans="1:7">
      <c r="A710" s="8" t="s">
        <v>567</v>
      </c>
      <c r="B710" s="9">
        <f>COUNTIF(実績!$R$5:$R$1474,A710)</f>
        <v>2</v>
      </c>
      <c r="C710" s="9">
        <f>COUNTIF(実績!$W$5:$W$1474,A710)</f>
        <v>0</v>
      </c>
      <c r="D710" s="9">
        <f>COUNTIF(実績!$AB$5:$AC$1474,A710)</f>
        <v>0</v>
      </c>
      <c r="E710" s="12" t="s">
        <v>1342</v>
      </c>
      <c r="F710" s="12"/>
      <c r="G710" s="12"/>
    </row>
    <row r="711" spans="1:7">
      <c r="A711" s="8" t="s">
        <v>6409</v>
      </c>
      <c r="B711" s="9">
        <f>COUNTIF(実績!$R$5:$R$1474,A711)</f>
        <v>1</v>
      </c>
      <c r="C711" s="9">
        <f>COUNTIF(実績!$W$5:$W$1474,A711)</f>
        <v>0</v>
      </c>
      <c r="D711" s="9">
        <f>COUNTIF(実績!$AB$5:$AC$1474,A711)</f>
        <v>0</v>
      </c>
      <c r="E711" s="12" t="s">
        <v>6410</v>
      </c>
      <c r="F711" s="12" t="s">
        <v>5839</v>
      </c>
      <c r="G711" s="12"/>
    </row>
    <row r="712" spans="1:7">
      <c r="A712" s="13" t="s">
        <v>1550</v>
      </c>
      <c r="B712" s="9">
        <f>COUNTIF(実績!$R$5:$R$1474,A712)</f>
        <v>0</v>
      </c>
      <c r="C712" s="9">
        <f>COUNTIF(実績!$W$5:$W$1474,A712)</f>
        <v>1</v>
      </c>
      <c r="D712" s="9">
        <f>COUNTIF(実績!$AB$5:$AC$1474,A712)</f>
        <v>0</v>
      </c>
      <c r="E712" s="12" t="s">
        <v>1553</v>
      </c>
      <c r="F712" s="12"/>
      <c r="G712" s="12"/>
    </row>
    <row r="713" spans="1:7">
      <c r="A713" s="8" t="s">
        <v>2958</v>
      </c>
      <c r="B713" s="9">
        <f>COUNTIF(実績!$R$5:$R$1474,A713)</f>
        <v>0</v>
      </c>
      <c r="C713" s="9">
        <f>COUNTIF(実績!$W$5:$W$1474,A713)</f>
        <v>1</v>
      </c>
      <c r="D713" s="9">
        <f>COUNTIF(実績!$AB$5:$AC$1474,A713)</f>
        <v>0</v>
      </c>
      <c r="E713" s="12" t="s">
        <v>2959</v>
      </c>
      <c r="F713" s="12"/>
      <c r="G713" s="12"/>
    </row>
    <row r="714" spans="1:7">
      <c r="A714" s="8" t="s">
        <v>607</v>
      </c>
      <c r="B714" s="9">
        <f>COUNTIF(実績!$R$5:$R$1474,A714)</f>
        <v>1</v>
      </c>
      <c r="C714" s="9">
        <f>COUNTIF(実績!$W$5:$W$1474,A714)</f>
        <v>0</v>
      </c>
      <c r="D714" s="9">
        <f>COUNTIF(実績!$AB$5:$AC$1474,A714)</f>
        <v>0</v>
      </c>
      <c r="E714" s="12" t="s">
        <v>1343</v>
      </c>
      <c r="F714" s="12"/>
      <c r="G714" s="12"/>
    </row>
    <row r="715" spans="1:7">
      <c r="A715" s="8" t="s">
        <v>5519</v>
      </c>
      <c r="B715" s="9">
        <f>COUNTIF(実績!$R$5:$R$1474,A715)</f>
        <v>2</v>
      </c>
      <c r="C715" s="9">
        <f>COUNTIF(実績!$W$5:$W$1474,A715)</f>
        <v>2</v>
      </c>
      <c r="D715" s="9">
        <f>COUNTIF(実績!$AB$5:$AC$1474,A715)</f>
        <v>0</v>
      </c>
      <c r="E715" s="12" t="s">
        <v>5520</v>
      </c>
      <c r="F715" s="12"/>
      <c r="G715" s="12"/>
    </row>
    <row r="716" spans="1:7">
      <c r="A716" s="8" t="s">
        <v>7282</v>
      </c>
      <c r="B716" s="9">
        <f>COUNTIF(実績!$R$5:$R$1474,A716)</f>
        <v>1</v>
      </c>
      <c r="C716" s="9">
        <f>COUNTIF(実績!$W$5:$W$1474,A716)</f>
        <v>0</v>
      </c>
      <c r="D716" s="9">
        <f>COUNTIF(実績!$AB$5:$AC$1474,A716)</f>
        <v>0</v>
      </c>
      <c r="E716" s="12" t="s">
        <v>7283</v>
      </c>
      <c r="F716" s="12" t="s">
        <v>5839</v>
      </c>
      <c r="G716" s="12" t="s">
        <v>5839</v>
      </c>
    </row>
    <row r="717" spans="1:7">
      <c r="A717" s="8" t="s">
        <v>1437</v>
      </c>
      <c r="B717" s="9">
        <f>COUNTIF(実績!$R$5:$R$1474,A717)</f>
        <v>12</v>
      </c>
      <c r="C717" s="9">
        <f>COUNTIF(実績!$W$5:$W$1474,A717)</f>
        <v>19</v>
      </c>
      <c r="D717" s="9">
        <f>COUNTIF(実績!$AB$5:$AC$1474,A717)</f>
        <v>1</v>
      </c>
      <c r="E717" s="12" t="s">
        <v>1192</v>
      </c>
      <c r="F717" s="12"/>
      <c r="G717" s="12"/>
    </row>
    <row r="718" spans="1:7">
      <c r="A718" s="8" t="s">
        <v>5188</v>
      </c>
      <c r="B718" s="9">
        <f>COUNTIF(実績!$R$5:$R$1474,A718)</f>
        <v>1</v>
      </c>
      <c r="C718" s="9">
        <f>COUNTIF(実績!$W$5:$W$1474,A718)</f>
        <v>0</v>
      </c>
      <c r="D718" s="9">
        <f>COUNTIF(実績!$AB$5:$AC$1474,A718)</f>
        <v>0</v>
      </c>
      <c r="E718" s="12" t="s">
        <v>5189</v>
      </c>
      <c r="F718" s="12"/>
      <c r="G718" s="12"/>
    </row>
    <row r="719" spans="1:7">
      <c r="A719" s="8" t="s">
        <v>14204</v>
      </c>
      <c r="B719" s="9">
        <f>COUNTIF(実績!$R$5:$R$1474,A719)</f>
        <v>0</v>
      </c>
      <c r="C719" s="9">
        <f>COUNTIF(実績!$W$5:$W$1474,A719)</f>
        <v>0</v>
      </c>
      <c r="D719" s="9">
        <f>COUNTIF(実績!$AB$5:$AC$1474,A719)</f>
        <v>1</v>
      </c>
      <c r="E719" s="12" t="s">
        <v>14205</v>
      </c>
      <c r="F719" s="12"/>
      <c r="G719" s="12"/>
    </row>
    <row r="720" spans="1:7">
      <c r="A720" s="8" t="s">
        <v>15909</v>
      </c>
      <c r="B720" s="9">
        <f>COUNTIF(実績!$R$5:$R$1474,A720)</f>
        <v>0</v>
      </c>
      <c r="C720" s="9">
        <f>COUNTIF(実績!$W$5:$W$1474,A720)</f>
        <v>9</v>
      </c>
      <c r="D720" s="9">
        <f>COUNTIF(実績!$AB$5:$AC$1474,A720)</f>
        <v>2</v>
      </c>
      <c r="E720" s="12" t="s">
        <v>9176</v>
      </c>
      <c r="F720" s="12" t="s">
        <v>9177</v>
      </c>
      <c r="G720" s="12"/>
    </row>
    <row r="721" spans="1:7">
      <c r="A721" s="8" t="s">
        <v>980</v>
      </c>
      <c r="B721" s="9">
        <f>COUNTIF(実績!$R$5:$R$1474,A721)</f>
        <v>3</v>
      </c>
      <c r="C721" s="9">
        <f>COUNTIF(実績!$W$5:$W$1474,A721)</f>
        <v>0</v>
      </c>
      <c r="D721" s="9">
        <f>COUNTIF(実績!$AB$5:$AC$1474,A721)</f>
        <v>0</v>
      </c>
      <c r="E721" s="12" t="s">
        <v>1272</v>
      </c>
      <c r="F721" s="12"/>
      <c r="G721" s="12"/>
    </row>
    <row r="722" spans="1:7">
      <c r="A722" s="8" t="s">
        <v>513</v>
      </c>
      <c r="B722" s="9">
        <f>COUNTIF(実績!$R$5:$R$1474,A722)</f>
        <v>10</v>
      </c>
      <c r="C722" s="9">
        <f>COUNTIF(実績!$W$5:$W$1474,A722)</f>
        <v>2</v>
      </c>
      <c r="D722" s="9">
        <f>COUNTIF(実績!$AB$5:$AC$1474,A722)</f>
        <v>14</v>
      </c>
      <c r="E722" s="12" t="s">
        <v>1193</v>
      </c>
      <c r="F722" s="12" t="s">
        <v>6498</v>
      </c>
      <c r="G722" s="12"/>
    </row>
    <row r="723" spans="1:7">
      <c r="A723" s="8" t="s">
        <v>3264</v>
      </c>
      <c r="B723" s="9">
        <f>COUNTIF(実績!$R$5:$R$1474,A723)</f>
        <v>0</v>
      </c>
      <c r="C723" s="9">
        <f>COUNTIF(実績!$W$5:$W$1474,A723)</f>
        <v>1</v>
      </c>
      <c r="D723" s="9">
        <f>COUNTIF(実績!$AB$5:$AC$1474,A723)</f>
        <v>0</v>
      </c>
      <c r="E723" s="12" t="s">
        <v>3265</v>
      </c>
      <c r="F723" s="12"/>
      <c r="G723" s="12"/>
    </row>
    <row r="724" spans="1:7">
      <c r="A724" s="8" t="s">
        <v>8478</v>
      </c>
      <c r="B724" s="9">
        <f>COUNTIF(実績!$R$5:$R$1474,A724)</f>
        <v>1</v>
      </c>
      <c r="C724" s="9">
        <f>COUNTIF(実績!$W$5:$W$1474,A724)</f>
        <v>0</v>
      </c>
      <c r="D724" s="9">
        <f>COUNTIF(実績!$AB$5:$AC$1474,A724)</f>
        <v>0</v>
      </c>
      <c r="E724" s="12" t="s">
        <v>8481</v>
      </c>
      <c r="F724" s="12" t="s">
        <v>5839</v>
      </c>
      <c r="G724" s="12" t="s">
        <v>5839</v>
      </c>
    </row>
    <row r="725" spans="1:7">
      <c r="A725" s="8" t="s">
        <v>4013</v>
      </c>
      <c r="B725" s="9">
        <f>COUNTIF(実績!$R$5:$R$1474,A725)</f>
        <v>1</v>
      </c>
      <c r="C725" s="9">
        <f>COUNTIF(実績!$W$5:$W$1474,A725)</f>
        <v>0</v>
      </c>
      <c r="D725" s="9">
        <f>COUNTIF(実績!$AB$5:$AC$1474,A725)</f>
        <v>0</v>
      </c>
      <c r="E725" s="12" t="s">
        <v>4014</v>
      </c>
      <c r="F725" s="12"/>
      <c r="G725" s="12"/>
    </row>
    <row r="726" spans="1:7">
      <c r="A726" s="8" t="s">
        <v>14905</v>
      </c>
      <c r="B726" s="9">
        <f>COUNTIF(実績!$R$5:$R$1474,A726)</f>
        <v>0</v>
      </c>
      <c r="C726" s="9">
        <f>COUNTIF(実績!$W$5:$W$1474,A726)</f>
        <v>1</v>
      </c>
      <c r="D726" s="9">
        <f>COUNTIF(実績!$AB$5:$AC$1474,A726)</f>
        <v>0</v>
      </c>
      <c r="E726" s="12" t="s">
        <v>14906</v>
      </c>
      <c r="F726" s="12"/>
      <c r="G726" s="12"/>
    </row>
    <row r="727" spans="1:7">
      <c r="A727" s="8" t="s">
        <v>628</v>
      </c>
      <c r="B727" s="9">
        <f>COUNTIF(実績!$R$5:$R$1474,A727)</f>
        <v>0</v>
      </c>
      <c r="C727" s="9">
        <f>COUNTIF(実績!$W$5:$W$1474,A727)</f>
        <v>2</v>
      </c>
      <c r="D727" s="9">
        <f>COUNTIF(実績!$AB$5:$AC$1474,A727)</f>
        <v>0</v>
      </c>
      <c r="E727" s="12" t="s">
        <v>1339</v>
      </c>
      <c r="F727" s="12"/>
      <c r="G727" s="12"/>
    </row>
    <row r="728" spans="1:7">
      <c r="A728" s="8" t="s">
        <v>5047</v>
      </c>
      <c r="B728" s="9">
        <f>COUNTIF(実績!$R$5:$R$1474,A728)</f>
        <v>1</v>
      </c>
      <c r="C728" s="9">
        <f>COUNTIF(実績!$W$5:$W$1474,A728)</f>
        <v>0</v>
      </c>
      <c r="D728" s="9">
        <f>COUNTIF(実績!$AB$5:$AC$1474,A728)</f>
        <v>0</v>
      </c>
      <c r="E728" s="12" t="s">
        <v>5048</v>
      </c>
      <c r="F728" s="12"/>
      <c r="G728" s="12"/>
    </row>
    <row r="729" spans="1:7">
      <c r="A729" s="13" t="s">
        <v>1452</v>
      </c>
      <c r="B729" s="9">
        <f>COUNTIF(実績!$R$5:$R$1474,A729)</f>
        <v>0</v>
      </c>
      <c r="C729" s="9">
        <f>COUNTIF(実績!$W$5:$W$1474,A729)</f>
        <v>1</v>
      </c>
      <c r="D729" s="9">
        <f>COUNTIF(実績!$AB$5:$AC$1474,A729)</f>
        <v>0</v>
      </c>
      <c r="E729" s="12" t="s">
        <v>1453</v>
      </c>
      <c r="F729" s="12"/>
      <c r="G729" s="12"/>
    </row>
    <row r="730" spans="1:7">
      <c r="A730" s="8" t="s">
        <v>7331</v>
      </c>
      <c r="B730" s="9">
        <f>COUNTIF(実績!$R$5:$R$1474,A730)</f>
        <v>1</v>
      </c>
      <c r="C730" s="9">
        <f>COUNTIF(実績!$W$5:$W$1474,A730)</f>
        <v>1</v>
      </c>
      <c r="D730" s="9">
        <f>COUNTIF(実績!$AB$5:$AC$1474,A730)</f>
        <v>0</v>
      </c>
      <c r="E730" s="12" t="s">
        <v>7341</v>
      </c>
      <c r="F730" s="12" t="s">
        <v>5839</v>
      </c>
      <c r="G730" s="12" t="s">
        <v>5839</v>
      </c>
    </row>
    <row r="731" spans="1:7">
      <c r="A731" s="8" t="s">
        <v>7934</v>
      </c>
      <c r="B731" s="9">
        <f>COUNTIF(実績!$R$5:$R$1474,A731)</f>
        <v>1</v>
      </c>
      <c r="C731" s="9">
        <f>COUNTIF(実績!$W$5:$W$1474,A731)</f>
        <v>0</v>
      </c>
      <c r="D731" s="9">
        <f>COUNTIF(実績!$AB$5:$AC$1474,A731)</f>
        <v>0</v>
      </c>
      <c r="E731" s="12" t="s">
        <v>7938</v>
      </c>
      <c r="F731" s="12" t="s">
        <v>5839</v>
      </c>
      <c r="G731" s="12" t="s">
        <v>5839</v>
      </c>
    </row>
    <row r="732" spans="1:7">
      <c r="A732" s="8" t="s">
        <v>6752</v>
      </c>
      <c r="B732" s="9">
        <f>COUNTIF(実績!$R$5:$R$1474,A732)</f>
        <v>1</v>
      </c>
      <c r="C732" s="9">
        <f>COUNTIF(実績!$W$5:$W$1474,A732)</f>
        <v>0</v>
      </c>
      <c r="D732" s="9">
        <f>COUNTIF(実績!$AB$5:$AC$1474,A732)</f>
        <v>0</v>
      </c>
      <c r="E732" s="12" t="s">
        <v>6753</v>
      </c>
      <c r="F732" s="12" t="s">
        <v>5839</v>
      </c>
      <c r="G732" s="12" t="s">
        <v>5839</v>
      </c>
    </row>
    <row r="733" spans="1:7">
      <c r="A733" s="8" t="s">
        <v>8410</v>
      </c>
      <c r="B733" s="9">
        <f>COUNTIF(実績!$R$5:$R$1474,A733)</f>
        <v>1</v>
      </c>
      <c r="C733" s="9">
        <f>COUNTIF(実績!$W$5:$W$1474,A733)</f>
        <v>0</v>
      </c>
      <c r="D733" s="9">
        <f>COUNTIF(実績!$AB$5:$AC$1474,A733)</f>
        <v>0</v>
      </c>
      <c r="E733" s="12" t="s">
        <v>8411</v>
      </c>
      <c r="F733" s="12" t="s">
        <v>5839</v>
      </c>
      <c r="G733" s="12" t="s">
        <v>5839</v>
      </c>
    </row>
    <row r="734" spans="1:7">
      <c r="A734" s="8" t="s">
        <v>7436</v>
      </c>
      <c r="B734" s="9">
        <f>COUNTIF(実績!$R$5:$R$1474,A734)</f>
        <v>0</v>
      </c>
      <c r="C734" s="9">
        <f>COUNTIF(実績!$W$5:$W$1474,A734)</f>
        <v>1</v>
      </c>
      <c r="D734" s="9">
        <f>COUNTIF(実績!$AB$5:$AC$1474,A734)</f>
        <v>0</v>
      </c>
      <c r="E734" s="12" t="s">
        <v>7437</v>
      </c>
      <c r="F734" s="12" t="s">
        <v>5839</v>
      </c>
      <c r="G734" s="12" t="s">
        <v>5839</v>
      </c>
    </row>
    <row r="735" spans="1:7">
      <c r="A735" s="13" t="s">
        <v>1577</v>
      </c>
      <c r="B735" s="9">
        <f>COUNTIF(実績!$R$5:$R$1474,A735)</f>
        <v>1</v>
      </c>
      <c r="C735" s="9">
        <f>COUNTIF(実績!$W$5:$W$1474,A735)</f>
        <v>0</v>
      </c>
      <c r="D735" s="9">
        <f>COUNTIF(実績!$AB$5:$AC$1474,A735)</f>
        <v>0</v>
      </c>
      <c r="E735" s="12" t="s">
        <v>1578</v>
      </c>
      <c r="F735" s="12"/>
      <c r="G735" s="12"/>
    </row>
    <row r="736" spans="1:7">
      <c r="A736" s="8" t="s">
        <v>2356</v>
      </c>
      <c r="B736" s="9">
        <f>COUNTIF(実績!$R$5:$R$1474,A736)</f>
        <v>0</v>
      </c>
      <c r="C736" s="9">
        <f>COUNTIF(実績!$W$5:$W$1474,A736)</f>
        <v>1</v>
      </c>
      <c r="D736" s="9">
        <f>COUNTIF(実績!$AB$5:$AC$1474,A736)</f>
        <v>0</v>
      </c>
      <c r="E736" s="12" t="s">
        <v>2357</v>
      </c>
      <c r="F736" s="12"/>
      <c r="G736" s="12"/>
    </row>
    <row r="737" spans="1:7">
      <c r="A737" s="8" t="s">
        <v>10447</v>
      </c>
      <c r="B737" s="9">
        <f>COUNTIF(実績!$R$5:$R$1474,A737)</f>
        <v>0</v>
      </c>
      <c r="C737" s="9">
        <f>COUNTIF(実績!$W$5:$W$1474,A737)</f>
        <v>1</v>
      </c>
      <c r="D737" s="9">
        <f>COUNTIF(実績!$AB$5:$AC$1474,A737)</f>
        <v>0</v>
      </c>
      <c r="E737" s="12" t="s">
        <v>10448</v>
      </c>
      <c r="F737" s="12"/>
      <c r="G737" s="12"/>
    </row>
    <row r="738" spans="1:7">
      <c r="A738" s="8" t="s">
        <v>6267</v>
      </c>
      <c r="B738" s="9">
        <f>COUNTIF(実績!$R$5:$R$1474,A738)</f>
        <v>1</v>
      </c>
      <c r="C738" s="9">
        <f>COUNTIF(実績!$W$5:$W$1474,A738)</f>
        <v>1</v>
      </c>
      <c r="D738" s="9">
        <f>COUNTIF(実績!$AB$5:$AC$1474,A738)</f>
        <v>0</v>
      </c>
      <c r="E738" s="12" t="s">
        <v>6268</v>
      </c>
      <c r="F738" s="12" t="s">
        <v>5839</v>
      </c>
      <c r="G738" s="12"/>
    </row>
    <row r="739" spans="1:7">
      <c r="A739" s="8" t="s">
        <v>6706</v>
      </c>
      <c r="B739" s="9">
        <f>COUNTIF(実績!$R$5:$R$1474,A739)</f>
        <v>1</v>
      </c>
      <c r="C739" s="9">
        <f>COUNTIF(実績!$W$5:$W$1474,A739)</f>
        <v>0</v>
      </c>
      <c r="D739" s="9">
        <f>COUNTIF(実績!$AB$5:$AC$1474,A739)</f>
        <v>0</v>
      </c>
      <c r="E739" s="12" t="s">
        <v>6707</v>
      </c>
      <c r="F739" s="12" t="s">
        <v>5839</v>
      </c>
      <c r="G739" s="12" t="s">
        <v>5839</v>
      </c>
    </row>
    <row r="740" spans="1:7">
      <c r="A740" s="8" t="s">
        <v>774</v>
      </c>
      <c r="B740" s="9">
        <f>COUNTIF(実績!$R$5:$R$1474,A740)</f>
        <v>0</v>
      </c>
      <c r="C740" s="9">
        <f>COUNTIF(実績!$W$5:$W$1474,A740)</f>
        <v>1</v>
      </c>
      <c r="D740" s="9">
        <f>COUNTIF(実績!$AB$5:$AC$1474,A740)</f>
        <v>0</v>
      </c>
      <c r="E740" s="12" t="s">
        <v>1194</v>
      </c>
      <c r="F740" s="12"/>
      <c r="G740" s="12"/>
    </row>
    <row r="741" spans="1:7">
      <c r="A741" s="8" t="s">
        <v>8387</v>
      </c>
      <c r="B741" s="9">
        <f>COUNTIF(実績!$R$5:$R$1474,A741)</f>
        <v>1</v>
      </c>
      <c r="C741" s="9">
        <f>COUNTIF(実績!$W$5:$W$1474,A741)</f>
        <v>0</v>
      </c>
      <c r="D741" s="9">
        <f>COUNTIF(実績!$AB$5:$AC$1474,A741)</f>
        <v>0</v>
      </c>
      <c r="E741" s="12" t="s">
        <v>8388</v>
      </c>
      <c r="F741" s="12" t="s">
        <v>5839</v>
      </c>
      <c r="G741" s="12" t="s">
        <v>5839</v>
      </c>
    </row>
    <row r="742" spans="1:7">
      <c r="A742" s="8" t="s">
        <v>6327</v>
      </c>
      <c r="B742" s="9">
        <f>COUNTIF(実績!$R$5:$R$1474,A742)</f>
        <v>1</v>
      </c>
      <c r="C742" s="9">
        <f>COUNTIF(実績!$W$5:$W$1474,A742)</f>
        <v>0</v>
      </c>
      <c r="D742" s="9">
        <f>COUNTIF(実績!$AB$5:$AC$1474,A742)</f>
        <v>0</v>
      </c>
      <c r="E742" s="12" t="s">
        <v>6328</v>
      </c>
      <c r="F742" s="12" t="s">
        <v>5839</v>
      </c>
      <c r="G742" s="12"/>
    </row>
    <row r="743" spans="1:7">
      <c r="A743" s="8" t="s">
        <v>8120</v>
      </c>
      <c r="B743" s="9">
        <f>COUNTIF(実績!$R$5:$R$1474,A743)</f>
        <v>1</v>
      </c>
      <c r="C743" s="9">
        <f>COUNTIF(実績!$W$5:$W$1474,A743)</f>
        <v>0</v>
      </c>
      <c r="D743" s="9">
        <f>COUNTIF(実績!$AB$5:$AC$1474,A743)</f>
        <v>0</v>
      </c>
      <c r="E743" s="12" t="s">
        <v>4529</v>
      </c>
      <c r="F743" s="12"/>
      <c r="G743" s="12"/>
    </row>
    <row r="744" spans="1:7">
      <c r="A744" s="8" t="s">
        <v>2996</v>
      </c>
      <c r="B744" s="9">
        <f>COUNTIF(実績!$R$5:$R$1474,A744)</f>
        <v>0</v>
      </c>
      <c r="C744" s="9">
        <f>COUNTIF(実績!$W$5:$W$1474,A744)</f>
        <v>1</v>
      </c>
      <c r="D744" s="9">
        <f>COUNTIF(実績!$AB$5:$AC$1474,A744)</f>
        <v>0</v>
      </c>
      <c r="E744" s="12" t="s">
        <v>2997</v>
      </c>
      <c r="F744" s="12"/>
      <c r="G744" s="12"/>
    </row>
    <row r="745" spans="1:7">
      <c r="A745" s="8" t="s">
        <v>701</v>
      </c>
      <c r="B745" s="9">
        <f>COUNTIF(実績!$R$5:$R$1474,A745)</f>
        <v>0</v>
      </c>
      <c r="C745" s="9">
        <f>COUNTIF(実績!$W$5:$W$1474,A745)</f>
        <v>1</v>
      </c>
      <c r="D745" s="9">
        <f>COUNTIF(実績!$AB$5:$AC$1474,A745)</f>
        <v>0</v>
      </c>
      <c r="E745" s="12" t="s">
        <v>1273</v>
      </c>
      <c r="F745" s="12"/>
      <c r="G745" s="12"/>
    </row>
    <row r="746" spans="1:7">
      <c r="A746" s="8" t="s">
        <v>5299</v>
      </c>
      <c r="B746" s="9">
        <f>COUNTIF(実績!$R$5:$R$1474,A746)</f>
        <v>0</v>
      </c>
      <c r="C746" s="9">
        <f>COUNTIF(実績!$W$5:$W$1474,A746)</f>
        <v>0</v>
      </c>
      <c r="D746" s="9">
        <f>COUNTIF(実績!$AB$5:$AC$1474,A746)</f>
        <v>1</v>
      </c>
      <c r="E746" s="12" t="s">
        <v>5300</v>
      </c>
      <c r="F746" s="12"/>
      <c r="G746" s="12"/>
    </row>
    <row r="747" spans="1:7">
      <c r="A747" s="8" t="s">
        <v>14895</v>
      </c>
      <c r="B747" s="9">
        <f>COUNTIF(実績!$R$5:$R$1474,A747)</f>
        <v>1</v>
      </c>
      <c r="C747" s="9">
        <f>COUNTIF(実績!$W$5:$W$1474,A747)</f>
        <v>0</v>
      </c>
      <c r="D747" s="9">
        <f>COUNTIF(実績!$AB$5:$AC$1474,A747)</f>
        <v>0</v>
      </c>
      <c r="E747" s="12" t="s">
        <v>14896</v>
      </c>
      <c r="F747" s="12"/>
      <c r="G747" s="12"/>
    </row>
    <row r="748" spans="1:7">
      <c r="A748" s="8" t="s">
        <v>2360</v>
      </c>
      <c r="B748" s="9">
        <f>COUNTIF(実績!$R$5:$R$1474,A748)</f>
        <v>0</v>
      </c>
      <c r="C748" s="9">
        <f>COUNTIF(実績!$W$5:$W$1474,A748)</f>
        <v>1</v>
      </c>
      <c r="D748" s="9">
        <f>COUNTIF(実績!$AB$5:$AC$1474,A748)</f>
        <v>0</v>
      </c>
      <c r="E748" s="12" t="s">
        <v>2361</v>
      </c>
      <c r="F748" s="12"/>
      <c r="G748" s="12"/>
    </row>
    <row r="749" spans="1:7">
      <c r="A749" s="8" t="s">
        <v>10309</v>
      </c>
      <c r="B749" s="9">
        <f>COUNTIF(実績!$R$5:$R$1474,A749)</f>
        <v>0</v>
      </c>
      <c r="C749" s="9">
        <f>COUNTIF(実績!$W$5:$W$1474,A749)</f>
        <v>0</v>
      </c>
      <c r="D749" s="9">
        <f>COUNTIF(実績!$AB$5:$AC$1474,A749)</f>
        <v>1</v>
      </c>
      <c r="E749" s="12" t="s">
        <v>10310</v>
      </c>
      <c r="F749" s="12"/>
      <c r="G749" s="12"/>
    </row>
    <row r="750" spans="1:7">
      <c r="A750" s="8" t="s">
        <v>518</v>
      </c>
      <c r="B750" s="9">
        <f>COUNTIF(実績!$R$5:$R$1474,A750)</f>
        <v>0</v>
      </c>
      <c r="C750" s="9">
        <f>COUNTIF(実績!$W$5:$W$1474,A750)</f>
        <v>1</v>
      </c>
      <c r="D750" s="9">
        <f>COUNTIF(実績!$AB$5:$AC$1474,A750)</f>
        <v>0</v>
      </c>
      <c r="E750" s="12" t="s">
        <v>1345</v>
      </c>
      <c r="F750" s="12"/>
      <c r="G750" s="12"/>
    </row>
    <row r="751" spans="1:7">
      <c r="A751" s="8" t="s">
        <v>4733</v>
      </c>
      <c r="B751" s="9">
        <f>COUNTIF(実績!$R$5:$R$1474,A751)</f>
        <v>1</v>
      </c>
      <c r="C751" s="9">
        <f>COUNTIF(実績!$W$5:$W$1474,A751)</f>
        <v>1</v>
      </c>
      <c r="D751" s="9">
        <f>COUNTIF(実績!$AB$5:$AC$1474,A751)</f>
        <v>0</v>
      </c>
      <c r="E751" s="12" t="s">
        <v>4732</v>
      </c>
      <c r="F751" s="12"/>
      <c r="G751" s="12"/>
    </row>
    <row r="752" spans="1:7">
      <c r="A752" s="8" t="s">
        <v>4625</v>
      </c>
      <c r="B752" s="9">
        <f>COUNTIF(実績!$R$5:$R$1474,A752)</f>
        <v>0</v>
      </c>
      <c r="C752" s="9">
        <f>COUNTIF(実績!$W$5:$W$1474,A752)</f>
        <v>1</v>
      </c>
      <c r="D752" s="9">
        <f>COUNTIF(実績!$AB$5:$AC$1474,A752)</f>
        <v>0</v>
      </c>
      <c r="E752" s="8" t="s">
        <v>4625</v>
      </c>
      <c r="F752" s="12"/>
      <c r="G752" s="12"/>
    </row>
    <row r="753" spans="1:7">
      <c r="A753" s="8" t="s">
        <v>459</v>
      </c>
      <c r="B753" s="9">
        <f>COUNTIF(実績!$R$5:$R$1474,A753)</f>
        <v>0</v>
      </c>
      <c r="C753" s="9">
        <f>COUNTIF(実績!$W$5:$W$1474,A753)</f>
        <v>2</v>
      </c>
      <c r="D753" s="9">
        <f>COUNTIF(実績!$AB$5:$AC$1474,A753)</f>
        <v>1</v>
      </c>
      <c r="E753" s="12" t="s">
        <v>1274</v>
      </c>
      <c r="F753" s="12"/>
      <c r="G753" s="12"/>
    </row>
    <row r="754" spans="1:7">
      <c r="A754" s="8" t="s">
        <v>5324</v>
      </c>
      <c r="B754" s="9">
        <f>COUNTIF(実績!$R$5:$R$1474,A754)</f>
        <v>1</v>
      </c>
      <c r="C754" s="9">
        <f>COUNTIF(実績!$W$5:$W$1474,A754)</f>
        <v>0</v>
      </c>
      <c r="D754" s="9">
        <f>COUNTIF(実績!$AB$5:$AC$1474,A754)</f>
        <v>0</v>
      </c>
      <c r="E754" s="12" t="s">
        <v>5325</v>
      </c>
      <c r="F754" s="12"/>
      <c r="G754" s="12"/>
    </row>
    <row r="755" spans="1:7">
      <c r="A755" s="8" t="s">
        <v>558</v>
      </c>
      <c r="B755" s="9">
        <f>COUNTIF(実績!$R$5:$R$1474,A755)</f>
        <v>0</v>
      </c>
      <c r="C755" s="9">
        <f>COUNTIF(実績!$W$5:$W$1474,A755)</f>
        <v>0</v>
      </c>
      <c r="D755" s="9">
        <f>COUNTIF(実績!$AB$5:$AC$1474,A755)</f>
        <v>2</v>
      </c>
      <c r="E755" s="12" t="s">
        <v>1275</v>
      </c>
      <c r="F755" s="12"/>
      <c r="G755" s="12"/>
    </row>
    <row r="756" spans="1:7">
      <c r="A756" s="8" t="s">
        <v>1387</v>
      </c>
      <c r="B756" s="9">
        <f>COUNTIF(実績!$R$5:$R$1474,A756)</f>
        <v>0</v>
      </c>
      <c r="C756" s="9">
        <f>COUNTIF(実績!$W$5:$W$1474,A756)</f>
        <v>1</v>
      </c>
      <c r="D756" s="9">
        <f>COUNTIF(実績!$AB$5:$AC$1474,A756)</f>
        <v>0</v>
      </c>
      <c r="E756" s="12" t="s">
        <v>1388</v>
      </c>
      <c r="F756" s="12"/>
      <c r="G756" s="12"/>
    </row>
    <row r="757" spans="1:7">
      <c r="A757" s="8" t="s">
        <v>3551</v>
      </c>
      <c r="B757" s="9">
        <f>COUNTIF(実績!$R$5:$R$1474,A757)</f>
        <v>3</v>
      </c>
      <c r="C757" s="9">
        <f>COUNTIF(実績!$W$5:$W$1474,A757)</f>
        <v>0</v>
      </c>
      <c r="D757" s="9">
        <f>COUNTIF(実績!$AB$5:$AC$1474,A757)</f>
        <v>0</v>
      </c>
      <c r="E757" s="12" t="s">
        <v>3552</v>
      </c>
      <c r="F757" s="12"/>
      <c r="G757" s="12"/>
    </row>
    <row r="758" spans="1:7">
      <c r="A758" s="8" t="s">
        <v>15588</v>
      </c>
      <c r="B758" s="9">
        <f>COUNTIF(実績!$R$5:$R$1474,A758)</f>
        <v>0</v>
      </c>
      <c r="C758" s="9">
        <f>COUNTIF(実績!$W$5:$W$1474,A758)</f>
        <v>0</v>
      </c>
      <c r="D758" s="9">
        <f>COUNTIF(実績!$AB$5:$AC$1474,A758)</f>
        <v>1</v>
      </c>
      <c r="E758" s="12" t="s">
        <v>15589</v>
      </c>
      <c r="F758" s="12"/>
      <c r="G758" s="12"/>
    </row>
    <row r="759" spans="1:7">
      <c r="A759" s="8" t="s">
        <v>550</v>
      </c>
      <c r="B759" s="9">
        <f>COUNTIF(実績!$R$5:$R$1474,A759)</f>
        <v>0</v>
      </c>
      <c r="C759" s="9">
        <f>COUNTIF(実績!$W$5:$W$1474,A759)</f>
        <v>2</v>
      </c>
      <c r="D759" s="9">
        <f>COUNTIF(実績!$AB$5:$AC$1474,A759)</f>
        <v>0</v>
      </c>
      <c r="E759" s="12" t="s">
        <v>1195</v>
      </c>
      <c r="F759" s="12"/>
      <c r="G759" s="12"/>
    </row>
    <row r="760" spans="1:7">
      <c r="A760" s="8" t="s">
        <v>8499</v>
      </c>
      <c r="B760" s="9">
        <f>COUNTIF(実績!$R$5:$R$1474,A760)</f>
        <v>0</v>
      </c>
      <c r="C760" s="9">
        <f>COUNTIF(実績!$W$5:$W$1474,A760)</f>
        <v>1</v>
      </c>
      <c r="D760" s="9">
        <f>COUNTIF(実績!$AB$5:$AC$1474,A760)</f>
        <v>0</v>
      </c>
      <c r="E760" s="12" t="s">
        <v>8500</v>
      </c>
      <c r="F760" s="12" t="s">
        <v>5839</v>
      </c>
      <c r="G760" s="12" t="s">
        <v>5839</v>
      </c>
    </row>
    <row r="761" spans="1:7">
      <c r="A761" s="8" t="s">
        <v>1695</v>
      </c>
      <c r="B761" s="9">
        <f>COUNTIF(実績!$R$5:$R$1474,A761)</f>
        <v>1</v>
      </c>
      <c r="C761" s="9">
        <f>COUNTIF(実績!$W$5:$W$1474,A761)</f>
        <v>0</v>
      </c>
      <c r="D761" s="9">
        <f>COUNTIF(実績!$AB$5:$AC$1474,A761)</f>
        <v>0</v>
      </c>
      <c r="E761" s="12" t="s">
        <v>1696</v>
      </c>
      <c r="F761" s="12"/>
      <c r="G761" s="12"/>
    </row>
    <row r="762" spans="1:7">
      <c r="A762" s="8" t="s">
        <v>569</v>
      </c>
      <c r="B762" s="9">
        <f>COUNTIF(実績!$R$5:$R$1474,A762)</f>
        <v>2</v>
      </c>
      <c r="C762" s="9">
        <f>COUNTIF(実績!$W$5:$W$1474,A762)</f>
        <v>0</v>
      </c>
      <c r="D762" s="9">
        <f>COUNTIF(実績!$AB$5:$AC$1474,A762)</f>
        <v>0</v>
      </c>
      <c r="E762" s="12" t="s">
        <v>1196</v>
      </c>
      <c r="F762" s="12"/>
      <c r="G762" s="12"/>
    </row>
    <row r="763" spans="1:7">
      <c r="A763" s="8" t="s">
        <v>7919</v>
      </c>
      <c r="B763" s="9">
        <f>COUNTIF(実績!$R$5:$R$1474,A763)</f>
        <v>3</v>
      </c>
      <c r="C763" s="9">
        <f>COUNTIF(実績!$W$5:$W$1474,A763)</f>
        <v>0</v>
      </c>
      <c r="D763" s="9">
        <f>COUNTIF(実績!$AB$5:$AC$1474,A763)</f>
        <v>0</v>
      </c>
      <c r="E763" s="12" t="s">
        <v>7920</v>
      </c>
      <c r="F763" s="12" t="s">
        <v>5839</v>
      </c>
      <c r="G763" s="12" t="s">
        <v>5839</v>
      </c>
    </row>
    <row r="764" spans="1:7">
      <c r="A764" s="8" t="s">
        <v>487</v>
      </c>
      <c r="B764" s="9">
        <f>COUNTIF(実績!$R$5:$R$1474,A764)</f>
        <v>5</v>
      </c>
      <c r="C764" s="9">
        <f>COUNTIF(実績!$W$5:$W$1474,A764)</f>
        <v>0</v>
      </c>
      <c r="D764" s="9">
        <f>COUNTIF(実績!$AB$5:$AC$1474,A764)</f>
        <v>7</v>
      </c>
      <c r="E764" s="12" t="s">
        <v>1197</v>
      </c>
      <c r="F764" s="12"/>
      <c r="G764" s="12"/>
    </row>
    <row r="765" spans="1:7">
      <c r="A765" s="8" t="s">
        <v>1089</v>
      </c>
      <c r="B765" s="9">
        <f>COUNTIF(実績!$R$5:$R$1474,A765)</f>
        <v>2</v>
      </c>
      <c r="C765" s="9">
        <f>COUNTIF(実績!$W$5:$W$1474,A765)</f>
        <v>0</v>
      </c>
      <c r="D765" s="9">
        <f>COUNTIF(実績!$AB$5:$AC$1474,A765)</f>
        <v>0</v>
      </c>
      <c r="E765" s="12" t="s">
        <v>1338</v>
      </c>
      <c r="F765" s="12"/>
      <c r="G765" s="12"/>
    </row>
    <row r="766" spans="1:7">
      <c r="A766" s="8" t="s">
        <v>9578</v>
      </c>
      <c r="B766" s="9">
        <f>COUNTIF(実績!$R$5:$R$1474,A766)</f>
        <v>2</v>
      </c>
      <c r="C766" s="9">
        <f>COUNTIF(実績!$W$5:$W$1474,A766)</f>
        <v>0</v>
      </c>
      <c r="D766" s="9">
        <f>COUNTIF(実績!$AB$5:$AC$1474,A766)</f>
        <v>0</v>
      </c>
      <c r="E766" s="12" t="s">
        <v>9581</v>
      </c>
      <c r="F766" s="12" t="s">
        <v>5839</v>
      </c>
      <c r="G766" s="12" t="s">
        <v>5839</v>
      </c>
    </row>
    <row r="767" spans="1:7">
      <c r="A767" s="8" t="s">
        <v>8974</v>
      </c>
      <c r="B767" s="9">
        <f>COUNTIF(実績!$R$5:$R$1474,A767)</f>
        <v>1</v>
      </c>
      <c r="C767" s="9">
        <f>COUNTIF(実績!$W$5:$W$1474,A767)</f>
        <v>0</v>
      </c>
      <c r="D767" s="9">
        <f>COUNTIF(実績!$AB$5:$AC$1474,A767)</f>
        <v>0</v>
      </c>
      <c r="E767" s="12" t="s">
        <v>8976</v>
      </c>
      <c r="F767" s="12" t="s">
        <v>5839</v>
      </c>
      <c r="G767" s="12" t="s">
        <v>5839</v>
      </c>
    </row>
    <row r="768" spans="1:7">
      <c r="A768" s="8" t="s">
        <v>8541</v>
      </c>
      <c r="B768" s="9">
        <f>COUNTIF(実績!$R$5:$R$1474,A768)</f>
        <v>1</v>
      </c>
      <c r="C768" s="9">
        <f>COUNTIF(実績!$W$5:$W$1474,A768)</f>
        <v>0</v>
      </c>
      <c r="D768" s="9">
        <f>COUNTIF(実績!$AB$5:$AC$1474,A768)</f>
        <v>0</v>
      </c>
      <c r="E768" s="12" t="s">
        <v>8542</v>
      </c>
      <c r="F768" s="12" t="s">
        <v>5839</v>
      </c>
      <c r="G768" s="12" t="s">
        <v>5839</v>
      </c>
    </row>
    <row r="769" spans="1:7">
      <c r="A769" s="8" t="s">
        <v>8569</v>
      </c>
      <c r="B769" s="9">
        <f>COUNTIF(実績!$R$5:$R$1474,A769)</f>
        <v>1</v>
      </c>
      <c r="C769" s="9">
        <f>COUNTIF(実績!$W$5:$W$1474,A769)</f>
        <v>0</v>
      </c>
      <c r="D769" s="9">
        <f>COUNTIF(実績!$AB$5:$AC$1474,A769)</f>
        <v>0</v>
      </c>
      <c r="E769" s="12" t="s">
        <v>8570</v>
      </c>
      <c r="F769" s="12" t="s">
        <v>5839</v>
      </c>
      <c r="G769" s="12" t="s">
        <v>5839</v>
      </c>
    </row>
    <row r="770" spans="1:7">
      <c r="A770" s="8" t="s">
        <v>9864</v>
      </c>
      <c r="B770" s="9">
        <f>COUNTIF(実績!$R$5:$R$1474,A770)</f>
        <v>0</v>
      </c>
      <c r="C770" s="9">
        <f>COUNTIF(実績!$W$5:$W$1474,A770)</f>
        <v>0</v>
      </c>
      <c r="D770" s="9">
        <f>COUNTIF(実績!$AB$5:$AC$1474,A770)</f>
        <v>1</v>
      </c>
      <c r="E770" s="12" t="s">
        <v>9865</v>
      </c>
      <c r="F770" s="12"/>
      <c r="G770" s="12"/>
    </row>
    <row r="771" spans="1:7">
      <c r="A771" s="8" t="s">
        <v>3085</v>
      </c>
      <c r="B771" s="9">
        <f>COUNTIF(実績!$R$5:$R$1474,A771)</f>
        <v>0</v>
      </c>
      <c r="C771" s="9">
        <f>COUNTIF(実績!$W$5:$W$1474,A771)</f>
        <v>8</v>
      </c>
      <c r="D771" s="9">
        <f>COUNTIF(実績!$AB$5:$AC$1474,A771)</f>
        <v>0</v>
      </c>
      <c r="E771" s="12" t="s">
        <v>3086</v>
      </c>
      <c r="F771" s="12" t="s">
        <v>5825</v>
      </c>
      <c r="G771" s="12"/>
    </row>
    <row r="772" spans="1:7">
      <c r="A772" s="8" t="s">
        <v>595</v>
      </c>
      <c r="B772" s="9">
        <f>COUNTIF(実績!$R$5:$R$1474,A772)</f>
        <v>1</v>
      </c>
      <c r="C772" s="9">
        <f>COUNTIF(実績!$W$5:$W$1474,A772)</f>
        <v>0</v>
      </c>
      <c r="D772" s="9">
        <f>COUNTIF(実績!$AB$5:$AC$1474,A772)</f>
        <v>0</v>
      </c>
      <c r="E772" s="12" t="s">
        <v>1198</v>
      </c>
      <c r="F772" s="12"/>
      <c r="G772" s="12"/>
    </row>
    <row r="773" spans="1:7">
      <c r="A773" s="8" t="s">
        <v>4735</v>
      </c>
      <c r="B773" s="9">
        <f>COUNTIF(実績!$R$5:$R$1474,A773)</f>
        <v>1</v>
      </c>
      <c r="C773" s="9">
        <f>COUNTIF(実績!$W$5:$W$1474,A773)</f>
        <v>1</v>
      </c>
      <c r="D773" s="9">
        <f>COUNTIF(実績!$AB$5:$AC$1474,A773)</f>
        <v>0</v>
      </c>
      <c r="E773" s="12" t="s">
        <v>4736</v>
      </c>
      <c r="F773" s="12"/>
      <c r="G773" s="12"/>
    </row>
    <row r="774" spans="1:7">
      <c r="A774" s="8" t="s">
        <v>6147</v>
      </c>
      <c r="B774" s="9">
        <f>COUNTIF(実績!$R$5:$R$1474,A774)</f>
        <v>1</v>
      </c>
      <c r="C774" s="9">
        <f>COUNTIF(実績!$W$5:$W$1474,A774)</f>
        <v>0</v>
      </c>
      <c r="D774" s="9">
        <f>COUNTIF(実績!$AB$5:$AC$1474,A774)</f>
        <v>0</v>
      </c>
      <c r="E774" s="12" t="s">
        <v>6149</v>
      </c>
      <c r="F774" s="12" t="s">
        <v>5839</v>
      </c>
      <c r="G774" s="12"/>
    </row>
    <row r="775" spans="1:7">
      <c r="A775" s="8" t="s">
        <v>5448</v>
      </c>
      <c r="B775" s="9">
        <f>COUNTIF(実績!$R$5:$R$1474,A775)</f>
        <v>3</v>
      </c>
      <c r="C775" s="9">
        <f>COUNTIF(実績!$W$5:$W$1474,A775)</f>
        <v>1</v>
      </c>
      <c r="D775" s="9">
        <f>COUNTIF(実績!$AB$5:$AC$1474,A775)</f>
        <v>0</v>
      </c>
      <c r="E775" s="12" t="s">
        <v>5449</v>
      </c>
      <c r="F775" s="12"/>
      <c r="G775" s="12"/>
    </row>
    <row r="776" spans="1:7">
      <c r="A776" s="8" t="s">
        <v>5296</v>
      </c>
      <c r="B776" s="9">
        <f>COUNTIF(実績!$R$5:$R$1474,A776)</f>
        <v>1</v>
      </c>
      <c r="C776" s="9">
        <f>COUNTIF(実績!$W$5:$W$1474,A776)</f>
        <v>0</v>
      </c>
      <c r="D776" s="9">
        <f>COUNTIF(実績!$AB$5:$AC$1474,A776)</f>
        <v>0</v>
      </c>
      <c r="E776" s="12" t="s">
        <v>5297</v>
      </c>
      <c r="F776" s="12"/>
      <c r="G776" s="12"/>
    </row>
    <row r="777" spans="1:7">
      <c r="A777" s="8" t="s">
        <v>802</v>
      </c>
      <c r="B777" s="9">
        <f>COUNTIF(実績!$R$5:$R$1474,A777)</f>
        <v>0</v>
      </c>
      <c r="C777" s="9">
        <f>COUNTIF(実績!$W$5:$W$1474,A777)</f>
        <v>1</v>
      </c>
      <c r="D777" s="9">
        <f>COUNTIF(実績!$AB$5:$AC$1474,A777)</f>
        <v>0</v>
      </c>
      <c r="E777" s="12" t="s">
        <v>1199</v>
      </c>
      <c r="F777" s="12"/>
      <c r="G777" s="12"/>
    </row>
    <row r="778" spans="1:7">
      <c r="A778" s="8" t="s">
        <v>4518</v>
      </c>
      <c r="B778" s="9">
        <f>COUNTIF(実績!$R$5:$R$1474,A778)</f>
        <v>3</v>
      </c>
      <c r="C778" s="9">
        <f>COUNTIF(実績!$W$5:$W$1474,A778)</f>
        <v>0</v>
      </c>
      <c r="D778" s="9">
        <f>COUNTIF(実績!$AB$5:$AC$1474,A778)</f>
        <v>0</v>
      </c>
      <c r="E778" s="12" t="s">
        <v>4519</v>
      </c>
      <c r="F778" s="12"/>
      <c r="G778" s="12"/>
    </row>
    <row r="779" spans="1:7">
      <c r="A779" s="8" t="s">
        <v>5168</v>
      </c>
      <c r="B779" s="9">
        <f>COUNTIF(実績!$R$5:$R$1474,A779)</f>
        <v>1</v>
      </c>
      <c r="C779" s="9">
        <f>COUNTIF(実績!$W$5:$W$1474,A779)</f>
        <v>0</v>
      </c>
      <c r="D779" s="9">
        <f>COUNTIF(実績!$AB$5:$AC$1474,A779)</f>
        <v>0</v>
      </c>
      <c r="E779" s="12" t="s">
        <v>5169</v>
      </c>
      <c r="F779" s="12"/>
      <c r="G779" s="12"/>
    </row>
    <row r="780" spans="1:7">
      <c r="A780" s="8" t="s">
        <v>4587</v>
      </c>
      <c r="B780" s="9">
        <f>COUNTIF(実績!$R$5:$R$1474,A780)</f>
        <v>0</v>
      </c>
      <c r="C780" s="9">
        <f>COUNTIF(実績!$W$5:$W$1474,A780)</f>
        <v>3</v>
      </c>
      <c r="D780" s="9">
        <f>COUNTIF(実績!$AB$5:$AC$1474,A780)</f>
        <v>0</v>
      </c>
      <c r="E780" s="12" t="s">
        <v>4588</v>
      </c>
      <c r="F780" s="12"/>
      <c r="G780" s="12"/>
    </row>
    <row r="781" spans="1:7">
      <c r="A781" s="8" t="s">
        <v>4235</v>
      </c>
      <c r="B781" s="9">
        <f>COUNTIF(実績!$R$5:$R$1474,A781)</f>
        <v>1</v>
      </c>
      <c r="C781" s="9">
        <f>COUNTIF(実績!$W$5:$W$1474,A781)</f>
        <v>0</v>
      </c>
      <c r="D781" s="9">
        <f>COUNTIF(実績!$AB$5:$AC$1474,A781)</f>
        <v>0</v>
      </c>
      <c r="E781" s="12" t="s">
        <v>4236</v>
      </c>
      <c r="F781" s="12"/>
      <c r="G781" s="12"/>
    </row>
    <row r="782" spans="1:7">
      <c r="A782" s="8" t="s">
        <v>529</v>
      </c>
      <c r="B782" s="9">
        <f>COUNTIF(実績!$R$5:$R$1474,A782)</f>
        <v>1</v>
      </c>
      <c r="C782" s="9">
        <f>COUNTIF(実績!$W$5:$W$1474,A782)</f>
        <v>1</v>
      </c>
      <c r="D782" s="9">
        <f>COUNTIF(実績!$AB$5:$AC$1474,A782)</f>
        <v>0</v>
      </c>
      <c r="E782" s="12" t="s">
        <v>1200</v>
      </c>
      <c r="F782" s="12"/>
      <c r="G782" s="12"/>
    </row>
    <row r="783" spans="1:7">
      <c r="A783" s="8" t="s">
        <v>8882</v>
      </c>
      <c r="B783" s="9">
        <f>COUNTIF(実績!$R$5:$R$1474,A783)</f>
        <v>1</v>
      </c>
      <c r="C783" s="9">
        <f>COUNTIF(実績!$W$5:$W$1474,A783)</f>
        <v>0</v>
      </c>
      <c r="D783" s="9">
        <f>COUNTIF(実績!$AB$5:$AC$1474,A783)</f>
        <v>0</v>
      </c>
      <c r="E783" s="12" t="s">
        <v>8926</v>
      </c>
      <c r="F783" s="12" t="s">
        <v>5839</v>
      </c>
      <c r="G783" s="12" t="s">
        <v>5839</v>
      </c>
    </row>
    <row r="784" spans="1:7">
      <c r="A784" s="8" t="s">
        <v>431</v>
      </c>
      <c r="B784" s="9">
        <f>COUNTIF(実績!$R$5:$R$1474,A784)</f>
        <v>13</v>
      </c>
      <c r="C784" s="9">
        <f>COUNTIF(実績!$W$5:$W$1474,A784)</f>
        <v>0</v>
      </c>
      <c r="D784" s="9">
        <f>COUNTIF(実績!$AB$5:$AC$1474,A784)</f>
        <v>0</v>
      </c>
      <c r="E784" s="12" t="s">
        <v>1201</v>
      </c>
      <c r="F784" s="12"/>
      <c r="G784" s="12"/>
    </row>
    <row r="785" spans="1:7">
      <c r="A785" s="8" t="s">
        <v>826</v>
      </c>
      <c r="B785" s="9">
        <f>COUNTIF(実績!$R$5:$R$1474,A785)</f>
        <v>0</v>
      </c>
      <c r="C785" s="9">
        <f>COUNTIF(実績!$W$5:$W$1474,A785)</f>
        <v>1</v>
      </c>
      <c r="D785" s="9">
        <f>COUNTIF(実績!$AB$5:$AC$1474,A785)</f>
        <v>0</v>
      </c>
      <c r="E785" s="12" t="s">
        <v>1202</v>
      </c>
      <c r="F785" s="12"/>
      <c r="G785" s="12"/>
    </row>
    <row r="786" spans="1:7">
      <c r="A786" s="8" t="s">
        <v>763</v>
      </c>
      <c r="B786" s="9">
        <f>COUNTIF(実績!$R$5:$R$1474,A786)</f>
        <v>1</v>
      </c>
      <c r="C786" s="9">
        <f>COUNTIF(実績!$W$5:$W$1474,A786)</f>
        <v>0</v>
      </c>
      <c r="D786" s="9">
        <f>COUNTIF(実績!$AB$5:$AC$1474,A786)</f>
        <v>0</v>
      </c>
      <c r="E786" s="12" t="s">
        <v>1203</v>
      </c>
      <c r="F786" s="12"/>
      <c r="G786" s="12"/>
    </row>
    <row r="787" spans="1:7">
      <c r="A787" s="8" t="s">
        <v>821</v>
      </c>
      <c r="B787" s="9">
        <f>COUNTIF(実績!$R$5:$R$1474,A787)</f>
        <v>4</v>
      </c>
      <c r="C787" s="9">
        <f>COUNTIF(実績!$W$5:$W$1474,A787)</f>
        <v>0</v>
      </c>
      <c r="D787" s="9">
        <f>COUNTIF(実績!$AB$5:$AC$1474,A787)</f>
        <v>0</v>
      </c>
      <c r="E787" s="12" t="s">
        <v>1340</v>
      </c>
      <c r="F787" s="12"/>
      <c r="G787" s="12"/>
    </row>
    <row r="788" spans="1:7">
      <c r="A788" s="8" t="s">
        <v>5691</v>
      </c>
      <c r="B788" s="9">
        <f>COUNTIF(実績!$R$5:$R$1474,A788)</f>
        <v>0</v>
      </c>
      <c r="C788" s="9">
        <f>COUNTIF(実績!$W$5:$W$1474,A788)</f>
        <v>1</v>
      </c>
      <c r="D788" s="9">
        <f>COUNTIF(実績!$AB$5:$AC$1474,A788)</f>
        <v>0</v>
      </c>
      <c r="E788" s="12" t="s">
        <v>5692</v>
      </c>
      <c r="F788" s="12"/>
      <c r="G788" s="12"/>
    </row>
    <row r="789" spans="1:7">
      <c r="A789" s="8" t="s">
        <v>5570</v>
      </c>
      <c r="B789" s="9">
        <f>COUNTIF(実績!$R$5:$R$1474,A789)</f>
        <v>1</v>
      </c>
      <c r="C789" s="9">
        <f>COUNTIF(実績!$W$5:$W$1474,A789)</f>
        <v>0</v>
      </c>
      <c r="D789" s="9">
        <f>COUNTIF(実績!$AB$5:$AC$1474,A789)</f>
        <v>0</v>
      </c>
      <c r="E789" s="12" t="s">
        <v>5571</v>
      </c>
      <c r="F789" s="12"/>
      <c r="G789" s="12"/>
    </row>
    <row r="790" spans="1:7">
      <c r="A790" s="8" t="s">
        <v>9978</v>
      </c>
      <c r="B790" s="9">
        <f>COUNTIF(実績!$R$5:$R$1474,A790)</f>
        <v>0</v>
      </c>
      <c r="C790" s="9">
        <f>COUNTIF(実績!$W$5:$W$1474,A790)</f>
        <v>0</v>
      </c>
      <c r="D790" s="9">
        <f>COUNTIF(実績!$AB$5:$AC$1474,A790)</f>
        <v>1</v>
      </c>
      <c r="E790" s="12" t="s">
        <v>9993</v>
      </c>
      <c r="F790" s="12"/>
      <c r="G790" s="12"/>
    </row>
    <row r="791" spans="1:7">
      <c r="A791" s="8" t="s">
        <v>9328</v>
      </c>
      <c r="B791" s="9">
        <f>COUNTIF(実績!$R$5:$R$1474,A791)</f>
        <v>0</v>
      </c>
      <c r="C791" s="9">
        <f>COUNTIF(実績!$W$5:$W$1474,A791)</f>
        <v>1</v>
      </c>
      <c r="D791" s="9">
        <f>COUNTIF(実績!$AB$5:$AC$1474,A791)</f>
        <v>0</v>
      </c>
      <c r="E791" s="12" t="s">
        <v>9329</v>
      </c>
      <c r="F791" s="12" t="s">
        <v>5839</v>
      </c>
      <c r="G791" s="12" t="s">
        <v>5839</v>
      </c>
    </row>
    <row r="792" spans="1:7">
      <c r="A792" s="8" t="s">
        <v>5302</v>
      </c>
      <c r="B792" s="9">
        <f>COUNTIF(実績!$R$5:$R$1474,A792)</f>
        <v>0</v>
      </c>
      <c r="C792" s="9">
        <f>COUNTIF(実績!$W$5:$W$1474,A792)</f>
        <v>1</v>
      </c>
      <c r="D792" s="9">
        <f>COUNTIF(実績!$AB$5:$AC$1474,A792)</f>
        <v>0</v>
      </c>
      <c r="E792" s="12" t="s">
        <v>5303</v>
      </c>
      <c r="F792" s="12"/>
      <c r="G792" s="12"/>
    </row>
    <row r="793" spans="1:7">
      <c r="A793" s="8" t="s">
        <v>739</v>
      </c>
      <c r="B793" s="9">
        <f>COUNTIF(実績!$R$5:$R$1474,A793)</f>
        <v>1</v>
      </c>
      <c r="C793" s="9">
        <f>COUNTIF(実績!$W$5:$W$1474,A793)</f>
        <v>0</v>
      </c>
      <c r="D793" s="9">
        <f>COUNTIF(実績!$AB$5:$AC$1474,A793)</f>
        <v>0</v>
      </c>
      <c r="E793" s="12" t="s">
        <v>1204</v>
      </c>
      <c r="F793" s="12"/>
      <c r="G793" s="12"/>
    </row>
    <row r="794" spans="1:7">
      <c r="A794" s="8" t="s">
        <v>575</v>
      </c>
      <c r="B794" s="9">
        <f>COUNTIF(実績!$R$5:$R$1474,A794)</f>
        <v>0</v>
      </c>
      <c r="C794" s="9">
        <f>COUNTIF(実績!$W$5:$W$1474,A794)</f>
        <v>2</v>
      </c>
      <c r="D794" s="9">
        <f>COUNTIF(実績!$AB$5:$AC$1474,A794)</f>
        <v>0</v>
      </c>
      <c r="E794" s="12" t="s">
        <v>1335</v>
      </c>
      <c r="F794" s="12"/>
      <c r="G794" s="12"/>
    </row>
    <row r="795" spans="1:7">
      <c r="A795" s="8" t="s">
        <v>4978</v>
      </c>
      <c r="B795" s="9">
        <f>COUNTIF(実績!$R$5:$R$1474,A795)</f>
        <v>0</v>
      </c>
      <c r="C795" s="9">
        <f>COUNTIF(実績!$W$5:$W$1474,A795)</f>
        <v>2</v>
      </c>
      <c r="D795" s="9">
        <f>COUNTIF(実績!$AB$5:$AC$1474,A795)</f>
        <v>0</v>
      </c>
      <c r="E795" s="12" t="s">
        <v>4979</v>
      </c>
      <c r="F795" s="12"/>
      <c r="G795" s="12"/>
    </row>
    <row r="796" spans="1:7">
      <c r="A796" s="8" t="s">
        <v>507</v>
      </c>
      <c r="B796" s="9">
        <f>COUNTIF(実績!$R$5:$R$1474,A796)</f>
        <v>0</v>
      </c>
      <c r="C796" s="9">
        <f>COUNTIF(実績!$W$5:$W$1474,A796)</f>
        <v>2</v>
      </c>
      <c r="D796" s="9">
        <f>COUNTIF(実績!$AB$5:$AC$1474,A796)</f>
        <v>0</v>
      </c>
      <c r="E796" s="12" t="s">
        <v>1205</v>
      </c>
      <c r="F796" s="12"/>
      <c r="G796" s="12"/>
    </row>
    <row r="797" spans="1:7">
      <c r="A797" s="8" t="s">
        <v>596</v>
      </c>
      <c r="B797" s="9">
        <f>COUNTIF(実績!$R$5:$R$1474,A797)</f>
        <v>0</v>
      </c>
      <c r="C797" s="9">
        <f>COUNTIF(実績!$W$5:$W$1474,A797)</f>
        <v>1</v>
      </c>
      <c r="D797" s="9">
        <f>COUNTIF(実績!$AB$5:$AC$1474,A797)</f>
        <v>0</v>
      </c>
      <c r="E797" s="12" t="s">
        <v>1206</v>
      </c>
      <c r="F797" s="12"/>
      <c r="G797" s="12"/>
    </row>
    <row r="798" spans="1:7">
      <c r="A798" s="8" t="s">
        <v>5179</v>
      </c>
      <c r="B798" s="9">
        <f>COUNTIF(実績!$R$5:$R$1474,A798)</f>
        <v>1</v>
      </c>
      <c r="C798" s="9">
        <f>COUNTIF(実績!$W$5:$W$1474,A798)</f>
        <v>0</v>
      </c>
      <c r="D798" s="9">
        <f>COUNTIF(実績!$AB$5:$AC$1474,A798)</f>
        <v>0</v>
      </c>
      <c r="E798" s="12" t="s">
        <v>5180</v>
      </c>
      <c r="F798" s="12"/>
      <c r="G798" s="12"/>
    </row>
    <row r="799" spans="1:7">
      <c r="A799" s="8" t="s">
        <v>1135</v>
      </c>
      <c r="B799" s="9">
        <f>COUNTIF(実績!$R$5:$R$1474,A799)</f>
        <v>0</v>
      </c>
      <c r="C799" s="9">
        <f>COUNTIF(実績!$W$5:$W$1474,A799)</f>
        <v>1</v>
      </c>
      <c r="D799" s="9">
        <f>COUNTIF(実績!$AB$5:$AC$1474,A799)</f>
        <v>0</v>
      </c>
      <c r="E799" s="12" t="s">
        <v>4380</v>
      </c>
      <c r="F799" s="12"/>
      <c r="G799" s="12"/>
    </row>
    <row r="800" spans="1:7">
      <c r="A800" s="8" t="s">
        <v>687</v>
      </c>
      <c r="B800" s="9">
        <f>COUNTIF(実績!$R$5:$R$1474,A800)</f>
        <v>0</v>
      </c>
      <c r="C800" s="9">
        <f>COUNTIF(実績!$W$5:$W$1474,A800)</f>
        <v>1</v>
      </c>
      <c r="D800" s="9">
        <f>COUNTIF(実績!$AB$5:$AC$1474,A800)</f>
        <v>0</v>
      </c>
      <c r="E800" s="12" t="s">
        <v>2903</v>
      </c>
      <c r="F800" s="12"/>
      <c r="G800" s="12"/>
    </row>
    <row r="801" spans="1:7">
      <c r="A801" s="8" t="s">
        <v>10402</v>
      </c>
      <c r="B801" s="9">
        <f>COUNTIF(実績!$R$5:$R$1474,A801)</f>
        <v>0</v>
      </c>
      <c r="C801" s="9">
        <f>COUNTIF(実績!$W$5:$W$1474,A801)</f>
        <v>2</v>
      </c>
      <c r="D801" s="9">
        <f>COUNTIF(実績!$AB$5:$AC$1474,A801)</f>
        <v>0</v>
      </c>
      <c r="E801" s="12" t="s">
        <v>10403</v>
      </c>
      <c r="F801" s="12"/>
      <c r="G801" s="12"/>
    </row>
    <row r="802" spans="1:7">
      <c r="A802" s="8" t="s">
        <v>1134</v>
      </c>
      <c r="B802" s="9">
        <f>COUNTIF(実績!$R$5:$R$1474,A802)</f>
        <v>1</v>
      </c>
      <c r="C802" s="9">
        <f>COUNTIF(実績!$W$5:$W$1474,A802)</f>
        <v>0</v>
      </c>
      <c r="D802" s="9">
        <f>COUNTIF(実績!$AB$5:$AC$1474,A802)</f>
        <v>0</v>
      </c>
      <c r="E802" s="12" t="s">
        <v>2904</v>
      </c>
      <c r="F802" s="12"/>
      <c r="G802" s="12"/>
    </row>
    <row r="803" spans="1:7">
      <c r="A803" s="8" t="s">
        <v>4378</v>
      </c>
      <c r="B803" s="9">
        <f>COUNTIF(実績!$R$5:$R$1474,A803)</f>
        <v>1</v>
      </c>
      <c r="C803" s="9">
        <f>COUNTIF(実績!$W$5:$W$1474,A803)</f>
        <v>0</v>
      </c>
      <c r="D803" s="9">
        <f>COUNTIF(実績!$AB$5:$AC$1474,A803)</f>
        <v>0</v>
      </c>
      <c r="E803" s="12" t="s">
        <v>4379</v>
      </c>
      <c r="F803" s="12"/>
      <c r="G803" s="12"/>
    </row>
    <row r="804" spans="1:7">
      <c r="A804" s="8" t="s">
        <v>9087</v>
      </c>
      <c r="B804" s="9">
        <f>COUNTIF(実績!$R$5:$R$1474,A804)</f>
        <v>1</v>
      </c>
      <c r="C804" s="9">
        <f>COUNTIF(実績!$W$5:$W$1474,A804)</f>
        <v>0</v>
      </c>
      <c r="D804" s="9">
        <f>COUNTIF(実績!$AB$5:$AC$1474,A804)</f>
        <v>0</v>
      </c>
      <c r="E804" s="12" t="s">
        <v>9088</v>
      </c>
      <c r="F804" s="12" t="s">
        <v>5839</v>
      </c>
      <c r="G804" s="12" t="s">
        <v>5839</v>
      </c>
    </row>
    <row r="805" spans="1:7">
      <c r="A805" s="8" t="s">
        <v>14062</v>
      </c>
      <c r="B805" s="9">
        <f>COUNTIF(実績!$R$5:$R$1474,A805)</f>
        <v>1</v>
      </c>
      <c r="C805" s="9">
        <f>COUNTIF(実績!$W$5:$W$1474,A805)</f>
        <v>0</v>
      </c>
      <c r="D805" s="9">
        <f>COUNTIF(実績!$AB$5:$AC$1474,A805)</f>
        <v>0</v>
      </c>
      <c r="E805" s="12" t="s">
        <v>14063</v>
      </c>
      <c r="F805" s="12"/>
      <c r="G805" s="12"/>
    </row>
    <row r="806" spans="1:7">
      <c r="A806" s="8" t="s">
        <v>3429</v>
      </c>
      <c r="B806" s="9">
        <f>COUNTIF(実績!$R$5:$R$1474,A806)</f>
        <v>2</v>
      </c>
      <c r="C806" s="9">
        <f>COUNTIF(実績!$W$5:$W$1474,A806)</f>
        <v>0</v>
      </c>
      <c r="D806" s="9">
        <f>COUNTIF(実績!$AB$5:$AC$1474,A806)</f>
        <v>0</v>
      </c>
      <c r="E806" s="12" t="s">
        <v>3430</v>
      </c>
      <c r="F806" s="12"/>
      <c r="G806" s="12"/>
    </row>
    <row r="807" spans="1:7">
      <c r="A807" s="8" t="s">
        <v>937</v>
      </c>
      <c r="B807" s="9">
        <f>COUNTIF(実績!$R$5:$R$1474,A807)</f>
        <v>1</v>
      </c>
      <c r="C807" s="9">
        <f>COUNTIF(実績!$W$5:$W$1474,A807)</f>
        <v>0</v>
      </c>
      <c r="D807" s="9">
        <f>COUNTIF(実績!$AB$5:$AC$1474,A807)</f>
        <v>0</v>
      </c>
      <c r="E807" s="12" t="s">
        <v>1353</v>
      </c>
      <c r="F807" s="12"/>
      <c r="G807" s="12"/>
    </row>
    <row r="808" spans="1:7">
      <c r="A808" s="13" t="s">
        <v>1621</v>
      </c>
      <c r="B808" s="9">
        <f>COUNTIF(実績!$R$5:$R$1474,A808)</f>
        <v>3</v>
      </c>
      <c r="C808" s="9">
        <f>COUNTIF(実績!$W$5:$W$1474,A808)</f>
        <v>0</v>
      </c>
      <c r="D808" s="9">
        <f>COUNTIF(実績!$AB$5:$AC$1474,A808)</f>
        <v>0</v>
      </c>
      <c r="E808" s="12" t="s">
        <v>1627</v>
      </c>
      <c r="F808" s="12"/>
      <c r="G808" s="12"/>
    </row>
    <row r="809" spans="1:7">
      <c r="A809" s="8" t="s">
        <v>6151</v>
      </c>
      <c r="B809" s="9">
        <f>COUNTIF(実績!$R$5:$R$1474,A809)</f>
        <v>0</v>
      </c>
      <c r="C809" s="9">
        <f>COUNTIF(実績!$W$5:$W$1474,A809)</f>
        <v>1</v>
      </c>
      <c r="D809" s="9">
        <f>COUNTIF(実績!$AB$5:$AC$1474,A809)</f>
        <v>0</v>
      </c>
      <c r="E809" s="12" t="s">
        <v>6152</v>
      </c>
      <c r="F809" s="12" t="s">
        <v>5839</v>
      </c>
      <c r="G809" s="12"/>
    </row>
    <row r="810" spans="1:7">
      <c r="A810" s="8" t="s">
        <v>4284</v>
      </c>
      <c r="B810" s="9">
        <f>COUNTIF(実績!$R$5:$R$1474,A810)</f>
        <v>1</v>
      </c>
      <c r="C810" s="9">
        <f>COUNTIF(実績!$W$5:$W$1474,A810)</f>
        <v>1</v>
      </c>
      <c r="D810" s="9">
        <f>COUNTIF(実績!$AB$5:$AC$1474,A810)</f>
        <v>0</v>
      </c>
      <c r="E810" s="12" t="s">
        <v>4283</v>
      </c>
      <c r="F810" s="12"/>
      <c r="G810" s="12"/>
    </row>
    <row r="811" spans="1:7">
      <c r="A811" s="8" t="s">
        <v>1133</v>
      </c>
      <c r="B811" s="9">
        <f>COUNTIF(実績!$R$5:$R$1474,A811)</f>
        <v>3</v>
      </c>
      <c r="C811" s="9">
        <f>COUNTIF(実績!$W$5:$W$1474,A811)</f>
        <v>0</v>
      </c>
      <c r="D811" s="9">
        <f>COUNTIF(実績!$AB$5:$AC$1474,A811)</f>
        <v>0</v>
      </c>
      <c r="E811" s="12" t="s">
        <v>1354</v>
      </c>
      <c r="F811" s="12"/>
      <c r="G811" s="12"/>
    </row>
    <row r="812" spans="1:7">
      <c r="A812" s="8" t="s">
        <v>3548</v>
      </c>
      <c r="B812" s="9">
        <f>COUNTIF(実績!$R$5:$R$1474,A812)</f>
        <v>0</v>
      </c>
      <c r="C812" s="9">
        <f>COUNTIF(実績!$W$5:$W$1474,A812)</f>
        <v>1</v>
      </c>
      <c r="D812" s="9">
        <f>COUNTIF(実績!$AB$5:$AC$1474,A812)</f>
        <v>0</v>
      </c>
      <c r="E812" s="12" t="s">
        <v>3549</v>
      </c>
      <c r="F812" s="12"/>
      <c r="G812" s="12"/>
    </row>
    <row r="813" spans="1:7">
      <c r="A813" s="8" t="s">
        <v>8786</v>
      </c>
      <c r="B813" s="9">
        <f>COUNTIF(実績!$R$5:$R$1474,A813)</f>
        <v>0</v>
      </c>
      <c r="C813" s="9">
        <f>COUNTIF(実績!$W$5:$W$1474,A813)</f>
        <v>1</v>
      </c>
      <c r="D813" s="9">
        <f>COUNTIF(実績!$AB$5:$AC$1474,A813)</f>
        <v>0</v>
      </c>
      <c r="E813" s="12" t="s">
        <v>8787</v>
      </c>
      <c r="F813" s="12" t="s">
        <v>5839</v>
      </c>
      <c r="G813" s="12" t="s">
        <v>5839</v>
      </c>
    </row>
    <row r="814" spans="1:7">
      <c r="A814" s="8" t="s">
        <v>1132</v>
      </c>
      <c r="B814" s="9">
        <f>COUNTIF(実績!$R$5:$R$1474,A814)</f>
        <v>0</v>
      </c>
      <c r="C814" s="9">
        <f>COUNTIF(実績!$W$5:$W$1474,A814)</f>
        <v>2</v>
      </c>
      <c r="D814" s="9">
        <f>COUNTIF(実績!$AB$5:$AC$1474,A814)</f>
        <v>0</v>
      </c>
      <c r="E814" s="12" t="s">
        <v>1355</v>
      </c>
      <c r="F814" s="12"/>
      <c r="G814" s="12"/>
    </row>
    <row r="815" spans="1:7">
      <c r="A815" s="8" t="s">
        <v>7380</v>
      </c>
      <c r="B815" s="9">
        <f>COUNTIF(実績!$R$5:$R$1474,A815)</f>
        <v>0</v>
      </c>
      <c r="C815" s="9">
        <f>COUNTIF(実績!$W$5:$W$1474,A815)</f>
        <v>2</v>
      </c>
      <c r="D815" s="9">
        <f>COUNTIF(実績!$AB$5:$AC$1474,A815)</f>
        <v>0</v>
      </c>
      <c r="E815" s="12" t="s">
        <v>7382</v>
      </c>
      <c r="F815" s="12" t="s">
        <v>5839</v>
      </c>
      <c r="G815" s="12" t="s">
        <v>5839</v>
      </c>
    </row>
    <row r="816" spans="1:7">
      <c r="A816" s="8" t="s">
        <v>1108</v>
      </c>
      <c r="B816" s="9">
        <f>COUNTIF(実績!$R$5:$R$1474,A816)</f>
        <v>0</v>
      </c>
      <c r="C816" s="9">
        <f>COUNTIF(実績!$W$5:$W$1474,A816)</f>
        <v>8</v>
      </c>
      <c r="D816" s="9">
        <f>COUNTIF(実績!$AB$5:$AC$1474,A816)</f>
        <v>0</v>
      </c>
      <c r="E816" s="12" t="s">
        <v>1375</v>
      </c>
      <c r="F816" s="12"/>
      <c r="G816" s="12"/>
    </row>
    <row r="817" spans="1:7">
      <c r="A817" s="13" t="s">
        <v>1455</v>
      </c>
      <c r="B817" s="9">
        <f>COUNTIF(実績!$R$5:$R$1474,A817)</f>
        <v>0</v>
      </c>
      <c r="C817" s="9">
        <f>COUNTIF(実績!$W$5:$W$1474,A817)</f>
        <v>3</v>
      </c>
      <c r="D817" s="9">
        <f>COUNTIF(実績!$AB$5:$AC$1474,A817)</f>
        <v>0</v>
      </c>
      <c r="E817" s="12" t="s">
        <v>1456</v>
      </c>
      <c r="F817" s="12"/>
      <c r="G817" s="12"/>
    </row>
    <row r="818" spans="1:7">
      <c r="A818" s="8" t="s">
        <v>562</v>
      </c>
      <c r="B818" s="9">
        <f>COUNTIF(実績!$R$5:$R$1474,A818)</f>
        <v>0</v>
      </c>
      <c r="C818" s="9">
        <f>COUNTIF(実績!$W$5:$W$1474,A818)</f>
        <v>1</v>
      </c>
      <c r="D818" s="9">
        <f>COUNTIF(実績!$AB$5:$AC$1474,A818)</f>
        <v>0</v>
      </c>
      <c r="E818" s="12" t="s">
        <v>1367</v>
      </c>
      <c r="F818" s="12"/>
      <c r="G818" s="12"/>
    </row>
    <row r="819" spans="1:7">
      <c r="A819" s="8" t="s">
        <v>1131</v>
      </c>
      <c r="B819" s="9">
        <f>COUNTIF(実績!$R$5:$R$1474,A819)</f>
        <v>0</v>
      </c>
      <c r="C819" s="9">
        <f>COUNTIF(実績!$W$5:$W$1474,A819)</f>
        <v>1</v>
      </c>
      <c r="D819" s="9">
        <f>COUNTIF(実績!$AB$5:$AC$1474,A819)</f>
        <v>0</v>
      </c>
      <c r="E819" s="12" t="s">
        <v>1356</v>
      </c>
      <c r="F819" s="12"/>
      <c r="G819" s="12"/>
    </row>
    <row r="820" spans="1:7">
      <c r="A820" s="8" t="s">
        <v>1130</v>
      </c>
      <c r="B820" s="9">
        <f>COUNTIF(実績!$R$5:$R$1474,A820)</f>
        <v>0</v>
      </c>
      <c r="C820" s="9">
        <f>COUNTIF(実績!$W$5:$W$1474,A820)</f>
        <v>1</v>
      </c>
      <c r="D820" s="9">
        <f>COUNTIF(実績!$AB$5:$AC$1474,A820)</f>
        <v>0</v>
      </c>
      <c r="E820" s="12" t="s">
        <v>1357</v>
      </c>
      <c r="F820" s="12"/>
      <c r="G820" s="12"/>
    </row>
    <row r="821" spans="1:7">
      <c r="A821" s="13" t="s">
        <v>1634</v>
      </c>
      <c r="B821" s="9">
        <f>COUNTIF(実績!$R$5:$R$1474,A821)</f>
        <v>1</v>
      </c>
      <c r="C821" s="9">
        <f>COUNTIF(実績!$W$5:$W$1474,A821)</f>
        <v>0</v>
      </c>
      <c r="D821" s="9">
        <f>COUNTIF(実績!$AB$5:$AC$1474,A821)</f>
        <v>0</v>
      </c>
      <c r="E821" s="12" t="s">
        <v>1636</v>
      </c>
      <c r="F821" s="12"/>
      <c r="G821" s="12"/>
    </row>
    <row r="822" spans="1:7">
      <c r="A822" s="8" t="s">
        <v>3234</v>
      </c>
      <c r="B822" s="9">
        <f>COUNTIF(実績!$R$5:$R$1474,A822)</f>
        <v>0</v>
      </c>
      <c r="C822" s="9">
        <f>COUNTIF(実績!$W$5:$W$1474,A822)</f>
        <v>1</v>
      </c>
      <c r="D822" s="9">
        <f>COUNTIF(実績!$AB$5:$AC$1474,A822)</f>
        <v>0</v>
      </c>
      <c r="E822" s="12" t="s">
        <v>3235</v>
      </c>
      <c r="F822" s="12"/>
      <c r="G822" s="12"/>
    </row>
    <row r="823" spans="1:7">
      <c r="A823" s="8" t="s">
        <v>5191</v>
      </c>
      <c r="B823" s="9">
        <f>COUNTIF(実績!$R$5:$R$1474,A823)</f>
        <v>0</v>
      </c>
      <c r="C823" s="9">
        <f>COUNTIF(実績!$W$5:$W$1474,A823)</f>
        <v>1</v>
      </c>
      <c r="D823" s="9">
        <f>COUNTIF(実績!$AB$5:$AC$1474,A823)</f>
        <v>0</v>
      </c>
      <c r="E823" s="12" t="s">
        <v>5192</v>
      </c>
      <c r="F823" s="12"/>
      <c r="G823" s="12"/>
    </row>
    <row r="824" spans="1:7">
      <c r="A824" s="8" t="s">
        <v>6839</v>
      </c>
      <c r="B824" s="9">
        <f>COUNTIF(実績!$R$5:$R$1474,A824)</f>
        <v>1</v>
      </c>
      <c r="C824" s="9">
        <f>COUNTIF(実績!$W$5:$W$1474,A824)</f>
        <v>0</v>
      </c>
      <c r="D824" s="9">
        <f>COUNTIF(実績!$AB$5:$AC$1474,A824)</f>
        <v>0</v>
      </c>
      <c r="E824" s="12" t="s">
        <v>6840</v>
      </c>
      <c r="F824" s="12" t="s">
        <v>5839</v>
      </c>
      <c r="G824" s="12" t="s">
        <v>5839</v>
      </c>
    </row>
    <row r="825" spans="1:7">
      <c r="A825" s="8" t="s">
        <v>5950</v>
      </c>
      <c r="B825" s="9">
        <f>COUNTIF(実績!$R$5:$R$1474,A825)</f>
        <v>1</v>
      </c>
      <c r="C825" s="9">
        <f>COUNTIF(実績!$W$5:$W$1474,A825)</f>
        <v>0</v>
      </c>
      <c r="D825" s="9">
        <f>COUNTIF(実績!$AB$5:$AC$1474,A825)</f>
        <v>0</v>
      </c>
      <c r="E825" s="12" t="s">
        <v>5951</v>
      </c>
      <c r="F825" s="12" t="s">
        <v>5839</v>
      </c>
      <c r="G825" s="12"/>
    </row>
    <row r="826" spans="1:7">
      <c r="A826" s="8" t="s">
        <v>7206</v>
      </c>
      <c r="B826" s="9">
        <f>COUNTIF(実績!$R$5:$R$1474,A826)</f>
        <v>2</v>
      </c>
      <c r="C826" s="9">
        <f>COUNTIF(実績!$W$5:$W$1474,A826)</f>
        <v>0</v>
      </c>
      <c r="D826" s="9">
        <f>COUNTIF(実績!$AB$5:$AC$1474,A826)</f>
        <v>0</v>
      </c>
      <c r="E826" s="12" t="s">
        <v>7207</v>
      </c>
      <c r="F826" s="12" t="s">
        <v>5839</v>
      </c>
      <c r="G826" s="12" t="s">
        <v>5839</v>
      </c>
    </row>
    <row r="827" spans="1:7">
      <c r="A827" s="8" t="s">
        <v>9593</v>
      </c>
      <c r="B827" s="9">
        <f>COUNTIF(実績!$R$5:$R$1474,A827)</f>
        <v>1</v>
      </c>
      <c r="C827" s="9">
        <f>COUNTIF(実績!$W$5:$W$1474,A827)</f>
        <v>0</v>
      </c>
      <c r="D827" s="9">
        <f>COUNTIF(実績!$AB$5:$AC$1474,A827)</f>
        <v>0</v>
      </c>
      <c r="E827" s="12" t="s">
        <v>9592</v>
      </c>
      <c r="F827" s="12" t="s">
        <v>5839</v>
      </c>
      <c r="G827" s="12" t="s">
        <v>5839</v>
      </c>
    </row>
    <row r="828" spans="1:7">
      <c r="A828" s="8" t="s">
        <v>1129</v>
      </c>
      <c r="B828" s="9">
        <f>COUNTIF(実績!$R$5:$R$1474,A828)</f>
        <v>1</v>
      </c>
      <c r="C828" s="9">
        <f>COUNTIF(実績!$W$5:$W$1474,A828)</f>
        <v>1</v>
      </c>
      <c r="D828" s="9">
        <f>COUNTIF(実績!$AB$5:$AC$1474,A828)</f>
        <v>1</v>
      </c>
      <c r="E828" s="12" t="s">
        <v>1358</v>
      </c>
      <c r="F828" s="12"/>
      <c r="G828" s="12"/>
    </row>
    <row r="829" spans="1:7">
      <c r="A829" s="8" t="s">
        <v>532</v>
      </c>
      <c r="B829" s="9">
        <f>COUNTIF(実績!$R$5:$R$1474,A829)</f>
        <v>0</v>
      </c>
      <c r="C829" s="9">
        <f>COUNTIF(実績!$W$5:$W$1474,A829)</f>
        <v>1</v>
      </c>
      <c r="D829" s="9">
        <f>COUNTIF(実績!$AB$5:$AC$1474,A829)</f>
        <v>0</v>
      </c>
      <c r="E829" s="12" t="s">
        <v>1359</v>
      </c>
      <c r="F829" s="12"/>
      <c r="G829" s="12"/>
    </row>
    <row r="830" spans="1:7">
      <c r="A830" s="8" t="s">
        <v>8389</v>
      </c>
      <c r="B830" s="9">
        <f>COUNTIF(実績!$R$5:$R$1474,A830)</f>
        <v>1</v>
      </c>
      <c r="C830" s="9">
        <f>COUNTIF(実績!$W$5:$W$1474,A830)</f>
        <v>0</v>
      </c>
      <c r="D830" s="9">
        <f>COUNTIF(実績!$AB$5:$AC$1474,A830)</f>
        <v>0</v>
      </c>
      <c r="E830" s="12" t="s">
        <v>8390</v>
      </c>
      <c r="F830" s="12" t="s">
        <v>5839</v>
      </c>
      <c r="G830" s="12" t="s">
        <v>5839</v>
      </c>
    </row>
    <row r="831" spans="1:7">
      <c r="A831" s="8" t="s">
        <v>7575</v>
      </c>
      <c r="B831" s="9">
        <f>COUNTIF(実績!$R$5:$R$1474,A831)</f>
        <v>0</v>
      </c>
      <c r="C831" s="9">
        <f>COUNTIF(実績!$W$5:$W$1474,A831)</f>
        <v>1</v>
      </c>
      <c r="D831" s="9">
        <f>COUNTIF(実績!$AB$5:$AC$1474,A831)</f>
        <v>0</v>
      </c>
      <c r="E831" s="12" t="s">
        <v>7576</v>
      </c>
      <c r="F831" s="12" t="s">
        <v>5839</v>
      </c>
      <c r="G831" s="12" t="s">
        <v>5839</v>
      </c>
    </row>
    <row r="832" spans="1:7">
      <c r="A832" s="8" t="s">
        <v>725</v>
      </c>
      <c r="B832" s="9">
        <f>COUNTIF(実績!$R$5:$R$1474,A832)</f>
        <v>2</v>
      </c>
      <c r="C832" s="9">
        <f>COUNTIF(実績!$W$5:$W$1474,A832)</f>
        <v>2</v>
      </c>
      <c r="D832" s="9">
        <f>COUNTIF(実績!$AB$5:$AC$1474,A832)</f>
        <v>0</v>
      </c>
      <c r="E832" s="12" t="s">
        <v>1368</v>
      </c>
      <c r="F832" s="12"/>
      <c r="G832" s="12"/>
    </row>
    <row r="833" spans="1:7">
      <c r="A833" s="8" t="s">
        <v>6967</v>
      </c>
      <c r="B833" s="9">
        <f>COUNTIF(実績!$R$5:$R$1474,A833)</f>
        <v>0</v>
      </c>
      <c r="C833" s="9">
        <f>COUNTIF(実績!$W$5:$W$1474,A833)</f>
        <v>1</v>
      </c>
      <c r="D833" s="9">
        <f>COUNTIF(実績!$AB$5:$AC$1474,A833)</f>
        <v>0</v>
      </c>
      <c r="E833" s="12" t="s">
        <v>6969</v>
      </c>
      <c r="F833" s="12" t="s">
        <v>5839</v>
      </c>
      <c r="G833" s="12" t="s">
        <v>5839</v>
      </c>
    </row>
    <row r="834" spans="1:7">
      <c r="A834" s="8" t="s">
        <v>5203</v>
      </c>
      <c r="B834" s="9">
        <f>COUNTIF(実績!$R$5:$R$1474,A834)</f>
        <v>0</v>
      </c>
      <c r="C834" s="9">
        <f>COUNTIF(実績!$W$5:$W$1474,A834)</f>
        <v>2</v>
      </c>
      <c r="D834" s="9">
        <f>COUNTIF(実績!$AB$5:$AC$1474,A834)</f>
        <v>0</v>
      </c>
      <c r="E834" s="12" t="s">
        <v>5204</v>
      </c>
      <c r="F834" s="12"/>
      <c r="G834" s="12"/>
    </row>
    <row r="835" spans="1:7">
      <c r="A835" s="8" t="s">
        <v>1128</v>
      </c>
      <c r="B835" s="9">
        <f>COUNTIF(実績!$R$5:$R$1474,A835)</f>
        <v>1</v>
      </c>
      <c r="C835" s="9">
        <f>COUNTIF(実績!$W$5:$W$1474,A835)</f>
        <v>0</v>
      </c>
      <c r="D835" s="9">
        <f>COUNTIF(実績!$AB$5:$AC$1474,A835)</f>
        <v>0</v>
      </c>
      <c r="E835" s="12" t="s">
        <v>1360</v>
      </c>
      <c r="F835" s="12"/>
      <c r="G835" s="12"/>
    </row>
    <row r="836" spans="1:7">
      <c r="A836" s="8" t="s">
        <v>5050</v>
      </c>
      <c r="B836" s="9">
        <f>COUNTIF(実績!$R$5:$R$1474,A836)</f>
        <v>0</v>
      </c>
      <c r="C836" s="9">
        <f>COUNTIF(実績!$W$5:$W$1474,A836)</f>
        <v>1</v>
      </c>
      <c r="D836" s="9">
        <f>COUNTIF(実績!$AB$5:$AC$1474,A836)</f>
        <v>0</v>
      </c>
      <c r="E836" s="12" t="s">
        <v>5051</v>
      </c>
      <c r="F836" s="12"/>
      <c r="G836" s="12"/>
    </row>
    <row r="837" spans="1:7">
      <c r="A837" s="8" t="s">
        <v>1127</v>
      </c>
      <c r="B837" s="9">
        <f>COUNTIF(実績!$R$5:$R$1474,A837)</f>
        <v>21</v>
      </c>
      <c r="C837" s="9">
        <f>COUNTIF(実績!$W$5:$W$1474,A837)</f>
        <v>0</v>
      </c>
      <c r="D837" s="9">
        <f>COUNTIF(実績!$AB$5:$AC$1474,A837)</f>
        <v>1</v>
      </c>
      <c r="E837" s="12" t="s">
        <v>1207</v>
      </c>
      <c r="F837" s="12"/>
      <c r="G837" s="12"/>
    </row>
    <row r="838" spans="1:7">
      <c r="A838" s="8" t="s">
        <v>6131</v>
      </c>
      <c r="B838" s="9">
        <f>COUNTIF(実績!$R$5:$R$1474,A838)</f>
        <v>1</v>
      </c>
      <c r="C838" s="9">
        <f>COUNTIF(実績!$W$5:$W$1474,A838)</f>
        <v>0</v>
      </c>
      <c r="D838" s="9">
        <f>COUNTIF(実績!$AB$5:$AC$1474,A838)</f>
        <v>0</v>
      </c>
      <c r="E838" s="12" t="s">
        <v>6132</v>
      </c>
      <c r="F838" s="12" t="s">
        <v>5839</v>
      </c>
      <c r="G838" s="12"/>
    </row>
    <row r="839" spans="1:7">
      <c r="A839" s="8" t="s">
        <v>3505</v>
      </c>
      <c r="B839" s="9">
        <f>COUNTIF(実績!$R$5:$R$1474,A839)</f>
        <v>0</v>
      </c>
      <c r="C839" s="9">
        <f>COUNTIF(実績!$W$5:$W$1474,A839)</f>
        <v>2</v>
      </c>
      <c r="D839" s="9">
        <f>COUNTIF(実績!$AB$5:$AC$1474,A839)</f>
        <v>0</v>
      </c>
      <c r="E839" s="12" t="s">
        <v>3506</v>
      </c>
      <c r="F839" s="12"/>
      <c r="G839" s="12"/>
    </row>
    <row r="840" spans="1:7">
      <c r="A840" s="8" t="s">
        <v>7178</v>
      </c>
      <c r="B840" s="9">
        <f>COUNTIF(実績!$R$5:$R$1474,A840)</f>
        <v>0</v>
      </c>
      <c r="C840" s="9">
        <f>COUNTIF(実績!$W$5:$W$1474,A840)</f>
        <v>2</v>
      </c>
      <c r="D840" s="9">
        <f>COUNTIF(実績!$AB$5:$AC$1474,A840)</f>
        <v>0</v>
      </c>
      <c r="E840" s="12" t="s">
        <v>7179</v>
      </c>
      <c r="F840" s="12" t="s">
        <v>5839</v>
      </c>
      <c r="G840" s="12" t="s">
        <v>5839</v>
      </c>
    </row>
    <row r="841" spans="1:7">
      <c r="A841" s="8" t="s">
        <v>7409</v>
      </c>
      <c r="B841" s="9">
        <f>COUNTIF(実績!$R$5:$R$1474,A841)</f>
        <v>0</v>
      </c>
      <c r="C841" s="9">
        <f>COUNTIF(実績!$W$5:$W$1474,A841)</f>
        <v>0</v>
      </c>
      <c r="D841" s="9">
        <f>COUNTIF(実績!$AB$5:$AC$1474,A841)</f>
        <v>2</v>
      </c>
      <c r="E841" s="12" t="s">
        <v>7410</v>
      </c>
      <c r="F841" s="12" t="s">
        <v>5839</v>
      </c>
      <c r="G841" s="12" t="s">
        <v>5839</v>
      </c>
    </row>
    <row r="842" spans="1:7">
      <c r="A842" s="8" t="s">
        <v>1126</v>
      </c>
      <c r="B842" s="9">
        <f>COUNTIF(実績!$R$5:$R$1474,A842)</f>
        <v>8</v>
      </c>
      <c r="C842" s="9">
        <f>COUNTIF(実績!$W$5:$W$1474,A842)</f>
        <v>1</v>
      </c>
      <c r="D842" s="9">
        <f>COUNTIF(実績!$AB$5:$AC$1474,A842)</f>
        <v>0</v>
      </c>
      <c r="E842" s="12" t="s">
        <v>1361</v>
      </c>
      <c r="F842" s="12"/>
      <c r="G842" s="12"/>
    </row>
    <row r="843" spans="1:7">
      <c r="A843" s="8" t="s">
        <v>2740</v>
      </c>
      <c r="B843" s="9">
        <f>COUNTIF(実績!$R$5:$R$1474,A843)</f>
        <v>1</v>
      </c>
      <c r="C843" s="9">
        <f>COUNTIF(実績!$W$5:$W$1474,A843)</f>
        <v>1</v>
      </c>
      <c r="D843" s="9">
        <f>COUNTIF(実績!$AB$5:$AC$1474,A843)</f>
        <v>0</v>
      </c>
      <c r="E843" s="12" t="s">
        <v>2741</v>
      </c>
      <c r="F843" s="12"/>
      <c r="G843" s="12"/>
    </row>
    <row r="844" spans="1:7">
      <c r="A844" s="13" t="s">
        <v>1563</v>
      </c>
      <c r="B844" s="9">
        <f>COUNTIF(実績!$R$5:$R$1474,A844)</f>
        <v>0</v>
      </c>
      <c r="C844" s="9">
        <f>COUNTIF(実績!$W$5:$W$1474,A844)</f>
        <v>2</v>
      </c>
      <c r="D844" s="9">
        <f>COUNTIF(実績!$AB$5:$AC$1474,A844)</f>
        <v>0</v>
      </c>
      <c r="E844" s="12" t="s">
        <v>1564</v>
      </c>
      <c r="F844" s="12"/>
      <c r="G844" s="12"/>
    </row>
    <row r="845" spans="1:7">
      <c r="A845" s="8" t="s">
        <v>5241</v>
      </c>
      <c r="B845" s="9">
        <f>COUNTIF(実績!$R$5:$R$1474,A845)</f>
        <v>0</v>
      </c>
      <c r="C845" s="9">
        <f>COUNTIF(実績!$W$5:$W$1474,A845)</f>
        <v>1</v>
      </c>
      <c r="D845" s="9">
        <f>COUNTIF(実績!$AB$5:$AC$1474,A845)</f>
        <v>0</v>
      </c>
      <c r="E845" s="12" t="s">
        <v>5244</v>
      </c>
      <c r="F845" s="12"/>
      <c r="G845" s="12"/>
    </row>
    <row r="846" spans="1:7">
      <c r="A846" s="8" t="s">
        <v>1120</v>
      </c>
      <c r="B846" s="9">
        <f>COUNTIF(実績!$R$5:$R$1474,A846)</f>
        <v>1</v>
      </c>
      <c r="C846" s="9">
        <f>COUNTIF(実績!$W$5:$W$1474,A846)</f>
        <v>2</v>
      </c>
      <c r="D846" s="9">
        <f>COUNTIF(実績!$AB$5:$AC$1474,A846)</f>
        <v>0</v>
      </c>
      <c r="E846" s="12" t="s">
        <v>1370</v>
      </c>
      <c r="F846" s="12"/>
      <c r="G846" s="12"/>
    </row>
    <row r="847" spans="1:7">
      <c r="A847" s="8" t="s">
        <v>1713</v>
      </c>
      <c r="B847" s="9">
        <f>COUNTIF(実績!$R$5:$R$1474,A847)</f>
        <v>0</v>
      </c>
      <c r="C847" s="9">
        <f>COUNTIF(実績!$W$5:$W$1474,A847)</f>
        <v>1</v>
      </c>
      <c r="D847" s="9">
        <f>COUNTIF(実績!$AB$5:$AC$1474,A847)</f>
        <v>0</v>
      </c>
      <c r="E847" s="12" t="s">
        <v>1715</v>
      </c>
      <c r="F847" s="12"/>
      <c r="G847" s="12"/>
    </row>
    <row r="848" spans="1:7">
      <c r="A848" s="8" t="s">
        <v>6053</v>
      </c>
      <c r="B848" s="9">
        <f>COUNTIF(実績!$R$5:$R$1474,A848)</f>
        <v>0</v>
      </c>
      <c r="C848" s="9">
        <f>COUNTIF(実績!$W$5:$W$1474,A848)</f>
        <v>1</v>
      </c>
      <c r="D848" s="9">
        <f>COUNTIF(実績!$AB$5:$AC$1474,A848)</f>
        <v>0</v>
      </c>
      <c r="E848" s="12" t="s">
        <v>6073</v>
      </c>
      <c r="F848" s="12" t="s">
        <v>5839</v>
      </c>
      <c r="G848" s="12"/>
    </row>
    <row r="849" spans="1:7">
      <c r="A849" s="8" t="s">
        <v>14412</v>
      </c>
      <c r="B849" s="9">
        <f>COUNTIF(実績!$R$5:$R$1474,A849)</f>
        <v>0</v>
      </c>
      <c r="C849" s="9">
        <f>COUNTIF(実績!$W$5:$W$1474,A849)</f>
        <v>1</v>
      </c>
      <c r="D849" s="9">
        <f>COUNTIF(実績!$AB$5:$AC$1474,A849)</f>
        <v>0</v>
      </c>
      <c r="E849" s="12" t="s">
        <v>14413</v>
      </c>
      <c r="F849" s="12"/>
      <c r="G849" s="12"/>
    </row>
    <row r="850" spans="1:7">
      <c r="A850" s="8" t="s">
        <v>7158</v>
      </c>
      <c r="B850" s="9">
        <f>COUNTIF(実績!$R$5:$R$1474,A850)</f>
        <v>2</v>
      </c>
      <c r="C850" s="9">
        <f>COUNTIF(実績!$W$5:$W$1474,A850)</f>
        <v>2</v>
      </c>
      <c r="D850" s="9">
        <f>COUNTIF(実績!$AB$5:$AC$1474,A850)</f>
        <v>0</v>
      </c>
      <c r="E850" s="12" t="s">
        <v>7159</v>
      </c>
      <c r="F850" s="12" t="s">
        <v>5839</v>
      </c>
      <c r="G850" s="12" t="s">
        <v>5839</v>
      </c>
    </row>
    <row r="851" spans="1:7">
      <c r="A851" s="8" t="s">
        <v>1125</v>
      </c>
      <c r="B851" s="9">
        <f>COUNTIF(実績!$R$5:$R$1474,A851)</f>
        <v>0</v>
      </c>
      <c r="C851" s="9">
        <f>COUNTIF(実績!$W$5:$W$1474,A851)</f>
        <v>4</v>
      </c>
      <c r="D851" s="9">
        <f>COUNTIF(実績!$AB$5:$AC$1474,A851)</f>
        <v>0</v>
      </c>
      <c r="E851" s="12" t="s">
        <v>1362</v>
      </c>
      <c r="F851" s="12"/>
      <c r="G851" s="12"/>
    </row>
    <row r="852" spans="1:7">
      <c r="A852" s="8" t="s">
        <v>10289</v>
      </c>
      <c r="B852" s="9">
        <f>COUNTIF(実績!$R$5:$R$1474,A852)</f>
        <v>1</v>
      </c>
      <c r="C852" s="9">
        <f>COUNTIF(実績!$W$5:$W$1474,A852)</f>
        <v>2</v>
      </c>
      <c r="D852" s="9">
        <f>COUNTIF(実績!$AB$5:$AC$1474,A852)</f>
        <v>0</v>
      </c>
      <c r="E852" s="12" t="s">
        <v>10290</v>
      </c>
      <c r="F852" s="12"/>
      <c r="G852" s="12"/>
    </row>
    <row r="853" spans="1:7">
      <c r="A853" s="8" t="s">
        <v>4785</v>
      </c>
      <c r="B853" s="9">
        <f>COUNTIF(実績!$R$5:$R$1474,A853)</f>
        <v>5</v>
      </c>
      <c r="C853" s="9">
        <f>COUNTIF(実績!$W$5:$W$1474,A853)</f>
        <v>0</v>
      </c>
      <c r="D853" s="9">
        <f>COUNTIF(実績!$AB$5:$AC$1474,A853)</f>
        <v>0</v>
      </c>
      <c r="E853" s="12" t="s">
        <v>4786</v>
      </c>
      <c r="F853" s="12"/>
      <c r="G853" s="12"/>
    </row>
    <row r="854" spans="1:7">
      <c r="A854" s="8" t="s">
        <v>2849</v>
      </c>
      <c r="B854" s="9">
        <f>COUNTIF(実績!$R$5:$R$1474,A854)</f>
        <v>3</v>
      </c>
      <c r="C854" s="9">
        <f>COUNTIF(実績!$W$5:$W$1474,A854)</f>
        <v>0</v>
      </c>
      <c r="D854" s="9">
        <f>COUNTIF(実績!$AB$5:$AC$1474,A854)</f>
        <v>0</v>
      </c>
      <c r="E854" s="12" t="s">
        <v>2850</v>
      </c>
      <c r="F854" s="12"/>
      <c r="G854" s="12"/>
    </row>
    <row r="855" spans="1:7">
      <c r="A855" s="8" t="s">
        <v>1118</v>
      </c>
      <c r="B855" s="9">
        <f>COUNTIF(実績!$R$5:$R$1474,A855)</f>
        <v>1</v>
      </c>
      <c r="C855" s="9">
        <f>COUNTIF(実績!$W$5:$W$1474,A855)</f>
        <v>0</v>
      </c>
      <c r="D855" s="9">
        <f>COUNTIF(実績!$AB$5:$AC$1474,A855)</f>
        <v>0</v>
      </c>
      <c r="E855" s="12" t="s">
        <v>1374</v>
      </c>
      <c r="F855" s="12"/>
      <c r="G855" s="12"/>
    </row>
    <row r="856" spans="1:7">
      <c r="A856" s="8" t="s">
        <v>6732</v>
      </c>
      <c r="B856" s="9">
        <f>COUNTIF(実績!$R$5:$R$1474,A856)</f>
        <v>0</v>
      </c>
      <c r="C856" s="9">
        <f>COUNTIF(実績!$W$5:$W$1474,A856)</f>
        <v>1</v>
      </c>
      <c r="D856" s="9">
        <f>COUNTIF(実績!$AB$5:$AC$1474,A856)</f>
        <v>0</v>
      </c>
      <c r="E856" s="12" t="s">
        <v>6733</v>
      </c>
      <c r="F856" s="12" t="s">
        <v>5839</v>
      </c>
      <c r="G856" s="12" t="s">
        <v>5839</v>
      </c>
    </row>
    <row r="857" spans="1:7">
      <c r="A857" s="8" t="s">
        <v>3017</v>
      </c>
      <c r="B857" s="9">
        <f>COUNTIF(実績!$R$5:$R$1474,A857)</f>
        <v>0</v>
      </c>
      <c r="C857" s="9">
        <f>COUNTIF(実績!$W$5:$W$1474,A857)</f>
        <v>4</v>
      </c>
      <c r="D857" s="9">
        <f>COUNTIF(実績!$AB$5:$AC$1474,A857)</f>
        <v>0</v>
      </c>
      <c r="E857" s="12" t="s">
        <v>3018</v>
      </c>
      <c r="F857" s="12"/>
      <c r="G857" s="12"/>
    </row>
    <row r="858" spans="1:7">
      <c r="A858" s="8" t="s">
        <v>14362</v>
      </c>
      <c r="B858" s="9">
        <f>COUNTIF(実績!$R$5:$R$1474,A858)</f>
        <v>1</v>
      </c>
      <c r="C858" s="9">
        <f>COUNTIF(実績!$W$5:$W$1474,A858)</f>
        <v>0</v>
      </c>
      <c r="D858" s="9">
        <f>COUNTIF(実績!$AB$5:$AC$1474,A858)</f>
        <v>0</v>
      </c>
      <c r="E858" s="12" t="s">
        <v>14363</v>
      </c>
      <c r="F858" s="12"/>
      <c r="G858" s="12"/>
    </row>
    <row r="859" spans="1:7">
      <c r="A859" s="13" t="s">
        <v>1531</v>
      </c>
      <c r="B859" s="9">
        <f>COUNTIF(実績!$R$5:$R$1474,A859)</f>
        <v>0</v>
      </c>
      <c r="C859" s="9">
        <f>COUNTIF(実績!$W$5:$W$1474,A859)</f>
        <v>1</v>
      </c>
      <c r="D859" s="9">
        <f>COUNTIF(実績!$AB$5:$AC$1474,A859)</f>
        <v>0</v>
      </c>
      <c r="E859" s="12" t="s">
        <v>1532</v>
      </c>
      <c r="F859" s="12"/>
      <c r="G859" s="12"/>
    </row>
    <row r="860" spans="1:7">
      <c r="A860" s="8" t="s">
        <v>444</v>
      </c>
      <c r="B860" s="9">
        <f>COUNTIF(実績!$R$5:$R$1474,A860)</f>
        <v>4</v>
      </c>
      <c r="C860" s="9">
        <f>COUNTIF(実績!$W$5:$W$1474,A860)</f>
        <v>0</v>
      </c>
      <c r="D860" s="9">
        <f>COUNTIF(実績!$AB$5:$AC$1474,A860)</f>
        <v>0</v>
      </c>
      <c r="E860" s="12" t="s">
        <v>1372</v>
      </c>
      <c r="F860" s="12"/>
      <c r="G860" s="12"/>
    </row>
    <row r="861" spans="1:7">
      <c r="A861" s="8" t="s">
        <v>615</v>
      </c>
      <c r="B861" s="9">
        <f>COUNTIF(実績!$R$5:$R$1474,A861)</f>
        <v>35</v>
      </c>
      <c r="C861" s="9">
        <f>COUNTIF(実績!$W$5:$W$1474,A861)</f>
        <v>0</v>
      </c>
      <c r="D861" s="9">
        <f>COUNTIF(実績!$AB$5:$AC$1474,A861)</f>
        <v>0</v>
      </c>
      <c r="E861" s="12" t="s">
        <v>1377</v>
      </c>
      <c r="F861" s="12" t="s">
        <v>5868</v>
      </c>
      <c r="G861" s="12" t="s">
        <v>6848</v>
      </c>
    </row>
    <row r="862" spans="1:7">
      <c r="A862" s="8" t="s">
        <v>7937</v>
      </c>
      <c r="B862" s="9">
        <f>COUNTIF(実績!$R$5:$R$1474,A862)</f>
        <v>0</v>
      </c>
      <c r="C862" s="9">
        <f>COUNTIF(実績!$W$5:$W$1474,A862)</f>
        <v>1</v>
      </c>
      <c r="D862" s="9">
        <f>COUNTIF(実績!$AB$5:$AC$1474,A862)</f>
        <v>0</v>
      </c>
      <c r="E862" s="12" t="s">
        <v>7939</v>
      </c>
      <c r="F862" s="12" t="s">
        <v>5839</v>
      </c>
      <c r="G862" s="12" t="s">
        <v>5839</v>
      </c>
    </row>
    <row r="863" spans="1:7">
      <c r="A863" s="8" t="s">
        <v>5596</v>
      </c>
      <c r="B863" s="9">
        <f>COUNTIF(実績!$R$5:$R$1474,A863)</f>
        <v>1</v>
      </c>
      <c r="C863" s="9">
        <f>COUNTIF(実績!$W$5:$W$1474,A863)</f>
        <v>1</v>
      </c>
      <c r="D863" s="9">
        <f>COUNTIF(実績!$AB$5:$AC$1474,A863)</f>
        <v>0</v>
      </c>
      <c r="E863" s="12" t="s">
        <v>5597</v>
      </c>
      <c r="F863" s="12"/>
      <c r="G863" s="12"/>
    </row>
    <row r="864" spans="1:7">
      <c r="A864" s="8" t="s">
        <v>10801</v>
      </c>
      <c r="B864" s="9">
        <f>COUNTIF(実績!$R$5:$R$1474,A864)</f>
        <v>0</v>
      </c>
      <c r="C864" s="9">
        <f>COUNTIF(実績!$W$5:$W$1474,A864)</f>
        <v>1</v>
      </c>
      <c r="D864" s="9">
        <f>COUNTIF(実績!$AB$5:$AC$1474,A864)</f>
        <v>0</v>
      </c>
      <c r="E864" s="12" t="s">
        <v>10829</v>
      </c>
      <c r="F864" s="12"/>
      <c r="G864" s="12"/>
    </row>
    <row r="865" spans="1:7">
      <c r="A865" s="8" t="s">
        <v>5213</v>
      </c>
      <c r="B865" s="9">
        <f>COUNTIF(実績!$R$5:$R$1474,A865)</f>
        <v>1</v>
      </c>
      <c r="C865" s="9">
        <f>COUNTIF(実績!$W$5:$W$1474,A865)</f>
        <v>2</v>
      </c>
      <c r="D865" s="9">
        <f>COUNTIF(実績!$AB$5:$AC$1474,A865)</f>
        <v>0</v>
      </c>
      <c r="E865" s="12" t="s">
        <v>5214</v>
      </c>
      <c r="F865" s="12" t="s">
        <v>7093</v>
      </c>
      <c r="G865" s="12" t="s">
        <v>7093</v>
      </c>
    </row>
    <row r="866" spans="1:7">
      <c r="A866" s="8" t="s">
        <v>1124</v>
      </c>
      <c r="B866" s="9">
        <f>COUNTIF(実績!$R$5:$R$1474,A866)</f>
        <v>0</v>
      </c>
      <c r="C866" s="9">
        <f>COUNTIF(実績!$W$5:$W$1474,A866)</f>
        <v>2</v>
      </c>
      <c r="D866" s="9">
        <f>COUNTIF(実績!$AB$5:$AC$1474,A866)</f>
        <v>0</v>
      </c>
      <c r="E866" s="12" t="s">
        <v>1363</v>
      </c>
      <c r="F866" s="12"/>
      <c r="G866" s="12"/>
    </row>
    <row r="867" spans="1:7">
      <c r="A867" s="8" t="s">
        <v>6128</v>
      </c>
      <c r="B867" s="9">
        <f>COUNTIF(実績!$R$5:$R$1474,A867)</f>
        <v>0</v>
      </c>
      <c r="C867" s="9">
        <f>COUNTIF(実績!$W$5:$W$1474,A867)</f>
        <v>2</v>
      </c>
      <c r="D867" s="9">
        <f>COUNTIF(実績!$AB$5:$AC$1474,A867)</f>
        <v>0</v>
      </c>
      <c r="E867" s="12" t="s">
        <v>6129</v>
      </c>
      <c r="F867" s="12" t="s">
        <v>5839</v>
      </c>
      <c r="G867" s="12"/>
    </row>
    <row r="868" spans="1:7">
      <c r="A868" s="8" t="s">
        <v>4603</v>
      </c>
      <c r="B868" s="9">
        <f>COUNTIF(実績!$R$5:$R$1474,A868)</f>
        <v>0</v>
      </c>
      <c r="C868" s="9">
        <f>COUNTIF(実績!$W$5:$W$1474,A868)</f>
        <v>10</v>
      </c>
      <c r="D868" s="9">
        <f>COUNTIF(実績!$AB$5:$AC$1474,A868)</f>
        <v>0</v>
      </c>
      <c r="E868" s="12" t="s">
        <v>4604</v>
      </c>
      <c r="F868" s="12"/>
      <c r="G868" s="12"/>
    </row>
    <row r="869" spans="1:7">
      <c r="A869" s="8" t="s">
        <v>923</v>
      </c>
      <c r="B869" s="9">
        <f>COUNTIF(実績!$R$5:$R$1474,A869)</f>
        <v>3</v>
      </c>
      <c r="C869" s="9">
        <f>COUNTIF(実績!$W$5:$W$1474,A869)</f>
        <v>0</v>
      </c>
      <c r="D869" s="9">
        <f>COUNTIF(実績!$AB$5:$AC$1474,A869)</f>
        <v>0</v>
      </c>
      <c r="E869" s="12" t="s">
        <v>1380</v>
      </c>
      <c r="F869" s="12"/>
      <c r="G869" s="12"/>
    </row>
    <row r="870" spans="1:7">
      <c r="A870" s="8" t="s">
        <v>8173</v>
      </c>
      <c r="B870" s="9">
        <f>COUNTIF(実績!$R$5:$R$1474,A870)</f>
        <v>0</v>
      </c>
      <c r="C870" s="9">
        <f>COUNTIF(実績!$W$5:$W$1474,A870)</f>
        <v>2</v>
      </c>
      <c r="D870" s="9">
        <f>COUNTIF(実績!$AB$5:$AC$1474,A870)</f>
        <v>0</v>
      </c>
      <c r="E870" s="12" t="s">
        <v>8175</v>
      </c>
      <c r="F870" s="12" t="s">
        <v>5839</v>
      </c>
      <c r="G870" s="12" t="s">
        <v>5839</v>
      </c>
    </row>
    <row r="871" spans="1:7">
      <c r="A871" s="8" t="s">
        <v>12625</v>
      </c>
      <c r="B871" s="9">
        <f>COUNTIF(実績!$R$5:$R$1474,A871)</f>
        <v>1</v>
      </c>
      <c r="C871" s="9">
        <f>COUNTIF(実績!$W$5:$W$1474,A871)</f>
        <v>0</v>
      </c>
      <c r="D871" s="9">
        <f>COUNTIF(実績!$AB$5:$AC$1474,A871)</f>
        <v>0</v>
      </c>
      <c r="E871" s="12" t="s">
        <v>5247</v>
      </c>
      <c r="F871" s="12"/>
      <c r="G871" s="12"/>
    </row>
    <row r="872" spans="1:7">
      <c r="A872" s="8" t="s">
        <v>1110</v>
      </c>
      <c r="B872" s="9">
        <f>COUNTIF(実績!$R$5:$R$1474,A872)</f>
        <v>0</v>
      </c>
      <c r="C872" s="9">
        <f>COUNTIF(実績!$W$5:$W$1474,A872)</f>
        <v>7</v>
      </c>
      <c r="D872" s="9">
        <f>COUNTIF(実績!$AB$5:$AC$1474,A872)</f>
        <v>0</v>
      </c>
      <c r="E872" s="12" t="s">
        <v>1376</v>
      </c>
      <c r="F872" s="12"/>
      <c r="G872" s="12"/>
    </row>
    <row r="873" spans="1:7">
      <c r="A873" s="8" t="s">
        <v>1119</v>
      </c>
      <c r="B873" s="9">
        <f>COUNTIF(実績!$R$5:$R$1474,A873)</f>
        <v>0</v>
      </c>
      <c r="C873" s="9">
        <f>COUNTIF(実績!$W$5:$W$1474,A873)</f>
        <v>2</v>
      </c>
      <c r="D873" s="9">
        <f>COUNTIF(実績!$AB$5:$AC$1474,A873)</f>
        <v>0</v>
      </c>
      <c r="E873" s="12" t="s">
        <v>1373</v>
      </c>
      <c r="F873" s="12"/>
      <c r="G873" s="12"/>
    </row>
    <row r="874" spans="1:7">
      <c r="A874" s="8" t="s">
        <v>8058</v>
      </c>
      <c r="B874" s="9">
        <f>COUNTIF(実績!$R$5:$R$1474,A874)</f>
        <v>1</v>
      </c>
      <c r="C874" s="9">
        <f>COUNTIF(実績!$W$5:$W$1474,A874)</f>
        <v>0</v>
      </c>
      <c r="D874" s="9">
        <f>COUNTIF(実績!$AB$5:$AC$1474,A874)</f>
        <v>0</v>
      </c>
      <c r="E874" s="12" t="s">
        <v>8059</v>
      </c>
      <c r="F874" s="12" t="s">
        <v>5839</v>
      </c>
      <c r="G874" s="12" t="s">
        <v>5839</v>
      </c>
    </row>
    <row r="875" spans="1:7">
      <c r="A875" s="8" t="s">
        <v>8480</v>
      </c>
      <c r="B875" s="9">
        <f>COUNTIF(実績!$R$5:$R$1474,A875)</f>
        <v>0</v>
      </c>
      <c r="C875" s="9">
        <f>COUNTIF(実績!$W$5:$W$1474,A875)</f>
        <v>1</v>
      </c>
      <c r="D875" s="9">
        <f>COUNTIF(実績!$AB$5:$AC$1474,A875)</f>
        <v>0</v>
      </c>
      <c r="E875" s="12" t="s">
        <v>8482</v>
      </c>
      <c r="F875" s="12" t="s">
        <v>5839</v>
      </c>
      <c r="G875" s="12" t="s">
        <v>5839</v>
      </c>
    </row>
    <row r="876" spans="1:7">
      <c r="A876" s="13" t="s">
        <v>3279</v>
      </c>
      <c r="B876" s="9">
        <f>COUNTIF(実績!$R$5:$R$1474,A876)</f>
        <v>0</v>
      </c>
      <c r="C876" s="9">
        <f>COUNTIF(実績!$W$5:$W$1474,A876)</f>
        <v>3</v>
      </c>
      <c r="D876" s="9">
        <f>COUNTIF(実績!$AB$5:$AC$1474,A876)</f>
        <v>0</v>
      </c>
      <c r="E876" s="12" t="s">
        <v>1511</v>
      </c>
      <c r="F876" s="12"/>
      <c r="G876" s="12"/>
    </row>
    <row r="877" spans="1:7">
      <c r="A877" s="8" t="s">
        <v>4256</v>
      </c>
      <c r="B877" s="9">
        <f>COUNTIF(実績!$R$5:$R$1474,A877)</f>
        <v>1</v>
      </c>
      <c r="C877" s="9">
        <f>COUNTIF(実績!$W$5:$W$1474,A877)</f>
        <v>0</v>
      </c>
      <c r="D877" s="9">
        <f>COUNTIF(実績!$AB$5:$AC$1474,A877)</f>
        <v>0</v>
      </c>
      <c r="E877" s="12" t="s">
        <v>4257</v>
      </c>
      <c r="F877" s="12"/>
      <c r="G877" s="12"/>
    </row>
    <row r="878" spans="1:7">
      <c r="A878" s="8" t="s">
        <v>8118</v>
      </c>
      <c r="B878" s="9">
        <f>COUNTIF(実績!$R$5:$R$1474,A878)</f>
        <v>2</v>
      </c>
      <c r="C878" s="9">
        <f>COUNTIF(実績!$W$5:$W$1474,A878)</f>
        <v>0</v>
      </c>
      <c r="D878" s="9">
        <f>COUNTIF(実績!$AB$5:$AC$1474,A878)</f>
        <v>0</v>
      </c>
      <c r="E878" s="12" t="s">
        <v>8121</v>
      </c>
      <c r="F878" s="12"/>
      <c r="G878" s="12"/>
    </row>
    <row r="879" spans="1:7">
      <c r="A879" s="8" t="s">
        <v>1123</v>
      </c>
      <c r="B879" s="9">
        <f>COUNTIF(実績!$R$5:$R$1474,A879)</f>
        <v>0</v>
      </c>
      <c r="C879" s="9">
        <f>COUNTIF(実績!$W$5:$W$1474,A879)</f>
        <v>1</v>
      </c>
      <c r="D879" s="9">
        <f>COUNTIF(実績!$AB$5:$AC$1474,A879)</f>
        <v>0</v>
      </c>
      <c r="E879" s="12" t="s">
        <v>1364</v>
      </c>
      <c r="F879" s="12"/>
      <c r="G879" s="12"/>
    </row>
    <row r="880" spans="1:7">
      <c r="A880" s="8" t="s">
        <v>453</v>
      </c>
      <c r="B880" s="9">
        <f>COUNTIF(実績!$R$5:$R$1474,A880)</f>
        <v>3</v>
      </c>
      <c r="C880" s="9">
        <f>COUNTIF(実績!$W$5:$W$1474,A880)</f>
        <v>0</v>
      </c>
      <c r="D880" s="9">
        <f>COUNTIF(実績!$AB$5:$AC$1474,A880)</f>
        <v>0</v>
      </c>
      <c r="E880" s="12" t="s">
        <v>1379</v>
      </c>
      <c r="F880" s="12"/>
      <c r="G880" s="12"/>
    </row>
    <row r="881" spans="1:7">
      <c r="A881" s="8" t="s">
        <v>6799</v>
      </c>
      <c r="B881" s="9">
        <f>COUNTIF(実績!$R$5:$R$1474,A881)</f>
        <v>1</v>
      </c>
      <c r="C881" s="9">
        <f>COUNTIF(実績!$W$5:$W$1474,A881)</f>
        <v>0</v>
      </c>
      <c r="D881" s="9">
        <f>COUNTIF(実績!$AB$5:$AC$1474,A881)</f>
        <v>0</v>
      </c>
      <c r="E881" s="12" t="s">
        <v>6869</v>
      </c>
      <c r="F881" s="12" t="s">
        <v>5839</v>
      </c>
      <c r="G881" s="12" t="s">
        <v>5839</v>
      </c>
    </row>
    <row r="882" spans="1:7">
      <c r="A882" s="8" t="s">
        <v>5036</v>
      </c>
      <c r="B882" s="9">
        <f>COUNTIF(実績!$R$5:$R$1474,A882)</f>
        <v>0</v>
      </c>
      <c r="C882" s="9">
        <f>COUNTIF(実績!$W$5:$W$1474,A882)</f>
        <v>1</v>
      </c>
      <c r="D882" s="9">
        <f>COUNTIF(実績!$AB$5:$AC$1474,A882)</f>
        <v>0</v>
      </c>
      <c r="E882" s="12" t="s">
        <v>5037</v>
      </c>
      <c r="F882" s="12"/>
      <c r="G882" s="12"/>
    </row>
    <row r="883" spans="1:7">
      <c r="A883" s="8" t="s">
        <v>7321</v>
      </c>
      <c r="B883" s="9">
        <f>COUNTIF(実績!$R$5:$R$1474,A883)</f>
        <v>1</v>
      </c>
      <c r="C883" s="9">
        <f>COUNTIF(実績!$W$5:$W$1474,A883)</f>
        <v>0</v>
      </c>
      <c r="D883" s="9">
        <f>COUNTIF(実績!$AB$5:$AC$1474,A883)</f>
        <v>0</v>
      </c>
      <c r="E883" s="12" t="s">
        <v>7322</v>
      </c>
      <c r="F883" s="12" t="s">
        <v>5839</v>
      </c>
      <c r="G883" s="12" t="s">
        <v>5839</v>
      </c>
    </row>
    <row r="884" spans="1:7">
      <c r="A884" s="8" t="s">
        <v>478</v>
      </c>
      <c r="B884" s="9">
        <f>COUNTIF(実績!$R$5:$R$1474,A884)</f>
        <v>2</v>
      </c>
      <c r="C884" s="9">
        <f>COUNTIF(実績!$W$5:$W$1474,A884)</f>
        <v>0</v>
      </c>
      <c r="D884" s="9">
        <f>COUNTIF(実績!$AB$5:$AC$1474,A884)</f>
        <v>0</v>
      </c>
      <c r="E884" s="12" t="s">
        <v>1378</v>
      </c>
      <c r="F884" s="12"/>
      <c r="G884" s="12"/>
    </row>
    <row r="885" spans="1:7">
      <c r="A885" s="8" t="s">
        <v>1115</v>
      </c>
      <c r="B885" s="9">
        <f>COUNTIF(実績!$R$5:$R$1474,A885)</f>
        <v>0</v>
      </c>
      <c r="C885" s="9">
        <f>COUNTIF(実績!$W$5:$W$1474,A885)</f>
        <v>1</v>
      </c>
      <c r="D885" s="9">
        <f>COUNTIF(実績!$AB$5:$AC$1474,A885)</f>
        <v>0</v>
      </c>
      <c r="E885" s="12" t="s">
        <v>1371</v>
      </c>
      <c r="F885" s="12"/>
      <c r="G885" s="12"/>
    </row>
    <row r="886" spans="1:7">
      <c r="A886" s="8" t="s">
        <v>2303</v>
      </c>
      <c r="B886" s="9">
        <f>COUNTIF(実績!$R$5:$R$1474,A886)</f>
        <v>2</v>
      </c>
      <c r="C886" s="9">
        <f>COUNTIF(実績!$W$5:$W$1474,A886)</f>
        <v>0</v>
      </c>
      <c r="D886" s="9">
        <f>COUNTIF(実績!$AB$5:$AC$1474,A886)</f>
        <v>0</v>
      </c>
      <c r="E886" s="12" t="s">
        <v>2305</v>
      </c>
      <c r="F886" s="12"/>
      <c r="G886" s="12"/>
    </row>
    <row r="887" spans="1:7">
      <c r="A887" s="8" t="s">
        <v>1730</v>
      </c>
      <c r="B887" s="9">
        <f>COUNTIF(実績!$R$5:$R$1474,A887)</f>
        <v>0</v>
      </c>
      <c r="C887" s="9">
        <f>COUNTIF(実績!$W$5:$W$1474,A887)</f>
        <v>3</v>
      </c>
      <c r="D887" s="9">
        <f>COUNTIF(実績!$AB$5:$AC$1474,A887)</f>
        <v>0</v>
      </c>
      <c r="E887" s="12" t="s">
        <v>1731</v>
      </c>
      <c r="F887" s="12"/>
      <c r="G887" s="12"/>
    </row>
    <row r="888" spans="1:7">
      <c r="A888" s="13" t="s">
        <v>1442</v>
      </c>
      <c r="B888" s="9">
        <f>COUNTIF(実績!$R$5:$R$1474,A888)</f>
        <v>1</v>
      </c>
      <c r="C888" s="9">
        <f>COUNTIF(実績!$W$5:$W$1474,A888)</f>
        <v>0</v>
      </c>
      <c r="D888" s="9">
        <f>COUNTIF(実績!$AB$5:$AC$1474,A888)</f>
        <v>0</v>
      </c>
      <c r="E888" s="12" t="s">
        <v>1443</v>
      </c>
      <c r="F888" s="12"/>
      <c r="G888" s="12"/>
    </row>
    <row r="889" spans="1:7">
      <c r="A889" s="8" t="s">
        <v>1121</v>
      </c>
      <c r="B889" s="9">
        <f>COUNTIF(実績!$R$5:$R$1474,A889)</f>
        <v>1</v>
      </c>
      <c r="C889" s="9">
        <f>COUNTIF(実績!$W$5:$W$1474,A889)</f>
        <v>0</v>
      </c>
      <c r="D889" s="9">
        <f>COUNTIF(実績!$AB$5:$AC$1474,A889)</f>
        <v>0</v>
      </c>
      <c r="E889" s="12" t="s">
        <v>1369</v>
      </c>
      <c r="F889" s="12"/>
      <c r="G889" s="12"/>
    </row>
    <row r="890" spans="1:7">
      <c r="A890" s="8" t="s">
        <v>7468</v>
      </c>
      <c r="B890" s="9">
        <f>COUNTIF(実績!$R$5:$R$1474,A890)</f>
        <v>1</v>
      </c>
      <c r="C890" s="9">
        <f>COUNTIF(実績!$W$5:$W$1474,A890)</f>
        <v>0</v>
      </c>
      <c r="D890" s="9">
        <f>COUNTIF(実績!$AB$5:$AC$1474,A890)</f>
        <v>0</v>
      </c>
      <c r="E890" s="12" t="s">
        <v>7469</v>
      </c>
      <c r="F890" s="12" t="s">
        <v>5839</v>
      </c>
      <c r="G890" s="12" t="s">
        <v>5839</v>
      </c>
    </row>
    <row r="891" spans="1:7">
      <c r="A891" s="8" t="s">
        <v>3001</v>
      </c>
      <c r="B891" s="9">
        <f>COUNTIF(実績!$R$5:$R$1474,A891)</f>
        <v>0</v>
      </c>
      <c r="C891" s="9">
        <f>COUNTIF(実績!$W$5:$W$1474,A891)</f>
        <v>2</v>
      </c>
      <c r="D891" s="9">
        <f>COUNTIF(実績!$AB$5:$AC$1474,A891)</f>
        <v>0</v>
      </c>
      <c r="E891" s="12" t="s">
        <v>3002</v>
      </c>
      <c r="F891" s="12"/>
      <c r="G891" s="12"/>
    </row>
    <row r="892" spans="1:7">
      <c r="A892" s="8" t="s">
        <v>5684</v>
      </c>
      <c r="B892" s="9">
        <f>COUNTIF(実績!$R$5:$R$1474,A892)</f>
        <v>0</v>
      </c>
      <c r="C892" s="9">
        <f>COUNTIF(実績!$W$5:$W$1474,A892)</f>
        <v>3</v>
      </c>
      <c r="D892" s="9">
        <f>COUNTIF(実績!$AB$5:$AC$1474,A892)</f>
        <v>1</v>
      </c>
      <c r="E892" s="12" t="s">
        <v>4030</v>
      </c>
      <c r="F892" s="12"/>
      <c r="G892" s="12"/>
    </row>
    <row r="893" spans="1:7">
      <c r="A893" s="8" t="s">
        <v>6114</v>
      </c>
      <c r="B893" s="9">
        <f>COUNTIF(実績!$R$5:$R$1474,A893)</f>
        <v>2</v>
      </c>
      <c r="C893" s="9">
        <f>COUNTIF(実績!$W$5:$W$1474,A893)</f>
        <v>0</v>
      </c>
      <c r="D893" s="9">
        <f>COUNTIF(実績!$AB$5:$AC$1474,A893)</f>
        <v>0</v>
      </c>
      <c r="E893" s="12" t="s">
        <v>6115</v>
      </c>
      <c r="F893" s="171" t="s">
        <v>5839</v>
      </c>
      <c r="G893" s="171"/>
    </row>
    <row r="894" spans="1:7">
      <c r="A894" s="8" t="s">
        <v>2918</v>
      </c>
      <c r="B894" s="9">
        <f>COUNTIF(実績!$R$5:$R$1474,A894)</f>
        <v>1</v>
      </c>
      <c r="C894" s="9">
        <f>COUNTIF(実績!$W$5:$W$1474,A894)</f>
        <v>0</v>
      </c>
      <c r="D894" s="9">
        <f>COUNTIF(実績!$AB$5:$AC$1474,A894)</f>
        <v>0</v>
      </c>
      <c r="E894" s="12" t="s">
        <v>2919</v>
      </c>
      <c r="F894" s="171"/>
      <c r="G894" s="171"/>
    </row>
    <row r="895" spans="1:7">
      <c r="A895" s="8" t="s">
        <v>10663</v>
      </c>
      <c r="B895" s="9">
        <f>COUNTIF(実績!$R$5:$R$1474,A895)</f>
        <v>0</v>
      </c>
      <c r="C895" s="9">
        <f>COUNTIF(実績!$W$5:$W$1474,A895)</f>
        <v>1</v>
      </c>
      <c r="D895" s="9">
        <f>COUNTIF(実績!$AB$5:$AC$1474,A895)</f>
        <v>0</v>
      </c>
      <c r="E895" s="12" t="s">
        <v>10688</v>
      </c>
      <c r="F895" s="171"/>
      <c r="G895" s="171"/>
    </row>
    <row r="896" spans="1:7">
      <c r="A896" s="8" t="s">
        <v>7992</v>
      </c>
      <c r="B896" s="9">
        <f>COUNTIF(実績!$R$5:$R$1474,A896)</f>
        <v>1</v>
      </c>
      <c r="C896" s="9">
        <f>COUNTIF(実績!$W$5:$W$1474,A896)</f>
        <v>0</v>
      </c>
      <c r="D896" s="9">
        <f>COUNTIF(実績!$AB$5:$AC$1474,A896)</f>
        <v>0</v>
      </c>
      <c r="E896" s="12" t="s">
        <v>7993</v>
      </c>
      <c r="F896" s="171" t="s">
        <v>5839</v>
      </c>
      <c r="G896" s="171" t="s">
        <v>5839</v>
      </c>
    </row>
    <row r="897" spans="1:7">
      <c r="A897" s="13" t="s">
        <v>1461</v>
      </c>
      <c r="B897" s="9">
        <f>COUNTIF(実績!$R$5:$R$1474,A897)</f>
        <v>1</v>
      </c>
      <c r="C897" s="9">
        <f>COUNTIF(実績!$W$5:$W$1474,A897)</f>
        <v>0</v>
      </c>
      <c r="D897" s="9">
        <f>COUNTIF(実績!$AB$5:$AC$1474,A897)</f>
        <v>1</v>
      </c>
      <c r="E897" s="12" t="s">
        <v>1462</v>
      </c>
      <c r="F897" s="171"/>
      <c r="G897" s="171"/>
    </row>
    <row r="898" spans="1:7">
      <c r="A898" s="8" t="s">
        <v>1111</v>
      </c>
      <c r="B898" s="9">
        <f>COUNTIF(実績!$R$5:$R$1474,A898)</f>
        <v>0</v>
      </c>
      <c r="C898" s="9">
        <f>COUNTIF(実績!$W$5:$W$1474,A898)</f>
        <v>10</v>
      </c>
      <c r="D898" s="9">
        <f>COUNTIF(実績!$AB$5:$AC$1474,A898)</f>
        <v>0</v>
      </c>
      <c r="E898" s="12" t="s">
        <v>1381</v>
      </c>
      <c r="F898" s="171"/>
      <c r="G898" s="171"/>
    </row>
    <row r="899" spans="1:7">
      <c r="A899" s="8" t="s">
        <v>2906</v>
      </c>
      <c r="B899" s="9">
        <f>COUNTIF(実績!$R$5:$R$1474,A899)</f>
        <v>0</v>
      </c>
      <c r="C899" s="9">
        <f>COUNTIF(実績!$W$5:$W$1474,A899)</f>
        <v>6</v>
      </c>
      <c r="D899" s="9">
        <f>COUNTIF(実績!$AB$5:$AC$1474,A899)</f>
        <v>0</v>
      </c>
      <c r="E899" s="12" t="s">
        <v>10560</v>
      </c>
      <c r="F899" s="171"/>
      <c r="G899" s="171"/>
    </row>
    <row r="900" spans="1:7">
      <c r="A900" s="8" t="s">
        <v>9425</v>
      </c>
      <c r="B900" s="9">
        <f>COUNTIF(実績!$R$5:$R$1474,A900)</f>
        <v>0</v>
      </c>
      <c r="C900" s="9">
        <f>COUNTIF(実績!$W$5:$W$1474,A900)</f>
        <v>1</v>
      </c>
      <c r="D900" s="9">
        <f>COUNTIF(実績!$AB$5:$AC$1474,A900)</f>
        <v>0</v>
      </c>
      <c r="E900" s="12" t="s">
        <v>9426</v>
      </c>
      <c r="F900" s="171" t="s">
        <v>5839</v>
      </c>
      <c r="G900" s="171" t="s">
        <v>5839</v>
      </c>
    </row>
    <row r="901" spans="1:7">
      <c r="A901" s="8" t="s">
        <v>3171</v>
      </c>
      <c r="B901" s="9">
        <f>COUNTIF(実績!$R$5:$R$1474,A901)</f>
        <v>2</v>
      </c>
      <c r="C901" s="9">
        <f>COUNTIF(実績!$W$5:$W$1474,A901)</f>
        <v>0</v>
      </c>
      <c r="D901" s="9">
        <f>COUNTIF(実績!$AB$5:$AC$1474,A901)</f>
        <v>0</v>
      </c>
      <c r="E901" s="12" t="s">
        <v>3172</v>
      </c>
      <c r="F901" s="171"/>
      <c r="G901" s="171"/>
    </row>
    <row r="902" spans="1:7">
      <c r="A902" s="8" t="s">
        <v>1122</v>
      </c>
      <c r="B902" s="9">
        <f>COUNTIF(実績!$R$5:$R$1474,A902)</f>
        <v>0</v>
      </c>
      <c r="C902" s="9">
        <f>COUNTIF(実績!$W$5:$W$1474,A902)</f>
        <v>1</v>
      </c>
      <c r="D902" s="9">
        <f>COUNTIF(実績!$AB$5:$AC$1474,A902)</f>
        <v>0</v>
      </c>
      <c r="E902" s="12" t="s">
        <v>1365</v>
      </c>
      <c r="F902" s="171"/>
      <c r="G902" s="171"/>
    </row>
    <row r="903" spans="1:7">
      <c r="A903" s="8" t="s">
        <v>2818</v>
      </c>
      <c r="B903" s="9">
        <f>COUNTIF(実績!$R$5:$R$1474,A903)</f>
        <v>0</v>
      </c>
      <c r="C903" s="9">
        <f>COUNTIF(実績!$W$5:$W$1474,A903)</f>
        <v>1</v>
      </c>
      <c r="D903" s="9">
        <f>COUNTIF(実績!$AB$5:$AC$1474,A903)</f>
        <v>0</v>
      </c>
      <c r="E903" s="12" t="s">
        <v>2819</v>
      </c>
      <c r="F903" s="171"/>
      <c r="G903" s="171"/>
    </row>
    <row r="904" spans="1:7">
      <c r="A904" s="8" t="s">
        <v>601</v>
      </c>
      <c r="B904" s="9">
        <f>COUNTIF(実績!$R$5:$R$1474,A904)</f>
        <v>0</v>
      </c>
      <c r="C904" s="9">
        <f>COUNTIF(実績!$W$5:$W$1474,A904)</f>
        <v>1</v>
      </c>
      <c r="D904" s="9">
        <f>COUNTIF(実績!$AB$5:$AC$1474,A904)</f>
        <v>0</v>
      </c>
      <c r="E904" s="12" t="s">
        <v>1366</v>
      </c>
      <c r="F904" s="171"/>
      <c r="G904" s="171"/>
    </row>
    <row r="905" spans="1:7">
      <c r="A905" s="8" t="s">
        <v>7609</v>
      </c>
      <c r="B905" s="9">
        <f>COUNTIF(実績!$R$5:$R$1474,A905)</f>
        <v>0</v>
      </c>
      <c r="C905" s="9">
        <f>COUNTIF(実績!$W$5:$W$1474,A905)</f>
        <v>2</v>
      </c>
      <c r="D905" s="9">
        <f>COUNTIF(実績!$AB$5:$AC$1474,A905)</f>
        <v>0</v>
      </c>
      <c r="E905" s="12" t="s">
        <v>7610</v>
      </c>
      <c r="F905" s="171" t="s">
        <v>5839</v>
      </c>
      <c r="G905" s="171" t="s">
        <v>5839</v>
      </c>
    </row>
    <row r="906" spans="1:7">
      <c r="A906" s="8" t="s">
        <v>4471</v>
      </c>
      <c r="B906" s="9">
        <f>COUNTIF(実績!$R$5:$R$1474,A906)</f>
        <v>3</v>
      </c>
      <c r="C906" s="9">
        <f>COUNTIF(実績!$W$5:$W$1474,A906)</f>
        <v>1</v>
      </c>
      <c r="D906" s="9">
        <f>COUNTIF(実績!$AB$5:$AC$1474,A906)</f>
        <v>0</v>
      </c>
      <c r="E906" s="12" t="s">
        <v>4472</v>
      </c>
      <c r="F906" s="171"/>
      <c r="G906" s="171"/>
    </row>
    <row r="907" spans="1:7">
      <c r="A907" s="8" t="s">
        <v>5157</v>
      </c>
      <c r="B907" s="9">
        <f>COUNTIF(実績!$R$5:$R$1474,A907)</f>
        <v>0</v>
      </c>
      <c r="C907" s="9">
        <f>COUNTIF(実績!$W$5:$W$1474,A907)</f>
        <v>1</v>
      </c>
      <c r="D907" s="9">
        <f>COUNTIF(実績!$AB$5:$AC$1474,A907)</f>
        <v>0</v>
      </c>
      <c r="E907" s="12" t="s">
        <v>5158</v>
      </c>
      <c r="F907" s="171"/>
      <c r="G907" s="171"/>
    </row>
    <row r="908" spans="1:7">
      <c r="A908" s="8" t="s">
        <v>8134</v>
      </c>
      <c r="B908" s="9">
        <f>COUNTIF(実績!$R$5:$R$1474,A908)</f>
        <v>0</v>
      </c>
      <c r="C908" s="9">
        <f>COUNTIF(実績!$W$5:$W$1474,A908)</f>
        <v>1</v>
      </c>
      <c r="D908" s="9">
        <f>COUNTIF(実績!$AB$5:$AC$1474,A908)</f>
        <v>0</v>
      </c>
      <c r="E908" s="12" t="s">
        <v>8135</v>
      </c>
      <c r="F908" s="171" t="s">
        <v>5839</v>
      </c>
      <c r="G908" s="171" t="s">
        <v>5839</v>
      </c>
    </row>
    <row r="909" spans="1:7">
      <c r="A909" s="23" t="s">
        <v>611</v>
      </c>
      <c r="B909" s="9">
        <f>COUNTIF(実績!$R$5:$R$1474,A909)</f>
        <v>2</v>
      </c>
      <c r="C909" s="9">
        <f>COUNTIF(実績!$W$5:$W$1474,A909)</f>
        <v>0</v>
      </c>
      <c r="D909" s="9">
        <f>COUNTIF(実績!$AB$5:$AC$1474,A909)</f>
        <v>0</v>
      </c>
      <c r="E909" s="12" t="s">
        <v>1352</v>
      </c>
      <c r="F909" s="171"/>
      <c r="G909" s="171"/>
    </row>
    <row r="910" spans="1:7">
      <c r="A910" s="8" t="s">
        <v>7980</v>
      </c>
      <c r="B910" s="9">
        <f>COUNTIF(実績!$R$5:$R$1474,A910)</f>
        <v>0</v>
      </c>
      <c r="C910" s="9">
        <f>COUNTIF(実績!$W$5:$W$1474,A910)</f>
        <v>1</v>
      </c>
      <c r="D910" s="9">
        <f>COUNTIF(実績!$AB$5:$AC$1474,A910)</f>
        <v>0</v>
      </c>
      <c r="E910" s="12" t="s">
        <v>7981</v>
      </c>
      <c r="F910" s="171" t="s">
        <v>5839</v>
      </c>
      <c r="G910" s="171" t="s">
        <v>5839</v>
      </c>
    </row>
    <row r="911" spans="1:7">
      <c r="A911" s="8" t="s">
        <v>4024</v>
      </c>
      <c r="B911" s="9">
        <f>COUNTIF(実績!$R$5:$R$1474,A911)</f>
        <v>0</v>
      </c>
      <c r="C911" s="9">
        <f>COUNTIF(実績!$W$5:$W$1474,A911)</f>
        <v>1</v>
      </c>
      <c r="D911" s="9">
        <f>COUNTIF(実績!$AB$5:$AC$1474,A911)</f>
        <v>0</v>
      </c>
      <c r="E911" s="12" t="s">
        <v>4025</v>
      </c>
      <c r="F911" s="171"/>
      <c r="G911" s="171"/>
    </row>
    <row r="912" spans="1:7">
      <c r="A912" s="8" t="s">
        <v>9345</v>
      </c>
      <c r="B912" s="9">
        <f>COUNTIF(実績!$R$5:$R$1474,A912)</f>
        <v>2</v>
      </c>
      <c r="C912" s="9">
        <f>COUNTIF(実績!$W$5:$W$1474,A912)</f>
        <v>0</v>
      </c>
      <c r="D912" s="9">
        <f>COUNTIF(実績!$AB$5:$AC$1474,A912)</f>
        <v>0</v>
      </c>
      <c r="E912" s="12" t="s">
        <v>9346</v>
      </c>
      <c r="F912" s="171" t="s">
        <v>5839</v>
      </c>
      <c r="G912" s="171" t="s">
        <v>5839</v>
      </c>
    </row>
    <row r="913" spans="1:7">
      <c r="A913" s="8" t="s">
        <v>657</v>
      </c>
      <c r="B913" s="9">
        <f>COUNTIF(実績!$R$5:$R$1474,A913)</f>
        <v>1</v>
      </c>
      <c r="C913" s="9">
        <f>COUNTIF(実績!$W$5:$W$1474,A913)</f>
        <v>0</v>
      </c>
      <c r="D913" s="9">
        <f>COUNTIF(実績!$AB$5:$AC$1474,A913)</f>
        <v>0</v>
      </c>
      <c r="E913" s="12" t="s">
        <v>1327</v>
      </c>
      <c r="F913" s="171"/>
      <c r="G913" s="171"/>
    </row>
    <row r="914" spans="1:7">
      <c r="A914" s="8" t="s">
        <v>9485</v>
      </c>
      <c r="B914" s="9">
        <f>COUNTIF(実績!$R$5:$R$1474,A914)</f>
        <v>1</v>
      </c>
      <c r="C914" s="9">
        <f>COUNTIF(実績!$W$5:$W$1474,A914)</f>
        <v>0</v>
      </c>
      <c r="D914" s="9">
        <f>COUNTIF(実績!$AB$5:$AC$1474,A914)</f>
        <v>0</v>
      </c>
      <c r="E914" s="12" t="s">
        <v>1327</v>
      </c>
      <c r="F914" s="171" t="s">
        <v>5839</v>
      </c>
      <c r="G914" s="171" t="s">
        <v>5839</v>
      </c>
    </row>
    <row r="915" spans="1:7">
      <c r="A915" s="8" t="s">
        <v>6248</v>
      </c>
      <c r="B915" s="9">
        <f>COUNTIF(実績!$R$5:$R$1474,A915)</f>
        <v>1</v>
      </c>
      <c r="C915" s="9">
        <f>COUNTIF(実績!$W$5:$W$1474,A915)</f>
        <v>1</v>
      </c>
      <c r="D915" s="9">
        <f>COUNTIF(実績!$AB$5:$AC$1474,A915)</f>
        <v>0</v>
      </c>
      <c r="E915" s="12" t="s">
        <v>6249</v>
      </c>
      <c r="F915" s="171" t="s">
        <v>5839</v>
      </c>
      <c r="G915" s="171"/>
    </row>
    <row r="916" spans="1:7">
      <c r="A916" s="8" t="s">
        <v>9935</v>
      </c>
      <c r="B916" s="9">
        <f>COUNTIF(実績!$R$5:$R$1474,A916)</f>
        <v>1</v>
      </c>
      <c r="C916" s="9">
        <f>COUNTIF(実績!$W$5:$W$1474,A916)</f>
        <v>0</v>
      </c>
      <c r="D916" s="9">
        <f>COUNTIF(実績!$AB$5:$AC$1474,A916)</f>
        <v>0</v>
      </c>
      <c r="E916" s="12" t="s">
        <v>9936</v>
      </c>
      <c r="F916" s="171"/>
      <c r="G916" s="171"/>
    </row>
    <row r="917" spans="1:7">
      <c r="A917" s="8" t="s">
        <v>10405</v>
      </c>
      <c r="B917" s="9">
        <f>COUNTIF(実績!$R$5:$R$1474,A917)</f>
        <v>2</v>
      </c>
      <c r="C917" s="9">
        <f>COUNTIF(実績!$W$5:$W$1474,A917)</f>
        <v>0</v>
      </c>
      <c r="D917" s="9">
        <f>COUNTIF(実績!$AB$5:$AC$1474,A917)</f>
        <v>0</v>
      </c>
      <c r="E917" s="12" t="s">
        <v>10406</v>
      </c>
      <c r="F917" s="171"/>
      <c r="G917" s="171"/>
    </row>
    <row r="918" spans="1:7">
      <c r="A918" s="8" t="s">
        <v>4015</v>
      </c>
      <c r="B918" s="9">
        <f>COUNTIF(実績!$R$5:$R$1474,A918)</f>
        <v>0</v>
      </c>
      <c r="C918" s="9">
        <f>COUNTIF(実績!$W$5:$W$1474,A918)</f>
        <v>1</v>
      </c>
      <c r="D918" s="9">
        <f>COUNTIF(実績!$AB$5:$AC$1474,A918)</f>
        <v>0</v>
      </c>
      <c r="E918" s="12" t="s">
        <v>4016</v>
      </c>
      <c r="F918" s="171"/>
      <c r="G918" s="171"/>
    </row>
    <row r="919" spans="1:7">
      <c r="A919" s="8" t="s">
        <v>8667</v>
      </c>
      <c r="B919" s="9">
        <f>COUNTIF(実績!$R$5:$R$1474,A919)</f>
        <v>1</v>
      </c>
      <c r="C919" s="9">
        <f>COUNTIF(実績!$W$5:$W$1474,A919)</f>
        <v>0</v>
      </c>
      <c r="D919" s="9">
        <f>COUNTIF(実績!$AB$5:$AC$1474,A919)</f>
        <v>0</v>
      </c>
      <c r="E919" s="12" t="s">
        <v>8668</v>
      </c>
      <c r="F919" s="171" t="s">
        <v>5839</v>
      </c>
      <c r="G919" s="171" t="s">
        <v>5839</v>
      </c>
    </row>
    <row r="920" spans="1:7">
      <c r="A920" s="8" t="s">
        <v>9504</v>
      </c>
      <c r="B920" s="9">
        <f>COUNTIF(実績!$R$5:$R$1474,A920)</f>
        <v>0</v>
      </c>
      <c r="C920" s="9">
        <f>COUNTIF(実績!$W$5:$W$1474,A920)</f>
        <v>0</v>
      </c>
      <c r="D920" s="9">
        <f>COUNTIF(実績!$AB$5:$AC$1474,A920)</f>
        <v>1</v>
      </c>
      <c r="E920" s="12" t="s">
        <v>9505</v>
      </c>
      <c r="F920" s="171" t="s">
        <v>5839</v>
      </c>
      <c r="G920" s="171" t="s">
        <v>5839</v>
      </c>
    </row>
    <row r="921" spans="1:7">
      <c r="A921" s="8" t="s">
        <v>8257</v>
      </c>
      <c r="B921" s="9">
        <f>COUNTIF(実績!$R$5:$R$1474,A921)</f>
        <v>0</v>
      </c>
      <c r="C921" s="9">
        <f>COUNTIF(実績!$W$5:$W$1474,A921)</f>
        <v>3</v>
      </c>
      <c r="D921" s="9">
        <f>COUNTIF(実績!$AB$5:$AC$1474,A921)</f>
        <v>0</v>
      </c>
      <c r="E921" s="12" t="s">
        <v>5141</v>
      </c>
      <c r="F921" s="171"/>
      <c r="G921" s="171"/>
    </row>
    <row r="922" spans="1:7">
      <c r="A922" s="8" t="s">
        <v>594</v>
      </c>
      <c r="B922" s="9">
        <f>COUNTIF(実績!$R$5:$R$1474,A922)</f>
        <v>0</v>
      </c>
      <c r="C922" s="9">
        <f>COUNTIF(実績!$W$5:$W$1474,A922)</f>
        <v>4</v>
      </c>
      <c r="D922" s="9">
        <f>COUNTIF(実績!$AB$5:$AC$1474,A922)</f>
        <v>0</v>
      </c>
      <c r="E922" s="12" t="s">
        <v>1350</v>
      </c>
      <c r="F922" s="171"/>
      <c r="G922" s="171"/>
    </row>
    <row r="923" spans="1:7">
      <c r="A923" s="8" t="s">
        <v>586</v>
      </c>
      <c r="B923" s="9">
        <f>COUNTIF(実績!$R$5:$R$1474,A923)</f>
        <v>7</v>
      </c>
      <c r="C923" s="9">
        <f>COUNTIF(実績!$W$5:$W$1474,A923)</f>
        <v>1</v>
      </c>
      <c r="D923" s="9">
        <f>COUNTIF(実績!$AB$5:$AC$1474,A923)</f>
        <v>0</v>
      </c>
      <c r="E923" s="12" t="s">
        <v>1351</v>
      </c>
      <c r="F923" s="171"/>
      <c r="G923" s="171"/>
    </row>
    <row r="924" spans="1:7">
      <c r="A924" s="8" t="s">
        <v>3954</v>
      </c>
      <c r="B924" s="9">
        <f>COUNTIF(実績!$R$5:$R$1474,A924)</f>
        <v>3</v>
      </c>
      <c r="C924" s="9">
        <f>COUNTIF(実績!$W$5:$W$1474,A924)</f>
        <v>0</v>
      </c>
      <c r="D924" s="9">
        <f>COUNTIF(実績!$AB$5:$AC$1474,A924)</f>
        <v>2</v>
      </c>
      <c r="E924" s="12" t="s">
        <v>3956</v>
      </c>
      <c r="F924" s="171" t="s">
        <v>5837</v>
      </c>
      <c r="G924" s="171"/>
    </row>
    <row r="925" spans="1:7">
      <c r="A925" s="8" t="s">
        <v>3694</v>
      </c>
      <c r="B925" s="9">
        <f>COUNTIF(実績!$R$5:$R$1474,A925)</f>
        <v>1</v>
      </c>
      <c r="C925" s="9">
        <f>COUNTIF(実績!$W$5:$W$1474,A925)</f>
        <v>0</v>
      </c>
      <c r="D925" s="9">
        <f>COUNTIF(実績!$AB$5:$AC$1474,A925)</f>
        <v>0</v>
      </c>
      <c r="E925" s="12" t="s">
        <v>3695</v>
      </c>
      <c r="F925" s="171"/>
      <c r="G925" s="171"/>
    </row>
    <row r="926" spans="1:7">
      <c r="A926" s="8" t="s">
        <v>632</v>
      </c>
      <c r="B926" s="9">
        <f>COUNTIF(実績!$R$5:$R$1474,A926)</f>
        <v>1</v>
      </c>
      <c r="C926" s="9">
        <f>COUNTIF(実績!$W$5:$W$1474,A926)</f>
        <v>0</v>
      </c>
      <c r="D926" s="9">
        <f>COUNTIF(実績!$AB$5:$AC$1474,A926)</f>
        <v>0</v>
      </c>
      <c r="E926" s="12" t="s">
        <v>1208</v>
      </c>
      <c r="F926" s="171"/>
      <c r="G926" s="171"/>
    </row>
    <row r="927" spans="1:7">
      <c r="A927" s="8" t="s">
        <v>15626</v>
      </c>
      <c r="B927" s="9">
        <f>COUNTIF(実績!$R$5:$R$1474,A927)</f>
        <v>1</v>
      </c>
      <c r="C927" s="9">
        <f>COUNTIF(実績!$W$5:$W$1474,A927)</f>
        <v>0</v>
      </c>
      <c r="D927" s="9">
        <f>COUNTIF(実績!$AB$5:$AC$1474,A927)</f>
        <v>0</v>
      </c>
      <c r="E927" s="12" t="s">
        <v>15627</v>
      </c>
      <c r="F927" s="171"/>
      <c r="G927" s="171"/>
    </row>
    <row r="928" spans="1:7">
      <c r="A928" s="8" t="s">
        <v>15713</v>
      </c>
      <c r="B928" s="9">
        <f>COUNTIF(実績!$R$5:$R$1474,A928)</f>
        <v>1</v>
      </c>
      <c r="C928" s="9">
        <f>COUNTIF(実績!$W$5:$W$1474,A928)</f>
        <v>0</v>
      </c>
      <c r="D928" s="9">
        <f>COUNTIF(実績!$AB$5:$AC$1474,A928)</f>
        <v>0</v>
      </c>
      <c r="E928" s="12" t="s">
        <v>15714</v>
      </c>
      <c r="F928" s="171"/>
      <c r="G928" s="171"/>
    </row>
    <row r="929" spans="1:7">
      <c r="A929" s="8" t="s">
        <v>15773</v>
      </c>
      <c r="B929" s="9">
        <f>COUNTIF(実績!$R$5:$R$1474,A929)</f>
        <v>1</v>
      </c>
      <c r="C929" s="9">
        <f>COUNTIF(実績!$W$5:$W$1474,A929)</f>
        <v>0</v>
      </c>
      <c r="D929" s="9">
        <f>COUNTIF(実績!$AB$5:$AC$1474,A929)</f>
        <v>0</v>
      </c>
      <c r="E929" s="12" t="s">
        <v>15774</v>
      </c>
      <c r="F929" s="171"/>
      <c r="G929" s="171"/>
    </row>
    <row r="930" spans="1:7">
      <c r="A930" s="8" t="s">
        <v>15779</v>
      </c>
      <c r="B930" s="9">
        <f>COUNTIF(実績!$R$5:$R$1474,A930)</f>
        <v>1</v>
      </c>
      <c r="C930" s="9">
        <f>COUNTIF(実績!$W$5:$W$1474,A930)</f>
        <v>0</v>
      </c>
      <c r="D930" s="9">
        <f>COUNTIF(実績!$AB$5:$AC$1474,A930)</f>
        <v>0</v>
      </c>
      <c r="E930" s="12" t="s">
        <v>15780</v>
      </c>
      <c r="F930" s="171"/>
      <c r="G930" s="171"/>
    </row>
    <row r="931" spans="1:7">
      <c r="A931" s="8" t="s">
        <v>15786</v>
      </c>
      <c r="B931" s="9">
        <f>COUNTIF(実績!$R$5:$R$1474,A931)</f>
        <v>0</v>
      </c>
      <c r="C931" s="9">
        <f>COUNTIF(実績!$W$5:$W$1474,A931)</f>
        <v>1</v>
      </c>
      <c r="D931" s="9">
        <f>COUNTIF(実績!$AB$5:$AC$1474,A931)</f>
        <v>0</v>
      </c>
      <c r="E931" s="12" t="s">
        <v>15787</v>
      </c>
      <c r="F931" s="171"/>
      <c r="G931" s="171"/>
    </row>
    <row r="932" spans="1:7">
      <c r="A932" s="8" t="s">
        <v>15791</v>
      </c>
      <c r="B932" s="9">
        <f>COUNTIF(実績!$R$5:$R$1474,A932)</f>
        <v>0</v>
      </c>
      <c r="C932" s="9">
        <f>COUNTIF(実績!$W$5:$W$1474,A932)</f>
        <v>0</v>
      </c>
      <c r="D932" s="9">
        <f>COUNTIF(実績!$AB$5:$AC$1474,A932)</f>
        <v>1</v>
      </c>
      <c r="E932" s="12" t="s">
        <v>15792</v>
      </c>
      <c r="F932" s="171"/>
      <c r="G932" s="171"/>
    </row>
    <row r="933" spans="1:7">
      <c r="A933" s="8" t="s">
        <v>15836</v>
      </c>
      <c r="B933" s="9">
        <f>COUNTIF(実績!$R$5:$R$1474,A933)</f>
        <v>1</v>
      </c>
      <c r="C933" s="9">
        <f>COUNTIF(実績!$W$5:$W$1474,A933)</f>
        <v>0</v>
      </c>
      <c r="D933" s="9">
        <f>COUNTIF(実績!$AB$5:$AC$1474,A933)</f>
        <v>0</v>
      </c>
      <c r="E933" s="12" t="s">
        <v>15839</v>
      </c>
      <c r="F933" s="171"/>
      <c r="G933" s="171"/>
    </row>
    <row r="934" spans="1:7">
      <c r="A934" s="8" t="s">
        <v>15838</v>
      </c>
      <c r="B934" s="9">
        <f>COUNTIF(実績!$R$5:$R$1474,A934)</f>
        <v>1</v>
      </c>
      <c r="C934" s="9">
        <f>COUNTIF(実績!$W$5:$W$1474,A934)</f>
        <v>1</v>
      </c>
      <c r="D934" s="9">
        <f>COUNTIF(実績!$AB$5:$AC$1474,A934)</f>
        <v>0</v>
      </c>
      <c r="E934" s="12" t="s">
        <v>15840</v>
      </c>
      <c r="F934" s="171"/>
      <c r="G934" s="171"/>
    </row>
    <row r="935" spans="1:7">
      <c r="A935" s="8" t="s">
        <v>15845</v>
      </c>
      <c r="B935" s="9">
        <f>COUNTIF(実績!$R$5:$R$1474,A935)</f>
        <v>0</v>
      </c>
      <c r="C935" s="9">
        <f>COUNTIF(実績!$W$5:$W$1474,A935)</f>
        <v>0</v>
      </c>
      <c r="D935" s="9">
        <f>COUNTIF(実績!$AB$5:$AC$1474,A935)</f>
        <v>1</v>
      </c>
      <c r="E935" s="12" t="s">
        <v>15846</v>
      </c>
      <c r="F935" s="171"/>
      <c r="G935" s="171"/>
    </row>
    <row r="936" spans="1:7">
      <c r="A936" s="8" t="s">
        <v>15900</v>
      </c>
      <c r="B936" s="9">
        <f>COUNTIF(実績!$R$5:$R$1474,A936)</f>
        <v>0</v>
      </c>
      <c r="C936" s="9">
        <f>COUNTIF(実績!$W$5:$W$1474,A936)</f>
        <v>1</v>
      </c>
      <c r="D936" s="9">
        <f>COUNTIF(実績!$AB$5:$AC$1474,A936)</f>
        <v>0</v>
      </c>
      <c r="E936" s="12" t="s">
        <v>15901</v>
      </c>
      <c r="F936" s="171"/>
      <c r="G936" s="171"/>
    </row>
    <row r="937" spans="1:7">
      <c r="A937" s="8" t="s">
        <v>15902</v>
      </c>
      <c r="B937" s="9">
        <f>COUNTIF(実績!$R$5:$R$1474,A937)</f>
        <v>0</v>
      </c>
      <c r="C937" s="9">
        <f>COUNTIF(実績!$W$5:$W$1474,A937)</f>
        <v>0</v>
      </c>
      <c r="D937" s="9">
        <f>COUNTIF(実績!$AB$5:$AC$1474,A937)</f>
        <v>1</v>
      </c>
      <c r="E937" s="12" t="s">
        <v>15903</v>
      </c>
      <c r="F937" s="171"/>
      <c r="G937" s="171"/>
    </row>
    <row r="938" spans="1:7">
      <c r="A938" s="8" t="s">
        <v>16031</v>
      </c>
      <c r="B938" s="9">
        <f>COUNTIF(実績!$R$5:$R$1474,A938)</f>
        <v>1</v>
      </c>
      <c r="C938" s="9">
        <f>COUNTIF(実績!$W$5:$W$1474,A938)</f>
        <v>0</v>
      </c>
      <c r="D938" s="9">
        <f>COUNTIF(実績!$AB$5:$AC$1474,A938)</f>
        <v>0</v>
      </c>
      <c r="E938" s="12" t="s">
        <v>16032</v>
      </c>
      <c r="F938" s="171"/>
      <c r="G938" s="171"/>
    </row>
    <row r="939" spans="1:7">
      <c r="A939" s="8" t="s">
        <v>16039</v>
      </c>
      <c r="B939" s="9">
        <f>COUNTIF(実績!$R$5:$R$1474,A939)</f>
        <v>1</v>
      </c>
      <c r="C939" s="9">
        <f>COUNTIF(実績!$W$5:$W$1474,A939)</f>
        <v>0</v>
      </c>
      <c r="D939" s="9">
        <f>COUNTIF(実績!$AB$5:$AC$1474,A939)</f>
        <v>0</v>
      </c>
      <c r="E939" s="12" t="s">
        <v>16049</v>
      </c>
      <c r="F939" s="171"/>
      <c r="G939" s="171"/>
    </row>
    <row r="940" spans="1:7">
      <c r="A940" s="8" t="s">
        <v>16048</v>
      </c>
      <c r="B940" s="9">
        <f>COUNTIF(実績!$R$5:$R$1474,A940)</f>
        <v>0</v>
      </c>
      <c r="C940" s="9">
        <f>COUNTIF(実績!$W$5:$W$1474,A940)</f>
        <v>1</v>
      </c>
      <c r="D940" s="9">
        <f>COUNTIF(実績!$AB$5:$AC$1474,A940)</f>
        <v>0</v>
      </c>
      <c r="E940" s="8" t="s">
        <v>16050</v>
      </c>
      <c r="F940" s="171"/>
      <c r="G940" s="171"/>
    </row>
    <row r="941" spans="1:7">
      <c r="A941" s="8" t="s">
        <v>16051</v>
      </c>
      <c r="B941" s="9">
        <f>COUNTIF(実績!$R$5:$R$1474,A941)</f>
        <v>0</v>
      </c>
      <c r="C941" s="9">
        <f>COUNTIF(実績!$W$5:$W$1474,A941)</f>
        <v>0</v>
      </c>
      <c r="D941" s="9">
        <f>COUNTIF(実績!$AB$5:$AC$1474,A941)</f>
        <v>1</v>
      </c>
      <c r="E941" s="12" t="s">
        <v>16052</v>
      </c>
      <c r="F941" s="171"/>
      <c r="G941" s="171"/>
    </row>
    <row r="942" spans="1:7">
      <c r="A942" s="8" t="s">
        <v>16067</v>
      </c>
      <c r="B942" s="9">
        <f>COUNTIF(実績!$R$5:$R$1474,A942)</f>
        <v>1</v>
      </c>
      <c r="C942" s="9">
        <f>COUNTIF(実績!$W$5:$W$1474,A942)</f>
        <v>0</v>
      </c>
      <c r="D942" s="9">
        <f>COUNTIF(実績!$AB$5:$AC$1474,A942)</f>
        <v>0</v>
      </c>
      <c r="E942" s="12" t="s">
        <v>16068</v>
      </c>
      <c r="F942" s="171"/>
      <c r="G942" s="171"/>
    </row>
    <row r="943" spans="1:7">
      <c r="A943" s="8" t="s">
        <v>16097</v>
      </c>
      <c r="B943" s="9">
        <f>COUNTIF(実績!$R$5:$R$1474,A943)</f>
        <v>0</v>
      </c>
      <c r="C943" s="9">
        <f>COUNTIF(実績!$W$5:$W$1474,A943)</f>
        <v>0</v>
      </c>
      <c r="D943" s="9">
        <f>COUNTIF(実績!$AB$5:$AC$1474,A943)</f>
        <v>1</v>
      </c>
      <c r="E943" s="12" t="s">
        <v>16098</v>
      </c>
      <c r="F943" s="171"/>
      <c r="G943" s="171"/>
    </row>
    <row r="944" spans="1:7">
      <c r="A944" s="8" t="s">
        <v>16182</v>
      </c>
      <c r="B944" s="9">
        <f>COUNTIF(実績!$R$5:$R$1474,A944)</f>
        <v>0</v>
      </c>
      <c r="C944" s="9">
        <f>COUNTIF(実績!$W$5:$W$1474,A944)</f>
        <v>0</v>
      </c>
      <c r="D944" s="9">
        <f>COUNTIF(実績!$AB$5:$AC$1474,A944)</f>
        <v>1</v>
      </c>
      <c r="E944" s="12" t="s">
        <v>16183</v>
      </c>
      <c r="F944" s="171"/>
      <c r="G944" s="171"/>
    </row>
    <row r="945" spans="1:7">
      <c r="A945" s="8" t="s">
        <v>16197</v>
      </c>
      <c r="B945" s="9">
        <f>COUNTIF(実績!$R$5:$R$1474,A945)</f>
        <v>2</v>
      </c>
      <c r="C945" s="9">
        <f>COUNTIF(実績!$W$5:$W$1474,A945)</f>
        <v>1</v>
      </c>
      <c r="D945" s="9">
        <f>COUNTIF(実績!$AB$5:$AC$1474,A945)</f>
        <v>0</v>
      </c>
      <c r="E945" s="12" t="s">
        <v>16199</v>
      </c>
      <c r="F945" s="171"/>
      <c r="G945" s="171"/>
    </row>
    <row r="946" spans="1:7">
      <c r="A946" s="8" t="s">
        <v>16204</v>
      </c>
      <c r="B946" s="9">
        <f>COUNTIF(実績!$R$5:$R$1474,A946)</f>
        <v>0</v>
      </c>
      <c r="C946" s="9">
        <f>COUNTIF(実績!$W$5:$W$1474,A946)</f>
        <v>1</v>
      </c>
      <c r="D946" s="9">
        <f>COUNTIF(実績!$AB$5:$AC$1474,A946)</f>
        <v>0</v>
      </c>
      <c r="E946" s="12" t="s">
        <v>16208</v>
      </c>
      <c r="F946" s="171"/>
      <c r="G946" s="171"/>
    </row>
    <row r="947" spans="1:7">
      <c r="A947" s="8" t="s">
        <v>16546</v>
      </c>
      <c r="B947" s="9">
        <f>COUNTIF(実績!$R$5:$R$1474,A947)</f>
        <v>1</v>
      </c>
      <c r="C947" s="9">
        <f>COUNTIF(実績!$W$5:$W$1474,A947)</f>
        <v>0</v>
      </c>
      <c r="D947" s="9">
        <f>COUNTIF(実績!$AB$5:$AC$1474,A947)</f>
        <v>0</v>
      </c>
      <c r="E947" s="12" t="s">
        <v>16547</v>
      </c>
      <c r="F947" s="171"/>
      <c r="G947" s="171"/>
    </row>
    <row r="948" spans="1:7">
      <c r="A948" s="8" t="s">
        <v>16574</v>
      </c>
      <c r="B948" s="9">
        <f>COUNTIF(実績!$R$5:$R$1474,A948)</f>
        <v>0</v>
      </c>
      <c r="C948" s="9">
        <f>COUNTIF(実績!$W$5:$W$1474,A948)</f>
        <v>0</v>
      </c>
      <c r="D948" s="9">
        <f>COUNTIF(実績!$AB$5:$AC$1474,A948)</f>
        <v>1</v>
      </c>
      <c r="E948" s="12" t="s">
        <v>16575</v>
      </c>
      <c r="F948" s="171"/>
      <c r="G948" s="171"/>
    </row>
    <row r="949" spans="1:7">
      <c r="A949" s="8" t="s">
        <v>16586</v>
      </c>
      <c r="B949" s="9">
        <f>COUNTIF(実績!$R$5:$R$1474,A949)</f>
        <v>0</v>
      </c>
      <c r="C949" s="9">
        <f>COUNTIF(実績!$W$5:$W$1474,A949)</f>
        <v>1</v>
      </c>
      <c r="D949" s="9">
        <f>COUNTIF(実績!$AB$5:$AC$1474,A949)</f>
        <v>0</v>
      </c>
      <c r="E949" s="12" t="s">
        <v>16585</v>
      </c>
      <c r="F949" s="171"/>
      <c r="G949" s="171"/>
    </row>
    <row r="950" spans="1:7">
      <c r="A950" s="8" t="s">
        <v>16594</v>
      </c>
      <c r="B950" s="9">
        <f>COUNTIF(実績!$R$5:$R$1474,A950)</f>
        <v>0</v>
      </c>
      <c r="C950" s="9">
        <f>COUNTIF(実績!$W$5:$W$1474,A950)</f>
        <v>1</v>
      </c>
      <c r="D950" s="9">
        <f>COUNTIF(実績!$AB$5:$AC$1474,A950)</f>
        <v>0</v>
      </c>
      <c r="E950" s="12" t="s">
        <v>16595</v>
      </c>
      <c r="F950" s="171"/>
      <c r="G950" s="171"/>
    </row>
    <row r="951" spans="1:7">
      <c r="A951" s="8" t="s">
        <v>16628</v>
      </c>
      <c r="B951" s="9">
        <f>COUNTIF(実績!$R$5:$R$1474,A951)</f>
        <v>0</v>
      </c>
      <c r="C951" s="9">
        <f>COUNTIF(実績!$W$5:$W$1474,A951)</f>
        <v>1</v>
      </c>
      <c r="D951" s="9">
        <f>COUNTIF(実績!$AB$5:$AC$1474,A951)</f>
        <v>0</v>
      </c>
      <c r="E951" s="12" t="s">
        <v>16629</v>
      </c>
      <c r="F951" s="171"/>
      <c r="G951" s="171"/>
    </row>
    <row r="952" spans="1:7">
      <c r="A952" s="8" t="s">
        <v>16651</v>
      </c>
      <c r="B952" s="9">
        <f>COUNTIF(実績!$R$5:$R$1474,A952)</f>
        <v>0</v>
      </c>
      <c r="C952" s="9">
        <f>COUNTIF(実績!$W$5:$W$1474,A952)</f>
        <v>0</v>
      </c>
      <c r="D952" s="9">
        <f>COUNTIF(実績!$AB$5:$AC$1474,A952)</f>
        <v>1</v>
      </c>
      <c r="E952" s="12" t="s">
        <v>16652</v>
      </c>
      <c r="F952" s="171"/>
      <c r="G952" s="171"/>
    </row>
    <row r="953" spans="1:7">
      <c r="A953" s="8" t="s">
        <v>16659</v>
      </c>
      <c r="B953" s="9">
        <f>COUNTIF(実績!$R$5:$R$1474,A953)</f>
        <v>0</v>
      </c>
      <c r="C953" s="9">
        <f>COUNTIF(実績!$W$5:$W$1474,A953)</f>
        <v>0</v>
      </c>
      <c r="D953" s="9">
        <f>COUNTIF(実績!$AB$5:$AC$1474,A953)</f>
        <v>0</v>
      </c>
      <c r="E953" s="12" t="s">
        <v>16659</v>
      </c>
      <c r="F953" s="171"/>
      <c r="G953" s="171"/>
    </row>
    <row r="954" spans="1:7">
      <c r="A954" s="8" t="s">
        <v>16660</v>
      </c>
      <c r="B954" s="9">
        <f>COUNTIF(実績!$R$5:$R$1474,A954)</f>
        <v>0</v>
      </c>
      <c r="C954" s="9">
        <f>COUNTIF(実績!$W$5:$W$1474,A954)</f>
        <v>2</v>
      </c>
      <c r="D954" s="9">
        <f>COUNTIF(実績!$AB$5:$AC$1474,A954)</f>
        <v>0</v>
      </c>
      <c r="E954" s="12" t="s">
        <v>16661</v>
      </c>
      <c r="F954" s="171"/>
      <c r="G954" s="171"/>
    </row>
    <row r="955" spans="1:7">
      <c r="A955" s="8" t="s">
        <v>16721</v>
      </c>
      <c r="B955" s="9">
        <f>COUNTIF(実績!$R$5:$R$1474,A955)</f>
        <v>1</v>
      </c>
      <c r="C955" s="9">
        <f>COUNTIF(実績!$W$5:$W$1474,A955)</f>
        <v>0</v>
      </c>
      <c r="D955" s="9">
        <f>COUNTIF(実績!$AB$5:$AC$1474,A955)</f>
        <v>0</v>
      </c>
      <c r="E955" s="12" t="s">
        <v>16722</v>
      </c>
      <c r="F955" s="171"/>
      <c r="G955" s="171"/>
    </row>
    <row r="956" spans="1:7">
      <c r="A956" s="8" t="s">
        <v>16779</v>
      </c>
      <c r="B956" s="9">
        <f>COUNTIF(実績!$R$5:$R$1474,A956)</f>
        <v>0</v>
      </c>
      <c r="C956" s="9">
        <f>COUNTIF(実績!$W$5:$W$1474,A956)</f>
        <v>1</v>
      </c>
      <c r="D956" s="9">
        <f>COUNTIF(実績!$AB$5:$AC$1474,A956)</f>
        <v>0</v>
      </c>
      <c r="E956" s="12" t="s">
        <v>16780</v>
      </c>
      <c r="F956" s="171"/>
      <c r="G956" s="171"/>
    </row>
    <row r="957" spans="1:7">
      <c r="A957" s="8" t="s">
        <v>16781</v>
      </c>
      <c r="B957" s="9">
        <f>COUNTIF(実績!$R$5:$R$1474,A957)</f>
        <v>0</v>
      </c>
      <c r="C957" s="9">
        <f>COUNTIF(実績!$W$5:$W$1474,A957)</f>
        <v>0</v>
      </c>
      <c r="D957" s="9">
        <f>COUNTIF(実績!$AB$5:$AC$1474,A957)</f>
        <v>1</v>
      </c>
      <c r="E957" s="12" t="s">
        <v>16782</v>
      </c>
      <c r="F957" s="171"/>
      <c r="G957" s="171"/>
    </row>
    <row r="958" spans="1:7">
      <c r="A958" s="8" t="s">
        <v>16796</v>
      </c>
      <c r="B958" s="9">
        <f>COUNTIF(実績!$R$5:$R$1474,A958)</f>
        <v>0</v>
      </c>
      <c r="C958" s="9">
        <f>COUNTIF(実績!$W$5:$W$1474,A958)</f>
        <v>1</v>
      </c>
      <c r="D958" s="9">
        <f>COUNTIF(実績!$AB$5:$AC$1474,A958)</f>
        <v>0</v>
      </c>
      <c r="E958" s="12" t="s">
        <v>16797</v>
      </c>
      <c r="F958" s="171"/>
      <c r="G958" s="171"/>
    </row>
    <row r="959" spans="1:7">
      <c r="A959" s="8" t="s">
        <v>16932</v>
      </c>
      <c r="B959" s="9">
        <f>COUNTIF(実績!$R$5:$R$1474,A959)</f>
        <v>0</v>
      </c>
      <c r="C959" s="9">
        <f>COUNTIF(実績!$W$5:$W$1474,A959)</f>
        <v>1</v>
      </c>
      <c r="D959" s="9">
        <f>COUNTIF(実績!$AB$5:$AC$1474,A959)</f>
        <v>0</v>
      </c>
      <c r="E959" s="12" t="s">
        <v>16933</v>
      </c>
      <c r="F959" s="171"/>
      <c r="G959" s="171"/>
    </row>
    <row r="960" spans="1:7">
      <c r="A960" s="8" t="s">
        <v>16920</v>
      </c>
      <c r="B960" s="9">
        <f>COUNTIF(実績!$R$5:$R$1474,A960)</f>
        <v>1</v>
      </c>
      <c r="C960" s="9">
        <f>COUNTIF(実績!$W$5:$W$1474,A960)</f>
        <v>0</v>
      </c>
      <c r="D960" s="9">
        <f>COUNTIF(実績!$AB$5:$AC$1474,A960)</f>
        <v>0</v>
      </c>
      <c r="E960" s="12" t="s">
        <v>16921</v>
      </c>
      <c r="F960" s="171"/>
      <c r="G960" s="171"/>
    </row>
    <row r="961" spans="1:7">
      <c r="A961" s="8" t="s">
        <v>17015</v>
      </c>
      <c r="B961" s="9">
        <f>COUNTIF(実績!$R$5:$R$1474,A961)</f>
        <v>1</v>
      </c>
      <c r="C961" s="9">
        <f>COUNTIF(実績!$W$5:$W$1474,A961)</f>
        <v>0</v>
      </c>
      <c r="D961" s="9">
        <f>COUNTIF(実績!$AB$5:$AC$1474,A961)</f>
        <v>0</v>
      </c>
      <c r="E961" s="12" t="s">
        <v>17016</v>
      </c>
      <c r="F961" s="171"/>
      <c r="G961" s="171"/>
    </row>
    <row r="962" spans="1:7">
      <c r="A962" s="8" t="s">
        <v>17022</v>
      </c>
      <c r="B962" s="9">
        <f>COUNTIF(実績!$R$5:$R$1474,A962)</f>
        <v>1</v>
      </c>
      <c r="C962" s="9">
        <f>COUNTIF(実績!$W$5:$W$1474,A962)</f>
        <v>0</v>
      </c>
      <c r="D962" s="9">
        <f>COUNTIF(実績!$AB$5:$AC$1474,A962)</f>
        <v>0</v>
      </c>
      <c r="E962" s="12" t="s">
        <v>17023</v>
      </c>
      <c r="F962" s="171"/>
      <c r="G962" s="171"/>
    </row>
    <row r="963" spans="1:7">
      <c r="A963" s="8" t="s">
        <v>17067</v>
      </c>
      <c r="B963" s="9">
        <f>COUNTIF(実績!$R$5:$R$1474,A963)</f>
        <v>0</v>
      </c>
      <c r="C963" s="9">
        <f>COUNTIF(実績!$W$5:$W$1474,A963)</f>
        <v>1</v>
      </c>
      <c r="D963" s="9">
        <f>COUNTIF(実績!$AB$5:$AC$1474,A963)</f>
        <v>0</v>
      </c>
      <c r="E963" s="12" t="s">
        <v>17068</v>
      </c>
      <c r="F963" s="171"/>
      <c r="G963" s="171"/>
    </row>
    <row r="964" spans="1:7">
      <c r="A964" s="8" t="s">
        <v>17073</v>
      </c>
      <c r="B964" s="9">
        <f>COUNTIF(実績!$R$5:$R$1474,A964)</f>
        <v>1</v>
      </c>
      <c r="C964" s="9">
        <f>COUNTIF(実績!$W$5:$W$1474,A964)</f>
        <v>0</v>
      </c>
      <c r="D964" s="9">
        <f>COUNTIF(実績!$AB$5:$AC$1474,A964)</f>
        <v>0</v>
      </c>
      <c r="E964" s="12" t="s">
        <v>17074</v>
      </c>
      <c r="F964" s="171"/>
      <c r="G964" s="171"/>
    </row>
    <row r="965" spans="1:7">
      <c r="A965" s="8" t="s">
        <v>17089</v>
      </c>
      <c r="B965" s="9">
        <f>COUNTIF(実績!$R$5:$R$1474,A965)</f>
        <v>0</v>
      </c>
      <c r="C965" s="9">
        <f>COUNTIF(実績!$W$5:$W$1474,A965)</f>
        <v>0</v>
      </c>
      <c r="D965" s="9">
        <f>COUNTIF(実績!$AB$5:$AC$1474,A965)</f>
        <v>0</v>
      </c>
      <c r="E965" s="12" t="s">
        <v>17090</v>
      </c>
      <c r="F965" s="171"/>
      <c r="G965" s="171"/>
    </row>
    <row r="966" spans="1:7">
      <c r="A966" s="8" t="s">
        <v>17097</v>
      </c>
      <c r="B966" s="9">
        <f>COUNTIF(実績!$R$5:$R$1474,A966)</f>
        <v>1</v>
      </c>
      <c r="C966" s="9">
        <f>COUNTIF(実績!$W$5:$W$1474,A966)</f>
        <v>0</v>
      </c>
      <c r="D966" s="9">
        <f>COUNTIF(実績!$AB$5:$AC$1474,A966)</f>
        <v>1</v>
      </c>
      <c r="E966" s="12" t="s">
        <v>17098</v>
      </c>
      <c r="F966" s="171"/>
      <c r="G966" s="171"/>
    </row>
    <row r="967" spans="1:7">
      <c r="A967" s="8" t="s">
        <v>17107</v>
      </c>
      <c r="B967" s="9">
        <f>COUNTIF(実績!$R$5:$R$1474,A967)</f>
        <v>0</v>
      </c>
      <c r="C967" s="9">
        <f>COUNTIF(実績!$W$5:$W$1474,A967)</f>
        <v>1</v>
      </c>
      <c r="D967" s="9">
        <f>COUNTIF(実績!$AB$5:$AC$1474,A967)</f>
        <v>0</v>
      </c>
      <c r="E967" s="12" t="s">
        <v>17108</v>
      </c>
      <c r="F967" s="171"/>
      <c r="G967" s="171"/>
    </row>
    <row r="968" spans="1:7">
      <c r="A968" s="8" t="s">
        <v>17166</v>
      </c>
      <c r="B968" s="9">
        <f>COUNTIF(実績!$R$5:$R$1474,A968)</f>
        <v>0</v>
      </c>
      <c r="C968" s="9">
        <f>COUNTIF(実績!$W$5:$W$1474,A968)</f>
        <v>1</v>
      </c>
      <c r="D968" s="9">
        <f>COUNTIF(実績!$AB$5:$AC$1474,A968)</f>
        <v>0</v>
      </c>
      <c r="E968" s="12" t="s">
        <v>17111</v>
      </c>
      <c r="F968" s="171"/>
      <c r="G968" s="171"/>
    </row>
    <row r="969" spans="1:7">
      <c r="A969" s="8" t="s">
        <v>17122</v>
      </c>
      <c r="B969" s="9">
        <f>COUNTIF(実績!$R$5:$R$1474,A969)</f>
        <v>1</v>
      </c>
      <c r="C969" s="9">
        <f>COUNTIF(実績!$W$5:$W$1474,A969)</f>
        <v>0</v>
      </c>
      <c r="D969" s="9">
        <f>COUNTIF(実績!$AB$5:$AC$1474,A969)</f>
        <v>0</v>
      </c>
      <c r="E969" s="12" t="s">
        <v>17123</v>
      </c>
      <c r="F969" s="171"/>
      <c r="G969" s="171"/>
    </row>
    <row r="970" spans="1:7">
      <c r="A970" s="8" t="s">
        <v>17126</v>
      </c>
      <c r="B970" s="9">
        <f>COUNTIF(実績!$R$5:$R$1474,A970)</f>
        <v>1</v>
      </c>
      <c r="C970" s="9">
        <f>COUNTIF(実績!$W$5:$W$1474,A970)</f>
        <v>0</v>
      </c>
      <c r="D970" s="9">
        <f>COUNTIF(実績!$AB$5:$AC$1474,A970)</f>
        <v>0</v>
      </c>
      <c r="E970" s="12" t="s">
        <v>17127</v>
      </c>
      <c r="F970" s="171"/>
      <c r="G970" s="171"/>
    </row>
    <row r="971" spans="1:7">
      <c r="A971" s="8" t="s">
        <v>17169</v>
      </c>
      <c r="B971" s="9">
        <f>COUNTIF(実績!$R$5:$R$1474,A971)</f>
        <v>0</v>
      </c>
      <c r="C971" s="9">
        <f>COUNTIF(実績!$W$5:$W$1474,A971)</f>
        <v>0</v>
      </c>
      <c r="D971" s="9">
        <f>COUNTIF(実績!$AB$5:$AC$1474,A971)</f>
        <v>1</v>
      </c>
      <c r="E971" s="12" t="s">
        <v>17170</v>
      </c>
      <c r="F971" s="171"/>
      <c r="G971" s="171"/>
    </row>
    <row r="972" spans="1:7">
      <c r="A972" s="8" t="s">
        <v>17199</v>
      </c>
      <c r="B972" s="9">
        <f>COUNTIF(実績!$R$5:$R$1474,A972)</f>
        <v>0</v>
      </c>
      <c r="C972" s="9">
        <f>COUNTIF(実績!$W$5:$W$1474,A972)</f>
        <v>1</v>
      </c>
      <c r="D972" s="9">
        <f>COUNTIF(実績!$AB$5:$AC$1474,A972)</f>
        <v>0</v>
      </c>
      <c r="E972" s="12" t="s">
        <v>17200</v>
      </c>
      <c r="F972" s="171"/>
      <c r="G972" s="171"/>
    </row>
    <row r="973" spans="1:7">
      <c r="A973" s="8" t="s">
        <v>17217</v>
      </c>
      <c r="B973" s="9">
        <f>COUNTIF(実績!$R$5:$R$1474,A973)</f>
        <v>1</v>
      </c>
      <c r="C973" s="9">
        <f>COUNTIF(実績!$W$5:$W$1474,A973)</f>
        <v>0</v>
      </c>
      <c r="D973" s="9">
        <f>COUNTIF(実績!$AB$5:$AC$1474,A973)</f>
        <v>0</v>
      </c>
      <c r="E973" s="12" t="s">
        <v>17216</v>
      </c>
      <c r="F973" s="171"/>
      <c r="G973" s="171"/>
    </row>
    <row r="974" spans="1:7">
      <c r="A974" s="8" t="s">
        <v>17221</v>
      </c>
      <c r="B974" s="9">
        <f>COUNTIF(実績!$R$5:$R$1474,A974)</f>
        <v>0</v>
      </c>
      <c r="C974" s="9">
        <f>COUNTIF(実績!$W$5:$W$1474,A974)</f>
        <v>0</v>
      </c>
      <c r="D974" s="9">
        <f>COUNTIF(実績!$AB$5:$AC$1474,A974)</f>
        <v>1</v>
      </c>
      <c r="E974" s="12" t="s">
        <v>17279</v>
      </c>
      <c r="F974" s="171"/>
      <c r="G974" s="171"/>
    </row>
    <row r="975" spans="1:7">
      <c r="A975" s="8" t="s">
        <v>17278</v>
      </c>
      <c r="B975" s="9">
        <f>COUNTIF(実績!$R$5:$R$1474,A975)</f>
        <v>1</v>
      </c>
      <c r="C975" s="9">
        <f>COUNTIF(実績!$W$5:$W$1474,A975)</f>
        <v>0</v>
      </c>
      <c r="D975" s="9">
        <f>COUNTIF(実績!$AB$5:$AC$1474,A975)</f>
        <v>0</v>
      </c>
      <c r="E975" s="12" t="s">
        <v>17280</v>
      </c>
      <c r="F975" s="171"/>
      <c r="G975" s="171"/>
    </row>
    <row r="976" spans="1:7">
      <c r="A976" s="8" t="s">
        <v>17288</v>
      </c>
      <c r="B976" s="9">
        <f>COUNTIF(実績!$R$5:$R$1474,A976)</f>
        <v>1</v>
      </c>
      <c r="C976" s="9">
        <f>COUNTIF(実績!$W$5:$W$1474,A976)</f>
        <v>1</v>
      </c>
      <c r="D976" s="9">
        <f>COUNTIF(実績!$AB$5:$AC$1474,A976)</f>
        <v>0</v>
      </c>
      <c r="E976" s="12" t="s">
        <v>17289</v>
      </c>
      <c r="F976" s="171"/>
      <c r="G976" s="171"/>
    </row>
    <row r="977" spans="1:7">
      <c r="A977" s="8" t="s">
        <v>17316</v>
      </c>
      <c r="B977" s="9">
        <f>COUNTIF(実績!$R$5:$R$1474,A977)</f>
        <v>0</v>
      </c>
      <c r="C977" s="9">
        <f>COUNTIF(実績!$W$5:$W$1474,A977)</f>
        <v>1</v>
      </c>
      <c r="D977" s="9">
        <f>COUNTIF(実績!$AB$5:$AC$1474,A977)</f>
        <v>0</v>
      </c>
      <c r="E977" s="12" t="s">
        <v>17317</v>
      </c>
      <c r="F977" s="171"/>
      <c r="G977" s="171"/>
    </row>
    <row r="978" spans="1:7">
      <c r="A978" s="8" t="s">
        <v>17387</v>
      </c>
      <c r="B978" s="9">
        <f>COUNTIF(実績!$R$5:$R$1474,A978)</f>
        <v>0</v>
      </c>
      <c r="C978" s="9">
        <f>COUNTIF(実績!$W$5:$W$1474,A978)</f>
        <v>0</v>
      </c>
      <c r="D978" s="9">
        <f>COUNTIF(実績!$AB$5:$AC$1474,A978)</f>
        <v>1</v>
      </c>
      <c r="E978" s="12" t="s">
        <v>17388</v>
      </c>
      <c r="F978" s="171"/>
      <c r="G978" s="171"/>
    </row>
    <row r="979" spans="1:7">
      <c r="A979" s="8" t="s">
        <v>17391</v>
      </c>
      <c r="B979" s="9">
        <f>COUNTIF(実績!$R$5:$R$1474,A979)</f>
        <v>1</v>
      </c>
      <c r="C979" s="9">
        <f>COUNTIF(実績!$W$5:$W$1474,A979)</f>
        <v>0</v>
      </c>
      <c r="D979" s="9">
        <f>COUNTIF(実績!$AB$5:$AC$1474,A979)</f>
        <v>0</v>
      </c>
      <c r="E979" s="12" t="s">
        <v>17392</v>
      </c>
      <c r="F979" s="171"/>
      <c r="G979" s="171"/>
    </row>
    <row r="980" spans="1:7">
      <c r="A980" s="8" t="s">
        <v>17415</v>
      </c>
      <c r="B980" s="9">
        <f>COUNTIF(実績!$R$5:$R$1474,A980)</f>
        <v>1</v>
      </c>
      <c r="C980" s="9">
        <f>COUNTIF(実績!$W$5:$W$1474,A980)</f>
        <v>1</v>
      </c>
      <c r="D980" s="9">
        <f>COUNTIF(実績!$AB$5:$AC$1474,A980)</f>
        <v>0</v>
      </c>
      <c r="E980" s="12" t="s">
        <v>17416</v>
      </c>
      <c r="F980" s="171"/>
      <c r="G980" s="171"/>
    </row>
    <row r="981" spans="1:7">
      <c r="A981" s="8" t="s">
        <v>17491</v>
      </c>
      <c r="B981" s="9">
        <f>COUNTIF(実績!$R$5:$R$1474,A981)</f>
        <v>0</v>
      </c>
      <c r="C981" s="9">
        <f>COUNTIF(実績!$W$5:$W$1474,A981)</f>
        <v>0</v>
      </c>
      <c r="D981" s="9">
        <f>COUNTIF(実績!$AB$5:$AC$1474,A981)</f>
        <v>1</v>
      </c>
      <c r="E981" s="12" t="s">
        <v>17492</v>
      </c>
      <c r="F981" s="171"/>
      <c r="G981" s="171"/>
    </row>
    <row r="982" spans="1:7">
      <c r="A982" s="8" t="s">
        <v>17496</v>
      </c>
      <c r="B982" s="9">
        <f>COUNTIF(実績!$R$5:$R$1474,A982)</f>
        <v>1</v>
      </c>
      <c r="C982" s="9">
        <f>COUNTIF(実績!$W$5:$W$1474,A982)</f>
        <v>0</v>
      </c>
      <c r="D982" s="9">
        <f>COUNTIF(実績!$AB$5:$AC$1474,A982)</f>
        <v>0</v>
      </c>
      <c r="E982" s="12" t="s">
        <v>17497</v>
      </c>
      <c r="F982" s="171"/>
      <c r="G982" s="171"/>
    </row>
    <row r="983" spans="1:7">
      <c r="A983" s="8" t="s">
        <v>17514</v>
      </c>
      <c r="B983" s="9">
        <f>COUNTIF(実績!$R$5:$R$1474,A983)</f>
        <v>1</v>
      </c>
      <c r="C983" s="9">
        <f>COUNTIF(実績!$W$5:$W$1474,A983)</f>
        <v>0</v>
      </c>
      <c r="D983" s="9">
        <f>COUNTIF(実績!$AB$5:$AC$1474,A983)</f>
        <v>0</v>
      </c>
      <c r="E983" s="12" t="s">
        <v>17515</v>
      </c>
      <c r="F983" s="171"/>
      <c r="G983" s="171"/>
    </row>
    <row r="984" spans="1:7">
      <c r="A984" s="8" t="s">
        <v>17604</v>
      </c>
      <c r="B984" s="9">
        <f>COUNTIF(実績!$R$5:$R$1474,A984)</f>
        <v>1</v>
      </c>
      <c r="C984" s="9">
        <f>COUNTIF(実績!$W$5:$W$1474,A984)</f>
        <v>0</v>
      </c>
      <c r="D984" s="9">
        <f>COUNTIF(実績!$AB$5:$AC$1474,A984)</f>
        <v>0</v>
      </c>
      <c r="E984" s="12" t="s">
        <v>17605</v>
      </c>
      <c r="F984" s="171"/>
      <c r="G984" s="171"/>
    </row>
    <row r="985" spans="1:7">
      <c r="A985" s="8" t="s">
        <v>17611</v>
      </c>
      <c r="B985" s="9">
        <f>COUNTIF(実績!$R$5:$R$1474,A985)</f>
        <v>1</v>
      </c>
      <c r="C985" s="9">
        <f>COUNTIF(実績!$W$5:$W$1474,A985)</f>
        <v>0</v>
      </c>
      <c r="D985" s="9">
        <f>COUNTIF(実績!$AB$5:$AC$1474,A985)</f>
        <v>0</v>
      </c>
      <c r="E985" s="12" t="s">
        <v>17612</v>
      </c>
      <c r="F985" s="171"/>
      <c r="G985" s="171"/>
    </row>
    <row r="986" spans="1:7">
      <c r="A986" s="8" t="s">
        <v>17642</v>
      </c>
      <c r="B986" s="9">
        <f>COUNTIF(実績!$R$5:$R$1474,A986)</f>
        <v>1</v>
      </c>
      <c r="C986" s="9">
        <f>COUNTIF(実績!$W$5:$W$1474,A986)</f>
        <v>0</v>
      </c>
      <c r="D986" s="9">
        <f>COUNTIF(実績!$AB$5:$AC$1474,A986)</f>
        <v>0</v>
      </c>
      <c r="E986" s="12" t="s">
        <v>17643</v>
      </c>
      <c r="F986" s="171"/>
      <c r="G986" s="171"/>
    </row>
    <row r="987" spans="1:7">
      <c r="A987" s="8" t="s">
        <v>17806</v>
      </c>
      <c r="B987" s="9">
        <f>COUNTIF(実績!$R$5:$R$1474,A987)</f>
        <v>1</v>
      </c>
      <c r="C987" s="9">
        <f>COUNTIF(実績!$W$5:$W$1474,A987)</f>
        <v>0</v>
      </c>
      <c r="D987" s="9">
        <f>COUNTIF(実績!$AB$5:$AC$1474,A987)</f>
        <v>0</v>
      </c>
      <c r="E987" s="12" t="s">
        <v>17805</v>
      </c>
      <c r="F987" s="171"/>
      <c r="G987" s="171"/>
    </row>
    <row r="988" spans="1:7">
      <c r="A988" s="8" t="s">
        <v>17849</v>
      </c>
      <c r="B988" s="9">
        <f>COUNTIF(実績!$R$5:$R$1474,A988)</f>
        <v>0</v>
      </c>
      <c r="C988" s="9">
        <f>COUNTIF(実績!$W$5:$W$1474,A988)</f>
        <v>0</v>
      </c>
      <c r="D988" s="9">
        <f>COUNTIF(実績!$AB$5:$AC$1474,A988)</f>
        <v>1</v>
      </c>
      <c r="E988" s="12" t="s">
        <v>17850</v>
      </c>
      <c r="F988" s="171"/>
      <c r="G988" s="171"/>
    </row>
    <row r="989" spans="1:7">
      <c r="A989" s="8" t="s">
        <v>17911</v>
      </c>
      <c r="B989" s="9">
        <f>COUNTIF(実績!$R$5:$R$1474,A989)</f>
        <v>1</v>
      </c>
      <c r="C989" s="9">
        <f>COUNTIF(実績!$W$5:$W$1474,A989)</f>
        <v>0</v>
      </c>
      <c r="D989" s="9">
        <f>COUNTIF(実績!$AB$5:$AC$1474,A989)</f>
        <v>0</v>
      </c>
      <c r="E989" s="12" t="s">
        <v>17912</v>
      </c>
      <c r="F989" s="171"/>
      <c r="G989" s="171"/>
    </row>
    <row r="990" spans="1:7">
      <c r="A990" s="8" t="s">
        <v>17964</v>
      </c>
      <c r="B990" s="9">
        <f>COUNTIF(実績!$R$5:$R$1474,A990)</f>
        <v>1</v>
      </c>
      <c r="C990" s="9">
        <f>COUNTIF(実績!$W$5:$W$1474,A990)</f>
        <v>0</v>
      </c>
      <c r="D990" s="9">
        <f>COUNTIF(実績!$AB$5:$AC$1474,A990)</f>
        <v>0</v>
      </c>
      <c r="E990" s="12" t="s">
        <v>17965</v>
      </c>
      <c r="F990" s="171"/>
      <c r="G990" s="171"/>
    </row>
    <row r="991" spans="1:7">
      <c r="A991" s="8" t="s">
        <v>17988</v>
      </c>
      <c r="B991" s="9">
        <f>COUNTIF(実績!$R$5:$R$1474,A991)</f>
        <v>1</v>
      </c>
      <c r="C991" s="9">
        <f>COUNTIF(実績!$W$5:$W$1474,A991)</f>
        <v>0</v>
      </c>
      <c r="D991" s="9">
        <f>COUNTIF(実績!$AB$5:$AC$1474,A991)</f>
        <v>0</v>
      </c>
      <c r="E991" s="12" t="s">
        <v>17989</v>
      </c>
      <c r="F991" s="171"/>
      <c r="G991" s="171"/>
    </row>
    <row r="992" spans="1:7">
      <c r="A992" s="8" t="s">
        <v>18017</v>
      </c>
      <c r="B992" s="9">
        <f>COUNTIF(実績!$R$5:$R$1474,A992)</f>
        <v>1</v>
      </c>
      <c r="C992" s="9">
        <f>COUNTIF(実績!$W$5:$W$1474,A992)</f>
        <v>0</v>
      </c>
      <c r="D992" s="9">
        <f>COUNTIF(実績!$AB$5:$AC$1474,A992)</f>
        <v>0</v>
      </c>
      <c r="E992" s="12" t="s">
        <v>18018</v>
      </c>
      <c r="F992" s="171"/>
      <c r="G992" s="171"/>
    </row>
    <row r="993" spans="1:7">
      <c r="A993" s="8" t="s">
        <v>18073</v>
      </c>
      <c r="B993" s="9">
        <f>COUNTIF(実績!$R$5:$R$1474,A993)</f>
        <v>1</v>
      </c>
      <c r="C993" s="9">
        <f>COUNTIF(実績!$W$5:$W$1474,A993)</f>
        <v>0</v>
      </c>
      <c r="D993" s="9">
        <f>COUNTIF(実績!$AB$5:$AC$1474,A993)</f>
        <v>0</v>
      </c>
      <c r="E993" s="12" t="s">
        <v>18074</v>
      </c>
      <c r="F993" s="171"/>
      <c r="G993" s="171"/>
    </row>
    <row r="994" spans="1:7">
      <c r="A994" s="8" t="s">
        <v>18085</v>
      </c>
      <c r="B994" s="9">
        <f>COUNTIF(実績!$R$5:$R$1474,A994)</f>
        <v>0</v>
      </c>
      <c r="C994" s="9">
        <f>COUNTIF(実績!$W$5:$W$1474,A994)</f>
        <v>1</v>
      </c>
      <c r="D994" s="9">
        <f>COUNTIF(実績!$AB$5:$AC$1474,A994)</f>
        <v>0</v>
      </c>
      <c r="E994" s="12" t="s">
        <v>18090</v>
      </c>
      <c r="F994" s="171"/>
      <c r="G994" s="171"/>
    </row>
    <row r="995" spans="1:7">
      <c r="A995" s="8" t="s">
        <v>18088</v>
      </c>
      <c r="B995" s="9">
        <f>COUNTIF(実績!$R$5:$R$1474,A995)</f>
        <v>0</v>
      </c>
      <c r="C995" s="9">
        <f>COUNTIF(実績!$W$5:$W$1474,A995)</f>
        <v>0</v>
      </c>
      <c r="D995" s="9">
        <f>COUNTIF(実績!$AB$5:$AC$1474,A995)</f>
        <v>1</v>
      </c>
      <c r="E995" s="12" t="s">
        <v>18089</v>
      </c>
      <c r="F995" s="171"/>
      <c r="G995" s="171"/>
    </row>
    <row r="996" spans="1:7">
      <c r="A996" s="8" t="s">
        <v>18091</v>
      </c>
      <c r="B996" s="9">
        <f>COUNTIF(実績!$R$5:$R$1474,A996)</f>
        <v>0</v>
      </c>
      <c r="C996" s="9">
        <f>COUNTIF(実績!$W$5:$W$1474,A996)</f>
        <v>0</v>
      </c>
      <c r="D996" s="9">
        <f>COUNTIF(実績!$AB$5:$AC$1474,A996)</f>
        <v>1</v>
      </c>
      <c r="E996" s="12"/>
      <c r="F996" s="171"/>
      <c r="G996" s="171"/>
    </row>
    <row r="997" spans="1:7">
      <c r="A997" s="8"/>
      <c r="B997" s="9">
        <f>COUNTIF(実績!$R$5:$R$1474,A997)</f>
        <v>0</v>
      </c>
      <c r="C997" s="9">
        <f>COUNTIF(実績!$W$5:$W$1474,A997)</f>
        <v>0</v>
      </c>
      <c r="D997" s="9">
        <f>COUNTIF(実績!$AB$5:$AC$1474,A997)</f>
        <v>0</v>
      </c>
      <c r="E997" s="12"/>
      <c r="F997" s="171"/>
      <c r="G997" s="171"/>
    </row>
    <row r="998" spans="1:7">
      <c r="A998" s="8"/>
      <c r="B998" s="9">
        <f>COUNTIF(実績!$R$5:$R$1474,A998)</f>
        <v>0</v>
      </c>
      <c r="C998" s="9">
        <f>COUNTIF(実績!$W$5:$W$1474,A998)</f>
        <v>0</v>
      </c>
      <c r="D998" s="9">
        <f>COUNTIF(実績!$AB$5:$AC$1474,A998)</f>
        <v>0</v>
      </c>
      <c r="E998" s="12"/>
      <c r="F998" s="171"/>
      <c r="G998" s="171"/>
    </row>
    <row r="999" spans="1:7">
      <c r="B999" s="101">
        <f>SUM(B3:B998)</f>
        <v>1404</v>
      </c>
      <c r="C999" s="101">
        <f>SUM(C3:C998)</f>
        <v>1402</v>
      </c>
      <c r="D999" s="101">
        <f>SUM(D3:D998)</f>
        <v>227</v>
      </c>
    </row>
  </sheetData>
  <autoFilter ref="A2:H999">
    <sortState ref="A3:G934">
      <sortCondition ref="E2:E934"/>
    </sortState>
  </autoFilter>
  <phoneticPr fontId="4"/>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sheetPr>
  <dimension ref="A1:ET283"/>
  <sheetViews>
    <sheetView view="pageBreakPreview" zoomScale="70" zoomScaleNormal="70" zoomScaleSheetLayoutView="70" workbookViewId="0">
      <pane xSplit="24" ySplit="5" topLeftCell="DQ256" activePane="bottomRight" state="frozen"/>
      <selection pane="topRight" activeCell="U1" sqref="U1"/>
      <selection pane="bottomLeft" activeCell="A6" sqref="A6"/>
      <selection pane="bottomRight" activeCell="C262" sqref="A262:XFD262"/>
    </sheetView>
  </sheetViews>
  <sheetFormatPr defaultColWidth="9" defaultRowHeight="13.5" outlineLevelRow="1" outlineLevelCol="1"/>
  <cols>
    <col min="1" max="1" width="8.75" style="88" customWidth="1"/>
    <col min="2" max="2" width="9.625" style="88" customWidth="1"/>
    <col min="3" max="3" width="4.625" style="88" customWidth="1"/>
    <col min="4" max="4" width="6.125" style="10" customWidth="1"/>
    <col min="5" max="16" width="3.125" style="10" customWidth="1"/>
    <col min="17" max="17" width="11" style="10" customWidth="1"/>
    <col min="18" max="18" width="6.625" style="10" customWidth="1"/>
    <col min="19" max="24" width="3.125" style="10" hidden="1" customWidth="1" outlineLevel="1"/>
    <col min="25" max="25" width="3.125" style="10" hidden="1" customWidth="1" outlineLevel="1" collapsed="1"/>
    <col min="26" max="30" width="3.125" style="10" hidden="1" customWidth="1" outlineLevel="1"/>
    <col min="31" max="31" width="3.875" style="10" hidden="1" customWidth="1" outlineLevel="1" collapsed="1"/>
    <col min="32" max="36" width="3.875" style="10" hidden="1" customWidth="1" outlineLevel="1"/>
    <col min="37" max="37" width="3.625" style="10" hidden="1" customWidth="1" outlineLevel="1" collapsed="1"/>
    <col min="38" max="42" width="3.625" style="10" hidden="1" customWidth="1" outlineLevel="1"/>
    <col min="43" max="43" width="3.625" style="10" hidden="1" customWidth="1" outlineLevel="1" collapsed="1"/>
    <col min="44" max="48" width="3.625" style="10" hidden="1" customWidth="1" outlineLevel="1"/>
    <col min="49" max="49" width="4.125" style="10" hidden="1" customWidth="1" outlineLevel="1" collapsed="1"/>
    <col min="50" max="54" width="4.125" style="10" hidden="1" customWidth="1" outlineLevel="1"/>
    <col min="55" max="55" width="4.125" style="10" hidden="1" customWidth="1" outlineLevel="1" collapsed="1"/>
    <col min="56" max="60" width="4.125" style="10" hidden="1" customWidth="1" outlineLevel="1"/>
    <col min="61" max="61" width="4.125" style="10" hidden="1" customWidth="1" outlineLevel="1" collapsed="1"/>
    <col min="62" max="66" width="4.125" style="10" hidden="1" customWidth="1" outlineLevel="1"/>
    <col min="67" max="67" width="4.125" style="10" hidden="1" customWidth="1" outlineLevel="1" collapsed="1"/>
    <col min="68" max="72" width="4.125" style="10" hidden="1" customWidth="1" outlineLevel="1"/>
    <col min="73" max="73" width="4.125" style="10" hidden="1" customWidth="1" outlineLevel="1" collapsed="1"/>
    <col min="74" max="78" width="4.125" style="10" hidden="1" customWidth="1" outlineLevel="1"/>
    <col min="79" max="79" width="4.125" style="10" hidden="1" customWidth="1" outlineLevel="1" collapsed="1"/>
    <col min="80" max="84" width="4.125" style="10" hidden="1" customWidth="1" outlineLevel="1"/>
    <col min="85" max="85" width="4.125" style="10" hidden="1" customWidth="1" outlineLevel="1" collapsed="1"/>
    <col min="86" max="90" width="4.125" style="10" hidden="1" customWidth="1" outlineLevel="1"/>
    <col min="91" max="91" width="3.625" style="10" hidden="1" customWidth="1" outlineLevel="1" collapsed="1"/>
    <col min="92" max="96" width="3.625" style="10" hidden="1" customWidth="1" outlineLevel="1"/>
    <col min="97" max="97" width="3.625" style="10" hidden="1" customWidth="1" outlineLevel="1" collapsed="1"/>
    <col min="98" max="102" width="3.625" style="10" hidden="1" customWidth="1" outlineLevel="1"/>
    <col min="103" max="103" width="3.625" style="10" hidden="1" customWidth="1" outlineLevel="1" collapsed="1"/>
    <col min="104" max="108" width="3.625" style="10" hidden="1" customWidth="1" outlineLevel="1"/>
    <col min="109" max="109" width="4.875" style="10" hidden="1" customWidth="1" outlineLevel="1" collapsed="1"/>
    <col min="110" max="114" width="4.875" style="10" hidden="1" customWidth="1" outlineLevel="1"/>
    <col min="115" max="115" width="4.875" style="10" hidden="1" customWidth="1" outlineLevel="1" collapsed="1"/>
    <col min="116" max="120" width="4.875" style="10" hidden="1" customWidth="1" outlineLevel="1"/>
    <col min="121" max="121" width="4.875" style="10" customWidth="1" collapsed="1"/>
    <col min="122" max="151" width="4.875" style="10" customWidth="1"/>
    <col min="152" max="16384" width="9" style="10"/>
  </cols>
  <sheetData>
    <row r="1" spans="1:150" ht="13.5" customHeight="1">
      <c r="EP1" s="2664" t="s">
        <v>8159</v>
      </c>
      <c r="EQ1" s="2665"/>
      <c r="ER1" s="2665"/>
      <c r="ES1" s="2665"/>
      <c r="ET1" s="2666"/>
    </row>
    <row r="2" spans="1:150" ht="14.25" customHeight="1" thickBot="1">
      <c r="EP2" s="2667"/>
      <c r="EQ2" s="2668"/>
      <c r="ER2" s="2668"/>
      <c r="ES2" s="2668"/>
      <c r="ET2" s="2669"/>
    </row>
    <row r="3" spans="1:150" ht="20.100000000000001" customHeight="1" thickBot="1">
      <c r="A3" s="48" t="s">
        <v>10549</v>
      </c>
      <c r="B3" s="48"/>
      <c r="C3" s="10"/>
      <c r="EP3" s="2670">
        <f ca="1">TODAY()</f>
        <v>44132</v>
      </c>
      <c r="EQ3" s="2670"/>
      <c r="ER3" s="2670"/>
      <c r="ES3" s="2670"/>
      <c r="ET3" s="2670"/>
    </row>
    <row r="4" spans="1:150" ht="20.100000000000001" customHeight="1">
      <c r="A4" s="2642" t="s">
        <v>606</v>
      </c>
      <c r="B4" s="2643"/>
      <c r="C4" s="2643"/>
      <c r="D4" s="2643"/>
      <c r="E4" s="2643"/>
      <c r="F4" s="2643"/>
      <c r="G4" s="2643"/>
      <c r="H4" s="2643"/>
      <c r="I4" s="2643"/>
      <c r="J4" s="2643"/>
      <c r="K4" s="2643"/>
      <c r="L4" s="2643"/>
      <c r="M4" s="2643"/>
      <c r="N4" s="2643"/>
      <c r="O4" s="2643"/>
      <c r="P4" s="2643"/>
      <c r="Q4" s="2643"/>
      <c r="R4" s="2643"/>
      <c r="S4" s="2640">
        <v>43374</v>
      </c>
      <c r="T4" s="2634"/>
      <c r="U4" s="2634"/>
      <c r="V4" s="2634"/>
      <c r="W4" s="2634"/>
      <c r="X4" s="2635"/>
      <c r="Y4" s="2633">
        <v>43405</v>
      </c>
      <c r="Z4" s="2634"/>
      <c r="AA4" s="2634"/>
      <c r="AB4" s="2634"/>
      <c r="AC4" s="2634"/>
      <c r="AD4" s="2635"/>
      <c r="AE4" s="2633">
        <v>43435</v>
      </c>
      <c r="AF4" s="2634"/>
      <c r="AG4" s="2634"/>
      <c r="AH4" s="2634"/>
      <c r="AI4" s="2634"/>
      <c r="AJ4" s="2635"/>
      <c r="AK4" s="2633">
        <v>43466</v>
      </c>
      <c r="AL4" s="2634"/>
      <c r="AM4" s="2634"/>
      <c r="AN4" s="2634"/>
      <c r="AO4" s="2634"/>
      <c r="AP4" s="2634"/>
      <c r="AQ4" s="2640">
        <v>43497</v>
      </c>
      <c r="AR4" s="2634"/>
      <c r="AS4" s="2634"/>
      <c r="AT4" s="2634"/>
      <c r="AU4" s="2634"/>
      <c r="AV4" s="2635"/>
      <c r="AW4" s="2633">
        <v>43556</v>
      </c>
      <c r="AX4" s="2634"/>
      <c r="AY4" s="2634"/>
      <c r="AZ4" s="2634"/>
      <c r="BA4" s="2634"/>
      <c r="BB4" s="2635"/>
      <c r="BC4" s="2633">
        <v>43586</v>
      </c>
      <c r="BD4" s="2634"/>
      <c r="BE4" s="2634"/>
      <c r="BF4" s="2634"/>
      <c r="BG4" s="2634"/>
      <c r="BH4" s="2635"/>
      <c r="BI4" s="2633">
        <v>43617</v>
      </c>
      <c r="BJ4" s="2634"/>
      <c r="BK4" s="2634"/>
      <c r="BL4" s="2634"/>
      <c r="BM4" s="2634"/>
      <c r="BN4" s="2635"/>
      <c r="BO4" s="2633">
        <v>43647</v>
      </c>
      <c r="BP4" s="2634"/>
      <c r="BQ4" s="2634"/>
      <c r="BR4" s="2634"/>
      <c r="BS4" s="2634"/>
      <c r="BT4" s="2635"/>
      <c r="BU4" s="2633">
        <v>43678</v>
      </c>
      <c r="BV4" s="2634"/>
      <c r="BW4" s="2634"/>
      <c r="BX4" s="2634"/>
      <c r="BY4" s="2634"/>
      <c r="BZ4" s="2635"/>
      <c r="CA4" s="2633">
        <v>43709</v>
      </c>
      <c r="CB4" s="2634"/>
      <c r="CC4" s="2634"/>
      <c r="CD4" s="2634"/>
      <c r="CE4" s="2634"/>
      <c r="CF4" s="2635"/>
      <c r="CG4" s="2633">
        <v>43739</v>
      </c>
      <c r="CH4" s="2634"/>
      <c r="CI4" s="2634"/>
      <c r="CJ4" s="2634"/>
      <c r="CK4" s="2634"/>
      <c r="CL4" s="2635"/>
      <c r="CM4" s="2633">
        <v>43770</v>
      </c>
      <c r="CN4" s="2634"/>
      <c r="CO4" s="2634"/>
      <c r="CP4" s="2634"/>
      <c r="CQ4" s="2634"/>
      <c r="CR4" s="2635"/>
      <c r="CS4" s="2633">
        <v>43800</v>
      </c>
      <c r="CT4" s="2634"/>
      <c r="CU4" s="2634"/>
      <c r="CV4" s="2634"/>
      <c r="CW4" s="2634"/>
      <c r="CX4" s="2635"/>
      <c r="CY4" s="2633">
        <v>43831</v>
      </c>
      <c r="CZ4" s="2634"/>
      <c r="DA4" s="2634"/>
      <c r="DB4" s="2634"/>
      <c r="DC4" s="2634"/>
      <c r="DD4" s="2635"/>
      <c r="DE4" s="2633">
        <v>43862</v>
      </c>
      <c r="DF4" s="2634"/>
      <c r="DG4" s="2634"/>
      <c r="DH4" s="2634"/>
      <c r="DI4" s="2634"/>
      <c r="DJ4" s="2635"/>
      <c r="DK4" s="2633">
        <v>43891</v>
      </c>
      <c r="DL4" s="2634"/>
      <c r="DM4" s="2634"/>
      <c r="DN4" s="2634"/>
      <c r="DO4" s="2634"/>
      <c r="DP4" s="2635"/>
      <c r="DQ4" s="2633">
        <v>43922</v>
      </c>
      <c r="DR4" s="2634"/>
      <c r="DS4" s="2634"/>
      <c r="DT4" s="2634"/>
      <c r="DU4" s="2634"/>
      <c r="DV4" s="2635"/>
      <c r="DW4" s="2633">
        <v>43952</v>
      </c>
      <c r="DX4" s="2634"/>
      <c r="DY4" s="2634"/>
      <c r="DZ4" s="2634"/>
      <c r="EA4" s="2634"/>
      <c r="EB4" s="2635"/>
      <c r="EC4" s="2633">
        <v>43983</v>
      </c>
      <c r="ED4" s="2634"/>
      <c r="EE4" s="2634"/>
      <c r="EF4" s="2634"/>
      <c r="EG4" s="2634"/>
      <c r="EH4" s="2635"/>
      <c r="EI4" s="2633">
        <v>44013</v>
      </c>
      <c r="EJ4" s="2634"/>
      <c r="EK4" s="2634"/>
      <c r="EL4" s="2634"/>
      <c r="EM4" s="2634"/>
      <c r="EN4" s="2635"/>
      <c r="EO4" s="2633">
        <v>44044</v>
      </c>
      <c r="EP4" s="2634"/>
      <c r="EQ4" s="2634"/>
      <c r="ER4" s="2634"/>
      <c r="ES4" s="2634"/>
      <c r="ET4" s="2635"/>
    </row>
    <row r="5" spans="1:150" ht="20.100000000000001" customHeight="1" thickBot="1">
      <c r="A5" s="2644"/>
      <c r="B5" s="2645"/>
      <c r="C5" s="2645"/>
      <c r="D5" s="2645"/>
      <c r="E5" s="2645"/>
      <c r="F5" s="2645"/>
      <c r="G5" s="2645"/>
      <c r="H5" s="2645"/>
      <c r="I5" s="2645"/>
      <c r="J5" s="2645"/>
      <c r="K5" s="2645"/>
      <c r="L5" s="2645"/>
      <c r="M5" s="2645"/>
      <c r="N5" s="2645"/>
      <c r="O5" s="2645"/>
      <c r="P5" s="2645"/>
      <c r="Q5" s="2645"/>
      <c r="R5" s="2645"/>
      <c r="S5" s="50">
        <v>1</v>
      </c>
      <c r="T5" s="2636">
        <v>10</v>
      </c>
      <c r="U5" s="2636"/>
      <c r="V5" s="2636">
        <v>20</v>
      </c>
      <c r="W5" s="2636"/>
      <c r="X5" s="49">
        <v>30</v>
      </c>
      <c r="Y5" s="50">
        <v>1</v>
      </c>
      <c r="Z5" s="2636">
        <v>10</v>
      </c>
      <c r="AA5" s="2636"/>
      <c r="AB5" s="2636">
        <v>20</v>
      </c>
      <c r="AC5" s="2636"/>
      <c r="AD5" s="51">
        <v>30</v>
      </c>
      <c r="AE5" s="52">
        <v>1</v>
      </c>
      <c r="AF5" s="2636">
        <v>10</v>
      </c>
      <c r="AG5" s="2636"/>
      <c r="AH5" s="2636">
        <v>20</v>
      </c>
      <c r="AI5" s="2636"/>
      <c r="AJ5" s="49">
        <v>30</v>
      </c>
      <c r="AK5" s="50">
        <v>1</v>
      </c>
      <c r="AL5" s="2636">
        <v>10</v>
      </c>
      <c r="AM5" s="2636"/>
      <c r="AN5" s="2636">
        <v>20</v>
      </c>
      <c r="AO5" s="2636"/>
      <c r="AP5" s="51">
        <v>30</v>
      </c>
      <c r="AQ5" s="85">
        <v>1</v>
      </c>
      <c r="AR5" s="2636">
        <v>10</v>
      </c>
      <c r="AS5" s="2636"/>
      <c r="AT5" s="2636">
        <v>20</v>
      </c>
      <c r="AU5" s="2636"/>
      <c r="AV5" s="49">
        <v>30</v>
      </c>
      <c r="AW5" s="52">
        <v>1</v>
      </c>
      <c r="AX5" s="2636">
        <v>10</v>
      </c>
      <c r="AY5" s="2636"/>
      <c r="AZ5" s="2636">
        <v>20</v>
      </c>
      <c r="BA5" s="2636"/>
      <c r="BB5" s="49">
        <v>30</v>
      </c>
      <c r="BC5" s="50">
        <v>1</v>
      </c>
      <c r="BD5" s="2636">
        <v>10</v>
      </c>
      <c r="BE5" s="2636"/>
      <c r="BF5" s="2636">
        <v>20</v>
      </c>
      <c r="BG5" s="2636"/>
      <c r="BH5" s="51">
        <v>30</v>
      </c>
      <c r="BI5" s="52">
        <v>1</v>
      </c>
      <c r="BJ5" s="2636">
        <v>10</v>
      </c>
      <c r="BK5" s="2636"/>
      <c r="BL5" s="2636">
        <v>20</v>
      </c>
      <c r="BM5" s="2636"/>
      <c r="BN5" s="49">
        <v>30</v>
      </c>
      <c r="BO5" s="52">
        <v>1</v>
      </c>
      <c r="BP5" s="2636">
        <v>10</v>
      </c>
      <c r="BQ5" s="2636"/>
      <c r="BR5" s="2636">
        <v>20</v>
      </c>
      <c r="BS5" s="2636"/>
      <c r="BT5" s="49">
        <v>30</v>
      </c>
      <c r="BU5" s="52">
        <v>1</v>
      </c>
      <c r="BV5" s="2636">
        <v>10</v>
      </c>
      <c r="BW5" s="2636"/>
      <c r="BX5" s="2636">
        <v>20</v>
      </c>
      <c r="BY5" s="2636"/>
      <c r="BZ5" s="49">
        <v>30</v>
      </c>
      <c r="CA5" s="52">
        <v>1</v>
      </c>
      <c r="CB5" s="2636">
        <v>10</v>
      </c>
      <c r="CC5" s="2636"/>
      <c r="CD5" s="2636">
        <v>20</v>
      </c>
      <c r="CE5" s="2636"/>
      <c r="CF5" s="49">
        <v>30</v>
      </c>
      <c r="CG5" s="52">
        <v>1</v>
      </c>
      <c r="CH5" s="2636">
        <v>10</v>
      </c>
      <c r="CI5" s="2636"/>
      <c r="CJ5" s="2636">
        <v>20</v>
      </c>
      <c r="CK5" s="2636"/>
      <c r="CL5" s="49">
        <v>30</v>
      </c>
      <c r="CM5" s="52">
        <v>1</v>
      </c>
      <c r="CN5" s="2636">
        <v>10</v>
      </c>
      <c r="CO5" s="2636"/>
      <c r="CP5" s="2636">
        <v>20</v>
      </c>
      <c r="CQ5" s="2636"/>
      <c r="CR5" s="49">
        <v>30</v>
      </c>
      <c r="CS5" s="52">
        <v>1</v>
      </c>
      <c r="CT5" s="2636">
        <v>10</v>
      </c>
      <c r="CU5" s="2636"/>
      <c r="CV5" s="2636">
        <v>20</v>
      </c>
      <c r="CW5" s="2636"/>
      <c r="CX5" s="49">
        <v>30</v>
      </c>
      <c r="CY5" s="52">
        <v>1</v>
      </c>
      <c r="CZ5" s="2636">
        <v>10</v>
      </c>
      <c r="DA5" s="2636"/>
      <c r="DB5" s="2636">
        <v>20</v>
      </c>
      <c r="DC5" s="2636"/>
      <c r="DD5" s="49">
        <v>30</v>
      </c>
      <c r="DE5" s="52">
        <v>1</v>
      </c>
      <c r="DF5" s="2636">
        <v>10</v>
      </c>
      <c r="DG5" s="2636"/>
      <c r="DH5" s="2636">
        <v>20</v>
      </c>
      <c r="DI5" s="2636"/>
      <c r="DJ5" s="49">
        <v>30</v>
      </c>
      <c r="DK5" s="52">
        <v>1</v>
      </c>
      <c r="DL5" s="2636">
        <v>10</v>
      </c>
      <c r="DM5" s="2636"/>
      <c r="DN5" s="2636">
        <v>20</v>
      </c>
      <c r="DO5" s="2636"/>
      <c r="DP5" s="49">
        <v>30</v>
      </c>
      <c r="DQ5" s="52">
        <v>1</v>
      </c>
      <c r="DR5" s="2636">
        <v>10</v>
      </c>
      <c r="DS5" s="2636"/>
      <c r="DT5" s="2636">
        <v>20</v>
      </c>
      <c r="DU5" s="2636"/>
      <c r="DV5" s="49">
        <v>30</v>
      </c>
      <c r="DW5" s="52">
        <v>1</v>
      </c>
      <c r="DX5" s="2636">
        <v>10</v>
      </c>
      <c r="DY5" s="2636"/>
      <c r="DZ5" s="2636">
        <v>20</v>
      </c>
      <c r="EA5" s="2636"/>
      <c r="EB5" s="49">
        <v>30</v>
      </c>
      <c r="EC5" s="52">
        <v>1</v>
      </c>
      <c r="ED5" s="2636">
        <v>10</v>
      </c>
      <c r="EE5" s="2636"/>
      <c r="EF5" s="2636">
        <v>20</v>
      </c>
      <c r="EG5" s="2636"/>
      <c r="EH5" s="49">
        <v>30</v>
      </c>
      <c r="EI5" s="52">
        <v>1</v>
      </c>
      <c r="EJ5" s="2636">
        <v>10</v>
      </c>
      <c r="EK5" s="2636"/>
      <c r="EL5" s="2636">
        <v>20</v>
      </c>
      <c r="EM5" s="2636"/>
      <c r="EN5" s="49">
        <v>30</v>
      </c>
      <c r="EO5" s="52">
        <v>1</v>
      </c>
      <c r="EP5" s="2636">
        <v>10</v>
      </c>
      <c r="EQ5" s="2636"/>
      <c r="ER5" s="2636">
        <v>20</v>
      </c>
      <c r="ES5" s="2636"/>
      <c r="ET5" s="49">
        <v>30</v>
      </c>
    </row>
    <row r="6" spans="1:150" ht="20.100000000000001" hidden="1" customHeight="1" outlineLevel="1">
      <c r="A6" s="2701" t="s">
        <v>1117</v>
      </c>
      <c r="B6" s="3027" t="s">
        <v>8736</v>
      </c>
      <c r="C6" s="1108" t="s">
        <v>8305</v>
      </c>
      <c r="D6" s="3009" t="s">
        <v>8306</v>
      </c>
      <c r="E6" s="3010"/>
      <c r="F6" s="3010"/>
      <c r="G6" s="3010"/>
      <c r="H6" s="3010"/>
      <c r="I6" s="3010"/>
      <c r="J6" s="3010"/>
      <c r="K6" s="3010"/>
      <c r="L6" s="3010"/>
      <c r="M6" s="3010"/>
      <c r="N6" s="3010"/>
      <c r="O6" s="3010"/>
      <c r="P6" s="3010"/>
      <c r="Q6" s="3010"/>
      <c r="R6" s="3057"/>
      <c r="S6" s="1105"/>
      <c r="T6" s="1101"/>
      <c r="U6" s="1102"/>
      <c r="V6" s="1101"/>
      <c r="W6" s="1102"/>
      <c r="X6" s="1103"/>
      <c r="Y6" s="1101"/>
      <c r="Z6" s="1101"/>
      <c r="AA6" s="1102"/>
      <c r="AB6" s="1101"/>
      <c r="AC6" s="1102"/>
      <c r="AD6" s="1101"/>
      <c r="AE6" s="1104"/>
      <c r="AF6" s="1101"/>
      <c r="AG6" s="1102"/>
      <c r="AH6" s="1101"/>
      <c r="AI6" s="1102"/>
      <c r="AJ6" s="1103"/>
      <c r="AK6" s="1101"/>
      <c r="AL6" s="1101"/>
      <c r="AM6" s="1102"/>
      <c r="AN6" s="1101"/>
      <c r="AO6" s="1102"/>
      <c r="AP6" s="1101"/>
      <c r="AQ6" s="1105"/>
      <c r="AR6" s="1101"/>
      <c r="AS6" s="1102"/>
      <c r="AT6" s="1101"/>
      <c r="AU6" s="1102"/>
      <c r="AV6" s="1103"/>
      <c r="AW6" s="1104"/>
      <c r="AX6" s="1101"/>
      <c r="AY6" s="1102"/>
      <c r="AZ6" s="1101"/>
      <c r="BA6" s="1102"/>
      <c r="BB6" s="1103"/>
      <c r="BC6" s="1101"/>
      <c r="BD6" s="1101"/>
      <c r="BE6" s="1102"/>
      <c r="BF6" s="1101"/>
      <c r="BG6" s="1102"/>
      <c r="BH6" s="1101"/>
      <c r="BI6" s="1104"/>
      <c r="BJ6" s="1101"/>
      <c r="BK6" s="1102"/>
      <c r="BL6" s="1101"/>
      <c r="BM6" s="1102"/>
      <c r="BN6" s="1103"/>
      <c r="BO6" s="1104"/>
      <c r="BP6" s="1101"/>
      <c r="BQ6" s="1102"/>
      <c r="BR6" s="1101"/>
      <c r="BS6" s="1102"/>
      <c r="BT6" s="1103"/>
      <c r="BU6" s="1104"/>
      <c r="BV6" s="1101"/>
      <c r="BW6" s="1102"/>
      <c r="BX6" s="1101"/>
      <c r="BY6" s="1102"/>
      <c r="BZ6" s="1103"/>
      <c r="CA6" s="1104"/>
      <c r="CB6" s="1101"/>
      <c r="CC6" s="1102"/>
      <c r="CD6" s="1101"/>
      <c r="CE6" s="1102"/>
      <c r="CF6" s="1103"/>
      <c r="CG6" s="1104"/>
      <c r="CH6" s="1101"/>
      <c r="CI6" s="1102"/>
      <c r="CJ6" s="1101"/>
      <c r="CK6" s="1102"/>
      <c r="CL6" s="1103"/>
      <c r="CM6" s="1104"/>
      <c r="CN6" s="1101"/>
      <c r="CO6" s="1102"/>
      <c r="CP6" s="1101"/>
      <c r="CQ6" s="1102"/>
      <c r="CR6" s="1103"/>
      <c r="CS6" s="1104"/>
      <c r="CT6" s="1101"/>
      <c r="CU6" s="1102"/>
      <c r="CV6" s="1101"/>
      <c r="CW6" s="1102"/>
      <c r="CX6" s="1103"/>
      <c r="CY6" s="1104"/>
      <c r="CZ6" s="1101"/>
      <c r="DA6" s="1102"/>
      <c r="DB6" s="1101"/>
      <c r="DC6" s="1102"/>
      <c r="DD6" s="1103"/>
      <c r="DE6" s="1104"/>
      <c r="DF6" s="1101"/>
      <c r="DG6" s="1102"/>
      <c r="DH6" s="1101"/>
      <c r="DI6" s="1102"/>
      <c r="DJ6" s="1103"/>
      <c r="DK6" s="1104"/>
      <c r="DL6" s="1101"/>
      <c r="DM6" s="1102"/>
      <c r="DN6" s="1101"/>
      <c r="DO6" s="1102"/>
      <c r="DP6" s="1103"/>
      <c r="DQ6" s="1104"/>
      <c r="DR6" s="1101"/>
      <c r="DS6" s="1102"/>
      <c r="DT6" s="1101"/>
      <c r="DU6" s="1102"/>
      <c r="DV6" s="1103"/>
      <c r="DW6" s="1104"/>
      <c r="DX6" s="1101"/>
      <c r="DY6" s="1102"/>
      <c r="DZ6" s="1101"/>
      <c r="EA6" s="1102"/>
      <c r="EB6" s="1103"/>
      <c r="EC6" s="1104"/>
      <c r="ED6" s="1101"/>
      <c r="EE6" s="1102"/>
      <c r="EF6" s="1101"/>
      <c r="EG6" s="1102"/>
      <c r="EH6" s="1103"/>
      <c r="EI6" s="1104"/>
      <c r="EJ6" s="1101"/>
      <c r="EK6" s="1102"/>
      <c r="EL6" s="1101"/>
      <c r="EM6" s="1102"/>
      <c r="EN6" s="1103"/>
      <c r="EO6" s="1104"/>
      <c r="EP6" s="1101"/>
      <c r="EQ6" s="1102"/>
      <c r="ER6" s="1101"/>
      <c r="ES6" s="1102"/>
      <c r="ET6" s="1103"/>
    </row>
    <row r="7" spans="1:150" ht="20.100000000000001" hidden="1" customHeight="1" outlineLevel="1" collapsed="1">
      <c r="A7" s="2703"/>
      <c r="B7" s="3028"/>
      <c r="C7" s="1109"/>
      <c r="D7" s="2726" t="str">
        <f>実績!C1079&amp;"("&amp;SUBSTITUTE(実績!R1079&amp;")","株式会社 ","")&amp;"【計画変更】"</f>
        <v>SVH四日市(TSUCHIYA　CORPORATION)【計画変更】</v>
      </c>
      <c r="E7" s="2878"/>
      <c r="F7" s="2878"/>
      <c r="G7" s="2878"/>
      <c r="H7" s="2878"/>
      <c r="I7" s="2878"/>
      <c r="J7" s="2878"/>
      <c r="K7" s="2878"/>
      <c r="L7" s="2878"/>
      <c r="M7" s="2878"/>
      <c r="N7" s="2878"/>
      <c r="O7" s="2878"/>
      <c r="P7" s="2878"/>
      <c r="Q7" s="2878"/>
      <c r="R7" s="3025"/>
      <c r="S7" s="53"/>
      <c r="T7" s="26"/>
      <c r="U7" s="54"/>
      <c r="V7" s="26"/>
      <c r="W7" s="54"/>
      <c r="X7" s="55"/>
      <c r="Y7" s="26"/>
      <c r="Z7" s="26"/>
      <c r="AA7" s="54"/>
      <c r="AB7" s="26"/>
      <c r="AC7" s="54"/>
      <c r="AD7" s="26"/>
      <c r="AE7" s="56"/>
      <c r="AF7" s="26"/>
      <c r="AG7" s="54"/>
      <c r="AH7" s="26"/>
      <c r="AI7" s="54"/>
      <c r="AJ7" s="55"/>
      <c r="AK7" s="26"/>
      <c r="AL7" s="26"/>
      <c r="AM7" s="54"/>
      <c r="AN7" s="26"/>
      <c r="AO7" s="54"/>
      <c r="AP7" s="26"/>
      <c r="AQ7" s="53"/>
      <c r="AR7" s="26"/>
      <c r="AS7" s="54"/>
      <c r="AT7" s="26"/>
      <c r="AU7" s="54"/>
      <c r="AV7" s="55"/>
      <c r="AW7" s="56"/>
      <c r="AX7" s="26"/>
      <c r="AY7" s="54"/>
      <c r="AZ7" s="26"/>
      <c r="BA7" s="54"/>
      <c r="BB7" s="55"/>
      <c r="BC7" s="26"/>
      <c r="BD7" s="26"/>
      <c r="BE7" s="54"/>
      <c r="BF7" s="26"/>
      <c r="BG7" s="54"/>
      <c r="BH7" s="26"/>
      <c r="BI7" s="56"/>
      <c r="BJ7" s="26"/>
      <c r="BK7" s="54"/>
      <c r="BL7" s="26"/>
      <c r="BM7" s="54"/>
      <c r="BN7" s="55"/>
      <c r="BO7" s="56"/>
      <c r="BP7" s="26"/>
      <c r="BQ7" s="54"/>
      <c r="BR7" s="26"/>
      <c r="BS7" s="54"/>
      <c r="BT7" s="55"/>
      <c r="BU7" s="56"/>
      <c r="BV7" s="26"/>
      <c r="BW7" s="54"/>
      <c r="BX7" s="26"/>
      <c r="BY7" s="54"/>
      <c r="BZ7" s="55"/>
      <c r="CA7" s="56"/>
      <c r="CB7" s="26"/>
      <c r="CC7" s="54"/>
      <c r="CD7" s="26"/>
      <c r="CE7" s="54"/>
      <c r="CF7" s="55"/>
      <c r="CG7" s="56"/>
      <c r="CH7" s="26"/>
      <c r="CI7" s="54"/>
      <c r="CJ7" s="26"/>
      <c r="CK7" s="54"/>
      <c r="CL7" s="55"/>
      <c r="CM7" s="56"/>
      <c r="CN7" s="26"/>
      <c r="CO7" s="54"/>
      <c r="CP7" s="26"/>
      <c r="CQ7" s="54"/>
      <c r="CR7" s="55"/>
      <c r="CS7" s="56"/>
      <c r="CT7" s="26"/>
      <c r="CU7" s="54"/>
      <c r="CV7" s="26"/>
      <c r="CW7" s="54"/>
      <c r="CX7" s="55"/>
      <c r="CY7" s="56"/>
      <c r="CZ7" s="26"/>
      <c r="DA7" s="54"/>
      <c r="DB7" s="26"/>
      <c r="DC7" s="54"/>
      <c r="DD7" s="55"/>
      <c r="DE7" s="56"/>
      <c r="DF7" s="26"/>
      <c r="DG7" s="54"/>
      <c r="DH7" s="26"/>
      <c r="DI7" s="54"/>
      <c r="DJ7" s="55"/>
      <c r="DK7" s="56"/>
      <c r="DL7" s="26"/>
      <c r="DM7" s="54"/>
      <c r="DN7" s="26"/>
      <c r="DO7" s="54"/>
      <c r="DP7" s="55"/>
      <c r="DQ7" s="56"/>
      <c r="DR7" s="26"/>
      <c r="DS7" s="54"/>
      <c r="DT7" s="26"/>
      <c r="DU7" s="54"/>
      <c r="DV7" s="55"/>
      <c r="DW7" s="56"/>
      <c r="DX7" s="26"/>
      <c r="DY7" s="54"/>
      <c r="DZ7" s="26"/>
      <c r="EA7" s="54"/>
      <c r="EB7" s="55"/>
      <c r="EC7" s="56"/>
      <c r="ED7" s="26"/>
      <c r="EE7" s="54"/>
      <c r="EF7" s="26"/>
      <c r="EG7" s="54"/>
      <c r="EH7" s="55"/>
      <c r="EI7" s="56"/>
      <c r="EJ7" s="26"/>
      <c r="EK7" s="54"/>
      <c r="EL7" s="26"/>
      <c r="EM7" s="54"/>
      <c r="EN7" s="55"/>
      <c r="EO7" s="56"/>
      <c r="EP7" s="26"/>
      <c r="EQ7" s="54"/>
      <c r="ER7" s="26"/>
      <c r="ES7" s="54"/>
      <c r="ET7" s="55"/>
    </row>
    <row r="8" spans="1:150" ht="20.100000000000001" hidden="1" customHeight="1" outlineLevel="1" collapsed="1" thickBot="1">
      <c r="A8" s="2703"/>
      <c r="B8" s="3044"/>
      <c r="C8" s="1098" t="s">
        <v>8305</v>
      </c>
      <c r="D8" s="2983" t="s">
        <v>14571</v>
      </c>
      <c r="E8" s="2984"/>
      <c r="F8" s="2984"/>
      <c r="G8" s="2984"/>
      <c r="H8" s="2984"/>
      <c r="I8" s="2984"/>
      <c r="J8" s="2984"/>
      <c r="K8" s="2984"/>
      <c r="L8" s="2984"/>
      <c r="M8" s="2984"/>
      <c r="N8" s="2984"/>
      <c r="O8" s="2984"/>
      <c r="P8" s="2984"/>
      <c r="Q8" s="2984"/>
      <c r="R8" s="2984"/>
      <c r="S8" s="58"/>
      <c r="T8" s="58"/>
      <c r="U8" s="59"/>
      <c r="V8" s="58"/>
      <c r="W8" s="59"/>
      <c r="X8" s="60"/>
      <c r="Y8" s="58"/>
      <c r="Z8" s="58"/>
      <c r="AA8" s="59"/>
      <c r="AB8" s="58"/>
      <c r="AC8" s="59"/>
      <c r="AD8" s="58"/>
      <c r="AE8" s="61"/>
      <c r="AF8" s="58"/>
      <c r="AG8" s="59"/>
      <c r="AH8" s="58"/>
      <c r="AI8" s="59"/>
      <c r="AJ8" s="60"/>
      <c r="AK8" s="58"/>
      <c r="AL8" s="58"/>
      <c r="AM8" s="59"/>
      <c r="AN8" s="58"/>
      <c r="AO8" s="59"/>
      <c r="AP8" s="58"/>
      <c r="AQ8" s="57"/>
      <c r="AR8" s="58"/>
      <c r="AS8" s="59"/>
      <c r="AT8" s="58"/>
      <c r="AU8" s="59"/>
      <c r="AV8" s="60"/>
      <c r="AW8" s="61"/>
      <c r="AX8" s="58"/>
      <c r="AY8" s="59"/>
      <c r="AZ8" s="58"/>
      <c r="BA8" s="59"/>
      <c r="BB8" s="60"/>
      <c r="BC8" s="58"/>
      <c r="BD8" s="58"/>
      <c r="BE8" s="59"/>
      <c r="BF8" s="58"/>
      <c r="BG8" s="59"/>
      <c r="BH8" s="58"/>
      <c r="BI8" s="61"/>
      <c r="BJ8" s="58"/>
      <c r="BK8" s="59"/>
      <c r="BL8" s="58"/>
      <c r="BM8" s="59"/>
      <c r="BN8" s="60"/>
      <c r="BO8" s="61"/>
      <c r="BP8" s="58"/>
      <c r="BQ8" s="59"/>
      <c r="BR8" s="58"/>
      <c r="BS8" s="59"/>
      <c r="BT8" s="60"/>
      <c r="BU8" s="61"/>
      <c r="BV8" s="58"/>
      <c r="BW8" s="59"/>
      <c r="BX8" s="58"/>
      <c r="BY8" s="59"/>
      <c r="BZ8" s="60"/>
      <c r="CA8" s="61"/>
      <c r="CB8" s="58"/>
      <c r="CC8" s="59"/>
      <c r="CD8" s="58"/>
      <c r="CE8" s="59"/>
      <c r="CF8" s="60"/>
      <c r="CG8" s="61"/>
      <c r="CH8" s="58"/>
      <c r="CI8" s="59"/>
      <c r="CJ8" s="58"/>
      <c r="CK8" s="59"/>
      <c r="CL8" s="60"/>
      <c r="CM8" s="61"/>
      <c r="CN8" s="58"/>
      <c r="CO8" s="59"/>
      <c r="CP8" s="58"/>
      <c r="CQ8" s="59"/>
      <c r="CR8" s="60"/>
      <c r="CS8" s="61"/>
      <c r="CT8" s="58"/>
      <c r="CU8" s="59"/>
      <c r="CV8" s="58"/>
      <c r="CW8" s="59"/>
      <c r="CX8" s="60"/>
      <c r="CY8" s="61"/>
      <c r="CZ8" s="285" t="s">
        <v>8250</v>
      </c>
      <c r="DA8" s="59"/>
      <c r="DB8" s="58"/>
      <c r="DC8" s="59"/>
      <c r="DD8" s="60"/>
      <c r="DE8" s="61"/>
      <c r="DF8" s="58"/>
      <c r="DG8" s="59"/>
      <c r="DH8" s="58"/>
      <c r="DI8" s="59"/>
      <c r="DJ8" s="60"/>
      <c r="DK8" s="61"/>
      <c r="DL8" s="58"/>
      <c r="DM8" s="59"/>
      <c r="DN8" s="58"/>
      <c r="DO8" s="59"/>
      <c r="DP8" s="60"/>
      <c r="DQ8" s="61"/>
      <c r="DR8" s="58"/>
      <c r="DS8" s="59"/>
      <c r="DT8" s="58"/>
      <c r="DU8" s="59"/>
      <c r="DV8" s="60"/>
      <c r="DW8" s="61"/>
      <c r="DX8" s="58"/>
      <c r="DY8" s="59"/>
      <c r="DZ8" s="58"/>
      <c r="EA8" s="59"/>
      <c r="EB8" s="60"/>
      <c r="EC8" s="61"/>
      <c r="ED8" s="58"/>
      <c r="EE8" s="59"/>
      <c r="EF8" s="58"/>
      <c r="EG8" s="59"/>
      <c r="EH8" s="60"/>
      <c r="EI8" s="61"/>
      <c r="EJ8" s="58"/>
      <c r="EK8" s="59"/>
      <c r="EL8" s="58"/>
      <c r="EM8" s="59"/>
      <c r="EN8" s="60"/>
      <c r="EO8" s="61"/>
      <c r="EP8" s="58"/>
      <c r="EQ8" s="59"/>
      <c r="ER8" s="58"/>
      <c r="ES8" s="59"/>
      <c r="ET8" s="60"/>
    </row>
    <row r="9" spans="1:150" ht="20.100000000000001" hidden="1" customHeight="1" outlineLevel="1">
      <c r="A9" s="2703"/>
      <c r="B9" s="2994" t="s">
        <v>8736</v>
      </c>
      <c r="C9" s="1097"/>
      <c r="D9" s="3035" t="s">
        <v>8140</v>
      </c>
      <c r="E9" s="3050"/>
      <c r="F9" s="3050"/>
      <c r="G9" s="3050"/>
      <c r="H9" s="3050"/>
      <c r="I9" s="3050"/>
      <c r="J9" s="3050"/>
      <c r="K9" s="3050"/>
      <c r="L9" s="3050"/>
      <c r="M9" s="3050"/>
      <c r="N9" s="3050"/>
      <c r="O9" s="3050"/>
      <c r="P9" s="3050"/>
      <c r="Q9" s="3050"/>
      <c r="R9" s="1110"/>
      <c r="S9" s="80"/>
      <c r="T9" s="80"/>
      <c r="U9" s="81"/>
      <c r="V9" s="80"/>
      <c r="W9" s="81"/>
      <c r="X9" s="82"/>
      <c r="Y9" s="80"/>
      <c r="Z9" s="80"/>
      <c r="AA9" s="81"/>
      <c r="AB9" s="80"/>
      <c r="AC9" s="81"/>
      <c r="AD9" s="80"/>
      <c r="AE9" s="83"/>
      <c r="AF9" s="80"/>
      <c r="AG9" s="81"/>
      <c r="AH9" s="80"/>
      <c r="AI9" s="81"/>
      <c r="AJ9" s="82"/>
      <c r="AK9" s="80"/>
      <c r="AL9" s="80"/>
      <c r="AM9" s="81"/>
      <c r="AN9" s="80"/>
      <c r="AO9" s="81"/>
      <c r="AP9" s="80"/>
      <c r="AQ9" s="79"/>
      <c r="AR9" s="80"/>
      <c r="AS9" s="81"/>
      <c r="AT9" s="80"/>
      <c r="AU9" s="81"/>
      <c r="AV9" s="82"/>
      <c r="AW9" s="83"/>
      <c r="AX9" s="80"/>
      <c r="AY9" s="81"/>
      <c r="AZ9" s="80"/>
      <c r="BA9" s="81"/>
      <c r="BB9" s="82"/>
      <c r="BC9" s="80"/>
      <c r="BD9" s="80"/>
      <c r="BE9" s="81"/>
      <c r="BF9" s="80"/>
      <c r="BG9" s="81"/>
      <c r="BH9" s="80"/>
      <c r="BI9" s="83"/>
      <c r="BJ9" s="80"/>
      <c r="BK9" s="81"/>
      <c r="BL9" s="80"/>
      <c r="BM9" s="81"/>
      <c r="BN9" s="82"/>
      <c r="BO9" s="83"/>
      <c r="BP9" s="80"/>
      <c r="BQ9" s="81"/>
      <c r="BR9" s="80"/>
      <c r="BS9" s="81"/>
      <c r="BT9" s="82"/>
      <c r="BU9" s="83"/>
      <c r="BV9" s="80"/>
      <c r="BW9" s="81"/>
      <c r="BX9" s="80"/>
      <c r="BY9" s="81"/>
      <c r="BZ9" s="82"/>
      <c r="CA9" s="83"/>
      <c r="CB9" s="80"/>
      <c r="CC9" s="81"/>
      <c r="CD9" s="80"/>
      <c r="CE9" s="81"/>
      <c r="CF9" s="82"/>
      <c r="CG9" s="83"/>
      <c r="CH9" s="80"/>
      <c r="CI9" s="81"/>
      <c r="CJ9" s="80"/>
      <c r="CK9" s="81"/>
      <c r="CL9" s="82"/>
      <c r="CM9" s="83"/>
      <c r="CN9" s="80"/>
      <c r="CO9" s="81"/>
      <c r="CP9" s="80"/>
      <c r="CQ9" s="81"/>
      <c r="CR9" s="82"/>
      <c r="CS9" s="83"/>
      <c r="CT9" s="80"/>
      <c r="CU9" s="81"/>
      <c r="CV9" s="80"/>
      <c r="CW9" s="81"/>
      <c r="CX9" s="82"/>
      <c r="CY9" s="83"/>
      <c r="CZ9" s="80"/>
      <c r="DA9" s="81"/>
      <c r="DB9" s="80"/>
      <c r="DC9" s="81"/>
      <c r="DD9" s="82"/>
      <c r="DE9" s="83"/>
      <c r="DF9" s="80"/>
      <c r="DG9" s="81"/>
      <c r="DH9" s="80"/>
      <c r="DI9" s="81"/>
      <c r="DJ9" s="82"/>
      <c r="DK9" s="83"/>
      <c r="DL9" s="80"/>
      <c r="DM9" s="81"/>
      <c r="DN9" s="80"/>
      <c r="DO9" s="81"/>
      <c r="DP9" s="82"/>
      <c r="DQ9" s="83"/>
      <c r="DR9" s="80"/>
      <c r="DS9" s="81"/>
      <c r="DT9" s="80"/>
      <c r="DU9" s="81"/>
      <c r="DV9" s="82"/>
      <c r="DW9" s="83"/>
      <c r="DX9" s="80"/>
      <c r="DY9" s="81"/>
      <c r="DZ9" s="80"/>
      <c r="EA9" s="81"/>
      <c r="EB9" s="82"/>
      <c r="EC9" s="83"/>
      <c r="ED9" s="80"/>
      <c r="EE9" s="81"/>
      <c r="EF9" s="80"/>
      <c r="EG9" s="81"/>
      <c r="EH9" s="82"/>
      <c r="EI9" s="83"/>
      <c r="EJ9" s="80"/>
      <c r="EK9" s="81"/>
      <c r="EL9" s="80"/>
      <c r="EM9" s="81"/>
      <c r="EN9" s="82"/>
      <c r="EO9" s="83"/>
      <c r="EP9" s="80"/>
      <c r="EQ9" s="81"/>
      <c r="ER9" s="80"/>
      <c r="ES9" s="81"/>
      <c r="ET9" s="82"/>
    </row>
    <row r="10" spans="1:150" ht="20.100000000000001" hidden="1" customHeight="1" outlineLevel="1">
      <c r="A10" s="2703"/>
      <c r="B10" s="2995"/>
      <c r="C10" s="179"/>
      <c r="D10" s="2726" t="s">
        <v>8705</v>
      </c>
      <c r="E10" s="2878"/>
      <c r="F10" s="2878"/>
      <c r="G10" s="2878"/>
      <c r="H10" s="2878"/>
      <c r="I10" s="2878"/>
      <c r="J10" s="2878"/>
      <c r="K10" s="2878"/>
      <c r="L10" s="2878"/>
      <c r="M10" s="2878"/>
      <c r="N10" s="2878"/>
      <c r="O10" s="2878"/>
      <c r="P10" s="2878"/>
      <c r="Q10" s="2878"/>
      <c r="R10" s="1096"/>
      <c r="S10" s="26"/>
      <c r="T10" s="26"/>
      <c r="U10" s="54"/>
      <c r="V10" s="26"/>
      <c r="W10" s="54"/>
      <c r="X10" s="55"/>
      <c r="Y10" s="26"/>
      <c r="Z10" s="26"/>
      <c r="AA10" s="54"/>
      <c r="AB10" s="26"/>
      <c r="AC10" s="54"/>
      <c r="AD10" s="26"/>
      <c r="AE10" s="56"/>
      <c r="AF10" s="26"/>
      <c r="AG10" s="54"/>
      <c r="AH10" s="26"/>
      <c r="AI10" s="54"/>
      <c r="AJ10" s="55"/>
      <c r="AK10" s="26"/>
      <c r="AL10" s="26"/>
      <c r="AM10" s="54"/>
      <c r="AN10" s="26"/>
      <c r="AO10" s="54"/>
      <c r="AP10" s="26"/>
      <c r="AQ10" s="53"/>
      <c r="AR10" s="26"/>
      <c r="AS10" s="54"/>
      <c r="AT10" s="26"/>
      <c r="AU10" s="54"/>
      <c r="AV10" s="55"/>
      <c r="AW10" s="56"/>
      <c r="AX10" s="26"/>
      <c r="AY10" s="54"/>
      <c r="AZ10" s="26"/>
      <c r="BA10" s="54"/>
      <c r="BB10" s="55"/>
      <c r="BC10" s="26"/>
      <c r="BD10" s="26"/>
      <c r="BE10" s="54"/>
      <c r="BF10" s="26"/>
      <c r="BG10" s="54"/>
      <c r="BH10" s="26"/>
      <c r="BI10" s="56"/>
      <c r="BJ10" s="26"/>
      <c r="BK10" s="54"/>
      <c r="BL10" s="26"/>
      <c r="BM10" s="54"/>
      <c r="BN10" s="55"/>
      <c r="BO10" s="56"/>
      <c r="BP10" s="26"/>
      <c r="BQ10" s="54"/>
      <c r="BR10" s="26"/>
      <c r="BS10" s="54"/>
      <c r="BT10" s="55"/>
      <c r="BU10" s="56"/>
      <c r="BV10" s="26"/>
      <c r="BW10" s="54"/>
      <c r="BX10" s="26"/>
      <c r="BY10" s="54"/>
      <c r="BZ10" s="55"/>
      <c r="CA10" s="56"/>
      <c r="CB10" s="26"/>
      <c r="CC10" s="54"/>
      <c r="CD10" s="26"/>
      <c r="CE10" s="54"/>
      <c r="CF10" s="55"/>
      <c r="CG10" s="56"/>
      <c r="CH10" s="26"/>
      <c r="CI10" s="54"/>
      <c r="CJ10" s="26"/>
      <c r="CK10" s="54"/>
      <c r="CL10" s="55"/>
      <c r="CM10" s="56"/>
      <c r="CN10" s="26"/>
      <c r="CO10" s="54"/>
      <c r="CP10" s="26"/>
      <c r="CQ10" s="54"/>
      <c r="CR10" s="55"/>
      <c r="CS10" s="56"/>
      <c r="CT10" s="26"/>
      <c r="CU10" s="54"/>
      <c r="CV10" s="26"/>
      <c r="CW10" s="54"/>
      <c r="CX10" s="55"/>
      <c r="CY10" s="56"/>
      <c r="CZ10" s="26"/>
      <c r="DA10" s="54"/>
      <c r="DB10" s="26"/>
      <c r="DC10" s="54"/>
      <c r="DD10" s="55"/>
      <c r="DE10" s="56"/>
      <c r="DF10" s="26"/>
      <c r="DG10" s="54"/>
      <c r="DH10" s="26"/>
      <c r="DI10" s="54"/>
      <c r="DJ10" s="55"/>
      <c r="DK10" s="56"/>
      <c r="DL10" s="26"/>
      <c r="DM10" s="54"/>
      <c r="DN10" s="26"/>
      <c r="DO10" s="54"/>
      <c r="DP10" s="55"/>
      <c r="DQ10" s="56"/>
      <c r="DR10" s="26"/>
      <c r="DS10" s="54"/>
      <c r="DT10" s="26"/>
      <c r="DU10" s="54"/>
      <c r="DV10" s="55"/>
      <c r="DW10" s="56"/>
      <c r="DX10" s="26"/>
      <c r="DY10" s="54"/>
      <c r="DZ10" s="26"/>
      <c r="EA10" s="54"/>
      <c r="EB10" s="55"/>
      <c r="EC10" s="56"/>
      <c r="ED10" s="26"/>
      <c r="EE10" s="54"/>
      <c r="EF10" s="26"/>
      <c r="EG10" s="54"/>
      <c r="EH10" s="55"/>
      <c r="EI10" s="56"/>
      <c r="EJ10" s="26"/>
      <c r="EK10" s="54"/>
      <c r="EL10" s="26"/>
      <c r="EM10" s="54"/>
      <c r="EN10" s="55"/>
      <c r="EO10" s="56"/>
      <c r="EP10" s="26"/>
      <c r="EQ10" s="54"/>
      <c r="ER10" s="26"/>
      <c r="ES10" s="54"/>
      <c r="ET10" s="55"/>
    </row>
    <row r="11" spans="1:150" ht="20.100000000000001" hidden="1" customHeight="1" outlineLevel="1" collapsed="1">
      <c r="A11" s="2703"/>
      <c r="B11" s="2995"/>
      <c r="C11" s="179"/>
      <c r="D11" s="2726" t="s">
        <v>8139</v>
      </c>
      <c r="E11" s="2878"/>
      <c r="F11" s="2878"/>
      <c r="G11" s="2878"/>
      <c r="H11" s="2878"/>
      <c r="I11" s="2878"/>
      <c r="J11" s="2878"/>
      <c r="K11" s="2878"/>
      <c r="L11" s="2878"/>
      <c r="M11" s="2878"/>
      <c r="N11" s="2878"/>
      <c r="O11" s="2878"/>
      <c r="P11" s="2878"/>
      <c r="Q11" s="2878"/>
      <c r="R11" s="1096"/>
      <c r="S11" s="26"/>
      <c r="T11" s="26"/>
      <c r="U11" s="54"/>
      <c r="V11" s="26"/>
      <c r="W11" s="54"/>
      <c r="X11" s="55"/>
      <c r="Y11" s="26"/>
      <c r="Z11" s="26"/>
      <c r="AA11" s="54"/>
      <c r="AB11" s="26"/>
      <c r="AC11" s="54"/>
      <c r="AD11" s="26"/>
      <c r="AE11" s="56"/>
      <c r="AF11" s="26"/>
      <c r="AG11" s="54"/>
      <c r="AH11" s="26"/>
      <c r="AI11" s="54"/>
      <c r="AJ11" s="55"/>
      <c r="AK11" s="26"/>
      <c r="AL11" s="26"/>
      <c r="AM11" s="54"/>
      <c r="AN11" s="26"/>
      <c r="AO11" s="54"/>
      <c r="AP11" s="26"/>
      <c r="AQ11" s="53"/>
      <c r="AR11" s="26"/>
      <c r="AS11" s="54"/>
      <c r="AT11" s="26"/>
      <c r="AU11" s="54"/>
      <c r="AV11" s="55"/>
      <c r="AW11" s="56"/>
      <c r="AX11" s="26"/>
      <c r="AY11" s="54"/>
      <c r="AZ11" s="26"/>
      <c r="BA11" s="54"/>
      <c r="BB11" s="55"/>
      <c r="BC11" s="26"/>
      <c r="BD11" s="26"/>
      <c r="BE11" s="54"/>
      <c r="BF11" s="26"/>
      <c r="BG11" s="54"/>
      <c r="BH11" s="26"/>
      <c r="BI11" s="56"/>
      <c r="BJ11" s="26"/>
      <c r="BK11" s="54"/>
      <c r="BL11" s="26"/>
      <c r="BM11" s="54"/>
      <c r="BN11" s="55"/>
      <c r="BO11" s="56"/>
      <c r="BP11" s="26"/>
      <c r="BQ11" s="54"/>
      <c r="BR11" s="26"/>
      <c r="BS11" s="54"/>
      <c r="BT11" s="55"/>
      <c r="BU11" s="56"/>
      <c r="BV11" s="26"/>
      <c r="BW11" s="54"/>
      <c r="BX11" s="26"/>
      <c r="BY11" s="54"/>
      <c r="BZ11" s="55"/>
      <c r="CA11" s="56"/>
      <c r="CB11" s="26"/>
      <c r="CC11" s="54"/>
      <c r="CD11" s="26"/>
      <c r="CE11" s="54"/>
      <c r="CF11" s="55"/>
      <c r="CG11" s="56"/>
      <c r="CH11" s="26"/>
      <c r="CI11" s="54"/>
      <c r="CJ11" s="26"/>
      <c r="CK11" s="54"/>
      <c r="CL11" s="55"/>
      <c r="CM11" s="56"/>
      <c r="CN11" s="26"/>
      <c r="CO11" s="54"/>
      <c r="CP11" s="26"/>
      <c r="CQ11" s="54"/>
      <c r="CR11" s="55"/>
      <c r="CS11" s="56"/>
      <c r="CT11" s="26"/>
      <c r="CU11" s="54"/>
      <c r="CV11" s="26"/>
      <c r="CW11" s="54"/>
      <c r="CX11" s="55"/>
      <c r="CY11" s="56"/>
      <c r="CZ11" s="26"/>
      <c r="DA11" s="54"/>
      <c r="DB11" s="26"/>
      <c r="DC11" s="54"/>
      <c r="DD11" s="55"/>
      <c r="DE11" s="56"/>
      <c r="DF11" s="26"/>
      <c r="DG11" s="54"/>
      <c r="DH11" s="26"/>
      <c r="DI11" s="54"/>
      <c r="DJ11" s="55"/>
      <c r="DK11" s="56"/>
      <c r="DL11" s="26"/>
      <c r="DM11" s="54"/>
      <c r="DN11" s="26"/>
      <c r="DO11" s="54"/>
      <c r="DP11" s="55"/>
      <c r="DQ11" s="56"/>
      <c r="DR11" s="26"/>
      <c r="DS11" s="54"/>
      <c r="DT11" s="26"/>
      <c r="DU11" s="54"/>
      <c r="DV11" s="55"/>
      <c r="DW11" s="56"/>
      <c r="DX11" s="26"/>
      <c r="DY11" s="54"/>
      <c r="DZ11" s="26"/>
      <c r="EA11" s="54"/>
      <c r="EB11" s="55"/>
      <c r="EC11" s="56"/>
      <c r="ED11" s="26"/>
      <c r="EE11" s="54"/>
      <c r="EF11" s="26"/>
      <c r="EG11" s="54"/>
      <c r="EH11" s="55"/>
      <c r="EI11" s="56"/>
      <c r="EJ11" s="26"/>
      <c r="EK11" s="54"/>
      <c r="EL11" s="26"/>
      <c r="EM11" s="54"/>
      <c r="EN11" s="55"/>
      <c r="EO11" s="56"/>
      <c r="EP11" s="26"/>
      <c r="EQ11" s="54"/>
      <c r="ER11" s="26"/>
      <c r="ES11" s="54"/>
      <c r="ET11" s="55"/>
    </row>
    <row r="12" spans="1:150" ht="20.100000000000001" hidden="1" customHeight="1" outlineLevel="1" collapsed="1">
      <c r="A12" s="2703"/>
      <c r="B12" s="2995"/>
      <c r="C12" s="179"/>
      <c r="D12" s="2726" t="s">
        <v>8138</v>
      </c>
      <c r="E12" s="2727"/>
      <c r="F12" s="2727"/>
      <c r="G12" s="2727"/>
      <c r="H12" s="2727"/>
      <c r="I12" s="2727"/>
      <c r="J12" s="2727"/>
      <c r="K12" s="2727"/>
      <c r="L12" s="2727"/>
      <c r="M12" s="2727"/>
      <c r="N12" s="2727"/>
      <c r="O12" s="2727"/>
      <c r="P12" s="2727"/>
      <c r="Q12" s="2727"/>
      <c r="R12" s="1111"/>
      <c r="S12" s="26"/>
      <c r="T12" s="26"/>
      <c r="U12" s="54"/>
      <c r="V12" s="26"/>
      <c r="W12" s="54"/>
      <c r="X12" s="55"/>
      <c r="Y12" s="26"/>
      <c r="Z12" s="26"/>
      <c r="AA12" s="54"/>
      <c r="AB12" s="26"/>
      <c r="AC12" s="54"/>
      <c r="AD12" s="26"/>
      <c r="AE12" s="56"/>
      <c r="AF12" s="26"/>
      <c r="AG12" s="54"/>
      <c r="AH12" s="26"/>
      <c r="AI12" s="54"/>
      <c r="AJ12" s="55"/>
      <c r="AK12" s="26"/>
      <c r="AL12" s="26"/>
      <c r="AM12" s="54"/>
      <c r="AN12" s="26"/>
      <c r="AO12" s="54"/>
      <c r="AP12" s="26"/>
      <c r="AQ12" s="53"/>
      <c r="AR12" s="26"/>
      <c r="AS12" s="54"/>
      <c r="AT12" s="26"/>
      <c r="AU12" s="54"/>
      <c r="AV12" s="55"/>
      <c r="AW12" s="56"/>
      <c r="AX12" s="26"/>
      <c r="AY12" s="54"/>
      <c r="AZ12" s="26"/>
      <c r="BA12" s="54"/>
      <c r="BB12" s="55"/>
      <c r="BC12" s="26"/>
      <c r="BD12" s="26"/>
      <c r="BE12" s="54"/>
      <c r="BF12" s="26"/>
      <c r="BG12" s="54"/>
      <c r="BH12" s="26"/>
      <c r="BI12" s="56"/>
      <c r="BJ12" s="26"/>
      <c r="BK12" s="54"/>
      <c r="BL12" s="26"/>
      <c r="BM12" s="54"/>
      <c r="BN12" s="55"/>
      <c r="BO12" s="56"/>
      <c r="BP12" s="26"/>
      <c r="BQ12" s="54"/>
      <c r="BR12" s="26"/>
      <c r="BS12" s="54"/>
      <c r="BT12" s="55"/>
      <c r="BU12" s="56"/>
      <c r="BV12" s="26"/>
      <c r="BW12" s="54"/>
      <c r="BX12" s="26"/>
      <c r="BY12" s="54"/>
      <c r="BZ12" s="55"/>
      <c r="CA12" s="56"/>
      <c r="CB12" s="26"/>
      <c r="CC12" s="54"/>
      <c r="CD12" s="26"/>
      <c r="CE12" s="54"/>
      <c r="CF12" s="55"/>
      <c r="CG12" s="56"/>
      <c r="CH12" s="26"/>
      <c r="CI12" s="54"/>
      <c r="CJ12" s="26"/>
      <c r="CK12" s="54"/>
      <c r="CL12" s="55"/>
      <c r="CM12" s="56"/>
      <c r="CN12" s="26"/>
      <c r="CO12" s="54"/>
      <c r="CP12" s="26"/>
      <c r="CQ12" s="54"/>
      <c r="CR12" s="55"/>
      <c r="CS12" s="56"/>
      <c r="CT12" s="26"/>
      <c r="CU12" s="54"/>
      <c r="CV12" s="26"/>
      <c r="CW12" s="54"/>
      <c r="CX12" s="55"/>
      <c r="CY12" s="56"/>
      <c r="CZ12" s="26"/>
      <c r="DA12" s="54"/>
      <c r="DB12" s="26"/>
      <c r="DC12" s="54"/>
      <c r="DD12" s="55"/>
      <c r="DE12" s="56"/>
      <c r="DF12" s="26"/>
      <c r="DG12" s="54"/>
      <c r="DH12" s="26"/>
      <c r="DI12" s="54"/>
      <c r="DJ12" s="55"/>
      <c r="DK12" s="56"/>
      <c r="DL12" s="26"/>
      <c r="DM12" s="54"/>
      <c r="DN12" s="26"/>
      <c r="DO12" s="54"/>
      <c r="DP12" s="55"/>
      <c r="DQ12" s="56"/>
      <c r="DR12" s="26"/>
      <c r="DS12" s="54"/>
      <c r="DT12" s="26"/>
      <c r="DU12" s="54"/>
      <c r="DV12" s="55"/>
      <c r="DW12" s="56"/>
      <c r="DX12" s="26"/>
      <c r="DY12" s="54"/>
      <c r="DZ12" s="26"/>
      <c r="EA12" s="54"/>
      <c r="EB12" s="55"/>
      <c r="EC12" s="56"/>
      <c r="ED12" s="26"/>
      <c r="EE12" s="54"/>
      <c r="EF12" s="26"/>
      <c r="EG12" s="54"/>
      <c r="EH12" s="55"/>
      <c r="EI12" s="56"/>
      <c r="EJ12" s="26"/>
      <c r="EK12" s="54"/>
      <c r="EL12" s="26"/>
      <c r="EM12" s="54"/>
      <c r="EN12" s="55"/>
      <c r="EO12" s="56"/>
      <c r="EP12" s="26"/>
      <c r="EQ12" s="54"/>
      <c r="ER12" s="26"/>
      <c r="ES12" s="54"/>
      <c r="ET12" s="55"/>
    </row>
    <row r="13" spans="1:150" ht="24.95" hidden="1" customHeight="1" outlineLevel="1">
      <c r="A13" s="2703"/>
      <c r="B13" s="2995"/>
      <c r="C13" s="179" t="s">
        <v>10067</v>
      </c>
      <c r="D13" s="2726" t="str">
        <f>実績!C1228</f>
        <v>玄海農場鶏舎</v>
      </c>
      <c r="E13" s="2878"/>
      <c r="F13" s="2878"/>
      <c r="G13" s="2878"/>
      <c r="H13" s="2878"/>
      <c r="I13" s="2878"/>
      <c r="J13" s="2878"/>
      <c r="K13" s="2878"/>
      <c r="L13" s="2878"/>
      <c r="M13" s="2878"/>
      <c r="N13" s="2878"/>
      <c r="O13" s="2878"/>
      <c r="P13" s="2878"/>
      <c r="Q13" s="2878"/>
      <c r="R13" s="1096"/>
      <c r="S13" s="26"/>
      <c r="T13" s="26"/>
      <c r="U13" s="54"/>
      <c r="V13" s="26"/>
      <c r="W13" s="54"/>
      <c r="X13" s="55"/>
      <c r="Y13" s="26"/>
      <c r="Z13" s="26"/>
      <c r="AA13" s="54"/>
      <c r="AB13" s="26"/>
      <c r="AC13" s="54"/>
      <c r="AD13" s="26"/>
      <c r="AE13" s="56"/>
      <c r="AF13" s="26"/>
      <c r="AG13" s="54"/>
      <c r="AH13" s="26"/>
      <c r="AI13" s="54"/>
      <c r="AJ13" s="55"/>
      <c r="AK13" s="26"/>
      <c r="AL13" s="26"/>
      <c r="AM13" s="54"/>
      <c r="AN13" s="26"/>
      <c r="AO13" s="54"/>
      <c r="AP13" s="26" t="s">
        <v>8250</v>
      </c>
      <c r="AQ13" s="53"/>
      <c r="AR13" s="26"/>
      <c r="AS13" s="54"/>
      <c r="AT13" s="26"/>
      <c r="AU13" s="54"/>
      <c r="AV13" s="55"/>
      <c r="AW13" s="117"/>
      <c r="AX13" s="26"/>
      <c r="AY13" s="54"/>
      <c r="AZ13" s="26"/>
      <c r="BA13" s="54"/>
      <c r="BB13" s="55"/>
      <c r="BC13" s="26"/>
      <c r="BD13" s="26"/>
      <c r="BE13" s="54"/>
      <c r="BF13" s="26"/>
      <c r="BG13" s="54"/>
      <c r="BH13" s="26"/>
      <c r="BI13" s="56"/>
      <c r="BJ13" s="26"/>
      <c r="BK13" s="54"/>
      <c r="BL13" s="26"/>
      <c r="BM13" s="54"/>
      <c r="BN13" s="55"/>
      <c r="BO13" s="56"/>
      <c r="BP13" s="26" t="s">
        <v>8250</v>
      </c>
      <c r="BQ13" s="54"/>
      <c r="BR13" s="26"/>
      <c r="BS13" s="54"/>
      <c r="BT13" s="55"/>
      <c r="BU13" s="56"/>
      <c r="BV13" s="26"/>
      <c r="BW13" s="54"/>
      <c r="BX13" s="108"/>
      <c r="BY13" s="54"/>
      <c r="BZ13" s="55"/>
      <c r="CA13" s="56" t="s">
        <v>8145</v>
      </c>
      <c r="CB13" s="26"/>
      <c r="CC13" s="54"/>
      <c r="CD13" s="26"/>
      <c r="CE13" s="54"/>
      <c r="CF13" s="55"/>
      <c r="CG13" s="56"/>
      <c r="CH13" s="26"/>
      <c r="CI13" s="54"/>
      <c r="CJ13" s="26"/>
      <c r="CK13" s="54"/>
      <c r="CL13" s="55"/>
      <c r="CM13" s="56"/>
      <c r="CN13" s="26"/>
      <c r="CO13" s="54"/>
      <c r="CP13" s="26"/>
      <c r="CQ13" s="54"/>
      <c r="CR13" s="116" t="s">
        <v>9595</v>
      </c>
      <c r="CS13" s="56"/>
      <c r="CT13" s="26"/>
      <c r="CU13" s="54"/>
      <c r="CV13" s="26"/>
      <c r="CW13" s="54"/>
      <c r="CX13" s="116"/>
      <c r="CY13" s="56"/>
      <c r="CZ13" s="26"/>
      <c r="DA13" s="54"/>
      <c r="DB13" s="26"/>
      <c r="DC13" s="54"/>
      <c r="DD13" s="116"/>
      <c r="DE13" s="56"/>
      <c r="DF13" s="26"/>
      <c r="DG13" s="54"/>
      <c r="DH13" s="26"/>
      <c r="DI13" s="54"/>
      <c r="DJ13" s="116"/>
      <c r="DK13" s="56"/>
      <c r="DL13" s="26"/>
      <c r="DM13" s="54"/>
      <c r="DN13" s="26"/>
      <c r="DO13" s="54"/>
      <c r="DP13" s="116"/>
      <c r="DQ13" s="56"/>
      <c r="DR13" s="26"/>
      <c r="DS13" s="54"/>
      <c r="DT13" s="26"/>
      <c r="DU13" s="54"/>
      <c r="DV13" s="116"/>
      <c r="DW13" s="56"/>
      <c r="DX13" s="26"/>
      <c r="DY13" s="54"/>
      <c r="DZ13" s="26"/>
      <c r="EA13" s="54"/>
      <c r="EB13" s="116"/>
      <c r="EC13" s="56"/>
      <c r="ED13" s="26"/>
      <c r="EE13" s="54"/>
      <c r="EF13" s="26"/>
      <c r="EG13" s="54"/>
      <c r="EH13" s="116"/>
      <c r="EI13" s="56"/>
      <c r="EJ13" s="26"/>
      <c r="EK13" s="54"/>
      <c r="EL13" s="26"/>
      <c r="EM13" s="54"/>
      <c r="EN13" s="116"/>
      <c r="EO13" s="56"/>
      <c r="EP13" s="26"/>
      <c r="EQ13" s="54"/>
      <c r="ER13" s="26"/>
      <c r="ES13" s="54"/>
      <c r="ET13" s="116"/>
    </row>
    <row r="14" spans="1:150" ht="24.95" hidden="1" customHeight="1" outlineLevel="1" collapsed="1">
      <c r="A14" s="2703"/>
      <c r="B14" s="2995"/>
      <c r="C14" s="179"/>
      <c r="D14" s="2726" t="str">
        <f>実績!C1143</f>
        <v>コーリツ笠岡工場</v>
      </c>
      <c r="E14" s="2878"/>
      <c r="F14" s="2878"/>
      <c r="G14" s="2878"/>
      <c r="H14" s="2878"/>
      <c r="I14" s="2878"/>
      <c r="J14" s="2878"/>
      <c r="K14" s="2878"/>
      <c r="L14" s="2878"/>
      <c r="M14" s="2878"/>
      <c r="N14" s="2878"/>
      <c r="O14" s="2878"/>
      <c r="P14" s="2878"/>
      <c r="Q14" s="2878"/>
      <c r="R14" s="1096"/>
      <c r="S14" s="26"/>
      <c r="T14" s="26"/>
      <c r="U14" s="54"/>
      <c r="V14" s="26"/>
      <c r="W14" s="54"/>
      <c r="X14" s="55"/>
      <c r="Y14" s="26"/>
      <c r="Z14" s="26"/>
      <c r="AA14" s="54"/>
      <c r="AB14" s="26"/>
      <c r="AC14" s="54"/>
      <c r="AD14" s="26"/>
      <c r="AE14" s="56"/>
      <c r="AF14" s="26"/>
      <c r="AG14" s="54"/>
      <c r="AH14" s="26"/>
      <c r="AI14" s="54"/>
      <c r="AJ14" s="55"/>
      <c r="AK14" s="26"/>
      <c r="AL14" s="26"/>
      <c r="AM14" s="54"/>
      <c r="AN14" s="26"/>
      <c r="AO14" s="54"/>
      <c r="AP14" s="26" t="s">
        <v>8250</v>
      </c>
      <c r="AQ14" s="53"/>
      <c r="AR14" s="26"/>
      <c r="AS14" s="54"/>
      <c r="AT14" s="26"/>
      <c r="AU14" s="54"/>
      <c r="AV14" s="55"/>
      <c r="AW14" s="117"/>
      <c r="AX14" s="26"/>
      <c r="AY14" s="54"/>
      <c r="AZ14" s="26"/>
      <c r="BA14" s="54"/>
      <c r="BB14" s="124" t="s">
        <v>9211</v>
      </c>
      <c r="BC14" s="26"/>
      <c r="BD14" s="26"/>
      <c r="BE14" s="54"/>
      <c r="BF14" s="26"/>
      <c r="BG14" s="54"/>
      <c r="BH14" s="26"/>
      <c r="BI14" s="56"/>
      <c r="BJ14" s="26"/>
      <c r="BK14" s="54"/>
      <c r="BL14" s="26"/>
      <c r="BM14" s="54"/>
      <c r="BN14" s="55"/>
      <c r="BO14" s="56"/>
      <c r="BP14" s="26"/>
      <c r="BQ14" s="54"/>
      <c r="BR14" s="26"/>
      <c r="BS14" s="54"/>
      <c r="BT14" s="55"/>
      <c r="BU14" s="56"/>
      <c r="BV14" s="26"/>
      <c r="BW14" s="54"/>
      <c r="BX14" s="26"/>
      <c r="BY14" s="54"/>
      <c r="BZ14" s="55"/>
      <c r="CA14" s="56"/>
      <c r="CB14" s="26"/>
      <c r="CC14" s="54"/>
      <c r="CD14" s="26"/>
      <c r="CE14" s="54"/>
      <c r="CF14" s="55"/>
      <c r="CG14" s="56"/>
      <c r="CH14" s="26"/>
      <c r="CI14" s="54"/>
      <c r="CJ14" s="26"/>
      <c r="CK14" s="54"/>
      <c r="CL14" s="55"/>
      <c r="CM14" s="56"/>
      <c r="CN14" s="26"/>
      <c r="CO14" s="54"/>
      <c r="CP14" s="26"/>
      <c r="CQ14" s="54"/>
      <c r="CR14" s="55"/>
      <c r="CS14" s="56"/>
      <c r="CT14" s="26"/>
      <c r="CU14" s="54"/>
      <c r="CV14" s="26"/>
      <c r="CW14" s="54"/>
      <c r="CX14" s="55"/>
      <c r="CY14" s="56"/>
      <c r="CZ14" s="26"/>
      <c r="DA14" s="54"/>
      <c r="DB14" s="26"/>
      <c r="DC14" s="54"/>
      <c r="DD14" s="55"/>
      <c r="DE14" s="56"/>
      <c r="DF14" s="26"/>
      <c r="DG14" s="54"/>
      <c r="DH14" s="26"/>
      <c r="DI14" s="54"/>
      <c r="DJ14" s="55"/>
      <c r="DK14" s="56"/>
      <c r="DL14" s="26"/>
      <c r="DM14" s="54"/>
      <c r="DN14" s="26"/>
      <c r="DO14" s="54"/>
      <c r="DP14" s="55"/>
      <c r="DQ14" s="56"/>
      <c r="DR14" s="26"/>
      <c r="DS14" s="54"/>
      <c r="DT14" s="26"/>
      <c r="DU14" s="54"/>
      <c r="DV14" s="55"/>
      <c r="DW14" s="56"/>
      <c r="DX14" s="26"/>
      <c r="DY14" s="54"/>
      <c r="DZ14" s="26"/>
      <c r="EA14" s="54"/>
      <c r="EB14" s="55"/>
      <c r="EC14" s="56"/>
      <c r="ED14" s="26"/>
      <c r="EE14" s="54"/>
      <c r="EF14" s="26"/>
      <c r="EG14" s="54"/>
      <c r="EH14" s="55"/>
      <c r="EI14" s="56"/>
      <c r="EJ14" s="26"/>
      <c r="EK14" s="54"/>
      <c r="EL14" s="26"/>
      <c r="EM14" s="54"/>
      <c r="EN14" s="55"/>
      <c r="EO14" s="56"/>
      <c r="EP14" s="26"/>
      <c r="EQ14" s="54"/>
      <c r="ER14" s="26"/>
      <c r="ES14" s="54"/>
      <c r="ET14" s="55"/>
    </row>
    <row r="15" spans="1:150" ht="20.100000000000001" hidden="1" customHeight="1" outlineLevel="1" collapsed="1">
      <c r="A15" s="2703"/>
      <c r="B15" s="2995"/>
      <c r="C15" s="283"/>
      <c r="D15" s="2686" t="s">
        <v>8141</v>
      </c>
      <c r="E15" s="2687"/>
      <c r="F15" s="2687"/>
      <c r="G15" s="2687"/>
      <c r="H15" s="2687"/>
      <c r="I15" s="2687"/>
      <c r="J15" s="2687"/>
      <c r="K15" s="2687"/>
      <c r="L15" s="2687"/>
      <c r="M15" s="2687"/>
      <c r="N15" s="2687"/>
      <c r="O15" s="2687"/>
      <c r="P15" s="2687"/>
      <c r="Q15" s="2687"/>
      <c r="R15" s="3056"/>
      <c r="S15" s="63"/>
      <c r="T15" s="63"/>
      <c r="U15" s="64"/>
      <c r="V15" s="63"/>
      <c r="W15" s="64"/>
      <c r="X15" s="65"/>
      <c r="Y15" s="63"/>
      <c r="Z15" s="63"/>
      <c r="AA15" s="64"/>
      <c r="AB15" s="63"/>
      <c r="AC15" s="64"/>
      <c r="AD15" s="63"/>
      <c r="AE15" s="66"/>
      <c r="AF15" s="63"/>
      <c r="AG15" s="64"/>
      <c r="AH15" s="63"/>
      <c r="AI15" s="64"/>
      <c r="AJ15" s="65"/>
      <c r="AK15" s="63"/>
      <c r="AL15" s="63"/>
      <c r="AM15" s="64"/>
      <c r="AN15" s="63"/>
      <c r="AO15" s="64"/>
      <c r="AP15" s="63"/>
      <c r="AQ15" s="62"/>
      <c r="AR15" s="63"/>
      <c r="AS15" s="64"/>
      <c r="AT15" s="63"/>
      <c r="AU15" s="64"/>
      <c r="AV15" s="65"/>
      <c r="AW15" s="194"/>
      <c r="AX15" s="63"/>
      <c r="AY15" s="64"/>
      <c r="AZ15" s="63"/>
      <c r="BA15" s="64"/>
      <c r="BB15" s="65"/>
      <c r="BC15" s="63" t="s">
        <v>8771</v>
      </c>
      <c r="BD15" s="63"/>
      <c r="BE15" s="64"/>
      <c r="BF15" s="63"/>
      <c r="BG15" s="64"/>
      <c r="BH15" s="63"/>
      <c r="BI15" s="66"/>
      <c r="BJ15" s="63"/>
      <c r="BK15" s="64"/>
      <c r="BL15" s="63"/>
      <c r="BM15" s="193" t="s">
        <v>8661</v>
      </c>
      <c r="BN15" s="65"/>
      <c r="BO15" s="66"/>
      <c r="BP15" s="63"/>
      <c r="BQ15" s="64"/>
      <c r="BR15" s="63"/>
      <c r="BS15" s="64"/>
      <c r="BT15" s="65"/>
      <c r="BU15" s="66"/>
      <c r="BV15" s="63"/>
      <c r="BW15" s="64"/>
      <c r="BX15" s="63"/>
      <c r="BY15" s="64"/>
      <c r="BZ15" s="65"/>
      <c r="CA15" s="66"/>
      <c r="CB15" s="63"/>
      <c r="CC15" s="64"/>
      <c r="CD15" s="63"/>
      <c r="CE15" s="64"/>
      <c r="CF15" s="65"/>
      <c r="CG15" s="66"/>
      <c r="CH15" s="63"/>
      <c r="CI15" s="64"/>
      <c r="CJ15" s="63"/>
      <c r="CK15" s="64"/>
      <c r="CL15" s="65"/>
      <c r="CM15" s="66"/>
      <c r="CN15" s="63"/>
      <c r="CO15" s="64"/>
      <c r="CP15" s="63"/>
      <c r="CQ15" s="195"/>
      <c r="CR15" s="65"/>
      <c r="CS15" s="66"/>
      <c r="CT15" s="63"/>
      <c r="CU15" s="64"/>
      <c r="CV15" s="63"/>
      <c r="CW15" s="195"/>
      <c r="CX15" s="65"/>
      <c r="CY15" s="66"/>
      <c r="CZ15" s="63"/>
      <c r="DA15" s="64"/>
      <c r="DB15" s="63"/>
      <c r="DC15" s="195"/>
      <c r="DD15" s="65"/>
      <c r="DE15" s="66"/>
      <c r="DF15" s="63"/>
      <c r="DG15" s="64"/>
      <c r="DH15" s="63"/>
      <c r="DI15" s="195"/>
      <c r="DJ15" s="65"/>
      <c r="DK15" s="66"/>
      <c r="DL15" s="63"/>
      <c r="DM15" s="64"/>
      <c r="DN15" s="63"/>
      <c r="DO15" s="195"/>
      <c r="DP15" s="65"/>
      <c r="DQ15" s="66"/>
      <c r="DR15" s="63"/>
      <c r="DS15" s="64"/>
      <c r="DT15" s="63"/>
      <c r="DU15" s="195"/>
      <c r="DV15" s="65"/>
      <c r="DW15" s="66"/>
      <c r="DX15" s="63"/>
      <c r="DY15" s="64"/>
      <c r="DZ15" s="63"/>
      <c r="EA15" s="195"/>
      <c r="EB15" s="65"/>
      <c r="EC15" s="66"/>
      <c r="ED15" s="63"/>
      <c r="EE15" s="64"/>
      <c r="EF15" s="63"/>
      <c r="EG15" s="195"/>
      <c r="EH15" s="65"/>
      <c r="EI15" s="66"/>
      <c r="EJ15" s="63"/>
      <c r="EK15" s="64"/>
      <c r="EL15" s="63"/>
      <c r="EM15" s="195"/>
      <c r="EN15" s="65"/>
      <c r="EO15" s="66"/>
      <c r="EP15" s="63"/>
      <c r="EQ15" s="64"/>
      <c r="ER15" s="63"/>
      <c r="ES15" s="195"/>
      <c r="ET15" s="65"/>
    </row>
    <row r="16" spans="1:150" ht="20.100000000000001" hidden="1" customHeight="1" outlineLevel="1">
      <c r="A16" s="2703"/>
      <c r="B16" s="2995"/>
      <c r="C16" s="205"/>
      <c r="D16" s="2680" t="str">
        <f>実績!C1207</f>
        <v>南国殖産殿(仮称)鹿児島南港水素ステーション</v>
      </c>
      <c r="E16" s="2681"/>
      <c r="F16" s="2681"/>
      <c r="G16" s="2681"/>
      <c r="H16" s="2681"/>
      <c r="I16" s="2681"/>
      <c r="J16" s="2681"/>
      <c r="K16" s="2681"/>
      <c r="L16" s="2681"/>
      <c r="M16" s="2681"/>
      <c r="N16" s="2681"/>
      <c r="O16" s="2681"/>
      <c r="P16" s="2681"/>
      <c r="Q16" s="2681"/>
      <c r="R16" s="2682"/>
      <c r="S16" s="206"/>
      <c r="T16" s="206"/>
      <c r="U16" s="207"/>
      <c r="V16" s="206"/>
      <c r="W16" s="207"/>
      <c r="X16" s="208"/>
      <c r="Y16" s="206"/>
      <c r="Z16" s="206"/>
      <c r="AA16" s="207"/>
      <c r="AB16" s="206"/>
      <c r="AC16" s="207"/>
      <c r="AD16" s="206"/>
      <c r="AE16" s="209"/>
      <c r="AF16" s="206"/>
      <c r="AG16" s="207"/>
      <c r="AH16" s="206"/>
      <c r="AI16" s="207"/>
      <c r="AJ16" s="208"/>
      <c r="AK16" s="206"/>
      <c r="AL16" s="206"/>
      <c r="AM16" s="207"/>
      <c r="AN16" s="206"/>
      <c r="AO16" s="207"/>
      <c r="AP16" s="206" t="s">
        <v>8250</v>
      </c>
      <c r="AQ16" s="210"/>
      <c r="AR16" s="206"/>
      <c r="AS16" s="207"/>
      <c r="AT16" s="206"/>
      <c r="AU16" s="207"/>
      <c r="AV16" s="208"/>
      <c r="AW16" s="211"/>
      <c r="AX16" s="206"/>
      <c r="AY16" s="207"/>
      <c r="AZ16" s="206"/>
      <c r="BA16" s="207"/>
      <c r="BB16" s="208"/>
      <c r="BC16" s="206"/>
      <c r="BD16" s="206"/>
      <c r="BE16" s="207"/>
      <c r="BF16" s="206"/>
      <c r="BG16" s="207"/>
      <c r="BH16" s="206"/>
      <c r="BI16" s="209"/>
      <c r="BJ16" s="206"/>
      <c r="BK16" s="207"/>
      <c r="BL16" s="206"/>
      <c r="BM16" s="207"/>
      <c r="BN16" s="208"/>
      <c r="BO16" s="209"/>
      <c r="BP16" s="212" t="s">
        <v>8250</v>
      </c>
      <c r="BQ16" s="207"/>
      <c r="BR16" s="206"/>
      <c r="BS16" s="207"/>
      <c r="BT16" s="208"/>
      <c r="BU16" s="209"/>
      <c r="BV16" s="206"/>
      <c r="BW16" s="207"/>
      <c r="BX16" s="213"/>
      <c r="BY16" s="214" t="s">
        <v>8145</v>
      </c>
      <c r="BZ16" s="208"/>
      <c r="CA16" s="215"/>
      <c r="CB16" s="206"/>
      <c r="CC16" s="207"/>
      <c r="CD16" s="206"/>
      <c r="CE16" s="207"/>
      <c r="CF16" s="208"/>
      <c r="CG16" s="209"/>
      <c r="CH16" s="206"/>
      <c r="CI16" s="207"/>
      <c r="CJ16" s="206"/>
      <c r="CK16" s="207"/>
      <c r="CL16" s="208"/>
      <c r="CM16" s="209"/>
      <c r="CN16" s="206"/>
      <c r="CO16" s="207"/>
      <c r="CP16" s="206"/>
      <c r="CQ16" s="207"/>
      <c r="CR16" s="216"/>
      <c r="CS16" s="209"/>
      <c r="CT16" s="206"/>
      <c r="CU16" s="207"/>
      <c r="CV16" s="206"/>
      <c r="CW16" s="207"/>
      <c r="CX16" s="216"/>
      <c r="CY16" s="209"/>
      <c r="CZ16" s="206"/>
      <c r="DA16" s="214" t="s">
        <v>10993</v>
      </c>
      <c r="DB16" s="206"/>
      <c r="DC16" s="207"/>
      <c r="DD16" s="216"/>
      <c r="DE16" s="209"/>
      <c r="DF16" s="206"/>
      <c r="DG16" s="207"/>
      <c r="DH16" s="206"/>
      <c r="DI16" s="207"/>
      <c r="DJ16" s="216"/>
      <c r="DK16" s="209"/>
      <c r="DL16" s="206"/>
      <c r="DM16" s="207"/>
      <c r="DN16" s="206"/>
      <c r="DO16" s="207"/>
      <c r="DP16" s="217"/>
      <c r="DQ16" s="218"/>
      <c r="DR16" s="206"/>
      <c r="DS16" s="207"/>
      <c r="DT16" s="206"/>
      <c r="DU16" s="207"/>
      <c r="DV16" s="216"/>
      <c r="DW16" s="209"/>
      <c r="DX16" s="206"/>
      <c r="DY16" s="207"/>
      <c r="DZ16" s="206"/>
      <c r="EA16" s="207"/>
      <c r="EB16" s="216"/>
      <c r="EC16" s="209"/>
      <c r="ED16" s="206"/>
      <c r="EE16" s="207"/>
      <c r="EF16" s="206"/>
      <c r="EG16" s="207"/>
      <c r="EH16" s="216"/>
      <c r="EI16" s="209"/>
      <c r="EJ16" s="206"/>
      <c r="EK16" s="207"/>
      <c r="EL16" s="206"/>
      <c r="EM16" s="207"/>
      <c r="EN16" s="216"/>
      <c r="EO16" s="209"/>
      <c r="EP16" s="206"/>
      <c r="EQ16" s="207"/>
      <c r="ER16" s="206"/>
      <c r="ES16" s="207"/>
      <c r="ET16" s="216"/>
    </row>
    <row r="17" spans="1:150" ht="20.100000000000001" hidden="1" customHeight="1" outlineLevel="1" collapsed="1">
      <c r="A17" s="2703"/>
      <c r="B17" s="2995"/>
      <c r="C17" s="2660" t="s">
        <v>10067</v>
      </c>
      <c r="D17" s="2686" t="str">
        <f>実績!C1291&amp;"("&amp;SUBSTITUTE(実績!AB1291&amp;")","株式会社 ","")</f>
        <v>BMW神戸(カーダクレッセ)</v>
      </c>
      <c r="E17" s="2711"/>
      <c r="F17" s="2711"/>
      <c r="G17" s="2711"/>
      <c r="H17" s="2711"/>
      <c r="I17" s="2711"/>
      <c r="J17" s="2711"/>
      <c r="K17" s="2711"/>
      <c r="L17" s="2711"/>
      <c r="M17" s="2711"/>
      <c r="N17" s="2711"/>
      <c r="O17" s="2711"/>
      <c r="P17" s="2711"/>
      <c r="Q17" s="2712"/>
      <c r="R17" s="1112" t="s">
        <v>1117</v>
      </c>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6"/>
      <c r="BJ17" s="63"/>
      <c r="BK17" s="64"/>
      <c r="BL17" s="63"/>
      <c r="BM17" s="64"/>
      <c r="BN17" s="65"/>
      <c r="BO17" s="66"/>
      <c r="BP17" s="63"/>
      <c r="BQ17" s="64"/>
      <c r="BR17" s="63"/>
      <c r="BS17" s="64"/>
      <c r="BT17" s="65"/>
      <c r="BU17" s="1113"/>
      <c r="BV17" s="63"/>
      <c r="BW17" s="64"/>
      <c r="BX17" s="1114"/>
      <c r="BY17" s="64"/>
      <c r="BZ17" s="65"/>
      <c r="CA17" s="66"/>
      <c r="CB17" s="63"/>
      <c r="CC17" s="64"/>
      <c r="CD17" s="1114"/>
      <c r="CE17" s="64"/>
      <c r="CF17" s="65"/>
      <c r="CG17" s="1113"/>
      <c r="CH17" s="63"/>
      <c r="CI17" s="64"/>
      <c r="CJ17" s="63"/>
      <c r="CK17" s="64"/>
      <c r="CL17" s="65"/>
      <c r="CM17" s="66"/>
      <c r="CN17" s="63"/>
      <c r="CO17" s="64"/>
      <c r="CP17" s="63"/>
      <c r="CQ17" s="64"/>
      <c r="CR17" s="1115"/>
      <c r="CS17" s="66"/>
      <c r="CT17" s="63"/>
      <c r="CU17" s="64"/>
      <c r="CV17" s="63"/>
      <c r="CW17" s="64"/>
      <c r="CX17" s="1115"/>
      <c r="CY17" s="1113" t="s">
        <v>8644</v>
      </c>
      <c r="CZ17" s="63"/>
      <c r="DA17" s="1116"/>
      <c r="DB17" s="63"/>
      <c r="DC17" s="64"/>
      <c r="DD17" s="1115"/>
      <c r="DE17" s="66"/>
      <c r="DF17" s="63"/>
      <c r="DG17" s="64"/>
      <c r="DH17" s="63"/>
      <c r="DI17" s="193"/>
      <c r="DJ17" s="1117"/>
      <c r="DK17" s="1113" t="s">
        <v>14848</v>
      </c>
      <c r="DL17" s="63"/>
      <c r="DM17" s="64"/>
      <c r="DN17" s="63"/>
      <c r="DO17" s="64"/>
      <c r="DP17" s="63"/>
      <c r="DQ17" s="1118"/>
      <c r="DR17" s="63"/>
      <c r="DS17" s="64"/>
      <c r="DT17" s="1119"/>
      <c r="DU17" s="63"/>
      <c r="DV17" s="1120"/>
      <c r="DW17" s="66"/>
      <c r="DX17" s="63"/>
      <c r="DY17" s="64"/>
      <c r="DZ17" s="63"/>
      <c r="EA17" s="64"/>
      <c r="EB17" s="1115"/>
      <c r="EC17" s="66"/>
      <c r="ED17" s="63"/>
      <c r="EE17" s="64"/>
      <c r="EF17" s="63"/>
      <c r="EG17" s="64"/>
      <c r="EH17" s="1115"/>
      <c r="EI17" s="66"/>
      <c r="EJ17" s="63"/>
      <c r="EK17" s="64"/>
      <c r="EL17" s="63"/>
      <c r="EM17" s="64"/>
      <c r="EN17" s="1115"/>
      <c r="EO17" s="66"/>
      <c r="EP17" s="63"/>
      <c r="EQ17" s="64"/>
      <c r="ER17" s="63"/>
      <c r="ES17" s="64"/>
      <c r="ET17" s="1115"/>
    </row>
    <row r="18" spans="1:150" ht="20.100000000000001" hidden="1" customHeight="1" outlineLevel="1">
      <c r="A18" s="2703"/>
      <c r="B18" s="2995"/>
      <c r="C18" s="2661"/>
      <c r="D18" s="2713"/>
      <c r="E18" s="2681"/>
      <c r="F18" s="2681"/>
      <c r="G18" s="2681"/>
      <c r="H18" s="2681"/>
      <c r="I18" s="2681"/>
      <c r="J18" s="2681"/>
      <c r="K18" s="2681"/>
      <c r="L18" s="2681"/>
      <c r="M18" s="2681"/>
      <c r="N18" s="2681"/>
      <c r="O18" s="2681"/>
      <c r="P18" s="2681"/>
      <c r="Q18" s="2714"/>
      <c r="R18" s="238" t="s">
        <v>1116</v>
      </c>
      <c r="S18" s="239"/>
      <c r="T18" s="239"/>
      <c r="U18" s="240"/>
      <c r="V18" s="239"/>
      <c r="W18" s="240"/>
      <c r="X18" s="241"/>
      <c r="Y18" s="239"/>
      <c r="Z18" s="239"/>
      <c r="AA18" s="240"/>
      <c r="AB18" s="239"/>
      <c r="AC18" s="240"/>
      <c r="AD18" s="239"/>
      <c r="AE18" s="242"/>
      <c r="AF18" s="239"/>
      <c r="AG18" s="240"/>
      <c r="AH18" s="239"/>
      <c r="AI18" s="240"/>
      <c r="AJ18" s="241"/>
      <c r="AK18" s="239"/>
      <c r="AL18" s="239"/>
      <c r="AM18" s="240"/>
      <c r="AN18" s="239"/>
      <c r="AO18" s="240"/>
      <c r="AP18" s="239"/>
      <c r="AQ18" s="243"/>
      <c r="AR18" s="239"/>
      <c r="AS18" s="240"/>
      <c r="AT18" s="239"/>
      <c r="AU18" s="240"/>
      <c r="AV18" s="241"/>
      <c r="AW18" s="242"/>
      <c r="AX18" s="239"/>
      <c r="AY18" s="240"/>
      <c r="AZ18" s="239"/>
      <c r="BA18" s="240"/>
      <c r="BB18" s="241"/>
      <c r="BC18" s="239"/>
      <c r="BD18" s="239"/>
      <c r="BE18" s="240"/>
      <c r="BF18" s="239"/>
      <c r="BG18" s="240"/>
      <c r="BH18" s="239"/>
      <c r="BI18" s="242"/>
      <c r="BJ18" s="239"/>
      <c r="BK18" s="240"/>
      <c r="BL18" s="239"/>
      <c r="BM18" s="240"/>
      <c r="BN18" s="241"/>
      <c r="BO18" s="242"/>
      <c r="BP18" s="239"/>
      <c r="BQ18" s="240"/>
      <c r="BR18" s="244"/>
      <c r="BS18" s="240"/>
      <c r="BT18" s="241"/>
      <c r="BU18" s="242"/>
      <c r="BV18" s="239"/>
      <c r="BW18" s="240"/>
      <c r="BX18" s="239"/>
      <c r="BY18" s="240"/>
      <c r="BZ18" s="241"/>
      <c r="CA18" s="242"/>
      <c r="CB18" s="239"/>
      <c r="CC18" s="240"/>
      <c r="CD18" s="239"/>
      <c r="CE18" s="240"/>
      <c r="CF18" s="241"/>
      <c r="CG18" s="242"/>
      <c r="CH18" s="239"/>
      <c r="CI18" s="240"/>
      <c r="CJ18" s="239"/>
      <c r="CK18" s="240"/>
      <c r="CL18" s="241"/>
      <c r="CM18" s="242"/>
      <c r="CN18" s="244"/>
      <c r="CO18" s="240"/>
      <c r="CP18" s="245"/>
      <c r="CQ18" s="240"/>
      <c r="CR18" s="241"/>
      <c r="CS18" s="242"/>
      <c r="CT18" s="239"/>
      <c r="CU18" s="240"/>
      <c r="CV18" s="239"/>
      <c r="CW18" s="240"/>
      <c r="CX18" s="241"/>
      <c r="CY18" s="242"/>
      <c r="CZ18" s="239"/>
      <c r="DA18" s="240"/>
      <c r="DB18" s="239"/>
      <c r="DC18" s="240"/>
      <c r="DD18" s="241"/>
      <c r="DE18" s="242"/>
      <c r="DF18" s="239"/>
      <c r="DG18" s="240"/>
      <c r="DH18" s="239"/>
      <c r="DI18" s="240"/>
      <c r="DJ18" s="241"/>
      <c r="DK18" s="242"/>
      <c r="DL18" s="239"/>
      <c r="DM18" s="240" t="s">
        <v>14848</v>
      </c>
      <c r="DN18" s="239"/>
      <c r="DO18" s="240"/>
      <c r="DP18" s="239"/>
      <c r="DQ18" s="246"/>
      <c r="DR18" s="239"/>
      <c r="DS18" s="240"/>
      <c r="DT18" s="244"/>
      <c r="DU18" s="239"/>
      <c r="DV18" s="241"/>
      <c r="DW18" s="242"/>
      <c r="DX18" s="239"/>
      <c r="DY18" s="240"/>
      <c r="DZ18" s="239"/>
      <c r="EA18" s="240"/>
      <c r="EB18" s="247"/>
      <c r="EC18" s="242"/>
      <c r="ED18" s="239"/>
      <c r="EE18" s="240"/>
      <c r="EF18" s="239"/>
      <c r="EG18" s="240"/>
      <c r="EH18" s="247"/>
      <c r="EI18" s="242"/>
      <c r="EJ18" s="239"/>
      <c r="EK18" s="240"/>
      <c r="EL18" s="239"/>
      <c r="EM18" s="240"/>
      <c r="EN18" s="247"/>
      <c r="EO18" s="242"/>
      <c r="EP18" s="239"/>
      <c r="EQ18" s="240"/>
      <c r="ER18" s="239"/>
      <c r="ES18" s="240"/>
      <c r="ET18" s="247"/>
    </row>
    <row r="19" spans="1:150" ht="20.100000000000001" hidden="1" customHeight="1" outlineLevel="1">
      <c r="A19" s="1100"/>
      <c r="B19" s="2995"/>
      <c r="C19" s="2660" t="s">
        <v>10067</v>
      </c>
      <c r="D19" s="2686" t="str">
        <f>実績!C1339&amp;"("&amp;SUBSTITUTE(実績!R1339&amp;")","株式会社 ","")</f>
        <v>鴻池運輸(淺川組)</v>
      </c>
      <c r="E19" s="2687"/>
      <c r="F19" s="2687"/>
      <c r="G19" s="2687"/>
      <c r="H19" s="2687"/>
      <c r="I19" s="2687"/>
      <c r="J19" s="2687"/>
      <c r="K19" s="2687"/>
      <c r="L19" s="2687"/>
      <c r="M19" s="2687"/>
      <c r="N19" s="2687"/>
      <c r="O19" s="2687"/>
      <c r="P19" s="2687"/>
      <c r="Q19" s="2687"/>
      <c r="R19" s="1112" t="s">
        <v>1117</v>
      </c>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6"/>
      <c r="BJ19" s="63"/>
      <c r="BK19" s="64"/>
      <c r="BL19" s="63"/>
      <c r="BM19" s="64"/>
      <c r="BN19" s="65"/>
      <c r="BO19" s="66"/>
      <c r="BP19" s="63"/>
      <c r="BQ19" s="64"/>
      <c r="BR19" s="63"/>
      <c r="BS19" s="64"/>
      <c r="BT19" s="65"/>
      <c r="BU19" s="1113"/>
      <c r="BV19" s="63"/>
      <c r="BW19" s="64"/>
      <c r="BX19" s="1114"/>
      <c r="BY19" s="64"/>
      <c r="BZ19" s="65"/>
      <c r="CA19" s="66"/>
      <c r="CB19" s="63"/>
      <c r="CC19" s="64"/>
      <c r="CD19" s="1114"/>
      <c r="CE19" s="64"/>
      <c r="CF19" s="65"/>
      <c r="CG19" s="1113"/>
      <c r="CH19" s="63"/>
      <c r="CI19" s="64"/>
      <c r="CJ19" s="63"/>
      <c r="CK19" s="64"/>
      <c r="CL19" s="65"/>
      <c r="CM19" s="66"/>
      <c r="CN19" s="63"/>
      <c r="CO19" s="64"/>
      <c r="CP19" s="63"/>
      <c r="CQ19" s="64"/>
      <c r="CR19" s="1115"/>
      <c r="CS19" s="66"/>
      <c r="CT19" s="63"/>
      <c r="CU19" s="64"/>
      <c r="CV19" s="63"/>
      <c r="CW19" s="64"/>
      <c r="CX19" s="1115"/>
      <c r="CY19" s="66"/>
      <c r="CZ19" s="63"/>
      <c r="DA19" s="64"/>
      <c r="DB19" s="63"/>
      <c r="DC19" s="64"/>
      <c r="DD19" s="1115"/>
      <c r="DE19" s="66"/>
      <c r="DF19" s="63"/>
      <c r="DG19" s="64"/>
      <c r="DH19" s="63"/>
      <c r="DI19" s="64"/>
      <c r="DJ19" s="1115"/>
      <c r="DK19" s="1113"/>
      <c r="DL19" s="63"/>
      <c r="DM19" s="64"/>
      <c r="DN19" s="63"/>
      <c r="DO19" s="64"/>
      <c r="DP19" s="1121"/>
      <c r="DQ19" s="89"/>
      <c r="DR19" s="26"/>
      <c r="DS19" s="54"/>
      <c r="DT19" s="26"/>
      <c r="DU19" s="54"/>
      <c r="DV19" s="116"/>
      <c r="DW19" s="56"/>
      <c r="DX19" s="26"/>
      <c r="DY19" s="54"/>
      <c r="DZ19" s="26"/>
      <c r="EA19" s="54"/>
      <c r="EB19" s="116"/>
      <c r="EC19" s="56"/>
      <c r="ED19" s="26"/>
      <c r="EE19" s="54"/>
      <c r="EF19" s="26"/>
      <c r="EG19" s="54"/>
      <c r="EH19" s="116"/>
      <c r="EI19" s="56"/>
      <c r="EJ19" s="26"/>
      <c r="EK19" s="54"/>
      <c r="EL19" s="26" t="s">
        <v>8145</v>
      </c>
      <c r="EM19" s="54"/>
      <c r="EN19" s="116"/>
      <c r="EO19" s="56"/>
      <c r="EP19" s="26"/>
      <c r="EQ19" s="54"/>
      <c r="ER19" s="26"/>
      <c r="ES19" s="54"/>
      <c r="ET19" s="116"/>
    </row>
    <row r="20" spans="1:150" ht="20.100000000000001" hidden="1" customHeight="1" outlineLevel="1" thickBot="1">
      <c r="A20" s="1100"/>
      <c r="B20" s="2995"/>
      <c r="C20" s="2661"/>
      <c r="D20" s="2688"/>
      <c r="E20" s="2689"/>
      <c r="F20" s="2689"/>
      <c r="G20" s="2689"/>
      <c r="H20" s="2689"/>
      <c r="I20" s="2689"/>
      <c r="J20" s="2689"/>
      <c r="K20" s="2689"/>
      <c r="L20" s="2689"/>
      <c r="M20" s="2689"/>
      <c r="N20" s="2689"/>
      <c r="O20" s="2689"/>
      <c r="P20" s="2689"/>
      <c r="Q20" s="2689"/>
      <c r="R20" s="1122" t="s">
        <v>1116</v>
      </c>
      <c r="S20" s="58"/>
      <c r="T20" s="58"/>
      <c r="U20" s="59"/>
      <c r="V20" s="58"/>
      <c r="W20" s="59"/>
      <c r="X20" s="60"/>
      <c r="Y20" s="58"/>
      <c r="Z20" s="58"/>
      <c r="AA20" s="59"/>
      <c r="AB20" s="58"/>
      <c r="AC20" s="59"/>
      <c r="AD20" s="58"/>
      <c r="AE20" s="61"/>
      <c r="AF20" s="58"/>
      <c r="AG20" s="59"/>
      <c r="AH20" s="58"/>
      <c r="AI20" s="59"/>
      <c r="AJ20" s="60"/>
      <c r="AK20" s="58"/>
      <c r="AL20" s="58"/>
      <c r="AM20" s="59"/>
      <c r="AN20" s="58"/>
      <c r="AO20" s="59"/>
      <c r="AP20" s="58"/>
      <c r="AQ20" s="57"/>
      <c r="AR20" s="58"/>
      <c r="AS20" s="59"/>
      <c r="AT20" s="58"/>
      <c r="AU20" s="59"/>
      <c r="AV20" s="60"/>
      <c r="AW20" s="61"/>
      <c r="AX20" s="58"/>
      <c r="AY20" s="59"/>
      <c r="AZ20" s="58"/>
      <c r="BA20" s="59"/>
      <c r="BB20" s="60"/>
      <c r="BC20" s="58"/>
      <c r="BD20" s="58"/>
      <c r="BE20" s="59"/>
      <c r="BF20" s="58"/>
      <c r="BG20" s="59"/>
      <c r="BH20" s="58"/>
      <c r="BI20" s="61"/>
      <c r="BJ20" s="58"/>
      <c r="BK20" s="59"/>
      <c r="BL20" s="58"/>
      <c r="BM20" s="59"/>
      <c r="BN20" s="60"/>
      <c r="BO20" s="61"/>
      <c r="BP20" s="58"/>
      <c r="BQ20" s="59"/>
      <c r="BR20" s="107"/>
      <c r="BS20" s="59"/>
      <c r="BT20" s="60"/>
      <c r="BU20" s="61"/>
      <c r="BV20" s="58"/>
      <c r="BW20" s="59"/>
      <c r="BX20" s="58"/>
      <c r="BY20" s="59"/>
      <c r="BZ20" s="60"/>
      <c r="CA20" s="61"/>
      <c r="CB20" s="58"/>
      <c r="CC20" s="59"/>
      <c r="CD20" s="58"/>
      <c r="CE20" s="59"/>
      <c r="CF20" s="60"/>
      <c r="CG20" s="61"/>
      <c r="CH20" s="58"/>
      <c r="CI20" s="59"/>
      <c r="CJ20" s="58"/>
      <c r="CK20" s="59"/>
      <c r="CL20" s="60"/>
      <c r="CM20" s="61"/>
      <c r="CN20" s="58"/>
      <c r="CO20" s="59"/>
      <c r="CP20" s="119"/>
      <c r="CQ20" s="59"/>
      <c r="CR20" s="60"/>
      <c r="CS20" s="61"/>
      <c r="CT20" s="58"/>
      <c r="CU20" s="59"/>
      <c r="CV20" s="58"/>
      <c r="CW20" s="59"/>
      <c r="CX20" s="60"/>
      <c r="CY20" s="61"/>
      <c r="CZ20" s="58"/>
      <c r="DA20" s="59"/>
      <c r="DB20" s="58"/>
      <c r="DC20" s="59"/>
      <c r="DD20" s="60"/>
      <c r="DE20" s="61"/>
      <c r="DF20" s="58"/>
      <c r="DG20" s="59"/>
      <c r="DH20" s="58"/>
      <c r="DI20" s="59"/>
      <c r="DJ20" s="60"/>
      <c r="DK20" s="61"/>
      <c r="DL20" s="58"/>
      <c r="DM20" s="59"/>
      <c r="DN20" s="58"/>
      <c r="DO20" s="59"/>
      <c r="DP20" s="1123"/>
      <c r="DQ20" s="1124"/>
      <c r="DR20" s="105"/>
      <c r="DS20" s="1125"/>
      <c r="DT20" s="105"/>
      <c r="DU20" s="1125"/>
      <c r="DV20" s="1123"/>
      <c r="DW20" s="1124"/>
      <c r="DX20" s="105"/>
      <c r="DY20" s="1125"/>
      <c r="DZ20" s="105"/>
      <c r="EA20" s="1125"/>
      <c r="EB20" s="1123"/>
      <c r="EC20" s="1124"/>
      <c r="ED20" s="105"/>
      <c r="EE20" s="1125"/>
      <c r="EF20" s="105"/>
      <c r="EG20" s="1125"/>
      <c r="EH20" s="1126"/>
      <c r="EI20" s="1124"/>
      <c r="EJ20" s="105"/>
      <c r="EK20" s="1125"/>
      <c r="EL20" s="105"/>
      <c r="EM20" s="1125"/>
      <c r="EN20" s="1126"/>
      <c r="EO20" s="1124"/>
      <c r="EP20" s="105"/>
      <c r="EQ20" s="1125"/>
      <c r="ER20" s="105"/>
      <c r="ES20" s="1125"/>
      <c r="ET20" s="1126"/>
    </row>
    <row r="21" spans="1:150" ht="20.100000000000001" hidden="1" customHeight="1" outlineLevel="1" collapsed="1">
      <c r="A21" s="3031" t="s">
        <v>10545</v>
      </c>
      <c r="B21" s="3058"/>
      <c r="C21" s="1127"/>
      <c r="D21" s="3040" t="str">
        <f>実績!C1231</f>
        <v>エア・リキード北名古屋水素ステーション</v>
      </c>
      <c r="E21" s="3041"/>
      <c r="F21" s="3041"/>
      <c r="G21" s="3041"/>
      <c r="H21" s="3041"/>
      <c r="I21" s="3041"/>
      <c r="J21" s="3041"/>
      <c r="K21" s="3041"/>
      <c r="L21" s="3041"/>
      <c r="M21" s="3041"/>
      <c r="N21" s="3041"/>
      <c r="O21" s="3041"/>
      <c r="P21" s="3041"/>
      <c r="Q21" s="3041"/>
      <c r="R21" s="3042"/>
      <c r="S21" s="1128"/>
      <c r="T21" s="1128"/>
      <c r="U21" s="1128"/>
      <c r="V21" s="1128"/>
      <c r="W21" s="1128"/>
      <c r="X21" s="1128"/>
      <c r="Y21" s="1128"/>
      <c r="Z21" s="1128"/>
      <c r="AA21" s="1128"/>
      <c r="AB21" s="1128"/>
      <c r="AC21" s="1128"/>
      <c r="AD21" s="1128"/>
      <c r="AE21" s="1128"/>
      <c r="AF21" s="1128"/>
      <c r="AG21" s="1128"/>
      <c r="AH21" s="1128"/>
      <c r="AI21" s="1128"/>
      <c r="AJ21" s="1128"/>
      <c r="AK21" s="1128"/>
      <c r="AL21" s="1128"/>
      <c r="AM21" s="1128"/>
      <c r="AN21" s="1128"/>
      <c r="AO21" s="1128"/>
      <c r="AP21" s="1128"/>
      <c r="AQ21" s="1128"/>
      <c r="AR21" s="1128"/>
      <c r="AS21" s="1128"/>
      <c r="AT21" s="1128"/>
      <c r="AU21" s="1128"/>
      <c r="AV21" s="1128"/>
      <c r="AW21" s="1129"/>
      <c r="AX21" s="1128"/>
      <c r="AY21" s="1128"/>
      <c r="AZ21" s="1128"/>
      <c r="BA21" s="1128"/>
      <c r="BB21" s="1128"/>
      <c r="BC21" s="1128"/>
      <c r="BD21" s="1128"/>
      <c r="BE21" s="1128"/>
      <c r="BF21" s="1128"/>
      <c r="BG21" s="1128"/>
      <c r="BH21" s="1128"/>
      <c r="BI21" s="1130"/>
      <c r="BJ21" s="1128"/>
      <c r="BK21" s="1131"/>
      <c r="BL21" s="1128"/>
      <c r="BM21" s="1131"/>
      <c r="BN21" s="1132"/>
      <c r="BO21" s="1130"/>
      <c r="BP21" s="1133"/>
      <c r="BQ21" s="1131"/>
      <c r="BR21" s="1128"/>
      <c r="BS21" s="1131"/>
      <c r="BT21" s="1132"/>
      <c r="BU21" s="1130"/>
      <c r="BV21" s="1128"/>
      <c r="BW21" s="1131"/>
      <c r="BX21" s="1129"/>
      <c r="BY21" s="1134"/>
      <c r="BZ21" s="1132"/>
      <c r="CA21" s="1135"/>
      <c r="CB21" s="1128"/>
      <c r="CC21" s="1131"/>
      <c r="CD21" s="1128"/>
      <c r="CE21" s="1131"/>
      <c r="CF21" s="1132"/>
      <c r="CG21" s="1130"/>
      <c r="CH21" s="1128"/>
      <c r="CI21" s="1131"/>
      <c r="CJ21" s="1128"/>
      <c r="CK21" s="1131"/>
      <c r="CL21" s="1132"/>
      <c r="CM21" s="1130"/>
      <c r="CN21" s="1128"/>
      <c r="CO21" s="1131"/>
      <c r="CP21" s="1128"/>
      <c r="CQ21" s="1131"/>
      <c r="CR21" s="1136"/>
      <c r="CS21" s="1130"/>
      <c r="CT21" s="1128"/>
      <c r="CU21" s="1131"/>
      <c r="CV21" s="1128"/>
      <c r="CW21" s="1131"/>
      <c r="CX21" s="1136"/>
      <c r="CY21" s="1130"/>
      <c r="CZ21" s="1128"/>
      <c r="DA21" s="1131"/>
      <c r="DB21" s="1128"/>
      <c r="DC21" s="1134" t="s">
        <v>10993</v>
      </c>
      <c r="DD21" s="1136"/>
      <c r="DE21" s="1130"/>
      <c r="DF21" s="1128"/>
      <c r="DG21" s="1131"/>
      <c r="DH21" s="1128"/>
      <c r="DI21" s="1131"/>
      <c r="DJ21" s="1136"/>
      <c r="DK21" s="1130"/>
      <c r="DL21" s="1128"/>
      <c r="DM21" s="1131"/>
      <c r="DN21" s="1128"/>
      <c r="DO21" s="1131"/>
      <c r="DP21" s="1137"/>
      <c r="DQ21" s="1138"/>
      <c r="DR21" s="1128"/>
      <c r="DS21" s="1131"/>
      <c r="DT21" s="1128"/>
      <c r="DU21" s="1131"/>
      <c r="DV21" s="1136"/>
      <c r="DW21" s="1130"/>
      <c r="DX21" s="1128"/>
      <c r="DY21" s="1131"/>
      <c r="DZ21" s="1128"/>
      <c r="EA21" s="1131"/>
      <c r="EB21" s="1136"/>
      <c r="EC21" s="1130"/>
      <c r="ED21" s="1128"/>
      <c r="EE21" s="1131"/>
      <c r="EF21" s="1128"/>
      <c r="EG21" s="1131"/>
      <c r="EH21" s="1136"/>
      <c r="EI21" s="1130"/>
      <c r="EJ21" s="1128"/>
      <c r="EK21" s="1131"/>
      <c r="EL21" s="1128"/>
      <c r="EM21" s="1131"/>
      <c r="EN21" s="1136"/>
      <c r="EO21" s="1130"/>
      <c r="EP21" s="1128"/>
      <c r="EQ21" s="1131"/>
      <c r="ER21" s="1128"/>
      <c r="ES21" s="1131"/>
      <c r="ET21" s="1136"/>
    </row>
    <row r="22" spans="1:150" ht="20.100000000000001" customHeight="1" collapsed="1">
      <c r="A22" s="3038"/>
      <c r="B22" s="3043" t="s">
        <v>4855</v>
      </c>
      <c r="C22" s="3045" t="s">
        <v>15023</v>
      </c>
      <c r="D22" s="3047" t="str">
        <f>実績!C1292&amp;"("&amp;SUBSTITUTE(実績!AB1292&amp;")","株式会社 ","")</f>
        <v>ﾎﾟｰﾄｱｲﾗﾝﾄﾞﾃｸﾆｶﾙｾﾝﾀｰ 立体駐車場(カーダクレッセ)</v>
      </c>
      <c r="E22" s="3048"/>
      <c r="F22" s="3048"/>
      <c r="G22" s="3048"/>
      <c r="H22" s="3048"/>
      <c r="I22" s="3048"/>
      <c r="J22" s="3048"/>
      <c r="K22" s="3048"/>
      <c r="L22" s="3048"/>
      <c r="M22" s="3048"/>
      <c r="N22" s="3048"/>
      <c r="O22" s="3048"/>
      <c r="P22" s="3048"/>
      <c r="Q22" s="3049"/>
      <c r="R22" s="1139" t="s">
        <v>1117</v>
      </c>
      <c r="S22" s="1140"/>
      <c r="T22" s="1140"/>
      <c r="U22" s="1140"/>
      <c r="V22" s="1140"/>
      <c r="W22" s="1140"/>
      <c r="X22" s="1140"/>
      <c r="Y22" s="1140"/>
      <c r="Z22" s="1140"/>
      <c r="AA22" s="1140"/>
      <c r="AB22" s="1140"/>
      <c r="AC22" s="1140"/>
      <c r="AD22" s="1140"/>
      <c r="AE22" s="1140"/>
      <c r="AF22" s="1140"/>
      <c r="AG22" s="1140"/>
      <c r="AH22" s="1140"/>
      <c r="AI22" s="1140"/>
      <c r="AJ22" s="1140"/>
      <c r="AK22" s="1140"/>
      <c r="AL22" s="1140"/>
      <c r="AM22" s="1140"/>
      <c r="AN22" s="1140"/>
      <c r="AO22" s="1140"/>
      <c r="AP22" s="1140"/>
      <c r="AQ22" s="1140"/>
      <c r="AR22" s="1140"/>
      <c r="AS22" s="1140"/>
      <c r="AT22" s="1140"/>
      <c r="AU22" s="1140"/>
      <c r="AV22" s="1140"/>
      <c r="AW22" s="1140"/>
      <c r="AX22" s="1140"/>
      <c r="AY22" s="1140"/>
      <c r="AZ22" s="1140"/>
      <c r="BA22" s="1140"/>
      <c r="BB22" s="1140"/>
      <c r="BC22" s="1140"/>
      <c r="BD22" s="1140"/>
      <c r="BE22" s="1140"/>
      <c r="BF22" s="1140"/>
      <c r="BG22" s="1140"/>
      <c r="BH22" s="1140"/>
      <c r="BI22" s="1141"/>
      <c r="BJ22" s="1140"/>
      <c r="BK22" s="1142"/>
      <c r="BL22" s="1140"/>
      <c r="BM22" s="1142"/>
      <c r="BN22" s="1143"/>
      <c r="BO22" s="1141"/>
      <c r="BP22" s="1140"/>
      <c r="BQ22" s="1142"/>
      <c r="BR22" s="1140"/>
      <c r="BS22" s="1142"/>
      <c r="BT22" s="1143"/>
      <c r="BU22" s="1144"/>
      <c r="BV22" s="1140"/>
      <c r="BW22" s="1142"/>
      <c r="BX22" s="1145"/>
      <c r="BY22" s="1142"/>
      <c r="BZ22" s="1143"/>
      <c r="CA22" s="1141"/>
      <c r="CB22" s="1140"/>
      <c r="CC22" s="1142"/>
      <c r="CD22" s="1145"/>
      <c r="CE22" s="1142"/>
      <c r="CF22" s="1143"/>
      <c r="CG22" s="1144"/>
      <c r="CH22" s="1140"/>
      <c r="CI22" s="1142"/>
      <c r="CJ22" s="1140"/>
      <c r="CK22" s="1142"/>
      <c r="CL22" s="1143"/>
      <c r="CM22" s="1141"/>
      <c r="CN22" s="1140"/>
      <c r="CO22" s="1142"/>
      <c r="CP22" s="1140"/>
      <c r="CQ22" s="1142"/>
      <c r="CR22" s="1146"/>
      <c r="CS22" s="1141"/>
      <c r="CT22" s="1140"/>
      <c r="CU22" s="1142"/>
      <c r="CV22" s="1140"/>
      <c r="CW22" s="1142"/>
      <c r="CX22" s="1146"/>
      <c r="CY22" s="1141"/>
      <c r="CZ22" s="1140"/>
      <c r="DA22" s="1147" t="s">
        <v>12888</v>
      </c>
      <c r="DB22" s="1140"/>
      <c r="DC22" s="1142"/>
      <c r="DD22" s="1146"/>
      <c r="DE22" s="1141"/>
      <c r="DF22" s="1140"/>
      <c r="DG22" s="1142"/>
      <c r="DH22" s="1140"/>
      <c r="DI22" s="1148"/>
      <c r="DJ22" s="1146"/>
      <c r="DK22" s="1141" t="s">
        <v>14847</v>
      </c>
      <c r="DL22" s="1140"/>
      <c r="DM22" s="1148" t="s">
        <v>15171</v>
      </c>
      <c r="DN22" s="1140"/>
      <c r="DO22" s="1148"/>
      <c r="DP22" s="1140"/>
      <c r="DQ22" s="1149"/>
      <c r="DR22" s="25"/>
      <c r="DS22" s="71"/>
      <c r="DT22" s="1150" t="s">
        <v>15170</v>
      </c>
      <c r="DU22" s="25"/>
      <c r="DV22" s="106"/>
      <c r="DW22" s="1141"/>
      <c r="DX22" s="1140"/>
      <c r="DY22" s="1142"/>
      <c r="DZ22" s="63" t="s">
        <v>12888</v>
      </c>
      <c r="EA22" s="1142"/>
      <c r="EB22" s="1146"/>
      <c r="EC22" s="1141"/>
      <c r="ED22" s="1140"/>
      <c r="EE22" s="1142"/>
      <c r="EF22" s="1145"/>
      <c r="EG22" s="1142"/>
      <c r="EH22" s="1146"/>
      <c r="EI22" s="1144"/>
      <c r="EJ22" s="1140"/>
      <c r="EK22" s="1142"/>
      <c r="EL22" s="1140"/>
      <c r="EM22" s="1142"/>
      <c r="EN22" s="1146"/>
      <c r="EO22" s="1141"/>
      <c r="EP22" s="1140"/>
      <c r="EQ22" s="1142"/>
      <c r="ER22" s="1140"/>
      <c r="ES22" s="1142"/>
      <c r="ET22" s="1146" t="s">
        <v>15169</v>
      </c>
    </row>
    <row r="23" spans="1:150" ht="20.100000000000001" customHeight="1">
      <c r="A23" s="3038"/>
      <c r="B23" s="3028"/>
      <c r="C23" s="3046"/>
      <c r="D23" s="3035"/>
      <c r="E23" s="3050"/>
      <c r="F23" s="3050"/>
      <c r="G23" s="3050"/>
      <c r="H23" s="3050"/>
      <c r="I23" s="3050"/>
      <c r="J23" s="3050"/>
      <c r="K23" s="3050"/>
      <c r="L23" s="3050"/>
      <c r="M23" s="3050"/>
      <c r="N23" s="3050"/>
      <c r="O23" s="3050"/>
      <c r="P23" s="3050"/>
      <c r="Q23" s="3051"/>
      <c r="R23" s="1151" t="s">
        <v>1116</v>
      </c>
      <c r="S23" s="63"/>
      <c r="T23" s="63"/>
      <c r="U23" s="64"/>
      <c r="V23" s="63"/>
      <c r="W23" s="64"/>
      <c r="X23" s="65"/>
      <c r="Y23" s="63"/>
      <c r="Z23" s="63"/>
      <c r="AA23" s="64"/>
      <c r="AB23" s="63"/>
      <c r="AC23" s="64"/>
      <c r="AD23" s="63"/>
      <c r="AE23" s="66"/>
      <c r="AF23" s="63"/>
      <c r="AG23" s="64"/>
      <c r="AH23" s="63"/>
      <c r="AI23" s="64"/>
      <c r="AJ23" s="65"/>
      <c r="AK23" s="63"/>
      <c r="AL23" s="63"/>
      <c r="AM23" s="64"/>
      <c r="AN23" s="63"/>
      <c r="AO23" s="64"/>
      <c r="AP23" s="63"/>
      <c r="AQ23" s="62"/>
      <c r="AR23" s="63"/>
      <c r="AS23" s="64"/>
      <c r="AT23" s="63"/>
      <c r="AU23" s="64"/>
      <c r="AV23" s="65"/>
      <c r="AW23" s="66"/>
      <c r="AX23" s="63"/>
      <c r="AY23" s="64"/>
      <c r="AZ23" s="63"/>
      <c r="BA23" s="64"/>
      <c r="BB23" s="65"/>
      <c r="BC23" s="63"/>
      <c r="BD23" s="63"/>
      <c r="BE23" s="64"/>
      <c r="BF23" s="63"/>
      <c r="BG23" s="64"/>
      <c r="BH23" s="63"/>
      <c r="BI23" s="66"/>
      <c r="BJ23" s="63"/>
      <c r="BK23" s="64"/>
      <c r="BL23" s="63"/>
      <c r="BM23" s="64"/>
      <c r="BN23" s="65"/>
      <c r="BO23" s="66"/>
      <c r="BP23" s="63"/>
      <c r="BQ23" s="64"/>
      <c r="BR23" s="69"/>
      <c r="BS23" s="64"/>
      <c r="BT23" s="65"/>
      <c r="BU23" s="66"/>
      <c r="BV23" s="63"/>
      <c r="BW23" s="64"/>
      <c r="BX23" s="63"/>
      <c r="BY23" s="64"/>
      <c r="BZ23" s="65"/>
      <c r="CA23" s="66"/>
      <c r="CB23" s="63"/>
      <c r="CC23" s="64"/>
      <c r="CD23" s="63"/>
      <c r="CE23" s="64"/>
      <c r="CF23" s="65"/>
      <c r="CG23" s="66"/>
      <c r="CH23" s="63"/>
      <c r="CI23" s="64"/>
      <c r="CJ23" s="63"/>
      <c r="CK23" s="64"/>
      <c r="CL23" s="65"/>
      <c r="CM23" s="66"/>
      <c r="CN23" s="69"/>
      <c r="CO23" s="64"/>
      <c r="CP23" s="1152"/>
      <c r="CQ23" s="64"/>
      <c r="CR23" s="65"/>
      <c r="CS23" s="66"/>
      <c r="CT23" s="63"/>
      <c r="CU23" s="64"/>
      <c r="CV23" s="63"/>
      <c r="CW23" s="64"/>
      <c r="CX23" s="65"/>
      <c r="CY23" s="66"/>
      <c r="CZ23" s="63"/>
      <c r="DA23" s="64" t="s">
        <v>10844</v>
      </c>
      <c r="DB23" s="63"/>
      <c r="DC23" s="64"/>
      <c r="DD23" s="65"/>
      <c r="DE23" s="66"/>
      <c r="DF23" s="63"/>
      <c r="DG23" s="64"/>
      <c r="DH23" s="63"/>
      <c r="DI23" s="64"/>
      <c r="DJ23" s="65"/>
      <c r="DK23" s="1153"/>
      <c r="DL23" s="63"/>
      <c r="DM23" s="64"/>
      <c r="DN23" s="63"/>
      <c r="DO23" s="64"/>
      <c r="DP23" s="63"/>
      <c r="DQ23" s="204"/>
      <c r="DR23" s="26"/>
      <c r="DS23" s="54"/>
      <c r="DT23" s="70"/>
      <c r="DU23" s="26"/>
      <c r="DV23" s="55"/>
      <c r="DW23" s="66"/>
      <c r="DX23" s="63"/>
      <c r="DY23" s="64"/>
      <c r="DZ23" s="63" t="s">
        <v>12888</v>
      </c>
      <c r="EA23" s="64"/>
      <c r="EB23" s="1115"/>
      <c r="EC23" s="66"/>
      <c r="ED23" s="63"/>
      <c r="EE23" s="64"/>
      <c r="EF23" s="63"/>
      <c r="EG23" s="64"/>
      <c r="EH23" s="1115"/>
      <c r="EI23" s="66"/>
      <c r="EJ23" s="63"/>
      <c r="EK23" s="64"/>
      <c r="EL23" s="63"/>
      <c r="EM23" s="64"/>
      <c r="EN23" s="1115"/>
      <c r="EO23" s="66"/>
      <c r="EP23" s="63"/>
      <c r="EQ23" s="64"/>
      <c r="ER23" s="63"/>
      <c r="ES23" s="64"/>
      <c r="ET23" s="1115"/>
    </row>
    <row r="24" spans="1:150" ht="20.100000000000001" customHeight="1" thickBot="1">
      <c r="A24" s="3032"/>
      <c r="B24" s="3028"/>
      <c r="C24" s="3052" t="s">
        <v>15226</v>
      </c>
      <c r="D24" s="3054" t="str">
        <f>実績!C1281</f>
        <v>千葉北水素ステーション</v>
      </c>
      <c r="E24" s="3055"/>
      <c r="F24" s="3055"/>
      <c r="G24" s="3055"/>
      <c r="H24" s="3055"/>
      <c r="I24" s="3055"/>
      <c r="J24" s="3055"/>
      <c r="K24" s="3055"/>
      <c r="L24" s="3055"/>
      <c r="M24" s="3055"/>
      <c r="N24" s="3055"/>
      <c r="O24" s="3055"/>
      <c r="P24" s="3055"/>
      <c r="Q24" s="3055"/>
      <c r="R24" s="1139" t="s">
        <v>1117</v>
      </c>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73"/>
      <c r="BJ24" s="25"/>
      <c r="BK24" s="71"/>
      <c r="BL24" s="25"/>
      <c r="BM24" s="71"/>
      <c r="BN24" s="72"/>
      <c r="BO24" s="73"/>
      <c r="BP24" s="25"/>
      <c r="BQ24" s="71"/>
      <c r="BR24" s="25"/>
      <c r="BS24" s="71"/>
      <c r="BT24" s="72"/>
      <c r="BU24" s="121"/>
      <c r="BV24" s="25"/>
      <c r="BW24" s="71"/>
      <c r="BX24" s="122"/>
      <c r="BY24" s="71"/>
      <c r="BZ24" s="72"/>
      <c r="CA24" s="73"/>
      <c r="CB24" s="25"/>
      <c r="CC24" s="71"/>
      <c r="CD24" s="122"/>
      <c r="CE24" s="71"/>
      <c r="CF24" s="72"/>
      <c r="CG24" s="121"/>
      <c r="CH24" s="25"/>
      <c r="CI24" s="71"/>
      <c r="CJ24" s="25"/>
      <c r="CK24" s="71"/>
      <c r="CL24" s="72"/>
      <c r="CM24" s="73"/>
      <c r="CN24" s="25"/>
      <c r="CO24" s="71"/>
      <c r="CP24" s="25"/>
      <c r="CQ24" s="71"/>
      <c r="CR24" s="106"/>
      <c r="CS24" s="73"/>
      <c r="CT24" s="25"/>
      <c r="CU24" s="71"/>
      <c r="CV24" s="25"/>
      <c r="CW24" s="71"/>
      <c r="CX24" s="106"/>
      <c r="CY24" s="121" t="s">
        <v>8575</v>
      </c>
      <c r="CZ24" s="25"/>
      <c r="DA24" s="71"/>
      <c r="DB24" s="25"/>
      <c r="DC24" s="71"/>
      <c r="DD24" s="106"/>
      <c r="DE24" s="73"/>
      <c r="DF24" s="25"/>
      <c r="DG24" s="71"/>
      <c r="DH24" s="25"/>
      <c r="DI24" s="71"/>
      <c r="DJ24" s="106"/>
      <c r="DK24" s="1144" t="s">
        <v>8250</v>
      </c>
      <c r="DL24" s="25"/>
      <c r="DM24" s="71"/>
      <c r="DN24" s="25"/>
      <c r="DO24" s="71"/>
      <c r="DP24" s="25"/>
      <c r="DQ24" s="1154"/>
      <c r="DR24" s="25"/>
      <c r="DS24" s="71"/>
      <c r="DT24" s="25"/>
      <c r="DU24" s="71"/>
      <c r="DV24" s="1155"/>
      <c r="DW24" s="73"/>
      <c r="DX24" s="25"/>
      <c r="DY24" s="71"/>
      <c r="DZ24" s="25"/>
      <c r="EA24" s="71"/>
      <c r="EB24" s="106"/>
      <c r="EC24" s="73"/>
      <c r="ED24" s="25"/>
      <c r="EE24" s="71"/>
      <c r="EF24" s="25"/>
      <c r="EG24" s="71"/>
      <c r="EH24" s="106"/>
      <c r="EI24" s="121" t="s">
        <v>8145</v>
      </c>
      <c r="EJ24" s="25"/>
      <c r="EK24" s="71"/>
      <c r="EL24" s="25"/>
      <c r="EM24" s="71"/>
      <c r="EN24" s="106"/>
      <c r="EO24" s="73"/>
      <c r="EP24" s="25"/>
      <c r="EQ24" s="71"/>
      <c r="ER24" s="25"/>
      <c r="ES24" s="71"/>
      <c r="ET24" s="106" t="s">
        <v>15434</v>
      </c>
    </row>
    <row r="25" spans="1:150" ht="20.100000000000001" hidden="1" customHeight="1">
      <c r="A25" s="641"/>
      <c r="B25" s="3044"/>
      <c r="C25" s="3053"/>
      <c r="D25" s="2983"/>
      <c r="E25" s="2984"/>
      <c r="F25" s="2984"/>
      <c r="G25" s="2984"/>
      <c r="H25" s="2984"/>
      <c r="I25" s="2984"/>
      <c r="J25" s="2984"/>
      <c r="K25" s="2984"/>
      <c r="L25" s="2984"/>
      <c r="M25" s="2984"/>
      <c r="N25" s="2984"/>
      <c r="O25" s="2984"/>
      <c r="P25" s="2984"/>
      <c r="Q25" s="2984"/>
      <c r="R25" s="1122" t="s">
        <v>1116</v>
      </c>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61"/>
      <c r="BJ25" s="58"/>
      <c r="BK25" s="59"/>
      <c r="BL25" s="58"/>
      <c r="BM25" s="59"/>
      <c r="BN25" s="60"/>
      <c r="BO25" s="61"/>
      <c r="BP25" s="58"/>
      <c r="BQ25" s="59"/>
      <c r="BR25" s="58"/>
      <c r="BS25" s="59"/>
      <c r="BT25" s="60"/>
      <c r="BU25" s="284"/>
      <c r="BV25" s="58"/>
      <c r="BW25" s="59"/>
      <c r="BX25" s="285"/>
      <c r="BY25" s="59"/>
      <c r="BZ25" s="60"/>
      <c r="CA25" s="61"/>
      <c r="CB25" s="58"/>
      <c r="CC25" s="59"/>
      <c r="CD25" s="285"/>
      <c r="CE25" s="59"/>
      <c r="CF25" s="60"/>
      <c r="CG25" s="284"/>
      <c r="CH25" s="58"/>
      <c r="CI25" s="59"/>
      <c r="CJ25" s="58"/>
      <c r="CK25" s="59"/>
      <c r="CL25" s="60"/>
      <c r="CM25" s="61"/>
      <c r="CN25" s="58"/>
      <c r="CO25" s="59"/>
      <c r="CP25" s="58"/>
      <c r="CQ25" s="59"/>
      <c r="CR25" s="286"/>
      <c r="CS25" s="61"/>
      <c r="CT25" s="58"/>
      <c r="CU25" s="59"/>
      <c r="CV25" s="58"/>
      <c r="CW25" s="59"/>
      <c r="CX25" s="286"/>
      <c r="CY25" s="61"/>
      <c r="CZ25" s="58"/>
      <c r="DA25" s="59"/>
      <c r="DB25" s="58"/>
      <c r="DC25" s="59"/>
      <c r="DD25" s="286"/>
      <c r="DE25" s="61"/>
      <c r="DF25" s="58"/>
      <c r="DG25" s="59"/>
      <c r="DH25" s="58"/>
      <c r="DI25" s="59"/>
      <c r="DJ25" s="286"/>
      <c r="DK25" s="1156"/>
      <c r="DL25" s="58"/>
      <c r="DM25" s="59"/>
      <c r="DN25" s="58"/>
      <c r="DO25" s="59"/>
      <c r="DP25" s="58"/>
      <c r="DQ25" s="1157"/>
      <c r="DR25" s="105"/>
      <c r="DS25" s="59"/>
      <c r="DT25" s="107"/>
      <c r="DU25" s="105"/>
      <c r="DV25" s="1123"/>
      <c r="DW25" s="61"/>
      <c r="DX25" s="58"/>
      <c r="DY25" s="59"/>
      <c r="DZ25" s="58"/>
      <c r="EA25" s="59"/>
      <c r="EB25" s="286"/>
      <c r="EC25" s="61"/>
      <c r="ED25" s="58"/>
      <c r="EE25" s="59"/>
      <c r="EF25" s="58"/>
      <c r="EG25" s="59"/>
      <c r="EH25" s="286"/>
      <c r="EI25" s="61"/>
      <c r="EJ25" s="58"/>
      <c r="EK25" s="59"/>
      <c r="EL25" s="58"/>
      <c r="EM25" s="59"/>
      <c r="EN25" s="286"/>
      <c r="EO25" s="61"/>
      <c r="EP25" s="58"/>
      <c r="EQ25" s="59"/>
      <c r="ER25" s="58"/>
      <c r="ES25" s="59"/>
      <c r="ET25" s="286"/>
    </row>
    <row r="26" spans="1:150" ht="20.100000000000001" hidden="1" customHeight="1" outlineLevel="1">
      <c r="A26" s="3031" t="s">
        <v>10763</v>
      </c>
      <c r="B26" s="1158" t="s">
        <v>8736</v>
      </c>
      <c r="C26" s="1159"/>
      <c r="D26" s="3009" t="s">
        <v>8142</v>
      </c>
      <c r="E26" s="3029"/>
      <c r="F26" s="3029"/>
      <c r="G26" s="3029"/>
      <c r="H26" s="3029"/>
      <c r="I26" s="3029"/>
      <c r="J26" s="3029"/>
      <c r="K26" s="3029"/>
      <c r="L26" s="3029"/>
      <c r="M26" s="3029"/>
      <c r="N26" s="3029"/>
      <c r="O26" s="3029"/>
      <c r="P26" s="3029"/>
      <c r="Q26" s="3029"/>
      <c r="R26" s="1160"/>
      <c r="S26" s="1101"/>
      <c r="T26" s="1101"/>
      <c r="U26" s="1102"/>
      <c r="V26" s="1101"/>
      <c r="W26" s="1102"/>
      <c r="X26" s="1103"/>
      <c r="Y26" s="1101"/>
      <c r="Z26" s="1101"/>
      <c r="AA26" s="1102"/>
      <c r="AB26" s="1101"/>
      <c r="AC26" s="1102"/>
      <c r="AD26" s="1101"/>
      <c r="AE26" s="1104"/>
      <c r="AF26" s="1101"/>
      <c r="AG26" s="1102"/>
      <c r="AH26" s="1101"/>
      <c r="AI26" s="1102"/>
      <c r="AJ26" s="1103"/>
      <c r="AK26" s="1101"/>
      <c r="AL26" s="1101"/>
      <c r="AM26" s="1102"/>
      <c r="AN26" s="1101"/>
      <c r="AO26" s="1102"/>
      <c r="AP26" s="1101"/>
      <c r="AQ26" s="1105"/>
      <c r="AR26" s="1101"/>
      <c r="AS26" s="1102"/>
      <c r="AT26" s="1101"/>
      <c r="AU26" s="1102"/>
      <c r="AV26" s="1103"/>
      <c r="AW26" s="1161"/>
      <c r="AX26" s="1101"/>
      <c r="AY26" s="1102"/>
      <c r="AZ26" s="1101"/>
      <c r="BA26" s="1102"/>
      <c r="BB26" s="1103"/>
      <c r="BC26" s="1101"/>
      <c r="BD26" s="1101"/>
      <c r="BE26" s="1102"/>
      <c r="BF26" s="1101"/>
      <c r="BG26" s="1102"/>
      <c r="BH26" s="1101"/>
      <c r="BI26" s="1104"/>
      <c r="BJ26" s="1101"/>
      <c r="BK26" s="1102"/>
      <c r="BL26" s="1101"/>
      <c r="BM26" s="1102"/>
      <c r="BN26" s="1103"/>
      <c r="BO26" s="1104"/>
      <c r="BP26" s="1101"/>
      <c r="BQ26" s="1102"/>
      <c r="BR26" s="1101"/>
      <c r="BS26" s="1102"/>
      <c r="BT26" s="1103"/>
      <c r="BU26" s="1104"/>
      <c r="BV26" s="1101"/>
      <c r="BW26" s="1102"/>
      <c r="BX26" s="1101"/>
      <c r="BY26" s="1102"/>
      <c r="BZ26" s="1103"/>
      <c r="CA26" s="1104"/>
      <c r="CB26" s="1101"/>
      <c r="CC26" s="1102"/>
      <c r="CD26" s="1101"/>
      <c r="CE26" s="1102"/>
      <c r="CF26" s="1103"/>
      <c r="CG26" s="1104"/>
      <c r="CH26" s="1101"/>
      <c r="CI26" s="1102"/>
      <c r="CJ26" s="1101"/>
      <c r="CK26" s="1102"/>
      <c r="CL26" s="1103"/>
      <c r="CM26" s="1104"/>
      <c r="CN26" s="1101"/>
      <c r="CO26" s="1102"/>
      <c r="CP26" s="1101"/>
      <c r="CQ26" s="1102"/>
      <c r="CR26" s="1103"/>
      <c r="CS26" s="1104"/>
      <c r="CT26" s="1101"/>
      <c r="CU26" s="1102"/>
      <c r="CV26" s="1101"/>
      <c r="CW26" s="1102"/>
      <c r="CX26" s="1103"/>
      <c r="CY26" s="1104"/>
      <c r="CZ26" s="1101"/>
      <c r="DA26" s="1102"/>
      <c r="DB26" s="1101"/>
      <c r="DC26" s="1102"/>
      <c r="DD26" s="1103"/>
      <c r="DE26" s="1104"/>
      <c r="DF26" s="1101"/>
      <c r="DG26" s="1102"/>
      <c r="DH26" s="1101"/>
      <c r="DI26" s="1102"/>
      <c r="DJ26" s="1103"/>
      <c r="DK26" s="1104"/>
      <c r="DL26" s="1101"/>
      <c r="DM26" s="1102"/>
      <c r="DN26" s="1101"/>
      <c r="DO26" s="1102"/>
      <c r="DP26" s="1101"/>
      <c r="DQ26" s="1162"/>
      <c r="DR26" s="1101"/>
      <c r="DS26" s="1102"/>
      <c r="DT26" s="1106"/>
      <c r="DU26" s="1101"/>
      <c r="DV26" s="1103"/>
      <c r="DW26" s="1104"/>
      <c r="DX26" s="1101"/>
      <c r="DY26" s="1102"/>
      <c r="DZ26" s="1101"/>
      <c r="EA26" s="1102"/>
      <c r="EB26" s="1103"/>
      <c r="EC26" s="1104"/>
      <c r="ED26" s="1101"/>
      <c r="EE26" s="1102"/>
      <c r="EF26" s="1101"/>
      <c r="EG26" s="1102"/>
      <c r="EH26" s="1102"/>
      <c r="EI26" s="1104"/>
      <c r="EJ26" s="1101"/>
      <c r="EK26" s="1102"/>
      <c r="EL26" s="1101"/>
      <c r="EM26" s="1102"/>
      <c r="EN26" s="1103"/>
      <c r="EO26" s="1104"/>
      <c r="EP26" s="1101"/>
      <c r="EQ26" s="1102"/>
      <c r="ER26" s="1101"/>
      <c r="ES26" s="1102"/>
      <c r="ET26" s="1102"/>
    </row>
    <row r="27" spans="1:150" ht="20.100000000000001" hidden="1" customHeight="1" outlineLevel="1">
      <c r="A27" s="3038"/>
      <c r="B27" s="1163"/>
      <c r="C27" s="179"/>
      <c r="D27" s="2726" t="str">
        <f>実績!C1145&amp;"("&amp;SUBSTITUTE(実績!R1145&amp;")","株式会社 ","")</f>
        <v>ナルス直江津東(万代設計)</v>
      </c>
      <c r="E27" s="2878"/>
      <c r="F27" s="2878"/>
      <c r="G27" s="2878"/>
      <c r="H27" s="2878"/>
      <c r="I27" s="2878"/>
      <c r="J27" s="2878"/>
      <c r="K27" s="2878"/>
      <c r="L27" s="2878"/>
      <c r="M27" s="2878"/>
      <c r="N27" s="2878"/>
      <c r="O27" s="2878"/>
      <c r="P27" s="2878"/>
      <c r="Q27" s="2878"/>
      <c r="R27" s="1096"/>
      <c r="S27" s="26"/>
      <c r="T27" s="26"/>
      <c r="U27" s="54"/>
      <c r="V27" s="26"/>
      <c r="W27" s="54"/>
      <c r="X27" s="55"/>
      <c r="Y27" s="26"/>
      <c r="Z27" s="26"/>
      <c r="AA27" s="54"/>
      <c r="AB27" s="26"/>
      <c r="AC27" s="54"/>
      <c r="AD27" s="26"/>
      <c r="AE27" s="1164" t="s">
        <v>8331</v>
      </c>
      <c r="AF27" s="26"/>
      <c r="AG27" s="54" t="s">
        <v>8250</v>
      </c>
      <c r="AH27" s="26"/>
      <c r="AI27" s="54"/>
      <c r="AJ27" s="55"/>
      <c r="AK27" s="26"/>
      <c r="AL27" s="26"/>
      <c r="AM27" s="54"/>
      <c r="AN27" s="26"/>
      <c r="AO27" s="54"/>
      <c r="AP27" s="26"/>
      <c r="AQ27" s="53"/>
      <c r="AR27" s="70"/>
      <c r="AS27" s="54"/>
      <c r="AT27" s="26"/>
      <c r="AU27" s="54"/>
      <c r="AV27" s="55"/>
      <c r="AW27" s="1164" t="s">
        <v>8145</v>
      </c>
      <c r="AX27" s="26"/>
      <c r="AY27" s="54"/>
      <c r="AZ27" s="26"/>
      <c r="BA27" s="54"/>
      <c r="BB27" s="55"/>
      <c r="BC27" s="26"/>
      <c r="BD27" s="26"/>
      <c r="BE27" s="54"/>
      <c r="BF27" s="26"/>
      <c r="BG27" s="54"/>
      <c r="BH27" s="26"/>
      <c r="BI27" s="56"/>
      <c r="BJ27" s="26"/>
      <c r="BK27" s="54"/>
      <c r="BL27" s="26"/>
      <c r="BM27" s="54"/>
      <c r="BN27" s="55"/>
      <c r="BO27" s="56"/>
      <c r="BP27" s="26"/>
      <c r="BQ27" s="54"/>
      <c r="BR27" s="26"/>
      <c r="BS27" s="54"/>
      <c r="BT27" s="55"/>
      <c r="BU27" s="56"/>
      <c r="BV27" s="26"/>
      <c r="BW27" s="54"/>
      <c r="BX27" s="26"/>
      <c r="BY27" s="54"/>
      <c r="BZ27" s="55"/>
      <c r="CA27" s="56"/>
      <c r="CB27" s="26"/>
      <c r="CC27" s="54"/>
      <c r="CD27" s="26"/>
      <c r="CE27" s="54"/>
      <c r="CF27" s="55"/>
      <c r="CG27" s="56"/>
      <c r="CH27" s="26"/>
      <c r="CI27" s="54"/>
      <c r="CJ27" s="26"/>
      <c r="CK27" s="54"/>
      <c r="CL27" s="55"/>
      <c r="CM27" s="56"/>
      <c r="CN27" s="26"/>
      <c r="CO27" s="54"/>
      <c r="CP27" s="26"/>
      <c r="CQ27" s="54"/>
      <c r="CR27" s="55"/>
      <c r="CS27" s="56"/>
      <c r="CT27" s="26"/>
      <c r="CU27" s="54"/>
      <c r="CV27" s="26"/>
      <c r="CW27" s="54"/>
      <c r="CX27" s="55"/>
      <c r="CY27" s="56"/>
      <c r="CZ27" s="26"/>
      <c r="DA27" s="54"/>
      <c r="DB27" s="26"/>
      <c r="DC27" s="54"/>
      <c r="DD27" s="55"/>
      <c r="DE27" s="56"/>
      <c r="DF27" s="26"/>
      <c r="DG27" s="54"/>
      <c r="DH27" s="26"/>
      <c r="DI27" s="54"/>
      <c r="DJ27" s="55"/>
      <c r="DK27" s="56"/>
      <c r="DL27" s="26"/>
      <c r="DM27" s="54"/>
      <c r="DN27" s="26"/>
      <c r="DO27" s="54"/>
      <c r="DP27" s="26"/>
      <c r="DQ27" s="89"/>
      <c r="DR27" s="26"/>
      <c r="DS27" s="54"/>
      <c r="DT27" s="70"/>
      <c r="DU27" s="26"/>
      <c r="DV27" s="55"/>
      <c r="DW27" s="56"/>
      <c r="DX27" s="26"/>
      <c r="DY27" s="54"/>
      <c r="DZ27" s="26"/>
      <c r="EA27" s="54"/>
      <c r="EB27" s="55"/>
      <c r="EC27" s="56"/>
      <c r="ED27" s="26"/>
      <c r="EE27" s="54"/>
      <c r="EF27" s="26"/>
      <c r="EG27" s="54"/>
      <c r="EH27" s="54"/>
      <c r="EI27" s="56"/>
      <c r="EJ27" s="26"/>
      <c r="EK27" s="54"/>
      <c r="EL27" s="26"/>
      <c r="EM27" s="54"/>
      <c r="EN27" s="55"/>
      <c r="EO27" s="56"/>
      <c r="EP27" s="26"/>
      <c r="EQ27" s="54"/>
      <c r="ER27" s="26"/>
      <c r="ES27" s="54"/>
      <c r="ET27" s="54"/>
    </row>
    <row r="28" spans="1:150" ht="20.100000000000001" hidden="1" customHeight="1" outlineLevel="1">
      <c r="A28" s="3038"/>
      <c r="B28" s="1163"/>
      <c r="C28" s="179"/>
      <c r="D28" s="2726" t="str">
        <f>実績!C1112&amp;"("&amp;SUBSTITUTE(実績!AB1112&amp;")","株式会社 ","")</f>
        <v>MINI北大阪(カーダクレッセ)</v>
      </c>
      <c r="E28" s="2878"/>
      <c r="F28" s="2878"/>
      <c r="G28" s="2878"/>
      <c r="H28" s="2878"/>
      <c r="I28" s="2878"/>
      <c r="J28" s="2878"/>
      <c r="K28" s="2878"/>
      <c r="L28" s="2878"/>
      <c r="M28" s="2878"/>
      <c r="N28" s="2878"/>
      <c r="O28" s="2878"/>
      <c r="P28" s="2878"/>
      <c r="Q28" s="2878"/>
      <c r="R28" s="1096"/>
      <c r="S28" s="26"/>
      <c r="T28" s="26"/>
      <c r="U28" s="54"/>
      <c r="V28" s="26"/>
      <c r="W28" s="54"/>
      <c r="X28" s="55"/>
      <c r="Y28" s="26"/>
      <c r="Z28" s="26"/>
      <c r="AA28" s="54"/>
      <c r="AB28" s="26"/>
      <c r="AC28" s="26" t="s">
        <v>8330</v>
      </c>
      <c r="AD28" s="26"/>
      <c r="AE28" s="1164"/>
      <c r="AF28" s="26"/>
      <c r="AG28" s="54"/>
      <c r="AH28" s="26"/>
      <c r="AI28" s="54" t="s">
        <v>8250</v>
      </c>
      <c r="AJ28" s="55"/>
      <c r="AK28" s="26"/>
      <c r="AL28" s="26"/>
      <c r="AM28" s="54"/>
      <c r="AN28" s="26"/>
      <c r="AO28" s="54"/>
      <c r="AP28" s="26"/>
      <c r="AQ28" s="53" t="s">
        <v>8145</v>
      </c>
      <c r="AR28" s="26"/>
      <c r="AS28" s="54"/>
      <c r="AT28" s="26"/>
      <c r="AU28" s="54"/>
      <c r="AV28" s="55"/>
      <c r="AW28" s="1164"/>
      <c r="AX28" s="26"/>
      <c r="AY28" s="54"/>
      <c r="AZ28" s="26"/>
      <c r="BA28" s="54"/>
      <c r="BB28" s="55"/>
      <c r="BC28" s="26"/>
      <c r="BD28" s="26"/>
      <c r="BE28" s="54"/>
      <c r="BF28" s="26"/>
      <c r="BG28" s="54"/>
      <c r="BH28" s="26"/>
      <c r="BI28" s="56"/>
      <c r="BJ28" s="26"/>
      <c r="BK28" s="54"/>
      <c r="BL28" s="26"/>
      <c r="BM28" s="54"/>
      <c r="BN28" s="55"/>
      <c r="BO28" s="56"/>
      <c r="BP28" s="26"/>
      <c r="BQ28" s="54"/>
      <c r="BR28" s="26"/>
      <c r="BS28" s="54"/>
      <c r="BT28" s="55"/>
      <c r="BU28" s="56"/>
      <c r="BV28" s="26"/>
      <c r="BW28" s="54"/>
      <c r="BX28" s="26"/>
      <c r="BY28" s="54"/>
      <c r="BZ28" s="55"/>
      <c r="CA28" s="56"/>
      <c r="CB28" s="26"/>
      <c r="CC28" s="54"/>
      <c r="CD28" s="26"/>
      <c r="CE28" s="54"/>
      <c r="CF28" s="55"/>
      <c r="CG28" s="56"/>
      <c r="CH28" s="26"/>
      <c r="CI28" s="54"/>
      <c r="CJ28" s="26"/>
      <c r="CK28" s="54"/>
      <c r="CL28" s="55"/>
      <c r="CM28" s="56"/>
      <c r="CN28" s="26"/>
      <c r="CO28" s="54"/>
      <c r="CP28" s="26"/>
      <c r="CQ28" s="54"/>
      <c r="CR28" s="55"/>
      <c r="CS28" s="56"/>
      <c r="CT28" s="26"/>
      <c r="CU28" s="54"/>
      <c r="CV28" s="26"/>
      <c r="CW28" s="54"/>
      <c r="CX28" s="55"/>
      <c r="CY28" s="56"/>
      <c r="CZ28" s="26"/>
      <c r="DA28" s="54"/>
      <c r="DB28" s="26"/>
      <c r="DC28" s="54"/>
      <c r="DD28" s="55"/>
      <c r="DE28" s="56"/>
      <c r="DF28" s="26"/>
      <c r="DG28" s="54"/>
      <c r="DH28" s="26"/>
      <c r="DI28" s="54"/>
      <c r="DJ28" s="55"/>
      <c r="DK28" s="56"/>
      <c r="DL28" s="26"/>
      <c r="DM28" s="54"/>
      <c r="DN28" s="26"/>
      <c r="DO28" s="54"/>
      <c r="DP28" s="26"/>
      <c r="DQ28" s="89"/>
      <c r="DR28" s="26"/>
      <c r="DS28" s="54"/>
      <c r="DT28" s="70"/>
      <c r="DU28" s="26"/>
      <c r="DV28" s="55"/>
      <c r="DW28" s="56"/>
      <c r="DX28" s="26"/>
      <c r="DY28" s="54"/>
      <c r="DZ28" s="26"/>
      <c r="EA28" s="54"/>
      <c r="EB28" s="55"/>
      <c r="EC28" s="56"/>
      <c r="ED28" s="26"/>
      <c r="EE28" s="54"/>
      <c r="EF28" s="26"/>
      <c r="EG28" s="54"/>
      <c r="EH28" s="54"/>
      <c r="EI28" s="56"/>
      <c r="EJ28" s="26"/>
      <c r="EK28" s="54"/>
      <c r="EL28" s="26"/>
      <c r="EM28" s="54"/>
      <c r="EN28" s="55"/>
      <c r="EO28" s="56"/>
      <c r="EP28" s="26"/>
      <c r="EQ28" s="54"/>
      <c r="ER28" s="26"/>
      <c r="ES28" s="54"/>
      <c r="ET28" s="54"/>
    </row>
    <row r="29" spans="1:150" ht="20.100000000000001" hidden="1" customHeight="1" outlineLevel="1">
      <c r="A29" s="3038"/>
      <c r="B29" s="1163"/>
      <c r="C29" s="179"/>
      <c r="D29" s="2726" t="str">
        <f>実績!C1138&amp;"("&amp;SUBSTITUTE(実績!R1138&amp;")"," 株式会社","")</f>
        <v>カナモト山梨営業所(日成ビルド工業)</v>
      </c>
      <c r="E29" s="2878"/>
      <c r="F29" s="2878"/>
      <c r="G29" s="2878"/>
      <c r="H29" s="2878"/>
      <c r="I29" s="2878"/>
      <c r="J29" s="2878"/>
      <c r="K29" s="2878"/>
      <c r="L29" s="2878"/>
      <c r="M29" s="2878"/>
      <c r="N29" s="2878"/>
      <c r="O29" s="2878"/>
      <c r="P29" s="2878"/>
      <c r="Q29" s="2878"/>
      <c r="R29" s="1096"/>
      <c r="S29" s="26"/>
      <c r="T29" s="26"/>
      <c r="U29" s="54"/>
      <c r="V29" s="26"/>
      <c r="W29" s="54"/>
      <c r="X29" s="55"/>
      <c r="Y29" s="54"/>
      <c r="Z29" s="26"/>
      <c r="AA29" s="54"/>
      <c r="AB29" s="26"/>
      <c r="AC29" s="54"/>
      <c r="AD29" s="26"/>
      <c r="AE29" s="1164"/>
      <c r="AF29" s="26"/>
      <c r="AG29" s="54"/>
      <c r="AH29" s="26"/>
      <c r="AI29" s="54"/>
      <c r="AJ29" s="55"/>
      <c r="AK29" s="26" t="s">
        <v>8250</v>
      </c>
      <c r="AL29" s="26"/>
      <c r="AM29" s="54"/>
      <c r="AN29" s="26"/>
      <c r="AO29" s="54"/>
      <c r="AP29" s="26"/>
      <c r="AQ29" s="53" t="s">
        <v>8283</v>
      </c>
      <c r="AR29" s="70"/>
      <c r="AS29" s="54"/>
      <c r="AT29" s="26"/>
      <c r="AU29" s="54"/>
      <c r="AV29" s="55"/>
      <c r="AW29" s="1164"/>
      <c r="AX29" s="26"/>
      <c r="AY29" s="54"/>
      <c r="AZ29" s="26"/>
      <c r="BA29" s="54"/>
      <c r="BB29" s="55"/>
      <c r="BC29" s="26"/>
      <c r="BD29" s="26"/>
      <c r="BE29" s="54"/>
      <c r="BF29" s="26"/>
      <c r="BG29" s="54"/>
      <c r="BH29" s="26"/>
      <c r="BI29" s="56"/>
      <c r="BJ29" s="26"/>
      <c r="BK29" s="54"/>
      <c r="BL29" s="26"/>
      <c r="BM29" s="54"/>
      <c r="BN29" s="55"/>
      <c r="BO29" s="56"/>
      <c r="BP29" s="26"/>
      <c r="BQ29" s="54"/>
      <c r="BR29" s="26"/>
      <c r="BS29" s="54"/>
      <c r="BT29" s="55"/>
      <c r="BU29" s="56"/>
      <c r="BV29" s="26"/>
      <c r="BW29" s="54"/>
      <c r="BX29" s="26"/>
      <c r="BY29" s="54"/>
      <c r="BZ29" s="55"/>
      <c r="CA29" s="56"/>
      <c r="CB29" s="26"/>
      <c r="CC29" s="54"/>
      <c r="CD29" s="26"/>
      <c r="CE29" s="54"/>
      <c r="CF29" s="55"/>
      <c r="CG29" s="56"/>
      <c r="CH29" s="26"/>
      <c r="CI29" s="54"/>
      <c r="CJ29" s="26"/>
      <c r="CK29" s="54"/>
      <c r="CL29" s="55"/>
      <c r="CM29" s="56"/>
      <c r="CN29" s="26"/>
      <c r="CO29" s="54"/>
      <c r="CP29" s="26"/>
      <c r="CQ29" s="54"/>
      <c r="CR29" s="55"/>
      <c r="CS29" s="56"/>
      <c r="CT29" s="26"/>
      <c r="CU29" s="54"/>
      <c r="CV29" s="26"/>
      <c r="CW29" s="54"/>
      <c r="CX29" s="55"/>
      <c r="CY29" s="56"/>
      <c r="CZ29" s="26"/>
      <c r="DA29" s="54"/>
      <c r="DB29" s="26"/>
      <c r="DC29" s="54"/>
      <c r="DD29" s="55"/>
      <c r="DE29" s="56"/>
      <c r="DF29" s="26"/>
      <c r="DG29" s="54"/>
      <c r="DH29" s="26"/>
      <c r="DI29" s="54"/>
      <c r="DJ29" s="55"/>
      <c r="DK29" s="56"/>
      <c r="DL29" s="26"/>
      <c r="DM29" s="54"/>
      <c r="DN29" s="26"/>
      <c r="DO29" s="54"/>
      <c r="DP29" s="26"/>
      <c r="DQ29" s="89"/>
      <c r="DR29" s="26"/>
      <c r="DS29" s="54"/>
      <c r="DT29" s="70"/>
      <c r="DU29" s="26"/>
      <c r="DV29" s="55"/>
      <c r="DW29" s="56"/>
      <c r="DX29" s="26"/>
      <c r="DY29" s="54"/>
      <c r="DZ29" s="26"/>
      <c r="EA29" s="54"/>
      <c r="EB29" s="55"/>
      <c r="EC29" s="56"/>
      <c r="ED29" s="26"/>
      <c r="EE29" s="54"/>
      <c r="EF29" s="26"/>
      <c r="EG29" s="54"/>
      <c r="EH29" s="54"/>
      <c r="EI29" s="56"/>
      <c r="EJ29" s="26"/>
      <c r="EK29" s="54"/>
      <c r="EL29" s="26"/>
      <c r="EM29" s="54"/>
      <c r="EN29" s="55"/>
      <c r="EO29" s="56"/>
      <c r="EP29" s="26"/>
      <c r="EQ29" s="54"/>
      <c r="ER29" s="26"/>
      <c r="ES29" s="54"/>
      <c r="ET29" s="54"/>
    </row>
    <row r="30" spans="1:150" ht="20.100000000000001" hidden="1" customHeight="1" outlineLevel="1" collapsed="1">
      <c r="A30" s="3038"/>
      <c r="B30" s="1163"/>
      <c r="C30" s="179"/>
      <c r="D30" s="2726" t="str">
        <f>実績!C1158&amp;"("&amp;SUBSTITUTE(実績!R1158&amp;")","有限会社 ","")</f>
        <v>V・drug千種公園北(中部設計)</v>
      </c>
      <c r="E30" s="2878"/>
      <c r="F30" s="2878"/>
      <c r="G30" s="2878"/>
      <c r="H30" s="2878"/>
      <c r="I30" s="2878"/>
      <c r="J30" s="2878"/>
      <c r="K30" s="2878"/>
      <c r="L30" s="2878"/>
      <c r="M30" s="2878"/>
      <c r="N30" s="2878"/>
      <c r="O30" s="2878"/>
      <c r="P30" s="2878"/>
      <c r="Q30" s="2878"/>
      <c r="R30" s="1096"/>
      <c r="S30" s="26"/>
      <c r="T30" s="26"/>
      <c r="U30" s="54"/>
      <c r="V30" s="26"/>
      <c r="W30" s="54"/>
      <c r="X30" s="55"/>
      <c r="Y30" s="26"/>
      <c r="Z30" s="26"/>
      <c r="AA30" s="54"/>
      <c r="AB30" s="26"/>
      <c r="AC30" s="54"/>
      <c r="AD30" s="26"/>
      <c r="AE30" s="56"/>
      <c r="AF30" s="26"/>
      <c r="AG30" s="26"/>
      <c r="AH30" s="26"/>
      <c r="AI30" s="54"/>
      <c r="AJ30" s="55"/>
      <c r="AK30" s="26"/>
      <c r="AL30" s="26"/>
      <c r="AM30" s="54"/>
      <c r="AN30" s="26"/>
      <c r="AO30" s="54"/>
      <c r="AP30" s="26"/>
      <c r="AQ30" s="53"/>
      <c r="AR30" s="26"/>
      <c r="AS30" s="54"/>
      <c r="AT30" s="26" t="s">
        <v>8250</v>
      </c>
      <c r="AU30" s="54"/>
      <c r="AV30" s="55"/>
      <c r="AW30" s="1164"/>
      <c r="AX30" s="26"/>
      <c r="AY30" s="54"/>
      <c r="AZ30" s="26"/>
      <c r="BA30" s="54"/>
      <c r="BB30" s="55"/>
      <c r="BC30" s="26"/>
      <c r="BD30" s="26"/>
      <c r="BE30" s="54"/>
      <c r="BF30" s="26"/>
      <c r="BG30" s="54"/>
      <c r="BH30" s="26"/>
      <c r="BI30" s="56"/>
      <c r="BJ30" s="26"/>
      <c r="BK30" s="54"/>
      <c r="BL30" s="26"/>
      <c r="BM30" s="54"/>
      <c r="BN30" s="55"/>
      <c r="BO30" s="56"/>
      <c r="BP30" s="26"/>
      <c r="BQ30" s="54"/>
      <c r="BR30" s="26"/>
      <c r="BS30" s="54"/>
      <c r="BT30" s="55"/>
      <c r="BU30" s="56"/>
      <c r="BV30" s="26"/>
      <c r="BW30" s="54"/>
      <c r="BX30" s="26"/>
      <c r="BY30" s="54"/>
      <c r="BZ30" s="55"/>
      <c r="CA30" s="56"/>
      <c r="CB30" s="26"/>
      <c r="CC30" s="54"/>
      <c r="CD30" s="26"/>
      <c r="CE30" s="54"/>
      <c r="CF30" s="55"/>
      <c r="CG30" s="56"/>
      <c r="CH30" s="26"/>
      <c r="CI30" s="54"/>
      <c r="CJ30" s="26"/>
      <c r="CK30" s="54"/>
      <c r="CL30" s="55"/>
      <c r="CM30" s="56"/>
      <c r="CN30" s="26"/>
      <c r="CO30" s="54"/>
      <c r="CP30" s="26"/>
      <c r="CQ30" s="54"/>
      <c r="CR30" s="55"/>
      <c r="CS30" s="56"/>
      <c r="CT30" s="26"/>
      <c r="CU30" s="54"/>
      <c r="CV30" s="26"/>
      <c r="CW30" s="54"/>
      <c r="CX30" s="55"/>
      <c r="CY30" s="56"/>
      <c r="CZ30" s="26"/>
      <c r="DA30" s="54"/>
      <c r="DB30" s="26"/>
      <c r="DC30" s="54"/>
      <c r="DD30" s="55"/>
      <c r="DE30" s="56"/>
      <c r="DF30" s="26"/>
      <c r="DG30" s="54"/>
      <c r="DH30" s="26"/>
      <c r="DI30" s="54"/>
      <c r="DJ30" s="55"/>
      <c r="DK30" s="56"/>
      <c r="DL30" s="26"/>
      <c r="DM30" s="54"/>
      <c r="DN30" s="26"/>
      <c r="DO30" s="54"/>
      <c r="DP30" s="26"/>
      <c r="DQ30" s="89"/>
      <c r="DR30" s="26"/>
      <c r="DS30" s="54"/>
      <c r="DT30" s="70"/>
      <c r="DU30" s="26"/>
      <c r="DV30" s="55"/>
      <c r="DW30" s="56"/>
      <c r="DX30" s="26"/>
      <c r="DY30" s="54"/>
      <c r="DZ30" s="26"/>
      <c r="EA30" s="54"/>
      <c r="EB30" s="55"/>
      <c r="EC30" s="56"/>
      <c r="ED30" s="26"/>
      <c r="EE30" s="54"/>
      <c r="EF30" s="26"/>
      <c r="EG30" s="54"/>
      <c r="EH30" s="54"/>
      <c r="EI30" s="56"/>
      <c r="EJ30" s="26"/>
      <c r="EK30" s="54"/>
      <c r="EL30" s="26"/>
      <c r="EM30" s="54"/>
      <c r="EN30" s="55"/>
      <c r="EO30" s="56"/>
      <c r="EP30" s="26"/>
      <c r="EQ30" s="54"/>
      <c r="ER30" s="26"/>
      <c r="ES30" s="54"/>
      <c r="ET30" s="54"/>
    </row>
    <row r="31" spans="1:150" ht="20.100000000000001" hidden="1" customHeight="1" outlineLevel="1" collapsed="1">
      <c r="A31" s="3038"/>
      <c r="B31" s="1163"/>
      <c r="C31" s="179"/>
      <c r="D31" s="2726" t="str">
        <f>実績!C1179&amp;"("&amp;SUBSTITUTE(実績!R1179&amp;")","株式会社 ","")</f>
        <v>KAPAS広島支店(CAPD)</v>
      </c>
      <c r="E31" s="2878"/>
      <c r="F31" s="2878"/>
      <c r="G31" s="2878"/>
      <c r="H31" s="2878"/>
      <c r="I31" s="2878"/>
      <c r="J31" s="2878"/>
      <c r="K31" s="2878"/>
      <c r="L31" s="2878"/>
      <c r="M31" s="2878"/>
      <c r="N31" s="2878"/>
      <c r="O31" s="2878"/>
      <c r="P31" s="2878"/>
      <c r="Q31" s="2878"/>
      <c r="R31" s="1096"/>
      <c r="S31" s="26"/>
      <c r="T31" s="26"/>
      <c r="U31" s="54"/>
      <c r="V31" s="26"/>
      <c r="W31" s="54"/>
      <c r="X31" s="55"/>
      <c r="Y31" s="26"/>
      <c r="Z31" s="26"/>
      <c r="AA31" s="54"/>
      <c r="AB31" s="26"/>
      <c r="AC31" s="54"/>
      <c r="AD31" s="26"/>
      <c r="AE31" s="1164"/>
      <c r="AF31" s="26"/>
      <c r="AG31" s="54"/>
      <c r="AH31" s="26"/>
      <c r="AI31" s="54"/>
      <c r="AJ31" s="55"/>
      <c r="AK31" s="26"/>
      <c r="AL31" s="26"/>
      <c r="AM31" s="54"/>
      <c r="AN31" s="26"/>
      <c r="AO31" s="54"/>
      <c r="AP31" s="26"/>
      <c r="AQ31" s="53"/>
      <c r="AR31" s="70"/>
      <c r="AS31" s="54"/>
      <c r="AT31" s="26"/>
      <c r="AU31" s="54" t="s">
        <v>8250</v>
      </c>
      <c r="AV31" s="55"/>
      <c r="AW31" s="1164"/>
      <c r="AX31" s="26"/>
      <c r="AY31" s="54"/>
      <c r="AZ31" s="26"/>
      <c r="BA31" s="54"/>
      <c r="BB31" s="55"/>
      <c r="BC31" s="26"/>
      <c r="BD31" s="26"/>
      <c r="BE31" s="54"/>
      <c r="BF31" s="26"/>
      <c r="BG31" s="54"/>
      <c r="BH31" s="26"/>
      <c r="BI31" s="56"/>
      <c r="BJ31" s="26"/>
      <c r="BK31" s="54"/>
      <c r="BL31" s="26"/>
      <c r="BM31" s="54"/>
      <c r="BN31" s="55"/>
      <c r="BO31" s="56"/>
      <c r="BP31" s="26"/>
      <c r="BQ31" s="54"/>
      <c r="BR31" s="26"/>
      <c r="BS31" s="54"/>
      <c r="BT31" s="55"/>
      <c r="BU31" s="56"/>
      <c r="BV31" s="26"/>
      <c r="BW31" s="54"/>
      <c r="BX31" s="26"/>
      <c r="BY31" s="54"/>
      <c r="BZ31" s="55"/>
      <c r="CA31" s="56"/>
      <c r="CB31" s="26"/>
      <c r="CC31" s="54"/>
      <c r="CD31" s="26"/>
      <c r="CE31" s="54"/>
      <c r="CF31" s="55"/>
      <c r="CG31" s="56"/>
      <c r="CH31" s="26"/>
      <c r="CI31" s="54"/>
      <c r="CJ31" s="26"/>
      <c r="CK31" s="54"/>
      <c r="CL31" s="55"/>
      <c r="CM31" s="56"/>
      <c r="CN31" s="26"/>
      <c r="CO31" s="54"/>
      <c r="CP31" s="26"/>
      <c r="CQ31" s="54"/>
      <c r="CR31" s="55"/>
      <c r="CS31" s="56"/>
      <c r="CT31" s="26"/>
      <c r="CU31" s="54"/>
      <c r="CV31" s="26"/>
      <c r="CW31" s="54"/>
      <c r="CX31" s="55"/>
      <c r="CY31" s="56"/>
      <c r="CZ31" s="26"/>
      <c r="DA31" s="54"/>
      <c r="DB31" s="26"/>
      <c r="DC31" s="54"/>
      <c r="DD31" s="55"/>
      <c r="DE31" s="56"/>
      <c r="DF31" s="26"/>
      <c r="DG31" s="54"/>
      <c r="DH31" s="26"/>
      <c r="DI31" s="54"/>
      <c r="DJ31" s="55"/>
      <c r="DK31" s="56"/>
      <c r="DL31" s="26"/>
      <c r="DM31" s="54"/>
      <c r="DN31" s="26"/>
      <c r="DO31" s="54"/>
      <c r="DP31" s="26"/>
      <c r="DQ31" s="89"/>
      <c r="DR31" s="26"/>
      <c r="DS31" s="54"/>
      <c r="DT31" s="70"/>
      <c r="DU31" s="26"/>
      <c r="DV31" s="55"/>
      <c r="DW31" s="56"/>
      <c r="DX31" s="26"/>
      <c r="DY31" s="54"/>
      <c r="DZ31" s="26"/>
      <c r="EA31" s="54"/>
      <c r="EB31" s="55"/>
      <c r="EC31" s="56"/>
      <c r="ED31" s="26"/>
      <c r="EE31" s="54"/>
      <c r="EF31" s="26"/>
      <c r="EG31" s="54"/>
      <c r="EH31" s="54"/>
      <c r="EI31" s="56"/>
      <c r="EJ31" s="26"/>
      <c r="EK31" s="54"/>
      <c r="EL31" s="26"/>
      <c r="EM31" s="54"/>
      <c r="EN31" s="55"/>
      <c r="EO31" s="56"/>
      <c r="EP31" s="26"/>
      <c r="EQ31" s="54"/>
      <c r="ER31" s="26"/>
      <c r="ES31" s="54"/>
      <c r="ET31" s="54"/>
    </row>
    <row r="32" spans="1:150" ht="20.100000000000001" hidden="1" customHeight="1" outlineLevel="1" collapsed="1">
      <c r="A32" s="3038"/>
      <c r="B32" s="1163"/>
      <c r="C32" s="179"/>
      <c r="D32" s="2726" t="str">
        <f>実績!C1191&amp;"("&amp;SUBSTITUTE(実績!R1191&amp;")"," 株式会社","")</f>
        <v>与那原商業施設(ﾃﾅﾝﾄ棟)(金秀建設)</v>
      </c>
      <c r="E32" s="2727"/>
      <c r="F32" s="2727"/>
      <c r="G32" s="2727"/>
      <c r="H32" s="2727"/>
      <c r="I32" s="2727"/>
      <c r="J32" s="2727"/>
      <c r="K32" s="2727"/>
      <c r="L32" s="2727"/>
      <c r="M32" s="2727"/>
      <c r="N32" s="2727"/>
      <c r="O32" s="2727"/>
      <c r="P32" s="2727"/>
      <c r="Q32" s="2727"/>
      <c r="R32" s="1111"/>
      <c r="S32" s="26"/>
      <c r="T32" s="26"/>
      <c r="U32" s="54"/>
      <c r="V32" s="26"/>
      <c r="W32" s="54"/>
      <c r="X32" s="55"/>
      <c r="Y32" s="26"/>
      <c r="Z32" s="26"/>
      <c r="AA32" s="54"/>
      <c r="AB32" s="26"/>
      <c r="AC32" s="54"/>
      <c r="AD32" s="26"/>
      <c r="AE32" s="26"/>
      <c r="AF32" s="26"/>
      <c r="AG32" s="54"/>
      <c r="AH32" s="26"/>
      <c r="AI32" s="54"/>
      <c r="AJ32" s="55"/>
      <c r="AK32" s="26"/>
      <c r="AL32" s="26"/>
      <c r="AM32" s="54"/>
      <c r="AN32" s="26"/>
      <c r="AO32" s="54"/>
      <c r="AP32" s="26"/>
      <c r="AQ32" s="53"/>
      <c r="AR32" s="26"/>
      <c r="AS32" s="54"/>
      <c r="AT32" s="26"/>
      <c r="AU32" s="54"/>
      <c r="AV32" s="55"/>
      <c r="AW32" s="56" t="s">
        <v>8250</v>
      </c>
      <c r="AX32" s="26"/>
      <c r="AY32" s="54"/>
      <c r="AZ32" s="26"/>
      <c r="BA32" s="54"/>
      <c r="BB32" s="55"/>
      <c r="BC32" s="26"/>
      <c r="BD32" s="26"/>
      <c r="BE32" s="54"/>
      <c r="BF32" s="26"/>
      <c r="BG32" s="54"/>
      <c r="BH32" s="26"/>
      <c r="BI32" s="56"/>
      <c r="BJ32" s="26"/>
      <c r="BK32" s="54"/>
      <c r="BL32" s="26"/>
      <c r="BM32" s="54"/>
      <c r="BN32" s="55"/>
      <c r="BO32" s="56"/>
      <c r="BP32" s="26"/>
      <c r="BQ32" s="54"/>
      <c r="BR32" s="26"/>
      <c r="BS32" s="54"/>
      <c r="BT32" s="55"/>
      <c r="BU32" s="56"/>
      <c r="BV32" s="26"/>
      <c r="BW32" s="54"/>
      <c r="BX32" s="26"/>
      <c r="BY32" s="54"/>
      <c r="BZ32" s="55"/>
      <c r="CA32" s="56"/>
      <c r="CB32" s="26"/>
      <c r="CC32" s="54"/>
      <c r="CD32" s="26"/>
      <c r="CE32" s="54"/>
      <c r="CF32" s="55"/>
      <c r="CG32" s="56"/>
      <c r="CH32" s="26"/>
      <c r="CI32" s="54"/>
      <c r="CJ32" s="26"/>
      <c r="CK32" s="54"/>
      <c r="CL32" s="55"/>
      <c r="CM32" s="56"/>
      <c r="CN32" s="26"/>
      <c r="CO32" s="54"/>
      <c r="CP32" s="26"/>
      <c r="CQ32" s="54"/>
      <c r="CR32" s="55"/>
      <c r="CS32" s="56"/>
      <c r="CT32" s="26"/>
      <c r="CU32" s="54"/>
      <c r="CV32" s="26"/>
      <c r="CW32" s="54"/>
      <c r="CX32" s="55"/>
      <c r="CY32" s="56"/>
      <c r="CZ32" s="26"/>
      <c r="DA32" s="54"/>
      <c r="DB32" s="26"/>
      <c r="DC32" s="54"/>
      <c r="DD32" s="55"/>
      <c r="DE32" s="56"/>
      <c r="DF32" s="26"/>
      <c r="DG32" s="54"/>
      <c r="DH32" s="26"/>
      <c r="DI32" s="54"/>
      <c r="DJ32" s="55"/>
      <c r="DK32" s="56"/>
      <c r="DL32" s="26"/>
      <c r="DM32" s="54"/>
      <c r="DN32" s="26"/>
      <c r="DO32" s="54"/>
      <c r="DP32" s="26"/>
      <c r="DQ32" s="89"/>
      <c r="DR32" s="26"/>
      <c r="DS32" s="54"/>
      <c r="DT32" s="70"/>
      <c r="DU32" s="26"/>
      <c r="DV32" s="55"/>
      <c r="DW32" s="56"/>
      <c r="DX32" s="26"/>
      <c r="DY32" s="54"/>
      <c r="DZ32" s="26"/>
      <c r="EA32" s="54"/>
      <c r="EB32" s="55"/>
      <c r="EC32" s="56"/>
      <c r="ED32" s="26"/>
      <c r="EE32" s="54"/>
      <c r="EF32" s="26"/>
      <c r="EG32" s="54"/>
      <c r="EH32" s="54"/>
      <c r="EI32" s="56"/>
      <c r="EJ32" s="26"/>
      <c r="EK32" s="54"/>
      <c r="EL32" s="26"/>
      <c r="EM32" s="54"/>
      <c r="EN32" s="55"/>
      <c r="EO32" s="56"/>
      <c r="EP32" s="26"/>
      <c r="EQ32" s="54"/>
      <c r="ER32" s="26"/>
      <c r="ES32" s="54"/>
      <c r="ET32" s="54"/>
    </row>
    <row r="33" spans="1:150" ht="20.100000000000001" hidden="1" customHeight="1" outlineLevel="1" collapsed="1">
      <c r="A33" s="3038"/>
      <c r="B33" s="1163"/>
      <c r="C33" s="179"/>
      <c r="D33" s="2726" t="str">
        <f>実績!C1187&amp;"("&amp;SUBSTITUTE(実績!R1187&amp;")","有限会社 ","")</f>
        <v>V・drug蘇原(中部設計)</v>
      </c>
      <c r="E33" s="2878"/>
      <c r="F33" s="2878"/>
      <c r="G33" s="2878"/>
      <c r="H33" s="2878"/>
      <c r="I33" s="2878"/>
      <c r="J33" s="2878"/>
      <c r="K33" s="2878"/>
      <c r="L33" s="2878"/>
      <c r="M33" s="2878"/>
      <c r="N33" s="2878"/>
      <c r="O33" s="2878"/>
      <c r="P33" s="2878"/>
      <c r="Q33" s="2878"/>
      <c r="R33" s="1096"/>
      <c r="S33" s="26"/>
      <c r="T33" s="26"/>
      <c r="U33" s="54"/>
      <c r="V33" s="26"/>
      <c r="W33" s="54"/>
      <c r="X33" s="55"/>
      <c r="Y33" s="26"/>
      <c r="Z33" s="26"/>
      <c r="AA33" s="54"/>
      <c r="AB33" s="26"/>
      <c r="AC33" s="54"/>
      <c r="AD33" s="26"/>
      <c r="AE33" s="26"/>
      <c r="AF33" s="26"/>
      <c r="AG33" s="54"/>
      <c r="AH33" s="26"/>
      <c r="AI33" s="54"/>
      <c r="AJ33" s="55"/>
      <c r="AK33" s="26"/>
      <c r="AL33" s="26"/>
      <c r="AM33" s="54"/>
      <c r="AN33" s="26"/>
      <c r="AO33" s="54"/>
      <c r="AP33" s="26"/>
      <c r="AQ33" s="53"/>
      <c r="AR33" s="26"/>
      <c r="AS33" s="54"/>
      <c r="AT33" s="26"/>
      <c r="AU33" s="54"/>
      <c r="AV33" s="55"/>
      <c r="AW33" s="56"/>
      <c r="AX33" s="26" t="s">
        <v>9076</v>
      </c>
      <c r="AY33" s="54"/>
      <c r="AZ33" s="26"/>
      <c r="BA33" s="54"/>
      <c r="BB33" s="55"/>
      <c r="BC33" s="26" t="s">
        <v>8763</v>
      </c>
      <c r="BD33" s="26"/>
      <c r="BE33" s="54"/>
      <c r="BF33" s="26"/>
      <c r="BG33" s="54"/>
      <c r="BH33" s="26"/>
      <c r="BI33" s="56"/>
      <c r="BJ33" s="26"/>
      <c r="BK33" s="54"/>
      <c r="BL33" s="26"/>
      <c r="BM33" s="54"/>
      <c r="BN33" s="55"/>
      <c r="BO33" s="56" t="s">
        <v>8145</v>
      </c>
      <c r="BP33" s="26"/>
      <c r="BQ33" s="54"/>
      <c r="BR33" s="26"/>
      <c r="BS33" s="54"/>
      <c r="BT33" s="55"/>
      <c r="BU33" s="56"/>
      <c r="BV33" s="26"/>
      <c r="BW33" s="54"/>
      <c r="BX33" s="26"/>
      <c r="BY33" s="54"/>
      <c r="BZ33" s="55"/>
      <c r="CA33" s="56"/>
      <c r="CB33" s="26"/>
      <c r="CC33" s="54"/>
      <c r="CD33" s="26"/>
      <c r="CE33" s="54"/>
      <c r="CF33" s="55"/>
      <c r="CG33" s="56"/>
      <c r="CH33" s="26"/>
      <c r="CI33" s="54"/>
      <c r="CJ33" s="26"/>
      <c r="CK33" s="54"/>
      <c r="CL33" s="55"/>
      <c r="CM33" s="56"/>
      <c r="CN33" s="26"/>
      <c r="CO33" s="54"/>
      <c r="CP33" s="26"/>
      <c r="CQ33" s="54"/>
      <c r="CR33" s="55"/>
      <c r="CS33" s="56"/>
      <c r="CT33" s="26"/>
      <c r="CU33" s="54"/>
      <c r="CV33" s="26"/>
      <c r="CW33" s="54"/>
      <c r="CX33" s="55"/>
      <c r="CY33" s="56"/>
      <c r="CZ33" s="26"/>
      <c r="DA33" s="54"/>
      <c r="DB33" s="26"/>
      <c r="DC33" s="54"/>
      <c r="DD33" s="55"/>
      <c r="DE33" s="56"/>
      <c r="DF33" s="26"/>
      <c r="DG33" s="54"/>
      <c r="DH33" s="26"/>
      <c r="DI33" s="54"/>
      <c r="DJ33" s="55"/>
      <c r="DK33" s="56"/>
      <c r="DL33" s="26"/>
      <c r="DM33" s="54"/>
      <c r="DN33" s="26"/>
      <c r="DO33" s="54"/>
      <c r="DP33" s="26"/>
      <c r="DQ33" s="89"/>
      <c r="DR33" s="26"/>
      <c r="DS33" s="54"/>
      <c r="DT33" s="70"/>
      <c r="DU33" s="26"/>
      <c r="DV33" s="55"/>
      <c r="DW33" s="56"/>
      <c r="DX33" s="26"/>
      <c r="DY33" s="54"/>
      <c r="DZ33" s="26"/>
      <c r="EA33" s="54"/>
      <c r="EB33" s="55"/>
      <c r="EC33" s="56"/>
      <c r="ED33" s="26"/>
      <c r="EE33" s="54"/>
      <c r="EF33" s="26"/>
      <c r="EG33" s="54"/>
      <c r="EH33" s="54"/>
      <c r="EI33" s="56"/>
      <c r="EJ33" s="26"/>
      <c r="EK33" s="54"/>
      <c r="EL33" s="26"/>
      <c r="EM33" s="54"/>
      <c r="EN33" s="55"/>
      <c r="EO33" s="56"/>
      <c r="EP33" s="26"/>
      <c r="EQ33" s="54"/>
      <c r="ER33" s="26"/>
      <c r="ES33" s="54"/>
      <c r="ET33" s="54"/>
    </row>
    <row r="34" spans="1:150" ht="20.100000000000001" hidden="1" customHeight="1" outlineLevel="1">
      <c r="A34" s="3038"/>
      <c r="B34" s="1163"/>
      <c r="C34" s="179"/>
      <c r="D34" s="2726" t="str">
        <f>実績!C1156&amp;"("&amp;SUBSTITUTE(実績!R1156&amp;")"," 株式会社","")</f>
        <v>㈱ケイ・エム環境(車庫)(ダイワ工業)</v>
      </c>
      <c r="E34" s="2878"/>
      <c r="F34" s="2878"/>
      <c r="G34" s="2878"/>
      <c r="H34" s="2878"/>
      <c r="I34" s="2878"/>
      <c r="J34" s="2878"/>
      <c r="K34" s="2878"/>
      <c r="L34" s="2878"/>
      <c r="M34" s="2878"/>
      <c r="N34" s="2878"/>
      <c r="O34" s="2878"/>
      <c r="P34" s="2878"/>
      <c r="Q34" s="2878"/>
      <c r="R34" s="1096"/>
      <c r="S34" s="26"/>
      <c r="T34" s="26"/>
      <c r="U34" s="54"/>
      <c r="V34" s="26"/>
      <c r="W34" s="54"/>
      <c r="X34" s="55"/>
      <c r="Y34" s="26"/>
      <c r="Z34" s="26"/>
      <c r="AA34" s="54"/>
      <c r="AB34" s="26"/>
      <c r="AC34" s="54"/>
      <c r="AD34" s="26"/>
      <c r="AE34" s="1164"/>
      <c r="AF34" s="26"/>
      <c r="AG34" s="54"/>
      <c r="AH34" s="26"/>
      <c r="AI34" s="54"/>
      <c r="AJ34" s="55"/>
      <c r="AK34" s="26"/>
      <c r="AL34" s="26"/>
      <c r="AM34" s="54"/>
      <c r="AN34" s="26"/>
      <c r="AO34" s="54" t="s">
        <v>8575</v>
      </c>
      <c r="AP34" s="26"/>
      <c r="AQ34" s="53"/>
      <c r="AR34" s="70"/>
      <c r="AS34" s="54"/>
      <c r="AT34" s="26"/>
      <c r="AU34" s="54"/>
      <c r="AV34" s="55"/>
      <c r="AW34" s="56"/>
      <c r="AX34" s="26" t="s">
        <v>9076</v>
      </c>
      <c r="AY34" s="54"/>
      <c r="AZ34" s="26"/>
      <c r="BA34" s="54"/>
      <c r="BB34" s="55"/>
      <c r="BC34" s="26"/>
      <c r="BD34" s="26"/>
      <c r="BE34" s="54"/>
      <c r="BF34" s="26"/>
      <c r="BG34" s="54"/>
      <c r="BH34" s="26"/>
      <c r="BI34" s="56"/>
      <c r="BJ34" s="26"/>
      <c r="BK34" s="54"/>
      <c r="BL34" s="26"/>
      <c r="BM34" s="54"/>
      <c r="BN34" s="55"/>
      <c r="BO34" s="56"/>
      <c r="BP34" s="26"/>
      <c r="BQ34" s="54"/>
      <c r="BR34" s="26"/>
      <c r="BS34" s="54"/>
      <c r="BT34" s="55"/>
      <c r="BU34" s="56"/>
      <c r="BV34" s="26"/>
      <c r="BW34" s="54"/>
      <c r="BX34" s="26"/>
      <c r="BY34" s="54"/>
      <c r="BZ34" s="55"/>
      <c r="CA34" s="56"/>
      <c r="CB34" s="26"/>
      <c r="CC34" s="54"/>
      <c r="CD34" s="26"/>
      <c r="CE34" s="54"/>
      <c r="CF34" s="55"/>
      <c r="CG34" s="56"/>
      <c r="CH34" s="26"/>
      <c r="CI34" s="54"/>
      <c r="CJ34" s="26"/>
      <c r="CK34" s="54"/>
      <c r="CL34" s="55"/>
      <c r="CM34" s="56"/>
      <c r="CN34" s="26"/>
      <c r="CO34" s="54"/>
      <c r="CP34" s="26"/>
      <c r="CQ34" s="54"/>
      <c r="CR34" s="55"/>
      <c r="CS34" s="56"/>
      <c r="CT34" s="26"/>
      <c r="CU34" s="54"/>
      <c r="CV34" s="26"/>
      <c r="CW34" s="54"/>
      <c r="CX34" s="55"/>
      <c r="CY34" s="56"/>
      <c r="CZ34" s="26"/>
      <c r="DA34" s="54"/>
      <c r="DB34" s="26"/>
      <c r="DC34" s="54"/>
      <c r="DD34" s="55"/>
      <c r="DE34" s="56"/>
      <c r="DF34" s="26"/>
      <c r="DG34" s="54"/>
      <c r="DH34" s="26"/>
      <c r="DI34" s="54"/>
      <c r="DJ34" s="55"/>
      <c r="DK34" s="56"/>
      <c r="DL34" s="26"/>
      <c r="DM34" s="54"/>
      <c r="DN34" s="26"/>
      <c r="DO34" s="54"/>
      <c r="DP34" s="26"/>
      <c r="DQ34" s="89"/>
      <c r="DR34" s="26"/>
      <c r="DS34" s="54"/>
      <c r="DT34" s="70"/>
      <c r="DU34" s="26"/>
      <c r="DV34" s="55"/>
      <c r="DW34" s="56"/>
      <c r="DX34" s="26"/>
      <c r="DY34" s="54"/>
      <c r="DZ34" s="26"/>
      <c r="EA34" s="54"/>
      <c r="EB34" s="55"/>
      <c r="EC34" s="56"/>
      <c r="ED34" s="26"/>
      <c r="EE34" s="54"/>
      <c r="EF34" s="26"/>
      <c r="EG34" s="54"/>
      <c r="EH34" s="54"/>
      <c r="EI34" s="56"/>
      <c r="EJ34" s="26"/>
      <c r="EK34" s="54"/>
      <c r="EL34" s="26"/>
      <c r="EM34" s="54"/>
      <c r="EN34" s="55"/>
      <c r="EO34" s="56"/>
      <c r="EP34" s="26"/>
      <c r="EQ34" s="54"/>
      <c r="ER34" s="26"/>
      <c r="ES34" s="54"/>
      <c r="ET34" s="26"/>
    </row>
    <row r="35" spans="1:150" ht="20.100000000000001" hidden="1" customHeight="1" outlineLevel="1">
      <c r="A35" s="3038"/>
      <c r="B35" s="1163"/>
      <c r="C35" s="179"/>
      <c r="D35" s="2726" t="str">
        <f>実績!C1193&amp;"("&amp;SUBSTITUTE(実績!R1193&amp;")","株式会社 ","")</f>
        <v>岩田産業㈱南熊本支店(アースワーク)</v>
      </c>
      <c r="E35" s="2878"/>
      <c r="F35" s="2878"/>
      <c r="G35" s="2878"/>
      <c r="H35" s="2878"/>
      <c r="I35" s="2878"/>
      <c r="J35" s="2878"/>
      <c r="K35" s="2878"/>
      <c r="L35" s="2878"/>
      <c r="M35" s="2878"/>
      <c r="N35" s="2878"/>
      <c r="O35" s="2878"/>
      <c r="P35" s="2878"/>
      <c r="Q35" s="2878"/>
      <c r="R35" s="1096"/>
      <c r="S35" s="26"/>
      <c r="T35" s="26"/>
      <c r="U35" s="54"/>
      <c r="V35" s="26"/>
      <c r="W35" s="54"/>
      <c r="X35" s="55"/>
      <c r="Y35" s="26"/>
      <c r="Z35" s="26"/>
      <c r="AA35" s="54"/>
      <c r="AB35" s="26"/>
      <c r="AC35" s="54"/>
      <c r="AD35" s="26"/>
      <c r="AE35" s="26"/>
      <c r="AF35" s="26"/>
      <c r="AG35" s="54"/>
      <c r="AH35" s="26"/>
      <c r="AI35" s="54"/>
      <c r="AJ35" s="55"/>
      <c r="AK35" s="26"/>
      <c r="AL35" s="26"/>
      <c r="AM35" s="54"/>
      <c r="AN35" s="26"/>
      <c r="AO35" s="54"/>
      <c r="AP35" s="26"/>
      <c r="AQ35" s="53"/>
      <c r="AR35" s="26"/>
      <c r="AS35" s="54"/>
      <c r="AT35" s="26"/>
      <c r="AU35" s="54"/>
      <c r="AV35" s="55"/>
      <c r="AW35" s="56"/>
      <c r="AX35" s="26"/>
      <c r="AY35" s="54" t="s">
        <v>8586</v>
      </c>
      <c r="AZ35" s="26"/>
      <c r="BA35" s="54"/>
      <c r="BB35" s="55"/>
      <c r="BC35" s="26"/>
      <c r="BD35" s="26"/>
      <c r="BE35" s="54"/>
      <c r="BF35" s="26"/>
      <c r="BG35" s="54"/>
      <c r="BH35" s="26"/>
      <c r="BI35" s="56"/>
      <c r="BJ35" s="26"/>
      <c r="BK35" s="54" t="s">
        <v>8944</v>
      </c>
      <c r="BL35" s="26"/>
      <c r="BM35" s="54"/>
      <c r="BN35" s="55"/>
      <c r="BO35" s="56"/>
      <c r="BP35" s="26"/>
      <c r="BQ35" s="54"/>
      <c r="BR35" s="26"/>
      <c r="BS35" s="54"/>
      <c r="BT35" s="55"/>
      <c r="BU35" s="56"/>
      <c r="BV35" s="26"/>
      <c r="BW35" s="54"/>
      <c r="BX35" s="26"/>
      <c r="BY35" s="54"/>
      <c r="BZ35" s="55"/>
      <c r="CA35" s="56"/>
      <c r="CB35" s="26"/>
      <c r="CC35" s="54"/>
      <c r="CD35" s="26"/>
      <c r="CE35" s="54"/>
      <c r="CF35" s="55"/>
      <c r="CG35" s="56"/>
      <c r="CH35" s="26"/>
      <c r="CI35" s="54"/>
      <c r="CJ35" s="26"/>
      <c r="CK35" s="54"/>
      <c r="CL35" s="55"/>
      <c r="CM35" s="56"/>
      <c r="CN35" s="26"/>
      <c r="CO35" s="54"/>
      <c r="CP35" s="26"/>
      <c r="CQ35" s="54"/>
      <c r="CR35" s="55"/>
      <c r="CS35" s="56"/>
      <c r="CT35" s="26"/>
      <c r="CU35" s="54"/>
      <c r="CV35" s="26"/>
      <c r="CW35" s="54"/>
      <c r="CX35" s="55"/>
      <c r="CY35" s="56"/>
      <c r="CZ35" s="26"/>
      <c r="DA35" s="54"/>
      <c r="DB35" s="26"/>
      <c r="DC35" s="54"/>
      <c r="DD35" s="55"/>
      <c r="DE35" s="56"/>
      <c r="DF35" s="26"/>
      <c r="DG35" s="54"/>
      <c r="DH35" s="26"/>
      <c r="DI35" s="54"/>
      <c r="DJ35" s="55"/>
      <c r="DK35" s="56"/>
      <c r="DL35" s="26"/>
      <c r="DM35" s="54"/>
      <c r="DN35" s="26"/>
      <c r="DO35" s="54"/>
      <c r="DP35" s="26"/>
      <c r="DQ35" s="89"/>
      <c r="DR35" s="26"/>
      <c r="DS35" s="54"/>
      <c r="DT35" s="70"/>
      <c r="DU35" s="26"/>
      <c r="DV35" s="55"/>
      <c r="DW35" s="56"/>
      <c r="DX35" s="26"/>
      <c r="DY35" s="54"/>
      <c r="DZ35" s="26"/>
      <c r="EA35" s="54"/>
      <c r="EB35" s="55"/>
      <c r="EC35" s="56"/>
      <c r="ED35" s="26"/>
      <c r="EE35" s="54"/>
      <c r="EF35" s="26"/>
      <c r="EG35" s="54"/>
      <c r="EH35" s="54"/>
      <c r="EI35" s="56"/>
      <c r="EJ35" s="26"/>
      <c r="EK35" s="54"/>
      <c r="EL35" s="26"/>
      <c r="EM35" s="54"/>
      <c r="EN35" s="55"/>
      <c r="EO35" s="56"/>
      <c r="EP35" s="26"/>
      <c r="EQ35" s="54"/>
      <c r="ER35" s="26"/>
      <c r="ES35" s="54"/>
      <c r="ET35" s="26"/>
    </row>
    <row r="36" spans="1:150" ht="20.100000000000001" hidden="1" customHeight="1" outlineLevel="1" collapsed="1">
      <c r="A36" s="3038"/>
      <c r="B36" s="1163"/>
      <c r="C36" s="179"/>
      <c r="D36" s="2726" t="str">
        <f>実績!C1195&amp;"("&amp;SUBSTITUTE(実績!R1195&amp;")","株式会社 ","")</f>
        <v>大阪マツダ菱江(基本設計)(基建築設計事務所)</v>
      </c>
      <c r="E36" s="2878"/>
      <c r="F36" s="2878"/>
      <c r="G36" s="2878"/>
      <c r="H36" s="2878"/>
      <c r="I36" s="2878"/>
      <c r="J36" s="2878"/>
      <c r="K36" s="2878"/>
      <c r="L36" s="2878"/>
      <c r="M36" s="2878"/>
      <c r="N36" s="2878"/>
      <c r="O36" s="2878"/>
      <c r="P36" s="2878"/>
      <c r="Q36" s="2878"/>
      <c r="R36" s="1096"/>
      <c r="S36" s="26"/>
      <c r="T36" s="26"/>
      <c r="U36" s="54"/>
      <c r="V36" s="26"/>
      <c r="W36" s="54"/>
      <c r="X36" s="55"/>
      <c r="Y36" s="26"/>
      <c r="Z36" s="26"/>
      <c r="AA36" s="54"/>
      <c r="AB36" s="26"/>
      <c r="AC36" s="54"/>
      <c r="AD36" s="26"/>
      <c r="AE36" s="26"/>
      <c r="AF36" s="26"/>
      <c r="AG36" s="54"/>
      <c r="AH36" s="26"/>
      <c r="AI36" s="54"/>
      <c r="AJ36" s="55"/>
      <c r="AK36" s="26"/>
      <c r="AL36" s="26"/>
      <c r="AM36" s="54"/>
      <c r="AN36" s="26"/>
      <c r="AO36" s="54"/>
      <c r="AP36" s="26"/>
      <c r="AQ36" s="53"/>
      <c r="AR36" s="26"/>
      <c r="AS36" s="54"/>
      <c r="AT36" s="26"/>
      <c r="AU36" s="54"/>
      <c r="AV36" s="55"/>
      <c r="AW36" s="56"/>
      <c r="AX36" s="26"/>
      <c r="AY36" s="54"/>
      <c r="AZ36" s="26" t="s">
        <v>9164</v>
      </c>
      <c r="BA36" s="54"/>
      <c r="BB36" s="55"/>
      <c r="BC36" s="26"/>
      <c r="BD36" s="26"/>
      <c r="BE36" s="54"/>
      <c r="BF36" s="26"/>
      <c r="BG36" s="54"/>
      <c r="BH36" s="26"/>
      <c r="BI36" s="56"/>
      <c r="BJ36" s="26"/>
      <c r="BK36" s="54"/>
      <c r="BL36" s="26"/>
      <c r="BM36" s="54"/>
      <c r="BN36" s="55"/>
      <c r="BO36" s="56"/>
      <c r="BP36" s="26"/>
      <c r="BQ36" s="54"/>
      <c r="BR36" s="26"/>
      <c r="BS36" s="54"/>
      <c r="BT36" s="55"/>
      <c r="BU36" s="56"/>
      <c r="BV36" s="26"/>
      <c r="BW36" s="54"/>
      <c r="BX36" s="26"/>
      <c r="BY36" s="54"/>
      <c r="BZ36" s="55"/>
      <c r="CA36" s="56"/>
      <c r="CB36" s="26"/>
      <c r="CC36" s="54"/>
      <c r="CD36" s="26"/>
      <c r="CE36" s="54"/>
      <c r="CF36" s="55"/>
      <c r="CG36" s="56"/>
      <c r="CH36" s="26"/>
      <c r="CI36" s="54"/>
      <c r="CJ36" s="26"/>
      <c r="CK36" s="54"/>
      <c r="CL36" s="55"/>
      <c r="CM36" s="56"/>
      <c r="CN36" s="26"/>
      <c r="CO36" s="54"/>
      <c r="CP36" s="26"/>
      <c r="CQ36" s="54"/>
      <c r="CR36" s="55"/>
      <c r="CS36" s="56"/>
      <c r="CT36" s="26"/>
      <c r="CU36" s="54"/>
      <c r="CV36" s="26"/>
      <c r="CW36" s="54"/>
      <c r="CX36" s="55"/>
      <c r="CY36" s="56"/>
      <c r="CZ36" s="26"/>
      <c r="DA36" s="54"/>
      <c r="DB36" s="26"/>
      <c r="DC36" s="54"/>
      <c r="DD36" s="55"/>
      <c r="DE36" s="56"/>
      <c r="DF36" s="26"/>
      <c r="DG36" s="54"/>
      <c r="DH36" s="26"/>
      <c r="DI36" s="54"/>
      <c r="DJ36" s="55"/>
      <c r="DK36" s="56"/>
      <c r="DL36" s="26"/>
      <c r="DM36" s="54"/>
      <c r="DN36" s="26"/>
      <c r="DO36" s="54"/>
      <c r="DP36" s="26"/>
      <c r="DQ36" s="89"/>
      <c r="DR36" s="26"/>
      <c r="DS36" s="54"/>
      <c r="DT36" s="70"/>
      <c r="DU36" s="26"/>
      <c r="DV36" s="55"/>
      <c r="DW36" s="56"/>
      <c r="DX36" s="26"/>
      <c r="DY36" s="54"/>
      <c r="DZ36" s="26"/>
      <c r="EA36" s="54"/>
      <c r="EB36" s="55"/>
      <c r="EC36" s="56"/>
      <c r="ED36" s="26"/>
      <c r="EE36" s="54"/>
      <c r="EF36" s="26"/>
      <c r="EG36" s="54"/>
      <c r="EH36" s="54"/>
      <c r="EI36" s="56"/>
      <c r="EJ36" s="26"/>
      <c r="EK36" s="54"/>
      <c r="EL36" s="26"/>
      <c r="EM36" s="54"/>
      <c r="EN36" s="55"/>
      <c r="EO36" s="56"/>
      <c r="EP36" s="26"/>
      <c r="EQ36" s="54"/>
      <c r="ER36" s="26"/>
      <c r="ES36" s="54"/>
      <c r="ET36" s="26"/>
    </row>
    <row r="37" spans="1:150" ht="20.100000000000001" hidden="1" customHeight="1" outlineLevel="1" collapsed="1">
      <c r="A37" s="3038"/>
      <c r="B37" s="1163"/>
      <c r="C37" s="179"/>
      <c r="D37" s="2726" t="str">
        <f>実績!C1205&amp;"("&amp;SUBSTITUTE(実績!R1205&amp;")","株式会社 ","")</f>
        <v>丸三食品株式会社(タカヤ)</v>
      </c>
      <c r="E37" s="2878"/>
      <c r="F37" s="2878"/>
      <c r="G37" s="2878"/>
      <c r="H37" s="2878"/>
      <c r="I37" s="2878"/>
      <c r="J37" s="2878"/>
      <c r="K37" s="2878"/>
      <c r="L37" s="2878"/>
      <c r="M37" s="2878"/>
      <c r="N37" s="2878"/>
      <c r="O37" s="2878"/>
      <c r="P37" s="2878"/>
      <c r="Q37" s="2878"/>
      <c r="R37" s="1096"/>
      <c r="S37" s="26"/>
      <c r="T37" s="26"/>
      <c r="U37" s="54"/>
      <c r="V37" s="26"/>
      <c r="W37" s="54"/>
      <c r="X37" s="55"/>
      <c r="Y37" s="26"/>
      <c r="Z37" s="26"/>
      <c r="AA37" s="54"/>
      <c r="AB37" s="26"/>
      <c r="AC37" s="54"/>
      <c r="AD37" s="26"/>
      <c r="AE37" s="26"/>
      <c r="AF37" s="26"/>
      <c r="AG37" s="54"/>
      <c r="AH37" s="26"/>
      <c r="AI37" s="54"/>
      <c r="AJ37" s="55"/>
      <c r="AK37" s="26"/>
      <c r="AL37" s="26"/>
      <c r="AM37" s="54"/>
      <c r="AN37" s="26"/>
      <c r="AO37" s="54"/>
      <c r="AP37" s="26"/>
      <c r="AQ37" s="53"/>
      <c r="AR37" s="26"/>
      <c r="AS37" s="54"/>
      <c r="AT37" s="26"/>
      <c r="AU37" s="54"/>
      <c r="AV37" s="55"/>
      <c r="AW37" s="56"/>
      <c r="AX37" s="26"/>
      <c r="AY37" s="54"/>
      <c r="AZ37" s="26"/>
      <c r="BA37" s="54"/>
      <c r="BB37" s="55"/>
      <c r="BC37" s="26"/>
      <c r="BD37" s="26"/>
      <c r="BE37" s="54"/>
      <c r="BF37" s="26"/>
      <c r="BG37" s="54" t="s">
        <v>9291</v>
      </c>
      <c r="BH37" s="26"/>
      <c r="BI37" s="56"/>
      <c r="BJ37" s="26"/>
      <c r="BK37" s="54"/>
      <c r="BL37" s="26"/>
      <c r="BM37" s="54"/>
      <c r="BN37" s="55"/>
      <c r="BO37" s="56" t="s">
        <v>8145</v>
      </c>
      <c r="BP37" s="26"/>
      <c r="BQ37" s="54"/>
      <c r="BR37" s="26"/>
      <c r="BS37" s="54"/>
      <c r="BT37" s="55"/>
      <c r="BU37" s="56"/>
      <c r="BV37" s="26"/>
      <c r="BW37" s="54"/>
      <c r="BX37" s="26"/>
      <c r="BY37" s="54"/>
      <c r="BZ37" s="55"/>
      <c r="CA37" s="56"/>
      <c r="CB37" s="26"/>
      <c r="CC37" s="54"/>
      <c r="CD37" s="26"/>
      <c r="CE37" s="54"/>
      <c r="CF37" s="55"/>
      <c r="CG37" s="56"/>
      <c r="CH37" s="26"/>
      <c r="CI37" s="54"/>
      <c r="CJ37" s="26"/>
      <c r="CK37" s="54"/>
      <c r="CL37" s="55"/>
      <c r="CM37" s="56"/>
      <c r="CN37" s="26"/>
      <c r="CO37" s="54"/>
      <c r="CP37" s="26"/>
      <c r="CQ37" s="54"/>
      <c r="CR37" s="55"/>
      <c r="CS37" s="56"/>
      <c r="CT37" s="26"/>
      <c r="CU37" s="54"/>
      <c r="CV37" s="26"/>
      <c r="CW37" s="54"/>
      <c r="CX37" s="55"/>
      <c r="CY37" s="56"/>
      <c r="CZ37" s="26"/>
      <c r="DA37" s="54"/>
      <c r="DB37" s="26"/>
      <c r="DC37" s="54"/>
      <c r="DD37" s="55"/>
      <c r="DE37" s="56"/>
      <c r="DF37" s="26"/>
      <c r="DG37" s="54"/>
      <c r="DH37" s="26"/>
      <c r="DI37" s="54"/>
      <c r="DJ37" s="55"/>
      <c r="DK37" s="56"/>
      <c r="DL37" s="26"/>
      <c r="DM37" s="54"/>
      <c r="DN37" s="26"/>
      <c r="DO37" s="54"/>
      <c r="DP37" s="26"/>
      <c r="DQ37" s="89"/>
      <c r="DR37" s="26"/>
      <c r="DS37" s="54"/>
      <c r="DT37" s="70"/>
      <c r="DU37" s="26"/>
      <c r="DV37" s="55"/>
      <c r="DW37" s="56"/>
      <c r="DX37" s="26"/>
      <c r="DY37" s="54"/>
      <c r="DZ37" s="26"/>
      <c r="EA37" s="54"/>
      <c r="EB37" s="55"/>
      <c r="EC37" s="56"/>
      <c r="ED37" s="26"/>
      <c r="EE37" s="54"/>
      <c r="EF37" s="26"/>
      <c r="EG37" s="54"/>
      <c r="EH37" s="54"/>
      <c r="EI37" s="56"/>
      <c r="EJ37" s="26"/>
      <c r="EK37" s="54"/>
      <c r="EL37" s="26"/>
      <c r="EM37" s="54"/>
      <c r="EN37" s="55"/>
      <c r="EO37" s="56"/>
      <c r="EP37" s="26"/>
      <c r="EQ37" s="54"/>
      <c r="ER37" s="26"/>
      <c r="ES37" s="54"/>
      <c r="ET37" s="26"/>
    </row>
    <row r="38" spans="1:150" ht="20.100000000000001" hidden="1" customHeight="1" outlineLevel="1" collapsed="1">
      <c r="A38" s="3038"/>
      <c r="B38" s="1163"/>
      <c r="C38" s="179"/>
      <c r="D38" s="2726" t="str">
        <f>実績!C1135&amp;"("&amp;SUBSTITUTE(実績!AB1135&amp;")","株式会社 ","")</f>
        <v>BPS/MINI NEXT加古川(カーダクレッセ)</v>
      </c>
      <c r="E38" s="2878"/>
      <c r="F38" s="2878"/>
      <c r="G38" s="2878"/>
      <c r="H38" s="2878"/>
      <c r="I38" s="2878"/>
      <c r="J38" s="2878"/>
      <c r="K38" s="2878"/>
      <c r="L38" s="2878"/>
      <c r="M38" s="2878"/>
      <c r="N38" s="2878"/>
      <c r="O38" s="2878"/>
      <c r="P38" s="2878"/>
      <c r="Q38" s="2878"/>
      <c r="R38" s="1096"/>
      <c r="S38" s="26"/>
      <c r="T38" s="26"/>
      <c r="U38" s="54"/>
      <c r="V38" s="26"/>
      <c r="W38" s="54"/>
      <c r="X38" s="55"/>
      <c r="Y38" s="26"/>
      <c r="Z38" s="26"/>
      <c r="AA38" s="54"/>
      <c r="AB38" s="26"/>
      <c r="AC38" s="54"/>
      <c r="AD38" s="26" t="s">
        <v>8323</v>
      </c>
      <c r="AE38" s="1164"/>
      <c r="AF38" s="26"/>
      <c r="AG38" s="54"/>
      <c r="AH38" s="26"/>
      <c r="AI38" s="54"/>
      <c r="AJ38" s="55"/>
      <c r="AK38" s="26"/>
      <c r="AL38" s="26"/>
      <c r="AM38" s="54"/>
      <c r="AN38" s="26" t="s">
        <v>8526</v>
      </c>
      <c r="AO38" s="54"/>
      <c r="AP38" s="26"/>
      <c r="AQ38" s="53"/>
      <c r="AR38" s="70"/>
      <c r="AS38" s="54"/>
      <c r="AT38" s="26"/>
      <c r="AU38" s="54"/>
      <c r="AV38" s="55"/>
      <c r="AW38" s="56"/>
      <c r="AX38" s="26"/>
      <c r="AY38" s="54"/>
      <c r="AZ38" s="26"/>
      <c r="BA38" s="54"/>
      <c r="BB38" s="55"/>
      <c r="BC38" s="26"/>
      <c r="BD38" s="26"/>
      <c r="BE38" s="54"/>
      <c r="BF38" s="26"/>
      <c r="BG38" s="54"/>
      <c r="BH38" s="26"/>
      <c r="BI38" s="56"/>
      <c r="BJ38" s="26"/>
      <c r="BK38" s="54"/>
      <c r="BL38" s="26"/>
      <c r="BM38" s="54"/>
      <c r="BN38" s="55"/>
      <c r="BO38" s="56" t="s">
        <v>9291</v>
      </c>
      <c r="BP38" s="26"/>
      <c r="BQ38" s="54"/>
      <c r="BR38" s="26"/>
      <c r="BS38" s="54"/>
      <c r="BT38" s="55"/>
      <c r="BU38" s="56"/>
      <c r="BV38" s="26"/>
      <c r="BW38" s="54"/>
      <c r="BX38" s="26"/>
      <c r="BY38" s="54"/>
      <c r="BZ38" s="55"/>
      <c r="CA38" s="56"/>
      <c r="CB38" s="26"/>
      <c r="CC38" s="54"/>
      <c r="CD38" s="26"/>
      <c r="CE38" s="54"/>
      <c r="CF38" s="55"/>
      <c r="CG38" s="56"/>
      <c r="CH38" s="26"/>
      <c r="CI38" s="54"/>
      <c r="CJ38" s="26"/>
      <c r="CK38" s="54"/>
      <c r="CL38" s="55"/>
      <c r="CM38" s="56"/>
      <c r="CN38" s="26"/>
      <c r="CO38" s="54"/>
      <c r="CP38" s="26"/>
      <c r="CQ38" s="54"/>
      <c r="CR38" s="55"/>
      <c r="CS38" s="56"/>
      <c r="CT38" s="26"/>
      <c r="CU38" s="54"/>
      <c r="CV38" s="26"/>
      <c r="CW38" s="54"/>
      <c r="CX38" s="55"/>
      <c r="CY38" s="56"/>
      <c r="CZ38" s="26"/>
      <c r="DA38" s="54"/>
      <c r="DB38" s="26"/>
      <c r="DC38" s="54"/>
      <c r="DD38" s="55"/>
      <c r="DE38" s="56"/>
      <c r="DF38" s="26"/>
      <c r="DG38" s="54"/>
      <c r="DH38" s="26"/>
      <c r="DI38" s="54"/>
      <c r="DJ38" s="55"/>
      <c r="DK38" s="56"/>
      <c r="DL38" s="26"/>
      <c r="DM38" s="54"/>
      <c r="DN38" s="26"/>
      <c r="DO38" s="54"/>
      <c r="DP38" s="26"/>
      <c r="DQ38" s="89"/>
      <c r="DR38" s="26"/>
      <c r="DS38" s="54"/>
      <c r="DT38" s="70"/>
      <c r="DU38" s="26"/>
      <c r="DV38" s="55"/>
      <c r="DW38" s="56"/>
      <c r="DX38" s="26"/>
      <c r="DY38" s="54"/>
      <c r="DZ38" s="26"/>
      <c r="EA38" s="54"/>
      <c r="EB38" s="55"/>
      <c r="EC38" s="56"/>
      <c r="ED38" s="26"/>
      <c r="EE38" s="54"/>
      <c r="EF38" s="26"/>
      <c r="EG38" s="54"/>
      <c r="EH38" s="54"/>
      <c r="EI38" s="56"/>
      <c r="EJ38" s="26"/>
      <c r="EK38" s="54"/>
      <c r="EL38" s="26"/>
      <c r="EM38" s="54"/>
      <c r="EN38" s="55"/>
      <c r="EO38" s="56"/>
      <c r="EP38" s="26"/>
      <c r="EQ38" s="54"/>
      <c r="ER38" s="26"/>
      <c r="ES38" s="54"/>
      <c r="ET38" s="26"/>
    </row>
    <row r="39" spans="1:150" ht="20.100000000000001" hidden="1" customHeight="1" outlineLevel="1">
      <c r="A39" s="3038"/>
      <c r="B39" s="1163"/>
      <c r="C39" s="179"/>
      <c r="D39" s="2726" t="str">
        <f>実績!C1204&amp;"("&amp;SUBSTITUTE(実績!R1204&amp;")","株式会社 ","")</f>
        <v>吾郷税理士事務所社屋(塩野建築設計事務所)</v>
      </c>
      <c r="E39" s="2878"/>
      <c r="F39" s="2878"/>
      <c r="G39" s="2878"/>
      <c r="H39" s="2878"/>
      <c r="I39" s="2878"/>
      <c r="J39" s="2878"/>
      <c r="K39" s="2878"/>
      <c r="L39" s="2878"/>
      <c r="M39" s="2878"/>
      <c r="N39" s="2878"/>
      <c r="O39" s="2878"/>
      <c r="P39" s="2878"/>
      <c r="Q39" s="2878"/>
      <c r="R39" s="1096"/>
      <c r="S39" s="26"/>
      <c r="T39" s="26"/>
      <c r="U39" s="54"/>
      <c r="V39" s="26"/>
      <c r="W39" s="54"/>
      <c r="X39" s="55"/>
      <c r="Y39" s="26"/>
      <c r="Z39" s="26"/>
      <c r="AA39" s="54"/>
      <c r="AB39" s="26"/>
      <c r="AC39" s="54"/>
      <c r="AD39" s="26"/>
      <c r="AE39" s="26"/>
      <c r="AF39" s="26"/>
      <c r="AG39" s="54"/>
      <c r="AH39" s="26"/>
      <c r="AI39" s="54"/>
      <c r="AJ39" s="55"/>
      <c r="AK39" s="26"/>
      <c r="AL39" s="26"/>
      <c r="AM39" s="54"/>
      <c r="AN39" s="26"/>
      <c r="AO39" s="54"/>
      <c r="AP39" s="26"/>
      <c r="AQ39" s="53"/>
      <c r="AR39" s="26"/>
      <c r="AS39" s="54"/>
      <c r="AT39" s="26"/>
      <c r="AU39" s="54"/>
      <c r="AV39" s="55"/>
      <c r="AW39" s="56"/>
      <c r="AX39" s="26"/>
      <c r="AY39" s="54"/>
      <c r="AZ39" s="26" t="s">
        <v>9165</v>
      </c>
      <c r="BA39" s="54"/>
      <c r="BB39" s="55"/>
      <c r="BC39" s="26"/>
      <c r="BD39" s="26"/>
      <c r="BE39" s="54"/>
      <c r="BF39" s="26"/>
      <c r="BG39" s="54"/>
      <c r="BH39" s="26"/>
      <c r="BI39" s="56"/>
      <c r="BJ39" s="26"/>
      <c r="BK39" s="54"/>
      <c r="BL39" s="70"/>
      <c r="BM39" s="54"/>
      <c r="BN39" s="55"/>
      <c r="BO39" s="56" t="s">
        <v>9291</v>
      </c>
      <c r="BP39" s="26"/>
      <c r="BQ39" s="54"/>
      <c r="BR39" s="70"/>
      <c r="BS39" s="54"/>
      <c r="BT39" s="55"/>
      <c r="BU39" s="56"/>
      <c r="BV39" s="26"/>
      <c r="BW39" s="54"/>
      <c r="BX39" s="26"/>
      <c r="BY39" s="54"/>
      <c r="BZ39" s="55"/>
      <c r="CA39" s="56"/>
      <c r="CB39" s="26"/>
      <c r="CC39" s="54"/>
      <c r="CD39" s="26"/>
      <c r="CE39" s="54"/>
      <c r="CF39" s="55"/>
      <c r="CG39" s="56"/>
      <c r="CH39" s="26"/>
      <c r="CI39" s="54"/>
      <c r="CJ39" s="26"/>
      <c r="CK39" s="54"/>
      <c r="CL39" s="55"/>
      <c r="CM39" s="56"/>
      <c r="CN39" s="26"/>
      <c r="CO39" s="54"/>
      <c r="CP39" s="26"/>
      <c r="CQ39" s="54"/>
      <c r="CR39" s="55"/>
      <c r="CS39" s="56"/>
      <c r="CT39" s="26"/>
      <c r="CU39" s="54"/>
      <c r="CV39" s="26"/>
      <c r="CW39" s="54"/>
      <c r="CX39" s="55"/>
      <c r="CY39" s="56"/>
      <c r="CZ39" s="26"/>
      <c r="DA39" s="54"/>
      <c r="DB39" s="26"/>
      <c r="DC39" s="54"/>
      <c r="DD39" s="55"/>
      <c r="DE39" s="56"/>
      <c r="DF39" s="26"/>
      <c r="DG39" s="54"/>
      <c r="DH39" s="26"/>
      <c r="DI39" s="54"/>
      <c r="DJ39" s="55"/>
      <c r="DK39" s="56"/>
      <c r="DL39" s="26"/>
      <c r="DM39" s="54"/>
      <c r="DN39" s="26"/>
      <c r="DO39" s="54"/>
      <c r="DP39" s="26"/>
      <c r="DQ39" s="89"/>
      <c r="DR39" s="26"/>
      <c r="DS39" s="54"/>
      <c r="DT39" s="70"/>
      <c r="DU39" s="26"/>
      <c r="DV39" s="55"/>
      <c r="DW39" s="56"/>
      <c r="DX39" s="26"/>
      <c r="DY39" s="54"/>
      <c r="DZ39" s="26"/>
      <c r="EA39" s="54"/>
      <c r="EB39" s="55"/>
      <c r="EC39" s="56"/>
      <c r="ED39" s="26"/>
      <c r="EE39" s="54"/>
      <c r="EF39" s="26"/>
      <c r="EG39" s="54"/>
      <c r="EH39" s="54"/>
      <c r="EI39" s="56"/>
      <c r="EJ39" s="26"/>
      <c r="EK39" s="54"/>
      <c r="EL39" s="26"/>
      <c r="EM39" s="54"/>
      <c r="EN39" s="55"/>
      <c r="EO39" s="56"/>
      <c r="EP39" s="26"/>
      <c r="EQ39" s="54"/>
      <c r="ER39" s="26"/>
      <c r="ES39" s="54"/>
      <c r="ET39" s="26"/>
    </row>
    <row r="40" spans="1:150" ht="20.100000000000001" hidden="1" customHeight="1" outlineLevel="1" collapsed="1">
      <c r="A40" s="3038"/>
      <c r="B40" s="1163"/>
      <c r="C40" s="179"/>
      <c r="D40" s="2726" t="str">
        <f>実績!C1220&amp;"("&amp;SUBSTITUTE(実績!R1220&amp;")","株式会社 ","")</f>
        <v>(株)倉田技研 竜王工場(奥田工務店)</v>
      </c>
      <c r="E40" s="2878"/>
      <c r="F40" s="2878"/>
      <c r="G40" s="2878"/>
      <c r="H40" s="2878"/>
      <c r="I40" s="2878"/>
      <c r="J40" s="2878"/>
      <c r="K40" s="2878"/>
      <c r="L40" s="2878"/>
      <c r="M40" s="2878"/>
      <c r="N40" s="2878"/>
      <c r="O40" s="2878"/>
      <c r="P40" s="2878"/>
      <c r="Q40" s="2878"/>
      <c r="R40" s="1096"/>
      <c r="S40" s="26"/>
      <c r="T40" s="26"/>
      <c r="U40" s="54"/>
      <c r="V40" s="26"/>
      <c r="W40" s="54"/>
      <c r="X40" s="55"/>
      <c r="Y40" s="26"/>
      <c r="Z40" s="26"/>
      <c r="AA40" s="54"/>
      <c r="AB40" s="26"/>
      <c r="AC40" s="54"/>
      <c r="AD40" s="26"/>
      <c r="AE40" s="26"/>
      <c r="AF40" s="26"/>
      <c r="AG40" s="54"/>
      <c r="AH40" s="26"/>
      <c r="AI40" s="54"/>
      <c r="AJ40" s="55"/>
      <c r="AK40" s="26"/>
      <c r="AL40" s="26"/>
      <c r="AM40" s="54"/>
      <c r="AN40" s="26"/>
      <c r="AO40" s="54"/>
      <c r="AP40" s="26"/>
      <c r="AQ40" s="53"/>
      <c r="AR40" s="26"/>
      <c r="AS40" s="54"/>
      <c r="AT40" s="26"/>
      <c r="AU40" s="54"/>
      <c r="AV40" s="55"/>
      <c r="AW40" s="56"/>
      <c r="AX40" s="26"/>
      <c r="AY40" s="54"/>
      <c r="AZ40" s="26"/>
      <c r="BA40" s="54"/>
      <c r="BB40" s="55"/>
      <c r="BC40" s="26"/>
      <c r="BD40" s="26"/>
      <c r="BE40" s="54"/>
      <c r="BF40" s="26"/>
      <c r="BG40" s="54"/>
      <c r="BH40" s="26"/>
      <c r="BI40" s="56"/>
      <c r="BJ40" s="26"/>
      <c r="BK40" s="54"/>
      <c r="BL40" s="26"/>
      <c r="BM40" s="54"/>
      <c r="BN40" s="55"/>
      <c r="BO40" s="56"/>
      <c r="BP40" s="26"/>
      <c r="BQ40" s="54"/>
      <c r="BR40" s="70"/>
      <c r="BS40" s="54"/>
      <c r="BT40" s="55"/>
      <c r="BU40" s="56"/>
      <c r="BV40" s="26"/>
      <c r="BW40" s="54" t="s">
        <v>8250</v>
      </c>
      <c r="BX40" s="26"/>
      <c r="BY40" s="54"/>
      <c r="BZ40" s="55"/>
      <c r="CA40" s="56"/>
      <c r="CB40" s="26"/>
      <c r="CC40" s="54"/>
      <c r="CD40" s="26"/>
      <c r="CE40" s="54"/>
      <c r="CF40" s="55"/>
      <c r="CG40" s="56"/>
      <c r="CH40" s="26"/>
      <c r="CI40" s="54"/>
      <c r="CJ40" s="26"/>
      <c r="CK40" s="54"/>
      <c r="CL40" s="55"/>
      <c r="CM40" s="56"/>
      <c r="CN40" s="26"/>
      <c r="CO40" s="54"/>
      <c r="CP40" s="26"/>
      <c r="CQ40" s="54"/>
      <c r="CR40" s="55"/>
      <c r="CS40" s="56"/>
      <c r="CT40" s="26"/>
      <c r="CU40" s="54"/>
      <c r="CV40" s="26"/>
      <c r="CW40" s="54"/>
      <c r="CX40" s="55"/>
      <c r="CY40" s="56"/>
      <c r="CZ40" s="26"/>
      <c r="DA40" s="54"/>
      <c r="DB40" s="26"/>
      <c r="DC40" s="54"/>
      <c r="DD40" s="55"/>
      <c r="DE40" s="56"/>
      <c r="DF40" s="26"/>
      <c r="DG40" s="54"/>
      <c r="DH40" s="26"/>
      <c r="DI40" s="54"/>
      <c r="DJ40" s="55"/>
      <c r="DK40" s="56"/>
      <c r="DL40" s="26"/>
      <c r="DM40" s="54"/>
      <c r="DN40" s="26"/>
      <c r="DO40" s="54"/>
      <c r="DP40" s="26"/>
      <c r="DQ40" s="89"/>
      <c r="DR40" s="26"/>
      <c r="DS40" s="54"/>
      <c r="DT40" s="70"/>
      <c r="DU40" s="26"/>
      <c r="DV40" s="55"/>
      <c r="DW40" s="56"/>
      <c r="DX40" s="26"/>
      <c r="DY40" s="54"/>
      <c r="DZ40" s="26"/>
      <c r="EA40" s="54"/>
      <c r="EB40" s="55"/>
      <c r="EC40" s="56"/>
      <c r="ED40" s="26"/>
      <c r="EE40" s="54"/>
      <c r="EF40" s="26"/>
      <c r="EG40" s="54"/>
      <c r="EH40" s="54"/>
      <c r="EI40" s="56"/>
      <c r="EJ40" s="26"/>
      <c r="EK40" s="54"/>
      <c r="EL40" s="26"/>
      <c r="EM40" s="54"/>
      <c r="EN40" s="55"/>
      <c r="EO40" s="56"/>
      <c r="EP40" s="26"/>
      <c r="EQ40" s="54"/>
      <c r="ER40" s="26"/>
      <c r="ES40" s="54"/>
      <c r="ET40" s="26"/>
    </row>
    <row r="41" spans="1:150" ht="20.100000000000001" hidden="1" customHeight="1" outlineLevel="1">
      <c r="A41" s="3038"/>
      <c r="B41" s="1163"/>
      <c r="C41" s="179"/>
      <c r="D41" s="2726" t="s">
        <v>9769</v>
      </c>
      <c r="E41" s="2727"/>
      <c r="F41" s="2727"/>
      <c r="G41" s="2727"/>
      <c r="H41" s="2727"/>
      <c r="I41" s="2727"/>
      <c r="J41" s="2727"/>
      <c r="K41" s="2727"/>
      <c r="L41" s="2727"/>
      <c r="M41" s="2727"/>
      <c r="N41" s="2727"/>
      <c r="O41" s="2727"/>
      <c r="P41" s="2727"/>
      <c r="Q41" s="2727"/>
      <c r="R41" s="1111"/>
      <c r="S41" s="26"/>
      <c r="T41" s="26"/>
      <c r="U41" s="54"/>
      <c r="V41" s="26"/>
      <c r="W41" s="54"/>
      <c r="X41" s="55"/>
      <c r="Y41" s="26"/>
      <c r="Z41" s="26"/>
      <c r="AA41" s="54"/>
      <c r="AB41" s="26"/>
      <c r="AC41" s="54"/>
      <c r="AD41" s="26"/>
      <c r="AE41" s="26"/>
      <c r="AF41" s="26"/>
      <c r="AG41" s="54"/>
      <c r="AH41" s="26"/>
      <c r="AI41" s="54"/>
      <c r="AJ41" s="55"/>
      <c r="AK41" s="26"/>
      <c r="AL41" s="26"/>
      <c r="AM41" s="54"/>
      <c r="AN41" s="26"/>
      <c r="AO41" s="54"/>
      <c r="AP41" s="26"/>
      <c r="AQ41" s="53"/>
      <c r="AR41" s="26"/>
      <c r="AS41" s="54"/>
      <c r="AT41" s="26"/>
      <c r="AU41" s="54"/>
      <c r="AV41" s="55"/>
      <c r="AW41" s="56"/>
      <c r="AX41" s="26"/>
      <c r="AY41" s="54"/>
      <c r="AZ41" s="26"/>
      <c r="BA41" s="54"/>
      <c r="BB41" s="55"/>
      <c r="BC41" s="26"/>
      <c r="BD41" s="26"/>
      <c r="BE41" s="54"/>
      <c r="BF41" s="26"/>
      <c r="BG41" s="54"/>
      <c r="BH41" s="26"/>
      <c r="BI41" s="56"/>
      <c r="BJ41" s="26"/>
      <c r="BK41" s="54"/>
      <c r="BL41" s="26"/>
      <c r="BM41" s="54"/>
      <c r="BN41" s="55"/>
      <c r="BO41" s="56"/>
      <c r="BP41" s="26"/>
      <c r="BQ41" s="54"/>
      <c r="BR41" s="26"/>
      <c r="BS41" s="1165"/>
      <c r="BT41" s="55"/>
      <c r="BU41" s="56"/>
      <c r="BV41" s="26"/>
      <c r="BW41" s="54"/>
      <c r="BX41" s="26" t="s">
        <v>8250</v>
      </c>
      <c r="BY41" s="54"/>
      <c r="BZ41" s="55"/>
      <c r="CA41" s="56"/>
      <c r="CB41" s="26"/>
      <c r="CC41" s="54"/>
      <c r="CD41" s="26" t="s">
        <v>8145</v>
      </c>
      <c r="CE41" s="54"/>
      <c r="CF41" s="55"/>
      <c r="CG41" s="56"/>
      <c r="CH41" s="26"/>
      <c r="CI41" s="54"/>
      <c r="CJ41" s="26"/>
      <c r="CK41" s="54"/>
      <c r="CL41" s="55"/>
      <c r="CM41" s="56"/>
      <c r="CN41" s="26"/>
      <c r="CO41" s="54"/>
      <c r="CP41" s="26"/>
      <c r="CQ41" s="54"/>
      <c r="CR41" s="55"/>
      <c r="CS41" s="56"/>
      <c r="CT41" s="26"/>
      <c r="CU41" s="54"/>
      <c r="CV41" s="26"/>
      <c r="CW41" s="54"/>
      <c r="CX41" s="55"/>
      <c r="CY41" s="56"/>
      <c r="CZ41" s="26"/>
      <c r="DA41" s="54"/>
      <c r="DB41" s="26"/>
      <c r="DC41" s="54"/>
      <c r="DD41" s="55"/>
      <c r="DE41" s="56"/>
      <c r="DF41" s="26"/>
      <c r="DG41" s="54"/>
      <c r="DH41" s="26"/>
      <c r="DI41" s="54"/>
      <c r="DJ41" s="55"/>
      <c r="DK41" s="56"/>
      <c r="DL41" s="26"/>
      <c r="DM41" s="54"/>
      <c r="DN41" s="26"/>
      <c r="DO41" s="54"/>
      <c r="DP41" s="26"/>
      <c r="DQ41" s="89"/>
      <c r="DR41" s="26"/>
      <c r="DS41" s="54"/>
      <c r="DT41" s="70"/>
      <c r="DU41" s="26"/>
      <c r="DV41" s="55"/>
      <c r="DW41" s="56"/>
      <c r="DX41" s="26"/>
      <c r="DY41" s="54"/>
      <c r="DZ41" s="26"/>
      <c r="EA41" s="54"/>
      <c r="EB41" s="55"/>
      <c r="EC41" s="56"/>
      <c r="ED41" s="26"/>
      <c r="EE41" s="54"/>
      <c r="EF41" s="26"/>
      <c r="EG41" s="54"/>
      <c r="EH41" s="54"/>
      <c r="EI41" s="56"/>
      <c r="EJ41" s="26"/>
      <c r="EK41" s="54"/>
      <c r="EL41" s="26"/>
      <c r="EM41" s="54"/>
      <c r="EN41" s="55"/>
      <c r="EO41" s="56"/>
      <c r="EP41" s="26"/>
      <c r="EQ41" s="54"/>
      <c r="ER41" s="26"/>
      <c r="ES41" s="54"/>
      <c r="ET41" s="26"/>
    </row>
    <row r="42" spans="1:150" ht="20.100000000000001" hidden="1" customHeight="1" outlineLevel="1" collapsed="1">
      <c r="A42" s="3038"/>
      <c r="B42" s="1163"/>
      <c r="C42" s="179"/>
      <c r="D42" s="2726" t="str">
        <f>実績!C874&amp;"("&amp;SUBSTITUTE(実績!R874&amp;")","有限会社 ","")</f>
        <v>KO-HOUSE(窪田建築アトリエ)</v>
      </c>
      <c r="E42" s="2878"/>
      <c r="F42" s="2878"/>
      <c r="G42" s="2878"/>
      <c r="H42" s="2878"/>
      <c r="I42" s="2878"/>
      <c r="J42" s="2878"/>
      <c r="K42" s="2878"/>
      <c r="L42" s="2878"/>
      <c r="M42" s="2878"/>
      <c r="N42" s="2878"/>
      <c r="O42" s="2878"/>
      <c r="P42" s="2878"/>
      <c r="Q42" s="2878"/>
      <c r="R42" s="1096"/>
      <c r="S42" s="26"/>
      <c r="T42" s="26"/>
      <c r="U42" s="54"/>
      <c r="V42" s="26"/>
      <c r="W42" s="54"/>
      <c r="X42" s="55"/>
      <c r="Y42" s="26"/>
      <c r="Z42" s="26"/>
      <c r="AA42" s="54"/>
      <c r="AB42" s="26"/>
      <c r="AC42" s="54"/>
      <c r="AD42" s="26"/>
      <c r="AE42" s="26"/>
      <c r="AF42" s="26"/>
      <c r="AG42" s="54"/>
      <c r="AH42" s="26"/>
      <c r="AI42" s="54"/>
      <c r="AJ42" s="55"/>
      <c r="AK42" s="26"/>
      <c r="AL42" s="26"/>
      <c r="AM42" s="54"/>
      <c r="AN42" s="26"/>
      <c r="AO42" s="54"/>
      <c r="AP42" s="26"/>
      <c r="AQ42" s="53"/>
      <c r="AR42" s="26"/>
      <c r="AS42" s="54"/>
      <c r="AT42" s="26"/>
      <c r="AU42" s="54"/>
      <c r="AV42" s="55"/>
      <c r="AW42" s="56"/>
      <c r="AX42" s="26"/>
      <c r="AY42" s="54"/>
      <c r="AZ42" s="26" t="s">
        <v>9165</v>
      </c>
      <c r="BA42" s="54"/>
      <c r="BB42" s="55"/>
      <c r="BC42" s="26"/>
      <c r="BD42" s="26"/>
      <c r="BE42" s="54"/>
      <c r="BF42" s="26"/>
      <c r="BG42" s="54"/>
      <c r="BH42" s="26"/>
      <c r="BI42" s="56"/>
      <c r="BJ42" s="26"/>
      <c r="BK42" s="54"/>
      <c r="BL42" s="70"/>
      <c r="BM42" s="54"/>
      <c r="BN42" s="55"/>
      <c r="BO42" s="56"/>
      <c r="BP42" s="26"/>
      <c r="BQ42" s="54"/>
      <c r="BR42" s="70"/>
      <c r="BS42" s="54"/>
      <c r="BT42" s="55"/>
      <c r="BU42" s="56"/>
      <c r="BV42" s="26"/>
      <c r="BW42" s="54"/>
      <c r="BX42" s="26"/>
      <c r="BY42" s="54"/>
      <c r="BZ42" s="116"/>
      <c r="CA42" s="56" t="s">
        <v>8145</v>
      </c>
      <c r="CB42" s="26"/>
      <c r="CC42" s="54"/>
      <c r="CD42" s="26"/>
      <c r="CE42" s="54"/>
      <c r="CF42" s="55"/>
      <c r="CG42" s="56"/>
      <c r="CH42" s="26"/>
      <c r="CI42" s="54"/>
      <c r="CJ42" s="26"/>
      <c r="CK42" s="54"/>
      <c r="CL42" s="55"/>
      <c r="CM42" s="56"/>
      <c r="CN42" s="26"/>
      <c r="CO42" s="54"/>
      <c r="CP42" s="26"/>
      <c r="CQ42" s="54"/>
      <c r="CR42" s="55"/>
      <c r="CS42" s="56"/>
      <c r="CT42" s="26"/>
      <c r="CU42" s="54"/>
      <c r="CV42" s="26"/>
      <c r="CW42" s="54"/>
      <c r="CX42" s="55"/>
      <c r="CY42" s="56"/>
      <c r="CZ42" s="26"/>
      <c r="DA42" s="54"/>
      <c r="DB42" s="26"/>
      <c r="DC42" s="54"/>
      <c r="DD42" s="55"/>
      <c r="DE42" s="56"/>
      <c r="DF42" s="26"/>
      <c r="DG42" s="54"/>
      <c r="DH42" s="26"/>
      <c r="DI42" s="54"/>
      <c r="DJ42" s="55"/>
      <c r="DK42" s="56"/>
      <c r="DL42" s="26"/>
      <c r="DM42" s="54"/>
      <c r="DN42" s="26"/>
      <c r="DO42" s="54"/>
      <c r="DP42" s="26"/>
      <c r="DQ42" s="89"/>
      <c r="DR42" s="26"/>
      <c r="DS42" s="54"/>
      <c r="DT42" s="70"/>
      <c r="DU42" s="26"/>
      <c r="DV42" s="55"/>
      <c r="DW42" s="56"/>
      <c r="DX42" s="26"/>
      <c r="DY42" s="54"/>
      <c r="DZ42" s="26"/>
      <c r="EA42" s="54"/>
      <c r="EB42" s="55"/>
      <c r="EC42" s="56"/>
      <c r="ED42" s="26"/>
      <c r="EE42" s="54"/>
      <c r="EF42" s="26"/>
      <c r="EG42" s="54"/>
      <c r="EH42" s="54"/>
      <c r="EI42" s="56"/>
      <c r="EJ42" s="26"/>
      <c r="EK42" s="54"/>
      <c r="EL42" s="26"/>
      <c r="EM42" s="54"/>
      <c r="EN42" s="55"/>
      <c r="EO42" s="56"/>
      <c r="EP42" s="26"/>
      <c r="EQ42" s="54"/>
      <c r="ER42" s="26"/>
      <c r="ES42" s="54"/>
      <c r="ET42" s="26"/>
    </row>
    <row r="43" spans="1:150" ht="20.100000000000001" hidden="1" customHeight="1" outlineLevel="1" collapsed="1">
      <c r="A43" s="3038"/>
      <c r="B43" s="1163"/>
      <c r="C43" s="179"/>
      <c r="D43" s="2726" t="str">
        <f>実績!C1255&amp;"("&amp;SUBSTITUTE(実績!R1255&amp;")","株式会社 ","")</f>
        <v>バロー領下(上野山都市設計)</v>
      </c>
      <c r="E43" s="2727"/>
      <c r="F43" s="2727"/>
      <c r="G43" s="2727"/>
      <c r="H43" s="2727"/>
      <c r="I43" s="2727"/>
      <c r="J43" s="2727"/>
      <c r="K43" s="2727"/>
      <c r="L43" s="2727"/>
      <c r="M43" s="2727"/>
      <c r="N43" s="2727"/>
      <c r="O43" s="2727"/>
      <c r="P43" s="2727"/>
      <c r="Q43" s="2727"/>
      <c r="R43" s="1111"/>
      <c r="S43" s="26"/>
      <c r="T43" s="26"/>
      <c r="U43" s="54"/>
      <c r="V43" s="26"/>
      <c r="W43" s="54"/>
      <c r="X43" s="55"/>
      <c r="Y43" s="26"/>
      <c r="Z43" s="26"/>
      <c r="AA43" s="54"/>
      <c r="AB43" s="26"/>
      <c r="AC43" s="54"/>
      <c r="AD43" s="26"/>
      <c r="AE43" s="56"/>
      <c r="AF43" s="26"/>
      <c r="AG43" s="54"/>
      <c r="AH43" s="26"/>
      <c r="AI43" s="54"/>
      <c r="AJ43" s="55"/>
      <c r="AK43" s="26"/>
      <c r="AL43" s="26"/>
      <c r="AM43" s="54"/>
      <c r="AN43" s="26"/>
      <c r="AO43" s="54"/>
      <c r="AP43" s="26"/>
      <c r="AQ43" s="53"/>
      <c r="AR43" s="26"/>
      <c r="AS43" s="54"/>
      <c r="AT43" s="26"/>
      <c r="AU43" s="54" t="s">
        <v>8352</v>
      </c>
      <c r="AV43" s="55"/>
      <c r="AW43" s="56"/>
      <c r="AX43" s="26"/>
      <c r="AY43" s="54"/>
      <c r="AZ43" s="26"/>
      <c r="BA43" s="54"/>
      <c r="BB43" s="55"/>
      <c r="BC43" s="26"/>
      <c r="BD43" s="26"/>
      <c r="BE43" s="54"/>
      <c r="BF43" s="26"/>
      <c r="BG43" s="54"/>
      <c r="BH43" s="26"/>
      <c r="BI43" s="56"/>
      <c r="BJ43" s="26"/>
      <c r="BK43" s="54"/>
      <c r="BL43" s="26"/>
      <c r="BM43" s="54"/>
      <c r="BN43" s="55"/>
      <c r="BO43" s="56"/>
      <c r="BP43" s="26"/>
      <c r="BQ43" s="54"/>
      <c r="BR43" s="26"/>
      <c r="BS43" s="54"/>
      <c r="BT43" s="55"/>
      <c r="BU43" s="56"/>
      <c r="BV43" s="26"/>
      <c r="BW43" s="54"/>
      <c r="BX43" s="26"/>
      <c r="BY43" s="54"/>
      <c r="BZ43" s="55"/>
      <c r="CA43" s="56"/>
      <c r="CB43" s="26"/>
      <c r="CC43" s="54"/>
      <c r="CD43" s="26"/>
      <c r="CE43" s="54"/>
      <c r="CF43" s="55" t="s">
        <v>9164</v>
      </c>
      <c r="CG43" s="56"/>
      <c r="CH43" s="26"/>
      <c r="CI43" s="54"/>
      <c r="CJ43" s="26" t="s">
        <v>8250</v>
      </c>
      <c r="CK43" s="54"/>
      <c r="CL43" s="55"/>
      <c r="CM43" s="56"/>
      <c r="CN43" s="26"/>
      <c r="CO43" s="54"/>
      <c r="CP43" s="26"/>
      <c r="CQ43" s="54"/>
      <c r="CR43" s="55"/>
      <c r="CS43" s="56"/>
      <c r="CT43" s="26"/>
      <c r="CU43" s="54"/>
      <c r="CV43" s="26"/>
      <c r="CW43" s="54"/>
      <c r="CX43" s="55"/>
      <c r="CY43" s="56"/>
      <c r="CZ43" s="26"/>
      <c r="DA43" s="54" t="s">
        <v>8145</v>
      </c>
      <c r="DB43" s="26"/>
      <c r="DC43" s="54"/>
      <c r="DD43" s="55"/>
      <c r="DE43" s="56"/>
      <c r="DF43" s="26"/>
      <c r="DG43" s="54"/>
      <c r="DH43" s="26"/>
      <c r="DI43" s="54"/>
      <c r="DJ43" s="55"/>
      <c r="DK43" s="56"/>
      <c r="DL43" s="26"/>
      <c r="DM43" s="54"/>
      <c r="DN43" s="26"/>
      <c r="DO43" s="54"/>
      <c r="DP43" s="26"/>
      <c r="DQ43" s="89"/>
      <c r="DR43" s="26"/>
      <c r="DS43" s="54"/>
      <c r="DT43" s="70"/>
      <c r="DU43" s="26"/>
      <c r="DV43" s="55"/>
      <c r="DW43" s="56"/>
      <c r="DX43" s="26"/>
      <c r="DY43" s="54"/>
      <c r="DZ43" s="26"/>
      <c r="EA43" s="54"/>
      <c r="EB43" s="55"/>
      <c r="EC43" s="56"/>
      <c r="ED43" s="26"/>
      <c r="EE43" s="54"/>
      <c r="EF43" s="26"/>
      <c r="EG43" s="54"/>
      <c r="EH43" s="54"/>
      <c r="EI43" s="56"/>
      <c r="EJ43" s="26"/>
      <c r="EK43" s="54"/>
      <c r="EL43" s="26"/>
      <c r="EM43" s="54"/>
      <c r="EN43" s="55"/>
      <c r="EO43" s="56"/>
      <c r="EP43" s="26"/>
      <c r="EQ43" s="54"/>
      <c r="ER43" s="26"/>
      <c r="ES43" s="54"/>
      <c r="ET43" s="26"/>
    </row>
    <row r="44" spans="1:150" ht="20.100000000000001" hidden="1" customHeight="1" outlineLevel="1">
      <c r="A44" s="3038"/>
      <c r="B44" s="1163"/>
      <c r="C44" s="283"/>
      <c r="D44" s="2686" t="str">
        <f>実績!C1261&amp;"("&amp;SUBSTITUTE(実績!AB1261&amp;")","株式会社 ","")</f>
        <v>BMW姫路(カーダクレッセ)</v>
      </c>
      <c r="E44" s="2687"/>
      <c r="F44" s="2687"/>
      <c r="G44" s="2687"/>
      <c r="H44" s="2687"/>
      <c r="I44" s="2687"/>
      <c r="J44" s="2687"/>
      <c r="K44" s="2687"/>
      <c r="L44" s="2687"/>
      <c r="M44" s="2687"/>
      <c r="N44" s="2687"/>
      <c r="O44" s="2687"/>
      <c r="P44" s="2687"/>
      <c r="Q44" s="2687"/>
      <c r="R44" s="1166"/>
      <c r="S44" s="63"/>
      <c r="T44" s="63"/>
      <c r="U44" s="64"/>
      <c r="V44" s="63"/>
      <c r="W44" s="64"/>
      <c r="X44" s="65"/>
      <c r="Y44" s="63"/>
      <c r="Z44" s="63"/>
      <c r="AA44" s="64"/>
      <c r="AB44" s="63"/>
      <c r="AC44" s="64"/>
      <c r="AD44" s="63"/>
      <c r="AE44" s="66"/>
      <c r="AF44" s="63"/>
      <c r="AG44" s="64"/>
      <c r="AH44" s="63"/>
      <c r="AI44" s="64"/>
      <c r="AJ44" s="65"/>
      <c r="AK44" s="63"/>
      <c r="AL44" s="63"/>
      <c r="AM44" s="64"/>
      <c r="AN44" s="63"/>
      <c r="AO44" s="64"/>
      <c r="AP44" s="63"/>
      <c r="AQ44" s="62"/>
      <c r="AR44" s="63"/>
      <c r="AS44" s="64"/>
      <c r="AT44" s="63"/>
      <c r="AU44" s="64" t="s">
        <v>8352</v>
      </c>
      <c r="AV44" s="65"/>
      <c r="AW44" s="66"/>
      <c r="AX44" s="63"/>
      <c r="AY44" s="64"/>
      <c r="AZ44" s="63"/>
      <c r="BA44" s="64"/>
      <c r="BB44" s="65"/>
      <c r="BC44" s="63"/>
      <c r="BD44" s="63"/>
      <c r="BE44" s="64"/>
      <c r="BF44" s="63"/>
      <c r="BG44" s="64"/>
      <c r="BH44" s="63"/>
      <c r="BI44" s="66"/>
      <c r="BJ44" s="63"/>
      <c r="BK44" s="64"/>
      <c r="BL44" s="63"/>
      <c r="BM44" s="64"/>
      <c r="BN44" s="65"/>
      <c r="BO44" s="66"/>
      <c r="BP44" s="63"/>
      <c r="BQ44" s="64"/>
      <c r="BR44" s="63"/>
      <c r="BS44" s="64"/>
      <c r="BT44" s="65"/>
      <c r="BU44" s="66"/>
      <c r="BV44" s="63"/>
      <c r="BW44" s="64"/>
      <c r="BX44" s="63"/>
      <c r="BY44" s="64"/>
      <c r="BZ44" s="65"/>
      <c r="CA44" s="66"/>
      <c r="CB44" s="63"/>
      <c r="CC44" s="64"/>
      <c r="CD44" s="63"/>
      <c r="CE44" s="64"/>
      <c r="CF44" s="65"/>
      <c r="CG44" s="66"/>
      <c r="CH44" s="63"/>
      <c r="CI44" s="64" t="s">
        <v>8644</v>
      </c>
      <c r="CJ44" s="63"/>
      <c r="CK44" s="64" t="s">
        <v>8250</v>
      </c>
      <c r="CL44" s="65"/>
      <c r="CM44" s="66"/>
      <c r="CN44" s="63"/>
      <c r="CO44" s="64"/>
      <c r="CP44" s="63"/>
      <c r="CQ44" s="64"/>
      <c r="CR44" s="65"/>
      <c r="CS44" s="66"/>
      <c r="CT44" s="63"/>
      <c r="CU44" s="64"/>
      <c r="CV44" s="63"/>
      <c r="CW44" s="64" t="s">
        <v>8145</v>
      </c>
      <c r="CX44" s="65"/>
      <c r="CY44" s="66"/>
      <c r="CZ44" s="63"/>
      <c r="DA44" s="64"/>
      <c r="DB44" s="63"/>
      <c r="DC44" s="64"/>
      <c r="DD44" s="65"/>
      <c r="DE44" s="66"/>
      <c r="DF44" s="63"/>
      <c r="DG44" s="64"/>
      <c r="DH44" s="63"/>
      <c r="DI44" s="64"/>
      <c r="DJ44" s="65"/>
      <c r="DK44" s="66"/>
      <c r="DL44" s="63"/>
      <c r="DM44" s="64"/>
      <c r="DN44" s="63"/>
      <c r="DO44" s="64"/>
      <c r="DP44" s="63"/>
      <c r="DQ44" s="204"/>
      <c r="DR44" s="63"/>
      <c r="DS44" s="64"/>
      <c r="DT44" s="69"/>
      <c r="DU44" s="63"/>
      <c r="DV44" s="65"/>
      <c r="DW44" s="66"/>
      <c r="DX44" s="63"/>
      <c r="DY44" s="64"/>
      <c r="DZ44" s="63"/>
      <c r="EA44" s="64"/>
      <c r="EB44" s="65"/>
      <c r="EC44" s="66"/>
      <c r="ED44" s="63"/>
      <c r="EE44" s="64"/>
      <c r="EF44" s="63"/>
      <c r="EG44" s="64"/>
      <c r="EH44" s="64"/>
      <c r="EI44" s="66"/>
      <c r="EJ44" s="63"/>
      <c r="EK44" s="64"/>
      <c r="EL44" s="63"/>
      <c r="EM44" s="64"/>
      <c r="EN44" s="65"/>
      <c r="EO44" s="66"/>
      <c r="EP44" s="63"/>
      <c r="EQ44" s="64"/>
      <c r="ER44" s="63"/>
      <c r="ES44" s="64"/>
      <c r="ET44" s="63"/>
    </row>
    <row r="45" spans="1:150" ht="20.100000000000001" hidden="1" customHeight="1" outlineLevel="1" collapsed="1">
      <c r="A45" s="3038"/>
      <c r="B45" s="1167"/>
      <c r="C45" s="179"/>
      <c r="D45" s="2726" t="str">
        <f>実績!C1227&amp;"("&amp;SUBSTITUTE(実績!R1227&amp;")","有限会社 ","")</f>
        <v>K幼保連携型認定こども園(アークスコーベ)</v>
      </c>
      <c r="E45" s="2878"/>
      <c r="F45" s="2878"/>
      <c r="G45" s="2878"/>
      <c r="H45" s="2878"/>
      <c r="I45" s="2878"/>
      <c r="J45" s="2878"/>
      <c r="K45" s="2878"/>
      <c r="L45" s="2878"/>
      <c r="M45" s="2878"/>
      <c r="N45" s="2878"/>
      <c r="O45" s="2878"/>
      <c r="P45" s="2878"/>
      <c r="Q45" s="2878"/>
      <c r="R45" s="1096"/>
      <c r="S45" s="26"/>
      <c r="T45" s="26"/>
      <c r="U45" s="54"/>
      <c r="V45" s="26"/>
      <c r="W45" s="54"/>
      <c r="X45" s="55"/>
      <c r="Y45" s="26"/>
      <c r="Z45" s="26"/>
      <c r="AA45" s="54"/>
      <c r="AB45" s="26"/>
      <c r="AC45" s="54"/>
      <c r="AD45" s="26"/>
      <c r="AE45" s="26"/>
      <c r="AF45" s="26"/>
      <c r="AG45" s="54"/>
      <c r="AH45" s="26"/>
      <c r="AI45" s="54"/>
      <c r="AJ45" s="55"/>
      <c r="AK45" s="26"/>
      <c r="AL45" s="26"/>
      <c r="AM45" s="54"/>
      <c r="AN45" s="26"/>
      <c r="AO45" s="54"/>
      <c r="AP45" s="26"/>
      <c r="AQ45" s="53"/>
      <c r="AR45" s="26"/>
      <c r="AS45" s="54"/>
      <c r="AT45" s="26"/>
      <c r="AU45" s="54"/>
      <c r="AV45" s="55"/>
      <c r="AW45" s="56"/>
      <c r="AX45" s="26"/>
      <c r="AY45" s="54"/>
      <c r="AZ45" s="26" t="s">
        <v>9165</v>
      </c>
      <c r="BA45" s="54"/>
      <c r="BB45" s="55"/>
      <c r="BC45" s="26"/>
      <c r="BD45" s="26"/>
      <c r="BE45" s="54"/>
      <c r="BF45" s="26"/>
      <c r="BG45" s="54"/>
      <c r="BH45" s="26"/>
      <c r="BI45" s="56"/>
      <c r="BJ45" s="26"/>
      <c r="BK45" s="54"/>
      <c r="BL45" s="70"/>
      <c r="BM45" s="54"/>
      <c r="BN45" s="55"/>
      <c r="BO45" s="56"/>
      <c r="BP45" s="26"/>
      <c r="BQ45" s="54"/>
      <c r="BR45" s="70"/>
      <c r="BS45" s="54"/>
      <c r="BT45" s="55"/>
      <c r="BU45" s="56"/>
      <c r="BV45" s="26"/>
      <c r="BW45" s="54"/>
      <c r="BX45" s="26"/>
      <c r="BY45" s="54"/>
      <c r="BZ45" s="116" t="s">
        <v>9814</v>
      </c>
      <c r="CA45" s="56"/>
      <c r="CB45" s="26"/>
      <c r="CC45" s="54"/>
      <c r="CD45" s="26"/>
      <c r="CE45" s="54"/>
      <c r="CF45" s="55"/>
      <c r="CG45" s="56"/>
      <c r="CH45" s="26"/>
      <c r="CI45" s="54"/>
      <c r="CJ45" s="26"/>
      <c r="CK45" s="54"/>
      <c r="CL45" s="55"/>
      <c r="CM45" s="56" t="s">
        <v>9816</v>
      </c>
      <c r="CN45" s="26"/>
      <c r="CO45" s="54"/>
      <c r="CP45" s="26"/>
      <c r="CQ45" s="54"/>
      <c r="CR45" s="55"/>
      <c r="CS45" s="56"/>
      <c r="CT45" s="26"/>
      <c r="CU45" s="54"/>
      <c r="CV45" s="26"/>
      <c r="CW45" s="54"/>
      <c r="CX45" s="55"/>
      <c r="CY45" s="56"/>
      <c r="CZ45" s="26"/>
      <c r="DA45" s="54"/>
      <c r="DB45" s="26"/>
      <c r="DC45" s="54"/>
      <c r="DD45" s="55"/>
      <c r="DE45" s="56"/>
      <c r="DF45" s="26"/>
      <c r="DG45" s="54"/>
      <c r="DH45" s="26"/>
      <c r="DI45" s="54"/>
      <c r="DJ45" s="55"/>
      <c r="DK45" s="56"/>
      <c r="DL45" s="26"/>
      <c r="DM45" s="54"/>
      <c r="DN45" s="26"/>
      <c r="DO45" s="54"/>
      <c r="DP45" s="26"/>
      <c r="DQ45" s="89"/>
      <c r="DR45" s="26"/>
      <c r="DS45" s="54"/>
      <c r="DT45" s="70"/>
      <c r="DU45" s="26"/>
      <c r="DV45" s="55"/>
      <c r="DW45" s="56"/>
      <c r="DX45" s="26"/>
      <c r="DY45" s="54"/>
      <c r="DZ45" s="26"/>
      <c r="EA45" s="54"/>
      <c r="EB45" s="55"/>
      <c r="EC45" s="56"/>
      <c r="ED45" s="26"/>
      <c r="EE45" s="54"/>
      <c r="EF45" s="26"/>
      <c r="EG45" s="54"/>
      <c r="EH45" s="54"/>
      <c r="EI45" s="56"/>
      <c r="EJ45" s="26"/>
      <c r="EK45" s="54"/>
      <c r="EL45" s="26"/>
      <c r="EM45" s="54"/>
      <c r="EN45" s="55"/>
      <c r="EO45" s="56"/>
      <c r="EP45" s="26"/>
      <c r="EQ45" s="54"/>
      <c r="ER45" s="26"/>
      <c r="ES45" s="54"/>
      <c r="ET45" s="26"/>
    </row>
    <row r="46" spans="1:150" ht="20.100000000000001" hidden="1" customHeight="1" outlineLevel="1" collapsed="1">
      <c r="A46" s="3038"/>
      <c r="B46" s="1167"/>
      <c r="C46" s="179"/>
      <c r="D46" s="2726" t="str">
        <f>実績!C1290&amp;"("&amp;SUBSTITUTE(実績!R1290&amp;")","有限会社 ","")</f>
        <v>島根中央炊飯センター(塩野建築設計事務所)</v>
      </c>
      <c r="E46" s="2727"/>
      <c r="F46" s="2727"/>
      <c r="G46" s="2727"/>
      <c r="H46" s="2727"/>
      <c r="I46" s="2727"/>
      <c r="J46" s="2727"/>
      <c r="K46" s="2727"/>
      <c r="L46" s="2727"/>
      <c r="M46" s="2727"/>
      <c r="N46" s="2727"/>
      <c r="O46" s="2727"/>
      <c r="P46" s="2727"/>
      <c r="Q46" s="2727"/>
      <c r="R46" s="2728"/>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56"/>
      <c r="BV46" s="26"/>
      <c r="BW46" s="54"/>
      <c r="BX46" s="26"/>
      <c r="BY46" s="54"/>
      <c r="BZ46" s="55"/>
      <c r="CA46" s="56"/>
      <c r="CB46" s="26"/>
      <c r="CC46" s="54"/>
      <c r="CD46" s="26"/>
      <c r="CE46" s="54"/>
      <c r="CF46" s="55"/>
      <c r="CG46" s="56"/>
      <c r="CH46" s="26"/>
      <c r="CI46" s="54"/>
      <c r="CJ46" s="26"/>
      <c r="CK46" s="54"/>
      <c r="CL46" s="55"/>
      <c r="CM46" s="56"/>
      <c r="CN46" s="26"/>
      <c r="CO46" s="54"/>
      <c r="CP46" s="26"/>
      <c r="CQ46" s="54"/>
      <c r="CR46" s="55"/>
      <c r="CS46" s="56" t="s">
        <v>8250</v>
      </c>
      <c r="CT46" s="26"/>
      <c r="CU46" s="54"/>
      <c r="CV46" s="26"/>
      <c r="CW46" s="54"/>
      <c r="CX46" s="55"/>
      <c r="CY46" s="56"/>
      <c r="CZ46" s="26"/>
      <c r="DA46" s="54"/>
      <c r="DB46" s="26"/>
      <c r="DC46" s="54"/>
      <c r="DD46" s="55"/>
      <c r="DE46" s="56" t="s">
        <v>8145</v>
      </c>
      <c r="DF46" s="26"/>
      <c r="DG46" s="54"/>
      <c r="DH46" s="26"/>
      <c r="DI46" s="54"/>
      <c r="DJ46" s="55"/>
      <c r="DK46" s="56"/>
      <c r="DL46" s="26"/>
      <c r="DM46" s="54"/>
      <c r="DN46" s="26"/>
      <c r="DO46" s="54"/>
      <c r="DP46" s="26"/>
      <c r="DQ46" s="89"/>
      <c r="DR46" s="26"/>
      <c r="DS46" s="54"/>
      <c r="DT46" s="70"/>
      <c r="DU46" s="26"/>
      <c r="DV46" s="55"/>
      <c r="DW46" s="56"/>
      <c r="DX46" s="26"/>
      <c r="DY46" s="54"/>
      <c r="DZ46" s="26"/>
      <c r="EA46" s="54"/>
      <c r="EB46" s="55"/>
      <c r="EC46" s="56"/>
      <c r="ED46" s="26"/>
      <c r="EE46" s="54"/>
      <c r="EF46" s="26"/>
      <c r="EG46" s="54"/>
      <c r="EH46" s="54"/>
      <c r="EI46" s="56"/>
      <c r="EJ46" s="26"/>
      <c r="EK46" s="54"/>
      <c r="EL46" s="26"/>
      <c r="EM46" s="54"/>
      <c r="EN46" s="55"/>
      <c r="EO46" s="56"/>
      <c r="EP46" s="26"/>
      <c r="EQ46" s="54"/>
      <c r="ER46" s="26"/>
      <c r="ES46" s="54"/>
      <c r="ET46" s="26"/>
    </row>
    <row r="47" spans="1:150" ht="20.100000000000001" hidden="1" customHeight="1" outlineLevel="1">
      <c r="A47" s="3038"/>
      <c r="B47" s="1167"/>
      <c r="C47" s="179"/>
      <c r="D47" s="2726" t="str">
        <f>実績!C1285&amp;"("&amp;SUBSTITUTE(実績!R1285&amp;")","有限会社 ","")</f>
        <v>V・drug半田乙川(中部設計)</v>
      </c>
      <c r="E47" s="2727"/>
      <c r="F47" s="2727"/>
      <c r="G47" s="2727"/>
      <c r="H47" s="2727"/>
      <c r="I47" s="2727"/>
      <c r="J47" s="2727"/>
      <c r="K47" s="2727"/>
      <c r="L47" s="2727"/>
      <c r="M47" s="2727"/>
      <c r="N47" s="2727"/>
      <c r="O47" s="2727"/>
      <c r="P47" s="2727"/>
      <c r="Q47" s="2727"/>
      <c r="R47" s="2728"/>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56"/>
      <c r="BV47" s="26"/>
      <c r="BW47" s="54"/>
      <c r="BX47" s="26"/>
      <c r="BY47" s="54"/>
      <c r="BZ47" s="55"/>
      <c r="CA47" s="56"/>
      <c r="CB47" s="26"/>
      <c r="CC47" s="54"/>
      <c r="CD47" s="26"/>
      <c r="CE47" s="54"/>
      <c r="CF47" s="55"/>
      <c r="CG47" s="56"/>
      <c r="CH47" s="26"/>
      <c r="CI47" s="54"/>
      <c r="CJ47" s="26"/>
      <c r="CK47" s="54"/>
      <c r="CL47" s="55"/>
      <c r="CM47" s="56"/>
      <c r="CN47" s="26"/>
      <c r="CO47" s="54"/>
      <c r="CP47" s="26"/>
      <c r="CQ47" s="54"/>
      <c r="CR47" s="55"/>
      <c r="CS47" s="56"/>
      <c r="CT47" s="26"/>
      <c r="CU47" s="54"/>
      <c r="CV47" s="26" t="s">
        <v>8250</v>
      </c>
      <c r="CW47" s="54"/>
      <c r="CX47" s="55"/>
      <c r="CY47" s="56"/>
      <c r="CZ47" s="26"/>
      <c r="DA47" s="54"/>
      <c r="DB47" s="26"/>
      <c r="DC47" s="54"/>
      <c r="DD47" s="55"/>
      <c r="DE47" s="56" t="s">
        <v>8145</v>
      </c>
      <c r="DF47" s="26"/>
      <c r="DG47" s="54"/>
      <c r="DH47" s="26"/>
      <c r="DI47" s="54"/>
      <c r="DJ47" s="55"/>
      <c r="DK47" s="56"/>
      <c r="DL47" s="26"/>
      <c r="DM47" s="54"/>
      <c r="DN47" s="26"/>
      <c r="DO47" s="54"/>
      <c r="DP47" s="26"/>
      <c r="DQ47" s="89"/>
      <c r="DR47" s="26"/>
      <c r="DS47" s="54"/>
      <c r="DT47" s="70"/>
      <c r="DU47" s="26"/>
      <c r="DV47" s="55"/>
      <c r="DW47" s="56"/>
      <c r="DX47" s="26"/>
      <c r="DY47" s="54"/>
      <c r="DZ47" s="26"/>
      <c r="EA47" s="54"/>
      <c r="EB47" s="55"/>
      <c r="EC47" s="56"/>
      <c r="ED47" s="26"/>
      <c r="EE47" s="54"/>
      <c r="EF47" s="26"/>
      <c r="EG47" s="54"/>
      <c r="EH47" s="54"/>
      <c r="EI47" s="56"/>
      <c r="EJ47" s="26"/>
      <c r="EK47" s="54"/>
      <c r="EL47" s="26"/>
      <c r="EM47" s="54"/>
      <c r="EN47" s="55"/>
      <c r="EO47" s="56"/>
      <c r="EP47" s="26"/>
      <c r="EQ47" s="54"/>
      <c r="ER47" s="26"/>
      <c r="ES47" s="54"/>
      <c r="ET47" s="26"/>
    </row>
    <row r="48" spans="1:150" ht="20.100000000000001" hidden="1" customHeight="1" outlineLevel="1" collapsed="1">
      <c r="A48" s="3038"/>
    </row>
    <row r="49" spans="1:150" ht="20.100000000000001" hidden="1" customHeight="1" outlineLevel="1">
      <c r="A49" s="3038"/>
      <c r="B49" s="1167"/>
      <c r="C49" s="1168" t="s">
        <v>10514</v>
      </c>
      <c r="D49" s="2726" t="s">
        <v>8309</v>
      </c>
      <c r="E49" s="2727"/>
      <c r="F49" s="2727"/>
      <c r="G49" s="2727"/>
      <c r="H49" s="2727"/>
      <c r="I49" s="2727"/>
      <c r="J49" s="2727"/>
      <c r="K49" s="2727"/>
      <c r="L49" s="2727"/>
      <c r="M49" s="2727"/>
      <c r="N49" s="2727"/>
      <c r="O49" s="2727"/>
      <c r="P49" s="2727"/>
      <c r="Q49" s="2727"/>
      <c r="R49" s="1169"/>
      <c r="S49" s="53"/>
      <c r="T49" s="26"/>
      <c r="U49" s="54"/>
      <c r="V49" s="26"/>
      <c r="W49" s="54"/>
      <c r="X49" s="55"/>
      <c r="Y49" s="26"/>
      <c r="Z49" s="26"/>
      <c r="AA49" s="54"/>
      <c r="AB49" s="26"/>
      <c r="AC49" s="54"/>
      <c r="AD49" s="26"/>
      <c r="AE49" s="56"/>
      <c r="AF49" s="26"/>
      <c r="AG49" s="54"/>
      <c r="AH49" s="26"/>
      <c r="AI49" s="54"/>
      <c r="AJ49" s="55"/>
      <c r="AK49" s="26"/>
      <c r="AL49" s="26"/>
      <c r="AM49" s="54"/>
      <c r="AN49" s="26"/>
      <c r="AO49" s="54"/>
      <c r="AP49" s="26"/>
      <c r="AQ49" s="53"/>
      <c r="AR49" s="26"/>
      <c r="AS49" s="54"/>
      <c r="AT49" s="26"/>
      <c r="AU49" s="54"/>
      <c r="AV49" s="55"/>
      <c r="AW49" s="56"/>
      <c r="AX49" s="26"/>
      <c r="AY49" s="54"/>
      <c r="AZ49" s="26"/>
      <c r="BA49" s="54"/>
      <c r="BB49" s="55"/>
      <c r="BC49" s="26"/>
      <c r="BD49" s="26"/>
      <c r="BE49" s="54"/>
      <c r="BF49" s="26"/>
      <c r="BG49" s="54"/>
      <c r="BH49" s="26"/>
      <c r="BI49" s="56"/>
      <c r="BJ49" s="26"/>
      <c r="BK49" s="54"/>
      <c r="BL49" s="26"/>
      <c r="BM49" s="54"/>
      <c r="BN49" s="55"/>
      <c r="BO49" s="56"/>
      <c r="BP49" s="26"/>
      <c r="BQ49" s="54"/>
      <c r="BR49" s="70"/>
      <c r="BS49" s="54"/>
      <c r="BT49" s="55"/>
      <c r="BU49" s="56"/>
      <c r="BV49" s="26"/>
      <c r="BW49" s="54"/>
      <c r="BX49" s="26"/>
      <c r="BY49" s="54"/>
      <c r="BZ49" s="55"/>
      <c r="CA49" s="56"/>
      <c r="CB49" s="26"/>
      <c r="CC49" s="54"/>
      <c r="CD49" s="26"/>
      <c r="CE49" s="54"/>
      <c r="CF49" s="55"/>
      <c r="CG49" s="56"/>
      <c r="CH49" s="26"/>
      <c r="CI49" s="54"/>
      <c r="CJ49" s="26"/>
      <c r="CK49" s="54"/>
      <c r="CL49" s="55"/>
      <c r="CM49" s="56"/>
      <c r="CN49" s="26"/>
      <c r="CO49" s="54"/>
      <c r="CP49" s="118"/>
      <c r="CQ49" s="54"/>
      <c r="CR49" s="55"/>
      <c r="CS49" s="56"/>
      <c r="CT49" s="26"/>
      <c r="CU49" s="54"/>
      <c r="CV49" s="26"/>
      <c r="CW49" s="54"/>
      <c r="CX49" s="55"/>
      <c r="CY49" s="56"/>
      <c r="CZ49" s="26"/>
      <c r="DA49" s="54"/>
      <c r="DB49" s="26"/>
      <c r="DC49" s="54"/>
      <c r="DD49" s="55"/>
      <c r="DE49" s="56"/>
      <c r="DF49" s="26"/>
      <c r="DG49" s="54"/>
      <c r="DH49" s="26"/>
      <c r="DI49" s="54"/>
      <c r="DJ49" s="55"/>
      <c r="DK49" s="56"/>
      <c r="DL49" s="26"/>
      <c r="DM49" s="54"/>
      <c r="DN49" s="26"/>
      <c r="DO49" s="54"/>
      <c r="DP49" s="26"/>
      <c r="DQ49" s="89"/>
      <c r="DR49" s="26"/>
      <c r="DS49" s="54"/>
      <c r="DT49" s="70"/>
      <c r="DU49" s="26"/>
      <c r="DV49" s="55"/>
      <c r="DW49" s="56"/>
      <c r="DX49" s="26"/>
      <c r="DY49" s="54"/>
      <c r="DZ49" s="26"/>
      <c r="EA49" s="54"/>
      <c r="EB49" s="55"/>
      <c r="EC49" s="56"/>
      <c r="ED49" s="26"/>
      <c r="EE49" s="54"/>
      <c r="EF49" s="26"/>
      <c r="EG49" s="54"/>
      <c r="EH49" s="54"/>
      <c r="EI49" s="56"/>
      <c r="EJ49" s="26"/>
      <c r="EK49" s="54"/>
      <c r="EL49" s="26"/>
      <c r="EM49" s="54"/>
      <c r="EN49" s="55"/>
      <c r="EO49" s="56"/>
      <c r="EP49" s="26"/>
      <c r="EQ49" s="54"/>
      <c r="ER49" s="26"/>
      <c r="ES49" s="54"/>
      <c r="ET49" s="26"/>
    </row>
    <row r="50" spans="1:150" ht="20.100000000000001" hidden="1" customHeight="1" outlineLevel="1">
      <c r="A50" s="3038"/>
      <c r="B50" s="1167"/>
      <c r="C50" s="1168" t="s">
        <v>10514</v>
      </c>
      <c r="D50" s="2726" t="str">
        <f>実績!C1122&amp;"("&amp;SUBSTITUTE(実績!R1122&amp;")(愛媛県松山市)","株式会社 ","")</f>
        <v>MA-HOUSE(窪田建築アトリエ)(愛媛県松山市)</v>
      </c>
      <c r="E50" s="2727"/>
      <c r="F50" s="2727"/>
      <c r="G50" s="2727"/>
      <c r="H50" s="2727"/>
      <c r="I50" s="2727"/>
      <c r="J50" s="2727"/>
      <c r="K50" s="2727"/>
      <c r="L50" s="2727"/>
      <c r="M50" s="2727"/>
      <c r="N50" s="2727"/>
      <c r="O50" s="2727"/>
      <c r="P50" s="2727"/>
      <c r="Q50" s="2727"/>
      <c r="R50" s="1169"/>
      <c r="S50" s="53"/>
      <c r="T50" s="26"/>
      <c r="U50" s="54"/>
      <c r="V50" s="26"/>
      <c r="W50" s="54"/>
      <c r="X50" s="55"/>
      <c r="Y50" s="26"/>
      <c r="Z50" s="26"/>
      <c r="AA50" s="54"/>
      <c r="AB50" s="26"/>
      <c r="AC50" s="26" t="s">
        <v>8272</v>
      </c>
      <c r="AD50" s="26"/>
      <c r="AE50" s="1164"/>
      <c r="AF50" s="26"/>
      <c r="AG50" s="54"/>
      <c r="AH50" s="26"/>
      <c r="AI50" s="54"/>
      <c r="AJ50" s="55"/>
      <c r="AK50" s="26"/>
      <c r="AL50" s="26"/>
      <c r="AM50" s="54"/>
      <c r="AN50" s="26"/>
      <c r="AO50" s="54"/>
      <c r="AP50" s="26"/>
      <c r="AQ50" s="53"/>
      <c r="AR50" s="70"/>
      <c r="AS50" s="54"/>
      <c r="AT50" s="26"/>
      <c r="AU50" s="54"/>
      <c r="AV50" s="55"/>
      <c r="AW50" s="56"/>
      <c r="AX50" s="26"/>
      <c r="AY50" s="54"/>
      <c r="AZ50" s="26"/>
      <c r="BA50" s="54"/>
      <c r="BB50" s="55"/>
      <c r="BC50" s="26"/>
      <c r="BD50" s="26"/>
      <c r="BE50" s="54"/>
      <c r="BF50" s="26"/>
      <c r="BG50" s="54"/>
      <c r="BH50" s="26"/>
      <c r="BI50" s="56"/>
      <c r="BJ50" s="26"/>
      <c r="BK50" s="54"/>
      <c r="BL50" s="26"/>
      <c r="BM50" s="54"/>
      <c r="BN50" s="55"/>
      <c r="BO50" s="56"/>
      <c r="BP50" s="26"/>
      <c r="BQ50" s="54"/>
      <c r="BR50" s="70"/>
      <c r="BS50" s="54"/>
      <c r="BT50" s="55"/>
      <c r="BU50" s="56"/>
      <c r="BV50" s="26"/>
      <c r="BW50" s="54"/>
      <c r="BX50" s="26"/>
      <c r="BY50" s="54"/>
      <c r="BZ50" s="55"/>
      <c r="CA50" s="56"/>
      <c r="CB50" s="26"/>
      <c r="CC50" s="54"/>
      <c r="CD50" s="26"/>
      <c r="CE50" s="54"/>
      <c r="CF50" s="55"/>
      <c r="CG50" s="56"/>
      <c r="CH50" s="26"/>
      <c r="CI50" s="54"/>
      <c r="CJ50" s="26"/>
      <c r="CK50" s="54"/>
      <c r="CL50" s="55"/>
      <c r="CM50" s="56"/>
      <c r="CN50" s="26"/>
      <c r="CO50" s="54"/>
      <c r="CP50" s="26"/>
      <c r="CQ50" s="54"/>
      <c r="CR50" s="1170"/>
      <c r="CS50" s="56"/>
      <c r="CT50" s="26"/>
      <c r="CU50" s="54"/>
      <c r="CV50" s="26"/>
      <c r="CW50" s="54"/>
      <c r="CX50" s="55"/>
      <c r="CY50" s="56"/>
      <c r="CZ50" s="26"/>
      <c r="DA50" s="54"/>
      <c r="DB50" s="26"/>
      <c r="DC50" s="54"/>
      <c r="DD50" s="55"/>
      <c r="DE50" s="56"/>
      <c r="DF50" s="26"/>
      <c r="DG50" s="54"/>
      <c r="DH50" s="26"/>
      <c r="DI50" s="54"/>
      <c r="DJ50" s="55"/>
      <c r="DK50" s="56"/>
      <c r="DL50" s="26"/>
      <c r="DM50" s="54"/>
      <c r="DN50" s="26"/>
      <c r="DO50" s="54"/>
      <c r="DP50" s="26"/>
      <c r="DQ50" s="89"/>
      <c r="DR50" s="26"/>
      <c r="DS50" s="54"/>
      <c r="DT50" s="70"/>
      <c r="DU50" s="26"/>
      <c r="DV50" s="55"/>
      <c r="DW50" s="56"/>
      <c r="DX50" s="26"/>
      <c r="DY50" s="54"/>
      <c r="DZ50" s="26"/>
      <c r="EA50" s="54"/>
      <c r="EB50" s="55"/>
      <c r="EC50" s="56"/>
      <c r="ED50" s="26"/>
      <c r="EE50" s="54"/>
      <c r="EF50" s="26"/>
      <c r="EG50" s="54"/>
      <c r="EH50" s="54"/>
      <c r="EI50" s="56"/>
      <c r="EJ50" s="26"/>
      <c r="EK50" s="54"/>
      <c r="EL50" s="26"/>
      <c r="EM50" s="54"/>
      <c r="EN50" s="55"/>
      <c r="EO50" s="56"/>
      <c r="EP50" s="26"/>
      <c r="EQ50" s="54"/>
      <c r="ER50" s="26"/>
      <c r="ES50" s="54"/>
      <c r="ET50" s="26"/>
    </row>
    <row r="51" spans="1:150" ht="20.100000000000001" hidden="1" customHeight="1" outlineLevel="1">
      <c r="A51" s="3038"/>
      <c r="B51" s="1167"/>
      <c r="C51" s="1168" t="s">
        <v>10514</v>
      </c>
      <c r="D51" s="2726" t="str">
        <f>実績!C1137&amp;"("&amp;SUBSTITUTE(実績!R1137&amp;")(大阪府泉南郡岬町)","株式会社 ","")</f>
        <v>HA-HOUSE(窪田建築アトリエ)(大阪府泉南郡岬町)</v>
      </c>
      <c r="E51" s="2727"/>
      <c r="F51" s="2727"/>
      <c r="G51" s="2727"/>
      <c r="H51" s="2727"/>
      <c r="I51" s="2727"/>
      <c r="J51" s="2727"/>
      <c r="K51" s="2727"/>
      <c r="L51" s="2727"/>
      <c r="M51" s="2727"/>
      <c r="N51" s="2727"/>
      <c r="O51" s="2727"/>
      <c r="P51" s="2727"/>
      <c r="Q51" s="2727"/>
      <c r="R51" s="1169"/>
      <c r="S51" s="53"/>
      <c r="T51" s="26"/>
      <c r="U51" s="54"/>
      <c r="V51" s="26"/>
      <c r="W51" s="54"/>
      <c r="X51" s="55"/>
      <c r="Y51" s="26"/>
      <c r="Z51" s="26"/>
      <c r="AA51" s="54"/>
      <c r="AB51" s="26" t="s">
        <v>8144</v>
      </c>
      <c r="AC51" s="54"/>
      <c r="AD51" s="26"/>
      <c r="AE51" s="1164"/>
      <c r="AF51" s="26"/>
      <c r="AG51" s="54"/>
      <c r="AH51" s="26"/>
      <c r="AI51" s="54"/>
      <c r="AJ51" s="55"/>
      <c r="AK51" s="26"/>
      <c r="AL51" s="26"/>
      <c r="AM51" s="54"/>
      <c r="AN51" s="26"/>
      <c r="AO51" s="54"/>
      <c r="AP51" s="26"/>
      <c r="AQ51" s="53"/>
      <c r="AR51" s="70"/>
      <c r="AS51" s="54"/>
      <c r="AT51" s="26"/>
      <c r="AU51" s="54"/>
      <c r="AV51" s="55"/>
      <c r="AW51" s="56"/>
      <c r="AX51" s="26"/>
      <c r="AY51" s="54"/>
      <c r="AZ51" s="26"/>
      <c r="BA51" s="54"/>
      <c r="BB51" s="55"/>
      <c r="BC51" s="26"/>
      <c r="BD51" s="26"/>
      <c r="BE51" s="54"/>
      <c r="BF51" s="26"/>
      <c r="BG51" s="54"/>
      <c r="BH51" s="26"/>
      <c r="BI51" s="56"/>
      <c r="BJ51" s="26"/>
      <c r="BK51" s="54"/>
      <c r="BL51" s="26"/>
      <c r="BM51" s="54"/>
      <c r="BN51" s="55"/>
      <c r="BO51" s="56"/>
      <c r="BP51" s="26"/>
      <c r="BQ51" s="54"/>
      <c r="BR51" s="26"/>
      <c r="BS51" s="54"/>
      <c r="BT51" s="55"/>
      <c r="BU51" s="56"/>
      <c r="BV51" s="26"/>
      <c r="BW51" s="54"/>
      <c r="BX51" s="26"/>
      <c r="BY51" s="54"/>
      <c r="BZ51" s="55"/>
      <c r="CA51" s="56"/>
      <c r="CB51" s="26"/>
      <c r="CC51" s="54"/>
      <c r="CD51" s="26"/>
      <c r="CE51" s="54"/>
      <c r="CF51" s="55"/>
      <c r="CG51" s="56"/>
      <c r="CH51" s="26"/>
      <c r="CI51" s="54"/>
      <c r="CJ51" s="26"/>
      <c r="CK51" s="54"/>
      <c r="CL51" s="55"/>
      <c r="CM51" s="56"/>
      <c r="CN51" s="26"/>
      <c r="CO51" s="54"/>
      <c r="CP51" s="26"/>
      <c r="CQ51" s="54"/>
      <c r="CR51" s="55"/>
      <c r="CS51" s="56"/>
      <c r="CT51" s="26"/>
      <c r="CU51" s="54"/>
      <c r="CV51" s="26"/>
      <c r="CW51" s="54"/>
      <c r="CX51" s="55"/>
      <c r="CY51" s="56"/>
      <c r="CZ51" s="26"/>
      <c r="DA51" s="54"/>
      <c r="DB51" s="26"/>
      <c r="DC51" s="54"/>
      <c r="DD51" s="55"/>
      <c r="DE51" s="56"/>
      <c r="DF51" s="26"/>
      <c r="DG51" s="54"/>
      <c r="DH51" s="26"/>
      <c r="DI51" s="54"/>
      <c r="DJ51" s="55"/>
      <c r="DK51" s="56"/>
      <c r="DL51" s="26"/>
      <c r="DM51" s="54"/>
      <c r="DN51" s="26"/>
      <c r="DO51" s="54"/>
      <c r="DP51" s="26"/>
      <c r="DQ51" s="89"/>
      <c r="DR51" s="26"/>
      <c r="DS51" s="54"/>
      <c r="DT51" s="70"/>
      <c r="DU51" s="26"/>
      <c r="DV51" s="55"/>
      <c r="DW51" s="56"/>
      <c r="DX51" s="26"/>
      <c r="DY51" s="54"/>
      <c r="DZ51" s="26"/>
      <c r="EA51" s="54"/>
      <c r="EB51" s="55"/>
      <c r="EC51" s="56"/>
      <c r="ED51" s="26"/>
      <c r="EE51" s="54"/>
      <c r="EF51" s="26"/>
      <c r="EG51" s="54"/>
      <c r="EH51" s="54"/>
      <c r="EI51" s="56"/>
      <c r="EJ51" s="26"/>
      <c r="EK51" s="54"/>
      <c r="EL51" s="26"/>
      <c r="EM51" s="54"/>
      <c r="EN51" s="55"/>
      <c r="EO51" s="56"/>
      <c r="EP51" s="26"/>
      <c r="EQ51" s="54"/>
      <c r="ER51" s="26"/>
      <c r="ES51" s="54"/>
      <c r="ET51" s="26"/>
    </row>
    <row r="52" spans="1:150" ht="20.100000000000001" hidden="1" customHeight="1" outlineLevel="1">
      <c r="A52" s="3038"/>
      <c r="B52" s="1167"/>
      <c r="C52" s="1168" t="s">
        <v>10514</v>
      </c>
      <c r="D52" s="2726" t="str">
        <f>実績!C903&amp;"("&amp;SUBSTITUTE(実績!R903&amp;")","株式会社 ","")</f>
        <v>ﾊｶﾙﾌﾟﾗｽ株式会社 食堂・社員寮(遠藤秀平建築研究所)</v>
      </c>
      <c r="E52" s="2727"/>
      <c r="F52" s="2727"/>
      <c r="G52" s="2727"/>
      <c r="H52" s="2727"/>
      <c r="I52" s="2727"/>
      <c r="J52" s="2727"/>
      <c r="K52" s="2727"/>
      <c r="L52" s="2727"/>
      <c r="M52" s="2727"/>
      <c r="N52" s="2727"/>
      <c r="O52" s="2727"/>
      <c r="P52" s="2727"/>
      <c r="Q52" s="2727"/>
      <c r="R52" s="1169"/>
      <c r="S52" s="53"/>
      <c r="T52" s="26"/>
      <c r="U52" s="54"/>
      <c r="V52" s="26"/>
      <c r="W52" s="54"/>
      <c r="X52" s="55"/>
      <c r="Y52" s="26"/>
      <c r="Z52" s="26"/>
      <c r="AA52" s="54"/>
      <c r="AB52" s="26"/>
      <c r="AC52" s="54"/>
      <c r="AD52" s="26"/>
      <c r="AE52" s="1164"/>
      <c r="AF52" s="26"/>
      <c r="AG52" s="54"/>
      <c r="AH52" s="26"/>
      <c r="AI52" s="54"/>
      <c r="AJ52" s="55"/>
      <c r="AK52" s="26"/>
      <c r="AL52" s="26"/>
      <c r="AM52" s="54"/>
      <c r="AN52" s="26"/>
      <c r="AO52" s="54"/>
      <c r="AP52" s="26"/>
      <c r="AQ52" s="53"/>
      <c r="AR52" s="26"/>
      <c r="AS52" s="54"/>
      <c r="AT52" s="26"/>
      <c r="AU52" s="54"/>
      <c r="AV52" s="55"/>
      <c r="AW52" s="56"/>
      <c r="AX52" s="26"/>
      <c r="AY52" s="54"/>
      <c r="AZ52" s="26"/>
      <c r="BA52" s="54"/>
      <c r="BB52" s="55"/>
      <c r="BC52" s="26"/>
      <c r="BD52" s="26"/>
      <c r="BE52" s="54"/>
      <c r="BF52" s="26"/>
      <c r="BG52" s="54"/>
      <c r="BH52" s="26"/>
      <c r="BI52" s="56"/>
      <c r="BJ52" s="26"/>
      <c r="BK52" s="54"/>
      <c r="BL52" s="26"/>
      <c r="BM52" s="54"/>
      <c r="BN52" s="55"/>
      <c r="BO52" s="56"/>
      <c r="BP52" s="26"/>
      <c r="BQ52" s="54"/>
      <c r="BR52" s="26"/>
      <c r="BS52" s="54"/>
      <c r="BT52" s="55"/>
      <c r="BU52" s="56"/>
      <c r="BV52" s="26"/>
      <c r="BW52" s="54"/>
      <c r="BX52" s="26"/>
      <c r="BY52" s="54"/>
      <c r="BZ52" s="55"/>
      <c r="CA52" s="56"/>
      <c r="CB52" s="26"/>
      <c r="CC52" s="54"/>
      <c r="CD52" s="26"/>
      <c r="CE52" s="54"/>
      <c r="CF52" s="55"/>
      <c r="CG52" s="56"/>
      <c r="CH52" s="26"/>
      <c r="CI52" s="54"/>
      <c r="CJ52" s="26"/>
      <c r="CK52" s="54"/>
      <c r="CL52" s="55"/>
      <c r="CM52" s="56"/>
      <c r="CN52" s="26"/>
      <c r="CO52" s="54"/>
      <c r="CP52" s="26"/>
      <c r="CQ52" s="54"/>
      <c r="CR52" s="55"/>
      <c r="CS52" s="56"/>
      <c r="CT52" s="26"/>
      <c r="CU52" s="54"/>
      <c r="CV52" s="26"/>
      <c r="CW52" s="54"/>
      <c r="CX52" s="55"/>
      <c r="CY52" s="56"/>
      <c r="CZ52" s="26"/>
      <c r="DA52" s="54"/>
      <c r="DB52" s="26"/>
      <c r="DC52" s="54"/>
      <c r="DD52" s="55"/>
      <c r="DE52" s="26"/>
      <c r="DF52" s="26"/>
      <c r="DG52" s="26"/>
      <c r="DH52" s="26"/>
      <c r="DI52" s="26"/>
      <c r="DJ52" s="26"/>
      <c r="DK52" s="26"/>
      <c r="DL52" s="26"/>
      <c r="DM52" s="26"/>
      <c r="DN52" s="26"/>
      <c r="DO52" s="26"/>
      <c r="DP52" s="26"/>
      <c r="DQ52" s="26"/>
      <c r="DR52" s="26"/>
      <c r="DS52" s="26"/>
      <c r="DT52" s="26"/>
      <c r="DU52" s="26"/>
      <c r="DV52" s="55"/>
      <c r="DW52" s="56"/>
      <c r="DX52" s="26"/>
      <c r="DY52" s="54"/>
      <c r="DZ52" s="26"/>
      <c r="EA52" s="54"/>
      <c r="EB52" s="55"/>
      <c r="EC52" s="56"/>
      <c r="ED52" s="26"/>
      <c r="EE52" s="54"/>
      <c r="EF52" s="26"/>
      <c r="EG52" s="54"/>
      <c r="EH52" s="54"/>
      <c r="EI52" s="56"/>
      <c r="EJ52" s="26"/>
      <c r="EK52" s="54"/>
      <c r="EL52" s="26"/>
      <c r="EM52" s="54"/>
      <c r="EN52" s="55"/>
      <c r="EO52" s="56"/>
      <c r="EP52" s="26"/>
      <c r="EQ52" s="54"/>
      <c r="ER52" s="26"/>
      <c r="ES52" s="54"/>
      <c r="ET52" s="26"/>
    </row>
    <row r="53" spans="1:150" ht="20.100000000000001" hidden="1" customHeight="1" outlineLevel="1">
      <c r="A53" s="3038"/>
      <c r="B53" s="1167"/>
      <c r="C53" s="1168" t="s">
        <v>10514</v>
      </c>
      <c r="D53" s="2726" t="str">
        <f>実績!C905&amp;"("&amp;SUBSTITUTE(実績!R905&amp;")","株式会社 ","")</f>
        <v>ホームセンターバロー久居インター(中部都市建築設計事務所)</v>
      </c>
      <c r="E53" s="2727"/>
      <c r="F53" s="2727"/>
      <c r="G53" s="2727"/>
      <c r="H53" s="2727"/>
      <c r="I53" s="2727"/>
      <c r="J53" s="2727"/>
      <c r="K53" s="2727"/>
      <c r="L53" s="2727"/>
      <c r="M53" s="2727"/>
      <c r="N53" s="2727"/>
      <c r="O53" s="2727"/>
      <c r="P53" s="2727"/>
      <c r="Q53" s="2727"/>
      <c r="R53" s="1169"/>
      <c r="S53" s="53"/>
      <c r="T53" s="26"/>
      <c r="U53" s="54"/>
      <c r="V53" s="26"/>
      <c r="W53" s="54"/>
      <c r="X53" s="55"/>
      <c r="Y53" s="26"/>
      <c r="Z53" s="26"/>
      <c r="AA53" s="54"/>
      <c r="AB53" s="26"/>
      <c r="AC53" s="54"/>
      <c r="AD53" s="26"/>
      <c r="AE53" s="1164"/>
      <c r="AF53" s="26"/>
      <c r="AG53" s="54"/>
      <c r="AH53" s="26"/>
      <c r="AI53" s="54"/>
      <c r="AJ53" s="55"/>
      <c r="AK53" s="26"/>
      <c r="AL53" s="26"/>
      <c r="AM53" s="54"/>
      <c r="AN53" s="26"/>
      <c r="AO53" s="54"/>
      <c r="AP53" s="26"/>
      <c r="AQ53" s="53"/>
      <c r="AR53" s="26"/>
      <c r="AS53" s="54"/>
      <c r="AT53" s="26"/>
      <c r="AU53" s="54"/>
      <c r="AV53" s="55"/>
      <c r="AW53" s="56"/>
      <c r="AX53" s="26"/>
      <c r="AY53" s="54"/>
      <c r="AZ53" s="26"/>
      <c r="BA53" s="54"/>
      <c r="BB53" s="55"/>
      <c r="BC53" s="26"/>
      <c r="BD53" s="26"/>
      <c r="BE53" s="54"/>
      <c r="BF53" s="26"/>
      <c r="BG53" s="54"/>
      <c r="BH53" s="26"/>
      <c r="BI53" s="56"/>
      <c r="BJ53" s="26"/>
      <c r="BK53" s="54"/>
      <c r="BL53" s="26"/>
      <c r="BM53" s="54"/>
      <c r="BN53" s="55"/>
      <c r="BO53" s="56"/>
      <c r="BP53" s="26"/>
      <c r="BQ53" s="54"/>
      <c r="BR53" s="26"/>
      <c r="BS53" s="54"/>
      <c r="BT53" s="55"/>
      <c r="BU53" s="56"/>
      <c r="BV53" s="26"/>
      <c r="BW53" s="54"/>
      <c r="BX53" s="26"/>
      <c r="BY53" s="54"/>
      <c r="BZ53" s="55"/>
      <c r="CA53" s="56"/>
      <c r="CB53" s="26"/>
      <c r="CC53" s="54"/>
      <c r="CD53" s="26"/>
      <c r="CE53" s="54"/>
      <c r="CF53" s="55"/>
      <c r="CG53" s="56"/>
      <c r="CH53" s="26"/>
      <c r="CI53" s="54"/>
      <c r="CJ53" s="26"/>
      <c r="CK53" s="54"/>
      <c r="CL53" s="55"/>
      <c r="CM53" s="56"/>
      <c r="CN53" s="26"/>
      <c r="CO53" s="54"/>
      <c r="CP53" s="26"/>
      <c r="CQ53" s="54"/>
      <c r="CR53" s="55"/>
      <c r="CS53" s="56"/>
      <c r="CT53" s="26"/>
      <c r="CU53" s="54"/>
      <c r="CV53" s="26"/>
      <c r="CW53" s="54"/>
      <c r="CX53" s="55"/>
      <c r="CY53" s="56"/>
      <c r="CZ53" s="26"/>
      <c r="DA53" s="54"/>
      <c r="DB53" s="26"/>
      <c r="DC53" s="54"/>
      <c r="DD53" s="55"/>
      <c r="DE53" s="56"/>
      <c r="DF53" s="26"/>
      <c r="DG53" s="54"/>
      <c r="DH53" s="26"/>
      <c r="DI53" s="54"/>
      <c r="DJ53" s="55"/>
      <c r="DK53" s="56"/>
      <c r="DL53" s="26"/>
      <c r="DM53" s="54"/>
      <c r="DN53" s="26"/>
      <c r="DO53" s="54"/>
      <c r="DP53" s="26"/>
      <c r="DQ53" s="89"/>
      <c r="DR53" s="26"/>
      <c r="DS53" s="54"/>
      <c r="DT53" s="70"/>
      <c r="DU53" s="26"/>
      <c r="DV53" s="55"/>
      <c r="DW53" s="56"/>
      <c r="DX53" s="26"/>
      <c r="DY53" s="54"/>
      <c r="DZ53" s="26"/>
      <c r="EA53" s="54"/>
      <c r="EB53" s="55"/>
      <c r="EC53" s="56"/>
      <c r="ED53" s="26"/>
      <c r="EE53" s="54"/>
      <c r="EF53" s="26"/>
      <c r="EG53" s="54"/>
      <c r="EH53" s="54"/>
      <c r="EI53" s="56"/>
      <c r="EJ53" s="26"/>
      <c r="EK53" s="54"/>
      <c r="EL53" s="26"/>
      <c r="EM53" s="54"/>
      <c r="EN53" s="55"/>
      <c r="EO53" s="56"/>
      <c r="EP53" s="26"/>
      <c r="EQ53" s="54"/>
      <c r="ER53" s="26"/>
      <c r="ES53" s="54"/>
      <c r="ET53" s="26"/>
    </row>
    <row r="54" spans="1:150" ht="20.100000000000001" hidden="1" customHeight="1" outlineLevel="1" collapsed="1">
      <c r="A54" s="3039"/>
      <c r="B54" s="1167"/>
    </row>
    <row r="55" spans="1:150" ht="20.100000000000001" hidden="1" customHeight="1" outlineLevel="1">
      <c r="A55" s="1099" t="s">
        <v>14535</v>
      </c>
      <c r="B55" s="1167"/>
      <c r="C55" s="179"/>
      <c r="D55" s="2726" t="str">
        <f>実績!C1449&amp;"("&amp;SUBSTITUTE(実績!R1449&amp;")","株式会社 ","")</f>
        <v>守山テナントビル(カワバタマサヒロ建築設計事務所)</v>
      </c>
      <c r="E55" s="2727"/>
      <c r="F55" s="2727"/>
      <c r="G55" s="2727"/>
      <c r="H55" s="2727"/>
      <c r="I55" s="2727"/>
      <c r="J55" s="2727"/>
      <c r="K55" s="2727"/>
      <c r="L55" s="2727"/>
      <c r="M55" s="2727"/>
      <c r="N55" s="2727"/>
      <c r="O55" s="2727"/>
      <c r="P55" s="2727"/>
      <c r="Q55" s="2727" t="s">
        <v>14536</v>
      </c>
      <c r="R55" s="2989"/>
      <c r="S55" s="26"/>
      <c r="T55" s="26"/>
      <c r="U55" s="54"/>
      <c r="V55" s="26"/>
      <c r="W55" s="54"/>
      <c r="X55" s="55"/>
      <c r="Y55" s="26"/>
      <c r="Z55" s="26"/>
      <c r="AA55" s="54"/>
      <c r="AB55" s="26"/>
      <c r="AC55" s="54"/>
      <c r="AD55" s="26"/>
      <c r="AE55" s="56"/>
      <c r="AF55" s="26"/>
      <c r="AG55" s="54"/>
      <c r="AH55" s="26"/>
      <c r="AI55" s="54"/>
      <c r="AJ55" s="55"/>
      <c r="AK55" s="26"/>
      <c r="AL55" s="26"/>
      <c r="AM55" s="54"/>
      <c r="AN55" s="26"/>
      <c r="AO55" s="54"/>
      <c r="AP55" s="26"/>
      <c r="AQ55" s="53"/>
      <c r="AR55" s="26"/>
      <c r="AS55" s="54"/>
      <c r="AT55" s="26"/>
      <c r="AU55" s="54"/>
      <c r="AV55" s="55"/>
      <c r="AW55" s="56"/>
      <c r="AX55" s="26"/>
      <c r="AY55" s="54"/>
      <c r="AZ55" s="26"/>
      <c r="BA55" s="54"/>
      <c r="BB55" s="55"/>
      <c r="BC55" s="26"/>
      <c r="BD55" s="26"/>
      <c r="BE55" s="54"/>
      <c r="BF55" s="26"/>
      <c r="BG55" s="54"/>
      <c r="BH55" s="26"/>
      <c r="BI55" s="56"/>
      <c r="BJ55" s="26"/>
      <c r="BK55" s="54"/>
      <c r="BL55" s="26"/>
      <c r="BM55" s="54"/>
      <c r="BN55" s="55"/>
      <c r="BO55" s="56"/>
      <c r="BP55" s="26"/>
      <c r="BQ55" s="54"/>
      <c r="BR55" s="70"/>
      <c r="BS55" s="54"/>
      <c r="BT55" s="55"/>
      <c r="BU55" s="56"/>
      <c r="BV55" s="26"/>
      <c r="BW55" s="54"/>
      <c r="BX55" s="26"/>
      <c r="BY55" s="54"/>
      <c r="BZ55" s="55"/>
      <c r="CA55" s="56"/>
      <c r="CB55" s="26"/>
      <c r="CC55" s="54"/>
      <c r="CD55" s="26"/>
      <c r="CE55" s="54"/>
      <c r="CF55" s="55"/>
      <c r="CG55" s="56"/>
      <c r="CH55" s="26"/>
      <c r="CI55" s="54"/>
      <c r="CJ55" s="26"/>
      <c r="CK55" s="54"/>
      <c r="CL55" s="55"/>
      <c r="CM55" s="56"/>
      <c r="CN55" s="26"/>
      <c r="CO55" s="54"/>
      <c r="CP55" s="118"/>
      <c r="CQ55" s="54"/>
      <c r="CR55" s="55"/>
      <c r="CS55" s="56" t="s">
        <v>10546</v>
      </c>
      <c r="CT55" s="26"/>
      <c r="CU55" s="54"/>
      <c r="CV55" s="26"/>
      <c r="CW55" s="54"/>
      <c r="CX55" s="55"/>
      <c r="CY55" s="56"/>
      <c r="CZ55" s="26"/>
      <c r="DA55" s="54"/>
      <c r="DB55" s="26"/>
      <c r="DC55" s="54"/>
      <c r="DD55" s="55"/>
      <c r="DE55" s="56"/>
      <c r="DF55" s="26"/>
      <c r="DG55" s="54"/>
      <c r="DH55" s="26"/>
      <c r="DI55" s="54"/>
      <c r="DJ55" s="55"/>
      <c r="DK55" s="56"/>
      <c r="DL55" s="26"/>
      <c r="DM55" s="54"/>
      <c r="DN55" s="26"/>
      <c r="DO55" s="54"/>
      <c r="DP55" s="55"/>
      <c r="DQ55" s="56"/>
      <c r="DR55" s="26"/>
      <c r="DS55" s="54"/>
      <c r="DT55" s="26"/>
      <c r="DU55" s="54"/>
      <c r="DV55" s="116"/>
      <c r="DW55" s="56"/>
      <c r="DX55" s="26"/>
      <c r="DY55" s="54"/>
      <c r="DZ55" s="26"/>
      <c r="EA55" s="54"/>
      <c r="EB55" s="116"/>
      <c r="EC55" s="56"/>
      <c r="ED55" s="26"/>
      <c r="EE55" s="54"/>
      <c r="EF55" s="26"/>
      <c r="EG55" s="54"/>
      <c r="EH55" s="116"/>
      <c r="EI55" s="56"/>
      <c r="EJ55" s="26"/>
      <c r="EK55" s="54"/>
      <c r="EL55" s="26"/>
      <c r="EM55" s="54"/>
      <c r="EN55" s="116"/>
      <c r="EO55" s="56"/>
      <c r="EP55" s="26"/>
      <c r="EQ55" s="54"/>
      <c r="ER55" s="26"/>
      <c r="ES55" s="54"/>
      <c r="ET55" s="116"/>
    </row>
    <row r="56" spans="1:150" ht="20.100000000000001" hidden="1" customHeight="1" outlineLevel="1" collapsed="1" thickBot="1">
      <c r="B56" s="1167"/>
    </row>
    <row r="57" spans="1:150" ht="20.100000000000001" hidden="1" customHeight="1" outlineLevel="1" collapsed="1" thickBot="1">
      <c r="A57" s="1171"/>
      <c r="B57" s="1167"/>
      <c r="C57" s="179"/>
      <c r="D57" s="2726" t="str">
        <f>実績!C1342&amp;"("&amp;SUBSTITUTE(実績!R1342&amp;")","有限会社 ","")</f>
        <v>Vdrug豊田東山(中部設計)</v>
      </c>
      <c r="E57" s="2727"/>
      <c r="F57" s="2727"/>
      <c r="G57" s="2727"/>
      <c r="H57" s="2727"/>
      <c r="I57" s="2727"/>
      <c r="J57" s="2727"/>
      <c r="K57" s="2727"/>
      <c r="L57" s="2727"/>
      <c r="M57" s="2727"/>
      <c r="N57" s="2727"/>
      <c r="O57" s="2727"/>
      <c r="P57" s="2727"/>
      <c r="Q57" s="2727"/>
      <c r="R57" s="2728"/>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118"/>
      <c r="CQ57" s="26"/>
      <c r="CR57" s="26"/>
      <c r="CS57" s="26"/>
      <c r="CT57" s="26"/>
      <c r="CU57" s="26"/>
      <c r="CV57" s="26"/>
      <c r="CW57" s="26"/>
      <c r="CX57" s="26"/>
      <c r="CY57" s="56"/>
      <c r="CZ57" s="26"/>
      <c r="DA57" s="54"/>
      <c r="DB57" s="26"/>
      <c r="DC57" s="54"/>
      <c r="DD57" s="55"/>
      <c r="DE57" s="56"/>
      <c r="DF57" s="26"/>
      <c r="DG57" s="54"/>
      <c r="DH57" s="26"/>
      <c r="DI57" s="54"/>
      <c r="DJ57" s="116"/>
      <c r="DK57" s="56"/>
      <c r="DL57" s="26"/>
      <c r="DM57" s="54"/>
      <c r="DN57" s="26"/>
      <c r="DO57" s="54"/>
      <c r="DP57" s="55"/>
      <c r="DQ57" s="56"/>
      <c r="DR57" s="70"/>
      <c r="DS57" s="54" t="s">
        <v>8250</v>
      </c>
      <c r="DT57" s="26"/>
      <c r="DU57" s="54"/>
      <c r="DV57" s="116"/>
      <c r="DW57" s="56"/>
      <c r="DX57" s="26"/>
      <c r="DY57" s="54"/>
      <c r="DZ57" s="26"/>
      <c r="EA57" s="54"/>
      <c r="EB57" s="116"/>
      <c r="EC57" s="56"/>
      <c r="ED57" s="26"/>
      <c r="EE57" s="54"/>
      <c r="EF57" s="26"/>
      <c r="EG57" s="54"/>
      <c r="EH57" s="116"/>
      <c r="EI57" s="56"/>
      <c r="EJ57" s="26"/>
      <c r="EK57" s="54"/>
      <c r="EL57" s="26"/>
      <c r="EM57" s="54"/>
      <c r="EN57" s="116"/>
      <c r="EO57" s="56"/>
      <c r="EP57" s="26"/>
      <c r="EQ57" s="54"/>
      <c r="ER57" s="26"/>
      <c r="ES57" s="54"/>
      <c r="ET57" s="116" t="s">
        <v>15005</v>
      </c>
    </row>
    <row r="58" spans="1:150" ht="20.100000000000001" hidden="1" customHeight="1" outlineLevel="1" collapsed="1" thickBot="1">
      <c r="A58" s="1171"/>
      <c r="B58" s="1172" t="s">
        <v>8736</v>
      </c>
      <c r="C58" s="1098"/>
    </row>
    <row r="59" spans="1:150" ht="20.100000000000001" hidden="1" customHeight="1" collapsed="1">
      <c r="A59" s="3031" t="s">
        <v>10763</v>
      </c>
      <c r="B59" s="3033" t="s">
        <v>4855</v>
      </c>
    </row>
    <row r="60" spans="1:150" ht="20.100000000000001" hidden="1" customHeight="1" thickBot="1">
      <c r="A60" s="3032"/>
      <c r="B60" s="3002"/>
      <c r="C60" s="1098" t="s">
        <v>15510</v>
      </c>
      <c r="D60" s="2983" t="str">
        <f>実績!C1326&amp;"("&amp;SUBSTITUTE(実績!R1326&amp;")","株式会社 ","")</f>
        <v>V・drug岡崎医療センター前薬局(上野山都市設計)</v>
      </c>
      <c r="E60" s="2984"/>
      <c r="F60" s="2984"/>
      <c r="G60" s="2984"/>
      <c r="H60" s="2984"/>
      <c r="I60" s="2984"/>
      <c r="J60" s="2984"/>
      <c r="K60" s="2984"/>
      <c r="L60" s="2984"/>
      <c r="M60" s="2984"/>
      <c r="N60" s="2984"/>
      <c r="O60" s="2984"/>
      <c r="P60" s="2984"/>
      <c r="Q60" s="2984"/>
      <c r="R60" s="2985"/>
      <c r="S60" s="58"/>
      <c r="T60" s="58"/>
      <c r="U60" s="59"/>
      <c r="V60" s="58"/>
      <c r="W60" s="59"/>
      <c r="X60" s="60"/>
      <c r="Y60" s="58"/>
      <c r="Z60" s="58"/>
      <c r="AA60" s="59"/>
      <c r="AB60" s="58"/>
      <c r="AC60" s="59"/>
      <c r="AD60" s="58"/>
      <c r="AE60" s="61"/>
      <c r="AF60" s="58"/>
      <c r="AG60" s="59"/>
      <c r="AH60" s="58"/>
      <c r="AI60" s="59"/>
      <c r="AJ60" s="60"/>
      <c r="AK60" s="58"/>
      <c r="AL60" s="58"/>
      <c r="AM60" s="59"/>
      <c r="AN60" s="58"/>
      <c r="AO60" s="59"/>
      <c r="AP60" s="58"/>
      <c r="AQ60" s="57"/>
      <c r="AR60" s="58"/>
      <c r="AS60" s="59"/>
      <c r="AT60" s="58"/>
      <c r="AU60" s="59"/>
      <c r="AV60" s="60"/>
      <c r="AW60" s="61"/>
      <c r="AX60" s="58"/>
      <c r="AY60" s="59"/>
      <c r="AZ60" s="58"/>
      <c r="BA60" s="59"/>
      <c r="BB60" s="60"/>
      <c r="BC60" s="58"/>
      <c r="BD60" s="58"/>
      <c r="BE60" s="59"/>
      <c r="BF60" s="58"/>
      <c r="BG60" s="59"/>
      <c r="BH60" s="58"/>
      <c r="BI60" s="61"/>
      <c r="BJ60" s="58"/>
      <c r="BK60" s="59"/>
      <c r="BL60" s="58"/>
      <c r="BM60" s="59"/>
      <c r="BN60" s="60"/>
      <c r="BO60" s="61"/>
      <c r="BP60" s="58"/>
      <c r="BQ60" s="59"/>
      <c r="BR60" s="107"/>
      <c r="BS60" s="59"/>
      <c r="BT60" s="60"/>
      <c r="BU60" s="61"/>
      <c r="BV60" s="58"/>
      <c r="BW60" s="59"/>
      <c r="BX60" s="58"/>
      <c r="BY60" s="59"/>
      <c r="BZ60" s="60"/>
      <c r="CA60" s="61"/>
      <c r="CB60" s="58"/>
      <c r="CC60" s="59"/>
      <c r="CD60" s="58"/>
      <c r="CE60" s="59"/>
      <c r="CF60" s="60"/>
      <c r="CG60" s="61"/>
      <c r="CH60" s="58"/>
      <c r="CI60" s="59"/>
      <c r="CJ60" s="58"/>
      <c r="CK60" s="59"/>
      <c r="CL60" s="60"/>
      <c r="CM60" s="61"/>
      <c r="CN60" s="58"/>
      <c r="CO60" s="59"/>
      <c r="CP60" s="119"/>
      <c r="CQ60" s="59"/>
      <c r="CR60" s="60"/>
      <c r="CS60" s="61"/>
      <c r="CT60" s="58"/>
      <c r="CU60" s="59"/>
      <c r="CV60" s="58"/>
      <c r="CW60" s="59"/>
      <c r="CX60" s="60"/>
      <c r="CY60" s="61"/>
      <c r="CZ60" s="58"/>
      <c r="DA60" s="59"/>
      <c r="DB60" s="58"/>
      <c r="DC60" s="59"/>
      <c r="DD60" s="60"/>
      <c r="DE60" s="61"/>
      <c r="DF60" s="58"/>
      <c r="DG60" s="59"/>
      <c r="DH60" s="58"/>
      <c r="DI60" s="59"/>
      <c r="DJ60" s="60"/>
      <c r="DK60" s="61"/>
      <c r="DL60" s="58"/>
      <c r="DM60" s="59"/>
      <c r="DN60" s="58"/>
      <c r="DO60" s="59"/>
      <c r="DP60" s="60"/>
      <c r="DQ60" s="61"/>
      <c r="DR60" s="58"/>
      <c r="DS60" s="59"/>
      <c r="DT60" s="58"/>
      <c r="DU60" s="59"/>
      <c r="DV60" s="60"/>
      <c r="DW60" s="61"/>
      <c r="DX60" s="58"/>
      <c r="DY60" s="59"/>
      <c r="DZ60" s="58"/>
      <c r="EA60" s="59"/>
      <c r="EB60" s="60"/>
      <c r="EC60" s="61"/>
      <c r="ED60" s="58"/>
      <c r="EE60" s="59"/>
      <c r="EF60" s="58"/>
      <c r="EG60" s="59"/>
      <c r="EH60" s="60"/>
      <c r="EI60" s="58"/>
      <c r="EJ60" s="58"/>
      <c r="EK60" s="59"/>
      <c r="EL60" s="58"/>
      <c r="EM60" s="59"/>
      <c r="EN60" s="286"/>
      <c r="EO60" s="61"/>
      <c r="EP60" s="58"/>
      <c r="EQ60" s="59"/>
      <c r="ER60" s="58"/>
      <c r="ES60" s="59"/>
      <c r="ET60" s="286"/>
    </row>
    <row r="61" spans="1:150" ht="20.100000000000001" hidden="1" customHeight="1" outlineLevel="1" thickBot="1">
      <c r="A61" s="3034" t="s">
        <v>8143</v>
      </c>
      <c r="B61" s="172"/>
      <c r="C61" s="1097"/>
      <c r="D61" s="3035" t="str">
        <f>実績!C1121&amp;"("&amp;SUBSTITUTE(実績!R1121&amp;")","一級建築士事務所","")</f>
        <v>㈱川健川村商店倉庫(株式会社 川島隆太郎建築事務所)</v>
      </c>
      <c r="E61" s="3036"/>
      <c r="F61" s="3036"/>
      <c r="G61" s="3036"/>
      <c r="H61" s="3036"/>
      <c r="I61" s="3036"/>
      <c r="J61" s="3036"/>
      <c r="K61" s="3036"/>
      <c r="L61" s="3036"/>
      <c r="M61" s="3036"/>
      <c r="N61" s="3036"/>
      <c r="O61" s="3036"/>
      <c r="P61" s="3036"/>
      <c r="Q61" s="3037"/>
      <c r="R61" s="173"/>
      <c r="S61" s="80"/>
      <c r="T61" s="80"/>
      <c r="U61" s="81"/>
      <c r="V61" s="80"/>
      <c r="W61" s="81"/>
      <c r="X61" s="82"/>
      <c r="Y61" s="80"/>
      <c r="Z61" s="80"/>
      <c r="AA61" s="81"/>
      <c r="AB61" s="80"/>
      <c r="AC61" s="80" t="s">
        <v>8246</v>
      </c>
      <c r="AD61" s="80"/>
      <c r="AE61" s="80"/>
      <c r="AF61" s="80"/>
      <c r="AG61" s="81"/>
      <c r="AH61" s="80"/>
      <c r="AI61" s="81"/>
      <c r="AJ61" s="82"/>
      <c r="AK61" s="80"/>
      <c r="AL61" s="80"/>
      <c r="AM61" s="81" t="s">
        <v>8145</v>
      </c>
      <c r="AN61" s="80"/>
      <c r="AO61" s="81"/>
      <c r="AP61" s="80"/>
      <c r="AQ61" s="79"/>
      <c r="AR61" s="84"/>
      <c r="AS61" s="81"/>
      <c r="AT61" s="80"/>
      <c r="AU61" s="81"/>
      <c r="AV61" s="82"/>
      <c r="AW61" s="83"/>
      <c r="AX61" s="80"/>
      <c r="AY61" s="81"/>
      <c r="AZ61" s="80"/>
      <c r="BA61" s="81"/>
      <c r="BB61" s="82"/>
      <c r="BC61" s="80"/>
      <c r="BD61" s="80"/>
      <c r="BE61" s="81"/>
      <c r="BF61" s="80"/>
      <c r="BG61" s="81"/>
      <c r="BH61" s="80"/>
      <c r="BI61" s="83"/>
      <c r="BJ61" s="80"/>
      <c r="BK61" s="81"/>
      <c r="BL61" s="80"/>
      <c r="BM61" s="81"/>
      <c r="BN61" s="82"/>
      <c r="BO61" s="83"/>
      <c r="BP61" s="80"/>
      <c r="BQ61" s="81"/>
      <c r="BR61" s="80"/>
      <c r="BS61" s="81"/>
      <c r="BT61" s="82"/>
      <c r="BU61" s="83"/>
      <c r="BV61" s="80"/>
      <c r="BW61" s="81"/>
      <c r="BX61" s="80"/>
      <c r="BY61" s="81"/>
      <c r="BZ61" s="82"/>
      <c r="CA61" s="83"/>
      <c r="CB61" s="80"/>
      <c r="CC61" s="81"/>
      <c r="CD61" s="80"/>
      <c r="CE61" s="81"/>
      <c r="CF61" s="82"/>
      <c r="CG61" s="83"/>
      <c r="CH61" s="80"/>
      <c r="CI61" s="81"/>
      <c r="CJ61" s="80"/>
      <c r="CK61" s="81"/>
      <c r="CL61" s="82"/>
      <c r="CM61" s="83"/>
      <c r="CN61" s="80"/>
      <c r="CO61" s="81"/>
      <c r="CP61" s="80"/>
      <c r="CQ61" s="81"/>
      <c r="CR61" s="82"/>
      <c r="CS61" s="83"/>
      <c r="CT61" s="80"/>
      <c r="CU61" s="81"/>
      <c r="CV61" s="80"/>
      <c r="CW61" s="81"/>
      <c r="CX61" s="82"/>
      <c r="CY61" s="83"/>
      <c r="CZ61" s="80"/>
      <c r="DA61" s="81"/>
      <c r="DB61" s="80"/>
      <c r="DC61" s="81"/>
      <c r="DD61" s="82"/>
      <c r="DE61" s="83"/>
      <c r="DF61" s="80"/>
      <c r="DG61" s="81"/>
      <c r="DH61" s="80"/>
      <c r="DI61" s="81"/>
      <c r="DJ61" s="82"/>
      <c r="DK61" s="83"/>
      <c r="DL61" s="80"/>
      <c r="DM61" s="81"/>
      <c r="DN61" s="80"/>
      <c r="DO61" s="81"/>
      <c r="DP61" s="80"/>
      <c r="DQ61" s="174"/>
      <c r="DR61" s="80"/>
      <c r="DS61" s="81"/>
      <c r="DT61" s="84"/>
      <c r="DU61" s="80"/>
      <c r="DV61" s="82"/>
      <c r="DW61" s="83"/>
      <c r="DX61" s="80"/>
      <c r="DY61" s="81"/>
      <c r="DZ61" s="80"/>
      <c r="EA61" s="81"/>
      <c r="EB61" s="82"/>
      <c r="EC61" s="83"/>
      <c r="ED61" s="80"/>
      <c r="EE61" s="81"/>
      <c r="EF61" s="80"/>
      <c r="EG61" s="81"/>
      <c r="EH61" s="82"/>
      <c r="EI61" s="83"/>
      <c r="EJ61" s="80"/>
      <c r="EK61" s="81"/>
      <c r="EL61" s="80"/>
      <c r="EM61" s="81"/>
      <c r="EN61" s="82"/>
      <c r="EO61" s="83"/>
      <c r="EP61" s="80"/>
      <c r="EQ61" s="81"/>
      <c r="ER61" s="80"/>
      <c r="ES61" s="81"/>
      <c r="ET61" s="82"/>
    </row>
    <row r="62" spans="1:150" ht="20.100000000000001" hidden="1" customHeight="1" outlineLevel="1" thickBot="1">
      <c r="A62" s="3034"/>
      <c r="B62" s="125"/>
      <c r="C62" s="179"/>
      <c r="D62" s="2726" t="str">
        <f>実績!C1130&amp;"("&amp;SUBSTITUTE(実績!R1130&amp;")","株式会社 ","")</f>
        <v>ドラッグセイムス上尾井戸木(アーツ建築)</v>
      </c>
      <c r="E62" s="2878"/>
      <c r="F62" s="2878"/>
      <c r="G62" s="2878"/>
      <c r="H62" s="2878"/>
      <c r="I62" s="2878"/>
      <c r="J62" s="2878"/>
      <c r="K62" s="2878"/>
      <c r="L62" s="2878"/>
      <c r="M62" s="2878"/>
      <c r="N62" s="2878"/>
      <c r="O62" s="2878"/>
      <c r="P62" s="2878"/>
      <c r="Q62" s="3025"/>
      <c r="R62" s="1096"/>
      <c r="S62" s="26"/>
      <c r="T62" s="26"/>
      <c r="U62" s="54"/>
      <c r="V62" s="26"/>
      <c r="W62" s="26"/>
      <c r="X62" s="55"/>
      <c r="Y62" s="26"/>
      <c r="Z62" s="26"/>
      <c r="AA62" s="54"/>
      <c r="AB62" s="26" t="s">
        <v>8273</v>
      </c>
      <c r="AC62" s="54"/>
      <c r="AD62" s="26"/>
      <c r="AE62" s="56"/>
      <c r="AF62" s="26"/>
      <c r="AG62" s="54"/>
      <c r="AH62" s="26"/>
      <c r="AI62" s="54"/>
      <c r="AJ62" s="55"/>
      <c r="AK62" s="26"/>
      <c r="AL62" s="26"/>
      <c r="AM62" s="54"/>
      <c r="AN62" s="26"/>
      <c r="AO62" s="54"/>
      <c r="AP62" s="26"/>
      <c r="AQ62" s="53"/>
      <c r="AR62" s="70"/>
      <c r="AS62" s="54"/>
      <c r="AT62" s="26"/>
      <c r="AU62" s="54"/>
      <c r="AV62" s="55"/>
      <c r="AW62" s="56"/>
      <c r="AX62" s="26"/>
      <c r="AY62" s="54"/>
      <c r="AZ62" s="26"/>
      <c r="BA62" s="54"/>
      <c r="BB62" s="55"/>
      <c r="BC62" s="26"/>
      <c r="BD62" s="26"/>
      <c r="BE62" s="54"/>
      <c r="BF62" s="26"/>
      <c r="BG62" s="54"/>
      <c r="BH62" s="26"/>
      <c r="BI62" s="56"/>
      <c r="BJ62" s="26"/>
      <c r="BK62" s="54"/>
      <c r="BL62" s="26"/>
      <c r="BM62" s="54"/>
      <c r="BN62" s="55"/>
      <c r="BO62" s="56"/>
      <c r="BP62" s="26"/>
      <c r="BQ62" s="54"/>
      <c r="BR62" s="26"/>
      <c r="BS62" s="54"/>
      <c r="BT62" s="55"/>
      <c r="BU62" s="56"/>
      <c r="BV62" s="26"/>
      <c r="BW62" s="54"/>
      <c r="BX62" s="26"/>
      <c r="BY62" s="54"/>
      <c r="BZ62" s="55"/>
      <c r="CA62" s="56"/>
      <c r="CB62" s="26"/>
      <c r="CC62" s="54"/>
      <c r="CD62" s="26"/>
      <c r="CE62" s="54"/>
      <c r="CF62" s="55"/>
      <c r="CG62" s="56"/>
      <c r="CH62" s="26"/>
      <c r="CI62" s="54"/>
      <c r="CJ62" s="26"/>
      <c r="CK62" s="54"/>
      <c r="CL62" s="55"/>
      <c r="CM62" s="56"/>
      <c r="CN62" s="26"/>
      <c r="CO62" s="54"/>
      <c r="CP62" s="26"/>
      <c r="CQ62" s="54"/>
      <c r="CR62" s="55"/>
      <c r="CS62" s="56"/>
      <c r="CT62" s="26"/>
      <c r="CU62" s="54"/>
      <c r="CV62" s="26"/>
      <c r="CW62" s="54"/>
      <c r="CX62" s="55"/>
      <c r="CY62" s="56"/>
      <c r="CZ62" s="26"/>
      <c r="DA62" s="54"/>
      <c r="DB62" s="26"/>
      <c r="DC62" s="54"/>
      <c r="DD62" s="55"/>
      <c r="DE62" s="56"/>
      <c r="DF62" s="26"/>
      <c r="DG62" s="54"/>
      <c r="DH62" s="26"/>
      <c r="DI62" s="54"/>
      <c r="DJ62" s="55"/>
      <c r="DK62" s="56"/>
      <c r="DL62" s="26"/>
      <c r="DM62" s="54"/>
      <c r="DN62" s="26"/>
      <c r="DO62" s="54"/>
      <c r="DP62" s="26"/>
      <c r="DQ62" s="89"/>
      <c r="DR62" s="26"/>
      <c r="DS62" s="54"/>
      <c r="DT62" s="70"/>
      <c r="DU62" s="26"/>
      <c r="DV62" s="55"/>
      <c r="DW62" s="56"/>
      <c r="DX62" s="26"/>
      <c r="DY62" s="54"/>
      <c r="DZ62" s="26"/>
      <c r="EA62" s="54"/>
      <c r="EB62" s="55"/>
      <c r="EC62" s="56"/>
      <c r="ED62" s="26"/>
      <c r="EE62" s="54"/>
      <c r="EF62" s="26"/>
      <c r="EG62" s="54"/>
      <c r="EH62" s="55"/>
      <c r="EI62" s="56"/>
      <c r="EJ62" s="26"/>
      <c r="EK62" s="54"/>
      <c r="EL62" s="26"/>
      <c r="EM62" s="54"/>
      <c r="EN62" s="55"/>
      <c r="EO62" s="56"/>
      <c r="EP62" s="26"/>
      <c r="EQ62" s="54"/>
      <c r="ER62" s="26"/>
      <c r="ES62" s="54"/>
      <c r="ET62" s="55"/>
    </row>
    <row r="63" spans="1:150" ht="20.100000000000001" hidden="1" customHeight="1" outlineLevel="1" thickBot="1">
      <c r="A63" s="3034"/>
      <c r="B63" s="125"/>
      <c r="C63" s="179"/>
      <c r="D63" s="2726" t="str">
        <f>実績!C1124&amp;"("&amp;SUBSTITUTE(実績!W1124&amp;")","株式会社 ","")</f>
        <v>CFC茂原(ユープラン一級建築士事務所)</v>
      </c>
      <c r="E63" s="2878"/>
      <c r="F63" s="2878"/>
      <c r="G63" s="2878"/>
      <c r="H63" s="2878"/>
      <c r="I63" s="2878"/>
      <c r="J63" s="2878"/>
      <c r="K63" s="2878"/>
      <c r="L63" s="2878"/>
      <c r="M63" s="2878"/>
      <c r="N63" s="2878"/>
      <c r="O63" s="2878"/>
      <c r="P63" s="2878"/>
      <c r="Q63" s="3025"/>
      <c r="R63" s="1096"/>
      <c r="S63" s="26"/>
      <c r="T63" s="26"/>
      <c r="U63" s="54"/>
      <c r="V63" s="26" t="s">
        <v>8202</v>
      </c>
      <c r="W63" s="54"/>
      <c r="X63" s="55"/>
      <c r="Y63" s="26"/>
      <c r="Z63" s="26"/>
      <c r="AA63" s="54"/>
      <c r="AB63" s="26"/>
      <c r="AC63" s="54" t="s">
        <v>8308</v>
      </c>
      <c r="AD63" s="26"/>
      <c r="AE63" s="56"/>
      <c r="AF63" s="26"/>
      <c r="AG63" s="54"/>
      <c r="AH63" s="26"/>
      <c r="AI63" s="54"/>
      <c r="AJ63" s="55"/>
      <c r="AK63" s="26"/>
      <c r="AL63" s="26"/>
      <c r="AM63" s="54"/>
      <c r="AN63" s="26"/>
      <c r="AO63" s="54"/>
      <c r="AP63" s="26"/>
      <c r="AQ63" s="53"/>
      <c r="AR63" s="70"/>
      <c r="AS63" s="54"/>
      <c r="AT63" s="26"/>
      <c r="AU63" s="54"/>
      <c r="AV63" s="55"/>
      <c r="AW63" s="56"/>
      <c r="AX63" s="26"/>
      <c r="AY63" s="54"/>
      <c r="AZ63" s="26"/>
      <c r="BA63" s="54"/>
      <c r="BB63" s="55"/>
      <c r="BC63" s="26"/>
      <c r="BD63" s="26"/>
      <c r="BE63" s="54"/>
      <c r="BF63" s="26"/>
      <c r="BG63" s="54"/>
      <c r="BH63" s="26"/>
      <c r="BI63" s="56"/>
      <c r="BJ63" s="26"/>
      <c r="BK63" s="54"/>
      <c r="BL63" s="26"/>
      <c r="BM63" s="54"/>
      <c r="BN63" s="55"/>
      <c r="BO63" s="56"/>
      <c r="BP63" s="26"/>
      <c r="BQ63" s="54"/>
      <c r="BR63" s="26"/>
      <c r="BS63" s="54"/>
      <c r="BT63" s="55"/>
      <c r="BU63" s="56"/>
      <c r="BV63" s="26"/>
      <c r="BW63" s="54"/>
      <c r="BX63" s="26"/>
      <c r="BY63" s="54"/>
      <c r="BZ63" s="55"/>
      <c r="CA63" s="56"/>
      <c r="CB63" s="26"/>
      <c r="CC63" s="54"/>
      <c r="CD63" s="26"/>
      <c r="CE63" s="54"/>
      <c r="CF63" s="55"/>
      <c r="CG63" s="56"/>
      <c r="CH63" s="26"/>
      <c r="CI63" s="54"/>
      <c r="CJ63" s="26"/>
      <c r="CK63" s="54"/>
      <c r="CL63" s="55"/>
      <c r="CM63" s="56"/>
      <c r="CN63" s="26"/>
      <c r="CO63" s="54"/>
      <c r="CP63" s="26"/>
      <c r="CQ63" s="54"/>
      <c r="CR63" s="55"/>
      <c r="CS63" s="56"/>
      <c r="CT63" s="26"/>
      <c r="CU63" s="54"/>
      <c r="CV63" s="26"/>
      <c r="CW63" s="54"/>
      <c r="CX63" s="55"/>
      <c r="CY63" s="56"/>
      <c r="CZ63" s="26"/>
      <c r="DA63" s="54"/>
      <c r="DB63" s="26"/>
      <c r="DC63" s="54"/>
      <c r="DD63" s="55"/>
      <c r="DE63" s="56"/>
      <c r="DF63" s="26"/>
      <c r="DG63" s="54"/>
      <c r="DH63" s="26"/>
      <c r="DI63" s="54"/>
      <c r="DJ63" s="55"/>
      <c r="DK63" s="56"/>
      <c r="DL63" s="26"/>
      <c r="DM63" s="54"/>
      <c r="DN63" s="26"/>
      <c r="DO63" s="54"/>
      <c r="DP63" s="26"/>
      <c r="DQ63" s="89"/>
      <c r="DR63" s="26"/>
      <c r="DS63" s="54"/>
      <c r="DT63" s="70"/>
      <c r="DU63" s="26"/>
      <c r="DV63" s="55"/>
      <c r="DW63" s="56"/>
      <c r="DX63" s="26"/>
      <c r="DY63" s="54"/>
      <c r="DZ63" s="26"/>
      <c r="EA63" s="54"/>
      <c r="EB63" s="55"/>
      <c r="EC63" s="56"/>
      <c r="ED63" s="26"/>
      <c r="EE63" s="54"/>
      <c r="EF63" s="26"/>
      <c r="EG63" s="54"/>
      <c r="EH63" s="55"/>
      <c r="EI63" s="56"/>
      <c r="EJ63" s="26"/>
      <c r="EK63" s="54"/>
      <c r="EL63" s="26"/>
      <c r="EM63" s="54"/>
      <c r="EN63" s="55"/>
      <c r="EO63" s="56"/>
      <c r="EP63" s="26"/>
      <c r="EQ63" s="54"/>
      <c r="ER63" s="26"/>
      <c r="ES63" s="54"/>
      <c r="ET63" s="55"/>
    </row>
    <row r="64" spans="1:150" ht="20.100000000000001" hidden="1" customHeight="1" outlineLevel="1" thickBot="1">
      <c r="A64" s="3034"/>
      <c r="B64" s="125"/>
      <c r="C64" s="179"/>
      <c r="D64" s="2726" t="str">
        <f>実績!C1135&amp;"("&amp;SUBSTITUTE(実績!W1135&amp;")","株式会社 ","")</f>
        <v>BPS/MINI NEXT加古川(ﾃｨｰｱﾝﾄﾞﾋﾟｨｰ設計事務所)</v>
      </c>
      <c r="E64" s="2878"/>
      <c r="F64" s="2878"/>
      <c r="G64" s="2878"/>
      <c r="H64" s="2878"/>
      <c r="I64" s="2878"/>
      <c r="J64" s="2878"/>
      <c r="K64" s="2878"/>
      <c r="L64" s="2878"/>
      <c r="M64" s="2878"/>
      <c r="N64" s="2878"/>
      <c r="O64" s="2878"/>
      <c r="P64" s="2878"/>
      <c r="Q64" s="3025"/>
      <c r="R64" s="1096"/>
      <c r="S64" s="26"/>
      <c r="T64" s="26"/>
      <c r="U64" s="54"/>
      <c r="V64" s="26"/>
      <c r="W64" s="54"/>
      <c r="X64" s="55"/>
      <c r="Y64" s="26"/>
      <c r="Z64" s="26"/>
      <c r="AA64" s="54"/>
      <c r="AB64" s="26"/>
      <c r="AC64" s="54"/>
      <c r="AD64" s="26" t="s">
        <v>8310</v>
      </c>
      <c r="AE64" s="56"/>
      <c r="AF64" s="26"/>
      <c r="AG64" s="54"/>
      <c r="AH64" s="26"/>
      <c r="AI64" s="54"/>
      <c r="AJ64" s="55"/>
      <c r="AK64" s="26"/>
      <c r="AL64" s="26"/>
      <c r="AM64" s="54"/>
      <c r="AN64" s="26"/>
      <c r="AO64" s="54"/>
      <c r="AP64" s="26"/>
      <c r="AQ64" s="53"/>
      <c r="AR64" s="70"/>
      <c r="AS64" s="54"/>
      <c r="AT64" s="26"/>
      <c r="AU64" s="54"/>
      <c r="AV64" s="55"/>
      <c r="AW64" s="56" t="s">
        <v>8145</v>
      </c>
      <c r="AX64" s="26"/>
      <c r="AY64" s="54"/>
      <c r="AZ64" s="26"/>
      <c r="BA64" s="54"/>
      <c r="BB64" s="55"/>
      <c r="BC64" s="26"/>
      <c r="BD64" s="26"/>
      <c r="BE64" s="54"/>
      <c r="BF64" s="26"/>
      <c r="BG64" s="54"/>
      <c r="BH64" s="26"/>
      <c r="BI64" s="56"/>
      <c r="BJ64" s="26"/>
      <c r="BK64" s="54"/>
      <c r="BL64" s="26"/>
      <c r="BM64" s="54"/>
      <c r="BN64" s="55"/>
      <c r="BO64" s="56"/>
      <c r="BP64" s="26"/>
      <c r="BQ64" s="54"/>
      <c r="BR64" s="26"/>
      <c r="BS64" s="54"/>
      <c r="BT64" s="55"/>
      <c r="BU64" s="56"/>
      <c r="BV64" s="26"/>
      <c r="BW64" s="54"/>
      <c r="BX64" s="26"/>
      <c r="BY64" s="54"/>
      <c r="BZ64" s="55"/>
      <c r="CA64" s="56"/>
      <c r="CB64" s="26"/>
      <c r="CC64" s="54"/>
      <c r="CD64" s="26"/>
      <c r="CE64" s="54"/>
      <c r="CF64" s="55"/>
      <c r="CG64" s="56"/>
      <c r="CH64" s="26"/>
      <c r="CI64" s="54"/>
      <c r="CJ64" s="26"/>
      <c r="CK64" s="54"/>
      <c r="CL64" s="55"/>
      <c r="CM64" s="56"/>
      <c r="CN64" s="26"/>
      <c r="CO64" s="54"/>
      <c r="CP64" s="26"/>
      <c r="CQ64" s="54"/>
      <c r="CR64" s="55"/>
      <c r="CS64" s="56"/>
      <c r="CT64" s="26"/>
      <c r="CU64" s="54"/>
      <c r="CV64" s="26"/>
      <c r="CW64" s="54"/>
      <c r="CX64" s="55"/>
      <c r="CY64" s="56"/>
      <c r="CZ64" s="26"/>
      <c r="DA64" s="54"/>
      <c r="DB64" s="26"/>
      <c r="DC64" s="54"/>
      <c r="DD64" s="55"/>
      <c r="DE64" s="56"/>
      <c r="DF64" s="26"/>
      <c r="DG64" s="54"/>
      <c r="DH64" s="26"/>
      <c r="DI64" s="54"/>
      <c r="DJ64" s="55"/>
      <c r="DK64" s="56"/>
      <c r="DL64" s="26"/>
      <c r="DM64" s="54"/>
      <c r="DN64" s="26"/>
      <c r="DO64" s="54"/>
      <c r="DP64" s="26"/>
      <c r="DQ64" s="89"/>
      <c r="DR64" s="26"/>
      <c r="DS64" s="54"/>
      <c r="DT64" s="70"/>
      <c r="DU64" s="26"/>
      <c r="DV64" s="55"/>
      <c r="DW64" s="56"/>
      <c r="DX64" s="26"/>
      <c r="DY64" s="54"/>
      <c r="DZ64" s="26"/>
      <c r="EA64" s="54"/>
      <c r="EB64" s="55"/>
      <c r="EC64" s="56"/>
      <c r="ED64" s="26"/>
      <c r="EE64" s="54"/>
      <c r="EF64" s="26"/>
      <c r="EG64" s="54"/>
      <c r="EH64" s="55"/>
      <c r="EI64" s="56"/>
      <c r="EJ64" s="26"/>
      <c r="EK64" s="54"/>
      <c r="EL64" s="26"/>
      <c r="EM64" s="54"/>
      <c r="EN64" s="55"/>
      <c r="EO64" s="56"/>
      <c r="EP64" s="26"/>
      <c r="EQ64" s="54"/>
      <c r="ER64" s="26"/>
      <c r="ES64" s="54"/>
      <c r="ET64" s="55"/>
    </row>
    <row r="65" spans="1:150" ht="20.100000000000001" hidden="1" customHeight="1" outlineLevel="1" thickBot="1">
      <c r="A65" s="3034"/>
      <c r="B65" s="125"/>
      <c r="C65" s="179"/>
      <c r="D65" s="2726" t="str">
        <f>実績!C1148&amp;"("&amp;SUBSTITUTE(実績!W1148&amp;")","有限会社 ","")</f>
        <v>ホクガン冷凍立体駐車場(建築構造研究所)</v>
      </c>
      <c r="E65" s="2878"/>
      <c r="F65" s="2878"/>
      <c r="G65" s="2878"/>
      <c r="H65" s="2878"/>
      <c r="I65" s="2878"/>
      <c r="J65" s="2878"/>
      <c r="K65" s="2878"/>
      <c r="L65" s="2878"/>
      <c r="M65" s="2878"/>
      <c r="N65" s="2878"/>
      <c r="O65" s="2878"/>
      <c r="P65" s="2878"/>
      <c r="Q65" s="3025"/>
      <c r="R65" s="1096"/>
      <c r="S65" s="26"/>
      <c r="T65" s="26"/>
      <c r="U65" s="54"/>
      <c r="V65" s="26"/>
      <c r="W65" s="54"/>
      <c r="X65" s="55"/>
      <c r="Y65" s="26"/>
      <c r="Z65" s="26"/>
      <c r="AA65" s="54"/>
      <c r="AB65" s="26"/>
      <c r="AC65" s="54"/>
      <c r="AD65" s="26"/>
      <c r="AE65" s="56"/>
      <c r="AF65" s="26"/>
      <c r="AG65" s="54"/>
      <c r="AH65" s="26"/>
      <c r="AI65" s="54"/>
      <c r="AJ65" s="55"/>
      <c r="AK65" s="26"/>
      <c r="AL65" s="26"/>
      <c r="AM65" s="54"/>
      <c r="AN65" s="26"/>
      <c r="AO65" s="54"/>
      <c r="AP65" s="26"/>
      <c r="AQ65" s="53"/>
      <c r="AR65" s="26"/>
      <c r="AS65" s="54"/>
      <c r="AT65" s="26"/>
      <c r="AU65" s="54"/>
      <c r="AV65" s="55"/>
      <c r="AW65" s="56"/>
      <c r="AX65" s="26"/>
      <c r="AY65" s="54"/>
      <c r="AZ65" s="26"/>
      <c r="BA65" s="54"/>
      <c r="BB65" s="55"/>
      <c r="BC65" s="26"/>
      <c r="BD65" s="26"/>
      <c r="BE65" s="54"/>
      <c r="BF65" s="26"/>
      <c r="BG65" s="54"/>
      <c r="BH65" s="26"/>
      <c r="BI65" s="56"/>
      <c r="BJ65" s="26"/>
      <c r="BK65" s="54"/>
      <c r="BL65" s="26"/>
      <c r="BM65" s="54"/>
      <c r="BN65" s="55"/>
      <c r="BO65" s="56"/>
      <c r="BP65" s="26"/>
      <c r="BQ65" s="54"/>
      <c r="BR65" s="26"/>
      <c r="BS65" s="54"/>
      <c r="BT65" s="55"/>
      <c r="BU65" s="56"/>
      <c r="BV65" s="26"/>
      <c r="BW65" s="54"/>
      <c r="BX65" s="26"/>
      <c r="BY65" s="54"/>
      <c r="BZ65" s="55"/>
      <c r="CA65" s="56"/>
      <c r="CB65" s="26"/>
      <c r="CC65" s="54"/>
      <c r="CD65" s="26"/>
      <c r="CE65" s="54"/>
      <c r="CF65" s="55"/>
      <c r="CG65" s="56"/>
      <c r="CH65" s="26"/>
      <c r="CI65" s="54"/>
      <c r="CJ65" s="26"/>
      <c r="CK65" s="54"/>
      <c r="CL65" s="55"/>
      <c r="CM65" s="56"/>
      <c r="CN65" s="26"/>
      <c r="CO65" s="54"/>
      <c r="CP65" s="26"/>
      <c r="CQ65" s="54"/>
      <c r="CR65" s="55"/>
      <c r="CS65" s="56"/>
      <c r="CT65" s="26"/>
      <c r="CU65" s="54"/>
      <c r="CV65" s="26"/>
      <c r="CW65" s="54"/>
      <c r="CX65" s="55"/>
      <c r="CY65" s="56"/>
      <c r="CZ65" s="26"/>
      <c r="DA65" s="54"/>
      <c r="DB65" s="26"/>
      <c r="DC65" s="54"/>
      <c r="DD65" s="55"/>
      <c r="DE65" s="56"/>
      <c r="DF65" s="26"/>
      <c r="DG65" s="54"/>
      <c r="DH65" s="26"/>
      <c r="DI65" s="54"/>
      <c r="DJ65" s="55"/>
      <c r="DK65" s="56"/>
      <c r="DL65" s="26"/>
      <c r="DM65" s="54"/>
      <c r="DN65" s="26"/>
      <c r="DO65" s="54"/>
      <c r="DP65" s="26"/>
      <c r="DQ65" s="89"/>
      <c r="DR65" s="26"/>
      <c r="DS65" s="54"/>
      <c r="DT65" s="70"/>
      <c r="DU65" s="26"/>
      <c r="DV65" s="55"/>
      <c r="DW65" s="56"/>
      <c r="DX65" s="26"/>
      <c r="DY65" s="54"/>
      <c r="DZ65" s="26"/>
      <c r="EA65" s="54"/>
      <c r="EB65" s="55"/>
      <c r="EC65" s="56"/>
      <c r="ED65" s="26"/>
      <c r="EE65" s="54"/>
      <c r="EF65" s="26"/>
      <c r="EG65" s="54"/>
      <c r="EH65" s="55"/>
      <c r="EI65" s="56"/>
      <c r="EJ65" s="26"/>
      <c r="EK65" s="54"/>
      <c r="EL65" s="26"/>
      <c r="EM65" s="54"/>
      <c r="EN65" s="55"/>
      <c r="EO65" s="56"/>
      <c r="EP65" s="26"/>
      <c r="EQ65" s="54"/>
      <c r="ER65" s="26"/>
      <c r="ES65" s="54"/>
      <c r="ET65" s="55"/>
    </row>
    <row r="66" spans="1:150" ht="20.100000000000001" hidden="1" customHeight="1" outlineLevel="1" thickBot="1">
      <c r="A66" s="3034"/>
      <c r="B66" s="125"/>
      <c r="C66" s="179"/>
      <c r="D66" s="75" t="str">
        <f>実績!C1153&amp;"("&amp;SUBSTITUTE(実績!R1153&amp;")","株式会社 ","")</f>
        <v>東北臨海興業㈱事務所(橋本設計)</v>
      </c>
      <c r="E66" s="76"/>
      <c r="F66" s="76"/>
      <c r="G66" s="76"/>
      <c r="H66" s="76"/>
      <c r="I66" s="76"/>
      <c r="J66" s="76"/>
      <c r="K66" s="76"/>
      <c r="L66" s="76"/>
      <c r="M66" s="76"/>
      <c r="N66" s="76"/>
      <c r="O66" s="76"/>
      <c r="P66" s="76"/>
      <c r="Q66" s="77"/>
      <c r="R66" s="126"/>
      <c r="S66" s="26"/>
      <c r="T66" s="26"/>
      <c r="U66" s="54"/>
      <c r="V66" s="26"/>
      <c r="W66" s="54"/>
      <c r="X66" s="55"/>
      <c r="Y66" s="26"/>
      <c r="Z66" s="26"/>
      <c r="AA66" s="54"/>
      <c r="AB66" s="26"/>
      <c r="AC66" s="54"/>
      <c r="AD66" s="26"/>
      <c r="AE66" s="56"/>
      <c r="AF66" s="26"/>
      <c r="AG66" s="54"/>
      <c r="AH66" s="26"/>
      <c r="AI66" s="54"/>
      <c r="AJ66" s="55"/>
      <c r="AK66" s="26" t="s">
        <v>8250</v>
      </c>
      <c r="AL66" s="26"/>
      <c r="AM66" s="54"/>
      <c r="AN66" s="26"/>
      <c r="AO66" s="54"/>
      <c r="AP66" s="26"/>
      <c r="AQ66" s="53" t="s">
        <v>8424</v>
      </c>
      <c r="AR66" s="26"/>
      <c r="AS66" s="54"/>
      <c r="AT66" s="26"/>
      <c r="AU66" s="54"/>
      <c r="AV66" s="55"/>
      <c r="AW66" s="56"/>
      <c r="AX66" s="26"/>
      <c r="AY66" s="54"/>
      <c r="AZ66" s="26"/>
      <c r="BA66" s="54"/>
      <c r="BB66" s="55"/>
      <c r="BC66" s="26"/>
      <c r="BD66" s="26"/>
      <c r="BE66" s="54"/>
      <c r="BF66" s="26"/>
      <c r="BG66" s="54"/>
      <c r="BH66" s="26"/>
      <c r="BI66" s="56"/>
      <c r="BJ66" s="26"/>
      <c r="BK66" s="54"/>
      <c r="BL66" s="26"/>
      <c r="BM66" s="54"/>
      <c r="BN66" s="55"/>
      <c r="BO66" s="56"/>
      <c r="BP66" s="26"/>
      <c r="BQ66" s="54"/>
      <c r="BR66" s="26"/>
      <c r="BS66" s="54"/>
      <c r="BT66" s="55"/>
      <c r="BU66" s="56"/>
      <c r="BV66" s="26"/>
      <c r="BW66" s="54"/>
      <c r="BX66" s="26"/>
      <c r="BY66" s="54"/>
      <c r="BZ66" s="55"/>
      <c r="CA66" s="56"/>
      <c r="CB66" s="26"/>
      <c r="CC66" s="54"/>
      <c r="CD66" s="26"/>
      <c r="CE66" s="54"/>
      <c r="CF66" s="55"/>
      <c r="CG66" s="56"/>
      <c r="CH66" s="26"/>
      <c r="CI66" s="54"/>
      <c r="CJ66" s="26"/>
      <c r="CK66" s="54"/>
      <c r="CL66" s="55"/>
      <c r="CM66" s="56"/>
      <c r="CN66" s="26"/>
      <c r="CO66" s="54"/>
      <c r="CP66" s="26"/>
      <c r="CQ66" s="54"/>
      <c r="CR66" s="55"/>
      <c r="CS66" s="56"/>
      <c r="CT66" s="26"/>
      <c r="CU66" s="54"/>
      <c r="CV66" s="26"/>
      <c r="CW66" s="54"/>
      <c r="CX66" s="55"/>
      <c r="CY66" s="56"/>
      <c r="CZ66" s="26"/>
      <c r="DA66" s="54"/>
      <c r="DB66" s="26"/>
      <c r="DC66" s="54"/>
      <c r="DD66" s="55"/>
      <c r="DE66" s="56"/>
      <c r="DF66" s="26"/>
      <c r="DG66" s="54"/>
      <c r="DH66" s="26"/>
      <c r="DI66" s="54"/>
      <c r="DJ66" s="55"/>
      <c r="DK66" s="56"/>
      <c r="DL66" s="26"/>
      <c r="DM66" s="54"/>
      <c r="DN66" s="26"/>
      <c r="DO66" s="54"/>
      <c r="DP66" s="26"/>
      <c r="DQ66" s="89"/>
      <c r="DR66" s="26"/>
      <c r="DS66" s="54"/>
      <c r="DT66" s="70"/>
      <c r="DU66" s="26"/>
      <c r="DV66" s="55"/>
      <c r="DW66" s="56"/>
      <c r="DX66" s="26"/>
      <c r="DY66" s="54"/>
      <c r="DZ66" s="26"/>
      <c r="EA66" s="54"/>
      <c r="EB66" s="55"/>
      <c r="EC66" s="56"/>
      <c r="ED66" s="26"/>
      <c r="EE66" s="54"/>
      <c r="EF66" s="26"/>
      <c r="EG66" s="54"/>
      <c r="EH66" s="55"/>
      <c r="EI66" s="56"/>
      <c r="EJ66" s="26"/>
      <c r="EK66" s="54"/>
      <c r="EL66" s="26"/>
      <c r="EM66" s="54"/>
      <c r="EN66" s="55"/>
      <c r="EO66" s="56"/>
      <c r="EP66" s="26"/>
      <c r="EQ66" s="54"/>
      <c r="ER66" s="26"/>
      <c r="ES66" s="54"/>
      <c r="ET66" s="55"/>
    </row>
    <row r="67" spans="1:150" ht="20.100000000000001" hidden="1" customHeight="1" outlineLevel="1" thickBot="1">
      <c r="A67" s="3034"/>
      <c r="B67" s="125"/>
      <c r="C67" s="179"/>
      <c r="D67" s="2726" t="str">
        <f>実績!C1146&amp;"("&amp;SUBSTITUTE(実績!R1146&amp;")"," 株式会社","")</f>
        <v>小林精機 新工場(東野建設工業)</v>
      </c>
      <c r="E67" s="2878"/>
      <c r="F67" s="2878"/>
      <c r="G67" s="2878"/>
      <c r="H67" s="2878"/>
      <c r="I67" s="2878"/>
      <c r="J67" s="2878"/>
      <c r="K67" s="2878"/>
      <c r="L67" s="2878"/>
      <c r="M67" s="2878"/>
      <c r="N67" s="2878"/>
      <c r="O67" s="2878"/>
      <c r="P67" s="2878"/>
      <c r="Q67" s="3025"/>
      <c r="R67" s="1096"/>
      <c r="S67" s="26"/>
      <c r="T67" s="26"/>
      <c r="U67" s="54"/>
      <c r="V67" s="26"/>
      <c r="W67" s="54"/>
      <c r="X67" s="55"/>
      <c r="Y67" s="26"/>
      <c r="Z67" s="26"/>
      <c r="AA67" s="54"/>
      <c r="AB67" s="26"/>
      <c r="AC67" s="54"/>
      <c r="AD67" s="26"/>
      <c r="AE67" s="56"/>
      <c r="AF67" s="26"/>
      <c r="AG67" s="54"/>
      <c r="AH67" s="26"/>
      <c r="AI67" s="54"/>
      <c r="AJ67" s="55"/>
      <c r="AK67" s="26"/>
      <c r="AL67" s="26"/>
      <c r="AM67" s="54"/>
      <c r="AN67" s="26"/>
      <c r="AO67" s="54"/>
      <c r="AP67" s="26"/>
      <c r="AQ67" s="53" t="s">
        <v>8145</v>
      </c>
      <c r="AR67" s="26"/>
      <c r="AS67" s="54"/>
      <c r="AT67" s="26"/>
      <c r="AU67" s="54"/>
      <c r="AV67" s="55"/>
      <c r="AW67" s="56"/>
      <c r="AX67" s="26"/>
      <c r="AY67" s="54"/>
      <c r="AZ67" s="26"/>
      <c r="BA67" s="54"/>
      <c r="BB67" s="55"/>
      <c r="BC67" s="26"/>
      <c r="BD67" s="26"/>
      <c r="BE67" s="54"/>
      <c r="BF67" s="26"/>
      <c r="BG67" s="54"/>
      <c r="BH67" s="26"/>
      <c r="BI67" s="56"/>
      <c r="BJ67" s="26"/>
      <c r="BK67" s="54"/>
      <c r="BL67" s="26"/>
      <c r="BM67" s="54"/>
      <c r="BN67" s="55"/>
      <c r="BO67" s="56"/>
      <c r="BP67" s="26"/>
      <c r="BQ67" s="54"/>
      <c r="BR67" s="26"/>
      <c r="BS67" s="54"/>
      <c r="BT67" s="55"/>
      <c r="BU67" s="56"/>
      <c r="BV67" s="26"/>
      <c r="BW67" s="54"/>
      <c r="BX67" s="26"/>
      <c r="BY67" s="54"/>
      <c r="BZ67" s="55"/>
      <c r="CA67" s="56"/>
      <c r="CB67" s="26"/>
      <c r="CC67" s="54"/>
      <c r="CD67" s="26"/>
      <c r="CE67" s="54"/>
      <c r="CF67" s="55"/>
      <c r="CG67" s="56"/>
      <c r="CH67" s="26"/>
      <c r="CI67" s="54"/>
      <c r="CJ67" s="26"/>
      <c r="CK67" s="54"/>
      <c r="CL67" s="55"/>
      <c r="CM67" s="56"/>
      <c r="CN67" s="26"/>
      <c r="CO67" s="54"/>
      <c r="CP67" s="26"/>
      <c r="CQ67" s="54"/>
      <c r="CR67" s="55"/>
      <c r="CS67" s="56"/>
      <c r="CT67" s="26"/>
      <c r="CU67" s="54"/>
      <c r="CV67" s="26"/>
      <c r="CW67" s="54"/>
      <c r="CX67" s="55"/>
      <c r="CY67" s="56"/>
      <c r="CZ67" s="26"/>
      <c r="DA67" s="54"/>
      <c r="DB67" s="26"/>
      <c r="DC67" s="54"/>
      <c r="DD67" s="55"/>
      <c r="DE67" s="56"/>
      <c r="DF67" s="26"/>
      <c r="DG67" s="54"/>
      <c r="DH67" s="26"/>
      <c r="DI67" s="54"/>
      <c r="DJ67" s="55"/>
      <c r="DK67" s="56"/>
      <c r="DL67" s="26"/>
      <c r="DM67" s="54"/>
      <c r="DN67" s="26"/>
      <c r="DO67" s="54"/>
      <c r="DP67" s="26"/>
      <c r="DQ67" s="89"/>
      <c r="DR67" s="26"/>
      <c r="DS67" s="54"/>
      <c r="DT67" s="70"/>
      <c r="DU67" s="26"/>
      <c r="DV67" s="55"/>
      <c r="DW67" s="56"/>
      <c r="DX67" s="26"/>
      <c r="DY67" s="54"/>
      <c r="DZ67" s="26"/>
      <c r="EA67" s="54"/>
      <c r="EB67" s="55"/>
      <c r="EC67" s="56"/>
      <c r="ED67" s="26"/>
      <c r="EE67" s="54"/>
      <c r="EF67" s="26"/>
      <c r="EG67" s="54"/>
      <c r="EH67" s="55"/>
      <c r="EI67" s="56"/>
      <c r="EJ67" s="26"/>
      <c r="EK67" s="54"/>
      <c r="EL67" s="26"/>
      <c r="EM67" s="54"/>
      <c r="EN67" s="55"/>
      <c r="EO67" s="56"/>
      <c r="EP67" s="26"/>
      <c r="EQ67" s="54"/>
      <c r="ER67" s="26"/>
      <c r="ES67" s="54"/>
      <c r="ET67" s="55"/>
    </row>
    <row r="68" spans="1:150" ht="20.100000000000001" hidden="1" customHeight="1" outlineLevel="1" thickBot="1">
      <c r="A68" s="3034"/>
      <c r="B68" s="125"/>
      <c r="C68" s="179"/>
      <c r="D68" s="2726" t="str">
        <f>実績!C1150&amp;"("&amp;SUBSTITUTE(実績!W1150&amp;")","株式会社 ","")</f>
        <v>佐々木酒造店 工場及び店舗(タカヤ)</v>
      </c>
      <c r="E68" s="2878"/>
      <c r="F68" s="2878"/>
      <c r="G68" s="2878"/>
      <c r="H68" s="2878"/>
      <c r="I68" s="2878"/>
      <c r="J68" s="2878"/>
      <c r="K68" s="2878"/>
      <c r="L68" s="2878"/>
      <c r="M68" s="2878"/>
      <c r="N68" s="2878"/>
      <c r="O68" s="2878"/>
      <c r="P68" s="2878"/>
      <c r="Q68" s="3025"/>
      <c r="R68" s="1096"/>
      <c r="S68" s="26"/>
      <c r="T68" s="26"/>
      <c r="U68" s="54"/>
      <c r="V68" s="26"/>
      <c r="W68" s="54"/>
      <c r="X68" s="55"/>
      <c r="Y68" s="26"/>
      <c r="Z68" s="26"/>
      <c r="AA68" s="54"/>
      <c r="AB68" s="26"/>
      <c r="AC68" s="54"/>
      <c r="AD68" s="26"/>
      <c r="AE68" s="56"/>
      <c r="AF68" s="26"/>
      <c r="AG68" s="54"/>
      <c r="AH68" s="26"/>
      <c r="AI68" s="54"/>
      <c r="AJ68" s="55"/>
      <c r="AK68" s="26"/>
      <c r="AL68" s="26"/>
      <c r="AM68" s="54"/>
      <c r="AN68" s="26"/>
      <c r="AO68" s="54" t="s">
        <v>8145</v>
      </c>
      <c r="AP68" s="26"/>
      <c r="AQ68" s="53"/>
      <c r="AR68" s="26"/>
      <c r="AS68" s="54"/>
      <c r="AT68" s="26"/>
      <c r="AU68" s="54"/>
      <c r="AV68" s="55"/>
      <c r="AW68" s="56"/>
      <c r="AX68" s="26"/>
      <c r="AY68" s="54"/>
      <c r="AZ68" s="26"/>
      <c r="BA68" s="54"/>
      <c r="BB68" s="55"/>
      <c r="BC68" s="26"/>
      <c r="BD68" s="26"/>
      <c r="BE68" s="54"/>
      <c r="BF68" s="26"/>
      <c r="BG68" s="54"/>
      <c r="BH68" s="26"/>
      <c r="BI68" s="56"/>
      <c r="BJ68" s="26"/>
      <c r="BK68" s="54"/>
      <c r="BL68" s="26"/>
      <c r="BM68" s="54"/>
      <c r="BN68" s="55"/>
      <c r="BO68" s="56"/>
      <c r="BP68" s="26"/>
      <c r="BQ68" s="54"/>
      <c r="BR68" s="26"/>
      <c r="BS68" s="54"/>
      <c r="BT68" s="55"/>
      <c r="BU68" s="56"/>
      <c r="BV68" s="26"/>
      <c r="BW68" s="54"/>
      <c r="BX68" s="26"/>
      <c r="BY68" s="54"/>
      <c r="BZ68" s="55"/>
      <c r="CA68" s="56"/>
      <c r="CB68" s="26"/>
      <c r="CC68" s="54"/>
      <c r="CD68" s="26"/>
      <c r="CE68" s="54"/>
      <c r="CF68" s="55"/>
      <c r="CG68" s="56"/>
      <c r="CH68" s="26"/>
      <c r="CI68" s="54"/>
      <c r="CJ68" s="26"/>
      <c r="CK68" s="54"/>
      <c r="CL68" s="55"/>
      <c r="CM68" s="56"/>
      <c r="CN68" s="26"/>
      <c r="CO68" s="54"/>
      <c r="CP68" s="26"/>
      <c r="CQ68" s="54"/>
      <c r="CR68" s="55"/>
      <c r="CS68" s="56"/>
      <c r="CT68" s="26"/>
      <c r="CU68" s="54"/>
      <c r="CV68" s="26"/>
      <c r="CW68" s="54"/>
      <c r="CX68" s="55"/>
      <c r="CY68" s="56"/>
      <c r="CZ68" s="26"/>
      <c r="DA68" s="54"/>
      <c r="DB68" s="26"/>
      <c r="DC68" s="54"/>
      <c r="DD68" s="55"/>
      <c r="DE68" s="56"/>
      <c r="DF68" s="26"/>
      <c r="DG68" s="54"/>
      <c r="DH68" s="26"/>
      <c r="DI68" s="54"/>
      <c r="DJ68" s="55"/>
      <c r="DK68" s="56"/>
      <c r="DL68" s="26"/>
      <c r="DM68" s="54"/>
      <c r="DN68" s="26"/>
      <c r="DO68" s="54"/>
      <c r="DP68" s="26"/>
      <c r="DQ68" s="89"/>
      <c r="DR68" s="26"/>
      <c r="DS68" s="54"/>
      <c r="DT68" s="70"/>
      <c r="DU68" s="26"/>
      <c r="DV68" s="55"/>
      <c r="DW68" s="56"/>
      <c r="DX68" s="26"/>
      <c r="DY68" s="54"/>
      <c r="DZ68" s="26"/>
      <c r="EA68" s="54"/>
      <c r="EB68" s="55"/>
      <c r="EC68" s="56"/>
      <c r="ED68" s="26"/>
      <c r="EE68" s="54"/>
      <c r="EF68" s="26"/>
      <c r="EG68" s="54"/>
      <c r="EH68" s="55"/>
      <c r="EI68" s="56"/>
      <c r="EJ68" s="26"/>
      <c r="EK68" s="54"/>
      <c r="EL68" s="26"/>
      <c r="EM68" s="54"/>
      <c r="EN68" s="55"/>
      <c r="EO68" s="56"/>
      <c r="EP68" s="26"/>
      <c r="EQ68" s="54"/>
      <c r="ER68" s="26"/>
      <c r="ES68" s="54"/>
      <c r="ET68" s="55"/>
    </row>
    <row r="69" spans="1:150" ht="20.100000000000001" hidden="1" customHeight="1" outlineLevel="1" thickBot="1">
      <c r="A69" s="3034"/>
      <c r="B69" s="125"/>
      <c r="C69" s="179"/>
      <c r="D69" s="2726" t="str">
        <f>実績!C1152&amp;"("&amp;SUBSTITUTE(実績!R1152&amp;")","株式会社 ","")</f>
        <v>薬王堂にかほ象潟(樹設計工房)</v>
      </c>
      <c r="E69" s="2878"/>
      <c r="F69" s="2878"/>
      <c r="G69" s="2878"/>
      <c r="H69" s="2878"/>
      <c r="I69" s="2878"/>
      <c r="J69" s="2878"/>
      <c r="K69" s="2878"/>
      <c r="L69" s="2878"/>
      <c r="M69" s="2878"/>
      <c r="N69" s="2878"/>
      <c r="O69" s="2878"/>
      <c r="P69" s="2878"/>
      <c r="Q69" s="3025"/>
      <c r="R69" s="1096"/>
      <c r="S69" s="26"/>
      <c r="T69" s="26"/>
      <c r="U69" s="54"/>
      <c r="V69" s="26"/>
      <c r="W69" s="54"/>
      <c r="X69" s="55"/>
      <c r="Y69" s="26"/>
      <c r="Z69" s="26"/>
      <c r="AA69" s="54"/>
      <c r="AB69" s="26"/>
      <c r="AC69" s="54"/>
      <c r="AD69" s="26"/>
      <c r="AE69" s="56"/>
      <c r="AF69" s="26"/>
      <c r="AG69" s="54"/>
      <c r="AH69" s="26" t="s">
        <v>8250</v>
      </c>
      <c r="AI69" s="54"/>
      <c r="AJ69" s="55"/>
      <c r="AK69" s="26"/>
      <c r="AL69" s="26"/>
      <c r="AM69" s="54" t="s">
        <v>8145</v>
      </c>
      <c r="AN69" s="26"/>
      <c r="AO69" s="54"/>
      <c r="AP69" s="26"/>
      <c r="AQ69" s="53"/>
      <c r="AR69" s="26"/>
      <c r="AS69" s="54"/>
      <c r="AT69" s="26"/>
      <c r="AU69" s="54"/>
      <c r="AV69" s="55"/>
      <c r="AW69" s="56"/>
      <c r="AX69" s="26"/>
      <c r="AY69" s="54"/>
      <c r="AZ69" s="26"/>
      <c r="BA69" s="54"/>
      <c r="BB69" s="55"/>
      <c r="BC69" s="26"/>
      <c r="BD69" s="26"/>
      <c r="BE69" s="54"/>
      <c r="BF69" s="26"/>
      <c r="BG69" s="54"/>
      <c r="BH69" s="26"/>
      <c r="BI69" s="56"/>
      <c r="BJ69" s="26"/>
      <c r="BK69" s="54"/>
      <c r="BL69" s="26"/>
      <c r="BM69" s="54"/>
      <c r="BN69" s="55"/>
      <c r="BO69" s="56"/>
      <c r="BP69" s="26"/>
      <c r="BQ69" s="54"/>
      <c r="BR69" s="26"/>
      <c r="BS69" s="54"/>
      <c r="BT69" s="55"/>
      <c r="BU69" s="56"/>
      <c r="BV69" s="26"/>
      <c r="BW69" s="54"/>
      <c r="BX69" s="26"/>
      <c r="BY69" s="54"/>
      <c r="BZ69" s="55"/>
      <c r="CA69" s="56"/>
      <c r="CB69" s="26"/>
      <c r="CC69" s="54"/>
      <c r="CD69" s="26"/>
      <c r="CE69" s="54"/>
      <c r="CF69" s="55"/>
      <c r="CG69" s="56"/>
      <c r="CH69" s="26"/>
      <c r="CI69" s="54"/>
      <c r="CJ69" s="26"/>
      <c r="CK69" s="54"/>
      <c r="CL69" s="55"/>
      <c r="CM69" s="56"/>
      <c r="CN69" s="26"/>
      <c r="CO69" s="54"/>
      <c r="CP69" s="26"/>
      <c r="CQ69" s="54"/>
      <c r="CR69" s="55"/>
      <c r="CS69" s="56"/>
      <c r="CT69" s="26"/>
      <c r="CU69" s="54"/>
      <c r="CV69" s="26"/>
      <c r="CW69" s="54"/>
      <c r="CX69" s="55"/>
      <c r="CY69" s="56"/>
      <c r="CZ69" s="26"/>
      <c r="DA69" s="54"/>
      <c r="DB69" s="26"/>
      <c r="DC69" s="54"/>
      <c r="DD69" s="55"/>
      <c r="DE69" s="56"/>
      <c r="DF69" s="26"/>
      <c r="DG69" s="54"/>
      <c r="DH69" s="26"/>
      <c r="DI69" s="54"/>
      <c r="DJ69" s="55"/>
      <c r="DK69" s="56"/>
      <c r="DL69" s="26"/>
      <c r="DM69" s="54"/>
      <c r="DN69" s="26"/>
      <c r="DO69" s="54"/>
      <c r="DP69" s="26"/>
      <c r="DQ69" s="89"/>
      <c r="DR69" s="26"/>
      <c r="DS69" s="54"/>
      <c r="DT69" s="70"/>
      <c r="DU69" s="26"/>
      <c r="DV69" s="55"/>
      <c r="DW69" s="56"/>
      <c r="DX69" s="26"/>
      <c r="DY69" s="54"/>
      <c r="DZ69" s="26"/>
      <c r="EA69" s="54"/>
      <c r="EB69" s="55"/>
      <c r="EC69" s="56"/>
      <c r="ED69" s="26"/>
      <c r="EE69" s="54"/>
      <c r="EF69" s="26"/>
      <c r="EG69" s="54"/>
      <c r="EH69" s="55"/>
      <c r="EI69" s="56"/>
      <c r="EJ69" s="26"/>
      <c r="EK69" s="54"/>
      <c r="EL69" s="26"/>
      <c r="EM69" s="54"/>
      <c r="EN69" s="55"/>
      <c r="EO69" s="56"/>
      <c r="EP69" s="26"/>
      <c r="EQ69" s="54"/>
      <c r="ER69" s="26"/>
      <c r="ES69" s="54"/>
      <c r="ET69" s="55"/>
    </row>
    <row r="70" spans="1:150" ht="20.100000000000001" hidden="1" customHeight="1" outlineLevel="1" collapsed="1" thickBot="1">
      <c r="A70" s="3034"/>
      <c r="B70" s="125"/>
      <c r="C70" s="179"/>
      <c r="D70" s="2726" t="str">
        <f>実績!C1147&amp;"("&amp;SUBSTITUTE(実績!R1147&amp;")"," 株式会社","")</f>
        <v>房州CCクラブハウス(飛島建設)</v>
      </c>
      <c r="E70" s="2878"/>
      <c r="F70" s="2878"/>
      <c r="G70" s="2878"/>
      <c r="H70" s="2878"/>
      <c r="I70" s="2878"/>
      <c r="J70" s="2878"/>
      <c r="K70" s="2878"/>
      <c r="L70" s="2878"/>
      <c r="M70" s="2878"/>
      <c r="N70" s="2878"/>
      <c r="O70" s="2878"/>
      <c r="P70" s="2878"/>
      <c r="Q70" s="3025"/>
      <c r="R70" s="1096"/>
      <c r="S70" s="26"/>
      <c r="T70" s="26"/>
      <c r="U70" s="54"/>
      <c r="V70" s="26"/>
      <c r="W70" s="54"/>
      <c r="X70" s="55"/>
      <c r="Y70" s="26"/>
      <c r="Z70" s="26"/>
      <c r="AA70" s="54"/>
      <c r="AB70" s="26"/>
      <c r="AC70" s="54"/>
      <c r="AD70" s="26"/>
      <c r="AE70" s="56" t="s">
        <v>8352</v>
      </c>
      <c r="AF70" s="26"/>
      <c r="AG70" s="54"/>
      <c r="AH70" s="26"/>
      <c r="AI70" s="54"/>
      <c r="AJ70" s="55"/>
      <c r="AK70" s="26"/>
      <c r="AL70" s="26"/>
      <c r="AM70" s="54" t="s">
        <v>8250</v>
      </c>
      <c r="AN70" s="26"/>
      <c r="AO70" s="54"/>
      <c r="AP70" s="26"/>
      <c r="AQ70" s="53"/>
      <c r="AR70" s="26"/>
      <c r="AS70" s="54"/>
      <c r="AT70" s="26"/>
      <c r="AU70" s="54"/>
      <c r="AV70" s="55"/>
      <c r="AW70" s="56"/>
      <c r="AX70" s="26"/>
      <c r="AY70" s="54"/>
      <c r="AZ70" s="26"/>
      <c r="BA70" s="54"/>
      <c r="BB70" s="55"/>
      <c r="BC70" s="26"/>
      <c r="BD70" s="26"/>
      <c r="BE70" s="54"/>
      <c r="BF70" s="26"/>
      <c r="BG70" s="54"/>
      <c r="BH70" s="26"/>
      <c r="BI70" s="56"/>
      <c r="BJ70" s="26"/>
      <c r="BK70" s="54"/>
      <c r="BL70" s="26"/>
      <c r="BM70" s="54"/>
      <c r="BN70" s="55"/>
      <c r="BO70" s="56"/>
      <c r="BP70" s="26"/>
      <c r="BQ70" s="54"/>
      <c r="BR70" s="26"/>
      <c r="BS70" s="54"/>
      <c r="BT70" s="55"/>
      <c r="BU70" s="56"/>
      <c r="BV70" s="26"/>
      <c r="BW70" s="54"/>
      <c r="BX70" s="26"/>
      <c r="BY70" s="54"/>
      <c r="BZ70" s="55"/>
      <c r="CA70" s="56"/>
      <c r="CB70" s="26"/>
      <c r="CC70" s="54"/>
      <c r="CD70" s="26"/>
      <c r="CE70" s="54"/>
      <c r="CF70" s="55"/>
      <c r="CG70" s="56"/>
      <c r="CH70" s="26"/>
      <c r="CI70" s="54"/>
      <c r="CJ70" s="26"/>
      <c r="CK70" s="54"/>
      <c r="CL70" s="55"/>
      <c r="CM70" s="56"/>
      <c r="CN70" s="26"/>
      <c r="CO70" s="54"/>
      <c r="CP70" s="26"/>
      <c r="CQ70" s="54"/>
      <c r="CR70" s="55"/>
      <c r="CS70" s="56"/>
      <c r="CT70" s="26"/>
      <c r="CU70" s="54"/>
      <c r="CV70" s="26"/>
      <c r="CW70" s="54"/>
      <c r="CX70" s="55"/>
      <c r="CY70" s="56"/>
      <c r="CZ70" s="26"/>
      <c r="DA70" s="54"/>
      <c r="DB70" s="26"/>
      <c r="DC70" s="54"/>
      <c r="DD70" s="55"/>
      <c r="DE70" s="56"/>
      <c r="DF70" s="26"/>
      <c r="DG70" s="54"/>
      <c r="DH70" s="26"/>
      <c r="DI70" s="54"/>
      <c r="DJ70" s="55"/>
      <c r="DK70" s="56"/>
      <c r="DL70" s="26"/>
      <c r="DM70" s="54"/>
      <c r="DN70" s="26"/>
      <c r="DO70" s="54"/>
      <c r="DP70" s="26"/>
      <c r="DQ70" s="89"/>
      <c r="DR70" s="26"/>
      <c r="DS70" s="54"/>
      <c r="DT70" s="70"/>
      <c r="DU70" s="26"/>
      <c r="DV70" s="55"/>
      <c r="DW70" s="56"/>
      <c r="DX70" s="26"/>
      <c r="DY70" s="54"/>
      <c r="DZ70" s="26"/>
      <c r="EA70" s="54"/>
      <c r="EB70" s="55"/>
      <c r="EC70" s="56"/>
      <c r="ED70" s="26"/>
      <c r="EE70" s="54"/>
      <c r="EF70" s="26"/>
      <c r="EG70" s="54"/>
      <c r="EH70" s="55"/>
      <c r="EI70" s="56"/>
      <c r="EJ70" s="26"/>
      <c r="EK70" s="54"/>
      <c r="EL70" s="26"/>
      <c r="EM70" s="54"/>
      <c r="EN70" s="55"/>
      <c r="EO70" s="56"/>
      <c r="EP70" s="26"/>
      <c r="EQ70" s="54"/>
      <c r="ER70" s="26"/>
      <c r="ES70" s="54"/>
      <c r="ET70" s="55"/>
    </row>
    <row r="71" spans="1:150" ht="20.100000000000001" hidden="1" customHeight="1" outlineLevel="1" collapsed="1" thickBot="1">
      <c r="A71" s="3034"/>
      <c r="B71" s="125"/>
      <c r="C71" s="179"/>
      <c r="D71" s="2726" t="str">
        <f>実績!C1154&amp;"("&amp;SUBSTITUTE(実績!R1154&amp;")"," 株式会社","")</f>
        <v>株式会社 十勝大福本舗 東京工場 事務所棟(JFEコンフォーム)</v>
      </c>
      <c r="E71" s="2878"/>
      <c r="F71" s="2878"/>
      <c r="G71" s="2878"/>
      <c r="H71" s="2878"/>
      <c r="I71" s="2878"/>
      <c r="J71" s="2878"/>
      <c r="K71" s="2878"/>
      <c r="L71" s="2878"/>
      <c r="M71" s="2878"/>
      <c r="N71" s="2878"/>
      <c r="O71" s="2878"/>
      <c r="P71" s="2878"/>
      <c r="Q71" s="3025"/>
      <c r="R71" s="1096"/>
      <c r="S71" s="26"/>
      <c r="T71" s="26"/>
      <c r="U71" s="54"/>
      <c r="V71" s="26"/>
      <c r="W71" s="54"/>
      <c r="X71" s="55"/>
      <c r="Y71" s="26"/>
      <c r="Z71" s="26"/>
      <c r="AA71" s="54"/>
      <c r="AB71" s="26"/>
      <c r="AC71" s="54"/>
      <c r="AD71" s="26"/>
      <c r="AE71" s="56"/>
      <c r="AF71" s="26"/>
      <c r="AG71" s="54"/>
      <c r="AH71" s="26"/>
      <c r="AI71" s="26" t="s">
        <v>8250</v>
      </c>
      <c r="AJ71" s="55"/>
      <c r="AK71" s="26"/>
      <c r="AL71" s="26"/>
      <c r="AM71" s="54"/>
      <c r="AN71" s="26"/>
      <c r="AO71" s="54"/>
      <c r="AP71" s="26"/>
      <c r="AQ71" s="53"/>
      <c r="AR71" s="26"/>
      <c r="AS71" s="54"/>
      <c r="AT71" s="26"/>
      <c r="AU71" s="54"/>
      <c r="AV71" s="55"/>
      <c r="AW71" s="56"/>
      <c r="AX71" s="26"/>
      <c r="AY71" s="54"/>
      <c r="AZ71" s="26"/>
      <c r="BA71" s="54"/>
      <c r="BB71" s="55"/>
      <c r="BC71" s="26"/>
      <c r="BD71" s="26"/>
      <c r="BE71" s="54"/>
      <c r="BF71" s="26"/>
      <c r="BG71" s="54"/>
      <c r="BH71" s="26"/>
      <c r="BI71" s="56"/>
      <c r="BJ71" s="26"/>
      <c r="BK71" s="54"/>
      <c r="BL71" s="26"/>
      <c r="BM71" s="54"/>
      <c r="BN71" s="55"/>
      <c r="BO71" s="56"/>
      <c r="BP71" s="26"/>
      <c r="BQ71" s="54"/>
      <c r="BR71" s="26"/>
      <c r="BS71" s="54"/>
      <c r="BT71" s="55"/>
      <c r="BU71" s="56"/>
      <c r="BV71" s="26"/>
      <c r="BW71" s="54"/>
      <c r="BX71" s="26"/>
      <c r="BY71" s="54"/>
      <c r="BZ71" s="55"/>
      <c r="CA71" s="56"/>
      <c r="CB71" s="26"/>
      <c r="CC71" s="54"/>
      <c r="CD71" s="26"/>
      <c r="CE71" s="54"/>
      <c r="CF71" s="55"/>
      <c r="CG71" s="56"/>
      <c r="CH71" s="26"/>
      <c r="CI71" s="54"/>
      <c r="CJ71" s="26"/>
      <c r="CK71" s="54"/>
      <c r="CL71" s="55"/>
      <c r="CM71" s="56"/>
      <c r="CN71" s="26"/>
      <c r="CO71" s="54"/>
      <c r="CP71" s="26"/>
      <c r="CQ71" s="54"/>
      <c r="CR71" s="55"/>
      <c r="CS71" s="56"/>
      <c r="CT71" s="26"/>
      <c r="CU71" s="54"/>
      <c r="CV71" s="26"/>
      <c r="CW71" s="54"/>
      <c r="CX71" s="55"/>
      <c r="CY71" s="56"/>
      <c r="CZ71" s="26"/>
      <c r="DA71" s="54"/>
      <c r="DB71" s="26"/>
      <c r="DC71" s="54"/>
      <c r="DD71" s="55"/>
      <c r="DE71" s="56"/>
      <c r="DF71" s="26"/>
      <c r="DG71" s="54"/>
      <c r="DH71" s="26"/>
      <c r="DI71" s="54"/>
      <c r="DJ71" s="55"/>
      <c r="DK71" s="56"/>
      <c r="DL71" s="26"/>
      <c r="DM71" s="54"/>
      <c r="DN71" s="26"/>
      <c r="DO71" s="54"/>
      <c r="DP71" s="26"/>
      <c r="DQ71" s="89"/>
      <c r="DR71" s="26"/>
      <c r="DS71" s="54"/>
      <c r="DT71" s="70"/>
      <c r="DU71" s="26"/>
      <c r="DV71" s="55"/>
      <c r="DW71" s="56"/>
      <c r="DX71" s="26"/>
      <c r="DY71" s="54"/>
      <c r="DZ71" s="26"/>
      <c r="EA71" s="54"/>
      <c r="EB71" s="55"/>
      <c r="EC71" s="56"/>
      <c r="ED71" s="26"/>
      <c r="EE71" s="54"/>
      <c r="EF71" s="26"/>
      <c r="EG71" s="54"/>
      <c r="EH71" s="55"/>
      <c r="EI71" s="56"/>
      <c r="EJ71" s="26"/>
      <c r="EK71" s="54"/>
      <c r="EL71" s="26"/>
      <c r="EM71" s="54"/>
      <c r="EN71" s="55"/>
      <c r="EO71" s="56"/>
      <c r="EP71" s="26"/>
      <c r="EQ71" s="54"/>
      <c r="ER71" s="26"/>
      <c r="ES71" s="54"/>
      <c r="ET71" s="55"/>
    </row>
    <row r="72" spans="1:150" ht="20.100000000000001" hidden="1" customHeight="1" outlineLevel="1" thickBot="1">
      <c r="A72" s="3034"/>
      <c r="B72" s="125"/>
      <c r="C72" s="179"/>
      <c r="D72" s="2726" t="str">
        <f>実績!C1144&amp;"("&amp;SUBSTITUTE(実績!R1144&amp;")","有限会社 ","")</f>
        <v>やまみ富士山麓工場(梶原建築設計事務所)</v>
      </c>
      <c r="E72" s="2878"/>
      <c r="F72" s="2878"/>
      <c r="G72" s="2878"/>
      <c r="H72" s="2878"/>
      <c r="I72" s="2878"/>
      <c r="J72" s="2878"/>
      <c r="K72" s="2878"/>
      <c r="L72" s="2878"/>
      <c r="M72" s="2878"/>
      <c r="N72" s="2878"/>
      <c r="O72" s="2878"/>
      <c r="P72" s="2878"/>
      <c r="Q72" s="3025"/>
      <c r="R72" s="1096"/>
      <c r="S72" s="26"/>
      <c r="T72" s="26"/>
      <c r="U72" s="54"/>
      <c r="V72" s="26"/>
      <c r="W72" s="54"/>
      <c r="X72" s="55"/>
      <c r="Y72" s="26"/>
      <c r="Z72" s="26"/>
      <c r="AA72" s="54"/>
      <c r="AB72" s="26"/>
      <c r="AC72" s="54"/>
      <c r="AD72" s="26"/>
      <c r="AE72" s="56"/>
      <c r="AF72" s="26"/>
      <c r="AG72" s="54"/>
      <c r="AH72" s="26"/>
      <c r="AI72" s="54"/>
      <c r="AJ72" s="55"/>
      <c r="AK72" s="26"/>
      <c r="AL72" s="26"/>
      <c r="AM72" s="54"/>
      <c r="AN72" s="26"/>
      <c r="AO72" s="54"/>
      <c r="AP72" s="26"/>
      <c r="AQ72" s="53" t="s">
        <v>8145</v>
      </c>
      <c r="AR72" s="26"/>
      <c r="AS72" s="54"/>
      <c r="AT72" s="26"/>
      <c r="AU72" s="54"/>
      <c r="AV72" s="55"/>
      <c r="AW72" s="56"/>
      <c r="AX72" s="26"/>
      <c r="AY72" s="54"/>
      <c r="AZ72" s="26"/>
      <c r="BA72" s="54"/>
      <c r="BB72" s="55"/>
      <c r="BC72" s="26"/>
      <c r="BD72" s="26"/>
      <c r="BE72" s="54"/>
      <c r="BF72" s="26"/>
      <c r="BG72" s="54"/>
      <c r="BH72" s="26"/>
      <c r="BI72" s="56"/>
      <c r="BJ72" s="26"/>
      <c r="BK72" s="54"/>
      <c r="BL72" s="26"/>
      <c r="BM72" s="54"/>
      <c r="BN72" s="55"/>
      <c r="BO72" s="56"/>
      <c r="BP72" s="26"/>
      <c r="BQ72" s="54"/>
      <c r="BR72" s="26"/>
      <c r="BS72" s="54"/>
      <c r="BT72" s="55"/>
      <c r="BU72" s="56"/>
      <c r="BV72" s="26"/>
      <c r="BW72" s="54"/>
      <c r="BX72" s="26"/>
      <c r="BY72" s="54"/>
      <c r="BZ72" s="55"/>
      <c r="CA72" s="56"/>
      <c r="CB72" s="26"/>
      <c r="CC72" s="54"/>
      <c r="CD72" s="26"/>
      <c r="CE72" s="54"/>
      <c r="CF72" s="55"/>
      <c r="CG72" s="56"/>
      <c r="CH72" s="26"/>
      <c r="CI72" s="54"/>
      <c r="CJ72" s="26"/>
      <c r="CK72" s="54"/>
      <c r="CL72" s="55"/>
      <c r="CM72" s="56"/>
      <c r="CN72" s="26"/>
      <c r="CO72" s="54"/>
      <c r="CP72" s="26"/>
      <c r="CQ72" s="54"/>
      <c r="CR72" s="55"/>
      <c r="CS72" s="56"/>
      <c r="CT72" s="26"/>
      <c r="CU72" s="54"/>
      <c r="CV72" s="26"/>
      <c r="CW72" s="54"/>
      <c r="CX72" s="55"/>
      <c r="CY72" s="56"/>
      <c r="CZ72" s="26"/>
      <c r="DA72" s="54"/>
      <c r="DB72" s="26"/>
      <c r="DC72" s="54"/>
      <c r="DD72" s="55"/>
      <c r="DE72" s="56"/>
      <c r="DF72" s="26"/>
      <c r="DG72" s="54"/>
      <c r="DH72" s="26"/>
      <c r="DI72" s="54"/>
      <c r="DJ72" s="55"/>
      <c r="DK72" s="56"/>
      <c r="DL72" s="26"/>
      <c r="DM72" s="54"/>
      <c r="DN72" s="26"/>
      <c r="DO72" s="54"/>
      <c r="DP72" s="26"/>
      <c r="DQ72" s="89"/>
      <c r="DR72" s="26"/>
      <c r="DS72" s="54"/>
      <c r="DT72" s="70"/>
      <c r="DU72" s="26"/>
      <c r="DV72" s="55"/>
      <c r="DW72" s="56"/>
      <c r="DX72" s="26"/>
      <c r="DY72" s="54"/>
      <c r="DZ72" s="26"/>
      <c r="EA72" s="54"/>
      <c r="EB72" s="55"/>
      <c r="EC72" s="56"/>
      <c r="ED72" s="26"/>
      <c r="EE72" s="54"/>
      <c r="EF72" s="26"/>
      <c r="EG72" s="54"/>
      <c r="EH72" s="55"/>
      <c r="EI72" s="56"/>
      <c r="EJ72" s="26"/>
      <c r="EK72" s="54"/>
      <c r="EL72" s="26"/>
      <c r="EM72" s="54"/>
      <c r="EN72" s="55"/>
      <c r="EO72" s="56"/>
      <c r="EP72" s="26"/>
      <c r="EQ72" s="54"/>
      <c r="ER72" s="26"/>
      <c r="ES72" s="54"/>
      <c r="ET72" s="55"/>
    </row>
    <row r="73" spans="1:150" ht="20.100000000000001" hidden="1" customHeight="1" outlineLevel="1" thickBot="1">
      <c r="A73" s="3034"/>
      <c r="B73" s="125"/>
      <c r="C73" s="179"/>
      <c r="D73" s="2726" t="str">
        <f>実績!C1157&amp;"("&amp;SUBSTITUTE(実績!R1157&amp;")","一級建築士事務所 ","")</f>
        <v>太平洋ｾﾒﾝﾄ和歌山SS倉庫(想建築工房)</v>
      </c>
      <c r="E73" s="2878"/>
      <c r="F73" s="2878"/>
      <c r="G73" s="2878"/>
      <c r="H73" s="2878"/>
      <c r="I73" s="2878"/>
      <c r="J73" s="2878"/>
      <c r="K73" s="2878"/>
      <c r="L73" s="2878"/>
      <c r="M73" s="2878"/>
      <c r="N73" s="2878"/>
      <c r="O73" s="2878"/>
      <c r="P73" s="2878"/>
      <c r="Q73" s="3025"/>
      <c r="R73" s="1096"/>
      <c r="S73" s="26"/>
      <c r="T73" s="26"/>
      <c r="U73" s="54"/>
      <c r="V73" s="26"/>
      <c r="W73" s="54"/>
      <c r="X73" s="55"/>
      <c r="Y73" s="26"/>
      <c r="Z73" s="26"/>
      <c r="AA73" s="54"/>
      <c r="AB73" s="26"/>
      <c r="AC73" s="54"/>
      <c r="AD73" s="26"/>
      <c r="AE73" s="56"/>
      <c r="AF73" s="26"/>
      <c r="AG73" s="54"/>
      <c r="AH73" s="26"/>
      <c r="AI73" s="54"/>
      <c r="AJ73" s="55"/>
      <c r="AK73" s="26"/>
      <c r="AL73" s="26"/>
      <c r="AM73" s="54" t="s">
        <v>8250</v>
      </c>
      <c r="AN73" s="26"/>
      <c r="AO73" s="54"/>
      <c r="AP73" s="26"/>
      <c r="AQ73" s="53" t="s">
        <v>8283</v>
      </c>
      <c r="AR73" s="26"/>
      <c r="AS73" s="54"/>
      <c r="AT73" s="26"/>
      <c r="AU73" s="54"/>
      <c r="AV73" s="55"/>
      <c r="AW73" s="56"/>
      <c r="AX73" s="26"/>
      <c r="AY73" s="54"/>
      <c r="AZ73" s="26"/>
      <c r="BA73" s="54"/>
      <c r="BB73" s="55"/>
      <c r="BC73" s="26"/>
      <c r="BD73" s="26"/>
      <c r="BE73" s="54"/>
      <c r="BF73" s="26"/>
      <c r="BG73" s="54"/>
      <c r="BH73" s="26"/>
      <c r="BI73" s="56"/>
      <c r="BJ73" s="26"/>
      <c r="BK73" s="54"/>
      <c r="BL73" s="26"/>
      <c r="BM73" s="54"/>
      <c r="BN73" s="55"/>
      <c r="BO73" s="56"/>
      <c r="BP73" s="26"/>
      <c r="BQ73" s="54"/>
      <c r="BR73" s="26"/>
      <c r="BS73" s="54"/>
      <c r="BT73" s="55"/>
      <c r="BU73" s="56"/>
      <c r="BV73" s="26"/>
      <c r="BW73" s="54"/>
      <c r="BX73" s="26"/>
      <c r="BY73" s="54"/>
      <c r="BZ73" s="55"/>
      <c r="CA73" s="56"/>
      <c r="CB73" s="26"/>
      <c r="CC73" s="54"/>
      <c r="CD73" s="26"/>
      <c r="CE73" s="54"/>
      <c r="CF73" s="55"/>
      <c r="CG73" s="56"/>
      <c r="CH73" s="26"/>
      <c r="CI73" s="54"/>
      <c r="CJ73" s="26"/>
      <c r="CK73" s="54"/>
      <c r="CL73" s="55"/>
      <c r="CM73" s="56"/>
      <c r="CN73" s="26"/>
      <c r="CO73" s="54"/>
      <c r="CP73" s="26"/>
      <c r="CQ73" s="54"/>
      <c r="CR73" s="55"/>
      <c r="CS73" s="56"/>
      <c r="CT73" s="26"/>
      <c r="CU73" s="54"/>
      <c r="CV73" s="26"/>
      <c r="CW73" s="54"/>
      <c r="CX73" s="55"/>
      <c r="CY73" s="56"/>
      <c r="CZ73" s="26"/>
      <c r="DA73" s="54"/>
      <c r="DB73" s="26"/>
      <c r="DC73" s="54"/>
      <c r="DD73" s="55"/>
      <c r="DE73" s="56"/>
      <c r="DF73" s="26"/>
      <c r="DG73" s="54"/>
      <c r="DH73" s="26"/>
      <c r="DI73" s="54"/>
      <c r="DJ73" s="55"/>
      <c r="DK73" s="56"/>
      <c r="DL73" s="26"/>
      <c r="DM73" s="54"/>
      <c r="DN73" s="26"/>
      <c r="DO73" s="54"/>
      <c r="DP73" s="26"/>
      <c r="DQ73" s="89"/>
      <c r="DR73" s="26"/>
      <c r="DS73" s="54"/>
      <c r="DT73" s="70"/>
      <c r="DU73" s="26"/>
      <c r="DV73" s="55"/>
      <c r="DW73" s="56"/>
      <c r="DX73" s="26"/>
      <c r="DY73" s="54"/>
      <c r="DZ73" s="26"/>
      <c r="EA73" s="54"/>
      <c r="EB73" s="55"/>
      <c r="EC73" s="56"/>
      <c r="ED73" s="26"/>
      <c r="EE73" s="54"/>
      <c r="EF73" s="26"/>
      <c r="EG73" s="54"/>
      <c r="EH73" s="55"/>
      <c r="EI73" s="56"/>
      <c r="EJ73" s="26"/>
      <c r="EK73" s="54"/>
      <c r="EL73" s="26"/>
      <c r="EM73" s="54"/>
      <c r="EN73" s="55"/>
      <c r="EO73" s="56"/>
      <c r="EP73" s="26"/>
      <c r="EQ73" s="54"/>
      <c r="ER73" s="26"/>
      <c r="ES73" s="54"/>
      <c r="ET73" s="55"/>
    </row>
    <row r="74" spans="1:150" ht="20.100000000000001" hidden="1" customHeight="1" outlineLevel="1" thickBot="1">
      <c r="A74" s="3034"/>
      <c r="B74" s="125"/>
      <c r="C74" s="179"/>
      <c r="D74" s="2726" t="str">
        <f>実績!C1155&amp;"("&amp;SUBSTITUTE(実績!R1155&amp;")"," 株式会社","")</f>
        <v>㈱柳川合同 西蒲池センター(空間工房)</v>
      </c>
      <c r="E74" s="2878"/>
      <c r="F74" s="2878"/>
      <c r="G74" s="2878"/>
      <c r="H74" s="2878"/>
      <c r="I74" s="2878"/>
      <c r="J74" s="2878"/>
      <c r="K74" s="2878"/>
      <c r="L74" s="2878"/>
      <c r="M74" s="2878"/>
      <c r="N74" s="2878"/>
      <c r="O74" s="2878"/>
      <c r="P74" s="2878"/>
      <c r="Q74" s="3025"/>
      <c r="R74" s="1096"/>
      <c r="S74" s="26"/>
      <c r="T74" s="26"/>
      <c r="U74" s="54"/>
      <c r="V74" s="26"/>
      <c r="W74" s="54"/>
      <c r="X74" s="55"/>
      <c r="Y74" s="26"/>
      <c r="Z74" s="26"/>
      <c r="AA74" s="54"/>
      <c r="AB74" s="26"/>
      <c r="AC74" s="54"/>
      <c r="AD74" s="26"/>
      <c r="AE74" s="56"/>
      <c r="AF74" s="26"/>
      <c r="AG74" s="54" t="s">
        <v>8403</v>
      </c>
      <c r="AH74" s="26"/>
      <c r="AI74" s="26"/>
      <c r="AJ74" s="55"/>
      <c r="AK74" s="26"/>
      <c r="AL74" s="26"/>
      <c r="AM74" s="54" t="s">
        <v>8250</v>
      </c>
      <c r="AN74" s="26"/>
      <c r="AO74" s="54"/>
      <c r="AP74" s="26"/>
      <c r="AQ74" s="53"/>
      <c r="AR74" s="26"/>
      <c r="AS74" s="54"/>
      <c r="AT74" s="26"/>
      <c r="AU74" s="54"/>
      <c r="AV74" s="55"/>
      <c r="AW74" s="56"/>
      <c r="AX74" s="26"/>
      <c r="AY74" s="54"/>
      <c r="AZ74" s="26"/>
      <c r="BA74" s="54"/>
      <c r="BB74" s="55"/>
      <c r="BC74" s="26"/>
      <c r="BD74" s="26"/>
      <c r="BE74" s="54"/>
      <c r="BF74" s="26"/>
      <c r="BG74" s="54"/>
      <c r="BH74" s="26"/>
      <c r="BI74" s="56"/>
      <c r="BJ74" s="26"/>
      <c r="BK74" s="54"/>
      <c r="BL74" s="26"/>
      <c r="BM74" s="54"/>
      <c r="BN74" s="55"/>
      <c r="BO74" s="56"/>
      <c r="BP74" s="26"/>
      <c r="BQ74" s="54"/>
      <c r="BR74" s="26"/>
      <c r="BS74" s="54"/>
      <c r="BT74" s="55"/>
      <c r="BU74" s="56"/>
      <c r="BV74" s="26"/>
      <c r="BW74" s="54"/>
      <c r="BX74" s="26"/>
      <c r="BY74" s="54"/>
      <c r="BZ74" s="55"/>
      <c r="CA74" s="56"/>
      <c r="CB74" s="26"/>
      <c r="CC74" s="54"/>
      <c r="CD74" s="26"/>
      <c r="CE74" s="54"/>
      <c r="CF74" s="55"/>
      <c r="CG74" s="56"/>
      <c r="CH74" s="26"/>
      <c r="CI74" s="54"/>
      <c r="CJ74" s="26"/>
      <c r="CK74" s="54"/>
      <c r="CL74" s="55"/>
      <c r="CM74" s="56"/>
      <c r="CN74" s="26"/>
      <c r="CO74" s="54"/>
      <c r="CP74" s="26"/>
      <c r="CQ74" s="54"/>
      <c r="CR74" s="55"/>
      <c r="CS74" s="56"/>
      <c r="CT74" s="26"/>
      <c r="CU74" s="54"/>
      <c r="CV74" s="26"/>
      <c r="CW74" s="54"/>
      <c r="CX74" s="55"/>
      <c r="CY74" s="56"/>
      <c r="CZ74" s="26"/>
      <c r="DA74" s="54"/>
      <c r="DB74" s="26"/>
      <c r="DC74" s="54"/>
      <c r="DD74" s="55"/>
      <c r="DE74" s="56"/>
      <c r="DF74" s="26"/>
      <c r="DG74" s="54"/>
      <c r="DH74" s="26"/>
      <c r="DI74" s="54"/>
      <c r="DJ74" s="55"/>
      <c r="DK74" s="56"/>
      <c r="DL74" s="26"/>
      <c r="DM74" s="54"/>
      <c r="DN74" s="26"/>
      <c r="DO74" s="54"/>
      <c r="DP74" s="26"/>
      <c r="DQ74" s="89"/>
      <c r="DR74" s="26"/>
      <c r="DS74" s="54"/>
      <c r="DT74" s="70"/>
      <c r="DU74" s="26"/>
      <c r="DV74" s="55"/>
      <c r="DW74" s="56"/>
      <c r="DX74" s="26"/>
      <c r="DY74" s="54"/>
      <c r="DZ74" s="26"/>
      <c r="EA74" s="54"/>
      <c r="EB74" s="55"/>
      <c r="EC74" s="56"/>
      <c r="ED74" s="26"/>
      <c r="EE74" s="54"/>
      <c r="EF74" s="26"/>
      <c r="EG74" s="54"/>
      <c r="EH74" s="55"/>
      <c r="EI74" s="56"/>
      <c r="EJ74" s="26"/>
      <c r="EK74" s="54"/>
      <c r="EL74" s="26"/>
      <c r="EM74" s="54"/>
      <c r="EN74" s="55"/>
      <c r="EO74" s="56"/>
      <c r="EP74" s="26"/>
      <c r="EQ74" s="54"/>
      <c r="ER74" s="26"/>
      <c r="ES74" s="54"/>
      <c r="ET74" s="55"/>
    </row>
    <row r="75" spans="1:150" ht="20.100000000000001" hidden="1" customHeight="1" outlineLevel="1" thickBot="1">
      <c r="A75" s="3034"/>
      <c r="B75" s="125"/>
      <c r="C75" s="179"/>
      <c r="D75" s="2726" t="str">
        <f>実績!C1160&amp;"("&amp;SUBSTITUTE(実績!AB1160&amp;")"," 株式会社","")</f>
        <v>モダン・プロ 店舗(積水ハウス)</v>
      </c>
      <c r="E75" s="2878"/>
      <c r="F75" s="2878"/>
      <c r="G75" s="2878"/>
      <c r="H75" s="2878"/>
      <c r="I75" s="2878"/>
      <c r="J75" s="2878"/>
      <c r="K75" s="2878"/>
      <c r="L75" s="2878"/>
      <c r="M75" s="2878"/>
      <c r="N75" s="2878"/>
      <c r="O75" s="2878"/>
      <c r="P75" s="2878"/>
      <c r="Q75" s="3025"/>
      <c r="R75" s="1096"/>
      <c r="S75" s="26"/>
      <c r="T75" s="26"/>
      <c r="U75" s="54"/>
      <c r="V75" s="26"/>
      <c r="W75" s="54"/>
      <c r="X75" s="55"/>
      <c r="Y75" s="26"/>
      <c r="Z75" s="26"/>
      <c r="AA75" s="54"/>
      <c r="AB75" s="26"/>
      <c r="AC75" s="54"/>
      <c r="AD75" s="26"/>
      <c r="AE75" s="56"/>
      <c r="AF75" s="26"/>
      <c r="AG75" s="54"/>
      <c r="AH75" s="26"/>
      <c r="AI75" s="54"/>
      <c r="AJ75" s="55"/>
      <c r="AK75" s="26"/>
      <c r="AL75" s="26"/>
      <c r="AM75" s="54" t="s">
        <v>8250</v>
      </c>
      <c r="AN75" s="26"/>
      <c r="AO75" s="54"/>
      <c r="AP75" s="26"/>
      <c r="AQ75" s="53"/>
      <c r="AR75" s="26"/>
      <c r="AS75" s="54"/>
      <c r="AT75" s="70" t="s">
        <v>8145</v>
      </c>
      <c r="AU75" s="54"/>
      <c r="AV75" s="55"/>
      <c r="AW75" s="56"/>
      <c r="AX75" s="26"/>
      <c r="AY75" s="54"/>
      <c r="AZ75" s="26"/>
      <c r="BA75" s="54"/>
      <c r="BB75" s="55"/>
      <c r="BC75" s="26"/>
      <c r="BD75" s="26"/>
      <c r="BE75" s="54"/>
      <c r="BF75" s="26"/>
      <c r="BG75" s="54"/>
      <c r="BH75" s="26"/>
      <c r="BI75" s="56"/>
      <c r="BJ75" s="26"/>
      <c r="BK75" s="54"/>
      <c r="BL75" s="26"/>
      <c r="BM75" s="54"/>
      <c r="BN75" s="55"/>
      <c r="BO75" s="56"/>
      <c r="BP75" s="26"/>
      <c r="BQ75" s="54"/>
      <c r="BR75" s="26"/>
      <c r="BS75" s="54"/>
      <c r="BT75" s="55"/>
      <c r="BU75" s="56"/>
      <c r="BV75" s="26"/>
      <c r="BW75" s="54"/>
      <c r="BX75" s="26"/>
      <c r="BY75" s="54"/>
      <c r="BZ75" s="55"/>
      <c r="CA75" s="56"/>
      <c r="CB75" s="26"/>
      <c r="CC75" s="54"/>
      <c r="CD75" s="26"/>
      <c r="CE75" s="54"/>
      <c r="CF75" s="55"/>
      <c r="CG75" s="56"/>
      <c r="CH75" s="26"/>
      <c r="CI75" s="54"/>
      <c r="CJ75" s="26"/>
      <c r="CK75" s="54"/>
      <c r="CL75" s="55"/>
      <c r="CM75" s="56"/>
      <c r="CN75" s="26"/>
      <c r="CO75" s="54"/>
      <c r="CP75" s="26"/>
      <c r="CQ75" s="54"/>
      <c r="CR75" s="55"/>
      <c r="CS75" s="56"/>
      <c r="CT75" s="26"/>
      <c r="CU75" s="54"/>
      <c r="CV75" s="26"/>
      <c r="CW75" s="54"/>
      <c r="CX75" s="55"/>
      <c r="CY75" s="56"/>
      <c r="CZ75" s="26"/>
      <c r="DA75" s="54"/>
      <c r="DB75" s="26"/>
      <c r="DC75" s="54"/>
      <c r="DD75" s="55"/>
      <c r="DE75" s="56"/>
      <c r="DF75" s="26"/>
      <c r="DG75" s="54"/>
      <c r="DH75" s="26"/>
      <c r="DI75" s="54"/>
      <c r="DJ75" s="55"/>
      <c r="DK75" s="56"/>
      <c r="DL75" s="26"/>
      <c r="DM75" s="54"/>
      <c r="DN75" s="26"/>
      <c r="DO75" s="54"/>
      <c r="DP75" s="26"/>
      <c r="DQ75" s="89"/>
      <c r="DR75" s="26"/>
      <c r="DS75" s="54"/>
      <c r="DT75" s="70"/>
      <c r="DU75" s="26"/>
      <c r="DV75" s="55"/>
      <c r="DW75" s="56"/>
      <c r="DX75" s="26"/>
      <c r="DY75" s="54"/>
      <c r="DZ75" s="26"/>
      <c r="EA75" s="54"/>
      <c r="EB75" s="55"/>
      <c r="EC75" s="56"/>
      <c r="ED75" s="26"/>
      <c r="EE75" s="54"/>
      <c r="EF75" s="26"/>
      <c r="EG75" s="54"/>
      <c r="EH75" s="55"/>
      <c r="EI75" s="56"/>
      <c r="EJ75" s="26"/>
      <c r="EK75" s="54"/>
      <c r="EL75" s="26"/>
      <c r="EM75" s="54"/>
      <c r="EN75" s="55"/>
      <c r="EO75" s="56"/>
      <c r="EP75" s="26"/>
      <c r="EQ75" s="54"/>
      <c r="ER75" s="26"/>
      <c r="ES75" s="54"/>
      <c r="ET75" s="55"/>
    </row>
    <row r="76" spans="1:150" ht="20.100000000000001" hidden="1" customHeight="1" outlineLevel="1" thickBot="1">
      <c r="A76" s="3034"/>
      <c r="B76" s="125"/>
      <c r="C76" s="179"/>
      <c r="D76" s="2726" t="str">
        <f>実績!C1161&amp;"("&amp;SUBSTITUTE(実績!R1161&amp;")"," 株式会社","")</f>
        <v>かりや愛知中央生活協同組合新物流センター(日本国土開発)</v>
      </c>
      <c r="E76" s="2878"/>
      <c r="F76" s="2878"/>
      <c r="G76" s="2878"/>
      <c r="H76" s="2878"/>
      <c r="I76" s="2878"/>
      <c r="J76" s="2878"/>
      <c r="K76" s="2878"/>
      <c r="L76" s="2878"/>
      <c r="M76" s="2878"/>
      <c r="N76" s="2878"/>
      <c r="O76" s="2878"/>
      <c r="P76" s="2878"/>
      <c r="Q76" s="3025"/>
      <c r="R76" s="1096"/>
      <c r="S76" s="26"/>
      <c r="T76" s="26"/>
      <c r="U76" s="54"/>
      <c r="V76" s="26"/>
      <c r="W76" s="54"/>
      <c r="X76" s="55"/>
      <c r="Y76" s="26"/>
      <c r="Z76" s="26"/>
      <c r="AA76" s="54"/>
      <c r="AB76" s="26"/>
      <c r="AC76" s="54"/>
      <c r="AD76" s="26"/>
      <c r="AE76" s="56"/>
      <c r="AF76" s="26"/>
      <c r="AG76" s="54"/>
      <c r="AH76" s="26"/>
      <c r="AI76" s="54"/>
      <c r="AJ76" s="55"/>
      <c r="AK76" s="26"/>
      <c r="AL76" s="26"/>
      <c r="AM76" s="54" t="s">
        <v>8250</v>
      </c>
      <c r="AN76" s="26"/>
      <c r="AO76" s="54"/>
      <c r="AP76" s="26"/>
      <c r="AQ76" s="53"/>
      <c r="AR76" s="26"/>
      <c r="AS76" s="54"/>
      <c r="AT76" s="26"/>
      <c r="AU76" s="54"/>
      <c r="AV76" s="55"/>
      <c r="AW76" s="56"/>
      <c r="AX76" s="26"/>
      <c r="AY76" s="54"/>
      <c r="AZ76" s="26"/>
      <c r="BA76" s="54"/>
      <c r="BB76" s="55"/>
      <c r="BC76" s="26"/>
      <c r="BD76" s="26"/>
      <c r="BE76" s="54"/>
      <c r="BF76" s="26"/>
      <c r="BG76" s="54"/>
      <c r="BH76" s="26"/>
      <c r="BI76" s="56"/>
      <c r="BJ76" s="26"/>
      <c r="BK76" s="54"/>
      <c r="BL76" s="26"/>
      <c r="BM76" s="54"/>
      <c r="BN76" s="55"/>
      <c r="BO76" s="56"/>
      <c r="BP76" s="26"/>
      <c r="BQ76" s="54"/>
      <c r="BR76" s="26"/>
      <c r="BS76" s="54"/>
      <c r="BT76" s="55"/>
      <c r="BU76" s="56"/>
      <c r="BV76" s="26"/>
      <c r="BW76" s="54"/>
      <c r="BX76" s="26"/>
      <c r="BY76" s="54"/>
      <c r="BZ76" s="55"/>
      <c r="CA76" s="56"/>
      <c r="CB76" s="26"/>
      <c r="CC76" s="54"/>
      <c r="CD76" s="26"/>
      <c r="CE76" s="54"/>
      <c r="CF76" s="55"/>
      <c r="CG76" s="56"/>
      <c r="CH76" s="26"/>
      <c r="CI76" s="54"/>
      <c r="CJ76" s="26"/>
      <c r="CK76" s="54"/>
      <c r="CL76" s="55"/>
      <c r="CM76" s="56"/>
      <c r="CN76" s="26"/>
      <c r="CO76" s="54"/>
      <c r="CP76" s="26"/>
      <c r="CQ76" s="54"/>
      <c r="CR76" s="55"/>
      <c r="CS76" s="56"/>
      <c r="CT76" s="26"/>
      <c r="CU76" s="54"/>
      <c r="CV76" s="26"/>
      <c r="CW76" s="54"/>
      <c r="CX76" s="55"/>
      <c r="CY76" s="56"/>
      <c r="CZ76" s="26"/>
      <c r="DA76" s="54"/>
      <c r="DB76" s="26"/>
      <c r="DC76" s="54"/>
      <c r="DD76" s="55"/>
      <c r="DE76" s="56"/>
      <c r="DF76" s="26"/>
      <c r="DG76" s="54"/>
      <c r="DH76" s="26"/>
      <c r="DI76" s="54"/>
      <c r="DJ76" s="55"/>
      <c r="DK76" s="56"/>
      <c r="DL76" s="26"/>
      <c r="DM76" s="54"/>
      <c r="DN76" s="26"/>
      <c r="DO76" s="54"/>
      <c r="DP76" s="26"/>
      <c r="DQ76" s="89"/>
      <c r="DR76" s="26"/>
      <c r="DS76" s="54"/>
      <c r="DT76" s="70"/>
      <c r="DU76" s="26"/>
      <c r="DV76" s="55"/>
      <c r="DW76" s="56"/>
      <c r="DX76" s="26"/>
      <c r="DY76" s="54"/>
      <c r="DZ76" s="26"/>
      <c r="EA76" s="54"/>
      <c r="EB76" s="55"/>
      <c r="EC76" s="56"/>
      <c r="ED76" s="26"/>
      <c r="EE76" s="54"/>
      <c r="EF76" s="26"/>
      <c r="EG76" s="54"/>
      <c r="EH76" s="55"/>
      <c r="EI76" s="56"/>
      <c r="EJ76" s="26"/>
      <c r="EK76" s="54"/>
      <c r="EL76" s="26"/>
      <c r="EM76" s="54"/>
      <c r="EN76" s="55"/>
      <c r="EO76" s="56"/>
      <c r="EP76" s="26"/>
      <c r="EQ76" s="54"/>
      <c r="ER76" s="26"/>
      <c r="ES76" s="54"/>
      <c r="ET76" s="55"/>
    </row>
    <row r="77" spans="1:150" ht="20.100000000000001" hidden="1" customHeight="1" outlineLevel="1" thickBot="1">
      <c r="A77" s="3034"/>
      <c r="B77" s="125"/>
      <c r="C77" s="179"/>
      <c r="D77" s="2726" t="str">
        <f>実績!C1163&amp;"("&amp;SUBSTITUTE(実績!R1163&amp;")","株式会社 ","")</f>
        <v>倉岡紙工新工場(建吉組)</v>
      </c>
      <c r="E77" s="2878"/>
      <c r="F77" s="2878"/>
      <c r="G77" s="2878"/>
      <c r="H77" s="2878"/>
      <c r="I77" s="2878"/>
      <c r="J77" s="2878"/>
      <c r="K77" s="2878"/>
      <c r="L77" s="2878"/>
      <c r="M77" s="2878"/>
      <c r="N77" s="2878"/>
      <c r="O77" s="2878"/>
      <c r="P77" s="2878"/>
      <c r="Q77" s="3025"/>
      <c r="R77" s="1096"/>
      <c r="S77" s="26"/>
      <c r="T77" s="26"/>
      <c r="U77" s="54"/>
      <c r="V77" s="26"/>
      <c r="W77" s="54"/>
      <c r="X77" s="55"/>
      <c r="Y77" s="26"/>
      <c r="Z77" s="26"/>
      <c r="AA77" s="54"/>
      <c r="AB77" s="26"/>
      <c r="AC77" s="54"/>
      <c r="AD77" s="26"/>
      <c r="AE77" s="56"/>
      <c r="AF77" s="26"/>
      <c r="AG77" s="54"/>
      <c r="AH77" s="26"/>
      <c r="AI77" s="54"/>
      <c r="AJ77" s="55"/>
      <c r="AK77" s="26"/>
      <c r="AL77" s="26"/>
      <c r="AM77" s="54"/>
      <c r="AN77" s="26"/>
      <c r="AO77" s="54" t="s">
        <v>8250</v>
      </c>
      <c r="AP77" s="26"/>
      <c r="AQ77" s="53"/>
      <c r="AR77" s="26"/>
      <c r="AS77" s="54"/>
      <c r="AT77" s="26"/>
      <c r="AU77" s="54"/>
      <c r="AV77" s="55"/>
      <c r="AW77" s="56"/>
      <c r="AX77" s="26"/>
      <c r="AY77" s="54"/>
      <c r="AZ77" s="26"/>
      <c r="BA77" s="54"/>
      <c r="BB77" s="55"/>
      <c r="BC77" s="26"/>
      <c r="BD77" s="26"/>
      <c r="BE77" s="54"/>
      <c r="BF77" s="26"/>
      <c r="BG77" s="54"/>
      <c r="BH77" s="26"/>
      <c r="BI77" s="56"/>
      <c r="BJ77" s="26"/>
      <c r="BK77" s="54"/>
      <c r="BL77" s="26"/>
      <c r="BM77" s="54"/>
      <c r="BN77" s="55"/>
      <c r="BO77" s="56"/>
      <c r="BP77" s="26"/>
      <c r="BQ77" s="54"/>
      <c r="BR77" s="26"/>
      <c r="BS77" s="54"/>
      <c r="BT77" s="55"/>
      <c r="BU77" s="56"/>
      <c r="BV77" s="26"/>
      <c r="BW77" s="54"/>
      <c r="BX77" s="26"/>
      <c r="BY77" s="54"/>
      <c r="BZ77" s="55"/>
      <c r="CA77" s="56"/>
      <c r="CB77" s="26"/>
      <c r="CC77" s="54"/>
      <c r="CD77" s="26"/>
      <c r="CE77" s="54"/>
      <c r="CF77" s="55"/>
      <c r="CG77" s="56"/>
      <c r="CH77" s="26"/>
      <c r="CI77" s="54"/>
      <c r="CJ77" s="26"/>
      <c r="CK77" s="54"/>
      <c r="CL77" s="55"/>
      <c r="CM77" s="56"/>
      <c r="CN77" s="26"/>
      <c r="CO77" s="54"/>
      <c r="CP77" s="26"/>
      <c r="CQ77" s="54"/>
      <c r="CR77" s="55"/>
      <c r="CS77" s="56"/>
      <c r="CT77" s="26"/>
      <c r="CU77" s="54"/>
      <c r="CV77" s="26"/>
      <c r="CW77" s="54"/>
      <c r="CX77" s="55"/>
      <c r="CY77" s="56"/>
      <c r="CZ77" s="26"/>
      <c r="DA77" s="54"/>
      <c r="DB77" s="26"/>
      <c r="DC77" s="54"/>
      <c r="DD77" s="55"/>
      <c r="DE77" s="56"/>
      <c r="DF77" s="26"/>
      <c r="DG77" s="54"/>
      <c r="DH77" s="26"/>
      <c r="DI77" s="54"/>
      <c r="DJ77" s="55"/>
      <c r="DK77" s="56"/>
      <c r="DL77" s="26"/>
      <c r="DM77" s="54"/>
      <c r="DN77" s="26"/>
      <c r="DO77" s="54"/>
      <c r="DP77" s="26"/>
      <c r="DQ77" s="89"/>
      <c r="DR77" s="26"/>
      <c r="DS77" s="54"/>
      <c r="DT77" s="70"/>
      <c r="DU77" s="26"/>
      <c r="DV77" s="55"/>
      <c r="DW77" s="56"/>
      <c r="DX77" s="26"/>
      <c r="DY77" s="54"/>
      <c r="DZ77" s="26"/>
      <c r="EA77" s="54"/>
      <c r="EB77" s="55"/>
      <c r="EC77" s="56"/>
      <c r="ED77" s="26"/>
      <c r="EE77" s="54"/>
      <c r="EF77" s="26"/>
      <c r="EG77" s="54"/>
      <c r="EH77" s="55"/>
      <c r="EI77" s="56"/>
      <c r="EJ77" s="26"/>
      <c r="EK77" s="54"/>
      <c r="EL77" s="26"/>
      <c r="EM77" s="54"/>
      <c r="EN77" s="55"/>
      <c r="EO77" s="56"/>
      <c r="EP77" s="26"/>
      <c r="EQ77" s="54"/>
      <c r="ER77" s="26"/>
      <c r="ES77" s="54"/>
      <c r="ET77" s="55"/>
    </row>
    <row r="78" spans="1:150" ht="20.100000000000001" hidden="1" customHeight="1" outlineLevel="1" thickBot="1">
      <c r="A78" s="3034"/>
      <c r="B78" s="125"/>
      <c r="C78" s="179"/>
      <c r="D78" s="2726" t="str">
        <f>SUBSTITUTE(実績!C1139&amp;"("&amp;SUBSTITUTE(実績!R1139&amp;")","株式会社 ","")," SM棟","")</f>
        <v>ヤマザワ角田(永井設計(山形))</v>
      </c>
      <c r="E78" s="2878"/>
      <c r="F78" s="2878"/>
      <c r="G78" s="2878"/>
      <c r="H78" s="2878"/>
      <c r="I78" s="2878"/>
      <c r="J78" s="2878"/>
      <c r="K78" s="2878"/>
      <c r="L78" s="2878"/>
      <c r="M78" s="2878"/>
      <c r="N78" s="2878"/>
      <c r="O78" s="2878"/>
      <c r="P78" s="2878"/>
      <c r="Q78" s="3025"/>
      <c r="R78" s="1096"/>
      <c r="S78" s="26"/>
      <c r="T78" s="26"/>
      <c r="U78" s="54"/>
      <c r="V78" s="26"/>
      <c r="W78" s="54"/>
      <c r="X78" s="55"/>
      <c r="Y78" s="54"/>
      <c r="Z78" s="26"/>
      <c r="AA78" s="54"/>
      <c r="AB78" s="26"/>
      <c r="AC78" s="54"/>
      <c r="AD78" s="26"/>
      <c r="AE78" s="56"/>
      <c r="AF78" s="26"/>
      <c r="AG78" s="54"/>
      <c r="AH78" s="26"/>
      <c r="AI78" s="54"/>
      <c r="AJ78" s="55"/>
      <c r="AK78" s="26"/>
      <c r="AL78" s="26"/>
      <c r="AM78" s="54"/>
      <c r="AN78" s="26"/>
      <c r="AO78" s="54" t="s">
        <v>8494</v>
      </c>
      <c r="AP78" s="26"/>
      <c r="AQ78" s="53"/>
      <c r="AR78" s="26"/>
      <c r="AS78" s="54"/>
      <c r="AT78" s="26"/>
      <c r="AU78" s="54"/>
      <c r="AV78" s="55"/>
      <c r="AW78" s="56"/>
      <c r="AX78" s="26"/>
      <c r="AY78" s="54"/>
      <c r="AZ78" s="26"/>
      <c r="BA78" s="54"/>
      <c r="BB78" s="55"/>
      <c r="BC78" s="26"/>
      <c r="BD78" s="26"/>
      <c r="BE78" s="54"/>
      <c r="BF78" s="26"/>
      <c r="BG78" s="54"/>
      <c r="BH78" s="26"/>
      <c r="BI78" s="56"/>
      <c r="BJ78" s="26"/>
      <c r="BK78" s="54"/>
      <c r="BL78" s="26"/>
      <c r="BM78" s="54"/>
      <c r="BN78" s="55"/>
      <c r="BO78" s="56"/>
      <c r="BP78" s="26"/>
      <c r="BQ78" s="54"/>
      <c r="BR78" s="26"/>
      <c r="BS78" s="54"/>
      <c r="BT78" s="55"/>
      <c r="BU78" s="56"/>
      <c r="BV78" s="26"/>
      <c r="BW78" s="54"/>
      <c r="BX78" s="26"/>
      <c r="BY78" s="54"/>
      <c r="BZ78" s="55"/>
      <c r="CA78" s="56"/>
      <c r="CB78" s="26"/>
      <c r="CC78" s="54"/>
      <c r="CD78" s="26"/>
      <c r="CE78" s="54"/>
      <c r="CF78" s="55"/>
      <c r="CG78" s="56"/>
      <c r="CH78" s="26"/>
      <c r="CI78" s="54"/>
      <c r="CJ78" s="26"/>
      <c r="CK78" s="54"/>
      <c r="CL78" s="55"/>
      <c r="CM78" s="56"/>
      <c r="CN78" s="26"/>
      <c r="CO78" s="54"/>
      <c r="CP78" s="26"/>
      <c r="CQ78" s="54"/>
      <c r="CR78" s="55"/>
      <c r="CS78" s="56"/>
      <c r="CT78" s="26"/>
      <c r="CU78" s="54"/>
      <c r="CV78" s="26"/>
      <c r="CW78" s="54"/>
      <c r="CX78" s="55"/>
      <c r="CY78" s="56"/>
      <c r="CZ78" s="26"/>
      <c r="DA78" s="54"/>
      <c r="DB78" s="26"/>
      <c r="DC78" s="54"/>
      <c r="DD78" s="55"/>
      <c r="DE78" s="56"/>
      <c r="DF78" s="26"/>
      <c r="DG78" s="54"/>
      <c r="DH78" s="26"/>
      <c r="DI78" s="54"/>
      <c r="DJ78" s="55"/>
      <c r="DK78" s="56"/>
      <c r="DL78" s="26"/>
      <c r="DM78" s="54"/>
      <c r="DN78" s="26"/>
      <c r="DO78" s="54"/>
      <c r="DP78" s="26"/>
      <c r="DQ78" s="89"/>
      <c r="DR78" s="26"/>
      <c r="DS78" s="54"/>
      <c r="DT78" s="70"/>
      <c r="DU78" s="26"/>
      <c r="DV78" s="55"/>
      <c r="DW78" s="56"/>
      <c r="DX78" s="26"/>
      <c r="DY78" s="54"/>
      <c r="DZ78" s="26"/>
      <c r="EA78" s="54"/>
      <c r="EB78" s="55"/>
      <c r="EC78" s="56"/>
      <c r="ED78" s="26"/>
      <c r="EE78" s="54"/>
      <c r="EF78" s="26"/>
      <c r="EG78" s="54"/>
      <c r="EH78" s="55"/>
      <c r="EI78" s="56"/>
      <c r="EJ78" s="26"/>
      <c r="EK78" s="54"/>
      <c r="EL78" s="26"/>
      <c r="EM78" s="54"/>
      <c r="EN78" s="55"/>
      <c r="EO78" s="56"/>
      <c r="EP78" s="26"/>
      <c r="EQ78" s="54"/>
      <c r="ER78" s="26"/>
      <c r="ES78" s="54"/>
      <c r="ET78" s="55"/>
    </row>
    <row r="79" spans="1:150" ht="20.100000000000001" hidden="1" customHeight="1" outlineLevel="1" thickBot="1">
      <c r="A79" s="3034"/>
      <c r="B79" s="125"/>
      <c r="C79" s="179"/>
      <c r="D79" s="2726" t="str">
        <f>実績!C1165&amp;"("&amp;SUBSTITUTE(実績!R1165&amp;")","株式会社 ","")</f>
        <v>コナズ珈琲幕張(えふ設計室)</v>
      </c>
      <c r="E79" s="2878"/>
      <c r="F79" s="2878"/>
      <c r="G79" s="2878"/>
      <c r="H79" s="2878"/>
      <c r="I79" s="2878"/>
      <c r="J79" s="2878"/>
      <c r="K79" s="2878"/>
      <c r="L79" s="2878"/>
      <c r="M79" s="2878"/>
      <c r="N79" s="2878"/>
      <c r="O79" s="2878"/>
      <c r="P79" s="2878"/>
      <c r="Q79" s="3025"/>
      <c r="R79" s="1096"/>
      <c r="S79" s="26"/>
      <c r="T79" s="26"/>
      <c r="U79" s="54"/>
      <c r="V79" s="26"/>
      <c r="W79" s="54"/>
      <c r="X79" s="55"/>
      <c r="Y79" s="26"/>
      <c r="Z79" s="26"/>
      <c r="AA79" s="54"/>
      <c r="AB79" s="26"/>
      <c r="AC79" s="54"/>
      <c r="AD79" s="26"/>
      <c r="AE79" s="56"/>
      <c r="AF79" s="26"/>
      <c r="AG79" s="54"/>
      <c r="AH79" s="26"/>
      <c r="AI79" s="54"/>
      <c r="AJ79" s="55"/>
      <c r="AK79" s="26"/>
      <c r="AL79" s="26"/>
      <c r="AM79" s="54"/>
      <c r="AN79" s="26"/>
      <c r="AO79" s="54" t="s">
        <v>8250</v>
      </c>
      <c r="AP79" s="26"/>
      <c r="AQ79" s="53"/>
      <c r="AR79" s="26"/>
      <c r="AS79" s="54"/>
      <c r="AT79" s="26"/>
      <c r="AU79" s="54"/>
      <c r="AV79" s="55"/>
      <c r="AW79" s="56"/>
      <c r="AX79" s="26"/>
      <c r="AY79" s="54"/>
      <c r="AZ79" s="26"/>
      <c r="BA79" s="54"/>
      <c r="BB79" s="55"/>
      <c r="BC79" s="26"/>
      <c r="BD79" s="26"/>
      <c r="BE79" s="54"/>
      <c r="BF79" s="26"/>
      <c r="BG79" s="54"/>
      <c r="BH79" s="26"/>
      <c r="BI79" s="56"/>
      <c r="BJ79" s="26"/>
      <c r="BK79" s="54"/>
      <c r="BL79" s="26"/>
      <c r="BM79" s="54"/>
      <c r="BN79" s="55"/>
      <c r="BO79" s="56"/>
      <c r="BP79" s="26"/>
      <c r="BQ79" s="54"/>
      <c r="BR79" s="26"/>
      <c r="BS79" s="54"/>
      <c r="BT79" s="55"/>
      <c r="BU79" s="56"/>
      <c r="BV79" s="26"/>
      <c r="BW79" s="54"/>
      <c r="BX79" s="26"/>
      <c r="BY79" s="54"/>
      <c r="BZ79" s="55"/>
      <c r="CA79" s="56"/>
      <c r="CB79" s="26"/>
      <c r="CC79" s="54"/>
      <c r="CD79" s="26"/>
      <c r="CE79" s="54"/>
      <c r="CF79" s="55"/>
      <c r="CG79" s="56"/>
      <c r="CH79" s="26"/>
      <c r="CI79" s="54"/>
      <c r="CJ79" s="26"/>
      <c r="CK79" s="54"/>
      <c r="CL79" s="55"/>
      <c r="CM79" s="56"/>
      <c r="CN79" s="26"/>
      <c r="CO79" s="54"/>
      <c r="CP79" s="26"/>
      <c r="CQ79" s="54"/>
      <c r="CR79" s="55"/>
      <c r="CS79" s="56"/>
      <c r="CT79" s="26"/>
      <c r="CU79" s="54"/>
      <c r="CV79" s="26"/>
      <c r="CW79" s="54"/>
      <c r="CX79" s="55"/>
      <c r="CY79" s="56"/>
      <c r="CZ79" s="26"/>
      <c r="DA79" s="54"/>
      <c r="DB79" s="26"/>
      <c r="DC79" s="54"/>
      <c r="DD79" s="55"/>
      <c r="DE79" s="56"/>
      <c r="DF79" s="26"/>
      <c r="DG79" s="54"/>
      <c r="DH79" s="26"/>
      <c r="DI79" s="54"/>
      <c r="DJ79" s="55"/>
      <c r="DK79" s="56"/>
      <c r="DL79" s="26"/>
      <c r="DM79" s="54"/>
      <c r="DN79" s="26"/>
      <c r="DO79" s="54"/>
      <c r="DP79" s="26"/>
      <c r="DQ79" s="89"/>
      <c r="DR79" s="26"/>
      <c r="DS79" s="54"/>
      <c r="DT79" s="70"/>
      <c r="DU79" s="26"/>
      <c r="DV79" s="55"/>
      <c r="DW79" s="56"/>
      <c r="DX79" s="26"/>
      <c r="DY79" s="54"/>
      <c r="DZ79" s="26"/>
      <c r="EA79" s="54"/>
      <c r="EB79" s="55"/>
      <c r="EC79" s="56"/>
      <c r="ED79" s="26"/>
      <c r="EE79" s="54"/>
      <c r="EF79" s="26"/>
      <c r="EG79" s="54"/>
      <c r="EH79" s="55"/>
      <c r="EI79" s="56"/>
      <c r="EJ79" s="26"/>
      <c r="EK79" s="54"/>
      <c r="EL79" s="26"/>
      <c r="EM79" s="54"/>
      <c r="EN79" s="55"/>
      <c r="EO79" s="56"/>
      <c r="EP79" s="26"/>
      <c r="EQ79" s="54"/>
      <c r="ER79" s="26"/>
      <c r="ES79" s="54"/>
      <c r="ET79" s="55"/>
    </row>
    <row r="80" spans="1:150" ht="20.100000000000001" hidden="1" customHeight="1" outlineLevel="1" thickBot="1">
      <c r="A80" s="3034"/>
      <c r="B80" s="125"/>
      <c r="C80" s="179"/>
      <c r="D80" s="2726" t="str">
        <f>実績!C1164&amp;"("&amp;SUBSTITUTE(実績!W1164&amp;")","株式会社 ","")</f>
        <v>デンソー山形Ⅱ期工事(市場建築構造設計事務所)</v>
      </c>
      <c r="E80" s="2878"/>
      <c r="F80" s="2878"/>
      <c r="G80" s="2878"/>
      <c r="H80" s="2878"/>
      <c r="I80" s="2878"/>
      <c r="J80" s="2878"/>
      <c r="K80" s="2878"/>
      <c r="L80" s="2878"/>
      <c r="M80" s="2878"/>
      <c r="N80" s="2878"/>
      <c r="O80" s="2878"/>
      <c r="P80" s="2878"/>
      <c r="Q80" s="3025"/>
      <c r="R80" s="1096"/>
      <c r="S80" s="26"/>
      <c r="T80" s="26"/>
      <c r="U80" s="54"/>
      <c r="V80" s="26"/>
      <c r="W80" s="54"/>
      <c r="X80" s="55"/>
      <c r="Y80" s="26"/>
      <c r="Z80" s="26"/>
      <c r="AA80" s="54"/>
      <c r="AB80" s="26"/>
      <c r="AC80" s="54"/>
      <c r="AD80" s="26"/>
      <c r="AE80" s="56"/>
      <c r="AF80" s="26"/>
      <c r="AG80" s="54"/>
      <c r="AH80" s="26"/>
      <c r="AI80" s="54"/>
      <c r="AJ80" s="55"/>
      <c r="AK80" s="26"/>
      <c r="AL80" s="26"/>
      <c r="AM80" s="54"/>
      <c r="AN80" s="26"/>
      <c r="AO80" s="54"/>
      <c r="AP80" s="26" t="s">
        <v>8250</v>
      </c>
      <c r="AQ80" s="53"/>
      <c r="AR80" s="26"/>
      <c r="AS80" s="54"/>
      <c r="AT80" s="26"/>
      <c r="AU80" s="54"/>
      <c r="AV80" s="55"/>
      <c r="AW80" s="56"/>
      <c r="AX80" s="26"/>
      <c r="AY80" s="54"/>
      <c r="AZ80" s="26"/>
      <c r="BA80" s="54"/>
      <c r="BB80" s="55"/>
      <c r="BC80" s="26"/>
      <c r="BD80" s="26"/>
      <c r="BE80" s="54"/>
      <c r="BF80" s="26"/>
      <c r="BG80" s="54"/>
      <c r="BH80" s="26"/>
      <c r="BI80" s="56"/>
      <c r="BJ80" s="26"/>
      <c r="BK80" s="54"/>
      <c r="BL80" s="26"/>
      <c r="BM80" s="54"/>
      <c r="BN80" s="55"/>
      <c r="BO80" s="56"/>
      <c r="BP80" s="26"/>
      <c r="BQ80" s="54"/>
      <c r="BR80" s="26"/>
      <c r="BS80" s="54"/>
      <c r="BT80" s="55"/>
      <c r="BU80" s="56"/>
      <c r="BV80" s="26"/>
      <c r="BW80" s="54"/>
      <c r="BX80" s="26"/>
      <c r="BY80" s="54"/>
      <c r="BZ80" s="55"/>
      <c r="CA80" s="56"/>
      <c r="CB80" s="26"/>
      <c r="CC80" s="54"/>
      <c r="CD80" s="26"/>
      <c r="CE80" s="54"/>
      <c r="CF80" s="55"/>
      <c r="CG80" s="56"/>
      <c r="CH80" s="26"/>
      <c r="CI80" s="54"/>
      <c r="CJ80" s="26"/>
      <c r="CK80" s="54"/>
      <c r="CL80" s="55"/>
      <c r="CM80" s="56"/>
      <c r="CN80" s="26"/>
      <c r="CO80" s="54"/>
      <c r="CP80" s="26"/>
      <c r="CQ80" s="54"/>
      <c r="CR80" s="55"/>
      <c r="CS80" s="56"/>
      <c r="CT80" s="26"/>
      <c r="CU80" s="54"/>
      <c r="CV80" s="26"/>
      <c r="CW80" s="54"/>
      <c r="CX80" s="55"/>
      <c r="CY80" s="56"/>
      <c r="CZ80" s="26"/>
      <c r="DA80" s="54"/>
      <c r="DB80" s="26"/>
      <c r="DC80" s="54"/>
      <c r="DD80" s="55"/>
      <c r="DE80" s="56"/>
      <c r="DF80" s="26"/>
      <c r="DG80" s="54"/>
      <c r="DH80" s="26"/>
      <c r="DI80" s="54"/>
      <c r="DJ80" s="55"/>
      <c r="DK80" s="56"/>
      <c r="DL80" s="26"/>
      <c r="DM80" s="54"/>
      <c r="DN80" s="26"/>
      <c r="DO80" s="54"/>
      <c r="DP80" s="26"/>
      <c r="DQ80" s="89"/>
      <c r="DR80" s="26"/>
      <c r="DS80" s="54"/>
      <c r="DT80" s="70"/>
      <c r="DU80" s="26"/>
      <c r="DV80" s="55"/>
      <c r="DW80" s="56"/>
      <c r="DX80" s="26"/>
      <c r="DY80" s="54"/>
      <c r="DZ80" s="26"/>
      <c r="EA80" s="54"/>
      <c r="EB80" s="55"/>
      <c r="EC80" s="56"/>
      <c r="ED80" s="26"/>
      <c r="EE80" s="54"/>
      <c r="EF80" s="26"/>
      <c r="EG80" s="54"/>
      <c r="EH80" s="55"/>
      <c r="EI80" s="56"/>
      <c r="EJ80" s="26"/>
      <c r="EK80" s="54"/>
      <c r="EL80" s="26"/>
      <c r="EM80" s="54"/>
      <c r="EN80" s="55"/>
      <c r="EO80" s="56"/>
      <c r="EP80" s="26"/>
      <c r="EQ80" s="54"/>
      <c r="ER80" s="26"/>
      <c r="ES80" s="54"/>
      <c r="ET80" s="55"/>
    </row>
    <row r="81" spans="1:150" ht="20.100000000000001" hidden="1" customHeight="1" outlineLevel="1" thickBot="1">
      <c r="A81" s="3034"/>
      <c r="B81" s="125"/>
      <c r="C81" s="179"/>
      <c r="D81" s="2726" t="str">
        <f>実績!C1167&amp;"("&amp;SUBSTITUTE(実績!R1167&amp;")","株式会社 ","")</f>
        <v>米山電導機 社屋 増築(塩野建築設計事務所)</v>
      </c>
      <c r="E81" s="2878"/>
      <c r="F81" s="2878"/>
      <c r="G81" s="2878"/>
      <c r="H81" s="2878"/>
      <c r="I81" s="2878"/>
      <c r="J81" s="2878"/>
      <c r="K81" s="2878"/>
      <c r="L81" s="2878"/>
      <c r="M81" s="2878"/>
      <c r="N81" s="2878"/>
      <c r="O81" s="2878"/>
      <c r="P81" s="2878"/>
      <c r="Q81" s="3025"/>
      <c r="R81" s="1096"/>
      <c r="S81" s="26"/>
      <c r="T81" s="26"/>
      <c r="U81" s="54"/>
      <c r="V81" s="26"/>
      <c r="W81" s="54"/>
      <c r="X81" s="55"/>
      <c r="Y81" s="26"/>
      <c r="Z81" s="26"/>
      <c r="AA81" s="54"/>
      <c r="AB81" s="26"/>
      <c r="AC81" s="54"/>
      <c r="AD81" s="26"/>
      <c r="AE81" s="56"/>
      <c r="AF81" s="26"/>
      <c r="AG81" s="54"/>
      <c r="AH81" s="26"/>
      <c r="AI81" s="54"/>
      <c r="AJ81" s="55"/>
      <c r="AK81" s="26"/>
      <c r="AL81" s="26"/>
      <c r="AM81" s="54"/>
      <c r="AN81" s="26"/>
      <c r="AO81" s="54" t="s">
        <v>8586</v>
      </c>
      <c r="AP81" s="26"/>
      <c r="AQ81" s="53" t="s">
        <v>8587</v>
      </c>
      <c r="AR81" s="26"/>
      <c r="AS81" s="54"/>
      <c r="AT81" s="26"/>
      <c r="AU81" s="54"/>
      <c r="AV81" s="55"/>
      <c r="AW81" s="56"/>
      <c r="AX81" s="26"/>
      <c r="AY81" s="54"/>
      <c r="AZ81" s="26"/>
      <c r="BA81" s="54"/>
      <c r="BB81" s="55"/>
      <c r="BC81" s="26"/>
      <c r="BD81" s="26"/>
      <c r="BE81" s="54"/>
      <c r="BF81" s="26"/>
      <c r="BG81" s="54"/>
      <c r="BH81" s="26"/>
      <c r="BI81" s="56"/>
      <c r="BJ81" s="26"/>
      <c r="BK81" s="54"/>
      <c r="BL81" s="26"/>
      <c r="BM81" s="54"/>
      <c r="BN81" s="55"/>
      <c r="BO81" s="56"/>
      <c r="BP81" s="26"/>
      <c r="BQ81" s="54"/>
      <c r="BR81" s="26"/>
      <c r="BS81" s="54"/>
      <c r="BT81" s="55"/>
      <c r="BU81" s="56"/>
      <c r="BV81" s="26"/>
      <c r="BW81" s="54"/>
      <c r="BX81" s="26"/>
      <c r="BY81" s="54"/>
      <c r="BZ81" s="55"/>
      <c r="CA81" s="56"/>
      <c r="CB81" s="26"/>
      <c r="CC81" s="54"/>
      <c r="CD81" s="26"/>
      <c r="CE81" s="54"/>
      <c r="CF81" s="55"/>
      <c r="CG81" s="56"/>
      <c r="CH81" s="26"/>
      <c r="CI81" s="54"/>
      <c r="CJ81" s="26"/>
      <c r="CK81" s="54"/>
      <c r="CL81" s="55"/>
      <c r="CM81" s="56"/>
      <c r="CN81" s="26"/>
      <c r="CO81" s="54"/>
      <c r="CP81" s="26"/>
      <c r="CQ81" s="54"/>
      <c r="CR81" s="55"/>
      <c r="CS81" s="56"/>
      <c r="CT81" s="26"/>
      <c r="CU81" s="54"/>
      <c r="CV81" s="26"/>
      <c r="CW81" s="54"/>
      <c r="CX81" s="55"/>
      <c r="CY81" s="56"/>
      <c r="CZ81" s="26"/>
      <c r="DA81" s="54"/>
      <c r="DB81" s="26"/>
      <c r="DC81" s="54"/>
      <c r="DD81" s="55"/>
      <c r="DE81" s="56"/>
      <c r="DF81" s="26"/>
      <c r="DG81" s="54"/>
      <c r="DH81" s="26"/>
      <c r="DI81" s="54"/>
      <c r="DJ81" s="55"/>
      <c r="DK81" s="56"/>
      <c r="DL81" s="26"/>
      <c r="DM81" s="54"/>
      <c r="DN81" s="26"/>
      <c r="DO81" s="54"/>
      <c r="DP81" s="26"/>
      <c r="DQ81" s="89"/>
      <c r="DR81" s="26"/>
      <c r="DS81" s="54"/>
      <c r="DT81" s="70"/>
      <c r="DU81" s="26"/>
      <c r="DV81" s="55"/>
      <c r="DW81" s="56"/>
      <c r="DX81" s="26"/>
      <c r="DY81" s="54"/>
      <c r="DZ81" s="26"/>
      <c r="EA81" s="54"/>
      <c r="EB81" s="55"/>
      <c r="EC81" s="56"/>
      <c r="ED81" s="26"/>
      <c r="EE81" s="54"/>
      <c r="EF81" s="26"/>
      <c r="EG81" s="54"/>
      <c r="EH81" s="55"/>
      <c r="EI81" s="56"/>
      <c r="EJ81" s="26"/>
      <c r="EK81" s="54"/>
      <c r="EL81" s="26"/>
      <c r="EM81" s="54"/>
      <c r="EN81" s="55"/>
      <c r="EO81" s="56"/>
      <c r="EP81" s="26"/>
      <c r="EQ81" s="54"/>
      <c r="ER81" s="26"/>
      <c r="ES81" s="54"/>
      <c r="ET81" s="55"/>
    </row>
    <row r="82" spans="1:150" ht="20.100000000000001" hidden="1" customHeight="1" outlineLevel="1" thickBot="1">
      <c r="A82" s="3034"/>
      <c r="B82" s="125"/>
      <c r="C82" s="179"/>
      <c r="D82" s="2726" t="str">
        <f>実績!C1166&amp;"("&amp;SUBSTITUTE(実績!W1166&amp;")","株式会社 ","")</f>
        <v>マルエーミニ金石(中島建築事務所)</v>
      </c>
      <c r="E82" s="2878"/>
      <c r="F82" s="2878"/>
      <c r="G82" s="2878"/>
      <c r="H82" s="2878"/>
      <c r="I82" s="2878"/>
      <c r="J82" s="2878"/>
      <c r="K82" s="2878"/>
      <c r="L82" s="2878"/>
      <c r="M82" s="2878"/>
      <c r="N82" s="2878"/>
      <c r="O82" s="2878"/>
      <c r="P82" s="2878"/>
      <c r="Q82" s="3025"/>
      <c r="R82" s="1096"/>
      <c r="S82" s="26"/>
      <c r="T82" s="26"/>
      <c r="U82" s="54"/>
      <c r="V82" s="26"/>
      <c r="W82" s="54"/>
      <c r="X82" s="55"/>
      <c r="Y82" s="26"/>
      <c r="Z82" s="26"/>
      <c r="AA82" s="54"/>
      <c r="AB82" s="26"/>
      <c r="AC82" s="54"/>
      <c r="AD82" s="26"/>
      <c r="AE82" s="56"/>
      <c r="AF82" s="26"/>
      <c r="AG82" s="54"/>
      <c r="AH82" s="26"/>
      <c r="AI82" s="54"/>
      <c r="AJ82" s="55"/>
      <c r="AK82" s="26"/>
      <c r="AL82" s="26"/>
      <c r="AM82" s="54"/>
      <c r="AN82" s="70"/>
      <c r="AO82" s="54"/>
      <c r="AP82" s="26"/>
      <c r="AQ82" s="53" t="s">
        <v>8250</v>
      </c>
      <c r="AR82" s="26"/>
      <c r="AS82" s="54"/>
      <c r="AT82" s="26"/>
      <c r="AU82" s="54"/>
      <c r="AV82" s="55"/>
      <c r="AW82" s="56"/>
      <c r="AX82" s="26"/>
      <c r="AY82" s="54"/>
      <c r="AZ82" s="26"/>
      <c r="BA82" s="54"/>
      <c r="BB82" s="55"/>
      <c r="BC82" s="26" t="s">
        <v>8145</v>
      </c>
      <c r="BD82" s="26"/>
      <c r="BE82" s="54"/>
      <c r="BF82" s="26"/>
      <c r="BG82" s="54"/>
      <c r="BH82" s="26"/>
      <c r="BI82" s="56"/>
      <c r="BJ82" s="26"/>
      <c r="BK82" s="54"/>
      <c r="BL82" s="26"/>
      <c r="BM82" s="54"/>
      <c r="BN82" s="55"/>
      <c r="BO82" s="56"/>
      <c r="BP82" s="26"/>
      <c r="BQ82" s="54"/>
      <c r="BR82" s="26"/>
      <c r="BS82" s="54"/>
      <c r="BT82" s="55"/>
      <c r="BU82" s="56"/>
      <c r="BV82" s="26"/>
      <c r="BW82" s="54"/>
      <c r="BX82" s="26"/>
      <c r="BY82" s="54"/>
      <c r="BZ82" s="55"/>
      <c r="CA82" s="56"/>
      <c r="CB82" s="26"/>
      <c r="CC82" s="54"/>
      <c r="CD82" s="26"/>
      <c r="CE82" s="54"/>
      <c r="CF82" s="55"/>
      <c r="CG82" s="56"/>
      <c r="CH82" s="26"/>
      <c r="CI82" s="54"/>
      <c r="CJ82" s="26"/>
      <c r="CK82" s="54"/>
      <c r="CL82" s="55"/>
      <c r="CM82" s="56"/>
      <c r="CN82" s="26"/>
      <c r="CO82" s="54"/>
      <c r="CP82" s="26"/>
      <c r="CQ82" s="54"/>
      <c r="CR82" s="55"/>
      <c r="CS82" s="56"/>
      <c r="CT82" s="26"/>
      <c r="CU82" s="54"/>
      <c r="CV82" s="26"/>
      <c r="CW82" s="54"/>
      <c r="CX82" s="55"/>
      <c r="CY82" s="56"/>
      <c r="CZ82" s="26"/>
      <c r="DA82" s="54"/>
      <c r="DB82" s="26"/>
      <c r="DC82" s="54"/>
      <c r="DD82" s="55"/>
      <c r="DE82" s="56"/>
      <c r="DF82" s="26"/>
      <c r="DG82" s="54"/>
      <c r="DH82" s="26"/>
      <c r="DI82" s="54"/>
      <c r="DJ82" s="55"/>
      <c r="DK82" s="56"/>
      <c r="DL82" s="26"/>
      <c r="DM82" s="54"/>
      <c r="DN82" s="26"/>
      <c r="DO82" s="54"/>
      <c r="DP82" s="26"/>
      <c r="DQ82" s="89"/>
      <c r="DR82" s="26"/>
      <c r="DS82" s="54"/>
      <c r="DT82" s="70"/>
      <c r="DU82" s="26"/>
      <c r="DV82" s="55"/>
      <c r="DW82" s="56"/>
      <c r="DX82" s="26"/>
      <c r="DY82" s="54"/>
      <c r="DZ82" s="26"/>
      <c r="EA82" s="54"/>
      <c r="EB82" s="55"/>
      <c r="EC82" s="56"/>
      <c r="ED82" s="26"/>
      <c r="EE82" s="54"/>
      <c r="EF82" s="26"/>
      <c r="EG82" s="54"/>
      <c r="EH82" s="55"/>
      <c r="EI82" s="56"/>
      <c r="EJ82" s="26"/>
      <c r="EK82" s="54"/>
      <c r="EL82" s="26"/>
      <c r="EM82" s="54"/>
      <c r="EN82" s="55"/>
      <c r="EO82" s="56"/>
      <c r="EP82" s="26"/>
      <c r="EQ82" s="54"/>
      <c r="ER82" s="26"/>
      <c r="ES82" s="54"/>
      <c r="ET82" s="55"/>
    </row>
    <row r="83" spans="1:150" ht="20.100000000000001" hidden="1" customHeight="1" outlineLevel="1" thickBot="1">
      <c r="A83" s="3034"/>
      <c r="B83" s="125"/>
      <c r="C83" s="179"/>
      <c r="D83" s="2726" t="str">
        <f>実績!C1170&amp;"("&amp;SUBSTITUTE(実績!W1170&amp;")","株式会社 ","")</f>
        <v>イエローハット利府(構造プランニング)</v>
      </c>
      <c r="E83" s="2878"/>
      <c r="F83" s="2878"/>
      <c r="G83" s="2878"/>
      <c r="H83" s="2878"/>
      <c r="I83" s="2878"/>
      <c r="J83" s="2878"/>
      <c r="K83" s="2878"/>
      <c r="L83" s="2878"/>
      <c r="M83" s="2878"/>
      <c r="N83" s="2878"/>
      <c r="O83" s="2878"/>
      <c r="P83" s="2878"/>
      <c r="Q83" s="3025"/>
      <c r="R83" s="1096"/>
      <c r="S83" s="26"/>
      <c r="T83" s="26"/>
      <c r="U83" s="54"/>
      <c r="V83" s="26"/>
      <c r="W83" s="54"/>
      <c r="X83" s="55"/>
      <c r="Y83" s="26"/>
      <c r="Z83" s="26"/>
      <c r="AA83" s="54"/>
      <c r="AB83" s="26"/>
      <c r="AC83" s="54"/>
      <c r="AD83" s="26"/>
      <c r="AE83" s="56"/>
      <c r="AF83" s="26"/>
      <c r="AG83" s="54"/>
      <c r="AH83" s="26"/>
      <c r="AI83" s="54"/>
      <c r="AJ83" s="55"/>
      <c r="AK83" s="26"/>
      <c r="AL83" s="26"/>
      <c r="AM83" s="54"/>
      <c r="AN83" s="70"/>
      <c r="AO83" s="54"/>
      <c r="AP83" s="26"/>
      <c r="AQ83" s="53" t="s">
        <v>8250</v>
      </c>
      <c r="AR83" s="26"/>
      <c r="AS83" s="54"/>
      <c r="AT83" s="26"/>
      <c r="AU83" s="54"/>
      <c r="AV83" s="55"/>
      <c r="AW83" s="56"/>
      <c r="AX83" s="26"/>
      <c r="AY83" s="54"/>
      <c r="AZ83" s="26"/>
      <c r="BA83" s="54"/>
      <c r="BB83" s="55"/>
      <c r="BC83" s="26"/>
      <c r="BD83" s="26"/>
      <c r="BE83" s="54"/>
      <c r="BF83" s="26"/>
      <c r="BG83" s="54"/>
      <c r="BH83" s="26"/>
      <c r="BI83" s="56"/>
      <c r="BJ83" s="26"/>
      <c r="BK83" s="54"/>
      <c r="BL83" s="26"/>
      <c r="BM83" s="54"/>
      <c r="BN83" s="55"/>
      <c r="BO83" s="56"/>
      <c r="BP83" s="26"/>
      <c r="BQ83" s="54"/>
      <c r="BR83" s="26"/>
      <c r="BS83" s="54"/>
      <c r="BT83" s="55"/>
      <c r="BU83" s="56"/>
      <c r="BV83" s="26"/>
      <c r="BW83" s="54"/>
      <c r="BX83" s="26"/>
      <c r="BY83" s="54"/>
      <c r="BZ83" s="55"/>
      <c r="CA83" s="56"/>
      <c r="CB83" s="26"/>
      <c r="CC83" s="54"/>
      <c r="CD83" s="26"/>
      <c r="CE83" s="54"/>
      <c r="CF83" s="55"/>
      <c r="CG83" s="56"/>
      <c r="CH83" s="26"/>
      <c r="CI83" s="54"/>
      <c r="CJ83" s="26"/>
      <c r="CK83" s="54"/>
      <c r="CL83" s="55"/>
      <c r="CM83" s="56"/>
      <c r="CN83" s="26"/>
      <c r="CO83" s="54"/>
      <c r="CP83" s="26"/>
      <c r="CQ83" s="54"/>
      <c r="CR83" s="55"/>
      <c r="CS83" s="56"/>
      <c r="CT83" s="26"/>
      <c r="CU83" s="54"/>
      <c r="CV83" s="26"/>
      <c r="CW83" s="54"/>
      <c r="CX83" s="55"/>
      <c r="CY83" s="56"/>
      <c r="CZ83" s="26"/>
      <c r="DA83" s="54"/>
      <c r="DB83" s="26"/>
      <c r="DC83" s="54"/>
      <c r="DD83" s="55"/>
      <c r="DE83" s="56"/>
      <c r="DF83" s="26"/>
      <c r="DG83" s="54"/>
      <c r="DH83" s="26"/>
      <c r="DI83" s="54"/>
      <c r="DJ83" s="55"/>
      <c r="DK83" s="56"/>
      <c r="DL83" s="26"/>
      <c r="DM83" s="54"/>
      <c r="DN83" s="26"/>
      <c r="DO83" s="54"/>
      <c r="DP83" s="26"/>
      <c r="DQ83" s="89"/>
      <c r="DR83" s="26"/>
      <c r="DS83" s="54"/>
      <c r="DT83" s="70"/>
      <c r="DU83" s="26"/>
      <c r="DV83" s="55"/>
      <c r="DW83" s="56"/>
      <c r="DX83" s="26"/>
      <c r="DY83" s="54"/>
      <c r="DZ83" s="26"/>
      <c r="EA83" s="54"/>
      <c r="EB83" s="55"/>
      <c r="EC83" s="56"/>
      <c r="ED83" s="26"/>
      <c r="EE83" s="54"/>
      <c r="EF83" s="26"/>
      <c r="EG83" s="54"/>
      <c r="EH83" s="55"/>
      <c r="EI83" s="56"/>
      <c r="EJ83" s="26"/>
      <c r="EK83" s="54"/>
      <c r="EL83" s="26"/>
      <c r="EM83" s="54"/>
      <c r="EN83" s="55"/>
      <c r="EO83" s="56"/>
      <c r="EP83" s="26"/>
      <c r="EQ83" s="54"/>
      <c r="ER83" s="26"/>
      <c r="ES83" s="54"/>
      <c r="ET83" s="55"/>
    </row>
    <row r="84" spans="1:150" ht="20.100000000000001" hidden="1" customHeight="1" outlineLevel="1" thickBot="1">
      <c r="A84" s="3034"/>
      <c r="B84" s="125"/>
      <c r="C84" s="179"/>
      <c r="D84" s="2726" t="str">
        <f>実績!C1171&amp;"("&amp;SUBSTITUTE(実績!W1171&amp;")","株式会社 ","")</f>
        <v>TSUTAYA利府(構造プランニング)</v>
      </c>
      <c r="E84" s="2878"/>
      <c r="F84" s="2878"/>
      <c r="G84" s="2878"/>
      <c r="H84" s="2878"/>
      <c r="I84" s="2878"/>
      <c r="J84" s="2878"/>
      <c r="K84" s="2878"/>
      <c r="L84" s="2878"/>
      <c r="M84" s="2878"/>
      <c r="N84" s="2878"/>
      <c r="O84" s="2878"/>
      <c r="P84" s="2878"/>
      <c r="Q84" s="3025"/>
      <c r="R84" s="1096"/>
      <c r="S84" s="26"/>
      <c r="T84" s="26"/>
      <c r="U84" s="54"/>
      <c r="V84" s="26"/>
      <c r="W84" s="54"/>
      <c r="X84" s="55"/>
      <c r="Y84" s="26"/>
      <c r="Z84" s="26"/>
      <c r="AA84" s="54"/>
      <c r="AB84" s="26"/>
      <c r="AC84" s="54"/>
      <c r="AD84" s="26"/>
      <c r="AE84" s="56"/>
      <c r="AF84" s="26"/>
      <c r="AG84" s="54"/>
      <c r="AH84" s="26"/>
      <c r="AI84" s="54"/>
      <c r="AJ84" s="55"/>
      <c r="AK84" s="26"/>
      <c r="AL84" s="26"/>
      <c r="AM84" s="54"/>
      <c r="AN84" s="70"/>
      <c r="AO84" s="54"/>
      <c r="AP84" s="26"/>
      <c r="AQ84" s="53" t="s">
        <v>8250</v>
      </c>
      <c r="AR84" s="26"/>
      <c r="AS84" s="54"/>
      <c r="AT84" s="26"/>
      <c r="AU84" s="54"/>
      <c r="AV84" s="55"/>
      <c r="AW84" s="56"/>
      <c r="AX84" s="26"/>
      <c r="AY84" s="54"/>
      <c r="AZ84" s="26"/>
      <c r="BA84" s="54"/>
      <c r="BB84" s="55"/>
      <c r="BC84" s="26"/>
      <c r="BD84" s="26"/>
      <c r="BE84" s="54"/>
      <c r="BF84" s="26"/>
      <c r="BG84" s="54"/>
      <c r="BH84" s="26"/>
      <c r="BI84" s="56"/>
      <c r="BJ84" s="26"/>
      <c r="BK84" s="54"/>
      <c r="BL84" s="26"/>
      <c r="BM84" s="54"/>
      <c r="BN84" s="55"/>
      <c r="BO84" s="56"/>
      <c r="BP84" s="26"/>
      <c r="BQ84" s="54"/>
      <c r="BR84" s="26"/>
      <c r="BS84" s="54"/>
      <c r="BT84" s="55"/>
      <c r="BU84" s="56"/>
      <c r="BV84" s="26"/>
      <c r="BW84" s="54"/>
      <c r="BX84" s="26"/>
      <c r="BY84" s="54"/>
      <c r="BZ84" s="55"/>
      <c r="CA84" s="56"/>
      <c r="CB84" s="26"/>
      <c r="CC84" s="54"/>
      <c r="CD84" s="26"/>
      <c r="CE84" s="54"/>
      <c r="CF84" s="55"/>
      <c r="CG84" s="56"/>
      <c r="CH84" s="26"/>
      <c r="CI84" s="54"/>
      <c r="CJ84" s="26"/>
      <c r="CK84" s="54"/>
      <c r="CL84" s="55"/>
      <c r="CM84" s="56"/>
      <c r="CN84" s="26"/>
      <c r="CO84" s="54"/>
      <c r="CP84" s="26"/>
      <c r="CQ84" s="54"/>
      <c r="CR84" s="55"/>
      <c r="CS84" s="56"/>
      <c r="CT84" s="26"/>
      <c r="CU84" s="54"/>
      <c r="CV84" s="26"/>
      <c r="CW84" s="54"/>
      <c r="CX84" s="55"/>
      <c r="CY84" s="56"/>
      <c r="CZ84" s="26"/>
      <c r="DA84" s="54"/>
      <c r="DB84" s="26"/>
      <c r="DC84" s="54"/>
      <c r="DD84" s="55"/>
      <c r="DE84" s="56"/>
      <c r="DF84" s="26"/>
      <c r="DG84" s="54"/>
      <c r="DH84" s="26"/>
      <c r="DI84" s="54"/>
      <c r="DJ84" s="55"/>
      <c r="DK84" s="56"/>
      <c r="DL84" s="26"/>
      <c r="DM84" s="54"/>
      <c r="DN84" s="26"/>
      <c r="DO84" s="54"/>
      <c r="DP84" s="26"/>
      <c r="DQ84" s="89"/>
      <c r="DR84" s="26"/>
      <c r="DS84" s="54"/>
      <c r="DT84" s="70"/>
      <c r="DU84" s="26"/>
      <c r="DV84" s="55"/>
      <c r="DW84" s="56"/>
      <c r="DX84" s="26"/>
      <c r="DY84" s="54"/>
      <c r="DZ84" s="26"/>
      <c r="EA84" s="54"/>
      <c r="EB84" s="55"/>
      <c r="EC84" s="56"/>
      <c r="ED84" s="26"/>
      <c r="EE84" s="54"/>
      <c r="EF84" s="26"/>
      <c r="EG84" s="54"/>
      <c r="EH84" s="55"/>
      <c r="EI84" s="56"/>
      <c r="EJ84" s="26"/>
      <c r="EK84" s="54"/>
      <c r="EL84" s="26"/>
      <c r="EM84" s="54"/>
      <c r="EN84" s="55"/>
      <c r="EO84" s="56"/>
      <c r="EP84" s="26"/>
      <c r="EQ84" s="54"/>
      <c r="ER84" s="26"/>
      <c r="ES84" s="54"/>
      <c r="ET84" s="55"/>
    </row>
    <row r="85" spans="1:150" ht="20.100000000000001" hidden="1" customHeight="1" outlineLevel="1" thickBot="1">
      <c r="A85" s="3034"/>
      <c r="B85" s="125"/>
      <c r="C85" s="179"/>
      <c r="D85" s="2726" t="str">
        <f>実績!C1172&amp;"("&amp;SUBSTITUTE(実績!W1172&amp;")","株式会社 ","")</f>
        <v>ツルハドラック大河原小島(アスコ建築構造室)</v>
      </c>
      <c r="E85" s="2878"/>
      <c r="F85" s="2878"/>
      <c r="G85" s="2878"/>
      <c r="H85" s="2878"/>
      <c r="I85" s="2878"/>
      <c r="J85" s="2878"/>
      <c r="K85" s="2878"/>
      <c r="L85" s="2878"/>
      <c r="M85" s="2878"/>
      <c r="N85" s="2878"/>
      <c r="O85" s="2878"/>
      <c r="P85" s="2878"/>
      <c r="Q85" s="3025"/>
      <c r="R85" s="1096"/>
      <c r="S85" s="26"/>
      <c r="T85" s="26"/>
      <c r="U85" s="54"/>
      <c r="V85" s="26"/>
      <c r="W85" s="54"/>
      <c r="X85" s="55"/>
      <c r="Y85" s="26"/>
      <c r="Z85" s="26"/>
      <c r="AA85" s="54"/>
      <c r="AB85" s="26"/>
      <c r="AC85" s="54"/>
      <c r="AD85" s="26"/>
      <c r="AE85" s="56"/>
      <c r="AF85" s="26"/>
      <c r="AG85" s="54"/>
      <c r="AH85" s="26"/>
      <c r="AI85" s="54"/>
      <c r="AJ85" s="55"/>
      <c r="AK85" s="26"/>
      <c r="AL85" s="26"/>
      <c r="AM85" s="54"/>
      <c r="AN85" s="70"/>
      <c r="AO85" s="54"/>
      <c r="AP85" s="26"/>
      <c r="AQ85" s="53" t="s">
        <v>8626</v>
      </c>
      <c r="AR85" s="26"/>
      <c r="AS85" s="54"/>
      <c r="AT85" s="26"/>
      <c r="AU85" s="54"/>
      <c r="AV85" s="55"/>
      <c r="AW85" s="56"/>
      <c r="AX85" s="26"/>
      <c r="AY85" s="54"/>
      <c r="AZ85" s="26"/>
      <c r="BA85" s="54"/>
      <c r="BB85" s="55"/>
      <c r="BC85" s="26"/>
      <c r="BD85" s="26"/>
      <c r="BE85" s="54"/>
      <c r="BF85" s="26"/>
      <c r="BG85" s="54"/>
      <c r="BH85" s="26"/>
      <c r="BI85" s="56"/>
      <c r="BJ85" s="26"/>
      <c r="BK85" s="54"/>
      <c r="BL85" s="26"/>
      <c r="BM85" s="54"/>
      <c r="BN85" s="55"/>
      <c r="BO85" s="56"/>
      <c r="BP85" s="26"/>
      <c r="BQ85" s="54"/>
      <c r="BR85" s="26"/>
      <c r="BS85" s="54"/>
      <c r="BT85" s="55"/>
      <c r="BU85" s="56"/>
      <c r="BV85" s="26"/>
      <c r="BW85" s="54"/>
      <c r="BX85" s="26"/>
      <c r="BY85" s="54"/>
      <c r="BZ85" s="55"/>
      <c r="CA85" s="56"/>
      <c r="CB85" s="26"/>
      <c r="CC85" s="54"/>
      <c r="CD85" s="26"/>
      <c r="CE85" s="54"/>
      <c r="CF85" s="55"/>
      <c r="CG85" s="56"/>
      <c r="CH85" s="26"/>
      <c r="CI85" s="54"/>
      <c r="CJ85" s="26"/>
      <c r="CK85" s="54"/>
      <c r="CL85" s="55"/>
      <c r="CM85" s="56"/>
      <c r="CN85" s="26"/>
      <c r="CO85" s="54"/>
      <c r="CP85" s="26"/>
      <c r="CQ85" s="54"/>
      <c r="CR85" s="55"/>
      <c r="CS85" s="56"/>
      <c r="CT85" s="26"/>
      <c r="CU85" s="54"/>
      <c r="CV85" s="26"/>
      <c r="CW85" s="54"/>
      <c r="CX85" s="55"/>
      <c r="CY85" s="56"/>
      <c r="CZ85" s="26"/>
      <c r="DA85" s="54"/>
      <c r="DB85" s="26"/>
      <c r="DC85" s="54"/>
      <c r="DD85" s="55"/>
      <c r="DE85" s="56"/>
      <c r="DF85" s="26"/>
      <c r="DG85" s="54"/>
      <c r="DH85" s="26"/>
      <c r="DI85" s="54"/>
      <c r="DJ85" s="55"/>
      <c r="DK85" s="56"/>
      <c r="DL85" s="26"/>
      <c r="DM85" s="54"/>
      <c r="DN85" s="26"/>
      <c r="DO85" s="54"/>
      <c r="DP85" s="26"/>
      <c r="DQ85" s="89"/>
      <c r="DR85" s="26"/>
      <c r="DS85" s="54"/>
      <c r="DT85" s="70"/>
      <c r="DU85" s="26"/>
      <c r="DV85" s="55"/>
      <c r="DW85" s="56"/>
      <c r="DX85" s="26"/>
      <c r="DY85" s="54"/>
      <c r="DZ85" s="26"/>
      <c r="EA85" s="54"/>
      <c r="EB85" s="55"/>
      <c r="EC85" s="56"/>
      <c r="ED85" s="26"/>
      <c r="EE85" s="54"/>
      <c r="EF85" s="26"/>
      <c r="EG85" s="54"/>
      <c r="EH85" s="55"/>
      <c r="EI85" s="56"/>
      <c r="EJ85" s="26"/>
      <c r="EK85" s="54"/>
      <c r="EL85" s="26"/>
      <c r="EM85" s="54"/>
      <c r="EN85" s="55"/>
      <c r="EO85" s="56"/>
      <c r="EP85" s="26"/>
      <c r="EQ85" s="54"/>
      <c r="ER85" s="26"/>
      <c r="ES85" s="54"/>
      <c r="ET85" s="55"/>
    </row>
    <row r="86" spans="1:150" ht="20.100000000000001" hidden="1" customHeight="1" outlineLevel="1" thickBot="1">
      <c r="A86" s="3034"/>
      <c r="B86" s="125"/>
      <c r="C86" s="179"/>
      <c r="D86" s="2726" t="str">
        <f>実績!C1149&amp;"("&amp;SUBSTITUTE(実績!W1149&amp;")","有限会社 ","")</f>
        <v>一柳運送倉庫(K-eins)</v>
      </c>
      <c r="E86" s="2878"/>
      <c r="F86" s="2878"/>
      <c r="G86" s="2878"/>
      <c r="H86" s="2878"/>
      <c r="I86" s="2878"/>
      <c r="J86" s="2878"/>
      <c r="K86" s="2878"/>
      <c r="L86" s="2878"/>
      <c r="M86" s="2878"/>
      <c r="N86" s="2878"/>
      <c r="O86" s="2878"/>
      <c r="P86" s="2878"/>
      <c r="Q86" s="3025"/>
      <c r="R86" s="1096"/>
      <c r="S86" s="26"/>
      <c r="T86" s="26"/>
      <c r="U86" s="54"/>
      <c r="V86" s="26"/>
      <c r="W86" s="54"/>
      <c r="X86" s="55"/>
      <c r="Y86" s="26"/>
      <c r="Z86" s="26"/>
      <c r="AA86" s="54"/>
      <c r="AB86" s="26"/>
      <c r="AC86" s="54"/>
      <c r="AD86" s="26"/>
      <c r="AE86" s="56"/>
      <c r="AF86" s="26"/>
      <c r="AG86" s="54"/>
      <c r="AH86" s="26"/>
      <c r="AI86" s="54"/>
      <c r="AJ86" s="55"/>
      <c r="AK86" s="26"/>
      <c r="AL86" s="26"/>
      <c r="AM86" s="54"/>
      <c r="AN86" s="70"/>
      <c r="AO86" s="54"/>
      <c r="AP86" s="26"/>
      <c r="AQ86" s="53" t="s">
        <v>8653</v>
      </c>
      <c r="AR86" s="26"/>
      <c r="AS86" s="54"/>
      <c r="AT86" s="26"/>
      <c r="AU86" s="54"/>
      <c r="AV86" s="55"/>
      <c r="AW86" s="56"/>
      <c r="AX86" s="26"/>
      <c r="AY86" s="54"/>
      <c r="AZ86" s="26"/>
      <c r="BA86" s="54"/>
      <c r="BB86" s="55"/>
      <c r="BC86" s="26"/>
      <c r="BD86" s="26"/>
      <c r="BE86" s="54"/>
      <c r="BF86" s="26"/>
      <c r="BG86" s="54"/>
      <c r="BH86" s="26"/>
      <c r="BI86" s="56"/>
      <c r="BJ86" s="26"/>
      <c r="BK86" s="54"/>
      <c r="BL86" s="26"/>
      <c r="BM86" s="54"/>
      <c r="BN86" s="55"/>
      <c r="BO86" s="56"/>
      <c r="BP86" s="26"/>
      <c r="BQ86" s="54"/>
      <c r="BR86" s="26"/>
      <c r="BS86" s="54"/>
      <c r="BT86" s="55"/>
      <c r="BU86" s="56"/>
      <c r="BV86" s="26"/>
      <c r="BW86" s="54"/>
      <c r="BX86" s="26"/>
      <c r="BY86" s="54"/>
      <c r="BZ86" s="55"/>
      <c r="CA86" s="56"/>
      <c r="CB86" s="26"/>
      <c r="CC86" s="54"/>
      <c r="CD86" s="26"/>
      <c r="CE86" s="54"/>
      <c r="CF86" s="55"/>
      <c r="CG86" s="56"/>
      <c r="CH86" s="26"/>
      <c r="CI86" s="54"/>
      <c r="CJ86" s="26"/>
      <c r="CK86" s="54"/>
      <c r="CL86" s="55"/>
      <c r="CM86" s="56"/>
      <c r="CN86" s="26"/>
      <c r="CO86" s="54"/>
      <c r="CP86" s="26"/>
      <c r="CQ86" s="54"/>
      <c r="CR86" s="55"/>
      <c r="CS86" s="56"/>
      <c r="CT86" s="26"/>
      <c r="CU86" s="54"/>
      <c r="CV86" s="26"/>
      <c r="CW86" s="54"/>
      <c r="CX86" s="55"/>
      <c r="CY86" s="56"/>
      <c r="CZ86" s="26"/>
      <c r="DA86" s="54"/>
      <c r="DB86" s="26"/>
      <c r="DC86" s="54"/>
      <c r="DD86" s="55"/>
      <c r="DE86" s="56"/>
      <c r="DF86" s="26"/>
      <c r="DG86" s="54"/>
      <c r="DH86" s="26"/>
      <c r="DI86" s="54"/>
      <c r="DJ86" s="55"/>
      <c r="DK86" s="56"/>
      <c r="DL86" s="26"/>
      <c r="DM86" s="54"/>
      <c r="DN86" s="26"/>
      <c r="DO86" s="54"/>
      <c r="DP86" s="26"/>
      <c r="DQ86" s="89"/>
      <c r="DR86" s="26"/>
      <c r="DS86" s="54"/>
      <c r="DT86" s="70"/>
      <c r="DU86" s="26"/>
      <c r="DV86" s="55"/>
      <c r="DW86" s="56"/>
      <c r="DX86" s="26"/>
      <c r="DY86" s="54"/>
      <c r="DZ86" s="26"/>
      <c r="EA86" s="54"/>
      <c r="EB86" s="55"/>
      <c r="EC86" s="56"/>
      <c r="ED86" s="26"/>
      <c r="EE86" s="54"/>
      <c r="EF86" s="26"/>
      <c r="EG86" s="54"/>
      <c r="EH86" s="55"/>
      <c r="EI86" s="56"/>
      <c r="EJ86" s="26"/>
      <c r="EK86" s="54"/>
      <c r="EL86" s="26"/>
      <c r="EM86" s="54"/>
      <c r="EN86" s="55"/>
      <c r="EO86" s="56"/>
      <c r="EP86" s="26"/>
      <c r="EQ86" s="54"/>
      <c r="ER86" s="26"/>
      <c r="ES86" s="54"/>
      <c r="ET86" s="55"/>
    </row>
    <row r="87" spans="1:150" ht="20.100000000000001" hidden="1" customHeight="1" outlineLevel="1" thickBot="1">
      <c r="A87" s="3034"/>
      <c r="B87" s="125"/>
      <c r="C87" s="179"/>
      <c r="D87" s="2726" t="str">
        <f>実績!C1159&amp;"("&amp;SUBSTITUTE(実績!W1159&amp;")","有限会社 ","")</f>
        <v>つり具センター手稲富丘(旧 アイビック富丘)(原・大野建築設計事務所)</v>
      </c>
      <c r="E87" s="2878"/>
      <c r="F87" s="2878"/>
      <c r="G87" s="2878"/>
      <c r="H87" s="2878"/>
      <c r="I87" s="2878"/>
      <c r="J87" s="2878"/>
      <c r="K87" s="2878"/>
      <c r="L87" s="2878"/>
      <c r="M87" s="2878"/>
      <c r="N87" s="2878"/>
      <c r="O87" s="2878"/>
      <c r="P87" s="2878"/>
      <c r="Q87" s="3025"/>
      <c r="R87" s="1096"/>
      <c r="S87" s="26"/>
      <c r="T87" s="26"/>
      <c r="U87" s="54"/>
      <c r="V87" s="26"/>
      <c r="W87" s="54"/>
      <c r="X87" s="55"/>
      <c r="Y87" s="26"/>
      <c r="Z87" s="26"/>
      <c r="AA87" s="54"/>
      <c r="AB87" s="26"/>
      <c r="AC87" s="54"/>
      <c r="AD87" s="26"/>
      <c r="AE87" s="56"/>
      <c r="AF87" s="26"/>
      <c r="AG87" s="54"/>
      <c r="AH87" s="26"/>
      <c r="AI87" s="54"/>
      <c r="AJ87" s="55"/>
      <c r="AK87" s="26" t="s">
        <v>8352</v>
      </c>
      <c r="AL87" s="26"/>
      <c r="AM87" s="54"/>
      <c r="AN87" s="26"/>
      <c r="AO87" s="54"/>
      <c r="AP87" s="26"/>
      <c r="AQ87" s="53" t="s">
        <v>8626</v>
      </c>
      <c r="AR87" s="26"/>
      <c r="AS87" s="54"/>
      <c r="AT87" s="26"/>
      <c r="AU87" s="54"/>
      <c r="AV87" s="55"/>
      <c r="AW87" s="56"/>
      <c r="AX87" s="26"/>
      <c r="AY87" s="54"/>
      <c r="AZ87" s="26"/>
      <c r="BA87" s="54"/>
      <c r="BB87" s="55"/>
      <c r="BC87" s="26"/>
      <c r="BD87" s="26"/>
      <c r="BE87" s="54"/>
      <c r="BF87" s="26"/>
      <c r="BG87" s="54"/>
      <c r="BH87" s="26"/>
      <c r="BI87" s="56" t="s">
        <v>8145</v>
      </c>
      <c r="BJ87" s="26"/>
      <c r="BK87" s="54"/>
      <c r="BL87" s="26"/>
      <c r="BM87" s="54"/>
      <c r="BN87" s="55"/>
      <c r="BO87" s="56"/>
      <c r="BP87" s="26"/>
      <c r="BQ87" s="54"/>
      <c r="BR87" s="26"/>
      <c r="BS87" s="54"/>
      <c r="BT87" s="55"/>
      <c r="BU87" s="56"/>
      <c r="BV87" s="26"/>
      <c r="BW87" s="54"/>
      <c r="BX87" s="26"/>
      <c r="BY87" s="54"/>
      <c r="BZ87" s="55"/>
      <c r="CA87" s="56"/>
      <c r="CB87" s="26"/>
      <c r="CC87" s="54"/>
      <c r="CD87" s="26"/>
      <c r="CE87" s="54"/>
      <c r="CF87" s="55"/>
      <c r="CG87" s="56"/>
      <c r="CH87" s="26"/>
      <c r="CI87" s="54"/>
      <c r="CJ87" s="26"/>
      <c r="CK87" s="54"/>
      <c r="CL87" s="55"/>
      <c r="CM87" s="56"/>
      <c r="CN87" s="26"/>
      <c r="CO87" s="54"/>
      <c r="CP87" s="26"/>
      <c r="CQ87" s="54"/>
      <c r="CR87" s="55"/>
      <c r="CS87" s="56"/>
      <c r="CT87" s="26"/>
      <c r="CU87" s="54"/>
      <c r="CV87" s="26"/>
      <c r="CW87" s="54"/>
      <c r="CX87" s="55"/>
      <c r="CY87" s="56"/>
      <c r="CZ87" s="26"/>
      <c r="DA87" s="54"/>
      <c r="DB87" s="26"/>
      <c r="DC87" s="54"/>
      <c r="DD87" s="55"/>
      <c r="DE87" s="56"/>
      <c r="DF87" s="26"/>
      <c r="DG87" s="54"/>
      <c r="DH87" s="26"/>
      <c r="DI87" s="54"/>
      <c r="DJ87" s="55"/>
      <c r="DK87" s="56"/>
      <c r="DL87" s="26"/>
      <c r="DM87" s="54"/>
      <c r="DN87" s="26"/>
      <c r="DO87" s="54"/>
      <c r="DP87" s="26"/>
      <c r="DQ87" s="89"/>
      <c r="DR87" s="26"/>
      <c r="DS87" s="54"/>
      <c r="DT87" s="70"/>
      <c r="DU87" s="26"/>
      <c r="DV87" s="55"/>
      <c r="DW87" s="56"/>
      <c r="DX87" s="26"/>
      <c r="DY87" s="54"/>
      <c r="DZ87" s="26"/>
      <c r="EA87" s="54"/>
      <c r="EB87" s="55"/>
      <c r="EC87" s="56"/>
      <c r="ED87" s="26"/>
      <c r="EE87" s="54"/>
      <c r="EF87" s="26"/>
      <c r="EG87" s="54"/>
      <c r="EH87" s="55"/>
      <c r="EI87" s="56"/>
      <c r="EJ87" s="26"/>
      <c r="EK87" s="54"/>
      <c r="EL87" s="26"/>
      <c r="EM87" s="54"/>
      <c r="EN87" s="55"/>
      <c r="EO87" s="56"/>
      <c r="EP87" s="26"/>
      <c r="EQ87" s="54"/>
      <c r="ER87" s="26"/>
      <c r="ES87" s="54"/>
      <c r="ET87" s="55"/>
    </row>
    <row r="88" spans="1:150" ht="20.100000000000001" hidden="1" customHeight="1" outlineLevel="1" thickBot="1">
      <c r="A88" s="3034"/>
      <c r="B88" s="125"/>
      <c r="C88" s="179"/>
      <c r="D88" s="2726" t="str">
        <f>実績!C1151&amp;"("&amp;SUBSTITUTE(実績!R1151&amp;")","株式会社 ","")</f>
        <v>七蔵複合商業施設 ｽｰﾊﾟｰﾏｰｹｯﾄ棟(公正屋下九沢)(上野山都市設計)</v>
      </c>
      <c r="E88" s="2878"/>
      <c r="F88" s="2878"/>
      <c r="G88" s="2878"/>
      <c r="H88" s="2878"/>
      <c r="I88" s="2878"/>
      <c r="J88" s="2878"/>
      <c r="K88" s="2878"/>
      <c r="L88" s="2878"/>
      <c r="M88" s="2878"/>
      <c r="N88" s="2878"/>
      <c r="O88" s="2878"/>
      <c r="P88" s="2878"/>
      <c r="Q88" s="3025"/>
      <c r="R88" s="1096"/>
      <c r="S88" s="26"/>
      <c r="T88" s="26"/>
      <c r="U88" s="54"/>
      <c r="V88" s="26"/>
      <c r="W88" s="54"/>
      <c r="X88" s="55"/>
      <c r="Y88" s="26"/>
      <c r="Z88" s="26"/>
      <c r="AA88" s="54"/>
      <c r="AB88" s="26"/>
      <c r="AC88" s="54"/>
      <c r="AD88" s="26"/>
      <c r="AE88" s="56"/>
      <c r="AF88" s="26" t="s">
        <v>8403</v>
      </c>
      <c r="AG88" s="54"/>
      <c r="AH88" s="26"/>
      <c r="AI88" s="54"/>
      <c r="AJ88" s="55"/>
      <c r="AK88" s="26"/>
      <c r="AL88" s="26"/>
      <c r="AM88" s="54"/>
      <c r="AN88" s="26"/>
      <c r="AO88" s="54"/>
      <c r="AP88" s="26"/>
      <c r="AQ88" s="53" t="s">
        <v>8653</v>
      </c>
      <c r="AR88" s="26"/>
      <c r="AS88" s="54"/>
      <c r="AT88" s="26"/>
      <c r="AU88" s="54"/>
      <c r="AV88" s="55"/>
      <c r="AW88" s="56"/>
      <c r="AX88" s="26"/>
      <c r="AY88" s="54"/>
      <c r="AZ88" s="26"/>
      <c r="BA88" s="54"/>
      <c r="BB88" s="55"/>
      <c r="BC88" s="26"/>
      <c r="BD88" s="26"/>
      <c r="BE88" s="54"/>
      <c r="BF88" s="26"/>
      <c r="BG88" s="54"/>
      <c r="BH88" s="26"/>
      <c r="BI88" s="56"/>
      <c r="BJ88" s="26"/>
      <c r="BK88" s="54"/>
      <c r="BL88" s="26"/>
      <c r="BM88" s="54"/>
      <c r="BN88" s="55"/>
      <c r="BO88" s="56"/>
      <c r="BP88" s="26"/>
      <c r="BQ88" s="54"/>
      <c r="BR88" s="26"/>
      <c r="BS88" s="54"/>
      <c r="BT88" s="55"/>
      <c r="BU88" s="56"/>
      <c r="BV88" s="26"/>
      <c r="BW88" s="54"/>
      <c r="BX88" s="26"/>
      <c r="BY88" s="54"/>
      <c r="BZ88" s="55"/>
      <c r="CA88" s="56"/>
      <c r="CB88" s="26"/>
      <c r="CC88" s="54"/>
      <c r="CD88" s="26"/>
      <c r="CE88" s="54"/>
      <c r="CF88" s="55"/>
      <c r="CG88" s="56"/>
      <c r="CH88" s="26"/>
      <c r="CI88" s="54"/>
      <c r="CJ88" s="26"/>
      <c r="CK88" s="54"/>
      <c r="CL88" s="55"/>
      <c r="CM88" s="56"/>
      <c r="CN88" s="26"/>
      <c r="CO88" s="54"/>
      <c r="CP88" s="26"/>
      <c r="CQ88" s="54"/>
      <c r="CR88" s="55"/>
      <c r="CS88" s="56"/>
      <c r="CT88" s="26"/>
      <c r="CU88" s="54"/>
      <c r="CV88" s="26"/>
      <c r="CW88" s="54"/>
      <c r="CX88" s="55"/>
      <c r="CY88" s="56"/>
      <c r="CZ88" s="26"/>
      <c r="DA88" s="54"/>
      <c r="DB88" s="26"/>
      <c r="DC88" s="54"/>
      <c r="DD88" s="55"/>
      <c r="DE88" s="56"/>
      <c r="DF88" s="26"/>
      <c r="DG88" s="54"/>
      <c r="DH88" s="26"/>
      <c r="DI88" s="54"/>
      <c r="DJ88" s="55"/>
      <c r="DK88" s="56"/>
      <c r="DL88" s="26"/>
      <c r="DM88" s="54"/>
      <c r="DN88" s="26"/>
      <c r="DO88" s="54"/>
      <c r="DP88" s="26"/>
      <c r="DQ88" s="89"/>
      <c r="DR88" s="26"/>
      <c r="DS88" s="54"/>
      <c r="DT88" s="70"/>
      <c r="DU88" s="26"/>
      <c r="DV88" s="55"/>
      <c r="DW88" s="56"/>
      <c r="DX88" s="26"/>
      <c r="DY88" s="54"/>
      <c r="DZ88" s="26"/>
      <c r="EA88" s="54"/>
      <c r="EB88" s="55"/>
      <c r="EC88" s="56"/>
      <c r="ED88" s="26"/>
      <c r="EE88" s="54"/>
      <c r="EF88" s="26"/>
      <c r="EG88" s="54"/>
      <c r="EH88" s="55"/>
      <c r="EI88" s="56"/>
      <c r="EJ88" s="26"/>
      <c r="EK88" s="54"/>
      <c r="EL88" s="26"/>
      <c r="EM88" s="54"/>
      <c r="EN88" s="55"/>
      <c r="EO88" s="56"/>
      <c r="EP88" s="26"/>
      <c r="EQ88" s="54"/>
      <c r="ER88" s="26"/>
      <c r="ES88" s="54"/>
      <c r="ET88" s="55"/>
    </row>
    <row r="89" spans="1:150" ht="20.100000000000001" hidden="1" customHeight="1" outlineLevel="1" thickBot="1">
      <c r="A89" s="3034"/>
      <c r="B89" s="125"/>
      <c r="C89" s="179"/>
      <c r="D89" s="2726" t="str">
        <f>実績!C1173&amp;"("&amp;SUBSTITUTE(実績!R1173&amp;")"," 株式会社","")</f>
        <v>大丸防音㈱茨城機材ｾﾝﾀｰ倉庫(若築建設)</v>
      </c>
      <c r="E89" s="2878"/>
      <c r="F89" s="2878"/>
      <c r="G89" s="2878"/>
      <c r="H89" s="2878"/>
      <c r="I89" s="2878"/>
      <c r="J89" s="2878"/>
      <c r="K89" s="2878"/>
      <c r="L89" s="2878"/>
      <c r="M89" s="2878"/>
      <c r="N89" s="2878"/>
      <c r="O89" s="2878"/>
      <c r="P89" s="2878"/>
      <c r="Q89" s="3025"/>
      <c r="R89" s="1096"/>
      <c r="S89" s="26"/>
      <c r="T89" s="26"/>
      <c r="U89" s="54"/>
      <c r="V89" s="26"/>
      <c r="W89" s="54"/>
      <c r="X89" s="55"/>
      <c r="Y89" s="26"/>
      <c r="Z89" s="26"/>
      <c r="AA89" s="54"/>
      <c r="AB89" s="26"/>
      <c r="AC89" s="54"/>
      <c r="AD89" s="26"/>
      <c r="AE89" s="56"/>
      <c r="AF89" s="26"/>
      <c r="AG89" s="54"/>
      <c r="AH89" s="26"/>
      <c r="AI89" s="54"/>
      <c r="AJ89" s="55"/>
      <c r="AK89" s="26"/>
      <c r="AL89" s="26"/>
      <c r="AM89" s="54"/>
      <c r="AN89" s="26"/>
      <c r="AO89" s="54"/>
      <c r="AP89" s="26"/>
      <c r="AQ89" s="53"/>
      <c r="AR89" s="26"/>
      <c r="AS89" s="54" t="s">
        <v>8250</v>
      </c>
      <c r="AT89" s="26"/>
      <c r="AU89" s="54"/>
      <c r="AV89" s="55"/>
      <c r="AW89" s="56"/>
      <c r="AX89" s="26"/>
      <c r="AY89" s="54"/>
      <c r="AZ89" s="26"/>
      <c r="BA89" s="54"/>
      <c r="BB89" s="55"/>
      <c r="BC89" s="26"/>
      <c r="BD89" s="26"/>
      <c r="BE89" s="54"/>
      <c r="BF89" s="26"/>
      <c r="BG89" s="54"/>
      <c r="BH89" s="26"/>
      <c r="BI89" s="56"/>
      <c r="BJ89" s="26"/>
      <c r="BK89" s="54"/>
      <c r="BL89" s="26"/>
      <c r="BM89" s="54"/>
      <c r="BN89" s="55"/>
      <c r="BO89" s="56"/>
      <c r="BP89" s="26"/>
      <c r="BQ89" s="54"/>
      <c r="BR89" s="26"/>
      <c r="BS89" s="54"/>
      <c r="BT89" s="55"/>
      <c r="BU89" s="56"/>
      <c r="BV89" s="26"/>
      <c r="BW89" s="54"/>
      <c r="BX89" s="26"/>
      <c r="BY89" s="54"/>
      <c r="BZ89" s="55"/>
      <c r="CA89" s="56"/>
      <c r="CB89" s="26"/>
      <c r="CC89" s="54"/>
      <c r="CD89" s="26"/>
      <c r="CE89" s="54"/>
      <c r="CF89" s="55"/>
      <c r="CG89" s="56"/>
      <c r="CH89" s="26"/>
      <c r="CI89" s="54"/>
      <c r="CJ89" s="26"/>
      <c r="CK89" s="54"/>
      <c r="CL89" s="55"/>
      <c r="CM89" s="56"/>
      <c r="CN89" s="26"/>
      <c r="CO89" s="54"/>
      <c r="CP89" s="26"/>
      <c r="CQ89" s="54"/>
      <c r="CR89" s="55"/>
      <c r="CS89" s="56"/>
      <c r="CT89" s="26"/>
      <c r="CU89" s="54"/>
      <c r="CV89" s="26"/>
      <c r="CW89" s="54"/>
      <c r="CX89" s="55"/>
      <c r="CY89" s="56"/>
      <c r="CZ89" s="26"/>
      <c r="DA89" s="54"/>
      <c r="DB89" s="26"/>
      <c r="DC89" s="54"/>
      <c r="DD89" s="55"/>
      <c r="DE89" s="56"/>
      <c r="DF89" s="26"/>
      <c r="DG89" s="54"/>
      <c r="DH89" s="26"/>
      <c r="DI89" s="54"/>
      <c r="DJ89" s="55"/>
      <c r="DK89" s="56"/>
      <c r="DL89" s="26"/>
      <c r="DM89" s="54"/>
      <c r="DN89" s="26"/>
      <c r="DO89" s="54"/>
      <c r="DP89" s="26"/>
      <c r="DQ89" s="89"/>
      <c r="DR89" s="26"/>
      <c r="DS89" s="54"/>
      <c r="DT89" s="70"/>
      <c r="DU89" s="26"/>
      <c r="DV89" s="55"/>
      <c r="DW89" s="56"/>
      <c r="DX89" s="26"/>
      <c r="DY89" s="54"/>
      <c r="DZ89" s="26"/>
      <c r="EA89" s="54"/>
      <c r="EB89" s="55"/>
      <c r="EC89" s="56"/>
      <c r="ED89" s="26"/>
      <c r="EE89" s="54"/>
      <c r="EF89" s="26"/>
      <c r="EG89" s="54"/>
      <c r="EH89" s="55"/>
      <c r="EI89" s="56"/>
      <c r="EJ89" s="26"/>
      <c r="EK89" s="54"/>
      <c r="EL89" s="26"/>
      <c r="EM89" s="54"/>
      <c r="EN89" s="55"/>
      <c r="EO89" s="56"/>
      <c r="EP89" s="26"/>
      <c r="EQ89" s="54"/>
      <c r="ER89" s="26"/>
      <c r="ES89" s="54"/>
      <c r="ET89" s="55"/>
    </row>
    <row r="90" spans="1:150" ht="20.100000000000001" hidden="1" customHeight="1" outlineLevel="1" thickBot="1">
      <c r="A90" s="3034"/>
      <c r="B90" s="233"/>
      <c r="C90" s="283"/>
      <c r="D90" s="2686" t="str">
        <f>実績!C1169&amp;"("&amp;SUBSTITUTE(実績!R1169&amp;")","株式会社 ","")</f>
        <v>アルビス笠舞(新建築設計事務所)</v>
      </c>
      <c r="E90" s="2711"/>
      <c r="F90" s="2711"/>
      <c r="G90" s="2711"/>
      <c r="H90" s="2711"/>
      <c r="I90" s="2711"/>
      <c r="J90" s="2711"/>
      <c r="K90" s="2711"/>
      <c r="L90" s="2711"/>
      <c r="M90" s="2711"/>
      <c r="N90" s="2711"/>
      <c r="O90" s="2711"/>
      <c r="P90" s="2711"/>
      <c r="Q90" s="3026"/>
      <c r="R90" s="282"/>
      <c r="S90" s="63"/>
      <c r="T90" s="63"/>
      <c r="U90" s="64"/>
      <c r="V90" s="63"/>
      <c r="W90" s="64"/>
      <c r="X90" s="65"/>
      <c r="Y90" s="63"/>
      <c r="Z90" s="63"/>
      <c r="AA90" s="64"/>
      <c r="AB90" s="63"/>
      <c r="AC90" s="64"/>
      <c r="AD90" s="63"/>
      <c r="AE90" s="66"/>
      <c r="AF90" s="63"/>
      <c r="AG90" s="64"/>
      <c r="AH90" s="63"/>
      <c r="AI90" s="64"/>
      <c r="AJ90" s="65"/>
      <c r="AK90" s="63"/>
      <c r="AL90" s="63"/>
      <c r="AM90" s="64"/>
      <c r="AN90" s="69"/>
      <c r="AO90" s="64"/>
      <c r="AP90" s="63"/>
      <c r="AQ90" s="62"/>
      <c r="AR90" s="63"/>
      <c r="AS90" s="64"/>
      <c r="AT90" s="69" t="s">
        <v>8609</v>
      </c>
      <c r="AU90" s="64"/>
      <c r="AV90" s="65"/>
      <c r="AW90" s="66" t="s">
        <v>5246</v>
      </c>
      <c r="AX90" s="63"/>
      <c r="AY90" s="64"/>
      <c r="AZ90" s="63"/>
      <c r="BA90" s="64"/>
      <c r="BB90" s="65"/>
      <c r="BC90" s="63" t="s">
        <v>8145</v>
      </c>
      <c r="BD90" s="63"/>
      <c r="BE90" s="64"/>
      <c r="BF90" s="63"/>
      <c r="BG90" s="64"/>
      <c r="BH90" s="63"/>
      <c r="BI90" s="66"/>
      <c r="BJ90" s="63"/>
      <c r="BK90" s="64"/>
      <c r="BL90" s="63"/>
      <c r="BM90" s="64"/>
      <c r="BN90" s="65"/>
      <c r="BO90" s="66"/>
      <c r="BP90" s="63"/>
      <c r="BQ90" s="64"/>
      <c r="BR90" s="63"/>
      <c r="BS90" s="64"/>
      <c r="BT90" s="65"/>
      <c r="BU90" s="66"/>
      <c r="BV90" s="63"/>
      <c r="BW90" s="64"/>
      <c r="BX90" s="63"/>
      <c r="BY90" s="64"/>
      <c r="BZ90" s="65"/>
      <c r="CA90" s="66"/>
      <c r="CB90" s="63"/>
      <c r="CC90" s="64"/>
      <c r="CD90" s="63"/>
      <c r="CE90" s="64"/>
      <c r="CF90" s="65"/>
      <c r="CG90" s="66"/>
      <c r="CH90" s="63"/>
      <c r="CI90" s="64"/>
      <c r="CJ90" s="63"/>
      <c r="CK90" s="64"/>
      <c r="CL90" s="65"/>
      <c r="CM90" s="66"/>
      <c r="CN90" s="63"/>
      <c r="CO90" s="64"/>
      <c r="CP90" s="63"/>
      <c r="CQ90" s="64"/>
      <c r="CR90" s="65"/>
      <c r="CS90" s="66"/>
      <c r="CT90" s="63"/>
      <c r="CU90" s="64"/>
      <c r="CV90" s="63"/>
      <c r="CW90" s="64"/>
      <c r="CX90" s="65"/>
      <c r="CY90" s="66"/>
      <c r="CZ90" s="63"/>
      <c r="DA90" s="64"/>
      <c r="DB90" s="63"/>
      <c r="DC90" s="64"/>
      <c r="DD90" s="65"/>
      <c r="DE90" s="66"/>
      <c r="DF90" s="63"/>
      <c r="DG90" s="64"/>
      <c r="DH90" s="63"/>
      <c r="DI90" s="64"/>
      <c r="DJ90" s="65"/>
      <c r="DK90" s="66"/>
      <c r="DL90" s="63"/>
      <c r="DM90" s="64"/>
      <c r="DN90" s="63"/>
      <c r="DO90" s="64"/>
      <c r="DP90" s="63"/>
      <c r="DQ90" s="204"/>
      <c r="DR90" s="63"/>
      <c r="DS90" s="64"/>
      <c r="DT90" s="69"/>
      <c r="DU90" s="63"/>
      <c r="DV90" s="65"/>
      <c r="DW90" s="66"/>
      <c r="DX90" s="63"/>
      <c r="DY90" s="64"/>
      <c r="DZ90" s="63"/>
      <c r="EA90" s="64"/>
      <c r="EB90" s="65"/>
      <c r="EC90" s="66"/>
      <c r="ED90" s="63"/>
      <c r="EE90" s="64"/>
      <c r="EF90" s="63"/>
      <c r="EG90" s="64"/>
      <c r="EH90" s="65"/>
      <c r="EI90" s="66"/>
      <c r="EJ90" s="63"/>
      <c r="EK90" s="64"/>
      <c r="EL90" s="63"/>
      <c r="EM90" s="64"/>
      <c r="EN90" s="65"/>
      <c r="EO90" s="66"/>
      <c r="EP90" s="63"/>
      <c r="EQ90" s="64"/>
      <c r="ER90" s="63"/>
      <c r="ES90" s="64"/>
      <c r="ET90" s="65"/>
    </row>
    <row r="91" spans="1:150" ht="20.100000000000001" hidden="1" customHeight="1" outlineLevel="1" thickBot="1">
      <c r="A91" s="3034"/>
      <c r="B91" s="3027" t="s">
        <v>8736</v>
      </c>
      <c r="C91" s="1159"/>
      <c r="D91" s="3009" t="str">
        <f>実績!C1181&amp;"("&amp;SUBSTITUTE(実績!R1181&amp;")","株式会社 ","")</f>
        <v>クレタ北広島 事務所棟、工場棟(北工房)</v>
      </c>
      <c r="E91" s="3029"/>
      <c r="F91" s="3029"/>
      <c r="G91" s="3029"/>
      <c r="H91" s="3029"/>
      <c r="I91" s="3029"/>
      <c r="J91" s="3029"/>
      <c r="K91" s="3029"/>
      <c r="L91" s="3029"/>
      <c r="M91" s="3029"/>
      <c r="N91" s="3029"/>
      <c r="O91" s="3029"/>
      <c r="P91" s="3029"/>
      <c r="Q91" s="3030"/>
      <c r="R91" s="1160"/>
      <c r="S91" s="1101"/>
      <c r="T91" s="1101"/>
      <c r="U91" s="1102"/>
      <c r="V91" s="1101"/>
      <c r="W91" s="1102"/>
      <c r="X91" s="1103"/>
      <c r="Y91" s="1101"/>
      <c r="Z91" s="1101"/>
      <c r="AA91" s="1102"/>
      <c r="AB91" s="1101"/>
      <c r="AC91" s="1102"/>
      <c r="AD91" s="1101"/>
      <c r="AE91" s="1104"/>
      <c r="AF91" s="1101"/>
      <c r="AG91" s="1102"/>
      <c r="AH91" s="1101"/>
      <c r="AI91" s="1102"/>
      <c r="AJ91" s="1103"/>
      <c r="AK91" s="1101"/>
      <c r="AL91" s="1101"/>
      <c r="AM91" s="1102"/>
      <c r="AN91" s="1101"/>
      <c r="AO91" s="1102"/>
      <c r="AP91" s="1101"/>
      <c r="AQ91" s="1105"/>
      <c r="AR91" s="1101" t="s">
        <v>8718</v>
      </c>
      <c r="AS91" s="1102"/>
      <c r="AT91" s="1101" t="s">
        <v>8250</v>
      </c>
      <c r="AU91" s="1102"/>
      <c r="AV91" s="1103"/>
      <c r="AW91" s="1104"/>
      <c r="AX91" s="1101"/>
      <c r="AY91" s="1102"/>
      <c r="AZ91" s="1101"/>
      <c r="BA91" s="1102"/>
      <c r="BB91" s="1103"/>
      <c r="BC91" s="1101"/>
      <c r="BD91" s="1101"/>
      <c r="BE91" s="1102"/>
      <c r="BF91" s="1101"/>
      <c r="BG91" s="1102"/>
      <c r="BH91" s="1101"/>
      <c r="BI91" s="1104"/>
      <c r="BJ91" s="1101"/>
      <c r="BK91" s="1102"/>
      <c r="BL91" s="1101"/>
      <c r="BM91" s="1102"/>
      <c r="BN91" s="1103"/>
      <c r="BO91" s="1104"/>
      <c r="BP91" s="1101"/>
      <c r="BQ91" s="1102"/>
      <c r="BR91" s="1101"/>
      <c r="BS91" s="1102"/>
      <c r="BT91" s="1103"/>
      <c r="BU91" s="1104"/>
      <c r="BV91" s="1101"/>
      <c r="BW91" s="1102"/>
      <c r="BX91" s="1101"/>
      <c r="BY91" s="1102"/>
      <c r="BZ91" s="1103"/>
      <c r="CA91" s="1104"/>
      <c r="CB91" s="1101"/>
      <c r="CC91" s="1102"/>
      <c r="CD91" s="1101"/>
      <c r="CE91" s="1102"/>
      <c r="CF91" s="1103"/>
      <c r="CG91" s="1104"/>
      <c r="CH91" s="1101"/>
      <c r="CI91" s="1102"/>
      <c r="CJ91" s="1101"/>
      <c r="CK91" s="1102"/>
      <c r="CL91" s="1103"/>
      <c r="CM91" s="1104"/>
      <c r="CN91" s="1101"/>
      <c r="CO91" s="1102"/>
      <c r="CP91" s="1101"/>
      <c r="CQ91" s="1102"/>
      <c r="CR91" s="1103"/>
      <c r="CS91" s="1104"/>
      <c r="CT91" s="1101"/>
      <c r="CU91" s="1102"/>
      <c r="CV91" s="1101"/>
      <c r="CW91" s="1102"/>
      <c r="CX91" s="1103"/>
      <c r="CY91" s="1104"/>
      <c r="CZ91" s="1101"/>
      <c r="DA91" s="1102"/>
      <c r="DB91" s="1101"/>
      <c r="DC91" s="1102"/>
      <c r="DD91" s="1103"/>
      <c r="DE91" s="1104"/>
      <c r="DF91" s="1101"/>
      <c r="DG91" s="1102"/>
      <c r="DH91" s="1101"/>
      <c r="DI91" s="1102"/>
      <c r="DJ91" s="1103"/>
      <c r="DK91" s="1104"/>
      <c r="DL91" s="1101"/>
      <c r="DM91" s="1102"/>
      <c r="DN91" s="1101"/>
      <c r="DO91" s="1102"/>
      <c r="DP91" s="1101"/>
      <c r="DQ91" s="1162"/>
      <c r="DR91" s="1101"/>
      <c r="DS91" s="1102"/>
      <c r="DT91" s="1106"/>
      <c r="DU91" s="1101"/>
      <c r="DV91" s="1103"/>
      <c r="DW91" s="1104"/>
      <c r="DX91" s="1101"/>
      <c r="DY91" s="1102"/>
      <c r="DZ91" s="1101"/>
      <c r="EA91" s="1102"/>
      <c r="EB91" s="1103"/>
      <c r="EC91" s="1104"/>
      <c r="ED91" s="1101"/>
      <c r="EE91" s="1102"/>
      <c r="EF91" s="1101"/>
      <c r="EG91" s="1102"/>
      <c r="EH91" s="1103"/>
      <c r="EI91" s="1104"/>
      <c r="EJ91" s="1101"/>
      <c r="EK91" s="1102"/>
      <c r="EL91" s="1101"/>
      <c r="EM91" s="1102"/>
      <c r="EN91" s="1103"/>
      <c r="EO91" s="1104"/>
      <c r="EP91" s="1101"/>
      <c r="EQ91" s="1102"/>
      <c r="ER91" s="1101"/>
      <c r="ES91" s="1102"/>
      <c r="ET91" s="1103"/>
    </row>
    <row r="92" spans="1:150" ht="20.100000000000001" hidden="1" customHeight="1" outlineLevel="1" thickBot="1">
      <c r="A92" s="3034"/>
      <c r="B92" s="3028"/>
      <c r="C92" s="179"/>
      <c r="D92" s="2726" t="str">
        <f>実績!C1180&amp;"("&amp;SUBSTITUTE(実績!R1180&amp;")"," 株式会社","")</f>
        <v>与那原商業施設(ｽｰﾊﾟｰ棟)(金秀建設)</v>
      </c>
      <c r="E92" s="2878"/>
      <c r="F92" s="2878"/>
      <c r="G92" s="2878"/>
      <c r="H92" s="2878"/>
      <c r="I92" s="2878"/>
      <c r="J92" s="2878"/>
      <c r="K92" s="2878"/>
      <c r="L92" s="2878"/>
      <c r="M92" s="2878"/>
      <c r="N92" s="2878"/>
      <c r="O92" s="2878"/>
      <c r="P92" s="2878"/>
      <c r="Q92" s="3025"/>
      <c r="R92" s="1096"/>
      <c r="S92" s="26"/>
      <c r="T92" s="26"/>
      <c r="U92" s="54"/>
      <c r="V92" s="26"/>
      <c r="W92" s="54"/>
      <c r="X92" s="55"/>
      <c r="Y92" s="26"/>
      <c r="Z92" s="26"/>
      <c r="AA92" s="54"/>
      <c r="AB92" s="26"/>
      <c r="AC92" s="54"/>
      <c r="AD92" s="26"/>
      <c r="AE92" s="56"/>
      <c r="AF92" s="26"/>
      <c r="AG92" s="54"/>
      <c r="AH92" s="26"/>
      <c r="AI92" s="54"/>
      <c r="AJ92" s="55"/>
      <c r="AK92" s="26"/>
      <c r="AL92" s="26"/>
      <c r="AM92" s="54"/>
      <c r="AN92" s="26"/>
      <c r="AO92" s="54"/>
      <c r="AP92" s="26"/>
      <c r="AQ92" s="53"/>
      <c r="AR92" s="26"/>
      <c r="AS92" s="54"/>
      <c r="AT92" s="26" t="s">
        <v>8727</v>
      </c>
      <c r="AU92" s="54"/>
      <c r="AV92" s="55"/>
      <c r="AW92" s="56"/>
      <c r="AX92" s="26"/>
      <c r="AY92" s="54"/>
      <c r="AZ92" s="26"/>
      <c r="BA92" s="54"/>
      <c r="BB92" s="55"/>
      <c r="BC92" s="26"/>
      <c r="BD92" s="26"/>
      <c r="BE92" s="54"/>
      <c r="BF92" s="26"/>
      <c r="BG92" s="54"/>
      <c r="BH92" s="26"/>
      <c r="BI92" s="56"/>
      <c r="BJ92" s="26"/>
      <c r="BK92" s="54"/>
      <c r="BL92" s="26"/>
      <c r="BM92" s="54"/>
      <c r="BN92" s="55"/>
      <c r="BO92" s="56"/>
      <c r="BP92" s="26"/>
      <c r="BQ92" s="54"/>
      <c r="BR92" s="26"/>
      <c r="BS92" s="54"/>
      <c r="BT92" s="55"/>
      <c r="BU92" s="56"/>
      <c r="BV92" s="26"/>
      <c r="BW92" s="54"/>
      <c r="BX92" s="26"/>
      <c r="BY92" s="54"/>
      <c r="BZ92" s="55"/>
      <c r="CA92" s="56"/>
      <c r="CB92" s="26"/>
      <c r="CC92" s="54"/>
      <c r="CD92" s="26"/>
      <c r="CE92" s="54"/>
      <c r="CF92" s="55"/>
      <c r="CG92" s="56"/>
      <c r="CH92" s="26"/>
      <c r="CI92" s="54"/>
      <c r="CJ92" s="26"/>
      <c r="CK92" s="54"/>
      <c r="CL92" s="55"/>
      <c r="CM92" s="56"/>
      <c r="CN92" s="26"/>
      <c r="CO92" s="54"/>
      <c r="CP92" s="26"/>
      <c r="CQ92" s="54"/>
      <c r="CR92" s="55"/>
      <c r="CS92" s="56"/>
      <c r="CT92" s="26"/>
      <c r="CU92" s="54"/>
      <c r="CV92" s="26"/>
      <c r="CW92" s="54"/>
      <c r="CX92" s="55"/>
      <c r="CY92" s="56"/>
      <c r="CZ92" s="26"/>
      <c r="DA92" s="54"/>
      <c r="DB92" s="26"/>
      <c r="DC92" s="54"/>
      <c r="DD92" s="55"/>
      <c r="DE92" s="56"/>
      <c r="DF92" s="26"/>
      <c r="DG92" s="54"/>
      <c r="DH92" s="26"/>
      <c r="DI92" s="54"/>
      <c r="DJ92" s="55"/>
      <c r="DK92" s="56"/>
      <c r="DL92" s="26"/>
      <c r="DM92" s="54"/>
      <c r="DN92" s="26"/>
      <c r="DO92" s="54"/>
      <c r="DP92" s="26"/>
      <c r="DQ92" s="89"/>
      <c r="DR92" s="26"/>
      <c r="DS92" s="54"/>
      <c r="DT92" s="70"/>
      <c r="DU92" s="26"/>
      <c r="DV92" s="55"/>
      <c r="DW92" s="56"/>
      <c r="DX92" s="26"/>
      <c r="DY92" s="54"/>
      <c r="DZ92" s="26"/>
      <c r="EA92" s="54"/>
      <c r="EB92" s="55"/>
      <c r="EC92" s="56"/>
      <c r="ED92" s="26"/>
      <c r="EE92" s="54"/>
      <c r="EF92" s="26"/>
      <c r="EG92" s="54"/>
      <c r="EH92" s="55"/>
      <c r="EI92" s="56"/>
      <c r="EJ92" s="26"/>
      <c r="EK92" s="54"/>
      <c r="EL92" s="26"/>
      <c r="EM92" s="54"/>
      <c r="EN92" s="55"/>
      <c r="EO92" s="56"/>
      <c r="EP92" s="26"/>
      <c r="EQ92" s="54"/>
      <c r="ER92" s="26"/>
      <c r="ES92" s="54"/>
      <c r="ET92" s="55"/>
    </row>
    <row r="93" spans="1:150" ht="20.100000000000001" hidden="1" customHeight="1" outlineLevel="1" thickBot="1">
      <c r="A93" s="3034"/>
      <c r="B93" s="3028"/>
      <c r="C93" s="179"/>
      <c r="D93" s="2726" t="str">
        <f>実績!C1177&amp;"("&amp;SUBSTITUTE(実績!W1177&amp;")","株式会社 ","")</f>
        <v>東京精密器具製作所(大建設計)</v>
      </c>
      <c r="E93" s="2878"/>
      <c r="F93" s="2878"/>
      <c r="G93" s="2878"/>
      <c r="H93" s="2878"/>
      <c r="I93" s="2878"/>
      <c r="J93" s="2878"/>
      <c r="K93" s="2878"/>
      <c r="L93" s="2878"/>
      <c r="M93" s="2878"/>
      <c r="N93" s="2878"/>
      <c r="O93" s="2878"/>
      <c r="P93" s="2878"/>
      <c r="Q93" s="3025"/>
      <c r="R93" s="1096"/>
      <c r="S93" s="26"/>
      <c r="T93" s="26"/>
      <c r="U93" s="54"/>
      <c r="V93" s="26"/>
      <c r="W93" s="54"/>
      <c r="X93" s="55"/>
      <c r="Y93" s="26"/>
      <c r="Z93" s="26"/>
      <c r="AA93" s="54"/>
      <c r="AB93" s="26"/>
      <c r="AC93" s="54"/>
      <c r="AD93" s="26"/>
      <c r="AE93" s="56"/>
      <c r="AF93" s="26"/>
      <c r="AG93" s="54"/>
      <c r="AH93" s="26"/>
      <c r="AI93" s="54"/>
      <c r="AJ93" s="55"/>
      <c r="AK93" s="26"/>
      <c r="AL93" s="26"/>
      <c r="AM93" s="54"/>
      <c r="AN93" s="70"/>
      <c r="AO93" s="54"/>
      <c r="AP93" s="26"/>
      <c r="AQ93" s="53" t="s">
        <v>8403</v>
      </c>
      <c r="AR93" s="26"/>
      <c r="AS93" s="54"/>
      <c r="AT93" s="26" t="s">
        <v>8250</v>
      </c>
      <c r="AU93" s="54"/>
      <c r="AV93" s="55"/>
      <c r="AW93" s="56"/>
      <c r="AX93" s="26"/>
      <c r="AY93" s="54"/>
      <c r="AZ93" s="26"/>
      <c r="BA93" s="54"/>
      <c r="BB93" s="55"/>
      <c r="BC93" s="26"/>
      <c r="BD93" s="26"/>
      <c r="BE93" s="54"/>
      <c r="BF93" s="26"/>
      <c r="BG93" s="54"/>
      <c r="BH93" s="26"/>
      <c r="BI93" s="56"/>
      <c r="BJ93" s="26"/>
      <c r="BK93" s="54"/>
      <c r="BL93" s="26"/>
      <c r="BM93" s="54"/>
      <c r="BN93" s="55"/>
      <c r="BO93" s="56"/>
      <c r="BP93" s="26"/>
      <c r="BQ93" s="54"/>
      <c r="BR93" s="26"/>
      <c r="BS93" s="54"/>
      <c r="BT93" s="55"/>
      <c r="BU93" s="56"/>
      <c r="BV93" s="26"/>
      <c r="BW93" s="54"/>
      <c r="BX93" s="26"/>
      <c r="BY93" s="54"/>
      <c r="BZ93" s="55"/>
      <c r="CA93" s="56"/>
      <c r="CB93" s="26"/>
      <c r="CC93" s="54"/>
      <c r="CD93" s="26"/>
      <c r="CE93" s="54"/>
      <c r="CF93" s="55"/>
      <c r="CG93" s="56"/>
      <c r="CH93" s="26"/>
      <c r="CI93" s="54"/>
      <c r="CJ93" s="26"/>
      <c r="CK93" s="54"/>
      <c r="CL93" s="55"/>
      <c r="CM93" s="56"/>
      <c r="CN93" s="26"/>
      <c r="CO93" s="54"/>
      <c r="CP93" s="26"/>
      <c r="CQ93" s="54"/>
      <c r="CR93" s="55"/>
      <c r="CS93" s="56"/>
      <c r="CT93" s="26"/>
      <c r="CU93" s="54"/>
      <c r="CV93" s="26"/>
      <c r="CW93" s="54"/>
      <c r="CX93" s="55"/>
      <c r="CY93" s="56"/>
      <c r="CZ93" s="26"/>
      <c r="DA93" s="54"/>
      <c r="DB93" s="26"/>
      <c r="DC93" s="54"/>
      <c r="DD93" s="55"/>
      <c r="DE93" s="56"/>
      <c r="DF93" s="26"/>
      <c r="DG93" s="54"/>
      <c r="DH93" s="26"/>
      <c r="DI93" s="54"/>
      <c r="DJ93" s="55"/>
      <c r="DK93" s="56"/>
      <c r="DL93" s="26"/>
      <c r="DM93" s="54"/>
      <c r="DN93" s="26"/>
      <c r="DO93" s="54"/>
      <c r="DP93" s="26"/>
      <c r="DQ93" s="89"/>
      <c r="DR93" s="26"/>
      <c r="DS93" s="54"/>
      <c r="DT93" s="70"/>
      <c r="DU93" s="26"/>
      <c r="DV93" s="55"/>
      <c r="DW93" s="56"/>
      <c r="DX93" s="26"/>
      <c r="DY93" s="54"/>
      <c r="DZ93" s="26"/>
      <c r="EA93" s="54"/>
      <c r="EB93" s="55"/>
      <c r="EC93" s="56"/>
      <c r="ED93" s="26"/>
      <c r="EE93" s="54"/>
      <c r="EF93" s="26"/>
      <c r="EG93" s="54"/>
      <c r="EH93" s="55"/>
      <c r="EI93" s="56"/>
      <c r="EJ93" s="26"/>
      <c r="EK93" s="54"/>
      <c r="EL93" s="26"/>
      <c r="EM93" s="54"/>
      <c r="EN93" s="55"/>
      <c r="EO93" s="56"/>
      <c r="EP93" s="26"/>
      <c r="EQ93" s="54"/>
      <c r="ER93" s="26"/>
      <c r="ES93" s="54"/>
      <c r="ET93" s="55"/>
    </row>
    <row r="94" spans="1:150" ht="20.100000000000001" hidden="1" customHeight="1" outlineLevel="1" collapsed="1" thickBot="1">
      <c r="A94" s="3034"/>
      <c r="B94" s="3028"/>
      <c r="C94" s="179"/>
      <c r="D94" s="2726" t="str">
        <f>実績!C1178&amp;"("&amp;SUBSTITUTE(実績!W1178&amp;")","株式会社 ","")</f>
        <v>トラストシステム(K・S・E建築設計)</v>
      </c>
      <c r="E94" s="2878"/>
      <c r="F94" s="2878"/>
      <c r="G94" s="2878"/>
      <c r="H94" s="2878"/>
      <c r="I94" s="2878"/>
      <c r="J94" s="2878"/>
      <c r="K94" s="2878"/>
      <c r="L94" s="2878"/>
      <c r="M94" s="2878"/>
      <c r="N94" s="2878"/>
      <c r="O94" s="2878"/>
      <c r="P94" s="2878"/>
      <c r="Q94" s="3025"/>
      <c r="R94" s="1096"/>
      <c r="S94" s="26"/>
      <c r="T94" s="26"/>
      <c r="U94" s="54"/>
      <c r="V94" s="26"/>
      <c r="W94" s="54"/>
      <c r="X94" s="55"/>
      <c r="Y94" s="26"/>
      <c r="Z94" s="26"/>
      <c r="AA94" s="54"/>
      <c r="AB94" s="26"/>
      <c r="AC94" s="54"/>
      <c r="AD94" s="26"/>
      <c r="AE94" s="56"/>
      <c r="AF94" s="26"/>
      <c r="AG94" s="54"/>
      <c r="AH94" s="26"/>
      <c r="AI94" s="54"/>
      <c r="AJ94" s="55"/>
      <c r="AK94" s="26"/>
      <c r="AL94" s="26"/>
      <c r="AM94" s="54"/>
      <c r="AN94" s="26"/>
      <c r="AO94" s="54"/>
      <c r="AP94" s="26"/>
      <c r="AQ94" s="53"/>
      <c r="AR94" s="26"/>
      <c r="AS94" s="54"/>
      <c r="AT94" s="26"/>
      <c r="AU94" s="54"/>
      <c r="AV94" s="55"/>
      <c r="AW94" s="56"/>
      <c r="AX94" s="26"/>
      <c r="AY94" s="54"/>
      <c r="AZ94" s="26"/>
      <c r="BA94" s="54"/>
      <c r="BB94" s="55"/>
      <c r="BC94" s="26"/>
      <c r="BD94" s="26"/>
      <c r="BE94" s="54"/>
      <c r="BF94" s="26"/>
      <c r="BG94" s="54"/>
      <c r="BH94" s="26"/>
      <c r="BI94" s="56"/>
      <c r="BJ94" s="26"/>
      <c r="BK94" s="54"/>
      <c r="BL94" s="26"/>
      <c r="BM94" s="54"/>
      <c r="BN94" s="55"/>
      <c r="BO94" s="56"/>
      <c r="BP94" s="26"/>
      <c r="BQ94" s="54"/>
      <c r="BR94" s="26"/>
      <c r="BS94" s="54"/>
      <c r="BT94" s="55"/>
      <c r="BU94" s="56"/>
      <c r="BV94" s="26"/>
      <c r="BW94" s="54"/>
      <c r="BX94" s="26"/>
      <c r="BY94" s="54"/>
      <c r="BZ94" s="55"/>
      <c r="CA94" s="56"/>
      <c r="CB94" s="26"/>
      <c r="CC94" s="54"/>
      <c r="CD94" s="26"/>
      <c r="CE94" s="54"/>
      <c r="CF94" s="55"/>
      <c r="CG94" s="56"/>
      <c r="CH94" s="26"/>
      <c r="CI94" s="54"/>
      <c r="CJ94" s="26"/>
      <c r="CK94" s="54"/>
      <c r="CL94" s="55"/>
      <c r="CM94" s="56"/>
      <c r="CN94" s="26"/>
      <c r="CO94" s="54"/>
      <c r="CP94" s="26"/>
      <c r="CQ94" s="54"/>
      <c r="CR94" s="55"/>
      <c r="CS94" s="56"/>
      <c r="CT94" s="26"/>
      <c r="CU94" s="54"/>
      <c r="CV94" s="26"/>
      <c r="CW94" s="54"/>
      <c r="CX94" s="55"/>
      <c r="CY94" s="56"/>
      <c r="CZ94" s="26"/>
      <c r="DA94" s="54"/>
      <c r="DB94" s="26"/>
      <c r="DC94" s="54"/>
      <c r="DD94" s="55"/>
      <c r="DE94" s="56"/>
      <c r="DF94" s="26"/>
      <c r="DG94" s="54"/>
      <c r="DH94" s="26"/>
      <c r="DI94" s="54"/>
      <c r="DJ94" s="55"/>
      <c r="DK94" s="56"/>
      <c r="DL94" s="26"/>
      <c r="DM94" s="54"/>
      <c r="DN94" s="26"/>
      <c r="DO94" s="54"/>
      <c r="DP94" s="26"/>
      <c r="DQ94" s="89"/>
      <c r="DR94" s="26"/>
      <c r="DS94" s="54"/>
      <c r="DT94" s="70"/>
      <c r="DU94" s="26"/>
      <c r="DV94" s="55"/>
      <c r="DW94" s="56"/>
      <c r="DX94" s="26"/>
      <c r="DY94" s="54"/>
      <c r="DZ94" s="26"/>
      <c r="EA94" s="54"/>
      <c r="EB94" s="55"/>
      <c r="EC94" s="56"/>
      <c r="ED94" s="26"/>
      <c r="EE94" s="54"/>
      <c r="EF94" s="26"/>
      <c r="EG94" s="54"/>
      <c r="EH94" s="55"/>
      <c r="EI94" s="56"/>
      <c r="EJ94" s="26"/>
      <c r="EK94" s="54"/>
      <c r="EL94" s="26"/>
      <c r="EM94" s="54"/>
      <c r="EN94" s="55"/>
      <c r="EO94" s="56"/>
      <c r="EP94" s="26"/>
      <c r="EQ94" s="54"/>
      <c r="ER94" s="26"/>
      <c r="ES94" s="54"/>
      <c r="ET94" s="55"/>
    </row>
    <row r="95" spans="1:150" ht="20.100000000000001" hidden="1" customHeight="1" outlineLevel="1" thickBot="1">
      <c r="A95" s="3034"/>
      <c r="B95" s="3028"/>
      <c r="C95" s="179"/>
      <c r="D95" s="2726" t="str">
        <f>実績!C1099&amp;"("&amp;SUBSTITUTE(実績!W1099&amp;")","株式会社 ","")</f>
        <v>SP工場(ケイ・ツー設計)</v>
      </c>
      <c r="E95" s="2878"/>
      <c r="F95" s="2878"/>
      <c r="G95" s="2878"/>
      <c r="H95" s="2878"/>
      <c r="I95" s="2878"/>
      <c r="J95" s="2878"/>
      <c r="K95" s="2878"/>
      <c r="L95" s="2878"/>
      <c r="M95" s="2878"/>
      <c r="N95" s="2878"/>
      <c r="O95" s="2878"/>
      <c r="P95" s="2878"/>
      <c r="Q95" s="3025"/>
      <c r="R95" s="1096"/>
      <c r="S95" s="26"/>
      <c r="T95" s="26"/>
      <c r="U95" s="54"/>
      <c r="V95" s="26"/>
      <c r="W95" s="54"/>
      <c r="X95" s="55"/>
      <c r="Y95" s="26"/>
      <c r="Z95" s="26"/>
      <c r="AA95" s="54"/>
      <c r="AB95" s="26"/>
      <c r="AC95" s="54"/>
      <c r="AD95" s="26"/>
      <c r="AE95" s="56"/>
      <c r="AF95" s="26"/>
      <c r="AG95" s="54"/>
      <c r="AH95" s="26"/>
      <c r="AI95" s="54"/>
      <c r="AJ95" s="55"/>
      <c r="AK95" s="26"/>
      <c r="AL95" s="26"/>
      <c r="AM95" s="54"/>
      <c r="AN95" s="26"/>
      <c r="AO95" s="54"/>
      <c r="AP95" s="26"/>
      <c r="AQ95" s="53"/>
      <c r="AR95" s="26"/>
      <c r="AS95" s="54"/>
      <c r="AT95" s="26"/>
      <c r="AU95" s="54" t="s">
        <v>8250</v>
      </c>
      <c r="AV95" s="55"/>
      <c r="AW95" s="56"/>
      <c r="AX95" s="26"/>
      <c r="AY95" s="54"/>
      <c r="AZ95" s="26"/>
      <c r="BA95" s="54"/>
      <c r="BB95" s="55"/>
      <c r="BC95" s="26"/>
      <c r="BD95" s="26"/>
      <c r="BE95" s="54"/>
      <c r="BF95" s="26"/>
      <c r="BG95" s="54"/>
      <c r="BH95" s="26"/>
      <c r="BI95" s="56"/>
      <c r="BJ95" s="26"/>
      <c r="BK95" s="54"/>
      <c r="BL95" s="26"/>
      <c r="BM95" s="54"/>
      <c r="BN95" s="55"/>
      <c r="BO95" s="56"/>
      <c r="BP95" s="26"/>
      <c r="BQ95" s="54"/>
      <c r="BR95" s="26"/>
      <c r="BS95" s="54"/>
      <c r="BT95" s="55"/>
      <c r="BU95" s="56"/>
      <c r="BV95" s="26"/>
      <c r="BW95" s="54"/>
      <c r="BX95" s="26"/>
      <c r="BY95" s="54"/>
      <c r="BZ95" s="55"/>
      <c r="CA95" s="56"/>
      <c r="CB95" s="26"/>
      <c r="CC95" s="54"/>
      <c r="CD95" s="26"/>
      <c r="CE95" s="54"/>
      <c r="CF95" s="55"/>
      <c r="CG95" s="56"/>
      <c r="CH95" s="26"/>
      <c r="CI95" s="54"/>
      <c r="CJ95" s="26"/>
      <c r="CK95" s="54"/>
      <c r="CL95" s="55"/>
      <c r="CM95" s="56"/>
      <c r="CN95" s="26"/>
      <c r="CO95" s="54"/>
      <c r="CP95" s="26"/>
      <c r="CQ95" s="54"/>
      <c r="CR95" s="55"/>
      <c r="CS95" s="56"/>
      <c r="CT95" s="26"/>
      <c r="CU95" s="54"/>
      <c r="CV95" s="26"/>
      <c r="CW95" s="54"/>
      <c r="CX95" s="55"/>
      <c r="CY95" s="56"/>
      <c r="CZ95" s="26"/>
      <c r="DA95" s="54"/>
      <c r="DB95" s="26"/>
      <c r="DC95" s="54"/>
      <c r="DD95" s="55"/>
      <c r="DE95" s="56"/>
      <c r="DF95" s="26"/>
      <c r="DG95" s="54"/>
      <c r="DH95" s="26"/>
      <c r="DI95" s="54"/>
      <c r="DJ95" s="55"/>
      <c r="DK95" s="56"/>
      <c r="DL95" s="26"/>
      <c r="DM95" s="54"/>
      <c r="DN95" s="26"/>
      <c r="DO95" s="54"/>
      <c r="DP95" s="26"/>
      <c r="DQ95" s="89"/>
      <c r="DR95" s="26"/>
      <c r="DS95" s="54"/>
      <c r="DT95" s="70"/>
      <c r="DU95" s="26"/>
      <c r="DV95" s="55"/>
      <c r="DW95" s="56"/>
      <c r="DX95" s="26"/>
      <c r="DY95" s="54"/>
      <c r="DZ95" s="26"/>
      <c r="EA95" s="54"/>
      <c r="EB95" s="55"/>
      <c r="EC95" s="56"/>
      <c r="ED95" s="26"/>
      <c r="EE95" s="54"/>
      <c r="EF95" s="26"/>
      <c r="EG95" s="54"/>
      <c r="EH95" s="55"/>
      <c r="EI95" s="56"/>
      <c r="EJ95" s="26"/>
      <c r="EK95" s="54"/>
      <c r="EL95" s="26"/>
      <c r="EM95" s="54"/>
      <c r="EN95" s="55"/>
      <c r="EO95" s="56"/>
      <c r="EP95" s="26"/>
      <c r="EQ95" s="54"/>
      <c r="ER95" s="26"/>
      <c r="ES95" s="54"/>
      <c r="ET95" s="55"/>
    </row>
    <row r="96" spans="1:150" ht="20.100000000000001" hidden="1" customHeight="1" outlineLevel="1" thickBot="1">
      <c r="A96" s="3034"/>
      <c r="B96" s="3028"/>
      <c r="C96" s="179"/>
      <c r="D96" s="2726" t="str">
        <f>実績!C1176&amp;"("&amp;SUBSTITUTE(実績!W1176&amp;")","株式会社 ","")</f>
        <v>ツルハドラッグ百合が原(下風構造設計)</v>
      </c>
      <c r="E96" s="2878"/>
      <c r="F96" s="2878"/>
      <c r="G96" s="2878"/>
      <c r="H96" s="2878"/>
      <c r="I96" s="2878"/>
      <c r="J96" s="2878"/>
      <c r="K96" s="2878"/>
      <c r="L96" s="2878"/>
      <c r="M96" s="2878"/>
      <c r="N96" s="2878"/>
      <c r="O96" s="2878"/>
      <c r="P96" s="2878"/>
      <c r="Q96" s="3025"/>
      <c r="R96" s="1096"/>
      <c r="S96" s="26"/>
      <c r="T96" s="26"/>
      <c r="U96" s="54"/>
      <c r="V96" s="26"/>
      <c r="W96" s="54"/>
      <c r="X96" s="55"/>
      <c r="Y96" s="26"/>
      <c r="Z96" s="26"/>
      <c r="AA96" s="54"/>
      <c r="AB96" s="26"/>
      <c r="AC96" s="54"/>
      <c r="AD96" s="26"/>
      <c r="AE96" s="56"/>
      <c r="AF96" s="26"/>
      <c r="AG96" s="54"/>
      <c r="AH96" s="26"/>
      <c r="AI96" s="54"/>
      <c r="AJ96" s="55"/>
      <c r="AK96" s="26"/>
      <c r="AL96" s="26"/>
      <c r="AM96" s="54"/>
      <c r="AN96" s="26"/>
      <c r="AO96" s="54"/>
      <c r="AP96" s="26"/>
      <c r="AQ96" s="53"/>
      <c r="AR96" s="26"/>
      <c r="AS96" s="54"/>
      <c r="AT96" s="26"/>
      <c r="AU96" s="54"/>
      <c r="AV96" s="55" t="s">
        <v>8653</v>
      </c>
      <c r="AW96" s="56"/>
      <c r="AX96" s="26"/>
      <c r="AY96" s="54"/>
      <c r="AZ96" s="26"/>
      <c r="BA96" s="54"/>
      <c r="BB96" s="55"/>
      <c r="BC96" s="26" t="s">
        <v>8145</v>
      </c>
      <c r="BD96" s="26"/>
      <c r="BE96" s="54"/>
      <c r="BF96" s="26"/>
      <c r="BG96" s="54"/>
      <c r="BH96" s="26"/>
      <c r="BI96" s="56"/>
      <c r="BJ96" s="26"/>
      <c r="BK96" s="54"/>
      <c r="BL96" s="26"/>
      <c r="BM96" s="54"/>
      <c r="BN96" s="55"/>
      <c r="BO96" s="56"/>
      <c r="BP96" s="26"/>
      <c r="BQ96" s="54"/>
      <c r="BR96" s="26"/>
      <c r="BS96" s="54"/>
      <c r="BT96" s="55"/>
      <c r="BU96" s="56"/>
      <c r="BV96" s="26"/>
      <c r="BW96" s="54"/>
      <c r="BX96" s="26"/>
      <c r="BY96" s="54"/>
      <c r="BZ96" s="55"/>
      <c r="CA96" s="56"/>
      <c r="CB96" s="26"/>
      <c r="CC96" s="54"/>
      <c r="CD96" s="26"/>
      <c r="CE96" s="54"/>
      <c r="CF96" s="55"/>
      <c r="CG96" s="56"/>
      <c r="CH96" s="26"/>
      <c r="CI96" s="54"/>
      <c r="CJ96" s="26"/>
      <c r="CK96" s="54"/>
      <c r="CL96" s="55"/>
      <c r="CM96" s="56"/>
      <c r="CN96" s="26"/>
      <c r="CO96" s="54"/>
      <c r="CP96" s="26"/>
      <c r="CQ96" s="54"/>
      <c r="CR96" s="55"/>
      <c r="CS96" s="56"/>
      <c r="CT96" s="26"/>
      <c r="CU96" s="54"/>
      <c r="CV96" s="26"/>
      <c r="CW96" s="54"/>
      <c r="CX96" s="55"/>
      <c r="CY96" s="56"/>
      <c r="CZ96" s="26"/>
      <c r="DA96" s="54"/>
      <c r="DB96" s="26"/>
      <c r="DC96" s="54"/>
      <c r="DD96" s="55"/>
      <c r="DE96" s="56"/>
      <c r="DF96" s="26"/>
      <c r="DG96" s="54"/>
      <c r="DH96" s="26"/>
      <c r="DI96" s="54"/>
      <c r="DJ96" s="55"/>
      <c r="DK96" s="56"/>
      <c r="DL96" s="26"/>
      <c r="DM96" s="54"/>
      <c r="DN96" s="26"/>
      <c r="DO96" s="54"/>
      <c r="DP96" s="26"/>
      <c r="DQ96" s="89"/>
      <c r="DR96" s="26"/>
      <c r="DS96" s="54"/>
      <c r="DT96" s="70"/>
      <c r="DU96" s="26"/>
      <c r="DV96" s="55"/>
      <c r="DW96" s="56"/>
      <c r="DX96" s="26"/>
      <c r="DY96" s="54"/>
      <c r="DZ96" s="26"/>
      <c r="EA96" s="54"/>
      <c r="EB96" s="55"/>
      <c r="EC96" s="56"/>
      <c r="ED96" s="26"/>
      <c r="EE96" s="54"/>
      <c r="EF96" s="26"/>
      <c r="EG96" s="54"/>
      <c r="EH96" s="55"/>
      <c r="EI96" s="56"/>
      <c r="EJ96" s="26"/>
      <c r="EK96" s="54"/>
      <c r="EL96" s="26"/>
      <c r="EM96" s="54"/>
      <c r="EN96" s="55"/>
      <c r="EO96" s="56"/>
      <c r="EP96" s="26"/>
      <c r="EQ96" s="54"/>
      <c r="ER96" s="26"/>
      <c r="ES96" s="54"/>
      <c r="ET96" s="55"/>
    </row>
    <row r="97" spans="1:150" ht="20.100000000000001" hidden="1" customHeight="1" outlineLevel="1" collapsed="1" thickBot="1">
      <c r="A97" s="3034"/>
      <c r="B97" s="3028"/>
      <c r="C97" s="179"/>
      <c r="D97" s="2726" t="str">
        <f>実績!C1174&amp;"("&amp;SUBSTITUTE(実績!R1174&amp;")","株式会社 ","")</f>
        <v>日幸産業運輸石狩第二配送センター(ピーエス三菱)</v>
      </c>
      <c r="E97" s="2878"/>
      <c r="F97" s="2878"/>
      <c r="G97" s="2878"/>
      <c r="H97" s="2878"/>
      <c r="I97" s="2878"/>
      <c r="J97" s="2878"/>
      <c r="K97" s="2878"/>
      <c r="L97" s="2878"/>
      <c r="M97" s="2878"/>
      <c r="N97" s="2878"/>
      <c r="O97" s="2878"/>
      <c r="P97" s="2878"/>
      <c r="Q97" s="3025"/>
      <c r="R97" s="1096"/>
      <c r="S97" s="26"/>
      <c r="T97" s="26"/>
      <c r="U97" s="54"/>
      <c r="V97" s="26"/>
      <c r="W97" s="54"/>
      <c r="X97" s="55"/>
      <c r="Y97" s="26"/>
      <c r="Z97" s="26"/>
      <c r="AA97" s="54"/>
      <c r="AB97" s="26"/>
      <c r="AC97" s="54"/>
      <c r="AD97" s="26"/>
      <c r="AE97" s="56"/>
      <c r="AF97" s="26"/>
      <c r="AG97" s="54"/>
      <c r="AH97" s="26"/>
      <c r="AI97" s="54"/>
      <c r="AJ97" s="55"/>
      <c r="AK97" s="26"/>
      <c r="AL97" s="26"/>
      <c r="AM97" s="54"/>
      <c r="AN97" s="70"/>
      <c r="AO97" s="54"/>
      <c r="AP97" s="26"/>
      <c r="AQ97" s="53" t="s">
        <v>8644</v>
      </c>
      <c r="AR97" s="26"/>
      <c r="AS97" s="54"/>
      <c r="AT97" s="26"/>
      <c r="AU97" s="54"/>
      <c r="AV97" s="55"/>
      <c r="AW97" s="56"/>
      <c r="AX97" s="26"/>
      <c r="AY97" s="54"/>
      <c r="AZ97" s="26"/>
      <c r="BA97" s="54"/>
      <c r="BB97" s="55"/>
      <c r="BC97" s="26"/>
      <c r="BD97" s="26"/>
      <c r="BE97" s="54"/>
      <c r="BF97" s="26"/>
      <c r="BG97" s="54"/>
      <c r="BH97" s="26"/>
      <c r="BI97" s="56" t="s">
        <v>8145</v>
      </c>
      <c r="BJ97" s="26"/>
      <c r="BK97" s="54"/>
      <c r="BL97" s="26"/>
      <c r="BM97" s="54"/>
      <c r="BN97" s="55"/>
      <c r="BO97" s="56"/>
      <c r="BP97" s="26"/>
      <c r="BQ97" s="54"/>
      <c r="BR97" s="26"/>
      <c r="BS97" s="54"/>
      <c r="BT97" s="55"/>
      <c r="BU97" s="56"/>
      <c r="BV97" s="26"/>
      <c r="BW97" s="54"/>
      <c r="BX97" s="26"/>
      <c r="BY97" s="54"/>
      <c r="BZ97" s="55"/>
      <c r="CA97" s="56"/>
      <c r="CB97" s="26"/>
      <c r="CC97" s="54"/>
      <c r="CD97" s="26"/>
      <c r="CE97" s="54"/>
      <c r="CF97" s="55"/>
      <c r="CG97" s="56"/>
      <c r="CH97" s="26"/>
      <c r="CI97" s="54"/>
      <c r="CJ97" s="26"/>
      <c r="CK97" s="54"/>
      <c r="CL97" s="55"/>
      <c r="CM97" s="56"/>
      <c r="CN97" s="26"/>
      <c r="CO97" s="54"/>
      <c r="CP97" s="26"/>
      <c r="CQ97" s="54"/>
      <c r="CR97" s="55"/>
      <c r="CS97" s="56"/>
      <c r="CT97" s="26"/>
      <c r="CU97" s="54"/>
      <c r="CV97" s="26"/>
      <c r="CW97" s="54"/>
      <c r="CX97" s="55"/>
      <c r="CY97" s="56"/>
      <c r="CZ97" s="26"/>
      <c r="DA97" s="54"/>
      <c r="DB97" s="26"/>
      <c r="DC97" s="54"/>
      <c r="DD97" s="55"/>
      <c r="DE97" s="56"/>
      <c r="DF97" s="26"/>
      <c r="DG97" s="54"/>
      <c r="DH97" s="26"/>
      <c r="DI97" s="54"/>
      <c r="DJ97" s="55"/>
      <c r="DK97" s="56"/>
      <c r="DL97" s="26"/>
      <c r="DM97" s="54"/>
      <c r="DN97" s="26"/>
      <c r="DO97" s="54"/>
      <c r="DP97" s="26"/>
      <c r="DQ97" s="89"/>
      <c r="DR97" s="26"/>
      <c r="DS97" s="54"/>
      <c r="DT97" s="70"/>
      <c r="DU97" s="26"/>
      <c r="DV97" s="55"/>
      <c r="DW97" s="56"/>
      <c r="DX97" s="26"/>
      <c r="DY97" s="54"/>
      <c r="DZ97" s="26"/>
      <c r="EA97" s="54"/>
      <c r="EB97" s="55"/>
      <c r="EC97" s="56"/>
      <c r="ED97" s="26"/>
      <c r="EE97" s="54"/>
      <c r="EF97" s="26"/>
      <c r="EG97" s="54"/>
      <c r="EH97" s="55"/>
      <c r="EI97" s="56"/>
      <c r="EJ97" s="26"/>
      <c r="EK97" s="54"/>
      <c r="EL97" s="26"/>
      <c r="EM97" s="54"/>
      <c r="EN97" s="55"/>
      <c r="EO97" s="56"/>
      <c r="EP97" s="26"/>
      <c r="EQ97" s="54"/>
      <c r="ER97" s="26"/>
      <c r="ES97" s="54"/>
      <c r="ET97" s="55"/>
    </row>
    <row r="98" spans="1:150" ht="19.5" hidden="1" customHeight="1" outlineLevel="1" collapsed="1" thickBot="1">
      <c r="A98" s="3034"/>
      <c r="B98" s="3028"/>
      <c r="C98" s="179"/>
      <c r="D98" s="2726" t="str">
        <f>実績!C1182&amp;"("&amp;SUBSTITUTE(実績!R1182&amp;")","株式会社 ","")</f>
        <v>丸力運送㈱倉庫(シグマ建築設計事務所)</v>
      </c>
      <c r="E98" s="2878"/>
      <c r="F98" s="2878"/>
      <c r="G98" s="2878"/>
      <c r="H98" s="2878"/>
      <c r="I98" s="2878"/>
      <c r="J98" s="2878"/>
      <c r="K98" s="2878"/>
      <c r="L98" s="2878"/>
      <c r="M98" s="2878"/>
      <c r="N98" s="2878"/>
      <c r="O98" s="2878"/>
      <c r="P98" s="2878"/>
      <c r="Q98" s="3025"/>
      <c r="R98" s="1096"/>
      <c r="S98" s="26"/>
      <c r="T98" s="26"/>
      <c r="U98" s="54"/>
      <c r="V98" s="26"/>
      <c r="W98" s="54"/>
      <c r="X98" s="55"/>
      <c r="Y98" s="26"/>
      <c r="Z98" s="26"/>
      <c r="AA98" s="54"/>
      <c r="AB98" s="26"/>
      <c r="AC98" s="54"/>
      <c r="AD98" s="26"/>
      <c r="AE98" s="56"/>
      <c r="AF98" s="26"/>
      <c r="AG98" s="54"/>
      <c r="AH98" s="26"/>
      <c r="AI98" s="54"/>
      <c r="AJ98" s="55"/>
      <c r="AK98" s="26"/>
      <c r="AL98" s="26"/>
      <c r="AM98" s="54"/>
      <c r="AN98" s="26"/>
      <c r="AO98" s="54"/>
      <c r="AP98" s="26"/>
      <c r="AQ98" s="53"/>
      <c r="AR98" s="26"/>
      <c r="AS98" s="54"/>
      <c r="AT98" s="26"/>
      <c r="AU98" s="54"/>
      <c r="AV98" s="55"/>
      <c r="AW98" s="56"/>
      <c r="AX98" s="26"/>
      <c r="AY98" s="54"/>
      <c r="AZ98" s="26"/>
      <c r="BA98" s="54"/>
      <c r="BB98" s="55"/>
      <c r="BC98" s="26"/>
      <c r="BD98" s="26"/>
      <c r="BE98" s="54"/>
      <c r="BF98" s="26"/>
      <c r="BG98" s="54"/>
      <c r="BH98" s="26"/>
      <c r="BI98" s="56"/>
      <c r="BJ98" s="26"/>
      <c r="BK98" s="54"/>
      <c r="BL98" s="26"/>
      <c r="BM98" s="54"/>
      <c r="BN98" s="55"/>
      <c r="BO98" s="56"/>
      <c r="BP98" s="26"/>
      <c r="BQ98" s="54"/>
      <c r="BR98" s="26"/>
      <c r="BS98" s="54"/>
      <c r="BT98" s="55"/>
      <c r="BU98" s="56"/>
      <c r="BV98" s="26"/>
      <c r="BW98" s="54"/>
      <c r="BX98" s="26"/>
      <c r="BY98" s="54"/>
      <c r="BZ98" s="55"/>
      <c r="CA98" s="56"/>
      <c r="CB98" s="26"/>
      <c r="CC98" s="54"/>
      <c r="CD98" s="26"/>
      <c r="CE98" s="54"/>
      <c r="CF98" s="55"/>
      <c r="CG98" s="56"/>
      <c r="CH98" s="26"/>
      <c r="CI98" s="54"/>
      <c r="CJ98" s="26"/>
      <c r="CK98" s="54"/>
      <c r="CL98" s="55"/>
      <c r="CM98" s="56"/>
      <c r="CN98" s="26"/>
      <c r="CO98" s="54"/>
      <c r="CP98" s="26"/>
      <c r="CQ98" s="54"/>
      <c r="CR98" s="55"/>
      <c r="CS98" s="56"/>
      <c r="CT98" s="26"/>
      <c r="CU98" s="54"/>
      <c r="CV98" s="26"/>
      <c r="CW98" s="54"/>
      <c r="CX98" s="55"/>
      <c r="CY98" s="56"/>
      <c r="CZ98" s="26"/>
      <c r="DA98" s="54"/>
      <c r="DB98" s="26"/>
      <c r="DC98" s="54"/>
      <c r="DD98" s="55"/>
      <c r="DE98" s="56"/>
      <c r="DF98" s="26"/>
      <c r="DG98" s="54"/>
      <c r="DH98" s="26"/>
      <c r="DI98" s="54"/>
      <c r="DJ98" s="55"/>
      <c r="DK98" s="56"/>
      <c r="DL98" s="26"/>
      <c r="DM98" s="54"/>
      <c r="DN98" s="26"/>
      <c r="DO98" s="54"/>
      <c r="DP98" s="26"/>
      <c r="DQ98" s="89"/>
      <c r="DR98" s="26"/>
      <c r="DS98" s="54"/>
      <c r="DT98" s="70"/>
      <c r="DU98" s="26"/>
      <c r="DV98" s="55"/>
      <c r="DW98" s="56"/>
      <c r="DX98" s="26"/>
      <c r="DY98" s="54"/>
      <c r="DZ98" s="26"/>
      <c r="EA98" s="54"/>
      <c r="EB98" s="55"/>
      <c r="EC98" s="56"/>
      <c r="ED98" s="26"/>
      <c r="EE98" s="54"/>
      <c r="EF98" s="26"/>
      <c r="EG98" s="54"/>
      <c r="EH98" s="55"/>
      <c r="EI98" s="56"/>
      <c r="EJ98" s="26"/>
      <c r="EK98" s="54"/>
      <c r="EL98" s="26"/>
      <c r="EM98" s="54"/>
      <c r="EN98" s="55"/>
      <c r="EO98" s="56"/>
      <c r="EP98" s="26"/>
      <c r="EQ98" s="54"/>
      <c r="ER98" s="26"/>
      <c r="ES98" s="54"/>
      <c r="ET98" s="55"/>
    </row>
    <row r="99" spans="1:150" ht="20.100000000000001" hidden="1" customHeight="1" outlineLevel="1" thickBot="1">
      <c r="A99" s="3034"/>
      <c r="B99" s="3028"/>
      <c r="C99" s="179"/>
      <c r="D99" s="2726" t="str">
        <f>実績!C1183&amp;"("&amp;SUBSTITUTE(実績!R1183&amp;")","株式会社 ","")</f>
        <v>ハローズ大林(山陽設計)</v>
      </c>
      <c r="E99" s="2878"/>
      <c r="F99" s="2878"/>
      <c r="G99" s="2878"/>
      <c r="H99" s="2878"/>
      <c r="I99" s="2878"/>
      <c r="J99" s="2878"/>
      <c r="K99" s="2878"/>
      <c r="L99" s="2878"/>
      <c r="M99" s="2878"/>
      <c r="N99" s="2878"/>
      <c r="O99" s="2878"/>
      <c r="P99" s="2878"/>
      <c r="Q99" s="3025"/>
      <c r="R99" s="1096"/>
      <c r="S99" s="26"/>
      <c r="T99" s="26"/>
      <c r="U99" s="54"/>
      <c r="V99" s="26"/>
      <c r="W99" s="54"/>
      <c r="X99" s="55"/>
      <c r="Y99" s="26"/>
      <c r="Z99" s="26"/>
      <c r="AA99" s="54"/>
      <c r="AB99" s="26"/>
      <c r="AC99" s="54"/>
      <c r="AD99" s="26"/>
      <c r="AE99" s="56"/>
      <c r="AF99" s="26"/>
      <c r="AG99" s="54"/>
      <c r="AH99" s="26"/>
      <c r="AI99" s="54"/>
      <c r="AJ99" s="55"/>
      <c r="AK99" s="26"/>
      <c r="AL99" s="26"/>
      <c r="AM99" s="54"/>
      <c r="AN99" s="26"/>
      <c r="AO99" s="54"/>
      <c r="AP99" s="26"/>
      <c r="AQ99" s="53"/>
      <c r="AR99" s="26"/>
      <c r="AS99" s="54"/>
      <c r="AT99" s="26"/>
      <c r="AU99" s="54"/>
      <c r="AV99" s="55"/>
      <c r="AW99" s="56"/>
      <c r="AX99" s="26"/>
      <c r="AY99" s="54"/>
      <c r="AZ99" s="26"/>
      <c r="BA99" s="54"/>
      <c r="BB99" s="55"/>
      <c r="BC99" s="26"/>
      <c r="BD99" s="26"/>
      <c r="BE99" s="54"/>
      <c r="BF99" s="26"/>
      <c r="BG99" s="54"/>
      <c r="BH99" s="26"/>
      <c r="BI99" s="56"/>
      <c r="BJ99" s="26"/>
      <c r="BK99" s="54"/>
      <c r="BL99" s="26"/>
      <c r="BM99" s="54"/>
      <c r="BN99" s="55"/>
      <c r="BO99" s="56"/>
      <c r="BP99" s="26"/>
      <c r="BQ99" s="54"/>
      <c r="BR99" s="26"/>
      <c r="BS99" s="54"/>
      <c r="BT99" s="55"/>
      <c r="BU99" s="56"/>
      <c r="BV99" s="26"/>
      <c r="BW99" s="54"/>
      <c r="BX99" s="26"/>
      <c r="BY99" s="54"/>
      <c r="BZ99" s="55"/>
      <c r="CA99" s="56"/>
      <c r="CB99" s="26"/>
      <c r="CC99" s="54"/>
      <c r="CD99" s="26"/>
      <c r="CE99" s="54"/>
      <c r="CF99" s="55"/>
      <c r="CG99" s="56"/>
      <c r="CH99" s="26"/>
      <c r="CI99" s="54"/>
      <c r="CJ99" s="26"/>
      <c r="CK99" s="54"/>
      <c r="CL99" s="55"/>
      <c r="CM99" s="56"/>
      <c r="CN99" s="26"/>
      <c r="CO99" s="54"/>
      <c r="CP99" s="26"/>
      <c r="CQ99" s="54"/>
      <c r="CR99" s="55"/>
      <c r="CS99" s="56"/>
      <c r="CT99" s="26"/>
      <c r="CU99" s="54"/>
      <c r="CV99" s="26"/>
      <c r="CW99" s="54"/>
      <c r="CX99" s="55"/>
      <c r="CY99" s="56"/>
      <c r="CZ99" s="26"/>
      <c r="DA99" s="54"/>
      <c r="DB99" s="26"/>
      <c r="DC99" s="54"/>
      <c r="DD99" s="55"/>
      <c r="DE99" s="56"/>
      <c r="DF99" s="26"/>
      <c r="DG99" s="54"/>
      <c r="DH99" s="26"/>
      <c r="DI99" s="54"/>
      <c r="DJ99" s="55"/>
      <c r="DK99" s="56"/>
      <c r="DL99" s="26"/>
      <c r="DM99" s="54"/>
      <c r="DN99" s="26"/>
      <c r="DO99" s="54"/>
      <c r="DP99" s="26"/>
      <c r="DQ99" s="89"/>
      <c r="DR99" s="26"/>
      <c r="DS99" s="54"/>
      <c r="DT99" s="70"/>
      <c r="DU99" s="26"/>
      <c r="DV99" s="55"/>
      <c r="DW99" s="56"/>
      <c r="DX99" s="26"/>
      <c r="DY99" s="54"/>
      <c r="DZ99" s="26"/>
      <c r="EA99" s="54"/>
      <c r="EB99" s="55"/>
      <c r="EC99" s="56"/>
      <c r="ED99" s="26"/>
      <c r="EE99" s="54"/>
      <c r="EF99" s="26"/>
      <c r="EG99" s="54"/>
      <c r="EH99" s="55"/>
      <c r="EI99" s="56"/>
      <c r="EJ99" s="26"/>
      <c r="EK99" s="54"/>
      <c r="EL99" s="26"/>
      <c r="EM99" s="54"/>
      <c r="EN99" s="55"/>
      <c r="EO99" s="56"/>
      <c r="EP99" s="26"/>
      <c r="EQ99" s="54"/>
      <c r="ER99" s="26"/>
      <c r="ES99" s="54"/>
      <c r="ET99" s="55"/>
    </row>
    <row r="100" spans="1:150" ht="20.100000000000001" hidden="1" customHeight="1" outlineLevel="1" thickBot="1">
      <c r="A100" s="3034"/>
      <c r="B100" s="3028"/>
      <c r="C100" s="179"/>
      <c r="D100" s="2726" t="str">
        <f>実績!C1185&amp;"("&amp;SUBSTITUTE(実績!R1185&amp;")","株式会社 ","")</f>
        <v>福祉協同サービス移転(新中央設計東京)</v>
      </c>
      <c r="E100" s="2878"/>
      <c r="F100" s="2878"/>
      <c r="G100" s="2878"/>
      <c r="H100" s="2878"/>
      <c r="I100" s="2878"/>
      <c r="J100" s="2878"/>
      <c r="K100" s="2878"/>
      <c r="L100" s="2878"/>
      <c r="M100" s="2878"/>
      <c r="N100" s="2878"/>
      <c r="O100" s="2878"/>
      <c r="P100" s="2878"/>
      <c r="Q100" s="3025"/>
      <c r="R100" s="1096"/>
      <c r="S100" s="26"/>
      <c r="T100" s="26"/>
      <c r="U100" s="54"/>
      <c r="V100" s="26"/>
      <c r="W100" s="54"/>
      <c r="X100" s="55"/>
      <c r="Y100" s="26"/>
      <c r="Z100" s="26"/>
      <c r="AA100" s="54"/>
      <c r="AB100" s="26"/>
      <c r="AC100" s="54"/>
      <c r="AD100" s="26"/>
      <c r="AE100" s="56"/>
      <c r="AF100" s="26"/>
      <c r="AG100" s="54"/>
      <c r="AH100" s="26"/>
      <c r="AI100" s="54"/>
      <c r="AJ100" s="55"/>
      <c r="AK100" s="26"/>
      <c r="AL100" s="26"/>
      <c r="AM100" s="54"/>
      <c r="AN100" s="26"/>
      <c r="AO100" s="54"/>
      <c r="AP100" s="26"/>
      <c r="AQ100" s="53"/>
      <c r="AR100" s="26"/>
      <c r="AS100" s="54"/>
      <c r="AT100" s="26"/>
      <c r="AU100" s="54"/>
      <c r="AV100" s="55"/>
      <c r="AW100" s="56"/>
      <c r="AX100" s="26"/>
      <c r="AY100" s="54"/>
      <c r="AZ100" s="26"/>
      <c r="BA100" s="54"/>
      <c r="BB100" s="55"/>
      <c r="BC100" s="26"/>
      <c r="BD100" s="26"/>
      <c r="BE100" s="54"/>
      <c r="BF100" s="26"/>
      <c r="BG100" s="54"/>
      <c r="BH100" s="26"/>
      <c r="BI100" s="56" t="s">
        <v>8145</v>
      </c>
      <c r="BJ100" s="26"/>
      <c r="BK100" s="54"/>
      <c r="BL100" s="26"/>
      <c r="BM100" s="54"/>
      <c r="BN100" s="55"/>
      <c r="BO100" s="56"/>
      <c r="BP100" s="26"/>
      <c r="BQ100" s="54"/>
      <c r="BR100" s="26"/>
      <c r="BS100" s="54"/>
      <c r="BT100" s="55"/>
      <c r="BU100" s="56"/>
      <c r="BV100" s="26"/>
      <c r="BW100" s="54"/>
      <c r="BX100" s="26"/>
      <c r="BY100" s="54"/>
      <c r="BZ100" s="55"/>
      <c r="CA100" s="56"/>
      <c r="CB100" s="26"/>
      <c r="CC100" s="54"/>
      <c r="CD100" s="26"/>
      <c r="CE100" s="54"/>
      <c r="CF100" s="55"/>
      <c r="CG100" s="56"/>
      <c r="CH100" s="26"/>
      <c r="CI100" s="54"/>
      <c r="CJ100" s="26"/>
      <c r="CK100" s="54"/>
      <c r="CL100" s="55"/>
      <c r="CM100" s="56"/>
      <c r="CN100" s="26"/>
      <c r="CO100" s="54"/>
      <c r="CP100" s="26"/>
      <c r="CQ100" s="54"/>
      <c r="CR100" s="55"/>
      <c r="CS100" s="56"/>
      <c r="CT100" s="26"/>
      <c r="CU100" s="54"/>
      <c r="CV100" s="26"/>
      <c r="CW100" s="54"/>
      <c r="CX100" s="55"/>
      <c r="CY100" s="56"/>
      <c r="CZ100" s="26"/>
      <c r="DA100" s="54"/>
      <c r="DB100" s="26"/>
      <c r="DC100" s="54"/>
      <c r="DD100" s="55"/>
      <c r="DE100" s="56"/>
      <c r="DF100" s="26"/>
      <c r="DG100" s="54"/>
      <c r="DH100" s="26"/>
      <c r="DI100" s="54"/>
      <c r="DJ100" s="55"/>
      <c r="DK100" s="56"/>
      <c r="DL100" s="26"/>
      <c r="DM100" s="54"/>
      <c r="DN100" s="26"/>
      <c r="DO100" s="54"/>
      <c r="DP100" s="26"/>
      <c r="DQ100" s="89"/>
      <c r="DR100" s="26"/>
      <c r="DS100" s="54"/>
      <c r="DT100" s="70"/>
      <c r="DU100" s="26"/>
      <c r="DV100" s="55"/>
      <c r="DW100" s="56"/>
      <c r="DX100" s="26"/>
      <c r="DY100" s="54"/>
      <c r="DZ100" s="26"/>
      <c r="EA100" s="54"/>
      <c r="EB100" s="55"/>
      <c r="EC100" s="56"/>
      <c r="ED100" s="26"/>
      <c r="EE100" s="54"/>
      <c r="EF100" s="26"/>
      <c r="EG100" s="54"/>
      <c r="EH100" s="55"/>
      <c r="EI100" s="56"/>
      <c r="EJ100" s="26"/>
      <c r="EK100" s="54"/>
      <c r="EL100" s="26"/>
      <c r="EM100" s="54"/>
      <c r="EN100" s="55"/>
      <c r="EO100" s="56"/>
      <c r="EP100" s="26"/>
      <c r="EQ100" s="54"/>
      <c r="ER100" s="26"/>
      <c r="ES100" s="54"/>
      <c r="ET100" s="55"/>
    </row>
    <row r="101" spans="1:150" ht="20.100000000000001" hidden="1" customHeight="1" outlineLevel="1" thickBot="1">
      <c r="A101" s="3034"/>
      <c r="B101" s="3028"/>
      <c r="C101" s="179"/>
      <c r="D101" s="2726" t="str">
        <f>実績!C1186&amp;"("&amp;SUBSTITUTE(実績!W1186&amp;")","株式会社 ","")</f>
        <v>北綾瀬高架下店舗(東急設計コンサルタント)</v>
      </c>
      <c r="E101" s="2878"/>
      <c r="F101" s="2878"/>
      <c r="G101" s="2878"/>
      <c r="H101" s="2878"/>
      <c r="I101" s="2878"/>
      <c r="J101" s="2878"/>
      <c r="K101" s="2878"/>
      <c r="L101" s="2878"/>
      <c r="M101" s="2878"/>
      <c r="N101" s="2878"/>
      <c r="O101" s="2878"/>
      <c r="P101" s="2878"/>
      <c r="Q101" s="3025"/>
      <c r="R101" s="1096"/>
      <c r="S101" s="26"/>
      <c r="T101" s="26"/>
      <c r="U101" s="54"/>
      <c r="V101" s="26"/>
      <c r="W101" s="54"/>
      <c r="X101" s="55"/>
      <c r="Y101" s="26"/>
      <c r="Z101" s="26"/>
      <c r="AA101" s="54"/>
      <c r="AB101" s="26"/>
      <c r="AC101" s="54"/>
      <c r="AD101" s="26"/>
      <c r="AE101" s="56"/>
      <c r="AF101" s="26"/>
      <c r="AG101" s="54"/>
      <c r="AH101" s="26"/>
      <c r="AI101" s="54"/>
      <c r="AJ101" s="55"/>
      <c r="AK101" s="26"/>
      <c r="AL101" s="26"/>
      <c r="AM101" s="54"/>
      <c r="AN101" s="26"/>
      <c r="AO101" s="54"/>
      <c r="AP101" s="26"/>
      <c r="AQ101" s="53"/>
      <c r="AR101" s="26"/>
      <c r="AS101" s="54"/>
      <c r="AT101" s="26"/>
      <c r="AU101" s="54"/>
      <c r="AV101" s="55"/>
      <c r="AW101" s="56"/>
      <c r="AX101" s="26"/>
      <c r="AY101" s="54"/>
      <c r="AZ101" s="26"/>
      <c r="BA101" s="54"/>
      <c r="BB101" s="55"/>
      <c r="BC101" s="26"/>
      <c r="BD101" s="26"/>
      <c r="BE101" s="54"/>
      <c r="BF101" s="26"/>
      <c r="BG101" s="54"/>
      <c r="BH101" s="26"/>
      <c r="BI101" s="56"/>
      <c r="BJ101" s="26"/>
      <c r="BK101" s="54"/>
      <c r="BL101" s="26"/>
      <c r="BM101" s="54"/>
      <c r="BN101" s="55"/>
      <c r="BO101" s="56"/>
      <c r="BP101" s="26"/>
      <c r="BQ101" s="54"/>
      <c r="BR101" s="26"/>
      <c r="BS101" s="54"/>
      <c r="BT101" s="55"/>
      <c r="BU101" s="56"/>
      <c r="BV101" s="26"/>
      <c r="BW101" s="54"/>
      <c r="BX101" s="26"/>
      <c r="BY101" s="54"/>
      <c r="BZ101" s="55"/>
      <c r="CA101" s="56"/>
      <c r="CB101" s="26"/>
      <c r="CC101" s="54"/>
      <c r="CD101" s="26"/>
      <c r="CE101" s="54"/>
      <c r="CF101" s="55"/>
      <c r="CG101" s="56"/>
      <c r="CH101" s="26"/>
      <c r="CI101" s="54"/>
      <c r="CJ101" s="26"/>
      <c r="CK101" s="54"/>
      <c r="CL101" s="55"/>
      <c r="CM101" s="56"/>
      <c r="CN101" s="26"/>
      <c r="CO101" s="54"/>
      <c r="CP101" s="26"/>
      <c r="CQ101" s="54"/>
      <c r="CR101" s="55"/>
      <c r="CS101" s="56"/>
      <c r="CT101" s="26"/>
      <c r="CU101" s="54"/>
      <c r="CV101" s="26"/>
      <c r="CW101" s="54"/>
      <c r="CX101" s="55"/>
      <c r="CY101" s="56"/>
      <c r="CZ101" s="26"/>
      <c r="DA101" s="54"/>
      <c r="DB101" s="26"/>
      <c r="DC101" s="54"/>
      <c r="DD101" s="55"/>
      <c r="DE101" s="56"/>
      <c r="DF101" s="26"/>
      <c r="DG101" s="54"/>
      <c r="DH101" s="26"/>
      <c r="DI101" s="54"/>
      <c r="DJ101" s="55"/>
      <c r="DK101" s="56"/>
      <c r="DL101" s="26"/>
      <c r="DM101" s="54"/>
      <c r="DN101" s="26"/>
      <c r="DO101" s="54"/>
      <c r="DP101" s="26"/>
      <c r="DQ101" s="89"/>
      <c r="DR101" s="26"/>
      <c r="DS101" s="54"/>
      <c r="DT101" s="70"/>
      <c r="DU101" s="26"/>
      <c r="DV101" s="55"/>
      <c r="DW101" s="56"/>
      <c r="DX101" s="26"/>
      <c r="DY101" s="54"/>
      <c r="DZ101" s="26"/>
      <c r="EA101" s="54"/>
      <c r="EB101" s="55"/>
      <c r="EC101" s="56"/>
      <c r="ED101" s="26"/>
      <c r="EE101" s="54"/>
      <c r="EF101" s="26"/>
      <c r="EG101" s="54"/>
      <c r="EH101" s="55"/>
      <c r="EI101" s="56"/>
      <c r="EJ101" s="26"/>
      <c r="EK101" s="54"/>
      <c r="EL101" s="26"/>
      <c r="EM101" s="54"/>
      <c r="EN101" s="55"/>
      <c r="EO101" s="56"/>
      <c r="EP101" s="26"/>
      <c r="EQ101" s="54"/>
      <c r="ER101" s="26"/>
      <c r="ES101" s="54"/>
      <c r="ET101" s="55"/>
    </row>
    <row r="102" spans="1:150" ht="20.100000000000001" hidden="1" customHeight="1" outlineLevel="1" collapsed="1" thickBot="1">
      <c r="A102" s="3034"/>
      <c r="B102" s="3028"/>
      <c r="C102" s="179"/>
      <c r="D102" s="2726" t="str">
        <f>実績!C1008&amp;"("&amp;SUBSTITUTE(実績!W1008&amp;")","株式会社 ","")</f>
        <v>福岡県警航空隊【増築棟】(志賀設計)</v>
      </c>
      <c r="E102" s="2878"/>
      <c r="F102" s="2878"/>
      <c r="G102" s="2878"/>
      <c r="H102" s="2878"/>
      <c r="I102" s="2878"/>
      <c r="J102" s="2878"/>
      <c r="K102" s="2878"/>
      <c r="L102" s="2878"/>
      <c r="M102" s="2878"/>
      <c r="N102" s="2878"/>
      <c r="O102" s="2878"/>
      <c r="P102" s="2878"/>
      <c r="Q102" s="3025"/>
      <c r="R102" s="1096"/>
      <c r="S102" s="26"/>
      <c r="T102" s="26"/>
      <c r="U102" s="54"/>
      <c r="V102" s="26"/>
      <c r="W102" s="54"/>
      <c r="X102" s="55"/>
      <c r="Y102" s="26"/>
      <c r="Z102" s="26"/>
      <c r="AA102" s="54"/>
      <c r="AB102" s="26"/>
      <c r="AC102" s="54"/>
      <c r="AD102" s="26"/>
      <c r="AE102" s="26"/>
      <c r="AF102" s="26"/>
      <c r="AG102" s="54"/>
      <c r="AH102" s="26"/>
      <c r="AI102" s="54"/>
      <c r="AJ102" s="55"/>
      <c r="AK102" s="26"/>
      <c r="AL102" s="26"/>
      <c r="AM102" s="54"/>
      <c r="AN102" s="26"/>
      <c r="AO102" s="54"/>
      <c r="AP102" s="26"/>
      <c r="AQ102" s="53"/>
      <c r="AR102" s="26"/>
      <c r="AS102" s="54"/>
      <c r="AT102" s="26"/>
      <c r="AU102" s="54"/>
      <c r="AV102" s="55"/>
      <c r="AW102" s="56"/>
      <c r="AX102" s="26"/>
      <c r="AY102" s="54"/>
      <c r="AZ102" s="26"/>
      <c r="BA102" s="54"/>
      <c r="BB102" s="55"/>
      <c r="BC102" s="26"/>
      <c r="BD102" s="26"/>
      <c r="BE102" s="54"/>
      <c r="BF102" s="26"/>
      <c r="BG102" s="54"/>
      <c r="BH102" s="26"/>
      <c r="BI102" s="56"/>
      <c r="BJ102" s="26"/>
      <c r="BK102" s="54"/>
      <c r="BL102" s="26"/>
      <c r="BM102" s="54"/>
      <c r="BN102" s="55"/>
      <c r="BO102" s="56"/>
      <c r="BP102" s="26"/>
      <c r="BQ102" s="54"/>
      <c r="BR102" s="26"/>
      <c r="BS102" s="54"/>
      <c r="BT102" s="55"/>
      <c r="BU102" s="56"/>
      <c r="BV102" s="26"/>
      <c r="BW102" s="54"/>
      <c r="BX102" s="26"/>
      <c r="BY102" s="54"/>
      <c r="BZ102" s="55"/>
      <c r="CA102" s="56"/>
      <c r="CB102" s="26"/>
      <c r="CC102" s="54"/>
      <c r="CD102" s="26"/>
      <c r="CE102" s="54"/>
      <c r="CF102" s="55"/>
      <c r="CG102" s="56"/>
      <c r="CH102" s="26"/>
      <c r="CI102" s="54"/>
      <c r="CJ102" s="26"/>
      <c r="CK102" s="54"/>
      <c r="CL102" s="55"/>
      <c r="CM102" s="56"/>
      <c r="CN102" s="26"/>
      <c r="CO102" s="54"/>
      <c r="CP102" s="26"/>
      <c r="CQ102" s="54"/>
      <c r="CR102" s="55"/>
      <c r="CS102" s="56"/>
      <c r="CT102" s="26"/>
      <c r="CU102" s="54"/>
      <c r="CV102" s="26"/>
      <c r="CW102" s="54"/>
      <c r="CX102" s="55"/>
      <c r="CY102" s="56"/>
      <c r="CZ102" s="26"/>
      <c r="DA102" s="54"/>
      <c r="DB102" s="26"/>
      <c r="DC102" s="54"/>
      <c r="DD102" s="55"/>
      <c r="DE102" s="56"/>
      <c r="DF102" s="26"/>
      <c r="DG102" s="54"/>
      <c r="DH102" s="26"/>
      <c r="DI102" s="54"/>
      <c r="DJ102" s="55"/>
      <c r="DK102" s="56"/>
      <c r="DL102" s="26"/>
      <c r="DM102" s="54"/>
      <c r="DN102" s="26"/>
      <c r="DO102" s="54"/>
      <c r="DP102" s="26"/>
      <c r="DQ102" s="89"/>
      <c r="DR102" s="26"/>
      <c r="DS102" s="54"/>
      <c r="DT102" s="70"/>
      <c r="DU102" s="26"/>
      <c r="DV102" s="55"/>
      <c r="DW102" s="56"/>
      <c r="DX102" s="26"/>
      <c r="DY102" s="54"/>
      <c r="DZ102" s="26"/>
      <c r="EA102" s="54"/>
      <c r="EB102" s="55"/>
      <c r="EC102" s="56"/>
      <c r="ED102" s="26"/>
      <c r="EE102" s="54"/>
      <c r="EF102" s="26"/>
      <c r="EG102" s="54"/>
      <c r="EH102" s="55"/>
      <c r="EI102" s="56"/>
      <c r="EJ102" s="26"/>
      <c r="EK102" s="54"/>
      <c r="EL102" s="26"/>
      <c r="EM102" s="54"/>
      <c r="EN102" s="55"/>
      <c r="EO102" s="56"/>
      <c r="EP102" s="26"/>
      <c r="EQ102" s="54"/>
      <c r="ER102" s="26"/>
      <c r="ES102" s="54"/>
      <c r="ET102" s="55"/>
    </row>
    <row r="103" spans="1:150" ht="20.100000000000001" hidden="1" customHeight="1" outlineLevel="1" thickBot="1">
      <c r="A103" s="3034"/>
      <c r="B103" s="3028"/>
      <c r="C103" s="179"/>
      <c r="D103" s="2726" t="str">
        <f>実績!C1188&amp;"("&amp;SUBSTITUTE(実績!R1188&amp;")","株式会社 ","")</f>
        <v>株式会社 かねせん 新社屋(タカヤ)</v>
      </c>
      <c r="E103" s="2878"/>
      <c r="F103" s="2878"/>
      <c r="G103" s="2878"/>
      <c r="H103" s="2878"/>
      <c r="I103" s="2878"/>
      <c r="J103" s="2878"/>
      <c r="K103" s="2878"/>
      <c r="L103" s="2878"/>
      <c r="M103" s="2878"/>
      <c r="N103" s="2878"/>
      <c r="O103" s="2878"/>
      <c r="P103" s="2878"/>
      <c r="Q103" s="3025"/>
      <c r="R103" s="109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56"/>
      <c r="AX103" s="26"/>
      <c r="AY103" s="54"/>
      <c r="AZ103" s="26" t="s">
        <v>8145</v>
      </c>
      <c r="BA103" s="54"/>
      <c r="BB103" s="55"/>
      <c r="BC103" s="26"/>
      <c r="BD103" s="26"/>
      <c r="BE103" s="54"/>
      <c r="BF103" s="26"/>
      <c r="BG103" s="54"/>
      <c r="BH103" s="26"/>
      <c r="BI103" s="56"/>
      <c r="BJ103" s="26"/>
      <c r="BK103" s="54"/>
      <c r="BL103" s="26"/>
      <c r="BM103" s="54"/>
      <c r="BN103" s="55"/>
      <c r="BO103" s="56"/>
      <c r="BP103" s="26"/>
      <c r="BQ103" s="54"/>
      <c r="BR103" s="26"/>
      <c r="BS103" s="54"/>
      <c r="BT103" s="55"/>
      <c r="BU103" s="56"/>
      <c r="BV103" s="26"/>
      <c r="BW103" s="54"/>
      <c r="BX103" s="26"/>
      <c r="BY103" s="54"/>
      <c r="BZ103" s="55"/>
      <c r="CA103" s="56"/>
      <c r="CB103" s="26"/>
      <c r="CC103" s="54"/>
      <c r="CD103" s="26"/>
      <c r="CE103" s="54"/>
      <c r="CF103" s="55"/>
      <c r="CG103" s="56"/>
      <c r="CH103" s="26"/>
      <c r="CI103" s="54"/>
      <c r="CJ103" s="26"/>
      <c r="CK103" s="54"/>
      <c r="CL103" s="55"/>
      <c r="CM103" s="56"/>
      <c r="CN103" s="26"/>
      <c r="CO103" s="54"/>
      <c r="CP103" s="26"/>
      <c r="CQ103" s="54"/>
      <c r="CR103" s="55"/>
      <c r="CS103" s="56"/>
      <c r="CT103" s="26"/>
      <c r="CU103" s="54"/>
      <c r="CV103" s="26"/>
      <c r="CW103" s="54"/>
      <c r="CX103" s="55"/>
      <c r="CY103" s="56"/>
      <c r="CZ103" s="26"/>
      <c r="DA103" s="54"/>
      <c r="DB103" s="26"/>
      <c r="DC103" s="54"/>
      <c r="DD103" s="55"/>
      <c r="DE103" s="56"/>
      <c r="DF103" s="26"/>
      <c r="DG103" s="54"/>
      <c r="DH103" s="26"/>
      <c r="DI103" s="54"/>
      <c r="DJ103" s="55"/>
      <c r="DK103" s="56"/>
      <c r="DL103" s="26"/>
      <c r="DM103" s="54"/>
      <c r="DN103" s="26"/>
      <c r="DO103" s="54"/>
      <c r="DP103" s="26"/>
      <c r="DQ103" s="89"/>
      <c r="DR103" s="26"/>
      <c r="DS103" s="54"/>
      <c r="DT103" s="70"/>
      <c r="DU103" s="26"/>
      <c r="DV103" s="55"/>
      <c r="DW103" s="56"/>
      <c r="DX103" s="26"/>
      <c r="DY103" s="54"/>
      <c r="DZ103" s="26"/>
      <c r="EA103" s="54"/>
      <c r="EB103" s="55"/>
      <c r="EC103" s="56"/>
      <c r="ED103" s="26"/>
      <c r="EE103" s="54"/>
      <c r="EF103" s="26"/>
      <c r="EG103" s="54"/>
      <c r="EH103" s="55"/>
      <c r="EI103" s="56"/>
      <c r="EJ103" s="26"/>
      <c r="EK103" s="54"/>
      <c r="EL103" s="26"/>
      <c r="EM103" s="54"/>
      <c r="EN103" s="55"/>
      <c r="EO103" s="56"/>
      <c r="EP103" s="26"/>
      <c r="EQ103" s="54"/>
      <c r="ER103" s="26"/>
      <c r="ES103" s="54"/>
      <c r="ET103" s="55"/>
    </row>
    <row r="104" spans="1:150" ht="20.100000000000001" hidden="1" customHeight="1" outlineLevel="1" collapsed="1" thickBot="1">
      <c r="A104" s="3034"/>
      <c r="B104" s="3028"/>
      <c r="C104" s="179"/>
      <c r="D104" s="2726" t="str">
        <f>実績!C1189&amp;"("&amp;SUBSTITUTE(実績!R1189&amp;")","株式会社 ","")</f>
        <v>ネッツトヨタ東都 株式会社 水元(a.s.t atelier)</v>
      </c>
      <c r="E104" s="2878"/>
      <c r="F104" s="2878"/>
      <c r="G104" s="2878"/>
      <c r="H104" s="2878"/>
      <c r="I104" s="2878"/>
      <c r="J104" s="2878"/>
      <c r="K104" s="2878"/>
      <c r="L104" s="2878"/>
      <c r="M104" s="2878"/>
      <c r="N104" s="2878"/>
      <c r="O104" s="2878"/>
      <c r="P104" s="2878"/>
      <c r="Q104" s="3025"/>
      <c r="R104" s="1096"/>
      <c r="S104" s="26"/>
      <c r="T104" s="26"/>
      <c r="U104" s="54"/>
      <c r="V104" s="26"/>
      <c r="W104" s="54"/>
      <c r="X104" s="55"/>
      <c r="Y104" s="26"/>
      <c r="Z104" s="26"/>
      <c r="AA104" s="54"/>
      <c r="AB104" s="26"/>
      <c r="AC104" s="54"/>
      <c r="AD104" s="26"/>
      <c r="AE104" s="56"/>
      <c r="AF104" s="26"/>
      <c r="AG104" s="54"/>
      <c r="AH104" s="26"/>
      <c r="AI104" s="54"/>
      <c r="AJ104" s="55"/>
      <c r="AK104" s="26"/>
      <c r="AL104" s="26"/>
      <c r="AM104" s="54"/>
      <c r="AN104" s="26"/>
      <c r="AO104" s="54"/>
      <c r="AP104" s="26"/>
      <c r="AQ104" s="53"/>
      <c r="AR104" s="26"/>
      <c r="AS104" s="54"/>
      <c r="AT104" s="26"/>
      <c r="AU104" s="54"/>
      <c r="AV104" s="55"/>
      <c r="AW104" s="56"/>
      <c r="AX104" s="26"/>
      <c r="AY104" s="54"/>
      <c r="AZ104" s="26" t="s">
        <v>8145</v>
      </c>
      <c r="BA104" s="54"/>
      <c r="BB104" s="55"/>
      <c r="BC104" s="26"/>
      <c r="BD104" s="26"/>
      <c r="BE104" s="54"/>
      <c r="BF104" s="26"/>
      <c r="BG104" s="54"/>
      <c r="BH104" s="26"/>
      <c r="BI104" s="56"/>
      <c r="BJ104" s="26"/>
      <c r="BK104" s="54"/>
      <c r="BL104" s="26"/>
      <c r="BM104" s="54"/>
      <c r="BN104" s="55"/>
      <c r="BO104" s="56"/>
      <c r="BP104" s="26"/>
      <c r="BQ104" s="54"/>
      <c r="BR104" s="26"/>
      <c r="BS104" s="54"/>
      <c r="BT104" s="55"/>
      <c r="BU104" s="56"/>
      <c r="BV104" s="26"/>
      <c r="BW104" s="54"/>
      <c r="BX104" s="26"/>
      <c r="BY104" s="54"/>
      <c r="BZ104" s="55"/>
      <c r="CA104" s="56"/>
      <c r="CB104" s="26"/>
      <c r="CC104" s="54"/>
      <c r="CD104" s="26"/>
      <c r="CE104" s="54"/>
      <c r="CF104" s="55"/>
      <c r="CG104" s="56"/>
      <c r="CH104" s="26"/>
      <c r="CI104" s="54"/>
      <c r="CJ104" s="26"/>
      <c r="CK104" s="54"/>
      <c r="CL104" s="55"/>
      <c r="CM104" s="56"/>
      <c r="CN104" s="26"/>
      <c r="CO104" s="54"/>
      <c r="CP104" s="26"/>
      <c r="CQ104" s="54"/>
      <c r="CR104" s="55"/>
      <c r="CS104" s="56"/>
      <c r="CT104" s="26"/>
      <c r="CU104" s="54"/>
      <c r="CV104" s="26"/>
      <c r="CW104" s="54"/>
      <c r="CX104" s="55"/>
      <c r="CY104" s="56"/>
      <c r="CZ104" s="26"/>
      <c r="DA104" s="54"/>
      <c r="DB104" s="26"/>
      <c r="DC104" s="54"/>
      <c r="DD104" s="55"/>
      <c r="DE104" s="56"/>
      <c r="DF104" s="26"/>
      <c r="DG104" s="54"/>
      <c r="DH104" s="26"/>
      <c r="DI104" s="54"/>
      <c r="DJ104" s="55"/>
      <c r="DK104" s="56"/>
      <c r="DL104" s="26"/>
      <c r="DM104" s="54"/>
      <c r="DN104" s="26"/>
      <c r="DO104" s="54"/>
      <c r="DP104" s="26"/>
      <c r="DQ104" s="89"/>
      <c r="DR104" s="26"/>
      <c r="DS104" s="54"/>
      <c r="DT104" s="70"/>
      <c r="DU104" s="26"/>
      <c r="DV104" s="55"/>
      <c r="DW104" s="56"/>
      <c r="DX104" s="26"/>
      <c r="DY104" s="54"/>
      <c r="DZ104" s="26"/>
      <c r="EA104" s="54"/>
      <c r="EB104" s="55"/>
      <c r="EC104" s="56"/>
      <c r="ED104" s="26"/>
      <c r="EE104" s="54"/>
      <c r="EF104" s="26"/>
      <c r="EG104" s="54"/>
      <c r="EH104" s="55"/>
      <c r="EI104" s="56"/>
      <c r="EJ104" s="26"/>
      <c r="EK104" s="54"/>
      <c r="EL104" s="26"/>
      <c r="EM104" s="54"/>
      <c r="EN104" s="55"/>
      <c r="EO104" s="56"/>
      <c r="EP104" s="26"/>
      <c r="EQ104" s="54"/>
      <c r="ER104" s="26"/>
      <c r="ES104" s="54"/>
      <c r="ET104" s="55"/>
    </row>
    <row r="105" spans="1:150" ht="20.100000000000001" hidden="1" customHeight="1" outlineLevel="1" collapsed="1" thickBot="1">
      <c r="A105" s="3034"/>
      <c r="B105" s="3028"/>
      <c r="C105" s="179"/>
      <c r="D105" s="2726" t="str">
        <f>実績!C1190&amp;"("&amp;SUBSTITUTE(実績!R1190&amp;")","株式会社 ","")</f>
        <v>サテライト八代(オリーブ設計)</v>
      </c>
      <c r="E105" s="2727"/>
      <c r="F105" s="2727"/>
      <c r="G105" s="2727"/>
      <c r="H105" s="2727"/>
      <c r="I105" s="2727"/>
      <c r="J105" s="2727"/>
      <c r="K105" s="2727"/>
      <c r="L105" s="2727"/>
      <c r="M105" s="2727"/>
      <c r="N105" s="2727"/>
      <c r="O105" s="2727"/>
      <c r="P105" s="2727"/>
      <c r="Q105" s="3024"/>
      <c r="R105" s="1111"/>
      <c r="S105" s="26"/>
      <c r="T105" s="26"/>
      <c r="U105" s="54"/>
      <c r="V105" s="26"/>
      <c r="W105" s="54"/>
      <c r="X105" s="55"/>
      <c r="Y105" s="26"/>
      <c r="Z105" s="26"/>
      <c r="AA105" s="54"/>
      <c r="AB105" s="26"/>
      <c r="AC105" s="54"/>
      <c r="AD105" s="26"/>
      <c r="AE105" s="56"/>
      <c r="AF105" s="26"/>
      <c r="AG105" s="54"/>
      <c r="AH105" s="26"/>
      <c r="AI105" s="54"/>
      <c r="AJ105" s="55"/>
      <c r="AK105" s="26"/>
      <c r="AL105" s="26"/>
      <c r="AM105" s="54"/>
      <c r="AN105" s="26"/>
      <c r="AO105" s="54"/>
      <c r="AP105" s="26"/>
      <c r="AQ105" s="53"/>
      <c r="AR105" s="26"/>
      <c r="AS105" s="54"/>
      <c r="AT105" s="26"/>
      <c r="AU105" s="54"/>
      <c r="AV105" s="55"/>
      <c r="AW105" s="56"/>
      <c r="AX105" s="26"/>
      <c r="AY105" s="54"/>
      <c r="AZ105" s="26"/>
      <c r="BA105" s="54"/>
      <c r="BB105" s="55"/>
      <c r="BC105" s="26"/>
      <c r="BD105" s="26" t="s">
        <v>8145</v>
      </c>
      <c r="BE105" s="54"/>
      <c r="BF105" s="26"/>
      <c r="BG105" s="54"/>
      <c r="BH105" s="26"/>
      <c r="BI105" s="56"/>
      <c r="BJ105" s="26"/>
      <c r="BK105" s="54"/>
      <c r="BL105" s="26"/>
      <c r="BM105" s="54"/>
      <c r="BN105" s="55"/>
      <c r="BO105" s="56"/>
      <c r="BP105" s="26"/>
      <c r="BQ105" s="54"/>
      <c r="BR105" s="26"/>
      <c r="BS105" s="54"/>
      <c r="BT105" s="55"/>
      <c r="BU105" s="56"/>
      <c r="BV105" s="26"/>
      <c r="BW105" s="54"/>
      <c r="BX105" s="26"/>
      <c r="BY105" s="54"/>
      <c r="BZ105" s="55"/>
      <c r="CA105" s="56"/>
      <c r="CB105" s="26"/>
      <c r="CC105" s="54"/>
      <c r="CD105" s="26"/>
      <c r="CE105" s="54"/>
      <c r="CF105" s="55"/>
      <c r="CG105" s="56"/>
      <c r="CH105" s="26"/>
      <c r="CI105" s="54"/>
      <c r="CJ105" s="26"/>
      <c r="CK105" s="54"/>
      <c r="CL105" s="55"/>
      <c r="CM105" s="56"/>
      <c r="CN105" s="26"/>
      <c r="CO105" s="54"/>
      <c r="CP105" s="26"/>
      <c r="CQ105" s="54"/>
      <c r="CR105" s="55"/>
      <c r="CS105" s="56"/>
      <c r="CT105" s="26"/>
      <c r="CU105" s="54"/>
      <c r="CV105" s="26"/>
      <c r="CW105" s="54"/>
      <c r="CX105" s="55"/>
      <c r="CY105" s="56"/>
      <c r="CZ105" s="26"/>
      <c r="DA105" s="54"/>
      <c r="DB105" s="26"/>
      <c r="DC105" s="54"/>
      <c r="DD105" s="55"/>
      <c r="DE105" s="56"/>
      <c r="DF105" s="26"/>
      <c r="DG105" s="54"/>
      <c r="DH105" s="26"/>
      <c r="DI105" s="54"/>
      <c r="DJ105" s="55"/>
      <c r="DK105" s="56"/>
      <c r="DL105" s="26"/>
      <c r="DM105" s="54"/>
      <c r="DN105" s="26"/>
      <c r="DO105" s="54"/>
      <c r="DP105" s="26"/>
      <c r="DQ105" s="89"/>
      <c r="DR105" s="26"/>
      <c r="DS105" s="54"/>
      <c r="DT105" s="70"/>
      <c r="DU105" s="26"/>
      <c r="DV105" s="55"/>
      <c r="DW105" s="56"/>
      <c r="DX105" s="26"/>
      <c r="DY105" s="54"/>
      <c r="DZ105" s="26"/>
      <c r="EA105" s="54"/>
      <c r="EB105" s="55"/>
      <c r="EC105" s="56"/>
      <c r="ED105" s="26"/>
      <c r="EE105" s="54"/>
      <c r="EF105" s="26"/>
      <c r="EG105" s="54"/>
      <c r="EH105" s="55"/>
      <c r="EI105" s="56"/>
      <c r="EJ105" s="26"/>
      <c r="EK105" s="54"/>
      <c r="EL105" s="26"/>
      <c r="EM105" s="54"/>
      <c r="EN105" s="55"/>
      <c r="EO105" s="56"/>
      <c r="EP105" s="26"/>
      <c r="EQ105" s="54"/>
      <c r="ER105" s="26"/>
      <c r="ES105" s="54"/>
      <c r="ET105" s="55"/>
    </row>
    <row r="106" spans="1:150" ht="20.100000000000001" hidden="1" customHeight="1" outlineLevel="1" collapsed="1" thickBot="1">
      <c r="A106" s="3034"/>
      <c r="B106" s="3028"/>
      <c r="C106" s="1173"/>
      <c r="D106" s="2726" t="str">
        <f>実績!C1197&amp;"("&amp;SUBSTITUTE(実績!R1197&amp;")","有限会社 ","")</f>
        <v>薬王堂山形遊佐(商業施設マネジメント)</v>
      </c>
      <c r="E106" s="2727"/>
      <c r="F106" s="2727"/>
      <c r="G106" s="2727"/>
      <c r="H106" s="2727"/>
      <c r="I106" s="2727"/>
      <c r="J106" s="2727"/>
      <c r="K106" s="2727"/>
      <c r="L106" s="2727"/>
      <c r="M106" s="2727"/>
      <c r="N106" s="2727"/>
      <c r="O106" s="2727"/>
      <c r="P106" s="2727"/>
      <c r="Q106" s="3024"/>
      <c r="R106" s="1111"/>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56"/>
      <c r="AX106" s="70" t="s">
        <v>8250</v>
      </c>
      <c r="AY106" s="54"/>
      <c r="AZ106" s="26"/>
      <c r="BA106" s="54"/>
      <c r="BB106" s="55"/>
      <c r="BC106" s="26"/>
      <c r="BD106" s="26"/>
      <c r="BE106" s="54"/>
      <c r="BF106" s="26"/>
      <c r="BG106" s="54"/>
      <c r="BH106" s="26"/>
      <c r="BI106" s="56" t="s">
        <v>8145</v>
      </c>
      <c r="BJ106" s="26"/>
      <c r="BK106" s="54"/>
      <c r="BL106" s="26"/>
      <c r="BM106" s="54"/>
      <c r="BN106" s="55"/>
      <c r="BO106" s="56"/>
      <c r="BP106" s="26"/>
      <c r="BQ106" s="54"/>
      <c r="BR106" s="26"/>
      <c r="BS106" s="54"/>
      <c r="BT106" s="55"/>
      <c r="BU106" s="56"/>
      <c r="BV106" s="26"/>
      <c r="BW106" s="54"/>
      <c r="BX106" s="26"/>
      <c r="BY106" s="54"/>
      <c r="BZ106" s="55"/>
      <c r="CA106" s="56"/>
      <c r="CB106" s="26"/>
      <c r="CC106" s="54"/>
      <c r="CD106" s="26"/>
      <c r="CE106" s="54"/>
      <c r="CF106" s="55"/>
      <c r="CG106" s="56"/>
      <c r="CH106" s="26"/>
      <c r="CI106" s="54"/>
      <c r="CJ106" s="26"/>
      <c r="CK106" s="54"/>
      <c r="CL106" s="55"/>
      <c r="CM106" s="56"/>
      <c r="CN106" s="26"/>
      <c r="CO106" s="54"/>
      <c r="CP106" s="26"/>
      <c r="CQ106" s="54"/>
      <c r="CR106" s="55"/>
      <c r="CS106" s="56"/>
      <c r="CT106" s="26"/>
      <c r="CU106" s="54"/>
      <c r="CV106" s="26"/>
      <c r="CW106" s="54"/>
      <c r="CX106" s="55"/>
      <c r="CY106" s="56"/>
      <c r="CZ106" s="26"/>
      <c r="DA106" s="54"/>
      <c r="DB106" s="26"/>
      <c r="DC106" s="54"/>
      <c r="DD106" s="55"/>
      <c r="DE106" s="56"/>
      <c r="DF106" s="26"/>
      <c r="DG106" s="54"/>
      <c r="DH106" s="26"/>
      <c r="DI106" s="54"/>
      <c r="DJ106" s="55"/>
      <c r="DK106" s="56"/>
      <c r="DL106" s="26"/>
      <c r="DM106" s="54"/>
      <c r="DN106" s="26"/>
      <c r="DO106" s="54"/>
      <c r="DP106" s="26"/>
      <c r="DQ106" s="89"/>
      <c r="DR106" s="26"/>
      <c r="DS106" s="54"/>
      <c r="DT106" s="70"/>
      <c r="DU106" s="26"/>
      <c r="DV106" s="55"/>
      <c r="DW106" s="56"/>
      <c r="DX106" s="26"/>
      <c r="DY106" s="54"/>
      <c r="DZ106" s="26"/>
      <c r="EA106" s="54"/>
      <c r="EB106" s="55"/>
      <c r="EC106" s="56"/>
      <c r="ED106" s="26"/>
      <c r="EE106" s="54"/>
      <c r="EF106" s="26"/>
      <c r="EG106" s="54"/>
      <c r="EH106" s="55"/>
      <c r="EI106" s="56"/>
      <c r="EJ106" s="26"/>
      <c r="EK106" s="54"/>
      <c r="EL106" s="26"/>
      <c r="EM106" s="54"/>
      <c r="EN106" s="55"/>
      <c r="EO106" s="56"/>
      <c r="EP106" s="26"/>
      <c r="EQ106" s="54"/>
      <c r="ER106" s="26"/>
      <c r="ES106" s="54"/>
      <c r="ET106" s="55"/>
    </row>
    <row r="107" spans="1:150" ht="20.100000000000001" hidden="1" customHeight="1" outlineLevel="1" thickBot="1">
      <c r="A107" s="3034"/>
      <c r="B107" s="3028"/>
      <c r="C107" s="1173"/>
      <c r="D107" s="2726" t="str">
        <f>実績!C1196&amp;"("&amp;SUBSTITUTE(実績!R1196&amp;")","有限会社 ","")</f>
        <v>ツルハドラッグ五所川原広田(ケイズクリエイツ)</v>
      </c>
      <c r="E107" s="2727"/>
      <c r="F107" s="2727"/>
      <c r="G107" s="2727"/>
      <c r="H107" s="2727"/>
      <c r="I107" s="2727"/>
      <c r="J107" s="2727"/>
      <c r="K107" s="2727"/>
      <c r="L107" s="2727"/>
      <c r="M107" s="2727"/>
      <c r="N107" s="2727"/>
      <c r="O107" s="2727"/>
      <c r="P107" s="2727"/>
      <c r="Q107" s="3024"/>
      <c r="R107" s="1111"/>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56"/>
      <c r="AX107" s="26"/>
      <c r="AY107" s="54"/>
      <c r="AZ107" s="26"/>
      <c r="BA107" s="54"/>
      <c r="BB107" s="55"/>
      <c r="BC107" s="26"/>
      <c r="BD107" s="26"/>
      <c r="BE107" s="54"/>
      <c r="BF107" s="26"/>
      <c r="BG107" s="54"/>
      <c r="BH107" s="26"/>
      <c r="BI107" s="56"/>
      <c r="BJ107" s="26"/>
      <c r="BK107" s="54"/>
      <c r="BL107" s="26"/>
      <c r="BM107" s="54"/>
      <c r="BN107" s="55"/>
      <c r="BO107" s="56"/>
      <c r="BP107" s="26"/>
      <c r="BQ107" s="54"/>
      <c r="BR107" s="26"/>
      <c r="BS107" s="54"/>
      <c r="BT107" s="55"/>
      <c r="BU107" s="56"/>
      <c r="BV107" s="26"/>
      <c r="BW107" s="54"/>
      <c r="BX107" s="26"/>
      <c r="BY107" s="54"/>
      <c r="BZ107" s="55"/>
      <c r="CA107" s="56"/>
      <c r="CB107" s="26"/>
      <c r="CC107" s="54"/>
      <c r="CD107" s="26"/>
      <c r="CE107" s="54"/>
      <c r="CF107" s="55"/>
      <c r="CG107" s="56"/>
      <c r="CH107" s="26"/>
      <c r="CI107" s="54"/>
      <c r="CJ107" s="26"/>
      <c r="CK107" s="54"/>
      <c r="CL107" s="55"/>
      <c r="CM107" s="56"/>
      <c r="CN107" s="26"/>
      <c r="CO107" s="54"/>
      <c r="CP107" s="26"/>
      <c r="CQ107" s="54"/>
      <c r="CR107" s="55"/>
      <c r="CS107" s="56"/>
      <c r="CT107" s="26"/>
      <c r="CU107" s="54"/>
      <c r="CV107" s="26"/>
      <c r="CW107" s="54"/>
      <c r="CX107" s="55"/>
      <c r="CY107" s="56"/>
      <c r="CZ107" s="26"/>
      <c r="DA107" s="54"/>
      <c r="DB107" s="26"/>
      <c r="DC107" s="54"/>
      <c r="DD107" s="55"/>
      <c r="DE107" s="56"/>
      <c r="DF107" s="26"/>
      <c r="DG107" s="54"/>
      <c r="DH107" s="26"/>
      <c r="DI107" s="54"/>
      <c r="DJ107" s="55"/>
      <c r="DK107" s="56"/>
      <c r="DL107" s="26"/>
      <c r="DM107" s="54"/>
      <c r="DN107" s="26"/>
      <c r="DO107" s="54"/>
      <c r="DP107" s="26"/>
      <c r="DQ107" s="89"/>
      <c r="DR107" s="26"/>
      <c r="DS107" s="54"/>
      <c r="DT107" s="70"/>
      <c r="DU107" s="26"/>
      <c r="DV107" s="55"/>
      <c r="DW107" s="56"/>
      <c r="DX107" s="26"/>
      <c r="DY107" s="54"/>
      <c r="DZ107" s="26"/>
      <c r="EA107" s="54"/>
      <c r="EB107" s="55"/>
      <c r="EC107" s="56"/>
      <c r="ED107" s="26"/>
      <c r="EE107" s="54"/>
      <c r="EF107" s="26"/>
      <c r="EG107" s="54"/>
      <c r="EH107" s="55"/>
      <c r="EI107" s="56"/>
      <c r="EJ107" s="26"/>
      <c r="EK107" s="54"/>
      <c r="EL107" s="26"/>
      <c r="EM107" s="54"/>
      <c r="EN107" s="55"/>
      <c r="EO107" s="56"/>
      <c r="EP107" s="26"/>
      <c r="EQ107" s="54"/>
      <c r="ER107" s="26"/>
      <c r="ES107" s="54"/>
      <c r="ET107" s="55"/>
    </row>
    <row r="108" spans="1:150" ht="20.100000000000001" hidden="1" customHeight="1" outlineLevel="1" thickBot="1">
      <c r="A108" s="3034"/>
      <c r="B108" s="3028"/>
      <c r="C108" s="1173"/>
      <c r="D108" s="2726" t="str">
        <f>SUBSTITUTE(実績!C1126," 店舗棟","")&amp;"("&amp;SUBSTITUTE(実績!R1126&amp;")","株式会社 ","")</f>
        <v>関東マツダ墨田(MSP)</v>
      </c>
      <c r="E108" s="2878"/>
      <c r="F108" s="2878"/>
      <c r="G108" s="2878"/>
      <c r="H108" s="2878"/>
      <c r="I108" s="2878"/>
      <c r="J108" s="2878"/>
      <c r="K108" s="2878"/>
      <c r="L108" s="2878"/>
      <c r="M108" s="2878"/>
      <c r="N108" s="2878"/>
      <c r="O108" s="2878"/>
      <c r="P108" s="2878"/>
      <c r="Q108" s="3025"/>
      <c r="R108" s="1096"/>
      <c r="S108" s="26"/>
      <c r="T108" s="26"/>
      <c r="U108" s="54"/>
      <c r="V108" s="26"/>
      <c r="W108" s="54"/>
      <c r="X108" s="55"/>
      <c r="Y108" s="26"/>
      <c r="Z108" s="26"/>
      <c r="AA108" s="54"/>
      <c r="AB108" s="26" t="s">
        <v>8307</v>
      </c>
      <c r="AC108" s="54"/>
      <c r="AD108" s="26"/>
      <c r="AE108" s="56"/>
      <c r="AF108" s="26"/>
      <c r="AG108" s="54"/>
      <c r="AH108" s="26"/>
      <c r="AI108" s="54"/>
      <c r="AJ108" s="55"/>
      <c r="AK108" s="26"/>
      <c r="AL108" s="26"/>
      <c r="AM108" s="54"/>
      <c r="AN108" s="26"/>
      <c r="AO108" s="54"/>
      <c r="AP108" s="26"/>
      <c r="AQ108" s="53"/>
      <c r="AR108" s="70"/>
      <c r="AS108" s="54"/>
      <c r="AT108" s="26"/>
      <c r="AU108" s="54"/>
      <c r="AV108" s="55"/>
      <c r="AW108" s="56"/>
      <c r="AX108" s="26"/>
      <c r="AY108" s="54"/>
      <c r="AZ108" s="26"/>
      <c r="BA108" s="54"/>
      <c r="BB108" s="55"/>
      <c r="BC108" s="26" t="s">
        <v>8250</v>
      </c>
      <c r="BD108" s="26"/>
      <c r="BE108" s="54"/>
      <c r="BF108" s="26"/>
      <c r="BG108" s="54"/>
      <c r="BH108" s="26"/>
      <c r="BI108" s="56"/>
      <c r="BJ108" s="26"/>
      <c r="BK108" s="54"/>
      <c r="BL108" s="26"/>
      <c r="BM108" s="54"/>
      <c r="BN108" s="55"/>
      <c r="BO108" s="56"/>
      <c r="BP108" s="26"/>
      <c r="BQ108" s="54"/>
      <c r="BR108" s="26"/>
      <c r="BS108" s="54"/>
      <c r="BT108" s="55"/>
      <c r="BU108" s="56"/>
      <c r="BV108" s="26"/>
      <c r="BW108" s="54"/>
      <c r="BX108" s="26"/>
      <c r="BY108" s="54"/>
      <c r="BZ108" s="55"/>
      <c r="CA108" s="56"/>
      <c r="CB108" s="26"/>
      <c r="CC108" s="54"/>
      <c r="CD108" s="26"/>
      <c r="CE108" s="54"/>
      <c r="CF108" s="55"/>
      <c r="CG108" s="56"/>
      <c r="CH108" s="26"/>
      <c r="CI108" s="54"/>
      <c r="CJ108" s="26"/>
      <c r="CK108" s="54"/>
      <c r="CL108" s="55"/>
      <c r="CM108" s="56"/>
      <c r="CN108" s="26"/>
      <c r="CO108" s="54"/>
      <c r="CP108" s="26"/>
      <c r="CQ108" s="54"/>
      <c r="CR108" s="55"/>
      <c r="CS108" s="56"/>
      <c r="CT108" s="26"/>
      <c r="CU108" s="54"/>
      <c r="CV108" s="26"/>
      <c r="CW108" s="54"/>
      <c r="CX108" s="55"/>
      <c r="CY108" s="56"/>
      <c r="CZ108" s="26"/>
      <c r="DA108" s="54"/>
      <c r="DB108" s="26"/>
      <c r="DC108" s="54"/>
      <c r="DD108" s="55"/>
      <c r="DE108" s="56"/>
      <c r="DF108" s="26"/>
      <c r="DG108" s="54"/>
      <c r="DH108" s="26"/>
      <c r="DI108" s="54"/>
      <c r="DJ108" s="55"/>
      <c r="DK108" s="56"/>
      <c r="DL108" s="26"/>
      <c r="DM108" s="54"/>
      <c r="DN108" s="26"/>
      <c r="DO108" s="54"/>
      <c r="DP108" s="26"/>
      <c r="DQ108" s="89"/>
      <c r="DR108" s="26"/>
      <c r="DS108" s="54"/>
      <c r="DT108" s="70"/>
      <c r="DU108" s="26"/>
      <c r="DV108" s="55"/>
      <c r="DW108" s="56"/>
      <c r="DX108" s="26"/>
      <c r="DY108" s="54"/>
      <c r="DZ108" s="26"/>
      <c r="EA108" s="54"/>
      <c r="EB108" s="55"/>
      <c r="EC108" s="56"/>
      <c r="ED108" s="26"/>
      <c r="EE108" s="54"/>
      <c r="EF108" s="26"/>
      <c r="EG108" s="54"/>
      <c r="EH108" s="55"/>
      <c r="EI108" s="56"/>
      <c r="EJ108" s="26"/>
      <c r="EK108" s="54"/>
      <c r="EL108" s="26"/>
      <c r="EM108" s="54"/>
      <c r="EN108" s="55"/>
      <c r="EO108" s="56"/>
      <c r="EP108" s="26"/>
      <c r="EQ108" s="54"/>
      <c r="ER108" s="26"/>
      <c r="ES108" s="54"/>
      <c r="ET108" s="55"/>
    </row>
    <row r="109" spans="1:150" ht="20.100000000000001" hidden="1" customHeight="1" outlineLevel="1" thickBot="1">
      <c r="A109" s="3034"/>
      <c r="B109" s="3028"/>
      <c r="C109" s="1173"/>
      <c r="D109" s="2726" t="str">
        <f>実績!C1200&amp;"("&amp;SUBSTITUTE(実績!R1200&amp;")","株式会社 ","")</f>
        <v>Av・Br伊万里(エムティプラン)</v>
      </c>
      <c r="E109" s="2727"/>
      <c r="F109" s="2727"/>
      <c r="G109" s="2727"/>
      <c r="H109" s="2727"/>
      <c r="I109" s="2727"/>
      <c r="J109" s="2727"/>
      <c r="K109" s="2727"/>
      <c r="L109" s="2727"/>
      <c r="M109" s="2727"/>
      <c r="N109" s="2727"/>
      <c r="O109" s="2727"/>
      <c r="P109" s="2727"/>
      <c r="Q109" s="3024"/>
      <c r="R109" s="1111"/>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56"/>
      <c r="AX109" s="70"/>
      <c r="AY109" s="54" t="s">
        <v>8250</v>
      </c>
      <c r="AZ109" s="26"/>
      <c r="BA109" s="54"/>
      <c r="BB109" s="55"/>
      <c r="BC109" s="26"/>
      <c r="BD109" s="26"/>
      <c r="BE109" s="54"/>
      <c r="BF109" s="26"/>
      <c r="BG109" s="54"/>
      <c r="BH109" s="26"/>
      <c r="BI109" s="56"/>
      <c r="BJ109" s="26"/>
      <c r="BK109" s="54"/>
      <c r="BL109" s="26"/>
      <c r="BM109" s="54"/>
      <c r="BN109" s="55"/>
      <c r="BO109" s="56"/>
      <c r="BP109" s="26"/>
      <c r="BQ109" s="54"/>
      <c r="BR109" s="26"/>
      <c r="BS109" s="54"/>
      <c r="BT109" s="55"/>
      <c r="BU109" s="56"/>
      <c r="BV109" s="26"/>
      <c r="BW109" s="54"/>
      <c r="BX109" s="26"/>
      <c r="BY109" s="54"/>
      <c r="BZ109" s="55"/>
      <c r="CA109" s="56"/>
      <c r="CB109" s="26"/>
      <c r="CC109" s="54"/>
      <c r="CD109" s="26"/>
      <c r="CE109" s="54"/>
      <c r="CF109" s="55"/>
      <c r="CG109" s="56"/>
      <c r="CH109" s="26"/>
      <c r="CI109" s="54"/>
      <c r="CJ109" s="26"/>
      <c r="CK109" s="54"/>
      <c r="CL109" s="55"/>
      <c r="CM109" s="56"/>
      <c r="CN109" s="26"/>
      <c r="CO109" s="54"/>
      <c r="CP109" s="26"/>
      <c r="CQ109" s="54"/>
      <c r="CR109" s="55"/>
      <c r="CS109" s="56"/>
      <c r="CT109" s="26"/>
      <c r="CU109" s="54"/>
      <c r="CV109" s="26"/>
      <c r="CW109" s="54"/>
      <c r="CX109" s="55"/>
      <c r="CY109" s="56"/>
      <c r="CZ109" s="26"/>
      <c r="DA109" s="54"/>
      <c r="DB109" s="26"/>
      <c r="DC109" s="54"/>
      <c r="DD109" s="55"/>
      <c r="DE109" s="56"/>
      <c r="DF109" s="26"/>
      <c r="DG109" s="54"/>
      <c r="DH109" s="26"/>
      <c r="DI109" s="54"/>
      <c r="DJ109" s="55"/>
      <c r="DK109" s="56"/>
      <c r="DL109" s="26"/>
      <c r="DM109" s="54"/>
      <c r="DN109" s="26"/>
      <c r="DO109" s="54"/>
      <c r="DP109" s="26"/>
      <c r="DQ109" s="89"/>
      <c r="DR109" s="26"/>
      <c r="DS109" s="54"/>
      <c r="DT109" s="70"/>
      <c r="DU109" s="26"/>
      <c r="DV109" s="55"/>
      <c r="DW109" s="56"/>
      <c r="DX109" s="26"/>
      <c r="DY109" s="54"/>
      <c r="DZ109" s="26"/>
      <c r="EA109" s="54"/>
      <c r="EB109" s="55"/>
      <c r="EC109" s="56"/>
      <c r="ED109" s="26"/>
      <c r="EE109" s="54"/>
      <c r="EF109" s="26"/>
      <c r="EG109" s="54"/>
      <c r="EH109" s="55"/>
      <c r="EI109" s="56"/>
      <c r="EJ109" s="26"/>
      <c r="EK109" s="54"/>
      <c r="EL109" s="26"/>
      <c r="EM109" s="54"/>
      <c r="EN109" s="55"/>
      <c r="EO109" s="56"/>
      <c r="EP109" s="26"/>
      <c r="EQ109" s="54"/>
      <c r="ER109" s="26"/>
      <c r="ES109" s="54"/>
      <c r="ET109" s="55"/>
    </row>
    <row r="110" spans="1:150" ht="20.100000000000001" hidden="1" customHeight="1" outlineLevel="1" collapsed="1" thickBot="1">
      <c r="A110" s="3034"/>
      <c r="B110" s="3028"/>
      <c r="C110" s="1173"/>
      <c r="D110" s="2726" t="str">
        <f>実績!C1199&amp;"("&amp;SUBSTITUTE(実績!R1199&amp;")","有限会社 ","")</f>
        <v>宮崎駅東2丁目事務所(松本陽一設計事務所)</v>
      </c>
      <c r="E110" s="2727"/>
      <c r="F110" s="2727"/>
      <c r="G110" s="2727"/>
      <c r="H110" s="2727"/>
      <c r="I110" s="2727"/>
      <c r="J110" s="2727"/>
      <c r="K110" s="2727"/>
      <c r="L110" s="2727"/>
      <c r="M110" s="2727"/>
      <c r="N110" s="2727"/>
      <c r="O110" s="2727"/>
      <c r="P110" s="2727"/>
      <c r="Q110" s="3024"/>
      <c r="R110" s="1111"/>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56" t="s">
        <v>9005</v>
      </c>
      <c r="AX110" s="26"/>
      <c r="AY110" s="26" t="s">
        <v>8250</v>
      </c>
      <c r="AZ110" s="26"/>
      <c r="BA110" s="54"/>
      <c r="BB110" s="55"/>
      <c r="BC110" s="26"/>
      <c r="BD110" s="26"/>
      <c r="BE110" s="54"/>
      <c r="BF110" s="26"/>
      <c r="BG110" s="54"/>
      <c r="BH110" s="26"/>
      <c r="BI110" s="56"/>
      <c r="BJ110" s="26"/>
      <c r="BK110" s="54"/>
      <c r="BL110" s="26"/>
      <c r="BM110" s="54"/>
      <c r="BN110" s="55"/>
      <c r="BO110" s="56"/>
      <c r="BP110" s="26"/>
      <c r="BQ110" s="54"/>
      <c r="BR110" s="26"/>
      <c r="BS110" s="54"/>
      <c r="BT110" s="55"/>
      <c r="BU110" s="56"/>
      <c r="BV110" s="26"/>
      <c r="BW110" s="54"/>
      <c r="BX110" s="26"/>
      <c r="BY110" s="54"/>
      <c r="BZ110" s="55"/>
      <c r="CA110" s="56"/>
      <c r="CB110" s="26"/>
      <c r="CC110" s="54"/>
      <c r="CD110" s="26"/>
      <c r="CE110" s="54"/>
      <c r="CF110" s="55"/>
      <c r="CG110" s="56"/>
      <c r="CH110" s="26"/>
      <c r="CI110" s="54"/>
      <c r="CJ110" s="26"/>
      <c r="CK110" s="54"/>
      <c r="CL110" s="55"/>
      <c r="CM110" s="56"/>
      <c r="CN110" s="26"/>
      <c r="CO110" s="54"/>
      <c r="CP110" s="26"/>
      <c r="CQ110" s="54"/>
      <c r="CR110" s="55"/>
      <c r="CS110" s="56"/>
      <c r="CT110" s="26"/>
      <c r="CU110" s="54"/>
      <c r="CV110" s="26"/>
      <c r="CW110" s="54"/>
      <c r="CX110" s="55"/>
      <c r="CY110" s="56"/>
      <c r="CZ110" s="26"/>
      <c r="DA110" s="54"/>
      <c r="DB110" s="26"/>
      <c r="DC110" s="54"/>
      <c r="DD110" s="55"/>
      <c r="DE110" s="56"/>
      <c r="DF110" s="26"/>
      <c r="DG110" s="54"/>
      <c r="DH110" s="26"/>
      <c r="DI110" s="54"/>
      <c r="DJ110" s="55"/>
      <c r="DK110" s="56"/>
      <c r="DL110" s="26"/>
      <c r="DM110" s="54"/>
      <c r="DN110" s="26"/>
      <c r="DO110" s="54"/>
      <c r="DP110" s="26"/>
      <c r="DQ110" s="89"/>
      <c r="DR110" s="26"/>
      <c r="DS110" s="54"/>
      <c r="DT110" s="70"/>
      <c r="DU110" s="26"/>
      <c r="DV110" s="55"/>
      <c r="DW110" s="56"/>
      <c r="DX110" s="26"/>
      <c r="DY110" s="54"/>
      <c r="DZ110" s="26"/>
      <c r="EA110" s="54"/>
      <c r="EB110" s="55"/>
      <c r="EC110" s="56"/>
      <c r="ED110" s="26"/>
      <c r="EE110" s="54"/>
      <c r="EF110" s="26"/>
      <c r="EG110" s="54"/>
      <c r="EH110" s="55"/>
      <c r="EI110" s="56"/>
      <c r="EJ110" s="26"/>
      <c r="EK110" s="54"/>
      <c r="EL110" s="26"/>
      <c r="EM110" s="54"/>
      <c r="EN110" s="55"/>
      <c r="EO110" s="56"/>
      <c r="EP110" s="26"/>
      <c r="EQ110" s="54"/>
      <c r="ER110" s="26"/>
      <c r="ES110" s="54"/>
      <c r="ET110" s="55"/>
    </row>
    <row r="111" spans="1:150" ht="20.100000000000001" hidden="1" customHeight="1" outlineLevel="1" thickBot="1">
      <c r="A111" s="3034"/>
      <c r="B111" s="3028"/>
      <c r="C111" s="1173"/>
      <c r="D111" s="2726" t="str">
        <f>実績!C1202&amp;"("&amp;SUBSTITUTE(実績!R1202&amp;")","有限会社 ","")</f>
        <v>みちのくクボタ稲垣(三和シーエム)</v>
      </c>
      <c r="E111" s="2727"/>
      <c r="F111" s="2727"/>
      <c r="G111" s="2727"/>
      <c r="H111" s="2727"/>
      <c r="I111" s="2727"/>
      <c r="J111" s="2727"/>
      <c r="K111" s="2727"/>
      <c r="L111" s="2727"/>
      <c r="M111" s="2727"/>
      <c r="N111" s="2727"/>
      <c r="O111" s="2727"/>
      <c r="P111" s="2727"/>
      <c r="Q111" s="3024"/>
      <c r="R111" s="1111"/>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56"/>
      <c r="AX111" s="26"/>
      <c r="AY111" s="54"/>
      <c r="AZ111" s="26"/>
      <c r="BA111" s="54"/>
      <c r="BB111" s="55"/>
      <c r="BC111" s="26"/>
      <c r="BD111" s="26"/>
      <c r="BE111" s="54"/>
      <c r="BF111" s="26"/>
      <c r="BG111" s="54"/>
      <c r="BH111" s="26"/>
      <c r="BI111" s="56"/>
      <c r="BJ111" s="26"/>
      <c r="BK111" s="54"/>
      <c r="BL111" s="26"/>
      <c r="BM111" s="54"/>
      <c r="BN111" s="55"/>
      <c r="BO111" s="56"/>
      <c r="BP111" s="26"/>
      <c r="BQ111" s="54"/>
      <c r="BR111" s="26"/>
      <c r="BS111" s="54"/>
      <c r="BT111" s="55"/>
      <c r="BU111" s="56"/>
      <c r="BV111" s="26"/>
      <c r="BW111" s="54"/>
      <c r="BX111" s="26"/>
      <c r="BY111" s="54"/>
      <c r="BZ111" s="55"/>
      <c r="CA111" s="56"/>
      <c r="CB111" s="26"/>
      <c r="CC111" s="54"/>
      <c r="CD111" s="26"/>
      <c r="CE111" s="54"/>
      <c r="CF111" s="55"/>
      <c r="CG111" s="56"/>
      <c r="CH111" s="26"/>
      <c r="CI111" s="54"/>
      <c r="CJ111" s="26"/>
      <c r="CK111" s="54"/>
      <c r="CL111" s="55"/>
      <c r="CM111" s="56"/>
      <c r="CN111" s="26"/>
      <c r="CO111" s="54"/>
      <c r="CP111" s="26"/>
      <c r="CQ111" s="54"/>
      <c r="CR111" s="55"/>
      <c r="CS111" s="56"/>
      <c r="CT111" s="26"/>
      <c r="CU111" s="54"/>
      <c r="CV111" s="26"/>
      <c r="CW111" s="54"/>
      <c r="CX111" s="55"/>
      <c r="CY111" s="56"/>
      <c r="CZ111" s="26"/>
      <c r="DA111" s="54"/>
      <c r="DB111" s="26"/>
      <c r="DC111" s="54"/>
      <c r="DD111" s="55"/>
      <c r="DE111" s="56"/>
      <c r="DF111" s="26"/>
      <c r="DG111" s="54"/>
      <c r="DH111" s="26"/>
      <c r="DI111" s="54"/>
      <c r="DJ111" s="55"/>
      <c r="DK111" s="56"/>
      <c r="DL111" s="26"/>
      <c r="DM111" s="54"/>
      <c r="DN111" s="26"/>
      <c r="DO111" s="54"/>
      <c r="DP111" s="26"/>
      <c r="DQ111" s="89"/>
      <c r="DR111" s="26"/>
      <c r="DS111" s="54"/>
      <c r="DT111" s="70"/>
      <c r="DU111" s="26"/>
      <c r="DV111" s="55"/>
      <c r="DW111" s="56"/>
      <c r="DX111" s="26"/>
      <c r="DY111" s="54"/>
      <c r="DZ111" s="26"/>
      <c r="EA111" s="54"/>
      <c r="EB111" s="55"/>
      <c r="EC111" s="56"/>
      <c r="ED111" s="26"/>
      <c r="EE111" s="54"/>
      <c r="EF111" s="26"/>
      <c r="EG111" s="54"/>
      <c r="EH111" s="55"/>
      <c r="EI111" s="56"/>
      <c r="EJ111" s="26"/>
      <c r="EK111" s="54"/>
      <c r="EL111" s="26"/>
      <c r="EM111" s="54"/>
      <c r="EN111" s="55"/>
      <c r="EO111" s="56"/>
      <c r="EP111" s="26"/>
      <c r="EQ111" s="54"/>
      <c r="ER111" s="26"/>
      <c r="ES111" s="54"/>
      <c r="ET111" s="55"/>
    </row>
    <row r="112" spans="1:150" ht="20.100000000000001" hidden="1" customHeight="1" outlineLevel="1" thickBot="1">
      <c r="A112" s="3034"/>
      <c r="B112" s="3028"/>
      <c r="C112" s="1173"/>
      <c r="D112" s="2726" t="str">
        <f>実績!C1162&amp;"("&amp;SUBSTITUTE(実績!W1162&amp;")"," 株式会社","")</f>
        <v>関東マツダ吉野町 リフレッシュセンター(JFEコンフォーム)</v>
      </c>
      <c r="E112" s="2878"/>
      <c r="F112" s="2878"/>
      <c r="G112" s="2878"/>
      <c r="H112" s="2878"/>
      <c r="I112" s="2878"/>
      <c r="J112" s="2878"/>
      <c r="K112" s="2878"/>
      <c r="L112" s="2878"/>
      <c r="M112" s="2878"/>
      <c r="N112" s="2878"/>
      <c r="O112" s="2878"/>
      <c r="P112" s="2878"/>
      <c r="Q112" s="3025"/>
      <c r="R112" s="1096"/>
      <c r="S112" s="26"/>
      <c r="T112" s="26"/>
      <c r="U112" s="54"/>
      <c r="V112" s="26"/>
      <c r="W112" s="54"/>
      <c r="X112" s="55"/>
      <c r="Y112" s="26"/>
      <c r="Z112" s="26"/>
      <c r="AA112" s="54"/>
      <c r="AB112" s="26"/>
      <c r="AC112" s="54"/>
      <c r="AD112" s="26"/>
      <c r="AE112" s="56"/>
      <c r="AF112" s="26"/>
      <c r="AG112" s="54"/>
      <c r="AH112" s="26"/>
      <c r="AI112" s="54"/>
      <c r="AJ112" s="55"/>
      <c r="AK112" s="26"/>
      <c r="AL112" s="26"/>
      <c r="AM112" s="54"/>
      <c r="AN112" s="26"/>
      <c r="AO112" s="54" t="s">
        <v>8575</v>
      </c>
      <c r="AP112" s="26"/>
      <c r="AQ112" s="53" t="s">
        <v>8403</v>
      </c>
      <c r="AR112" s="26"/>
      <c r="AS112" s="54"/>
      <c r="AT112" s="26"/>
      <c r="AU112" s="54"/>
      <c r="AV112" s="55"/>
      <c r="AW112" s="56"/>
      <c r="AX112" s="26"/>
      <c r="AY112" s="54"/>
      <c r="AZ112" s="26"/>
      <c r="BA112" s="54"/>
      <c r="BB112" s="55"/>
      <c r="BC112" s="26" t="s">
        <v>8250</v>
      </c>
      <c r="BD112" s="26"/>
      <c r="BE112" s="54"/>
      <c r="BF112" s="26"/>
      <c r="BG112" s="54"/>
      <c r="BH112" s="26"/>
      <c r="BI112" s="56" t="s">
        <v>8145</v>
      </c>
      <c r="BJ112" s="26"/>
      <c r="BK112" s="54"/>
      <c r="BL112" s="26"/>
      <c r="BM112" s="54"/>
      <c r="BN112" s="55"/>
      <c r="BO112" s="56"/>
      <c r="BP112" s="26"/>
      <c r="BQ112" s="54"/>
      <c r="BR112" s="26"/>
      <c r="BS112" s="54"/>
      <c r="BT112" s="55"/>
      <c r="BU112" s="56"/>
      <c r="BV112" s="26"/>
      <c r="BW112" s="54"/>
      <c r="BX112" s="26"/>
      <c r="BY112" s="54"/>
      <c r="BZ112" s="55"/>
      <c r="CA112" s="56"/>
      <c r="CB112" s="26"/>
      <c r="CC112" s="54"/>
      <c r="CD112" s="26"/>
      <c r="CE112" s="54"/>
      <c r="CF112" s="55"/>
      <c r="CG112" s="56"/>
      <c r="CH112" s="26"/>
      <c r="CI112" s="54"/>
      <c r="CJ112" s="26"/>
      <c r="CK112" s="54"/>
      <c r="CL112" s="55"/>
      <c r="CM112" s="56"/>
      <c r="CN112" s="26"/>
      <c r="CO112" s="54"/>
      <c r="CP112" s="26"/>
      <c r="CQ112" s="54"/>
      <c r="CR112" s="55"/>
      <c r="CS112" s="56"/>
      <c r="CT112" s="26"/>
      <c r="CU112" s="54"/>
      <c r="CV112" s="26"/>
      <c r="CW112" s="54"/>
      <c r="CX112" s="55"/>
      <c r="CY112" s="56"/>
      <c r="CZ112" s="26"/>
      <c r="DA112" s="54"/>
      <c r="DB112" s="26"/>
      <c r="DC112" s="54"/>
      <c r="DD112" s="55"/>
      <c r="DE112" s="56"/>
      <c r="DF112" s="26"/>
      <c r="DG112" s="54"/>
      <c r="DH112" s="26"/>
      <c r="DI112" s="54"/>
      <c r="DJ112" s="55"/>
      <c r="DK112" s="56"/>
      <c r="DL112" s="26"/>
      <c r="DM112" s="54"/>
      <c r="DN112" s="26"/>
      <c r="DO112" s="54"/>
      <c r="DP112" s="26"/>
      <c r="DQ112" s="89"/>
      <c r="DR112" s="26"/>
      <c r="DS112" s="54"/>
      <c r="DT112" s="70"/>
      <c r="DU112" s="26"/>
      <c r="DV112" s="55"/>
      <c r="DW112" s="56"/>
      <c r="DX112" s="26"/>
      <c r="DY112" s="54"/>
      <c r="DZ112" s="26"/>
      <c r="EA112" s="54"/>
      <c r="EB112" s="55"/>
      <c r="EC112" s="56"/>
      <c r="ED112" s="26"/>
      <c r="EE112" s="54"/>
      <c r="EF112" s="26"/>
      <c r="EG112" s="54"/>
      <c r="EH112" s="55"/>
      <c r="EI112" s="56"/>
      <c r="EJ112" s="26"/>
      <c r="EK112" s="54"/>
      <c r="EL112" s="26"/>
      <c r="EM112" s="54"/>
      <c r="EN112" s="55"/>
      <c r="EO112" s="56"/>
      <c r="EP112" s="26"/>
      <c r="EQ112" s="54"/>
      <c r="ER112" s="26"/>
      <c r="ES112" s="54"/>
      <c r="ET112" s="55"/>
    </row>
    <row r="113" spans="1:150" ht="20.100000000000001" hidden="1" customHeight="1" outlineLevel="1" thickBot="1">
      <c r="A113" s="3034"/>
      <c r="B113" s="3028"/>
      <c r="C113" s="1173"/>
      <c r="D113" s="2726" t="str">
        <f>実績!C1194&amp;"("&amp;SUBSTITUTE(実績!R1194&amp;")"," 株式会社","")</f>
        <v>株式会社 清水製作所工場(株式会社 剛設計事務所)</v>
      </c>
      <c r="E113" s="2878"/>
      <c r="F113" s="2878"/>
      <c r="G113" s="2878"/>
      <c r="H113" s="2878"/>
      <c r="I113" s="2878"/>
      <c r="J113" s="2878"/>
      <c r="K113" s="2878"/>
      <c r="L113" s="2878"/>
      <c r="M113" s="2878"/>
      <c r="N113" s="2878"/>
      <c r="O113" s="2878"/>
      <c r="P113" s="2878"/>
      <c r="Q113" s="3025"/>
      <c r="R113" s="1096"/>
      <c r="S113" s="26"/>
      <c r="T113" s="26"/>
      <c r="U113" s="54"/>
      <c r="V113" s="26"/>
      <c r="W113" s="54"/>
      <c r="X113" s="55"/>
      <c r="Y113" s="26"/>
      <c r="Z113" s="26"/>
      <c r="AA113" s="54"/>
      <c r="AB113" s="26"/>
      <c r="AC113" s="54"/>
      <c r="AD113" s="26"/>
      <c r="AE113" s="56"/>
      <c r="AF113" s="26"/>
      <c r="AG113" s="54"/>
      <c r="AH113" s="26"/>
      <c r="AI113" s="54"/>
      <c r="AJ113" s="55"/>
      <c r="AK113" s="26"/>
      <c r="AL113" s="26"/>
      <c r="AM113" s="54"/>
      <c r="AN113" s="26"/>
      <c r="AO113" s="54"/>
      <c r="AP113" s="26"/>
      <c r="AQ113" s="53"/>
      <c r="AR113" s="26"/>
      <c r="AS113" s="54"/>
      <c r="AT113" s="26"/>
      <c r="AU113" s="54"/>
      <c r="AV113" s="55"/>
      <c r="AW113" s="56"/>
      <c r="AX113" s="26"/>
      <c r="AY113" s="54"/>
      <c r="AZ113" s="26"/>
      <c r="BA113" s="54"/>
      <c r="BB113" s="55"/>
      <c r="BC113" s="26"/>
      <c r="BD113" s="26"/>
      <c r="BE113" s="54"/>
      <c r="BF113" s="26"/>
      <c r="BG113" s="54"/>
      <c r="BH113" s="26"/>
      <c r="BI113" s="56"/>
      <c r="BJ113" s="26"/>
      <c r="BK113" s="54"/>
      <c r="BL113" s="26"/>
      <c r="BM113" s="54" t="s">
        <v>8250</v>
      </c>
      <c r="BN113" s="55"/>
      <c r="BO113" s="56"/>
      <c r="BP113" s="26"/>
      <c r="BQ113" s="54"/>
      <c r="BR113" s="26"/>
      <c r="BS113" s="54"/>
      <c r="BT113" s="55"/>
      <c r="BU113" s="56"/>
      <c r="BV113" s="26"/>
      <c r="BW113" s="54"/>
      <c r="BX113" s="26"/>
      <c r="BY113" s="54"/>
      <c r="BZ113" s="55"/>
      <c r="CA113" s="56"/>
      <c r="CB113" s="26"/>
      <c r="CC113" s="54"/>
      <c r="CD113" s="26"/>
      <c r="CE113" s="54"/>
      <c r="CF113" s="55"/>
      <c r="CG113" s="56"/>
      <c r="CH113" s="26"/>
      <c r="CI113" s="54"/>
      <c r="CJ113" s="26"/>
      <c r="CK113" s="54"/>
      <c r="CL113" s="55"/>
      <c r="CM113" s="56"/>
      <c r="CN113" s="26"/>
      <c r="CO113" s="54"/>
      <c r="CP113" s="26"/>
      <c r="CQ113" s="54"/>
      <c r="CR113" s="55"/>
      <c r="CS113" s="56"/>
      <c r="CT113" s="26"/>
      <c r="CU113" s="54"/>
      <c r="CV113" s="26"/>
      <c r="CW113" s="54"/>
      <c r="CX113" s="55"/>
      <c r="CY113" s="56"/>
      <c r="CZ113" s="26"/>
      <c r="DA113" s="54"/>
      <c r="DB113" s="26"/>
      <c r="DC113" s="54"/>
      <c r="DD113" s="55"/>
      <c r="DE113" s="56"/>
      <c r="DF113" s="26"/>
      <c r="DG113" s="54"/>
      <c r="DH113" s="26"/>
      <c r="DI113" s="54"/>
      <c r="DJ113" s="55"/>
      <c r="DK113" s="56"/>
      <c r="DL113" s="26"/>
      <c r="DM113" s="54"/>
      <c r="DN113" s="26"/>
      <c r="DO113" s="54"/>
      <c r="DP113" s="26"/>
      <c r="DQ113" s="89"/>
      <c r="DR113" s="26"/>
      <c r="DS113" s="54"/>
      <c r="DT113" s="70"/>
      <c r="DU113" s="26"/>
      <c r="DV113" s="55"/>
      <c r="DW113" s="56"/>
      <c r="DX113" s="26"/>
      <c r="DY113" s="54"/>
      <c r="DZ113" s="26"/>
      <c r="EA113" s="54"/>
      <c r="EB113" s="55"/>
      <c r="EC113" s="56"/>
      <c r="ED113" s="26"/>
      <c r="EE113" s="54"/>
      <c r="EF113" s="26"/>
      <c r="EG113" s="54"/>
      <c r="EH113" s="55"/>
      <c r="EI113" s="56"/>
      <c r="EJ113" s="26"/>
      <c r="EK113" s="54"/>
      <c r="EL113" s="26"/>
      <c r="EM113" s="54"/>
      <c r="EN113" s="55"/>
      <c r="EO113" s="56"/>
      <c r="EP113" s="26"/>
      <c r="EQ113" s="54"/>
      <c r="ER113" s="26"/>
      <c r="ES113" s="54"/>
      <c r="ET113" s="55"/>
    </row>
    <row r="114" spans="1:150" ht="20.100000000000001" hidden="1" customHeight="1" outlineLevel="1" collapsed="1" thickBot="1">
      <c r="A114" s="3034"/>
      <c r="B114" s="3028"/>
      <c r="C114" s="1173"/>
      <c r="D114" s="2726" t="str">
        <f>実績!C1201&amp;"("&amp;SUBSTITUTE(実績!R1201&amp;")","株式会社 ","")</f>
        <v>つくば市学園の森(日本郵便)(染谷工務店)</v>
      </c>
      <c r="E114" s="2727"/>
      <c r="F114" s="2727"/>
      <c r="G114" s="2727"/>
      <c r="H114" s="2727"/>
      <c r="I114" s="2727"/>
      <c r="J114" s="2727"/>
      <c r="K114" s="2727"/>
      <c r="L114" s="2727"/>
      <c r="M114" s="2727"/>
      <c r="N114" s="2727"/>
      <c r="O114" s="2727"/>
      <c r="P114" s="2727"/>
      <c r="Q114" s="3024"/>
      <c r="R114" s="1111"/>
      <c r="S114" s="26"/>
      <c r="T114" s="26"/>
      <c r="U114" s="54"/>
      <c r="V114" s="26"/>
      <c r="W114" s="54"/>
      <c r="X114" s="55"/>
      <c r="Y114" s="26"/>
      <c r="Z114" s="26"/>
      <c r="AA114" s="54"/>
      <c r="AB114" s="26"/>
      <c r="AC114" s="54"/>
      <c r="AD114" s="26"/>
      <c r="AE114" s="26"/>
      <c r="AF114" s="26"/>
      <c r="AG114" s="54"/>
      <c r="AH114" s="26"/>
      <c r="AI114" s="54"/>
      <c r="AJ114" s="55"/>
      <c r="AK114" s="26"/>
      <c r="AL114" s="26"/>
      <c r="AM114" s="54"/>
      <c r="AN114" s="26"/>
      <c r="AO114" s="54"/>
      <c r="AP114" s="26"/>
      <c r="AQ114" s="53"/>
      <c r="AR114" s="26"/>
      <c r="AS114" s="54"/>
      <c r="AT114" s="26"/>
      <c r="AU114" s="54"/>
      <c r="AV114" s="55"/>
      <c r="AW114" s="56"/>
      <c r="AX114" s="26"/>
      <c r="AY114" s="54"/>
      <c r="AZ114" s="26" t="s">
        <v>8586</v>
      </c>
      <c r="BA114" s="54"/>
      <c r="BB114" s="55"/>
      <c r="BC114" s="26"/>
      <c r="BD114" s="26"/>
      <c r="BE114" s="54"/>
      <c r="BF114" s="26"/>
      <c r="BG114" s="54"/>
      <c r="BH114" s="26"/>
      <c r="BI114" s="56" t="s">
        <v>8145</v>
      </c>
      <c r="BJ114" s="26"/>
      <c r="BK114" s="54"/>
      <c r="BL114" s="26"/>
      <c r="BM114" s="54"/>
      <c r="BN114" s="55"/>
      <c r="BO114" s="56"/>
      <c r="BP114" s="26"/>
      <c r="BQ114" s="54"/>
      <c r="BR114" s="26"/>
      <c r="BS114" s="54"/>
      <c r="BT114" s="55"/>
      <c r="BU114" s="56"/>
      <c r="BV114" s="26"/>
      <c r="BW114" s="54"/>
      <c r="BX114" s="26"/>
      <c r="BY114" s="54"/>
      <c r="BZ114" s="55"/>
      <c r="CA114" s="56"/>
      <c r="CB114" s="26"/>
      <c r="CC114" s="54"/>
      <c r="CD114" s="26"/>
      <c r="CE114" s="54"/>
      <c r="CF114" s="55"/>
      <c r="CG114" s="56"/>
      <c r="CH114" s="26"/>
      <c r="CI114" s="54"/>
      <c r="CJ114" s="26"/>
      <c r="CK114" s="54"/>
      <c r="CL114" s="55"/>
      <c r="CM114" s="56"/>
      <c r="CN114" s="26"/>
      <c r="CO114" s="54"/>
      <c r="CP114" s="26"/>
      <c r="CQ114" s="54"/>
      <c r="CR114" s="55"/>
      <c r="CS114" s="56"/>
      <c r="CT114" s="26"/>
      <c r="CU114" s="54"/>
      <c r="CV114" s="26"/>
      <c r="CW114" s="54"/>
      <c r="CX114" s="55"/>
      <c r="CY114" s="56"/>
      <c r="CZ114" s="26"/>
      <c r="DA114" s="54"/>
      <c r="DB114" s="26"/>
      <c r="DC114" s="54"/>
      <c r="DD114" s="55"/>
      <c r="DE114" s="56"/>
      <c r="DF114" s="26"/>
      <c r="DG114" s="54"/>
      <c r="DH114" s="26"/>
      <c r="DI114" s="54"/>
      <c r="DJ114" s="55"/>
      <c r="DK114" s="56"/>
      <c r="DL114" s="26"/>
      <c r="DM114" s="54"/>
      <c r="DN114" s="26"/>
      <c r="DO114" s="54"/>
      <c r="DP114" s="26"/>
      <c r="DQ114" s="89"/>
      <c r="DR114" s="26"/>
      <c r="DS114" s="54"/>
      <c r="DT114" s="70"/>
      <c r="DU114" s="26"/>
      <c r="DV114" s="55"/>
      <c r="DW114" s="56"/>
      <c r="DX114" s="26"/>
      <c r="DY114" s="54"/>
      <c r="DZ114" s="26"/>
      <c r="EA114" s="54"/>
      <c r="EB114" s="55"/>
      <c r="EC114" s="56"/>
      <c r="ED114" s="26"/>
      <c r="EE114" s="54"/>
      <c r="EF114" s="26"/>
      <c r="EG114" s="54"/>
      <c r="EH114" s="55"/>
      <c r="EI114" s="56"/>
      <c r="EJ114" s="26"/>
      <c r="EK114" s="54"/>
      <c r="EL114" s="26"/>
      <c r="EM114" s="54"/>
      <c r="EN114" s="55"/>
      <c r="EO114" s="56"/>
      <c r="EP114" s="26"/>
      <c r="EQ114" s="54"/>
      <c r="ER114" s="26"/>
      <c r="ES114" s="54"/>
      <c r="ET114" s="55"/>
    </row>
    <row r="115" spans="1:150" ht="20.100000000000001" hidden="1" customHeight="1" outlineLevel="1" thickBot="1">
      <c r="A115" s="3034"/>
      <c r="B115" s="3028"/>
      <c r="C115" s="1173"/>
      <c r="D115" s="2726" t="str">
        <f>実績!C1206&amp;"("&amp;SUBSTITUTE(実績!R1206&amp;")","有限会社 ","")</f>
        <v>浪田商事農産物一時保管倉庫(T工房)</v>
      </c>
      <c r="E115" s="2727"/>
      <c r="F115" s="2727"/>
      <c r="G115" s="2727"/>
      <c r="H115" s="2727"/>
      <c r="I115" s="2727"/>
      <c r="J115" s="2727"/>
      <c r="K115" s="2727"/>
      <c r="L115" s="2727"/>
      <c r="M115" s="2727"/>
      <c r="N115" s="2727"/>
      <c r="O115" s="2727"/>
      <c r="P115" s="2727"/>
      <c r="Q115" s="3024"/>
      <c r="R115" s="1111"/>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56"/>
      <c r="AX115" s="26"/>
      <c r="AY115" s="54"/>
      <c r="AZ115" s="26" t="s">
        <v>9160</v>
      </c>
      <c r="BA115" s="54"/>
      <c r="BB115" s="55"/>
      <c r="BC115" s="26"/>
      <c r="BD115" s="26"/>
      <c r="BE115" s="54"/>
      <c r="BF115" s="26"/>
      <c r="BG115" s="54"/>
      <c r="BH115" s="26"/>
      <c r="BI115" s="56" t="s">
        <v>8145</v>
      </c>
      <c r="BJ115" s="26"/>
      <c r="BK115" s="54"/>
      <c r="BL115" s="26"/>
      <c r="BM115" s="54"/>
      <c r="BN115" s="55"/>
      <c r="BO115" s="56"/>
      <c r="BP115" s="26"/>
      <c r="BQ115" s="54"/>
      <c r="BR115" s="26"/>
      <c r="BS115" s="54"/>
      <c r="BT115" s="55"/>
      <c r="BU115" s="56"/>
      <c r="BV115" s="26"/>
      <c r="BW115" s="54"/>
      <c r="BX115" s="26"/>
      <c r="BY115" s="54"/>
      <c r="BZ115" s="55"/>
      <c r="CA115" s="56"/>
      <c r="CB115" s="26"/>
      <c r="CC115" s="54"/>
      <c r="CD115" s="26"/>
      <c r="CE115" s="54"/>
      <c r="CF115" s="55"/>
      <c r="CG115" s="56"/>
      <c r="CH115" s="26"/>
      <c r="CI115" s="54"/>
      <c r="CJ115" s="26"/>
      <c r="CK115" s="54"/>
      <c r="CL115" s="55"/>
      <c r="CM115" s="56"/>
      <c r="CN115" s="26"/>
      <c r="CO115" s="54"/>
      <c r="CP115" s="26"/>
      <c r="CQ115" s="54"/>
      <c r="CR115" s="55"/>
      <c r="CS115" s="56"/>
      <c r="CT115" s="26"/>
      <c r="CU115" s="54"/>
      <c r="CV115" s="26"/>
      <c r="CW115" s="54"/>
      <c r="CX115" s="55"/>
      <c r="CY115" s="56"/>
      <c r="CZ115" s="26"/>
      <c r="DA115" s="54"/>
      <c r="DB115" s="26"/>
      <c r="DC115" s="54"/>
      <c r="DD115" s="55"/>
      <c r="DE115" s="56"/>
      <c r="DF115" s="26"/>
      <c r="DG115" s="54"/>
      <c r="DH115" s="26"/>
      <c r="DI115" s="54"/>
      <c r="DJ115" s="55"/>
      <c r="DK115" s="56"/>
      <c r="DL115" s="26"/>
      <c r="DM115" s="54"/>
      <c r="DN115" s="26"/>
      <c r="DO115" s="54"/>
      <c r="DP115" s="26"/>
      <c r="DQ115" s="89"/>
      <c r="DR115" s="26"/>
      <c r="DS115" s="54"/>
      <c r="DT115" s="70"/>
      <c r="DU115" s="26"/>
      <c r="DV115" s="55"/>
      <c r="DW115" s="56"/>
      <c r="DX115" s="26"/>
      <c r="DY115" s="54"/>
      <c r="DZ115" s="26"/>
      <c r="EA115" s="54"/>
      <c r="EB115" s="55"/>
      <c r="EC115" s="56"/>
      <c r="ED115" s="26"/>
      <c r="EE115" s="54"/>
      <c r="EF115" s="26"/>
      <c r="EG115" s="54"/>
      <c r="EH115" s="55"/>
      <c r="EI115" s="56"/>
      <c r="EJ115" s="26"/>
      <c r="EK115" s="54"/>
      <c r="EL115" s="26"/>
      <c r="EM115" s="54"/>
      <c r="EN115" s="55"/>
      <c r="EO115" s="56"/>
      <c r="EP115" s="26"/>
      <c r="EQ115" s="54"/>
      <c r="ER115" s="26"/>
      <c r="ES115" s="54"/>
      <c r="ET115" s="55"/>
    </row>
    <row r="116" spans="1:150" ht="20.100000000000001" hidden="1" customHeight="1" outlineLevel="1" collapsed="1" thickBot="1">
      <c r="A116" s="3034"/>
      <c r="B116" s="3028"/>
      <c r="C116" s="1173"/>
      <c r="D116" s="2726" t="str">
        <f>実績!C1184&amp;"("&amp;SUBSTITUTE(実績!W1184&amp;")","株式会社 ","")</f>
        <v>レント中京管理センター 倉庫棟(ヒラテ技研)</v>
      </c>
      <c r="E116" s="2878"/>
      <c r="F116" s="2878"/>
      <c r="G116" s="2878"/>
      <c r="H116" s="2878"/>
      <c r="I116" s="2878"/>
      <c r="J116" s="2878"/>
      <c r="K116" s="2878"/>
      <c r="L116" s="2878"/>
      <c r="M116" s="2878"/>
      <c r="N116" s="2878"/>
      <c r="O116" s="2878"/>
      <c r="P116" s="2878"/>
      <c r="Q116" s="3025"/>
      <c r="R116" s="1096"/>
      <c r="S116" s="26"/>
      <c r="T116" s="26"/>
      <c r="U116" s="54"/>
      <c r="V116" s="26"/>
      <c r="W116" s="54"/>
      <c r="X116" s="55"/>
      <c r="Y116" s="26"/>
      <c r="Z116" s="26"/>
      <c r="AA116" s="54"/>
      <c r="AB116" s="26"/>
      <c r="AC116" s="54"/>
      <c r="AD116" s="26"/>
      <c r="AE116" s="56"/>
      <c r="AF116" s="26"/>
      <c r="AG116" s="54"/>
      <c r="AH116" s="26"/>
      <c r="AI116" s="54"/>
      <c r="AJ116" s="55"/>
      <c r="AK116" s="26"/>
      <c r="AL116" s="26"/>
      <c r="AM116" s="54"/>
      <c r="AN116" s="26"/>
      <c r="AO116" s="54"/>
      <c r="AP116" s="26"/>
      <c r="AQ116" s="53"/>
      <c r="AR116" s="26"/>
      <c r="AS116" s="54"/>
      <c r="AT116" s="26"/>
      <c r="AU116" s="54"/>
      <c r="AV116" s="55"/>
      <c r="AW116" s="56" t="s">
        <v>8575</v>
      </c>
      <c r="AX116" s="26"/>
      <c r="AY116" s="54"/>
      <c r="AZ116" s="26"/>
      <c r="BA116" s="54"/>
      <c r="BB116" s="55"/>
      <c r="BC116" s="26" t="s">
        <v>8250</v>
      </c>
      <c r="BD116" s="26"/>
      <c r="BE116" s="54"/>
      <c r="BF116" s="26"/>
      <c r="BG116" s="54"/>
      <c r="BH116" s="26"/>
      <c r="BI116" s="56"/>
      <c r="BJ116" s="26"/>
      <c r="BK116" s="54"/>
      <c r="BL116" s="26"/>
      <c r="BM116" s="54"/>
      <c r="BN116" s="55"/>
      <c r="BO116" s="56"/>
      <c r="BP116" s="26"/>
      <c r="BQ116" s="54"/>
      <c r="BR116" s="26"/>
      <c r="BS116" s="54"/>
      <c r="BT116" s="55"/>
      <c r="BU116" s="56" t="s">
        <v>8145</v>
      </c>
      <c r="BV116" s="26"/>
      <c r="BW116" s="54"/>
      <c r="BX116" s="26"/>
      <c r="BY116" s="54"/>
      <c r="BZ116" s="55"/>
      <c r="CA116" s="56"/>
      <c r="CB116" s="26"/>
      <c r="CC116" s="54"/>
      <c r="CD116" s="26"/>
      <c r="CE116" s="54"/>
      <c r="CF116" s="55"/>
      <c r="CG116" s="56"/>
      <c r="CH116" s="26"/>
      <c r="CI116" s="54"/>
      <c r="CJ116" s="26"/>
      <c r="CK116" s="54"/>
      <c r="CL116" s="55"/>
      <c r="CM116" s="56"/>
      <c r="CN116" s="26"/>
      <c r="CO116" s="54"/>
      <c r="CP116" s="26"/>
      <c r="CQ116" s="54"/>
      <c r="CR116" s="55"/>
      <c r="CS116" s="56"/>
      <c r="CT116" s="26"/>
      <c r="CU116" s="54"/>
      <c r="CV116" s="26"/>
      <c r="CW116" s="54"/>
      <c r="CX116" s="55"/>
      <c r="CY116" s="56"/>
      <c r="CZ116" s="26"/>
      <c r="DA116" s="54"/>
      <c r="DB116" s="26"/>
      <c r="DC116" s="54"/>
      <c r="DD116" s="55"/>
      <c r="DE116" s="56"/>
      <c r="DF116" s="26"/>
      <c r="DG116" s="54"/>
      <c r="DH116" s="26"/>
      <c r="DI116" s="54"/>
      <c r="DJ116" s="55"/>
      <c r="DK116" s="56"/>
      <c r="DL116" s="26"/>
      <c r="DM116" s="54"/>
      <c r="DN116" s="26"/>
      <c r="DO116" s="54"/>
      <c r="DP116" s="26"/>
      <c r="DQ116" s="89"/>
      <c r="DR116" s="26"/>
      <c r="DS116" s="54"/>
      <c r="DT116" s="70"/>
      <c r="DU116" s="26"/>
      <c r="DV116" s="55"/>
      <c r="DW116" s="56"/>
      <c r="DX116" s="26"/>
      <c r="DY116" s="54"/>
      <c r="DZ116" s="26"/>
      <c r="EA116" s="54"/>
      <c r="EB116" s="55"/>
      <c r="EC116" s="56"/>
      <c r="ED116" s="26"/>
      <c r="EE116" s="54"/>
      <c r="EF116" s="26"/>
      <c r="EG116" s="54"/>
      <c r="EH116" s="55"/>
      <c r="EI116" s="56"/>
      <c r="EJ116" s="26"/>
      <c r="EK116" s="54"/>
      <c r="EL116" s="26"/>
      <c r="EM116" s="54"/>
      <c r="EN116" s="55"/>
      <c r="EO116" s="56"/>
      <c r="EP116" s="26"/>
      <c r="EQ116" s="54"/>
      <c r="ER116" s="26"/>
      <c r="ES116" s="54"/>
      <c r="ET116" s="55"/>
    </row>
    <row r="117" spans="1:150" ht="20.100000000000001" hidden="1" customHeight="1" outlineLevel="1" thickBot="1">
      <c r="A117" s="3034"/>
      <c r="B117" s="3028"/>
      <c r="C117" s="1173"/>
      <c r="D117" s="2726" t="str">
        <f>実績!C1209&amp;"("&amp;SUBSTITUTE(実績!W1209&amp;")"," 株式会社","")</f>
        <v>ハマイ大多喜工場 第7号棟(日鉄物産システム建築)</v>
      </c>
      <c r="E117" s="2878"/>
      <c r="F117" s="2878"/>
      <c r="G117" s="2878"/>
      <c r="H117" s="2878"/>
      <c r="I117" s="2878"/>
      <c r="J117" s="2878"/>
      <c r="K117" s="2878"/>
      <c r="L117" s="2878"/>
      <c r="M117" s="2878"/>
      <c r="N117" s="2878"/>
      <c r="O117" s="2878"/>
      <c r="P117" s="2878"/>
      <c r="Q117" s="3025"/>
      <c r="R117" s="1096"/>
      <c r="S117" s="26"/>
      <c r="T117" s="26"/>
      <c r="U117" s="54"/>
      <c r="V117" s="26"/>
      <c r="W117" s="54"/>
      <c r="X117" s="55"/>
      <c r="Y117" s="26"/>
      <c r="Z117" s="26"/>
      <c r="AA117" s="54"/>
      <c r="AB117" s="26"/>
      <c r="AC117" s="54"/>
      <c r="AD117" s="26"/>
      <c r="AE117" s="56"/>
      <c r="AF117" s="26"/>
      <c r="AG117" s="54"/>
      <c r="AH117" s="26"/>
      <c r="AI117" s="54"/>
      <c r="AJ117" s="55"/>
      <c r="AK117" s="26"/>
      <c r="AL117" s="26"/>
      <c r="AM117" s="54"/>
      <c r="AN117" s="26"/>
      <c r="AO117" s="54"/>
      <c r="AP117" s="26"/>
      <c r="AQ117" s="53"/>
      <c r="AR117" s="26"/>
      <c r="AS117" s="54"/>
      <c r="AT117" s="26"/>
      <c r="AU117" s="54" t="s">
        <v>8352</v>
      </c>
      <c r="AV117" s="55"/>
      <c r="AW117" s="56"/>
      <c r="AX117" s="26"/>
      <c r="AY117" s="54"/>
      <c r="AZ117" s="26"/>
      <c r="BA117" s="54"/>
      <c r="BB117" s="55"/>
      <c r="BC117" s="26" t="s">
        <v>8250</v>
      </c>
      <c r="BD117" s="26"/>
      <c r="BE117" s="54"/>
      <c r="BF117" s="26"/>
      <c r="BG117" s="54"/>
      <c r="BH117" s="26"/>
      <c r="BI117" s="56"/>
      <c r="BJ117" s="26"/>
      <c r="BK117" s="54"/>
      <c r="BL117" s="26"/>
      <c r="BM117" s="54"/>
      <c r="BN117" s="55"/>
      <c r="BO117" s="56" t="s">
        <v>8145</v>
      </c>
      <c r="BP117" s="26"/>
      <c r="BQ117" s="54"/>
      <c r="BR117" s="26"/>
      <c r="BS117" s="54"/>
      <c r="BT117" s="55"/>
      <c r="BU117" s="56"/>
      <c r="BV117" s="26"/>
      <c r="BW117" s="54"/>
      <c r="BX117" s="26"/>
      <c r="BY117" s="54"/>
      <c r="BZ117" s="55"/>
      <c r="CA117" s="56"/>
      <c r="CB117" s="26"/>
      <c r="CC117" s="54"/>
      <c r="CD117" s="26"/>
      <c r="CE117" s="54"/>
      <c r="CF117" s="55"/>
      <c r="CG117" s="56"/>
      <c r="CH117" s="26"/>
      <c r="CI117" s="54"/>
      <c r="CJ117" s="26"/>
      <c r="CK117" s="54"/>
      <c r="CL117" s="55"/>
      <c r="CM117" s="56"/>
      <c r="CN117" s="26"/>
      <c r="CO117" s="54"/>
      <c r="CP117" s="26"/>
      <c r="CQ117" s="54"/>
      <c r="CR117" s="55"/>
      <c r="CS117" s="56"/>
      <c r="CT117" s="26"/>
      <c r="CU117" s="54"/>
      <c r="CV117" s="26"/>
      <c r="CW117" s="54"/>
      <c r="CX117" s="55"/>
      <c r="CY117" s="56"/>
      <c r="CZ117" s="26"/>
      <c r="DA117" s="54"/>
      <c r="DB117" s="26"/>
      <c r="DC117" s="54"/>
      <c r="DD117" s="55"/>
      <c r="DE117" s="56"/>
      <c r="DF117" s="26"/>
      <c r="DG117" s="54"/>
      <c r="DH117" s="26"/>
      <c r="DI117" s="54"/>
      <c r="DJ117" s="55"/>
      <c r="DK117" s="56"/>
      <c r="DL117" s="26"/>
      <c r="DM117" s="54"/>
      <c r="DN117" s="26"/>
      <c r="DO117" s="54"/>
      <c r="DP117" s="26"/>
      <c r="DQ117" s="89"/>
      <c r="DR117" s="26"/>
      <c r="DS117" s="54"/>
      <c r="DT117" s="70"/>
      <c r="DU117" s="26"/>
      <c r="DV117" s="55"/>
      <c r="DW117" s="56"/>
      <c r="DX117" s="26"/>
      <c r="DY117" s="54"/>
      <c r="DZ117" s="26"/>
      <c r="EA117" s="54"/>
      <c r="EB117" s="55"/>
      <c r="EC117" s="56"/>
      <c r="ED117" s="26"/>
      <c r="EE117" s="54"/>
      <c r="EF117" s="26"/>
      <c r="EG117" s="54"/>
      <c r="EH117" s="55"/>
      <c r="EI117" s="56"/>
      <c r="EJ117" s="26"/>
      <c r="EK117" s="54"/>
      <c r="EL117" s="26"/>
      <c r="EM117" s="54"/>
      <c r="EN117" s="55"/>
      <c r="EO117" s="56"/>
      <c r="EP117" s="26"/>
      <c r="EQ117" s="54"/>
      <c r="ER117" s="26"/>
      <c r="ES117" s="54"/>
      <c r="ET117" s="55"/>
    </row>
    <row r="118" spans="1:150" ht="20.100000000000001" hidden="1" customHeight="1" outlineLevel="1" collapsed="1" thickBot="1">
      <c r="A118" s="3034"/>
      <c r="B118" s="3028"/>
      <c r="C118" s="1173"/>
      <c r="D118" s="2726" t="str">
        <f>実績!C1210&amp;"("&amp;SUBSTITUTE(実績!R1210&amp;")","株式会社 ","")</f>
        <v>ハローズ佐古(山陽設計)</v>
      </c>
      <c r="E118" s="2878"/>
      <c r="F118" s="2878"/>
      <c r="G118" s="2878"/>
      <c r="H118" s="2878"/>
      <c r="I118" s="2878"/>
      <c r="J118" s="2878"/>
      <c r="K118" s="2878"/>
      <c r="L118" s="2878"/>
      <c r="M118" s="2878"/>
      <c r="N118" s="2878"/>
      <c r="O118" s="2878"/>
      <c r="P118" s="2878"/>
      <c r="Q118" s="3025"/>
      <c r="R118" s="1096"/>
      <c r="S118" s="26"/>
      <c r="T118" s="26"/>
      <c r="U118" s="54"/>
      <c r="V118" s="26"/>
      <c r="W118" s="54"/>
      <c r="X118" s="55"/>
      <c r="Y118" s="26"/>
      <c r="Z118" s="26"/>
      <c r="AA118" s="54"/>
      <c r="AB118" s="26"/>
      <c r="AC118" s="54"/>
      <c r="AD118" s="26"/>
      <c r="AE118" s="26"/>
      <c r="AF118" s="26"/>
      <c r="AG118" s="54"/>
      <c r="AH118" s="26"/>
      <c r="AI118" s="54"/>
      <c r="AJ118" s="55"/>
      <c r="AK118" s="26"/>
      <c r="AL118" s="26"/>
      <c r="AM118" s="54"/>
      <c r="AN118" s="26"/>
      <c r="AO118" s="54"/>
      <c r="AP118" s="26"/>
      <c r="AQ118" s="53"/>
      <c r="AR118" s="26"/>
      <c r="AS118" s="54"/>
      <c r="AT118" s="26"/>
      <c r="AU118" s="54"/>
      <c r="AV118" s="55"/>
      <c r="AW118" s="56"/>
      <c r="AX118" s="26"/>
      <c r="AY118" s="54"/>
      <c r="AZ118" s="26"/>
      <c r="BA118" s="54"/>
      <c r="BB118" s="55"/>
      <c r="BC118" s="26"/>
      <c r="BD118" s="26"/>
      <c r="BE118" s="54" t="s">
        <v>8250</v>
      </c>
      <c r="BF118" s="26"/>
      <c r="BG118" s="54"/>
      <c r="BH118" s="26"/>
      <c r="BI118" s="56"/>
      <c r="BJ118" s="26"/>
      <c r="BK118" s="54"/>
      <c r="BL118" s="26" t="s">
        <v>9019</v>
      </c>
      <c r="BM118" s="54"/>
      <c r="BN118" s="55"/>
      <c r="BO118" s="56"/>
      <c r="BP118" s="26"/>
      <c r="BQ118" s="54"/>
      <c r="BR118" s="26"/>
      <c r="BS118" s="54"/>
      <c r="BT118" s="55"/>
      <c r="BU118" s="56"/>
      <c r="BV118" s="26"/>
      <c r="BW118" s="54"/>
      <c r="BX118" s="26"/>
      <c r="BY118" s="54"/>
      <c r="BZ118" s="55"/>
      <c r="CA118" s="56"/>
      <c r="CB118" s="26"/>
      <c r="CC118" s="54"/>
      <c r="CD118" s="26"/>
      <c r="CE118" s="54"/>
      <c r="CF118" s="55"/>
      <c r="CG118" s="56"/>
      <c r="CH118" s="26"/>
      <c r="CI118" s="54"/>
      <c r="CJ118" s="26"/>
      <c r="CK118" s="54"/>
      <c r="CL118" s="55"/>
      <c r="CM118" s="56"/>
      <c r="CN118" s="26"/>
      <c r="CO118" s="54"/>
      <c r="CP118" s="26"/>
      <c r="CQ118" s="54"/>
      <c r="CR118" s="55"/>
      <c r="CS118" s="56"/>
      <c r="CT118" s="26"/>
      <c r="CU118" s="54"/>
      <c r="CV118" s="26"/>
      <c r="CW118" s="54"/>
      <c r="CX118" s="55"/>
      <c r="CY118" s="56"/>
      <c r="CZ118" s="26"/>
      <c r="DA118" s="54"/>
      <c r="DB118" s="26"/>
      <c r="DC118" s="54"/>
      <c r="DD118" s="55"/>
      <c r="DE118" s="56"/>
      <c r="DF118" s="26"/>
      <c r="DG118" s="54"/>
      <c r="DH118" s="26"/>
      <c r="DI118" s="54"/>
      <c r="DJ118" s="55"/>
      <c r="DK118" s="56"/>
      <c r="DL118" s="26"/>
      <c r="DM118" s="54"/>
      <c r="DN118" s="26"/>
      <c r="DO118" s="54"/>
      <c r="DP118" s="26"/>
      <c r="DQ118" s="89"/>
      <c r="DR118" s="26"/>
      <c r="DS118" s="54"/>
      <c r="DT118" s="70"/>
      <c r="DU118" s="26"/>
      <c r="DV118" s="55"/>
      <c r="DW118" s="56"/>
      <c r="DX118" s="26"/>
      <c r="DY118" s="54"/>
      <c r="DZ118" s="26"/>
      <c r="EA118" s="54"/>
      <c r="EB118" s="55"/>
      <c r="EC118" s="56"/>
      <c r="ED118" s="26"/>
      <c r="EE118" s="54"/>
      <c r="EF118" s="26"/>
      <c r="EG118" s="54"/>
      <c r="EH118" s="55"/>
      <c r="EI118" s="56"/>
      <c r="EJ118" s="26"/>
      <c r="EK118" s="54"/>
      <c r="EL118" s="26"/>
      <c r="EM118" s="54"/>
      <c r="EN118" s="55"/>
      <c r="EO118" s="56"/>
      <c r="EP118" s="26"/>
      <c r="EQ118" s="54"/>
      <c r="ER118" s="26"/>
      <c r="ES118" s="54"/>
      <c r="ET118" s="55"/>
    </row>
    <row r="119" spans="1:150" ht="20.100000000000001" hidden="1" customHeight="1" outlineLevel="1" thickBot="1">
      <c r="A119" s="3034"/>
      <c r="B119" s="3028"/>
      <c r="C119" s="1173"/>
      <c r="D119" s="2726" t="s">
        <v>9166</v>
      </c>
      <c r="E119" s="2878"/>
      <c r="F119" s="2878"/>
      <c r="G119" s="2878"/>
      <c r="H119" s="2878"/>
      <c r="I119" s="2878"/>
      <c r="J119" s="2878"/>
      <c r="K119" s="2878"/>
      <c r="L119" s="2878"/>
      <c r="M119" s="2878"/>
      <c r="N119" s="2878"/>
      <c r="O119" s="2878"/>
      <c r="P119" s="2878"/>
      <c r="Q119" s="3025"/>
      <c r="R119" s="1096"/>
      <c r="S119" s="26"/>
      <c r="T119" s="26"/>
      <c r="U119" s="54"/>
      <c r="V119" s="26"/>
      <c r="W119" s="54"/>
      <c r="X119" s="55"/>
      <c r="Y119" s="26"/>
      <c r="Z119" s="26"/>
      <c r="AA119" s="54"/>
      <c r="AB119" s="26"/>
      <c r="AC119" s="54"/>
      <c r="AD119" s="26"/>
      <c r="AE119" s="56"/>
      <c r="AF119" s="26"/>
      <c r="AG119" s="54"/>
      <c r="AH119" s="26"/>
      <c r="AI119" s="54"/>
      <c r="AJ119" s="55"/>
      <c r="AK119" s="26"/>
      <c r="AL119" s="26"/>
      <c r="AM119" s="54"/>
      <c r="AN119" s="26"/>
      <c r="AO119" s="54"/>
      <c r="AP119" s="26"/>
      <c r="AQ119" s="53"/>
      <c r="AR119" s="26"/>
      <c r="AS119" s="54"/>
      <c r="AT119" s="26"/>
      <c r="AU119" s="54" t="s">
        <v>8352</v>
      </c>
      <c r="AV119" s="55"/>
      <c r="AW119" s="56"/>
      <c r="AX119" s="26"/>
      <c r="AY119" s="54"/>
      <c r="AZ119" s="26"/>
      <c r="BA119" s="54"/>
      <c r="BB119" s="55"/>
      <c r="BC119" s="26"/>
      <c r="BD119" s="26"/>
      <c r="BE119" s="54" t="s">
        <v>8250</v>
      </c>
      <c r="BF119" s="26"/>
      <c r="BG119" s="54"/>
      <c r="BH119" s="26"/>
      <c r="BI119" s="56"/>
      <c r="BJ119" s="26"/>
      <c r="BK119" s="54"/>
      <c r="BL119" s="26" t="s">
        <v>8145</v>
      </c>
      <c r="BM119" s="54"/>
      <c r="BN119" s="55"/>
      <c r="BO119" s="56"/>
      <c r="BP119" s="26"/>
      <c r="BQ119" s="54"/>
      <c r="BR119" s="26"/>
      <c r="BS119" s="54"/>
      <c r="BT119" s="55"/>
      <c r="BU119" s="56"/>
      <c r="BV119" s="26"/>
      <c r="BW119" s="54"/>
      <c r="BX119" s="26"/>
      <c r="BY119" s="54"/>
      <c r="BZ119" s="55"/>
      <c r="CA119" s="56"/>
      <c r="CB119" s="26"/>
      <c r="CC119" s="54"/>
      <c r="CD119" s="26"/>
      <c r="CE119" s="54"/>
      <c r="CF119" s="55"/>
      <c r="CG119" s="56"/>
      <c r="CH119" s="26"/>
      <c r="CI119" s="54"/>
      <c r="CJ119" s="26"/>
      <c r="CK119" s="54"/>
      <c r="CL119" s="55"/>
      <c r="CM119" s="56"/>
      <c r="CN119" s="26"/>
      <c r="CO119" s="54"/>
      <c r="CP119" s="26"/>
      <c r="CQ119" s="54"/>
      <c r="CR119" s="55"/>
      <c r="CS119" s="56"/>
      <c r="CT119" s="26"/>
      <c r="CU119" s="54"/>
      <c r="CV119" s="26"/>
      <c r="CW119" s="54"/>
      <c r="CX119" s="55"/>
      <c r="CY119" s="56"/>
      <c r="CZ119" s="26"/>
      <c r="DA119" s="54"/>
      <c r="DB119" s="26"/>
      <c r="DC119" s="54"/>
      <c r="DD119" s="55"/>
      <c r="DE119" s="56"/>
      <c r="DF119" s="26"/>
      <c r="DG119" s="54"/>
      <c r="DH119" s="26"/>
      <c r="DI119" s="54"/>
      <c r="DJ119" s="55"/>
      <c r="DK119" s="56"/>
      <c r="DL119" s="26"/>
      <c r="DM119" s="54"/>
      <c r="DN119" s="26"/>
      <c r="DO119" s="54"/>
      <c r="DP119" s="26"/>
      <c r="DQ119" s="89"/>
      <c r="DR119" s="26"/>
      <c r="DS119" s="54"/>
      <c r="DT119" s="70"/>
      <c r="DU119" s="26"/>
      <c r="DV119" s="55"/>
      <c r="DW119" s="56"/>
      <c r="DX119" s="26"/>
      <c r="DY119" s="54"/>
      <c r="DZ119" s="26"/>
      <c r="EA119" s="54"/>
      <c r="EB119" s="55"/>
      <c r="EC119" s="56"/>
      <c r="ED119" s="26"/>
      <c r="EE119" s="54"/>
      <c r="EF119" s="26"/>
      <c r="EG119" s="54"/>
      <c r="EH119" s="55"/>
      <c r="EI119" s="56"/>
      <c r="EJ119" s="26"/>
      <c r="EK119" s="54"/>
      <c r="EL119" s="26"/>
      <c r="EM119" s="54"/>
      <c r="EN119" s="55"/>
      <c r="EO119" s="56"/>
      <c r="EP119" s="26"/>
      <c r="EQ119" s="54"/>
      <c r="ER119" s="26"/>
      <c r="ES119" s="54"/>
      <c r="ET119" s="55"/>
    </row>
    <row r="120" spans="1:150" ht="20.100000000000001" hidden="1" customHeight="1" outlineLevel="1" thickBot="1">
      <c r="A120" s="3034"/>
      <c r="B120" s="3028"/>
      <c r="C120" s="1173"/>
      <c r="D120" s="2726" t="str">
        <f>実績!C1203&amp;"("&amp;SUBSTITUTE(実績!R1203&amp;")"," 株式会社","")</f>
        <v>ドラッグコスモス西浜(Liebe建築設計)</v>
      </c>
      <c r="E120" s="2878"/>
      <c r="F120" s="2878"/>
      <c r="G120" s="2878"/>
      <c r="H120" s="2878"/>
      <c r="I120" s="2878"/>
      <c r="J120" s="2878"/>
      <c r="K120" s="2878"/>
      <c r="L120" s="2878"/>
      <c r="M120" s="2878"/>
      <c r="N120" s="2878"/>
      <c r="O120" s="2878"/>
      <c r="P120" s="2878"/>
      <c r="Q120" s="3025"/>
      <c r="R120" s="1096"/>
      <c r="S120" s="26"/>
      <c r="T120" s="26"/>
      <c r="U120" s="54"/>
      <c r="V120" s="26"/>
      <c r="W120" s="54"/>
      <c r="X120" s="55"/>
      <c r="Y120" s="26"/>
      <c r="Z120" s="26"/>
      <c r="AA120" s="54"/>
      <c r="AB120" s="26"/>
      <c r="AC120" s="54"/>
      <c r="AD120" s="26"/>
      <c r="AE120" s="56"/>
      <c r="AF120" s="26"/>
      <c r="AG120" s="54"/>
      <c r="AH120" s="26"/>
      <c r="AI120" s="54"/>
      <c r="AJ120" s="55"/>
      <c r="AK120" s="26"/>
      <c r="AL120" s="26"/>
      <c r="AM120" s="54"/>
      <c r="AN120" s="26"/>
      <c r="AO120" s="54"/>
      <c r="AP120" s="26"/>
      <c r="AQ120" s="53"/>
      <c r="AR120" s="26"/>
      <c r="AS120" s="54"/>
      <c r="AT120" s="26"/>
      <c r="AU120" s="54"/>
      <c r="AV120" s="55"/>
      <c r="AW120" s="56"/>
      <c r="AX120" s="26"/>
      <c r="AY120" s="54"/>
      <c r="AZ120" s="26"/>
      <c r="BA120" s="54"/>
      <c r="BB120" s="55"/>
      <c r="BC120" s="26"/>
      <c r="BD120" s="26"/>
      <c r="BE120" s="54"/>
      <c r="BF120" s="26" t="s">
        <v>8250</v>
      </c>
      <c r="BG120" s="54"/>
      <c r="BH120" s="26"/>
      <c r="BI120" s="56"/>
      <c r="BJ120" s="26"/>
      <c r="BK120" s="54"/>
      <c r="BL120" s="26" t="s">
        <v>8145</v>
      </c>
      <c r="BM120" s="54"/>
      <c r="BN120" s="55"/>
      <c r="BO120" s="56"/>
      <c r="BP120" s="26"/>
      <c r="BQ120" s="54"/>
      <c r="BR120" s="26"/>
      <c r="BS120" s="54"/>
      <c r="BT120" s="55"/>
      <c r="BU120" s="56"/>
      <c r="BV120" s="26"/>
      <c r="BW120" s="54"/>
      <c r="BX120" s="26"/>
      <c r="BY120" s="54"/>
      <c r="BZ120" s="55"/>
      <c r="CA120" s="56"/>
      <c r="CB120" s="26"/>
      <c r="CC120" s="54"/>
      <c r="CD120" s="26"/>
      <c r="CE120" s="54"/>
      <c r="CF120" s="55"/>
      <c r="CG120" s="56"/>
      <c r="CH120" s="26"/>
      <c r="CI120" s="54"/>
      <c r="CJ120" s="26"/>
      <c r="CK120" s="54"/>
      <c r="CL120" s="55"/>
      <c r="CM120" s="56"/>
      <c r="CN120" s="26"/>
      <c r="CO120" s="54"/>
      <c r="CP120" s="26"/>
      <c r="CQ120" s="54"/>
      <c r="CR120" s="55"/>
      <c r="CS120" s="56"/>
      <c r="CT120" s="26"/>
      <c r="CU120" s="54"/>
      <c r="CV120" s="26"/>
      <c r="CW120" s="54"/>
      <c r="CX120" s="55"/>
      <c r="CY120" s="56"/>
      <c r="CZ120" s="26"/>
      <c r="DA120" s="54"/>
      <c r="DB120" s="26"/>
      <c r="DC120" s="54"/>
      <c r="DD120" s="55"/>
      <c r="DE120" s="56"/>
      <c r="DF120" s="26"/>
      <c r="DG120" s="54"/>
      <c r="DH120" s="26"/>
      <c r="DI120" s="54"/>
      <c r="DJ120" s="55"/>
      <c r="DK120" s="56"/>
      <c r="DL120" s="26"/>
      <c r="DM120" s="54"/>
      <c r="DN120" s="26"/>
      <c r="DO120" s="54"/>
      <c r="DP120" s="26"/>
      <c r="DQ120" s="89"/>
      <c r="DR120" s="26"/>
      <c r="DS120" s="54"/>
      <c r="DT120" s="70"/>
      <c r="DU120" s="26"/>
      <c r="DV120" s="55"/>
      <c r="DW120" s="56"/>
      <c r="DX120" s="26"/>
      <c r="DY120" s="54"/>
      <c r="DZ120" s="26"/>
      <c r="EA120" s="54"/>
      <c r="EB120" s="55"/>
      <c r="EC120" s="56"/>
      <c r="ED120" s="26"/>
      <c r="EE120" s="54"/>
      <c r="EF120" s="26"/>
      <c r="EG120" s="54"/>
      <c r="EH120" s="55"/>
      <c r="EI120" s="56"/>
      <c r="EJ120" s="26"/>
      <c r="EK120" s="54"/>
      <c r="EL120" s="26"/>
      <c r="EM120" s="54"/>
      <c r="EN120" s="55"/>
      <c r="EO120" s="56"/>
      <c r="EP120" s="26"/>
      <c r="EQ120" s="54"/>
      <c r="ER120" s="26"/>
      <c r="ES120" s="54"/>
      <c r="ET120" s="55"/>
    </row>
    <row r="121" spans="1:150" ht="20.100000000000001" hidden="1" customHeight="1" outlineLevel="1" collapsed="1" thickBot="1">
      <c r="A121" s="3034"/>
      <c r="B121" s="3028"/>
      <c r="C121" s="1173"/>
      <c r="D121" s="2726" t="str">
        <f>実績!C1212&amp;"("&amp;SUBSTITUTE(実績!W1212&amp;")"," 株式会社","")</f>
        <v>関根様 自動車整備工場(エーピーエヌ設計)</v>
      </c>
      <c r="E121" s="2727"/>
      <c r="F121" s="2727"/>
      <c r="G121" s="2727"/>
      <c r="H121" s="2727"/>
      <c r="I121" s="2727"/>
      <c r="J121" s="2727"/>
      <c r="K121" s="2727"/>
      <c r="L121" s="2727"/>
      <c r="M121" s="2727"/>
      <c r="N121" s="2727"/>
      <c r="O121" s="2727"/>
      <c r="P121" s="2727"/>
      <c r="Q121" s="3024"/>
      <c r="R121" s="1111"/>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56"/>
      <c r="AX121" s="26"/>
      <c r="AY121" s="54"/>
      <c r="AZ121" s="26"/>
      <c r="BA121" s="54"/>
      <c r="BB121" s="55"/>
      <c r="BC121" s="26"/>
      <c r="BD121" s="26"/>
      <c r="BE121" s="54"/>
      <c r="BF121" s="26" t="s">
        <v>8250</v>
      </c>
      <c r="BG121" s="54"/>
      <c r="BH121" s="26"/>
      <c r="BI121" s="56"/>
      <c r="BJ121" s="26"/>
      <c r="BK121" s="54"/>
      <c r="BL121" s="26"/>
      <c r="BM121" s="54"/>
      <c r="BN121" s="55"/>
      <c r="BO121" s="56" t="s">
        <v>8145</v>
      </c>
      <c r="BP121" s="26"/>
      <c r="BQ121" s="54"/>
      <c r="BR121" s="26"/>
      <c r="BS121" s="54"/>
      <c r="BT121" s="55"/>
      <c r="BU121" s="56"/>
      <c r="BV121" s="26"/>
      <c r="BW121" s="54"/>
      <c r="BX121" s="26"/>
      <c r="BY121" s="54"/>
      <c r="BZ121" s="55"/>
      <c r="CA121" s="56"/>
      <c r="CB121" s="26"/>
      <c r="CC121" s="54"/>
      <c r="CD121" s="26"/>
      <c r="CE121" s="54"/>
      <c r="CF121" s="55"/>
      <c r="CG121" s="56"/>
      <c r="CH121" s="26"/>
      <c r="CI121" s="54"/>
      <c r="CJ121" s="26"/>
      <c r="CK121" s="54"/>
      <c r="CL121" s="55"/>
      <c r="CM121" s="56"/>
      <c r="CN121" s="26"/>
      <c r="CO121" s="54"/>
      <c r="CP121" s="26"/>
      <c r="CQ121" s="54"/>
      <c r="CR121" s="55"/>
      <c r="CS121" s="56"/>
      <c r="CT121" s="26"/>
      <c r="CU121" s="54"/>
      <c r="CV121" s="26"/>
      <c r="CW121" s="54"/>
      <c r="CX121" s="55"/>
      <c r="CY121" s="56"/>
      <c r="CZ121" s="26"/>
      <c r="DA121" s="54"/>
      <c r="DB121" s="26"/>
      <c r="DC121" s="54"/>
      <c r="DD121" s="55"/>
      <c r="DE121" s="56"/>
      <c r="DF121" s="26"/>
      <c r="DG121" s="54"/>
      <c r="DH121" s="26"/>
      <c r="DI121" s="54"/>
      <c r="DJ121" s="55"/>
      <c r="DK121" s="56"/>
      <c r="DL121" s="26"/>
      <c r="DM121" s="54"/>
      <c r="DN121" s="26"/>
      <c r="DO121" s="54"/>
      <c r="DP121" s="26"/>
      <c r="DQ121" s="89"/>
      <c r="DR121" s="26"/>
      <c r="DS121" s="54"/>
      <c r="DT121" s="70"/>
      <c r="DU121" s="26"/>
      <c r="DV121" s="55"/>
      <c r="DW121" s="56"/>
      <c r="DX121" s="26"/>
      <c r="DY121" s="54"/>
      <c r="DZ121" s="26"/>
      <c r="EA121" s="54"/>
      <c r="EB121" s="55"/>
      <c r="EC121" s="56"/>
      <c r="ED121" s="26"/>
      <c r="EE121" s="54"/>
      <c r="EF121" s="26"/>
      <c r="EG121" s="54"/>
      <c r="EH121" s="55"/>
      <c r="EI121" s="56"/>
      <c r="EJ121" s="26"/>
      <c r="EK121" s="54"/>
      <c r="EL121" s="26"/>
      <c r="EM121" s="54"/>
      <c r="EN121" s="55"/>
      <c r="EO121" s="56"/>
      <c r="EP121" s="26"/>
      <c r="EQ121" s="54"/>
      <c r="ER121" s="26"/>
      <c r="ES121" s="54"/>
      <c r="ET121" s="55"/>
    </row>
    <row r="122" spans="1:150" ht="20.100000000000001" hidden="1" customHeight="1" outlineLevel="1" thickBot="1">
      <c r="A122" s="3034"/>
      <c r="B122" s="3028"/>
      <c r="C122" s="1173"/>
      <c r="D122" s="2726" t="str">
        <f>実績!C1208&amp;"("&amp;SUBSTITUTE(実績!AB1208&amp;")","株式会社 ","")</f>
        <v>株式会社 右門 第二工場(タカヤ)</v>
      </c>
      <c r="E122" s="2878"/>
      <c r="F122" s="2878"/>
      <c r="G122" s="2878"/>
      <c r="H122" s="2878"/>
      <c r="I122" s="2878"/>
      <c r="J122" s="2878"/>
      <c r="K122" s="2878"/>
      <c r="L122" s="2878"/>
      <c r="M122" s="2878"/>
      <c r="N122" s="2878"/>
      <c r="O122" s="2878"/>
      <c r="P122" s="2878"/>
      <c r="Q122" s="3025"/>
      <c r="R122" s="1096"/>
      <c r="S122" s="26"/>
      <c r="T122" s="26"/>
      <c r="U122" s="54"/>
      <c r="V122" s="26"/>
      <c r="W122" s="54"/>
      <c r="X122" s="55"/>
      <c r="Y122" s="26"/>
      <c r="Z122" s="26"/>
      <c r="AA122" s="54"/>
      <c r="AB122" s="26"/>
      <c r="AC122" s="54"/>
      <c r="AD122" s="26"/>
      <c r="AE122" s="56"/>
      <c r="AF122" s="26"/>
      <c r="AG122" s="54"/>
      <c r="AH122" s="26"/>
      <c r="AI122" s="54"/>
      <c r="AJ122" s="55"/>
      <c r="AK122" s="26"/>
      <c r="AL122" s="26"/>
      <c r="AM122" s="54"/>
      <c r="AN122" s="26"/>
      <c r="AO122" s="54"/>
      <c r="AP122" s="26"/>
      <c r="AQ122" s="53"/>
      <c r="AR122" s="26"/>
      <c r="AS122" s="54"/>
      <c r="AT122" s="26"/>
      <c r="AU122" s="54" t="s">
        <v>8352</v>
      </c>
      <c r="AV122" s="55"/>
      <c r="AW122" s="56"/>
      <c r="AX122" s="26"/>
      <c r="AY122" s="54"/>
      <c r="AZ122" s="26"/>
      <c r="BA122" s="54"/>
      <c r="BB122" s="55"/>
      <c r="BC122" s="26"/>
      <c r="BD122" s="26"/>
      <c r="BE122" s="54"/>
      <c r="BF122" s="26" t="s">
        <v>8250</v>
      </c>
      <c r="BG122" s="54"/>
      <c r="BH122" s="26"/>
      <c r="BI122" s="56"/>
      <c r="BJ122" s="26"/>
      <c r="BK122" s="54"/>
      <c r="BL122" s="26"/>
      <c r="BM122" s="54"/>
      <c r="BN122" s="55"/>
      <c r="BO122" s="56" t="s">
        <v>8145</v>
      </c>
      <c r="BP122" s="26"/>
      <c r="BQ122" s="54"/>
      <c r="BR122" s="26"/>
      <c r="BS122" s="54"/>
      <c r="BT122" s="55"/>
      <c r="BU122" s="56"/>
      <c r="BV122" s="26"/>
      <c r="BW122" s="54"/>
      <c r="BX122" s="26"/>
      <c r="BY122" s="54"/>
      <c r="BZ122" s="55"/>
      <c r="CA122" s="56"/>
      <c r="CB122" s="26"/>
      <c r="CC122" s="54"/>
      <c r="CD122" s="26"/>
      <c r="CE122" s="54"/>
      <c r="CF122" s="55"/>
      <c r="CG122" s="56"/>
      <c r="CH122" s="26"/>
      <c r="CI122" s="54"/>
      <c r="CJ122" s="26"/>
      <c r="CK122" s="54"/>
      <c r="CL122" s="55"/>
      <c r="CM122" s="56"/>
      <c r="CN122" s="26"/>
      <c r="CO122" s="54"/>
      <c r="CP122" s="26"/>
      <c r="CQ122" s="54"/>
      <c r="CR122" s="55"/>
      <c r="CS122" s="56"/>
      <c r="CT122" s="26"/>
      <c r="CU122" s="54"/>
      <c r="CV122" s="26"/>
      <c r="CW122" s="54"/>
      <c r="CX122" s="55"/>
      <c r="CY122" s="56"/>
      <c r="CZ122" s="26"/>
      <c r="DA122" s="54"/>
      <c r="DB122" s="26"/>
      <c r="DC122" s="54"/>
      <c r="DD122" s="55"/>
      <c r="DE122" s="56"/>
      <c r="DF122" s="26"/>
      <c r="DG122" s="54"/>
      <c r="DH122" s="26"/>
      <c r="DI122" s="54"/>
      <c r="DJ122" s="55"/>
      <c r="DK122" s="56"/>
      <c r="DL122" s="26"/>
      <c r="DM122" s="54"/>
      <c r="DN122" s="26"/>
      <c r="DO122" s="54"/>
      <c r="DP122" s="26"/>
      <c r="DQ122" s="89"/>
      <c r="DR122" s="26"/>
      <c r="DS122" s="54"/>
      <c r="DT122" s="70"/>
      <c r="DU122" s="26"/>
      <c r="DV122" s="55"/>
      <c r="DW122" s="56"/>
      <c r="DX122" s="26"/>
      <c r="DY122" s="54"/>
      <c r="DZ122" s="26"/>
      <c r="EA122" s="54"/>
      <c r="EB122" s="55"/>
      <c r="EC122" s="56"/>
      <c r="ED122" s="26"/>
      <c r="EE122" s="54"/>
      <c r="EF122" s="26"/>
      <c r="EG122" s="54"/>
      <c r="EH122" s="55"/>
      <c r="EI122" s="56"/>
      <c r="EJ122" s="26"/>
      <c r="EK122" s="54"/>
      <c r="EL122" s="26"/>
      <c r="EM122" s="54"/>
      <c r="EN122" s="55"/>
      <c r="EO122" s="56"/>
      <c r="EP122" s="26"/>
      <c r="EQ122" s="54"/>
      <c r="ER122" s="26"/>
      <c r="ES122" s="54"/>
      <c r="ET122" s="55"/>
    </row>
    <row r="123" spans="1:150" ht="20.100000000000001" hidden="1" customHeight="1" outlineLevel="1" thickBot="1">
      <c r="A123" s="3034"/>
      <c r="B123" s="3028"/>
      <c r="C123" s="1173"/>
      <c r="D123" s="2726" t="str">
        <f>実績!C1213&amp;"("&amp;SUBSTITUTE(実績!W1213&amp;")","株式会社 ","")</f>
        <v>フェイス田川(田中構造設計事務所)</v>
      </c>
      <c r="E123" s="2727"/>
      <c r="F123" s="2727"/>
      <c r="G123" s="2727"/>
      <c r="H123" s="2727"/>
      <c r="I123" s="2727"/>
      <c r="J123" s="2727"/>
      <c r="K123" s="2727"/>
      <c r="L123" s="2727"/>
      <c r="M123" s="2727"/>
      <c r="N123" s="2727"/>
      <c r="O123" s="2727"/>
      <c r="P123" s="2727"/>
      <c r="Q123" s="3024"/>
      <c r="R123" s="1111"/>
      <c r="S123" s="26"/>
      <c r="T123" s="26"/>
      <c r="U123" s="54"/>
      <c r="V123" s="26"/>
      <c r="W123" s="54"/>
      <c r="X123" s="55"/>
      <c r="Y123" s="26"/>
      <c r="Z123" s="26"/>
      <c r="AA123" s="54"/>
      <c r="AB123" s="26"/>
      <c r="AC123" s="54"/>
      <c r="AD123" s="26"/>
      <c r="AE123" s="56"/>
      <c r="AF123" s="26"/>
      <c r="AG123" s="54"/>
      <c r="AH123" s="26"/>
      <c r="AI123" s="54"/>
      <c r="AJ123" s="55"/>
      <c r="AK123" s="26"/>
      <c r="AL123" s="26"/>
      <c r="AM123" s="54"/>
      <c r="AN123" s="26"/>
      <c r="AO123" s="54"/>
      <c r="AP123" s="26"/>
      <c r="AQ123" s="53"/>
      <c r="AR123" s="26"/>
      <c r="AS123" s="54"/>
      <c r="AT123" s="26"/>
      <c r="AU123" s="54"/>
      <c r="AV123" s="55"/>
      <c r="AW123" s="56"/>
      <c r="AX123" s="26"/>
      <c r="AY123" s="54"/>
      <c r="AZ123" s="26"/>
      <c r="BA123" s="54"/>
      <c r="BB123" s="55"/>
      <c r="BC123" s="26"/>
      <c r="BD123" s="26"/>
      <c r="BE123" s="54"/>
      <c r="BF123" s="26" t="s">
        <v>8250</v>
      </c>
      <c r="BG123" s="54"/>
      <c r="BH123" s="26"/>
      <c r="BI123" s="56"/>
      <c r="BJ123" s="26"/>
      <c r="BK123" s="54"/>
      <c r="BL123" s="26"/>
      <c r="BM123" s="54" t="s">
        <v>8145</v>
      </c>
      <c r="BN123" s="55"/>
      <c r="BO123" s="56"/>
      <c r="BP123" s="26"/>
      <c r="BQ123" s="54"/>
      <c r="BR123" s="26"/>
      <c r="BS123" s="54"/>
      <c r="BT123" s="55"/>
      <c r="BU123" s="56"/>
      <c r="BV123" s="26"/>
      <c r="BW123" s="54"/>
      <c r="BX123" s="26"/>
      <c r="BY123" s="54"/>
      <c r="BZ123" s="55"/>
      <c r="CA123" s="56"/>
      <c r="CB123" s="26"/>
      <c r="CC123" s="54"/>
      <c r="CD123" s="26"/>
      <c r="CE123" s="54"/>
      <c r="CF123" s="55"/>
      <c r="CG123" s="56"/>
      <c r="CH123" s="26"/>
      <c r="CI123" s="54"/>
      <c r="CJ123" s="26"/>
      <c r="CK123" s="54"/>
      <c r="CL123" s="55"/>
      <c r="CM123" s="56"/>
      <c r="CN123" s="26"/>
      <c r="CO123" s="54"/>
      <c r="CP123" s="26"/>
      <c r="CQ123" s="54"/>
      <c r="CR123" s="55"/>
      <c r="CS123" s="56"/>
      <c r="CT123" s="26"/>
      <c r="CU123" s="54"/>
      <c r="CV123" s="26"/>
      <c r="CW123" s="54"/>
      <c r="CX123" s="55"/>
      <c r="CY123" s="56"/>
      <c r="CZ123" s="26"/>
      <c r="DA123" s="54"/>
      <c r="DB123" s="26"/>
      <c r="DC123" s="54"/>
      <c r="DD123" s="55"/>
      <c r="DE123" s="56"/>
      <c r="DF123" s="26"/>
      <c r="DG123" s="54"/>
      <c r="DH123" s="26"/>
      <c r="DI123" s="54"/>
      <c r="DJ123" s="55"/>
      <c r="DK123" s="56"/>
      <c r="DL123" s="26"/>
      <c r="DM123" s="54"/>
      <c r="DN123" s="26"/>
      <c r="DO123" s="54"/>
      <c r="DP123" s="26"/>
      <c r="DQ123" s="89"/>
      <c r="DR123" s="26"/>
      <c r="DS123" s="54"/>
      <c r="DT123" s="70"/>
      <c r="DU123" s="26"/>
      <c r="DV123" s="55"/>
      <c r="DW123" s="56"/>
      <c r="DX123" s="26"/>
      <c r="DY123" s="54"/>
      <c r="DZ123" s="26"/>
      <c r="EA123" s="54"/>
      <c r="EB123" s="55"/>
      <c r="EC123" s="56"/>
      <c r="ED123" s="26"/>
      <c r="EE123" s="54"/>
      <c r="EF123" s="26"/>
      <c r="EG123" s="54"/>
      <c r="EH123" s="55"/>
      <c r="EI123" s="56"/>
      <c r="EJ123" s="26"/>
      <c r="EK123" s="54"/>
      <c r="EL123" s="26"/>
      <c r="EM123" s="54"/>
      <c r="EN123" s="55"/>
      <c r="EO123" s="56"/>
      <c r="EP123" s="26"/>
      <c r="EQ123" s="54"/>
      <c r="ER123" s="26"/>
      <c r="ES123" s="54"/>
      <c r="ET123" s="55"/>
    </row>
    <row r="124" spans="1:150" ht="20.100000000000001" hidden="1" customHeight="1" outlineLevel="1" thickBot="1">
      <c r="A124" s="3034"/>
      <c r="B124" s="3028"/>
      <c r="C124" s="1173"/>
      <c r="D124" s="2726" t="s">
        <v>9243</v>
      </c>
      <c r="E124" s="2727"/>
      <c r="F124" s="2727"/>
      <c r="G124" s="2727"/>
      <c r="H124" s="2727"/>
      <c r="I124" s="2727"/>
      <c r="J124" s="2727"/>
      <c r="K124" s="2727"/>
      <c r="L124" s="2727"/>
      <c r="M124" s="2727"/>
      <c r="N124" s="2727"/>
      <c r="O124" s="2727"/>
      <c r="P124" s="2727"/>
      <c r="Q124" s="3024"/>
      <c r="R124" s="1111"/>
      <c r="S124" s="26"/>
      <c r="T124" s="26"/>
      <c r="U124" s="54"/>
      <c r="V124" s="26"/>
      <c r="W124" s="54"/>
      <c r="X124" s="55"/>
      <c r="Y124" s="26"/>
      <c r="Z124" s="26"/>
      <c r="AA124" s="54"/>
      <c r="AB124" s="26"/>
      <c r="AC124" s="54"/>
      <c r="AD124" s="26"/>
      <c r="AE124" s="26"/>
      <c r="AF124" s="26"/>
      <c r="AG124" s="54"/>
      <c r="AH124" s="26"/>
      <c r="AI124" s="54"/>
      <c r="AJ124" s="55"/>
      <c r="AK124" s="26"/>
      <c r="AL124" s="26"/>
      <c r="AM124" s="54"/>
      <c r="AN124" s="26"/>
      <c r="AO124" s="54"/>
      <c r="AP124" s="26"/>
      <c r="AQ124" s="53"/>
      <c r="AR124" s="26"/>
      <c r="AS124" s="54"/>
      <c r="AT124" s="26"/>
      <c r="AU124" s="54"/>
      <c r="AV124" s="55"/>
      <c r="AW124" s="56"/>
      <c r="AX124" s="26"/>
      <c r="AY124" s="54"/>
      <c r="AZ124" s="26"/>
      <c r="BA124" s="54"/>
      <c r="BB124" s="55"/>
      <c r="BC124" s="26"/>
      <c r="BD124" s="26"/>
      <c r="BE124" s="54"/>
      <c r="BF124" s="26"/>
      <c r="BG124" s="54" t="s">
        <v>8250</v>
      </c>
      <c r="BH124" s="55"/>
      <c r="BI124" s="56"/>
      <c r="BJ124" s="26"/>
      <c r="BK124" s="54"/>
      <c r="BL124" s="26"/>
      <c r="BM124" s="54"/>
      <c r="BN124" s="55"/>
      <c r="BO124" s="56" t="s">
        <v>8145</v>
      </c>
      <c r="BP124" s="26"/>
      <c r="BQ124" s="54"/>
      <c r="BR124" s="26"/>
      <c r="BS124" s="54"/>
      <c r="BT124" s="55"/>
      <c r="BU124" s="56"/>
      <c r="BV124" s="26"/>
      <c r="BW124" s="54"/>
      <c r="BX124" s="26"/>
      <c r="BY124" s="54"/>
      <c r="BZ124" s="55"/>
      <c r="CA124" s="56"/>
      <c r="CB124" s="26"/>
      <c r="CC124" s="54"/>
      <c r="CD124" s="26"/>
      <c r="CE124" s="54"/>
      <c r="CF124" s="55"/>
      <c r="CG124" s="56"/>
      <c r="CH124" s="26"/>
      <c r="CI124" s="54"/>
      <c r="CJ124" s="26"/>
      <c r="CK124" s="54"/>
      <c r="CL124" s="55"/>
      <c r="CM124" s="56"/>
      <c r="CN124" s="26"/>
      <c r="CO124" s="54"/>
      <c r="CP124" s="26"/>
      <c r="CQ124" s="54"/>
      <c r="CR124" s="55"/>
      <c r="CS124" s="56"/>
      <c r="CT124" s="26"/>
      <c r="CU124" s="54"/>
      <c r="CV124" s="26"/>
      <c r="CW124" s="54"/>
      <c r="CX124" s="55"/>
      <c r="CY124" s="56"/>
      <c r="CZ124" s="26"/>
      <c r="DA124" s="54"/>
      <c r="DB124" s="26"/>
      <c r="DC124" s="54"/>
      <c r="DD124" s="55"/>
      <c r="DE124" s="56"/>
      <c r="DF124" s="26"/>
      <c r="DG124" s="54"/>
      <c r="DH124" s="26"/>
      <c r="DI124" s="54"/>
      <c r="DJ124" s="55"/>
      <c r="DK124" s="56"/>
      <c r="DL124" s="26"/>
      <c r="DM124" s="54"/>
      <c r="DN124" s="26"/>
      <c r="DO124" s="54"/>
      <c r="DP124" s="26"/>
      <c r="DQ124" s="89"/>
      <c r="DR124" s="26"/>
      <c r="DS124" s="54"/>
      <c r="DT124" s="70"/>
      <c r="DU124" s="26"/>
      <c r="DV124" s="55"/>
      <c r="DW124" s="56"/>
      <c r="DX124" s="26"/>
      <c r="DY124" s="54"/>
      <c r="DZ124" s="26"/>
      <c r="EA124" s="54"/>
      <c r="EB124" s="55"/>
      <c r="EC124" s="56"/>
      <c r="ED124" s="26"/>
      <c r="EE124" s="54"/>
      <c r="EF124" s="26"/>
      <c r="EG124" s="54"/>
      <c r="EH124" s="55"/>
      <c r="EI124" s="56"/>
      <c r="EJ124" s="26"/>
      <c r="EK124" s="54"/>
      <c r="EL124" s="26"/>
      <c r="EM124" s="54"/>
      <c r="EN124" s="55"/>
      <c r="EO124" s="56"/>
      <c r="EP124" s="26"/>
      <c r="EQ124" s="54"/>
      <c r="ER124" s="26"/>
      <c r="ES124" s="54"/>
      <c r="ET124" s="55"/>
    </row>
    <row r="125" spans="1:150" ht="20.100000000000001" hidden="1" customHeight="1" outlineLevel="1" thickBot="1">
      <c r="A125" s="3034"/>
      <c r="B125" s="3028"/>
      <c r="C125" s="1173"/>
      <c r="D125" s="2726" t="str">
        <f>実績!C1216&amp;"("&amp;SUBSTITUTE(実績!W1216&amp;")","株式会社 ","")</f>
        <v>アルバック東北㈱加工部事務所(構創建築事務所)</v>
      </c>
      <c r="E125" s="2727"/>
      <c r="F125" s="2727"/>
      <c r="G125" s="2727"/>
      <c r="H125" s="2727"/>
      <c r="I125" s="2727"/>
      <c r="J125" s="2727"/>
      <c r="K125" s="2727"/>
      <c r="L125" s="2727"/>
      <c r="M125" s="2727"/>
      <c r="N125" s="2727"/>
      <c r="O125" s="2727"/>
      <c r="P125" s="2727"/>
      <c r="Q125" s="3024"/>
      <c r="R125" s="1111"/>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56"/>
      <c r="AX125" s="26"/>
      <c r="AY125" s="54"/>
      <c r="AZ125" s="26"/>
      <c r="BA125" s="54"/>
      <c r="BB125" s="55"/>
      <c r="BC125" s="26"/>
      <c r="BD125" s="26"/>
      <c r="BE125" s="54"/>
      <c r="BF125" s="26"/>
      <c r="BG125" s="54" t="s">
        <v>9291</v>
      </c>
      <c r="BH125" s="26"/>
      <c r="BI125" s="56"/>
      <c r="BJ125" s="26"/>
      <c r="BK125" s="54"/>
      <c r="BL125" s="26"/>
      <c r="BM125" s="54"/>
      <c r="BN125" s="55"/>
      <c r="BO125" s="56" t="s">
        <v>8145</v>
      </c>
      <c r="BP125" s="26"/>
      <c r="BQ125" s="54"/>
      <c r="BR125" s="26"/>
      <c r="BS125" s="54"/>
      <c r="BT125" s="55"/>
      <c r="BU125" s="56"/>
      <c r="BV125" s="26"/>
      <c r="BW125" s="54"/>
      <c r="BX125" s="26"/>
      <c r="BY125" s="54"/>
      <c r="BZ125" s="55"/>
      <c r="CA125" s="56"/>
      <c r="CB125" s="26"/>
      <c r="CC125" s="54"/>
      <c r="CD125" s="26"/>
      <c r="CE125" s="54"/>
      <c r="CF125" s="55"/>
      <c r="CG125" s="56"/>
      <c r="CH125" s="26"/>
      <c r="CI125" s="54"/>
      <c r="CJ125" s="26"/>
      <c r="CK125" s="54"/>
      <c r="CL125" s="55"/>
      <c r="CM125" s="56"/>
      <c r="CN125" s="26"/>
      <c r="CO125" s="54"/>
      <c r="CP125" s="26"/>
      <c r="CQ125" s="54"/>
      <c r="CR125" s="55"/>
      <c r="CS125" s="56"/>
      <c r="CT125" s="26"/>
      <c r="CU125" s="54"/>
      <c r="CV125" s="26"/>
      <c r="CW125" s="54"/>
      <c r="CX125" s="55"/>
      <c r="CY125" s="56"/>
      <c r="CZ125" s="26"/>
      <c r="DA125" s="54"/>
      <c r="DB125" s="26"/>
      <c r="DC125" s="54"/>
      <c r="DD125" s="55"/>
      <c r="DE125" s="56"/>
      <c r="DF125" s="26"/>
      <c r="DG125" s="54"/>
      <c r="DH125" s="26"/>
      <c r="DI125" s="54"/>
      <c r="DJ125" s="55"/>
      <c r="DK125" s="56"/>
      <c r="DL125" s="26"/>
      <c r="DM125" s="54"/>
      <c r="DN125" s="26"/>
      <c r="DO125" s="54"/>
      <c r="DP125" s="26"/>
      <c r="DQ125" s="89"/>
      <c r="DR125" s="26"/>
      <c r="DS125" s="54"/>
      <c r="DT125" s="70"/>
      <c r="DU125" s="26"/>
      <c r="DV125" s="55"/>
      <c r="DW125" s="56"/>
      <c r="DX125" s="26"/>
      <c r="DY125" s="54"/>
      <c r="DZ125" s="26"/>
      <c r="EA125" s="54"/>
      <c r="EB125" s="55"/>
      <c r="EC125" s="56"/>
      <c r="ED125" s="26"/>
      <c r="EE125" s="54"/>
      <c r="EF125" s="26"/>
      <c r="EG125" s="54"/>
      <c r="EH125" s="55"/>
      <c r="EI125" s="56"/>
      <c r="EJ125" s="26"/>
      <c r="EK125" s="54"/>
      <c r="EL125" s="26"/>
      <c r="EM125" s="54"/>
      <c r="EN125" s="55"/>
      <c r="EO125" s="56"/>
      <c r="EP125" s="26"/>
      <c r="EQ125" s="54"/>
      <c r="ER125" s="26"/>
      <c r="ES125" s="54"/>
      <c r="ET125" s="55"/>
    </row>
    <row r="126" spans="1:150" ht="20.100000000000001" hidden="1" customHeight="1" outlineLevel="1" thickBot="1">
      <c r="A126" s="3034"/>
      <c r="B126" s="3028"/>
      <c r="C126" s="1173"/>
      <c r="D126" s="2726" t="str">
        <f>実績!C1192&amp;"("&amp;SUBSTITUTE(実績!R1192&amp;")","有限会社 ","")</f>
        <v>薬王堂多賀城(商業施設マネジメント)</v>
      </c>
      <c r="E126" s="2727"/>
      <c r="F126" s="2727"/>
      <c r="G126" s="2727"/>
      <c r="H126" s="2727"/>
      <c r="I126" s="2727"/>
      <c r="J126" s="2727"/>
      <c r="K126" s="2727"/>
      <c r="L126" s="2727"/>
      <c r="M126" s="2727"/>
      <c r="N126" s="2727"/>
      <c r="O126" s="2727"/>
      <c r="P126" s="2727"/>
      <c r="Q126" s="3024"/>
      <c r="R126" s="1111"/>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56" t="s">
        <v>8644</v>
      </c>
      <c r="AX126" s="26"/>
      <c r="AY126" s="54"/>
      <c r="AZ126" s="26"/>
      <c r="BA126" s="54"/>
      <c r="BB126" s="55"/>
      <c r="BC126" s="26"/>
      <c r="BD126" s="26"/>
      <c r="BE126" s="54"/>
      <c r="BF126" s="26"/>
      <c r="BG126" s="54" t="s">
        <v>9291</v>
      </c>
      <c r="BH126" s="26"/>
      <c r="BI126" s="56"/>
      <c r="BJ126" s="26"/>
      <c r="BK126" s="54"/>
      <c r="BL126" s="26"/>
      <c r="BM126" s="54"/>
      <c r="BN126" s="55"/>
      <c r="BO126" s="56"/>
      <c r="BP126" s="26"/>
      <c r="BQ126" s="54"/>
      <c r="BR126" s="26" t="s">
        <v>8145</v>
      </c>
      <c r="BS126" s="54"/>
      <c r="BT126" s="55"/>
      <c r="BU126" s="56"/>
      <c r="BV126" s="26"/>
      <c r="BW126" s="54"/>
      <c r="BX126" s="26"/>
      <c r="BY126" s="54"/>
      <c r="BZ126" s="55"/>
      <c r="CA126" s="56"/>
      <c r="CB126" s="26"/>
      <c r="CC126" s="54"/>
      <c r="CD126" s="26"/>
      <c r="CE126" s="54"/>
      <c r="CF126" s="55"/>
      <c r="CG126" s="56"/>
      <c r="CH126" s="26"/>
      <c r="CI126" s="54"/>
      <c r="CJ126" s="26"/>
      <c r="CK126" s="54"/>
      <c r="CL126" s="55"/>
      <c r="CM126" s="56"/>
      <c r="CN126" s="26"/>
      <c r="CO126" s="54"/>
      <c r="CP126" s="26"/>
      <c r="CQ126" s="54"/>
      <c r="CR126" s="55"/>
      <c r="CS126" s="56"/>
      <c r="CT126" s="26"/>
      <c r="CU126" s="54"/>
      <c r="CV126" s="26"/>
      <c r="CW126" s="54"/>
      <c r="CX126" s="55"/>
      <c r="CY126" s="56"/>
      <c r="CZ126" s="26"/>
      <c r="DA126" s="54"/>
      <c r="DB126" s="26"/>
      <c r="DC126" s="54"/>
      <c r="DD126" s="55"/>
      <c r="DE126" s="56"/>
      <c r="DF126" s="26"/>
      <c r="DG126" s="54"/>
      <c r="DH126" s="26"/>
      <c r="DI126" s="54"/>
      <c r="DJ126" s="55"/>
      <c r="DK126" s="56"/>
      <c r="DL126" s="26"/>
      <c r="DM126" s="54"/>
      <c r="DN126" s="26"/>
      <c r="DO126" s="54"/>
      <c r="DP126" s="26"/>
      <c r="DQ126" s="89"/>
      <c r="DR126" s="26"/>
      <c r="DS126" s="54"/>
      <c r="DT126" s="70"/>
      <c r="DU126" s="26"/>
      <c r="DV126" s="55"/>
      <c r="DW126" s="56"/>
      <c r="DX126" s="26"/>
      <c r="DY126" s="54"/>
      <c r="DZ126" s="26"/>
      <c r="EA126" s="54"/>
      <c r="EB126" s="55"/>
      <c r="EC126" s="56"/>
      <c r="ED126" s="26"/>
      <c r="EE126" s="54"/>
      <c r="EF126" s="26"/>
      <c r="EG126" s="54"/>
      <c r="EH126" s="55"/>
      <c r="EI126" s="56"/>
      <c r="EJ126" s="26"/>
      <c r="EK126" s="54"/>
      <c r="EL126" s="26"/>
      <c r="EM126" s="54"/>
      <c r="EN126" s="55"/>
      <c r="EO126" s="56"/>
      <c r="EP126" s="26"/>
      <c r="EQ126" s="54"/>
      <c r="ER126" s="26"/>
      <c r="ES126" s="54"/>
      <c r="ET126" s="55"/>
    </row>
    <row r="127" spans="1:150" ht="20.100000000000001" hidden="1" customHeight="1" outlineLevel="1" collapsed="1" thickBot="1">
      <c r="A127" s="3034"/>
      <c r="B127" s="3028"/>
      <c r="C127" s="1173"/>
      <c r="D127" s="2726" t="str">
        <f>実績!C1219&amp;"("&amp;SUBSTITUTE(実績!W1219&amp;")"," 株式会社","")</f>
        <v>JA全農中四国広域物流センター農薬危険物貯蔵施設(株式会社 唐澤建築設計事務所)</v>
      </c>
      <c r="E127" s="2727"/>
      <c r="F127" s="2727"/>
      <c r="G127" s="2727"/>
      <c r="H127" s="2727"/>
      <c r="I127" s="2727"/>
      <c r="J127" s="2727"/>
      <c r="K127" s="2727"/>
      <c r="L127" s="2727"/>
      <c r="M127" s="2727"/>
      <c r="N127" s="2727"/>
      <c r="O127" s="2727"/>
      <c r="P127" s="2727"/>
      <c r="Q127" s="3024"/>
      <c r="R127" s="1111"/>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54"/>
      <c r="BF127" s="70"/>
      <c r="BG127" s="54" t="s">
        <v>9291</v>
      </c>
      <c r="BH127" s="55"/>
      <c r="BI127" s="56"/>
      <c r="BJ127" s="26"/>
      <c r="BK127" s="54"/>
      <c r="BL127" s="26"/>
      <c r="BM127" s="54"/>
      <c r="BN127" s="55"/>
      <c r="BO127" s="56"/>
      <c r="BP127" s="26"/>
      <c r="BQ127" s="54"/>
      <c r="BR127" s="26"/>
      <c r="BS127" s="54"/>
      <c r="BT127" s="55"/>
      <c r="BU127" s="56" t="s">
        <v>8145</v>
      </c>
      <c r="BV127" s="26"/>
      <c r="BW127" s="54"/>
      <c r="BX127" s="26"/>
      <c r="BY127" s="54"/>
      <c r="BZ127" s="55"/>
      <c r="CA127" s="56"/>
      <c r="CB127" s="26"/>
      <c r="CC127" s="54"/>
      <c r="CD127" s="26"/>
      <c r="CE127" s="54"/>
      <c r="CF127" s="55"/>
      <c r="CG127" s="56"/>
      <c r="CH127" s="26"/>
      <c r="CI127" s="54"/>
      <c r="CJ127" s="26"/>
      <c r="CK127" s="54"/>
      <c r="CL127" s="55"/>
      <c r="CM127" s="56"/>
      <c r="CN127" s="26"/>
      <c r="CO127" s="54"/>
      <c r="CP127" s="26"/>
      <c r="CQ127" s="54"/>
      <c r="CR127" s="55"/>
      <c r="CS127" s="56"/>
      <c r="CT127" s="26"/>
      <c r="CU127" s="54"/>
      <c r="CV127" s="26"/>
      <c r="CW127" s="54"/>
      <c r="CX127" s="55"/>
      <c r="CY127" s="56"/>
      <c r="CZ127" s="26"/>
      <c r="DA127" s="54"/>
      <c r="DB127" s="26"/>
      <c r="DC127" s="54"/>
      <c r="DD127" s="55"/>
      <c r="DE127" s="56"/>
      <c r="DF127" s="26"/>
      <c r="DG127" s="54"/>
      <c r="DH127" s="26"/>
      <c r="DI127" s="54"/>
      <c r="DJ127" s="55"/>
      <c r="DK127" s="56"/>
      <c r="DL127" s="26"/>
      <c r="DM127" s="54"/>
      <c r="DN127" s="26"/>
      <c r="DO127" s="54"/>
      <c r="DP127" s="26"/>
      <c r="DQ127" s="89"/>
      <c r="DR127" s="26"/>
      <c r="DS127" s="54"/>
      <c r="DT127" s="70"/>
      <c r="DU127" s="26"/>
      <c r="DV127" s="55"/>
      <c r="DW127" s="56"/>
      <c r="DX127" s="26"/>
      <c r="DY127" s="54"/>
      <c r="DZ127" s="26"/>
      <c r="EA127" s="54"/>
      <c r="EB127" s="55"/>
      <c r="EC127" s="56"/>
      <c r="ED127" s="26"/>
      <c r="EE127" s="54"/>
      <c r="EF127" s="26"/>
      <c r="EG127" s="54"/>
      <c r="EH127" s="55"/>
      <c r="EI127" s="56"/>
      <c r="EJ127" s="26"/>
      <c r="EK127" s="54"/>
      <c r="EL127" s="26"/>
      <c r="EM127" s="54"/>
      <c r="EN127" s="55"/>
      <c r="EO127" s="56"/>
      <c r="EP127" s="26"/>
      <c r="EQ127" s="54"/>
      <c r="ER127" s="26"/>
      <c r="ES127" s="54"/>
      <c r="ET127" s="55"/>
    </row>
    <row r="128" spans="1:150" ht="20.100000000000001" hidden="1" customHeight="1" outlineLevel="1" thickBot="1">
      <c r="A128" s="3034"/>
      <c r="B128" s="3028"/>
      <c r="C128" s="1173"/>
      <c r="D128" s="2726" t="str">
        <f>実績!C1215&amp;"("&amp;SUBSTITUTE(実績!W1215&amp;")","株式会社 ","")</f>
        <v>日照電機製作所(横河システム建築)</v>
      </c>
      <c r="E128" s="2727"/>
      <c r="F128" s="2727"/>
      <c r="G128" s="2727"/>
      <c r="H128" s="2727"/>
      <c r="I128" s="2727"/>
      <c r="J128" s="2727"/>
      <c r="K128" s="2727"/>
      <c r="L128" s="2727"/>
      <c r="M128" s="2727"/>
      <c r="N128" s="2727"/>
      <c r="O128" s="2727"/>
      <c r="P128" s="2727"/>
      <c r="Q128" s="3024"/>
      <c r="R128" s="1111"/>
      <c r="S128" s="26"/>
      <c r="T128" s="26"/>
      <c r="U128" s="54"/>
      <c r="V128" s="26"/>
      <c r="W128" s="54"/>
      <c r="X128" s="55"/>
      <c r="Y128" s="26"/>
      <c r="Z128" s="26"/>
      <c r="AA128" s="54"/>
      <c r="AB128" s="26"/>
      <c r="AC128" s="54"/>
      <c r="AD128" s="26"/>
      <c r="AE128" s="26"/>
      <c r="AF128" s="26"/>
      <c r="AG128" s="54"/>
      <c r="AH128" s="26"/>
      <c r="AI128" s="54"/>
      <c r="AJ128" s="55"/>
      <c r="AK128" s="26"/>
      <c r="AL128" s="26"/>
      <c r="AM128" s="54"/>
      <c r="AN128" s="26"/>
      <c r="AO128" s="54"/>
      <c r="AP128" s="26"/>
      <c r="AQ128" s="53"/>
      <c r="AR128" s="26"/>
      <c r="AS128" s="54"/>
      <c r="AT128" s="26"/>
      <c r="AU128" s="54"/>
      <c r="AV128" s="55"/>
      <c r="AW128" s="56"/>
      <c r="AX128" s="26"/>
      <c r="AY128" s="54"/>
      <c r="AZ128" s="26"/>
      <c r="BA128" s="54"/>
      <c r="BB128" s="55"/>
      <c r="BC128" s="26"/>
      <c r="BD128" s="26"/>
      <c r="BE128" s="54"/>
      <c r="BF128" s="70"/>
      <c r="BG128" s="54"/>
      <c r="BH128" s="55" t="s">
        <v>9353</v>
      </c>
      <c r="BI128" s="56"/>
      <c r="BJ128" s="26"/>
      <c r="BK128" s="54"/>
      <c r="BL128" s="26"/>
      <c r="BM128" s="54"/>
      <c r="BN128" s="55"/>
      <c r="BO128" s="56"/>
      <c r="BP128" s="26"/>
      <c r="BQ128" s="54"/>
      <c r="BR128" s="26"/>
      <c r="BS128" s="54"/>
      <c r="BT128" s="55"/>
      <c r="BU128" s="56" t="s">
        <v>8145</v>
      </c>
      <c r="BV128" s="26"/>
      <c r="BW128" s="54"/>
      <c r="BX128" s="26"/>
      <c r="BY128" s="54"/>
      <c r="BZ128" s="55"/>
      <c r="CA128" s="56"/>
      <c r="CB128" s="26"/>
      <c r="CC128" s="54"/>
      <c r="CD128" s="26"/>
      <c r="CE128" s="54"/>
      <c r="CF128" s="55"/>
      <c r="CG128" s="56"/>
      <c r="CH128" s="26"/>
      <c r="CI128" s="54"/>
      <c r="CJ128" s="26"/>
      <c r="CK128" s="54"/>
      <c r="CL128" s="55"/>
      <c r="CM128" s="56"/>
      <c r="CN128" s="26"/>
      <c r="CO128" s="54"/>
      <c r="CP128" s="26"/>
      <c r="CQ128" s="54"/>
      <c r="CR128" s="55"/>
      <c r="CS128" s="56"/>
      <c r="CT128" s="26"/>
      <c r="CU128" s="54"/>
      <c r="CV128" s="26"/>
      <c r="CW128" s="54"/>
      <c r="CX128" s="55"/>
      <c r="CY128" s="56"/>
      <c r="CZ128" s="26"/>
      <c r="DA128" s="54"/>
      <c r="DB128" s="26"/>
      <c r="DC128" s="54"/>
      <c r="DD128" s="55"/>
      <c r="DE128" s="56"/>
      <c r="DF128" s="26"/>
      <c r="DG128" s="54"/>
      <c r="DH128" s="26"/>
      <c r="DI128" s="54"/>
      <c r="DJ128" s="55"/>
      <c r="DK128" s="56"/>
      <c r="DL128" s="26"/>
      <c r="DM128" s="54"/>
      <c r="DN128" s="26"/>
      <c r="DO128" s="54"/>
      <c r="DP128" s="26"/>
      <c r="DQ128" s="89"/>
      <c r="DR128" s="26"/>
      <c r="DS128" s="54"/>
      <c r="DT128" s="70"/>
      <c r="DU128" s="26"/>
      <c r="DV128" s="55"/>
      <c r="DW128" s="56"/>
      <c r="DX128" s="26"/>
      <c r="DY128" s="54"/>
      <c r="DZ128" s="26"/>
      <c r="EA128" s="54"/>
      <c r="EB128" s="55"/>
      <c r="EC128" s="56"/>
      <c r="ED128" s="26"/>
      <c r="EE128" s="54"/>
      <c r="EF128" s="26"/>
      <c r="EG128" s="54"/>
      <c r="EH128" s="55"/>
      <c r="EI128" s="56"/>
      <c r="EJ128" s="26"/>
      <c r="EK128" s="54"/>
      <c r="EL128" s="26"/>
      <c r="EM128" s="54"/>
      <c r="EN128" s="55"/>
      <c r="EO128" s="56"/>
      <c r="EP128" s="26"/>
      <c r="EQ128" s="54"/>
      <c r="ER128" s="26"/>
      <c r="ES128" s="54"/>
      <c r="ET128" s="55"/>
    </row>
    <row r="129" spans="1:150" ht="20.100000000000001" hidden="1" customHeight="1" outlineLevel="1" thickBot="1">
      <c r="A129" s="3034"/>
      <c r="B129" s="3028"/>
      <c r="C129" s="1173"/>
      <c r="D129" s="2726" t="str">
        <f>実績!C1214&amp;"("&amp;SUBSTITUTE(実績!W1214&amp;")","株式会社 ","")</f>
        <v>岩田産業(株)北九州支店(横河システム建築)</v>
      </c>
      <c r="E129" s="2727"/>
      <c r="F129" s="2727"/>
      <c r="G129" s="2727"/>
      <c r="H129" s="2727"/>
      <c r="I129" s="2727"/>
      <c r="J129" s="2727"/>
      <c r="K129" s="2727"/>
      <c r="L129" s="2727"/>
      <c r="M129" s="2727"/>
      <c r="N129" s="2727"/>
      <c r="O129" s="2727"/>
      <c r="P129" s="2727"/>
      <c r="Q129" s="3024"/>
      <c r="R129" s="1111"/>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56"/>
      <c r="AX129" s="26"/>
      <c r="AY129" s="54"/>
      <c r="AZ129" s="26"/>
      <c r="BA129" s="54"/>
      <c r="BB129" s="55"/>
      <c r="BC129" s="26"/>
      <c r="BD129" s="26"/>
      <c r="BE129" s="54"/>
      <c r="BF129" s="70"/>
      <c r="BG129" s="54"/>
      <c r="BH129" s="26" t="s">
        <v>9353</v>
      </c>
      <c r="BI129" s="89"/>
      <c r="BJ129" s="26"/>
      <c r="BK129" s="54"/>
      <c r="BL129" s="26"/>
      <c r="BM129" s="54"/>
      <c r="BN129" s="55"/>
      <c r="BO129" s="56"/>
      <c r="BP129" s="26"/>
      <c r="BQ129" s="54"/>
      <c r="BR129" s="26"/>
      <c r="BS129" s="54"/>
      <c r="BT129" s="55"/>
      <c r="BU129" s="56"/>
      <c r="BV129" s="26"/>
      <c r="BW129" s="54"/>
      <c r="BX129" s="26"/>
      <c r="BY129" s="54"/>
      <c r="BZ129" s="55"/>
      <c r="CA129" s="56"/>
      <c r="CB129" s="26"/>
      <c r="CC129" s="54"/>
      <c r="CD129" s="26"/>
      <c r="CE129" s="54"/>
      <c r="CF129" s="55"/>
      <c r="CG129" s="56"/>
      <c r="CH129" s="26"/>
      <c r="CI129" s="54"/>
      <c r="CJ129" s="26"/>
      <c r="CK129" s="54"/>
      <c r="CL129" s="55"/>
      <c r="CM129" s="56"/>
      <c r="CN129" s="26"/>
      <c r="CO129" s="54"/>
      <c r="CP129" s="26"/>
      <c r="CQ129" s="54"/>
      <c r="CR129" s="55"/>
      <c r="CS129" s="56"/>
      <c r="CT129" s="26"/>
      <c r="CU129" s="54"/>
      <c r="CV129" s="26"/>
      <c r="CW129" s="54"/>
      <c r="CX129" s="55"/>
      <c r="CY129" s="56"/>
      <c r="CZ129" s="26"/>
      <c r="DA129" s="54"/>
      <c r="DB129" s="26"/>
      <c r="DC129" s="54"/>
      <c r="DD129" s="55"/>
      <c r="DE129" s="56"/>
      <c r="DF129" s="26"/>
      <c r="DG129" s="54"/>
      <c r="DH129" s="26"/>
      <c r="DI129" s="54"/>
      <c r="DJ129" s="55"/>
      <c r="DK129" s="56"/>
      <c r="DL129" s="26"/>
      <c r="DM129" s="54"/>
      <c r="DN129" s="26"/>
      <c r="DO129" s="54"/>
      <c r="DP129" s="26"/>
      <c r="DQ129" s="89"/>
      <c r="DR129" s="26"/>
      <c r="DS129" s="54"/>
      <c r="DT129" s="70"/>
      <c r="DU129" s="26"/>
      <c r="DV129" s="55"/>
      <c r="DW129" s="56"/>
      <c r="DX129" s="26"/>
      <c r="DY129" s="54"/>
      <c r="DZ129" s="26"/>
      <c r="EA129" s="54"/>
      <c r="EB129" s="55"/>
      <c r="EC129" s="56"/>
      <c r="ED129" s="26"/>
      <c r="EE129" s="54"/>
      <c r="EF129" s="26"/>
      <c r="EG129" s="54"/>
      <c r="EH129" s="55"/>
      <c r="EI129" s="56"/>
      <c r="EJ129" s="26"/>
      <c r="EK129" s="54"/>
      <c r="EL129" s="26"/>
      <c r="EM129" s="54"/>
      <c r="EN129" s="55"/>
      <c r="EO129" s="56"/>
      <c r="EP129" s="26"/>
      <c r="EQ129" s="54"/>
      <c r="ER129" s="26"/>
      <c r="ES129" s="54"/>
      <c r="ET129" s="55"/>
    </row>
    <row r="130" spans="1:150" ht="20.100000000000001" hidden="1" customHeight="1" outlineLevel="1" collapsed="1" thickBot="1">
      <c r="A130" s="3034"/>
      <c r="B130" s="3028"/>
      <c r="C130" s="1173"/>
      <c r="D130" s="2726" t="str">
        <f>実績!C1222&amp;"("&amp;SUBSTITUTE(実績!R1222&amp;")","株式会社 ","")</f>
        <v>ツルハドラッグ高知若松(横山建築設計事務所)</v>
      </c>
      <c r="E130" s="2727"/>
      <c r="F130" s="2727"/>
      <c r="G130" s="2727"/>
      <c r="H130" s="2727"/>
      <c r="I130" s="2727"/>
      <c r="J130" s="2727"/>
      <c r="K130" s="2727"/>
      <c r="L130" s="2727"/>
      <c r="M130" s="2727"/>
      <c r="N130" s="2727"/>
      <c r="O130" s="2727"/>
      <c r="P130" s="2727"/>
      <c r="Q130" s="3024"/>
      <c r="R130" s="1111"/>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56"/>
      <c r="AX130" s="26"/>
      <c r="AY130" s="54"/>
      <c r="AZ130" s="26"/>
      <c r="BA130" s="54"/>
      <c r="BB130" s="55"/>
      <c r="BC130" s="26"/>
      <c r="BD130" s="26"/>
      <c r="BE130" s="54"/>
      <c r="BF130" s="70"/>
      <c r="BG130" s="54"/>
      <c r="BH130" s="26"/>
      <c r="BI130" s="89" t="s">
        <v>8250</v>
      </c>
      <c r="BJ130" s="26"/>
      <c r="BK130" s="54"/>
      <c r="BL130" s="26"/>
      <c r="BM130" s="54"/>
      <c r="BN130" s="55"/>
      <c r="BO130" s="56"/>
      <c r="BP130" s="26"/>
      <c r="BQ130" s="54"/>
      <c r="BR130" s="26" t="s">
        <v>8145</v>
      </c>
      <c r="BS130" s="54"/>
      <c r="BT130" s="55"/>
      <c r="BU130" s="56"/>
      <c r="BV130" s="26"/>
      <c r="BW130" s="54"/>
      <c r="BX130" s="26"/>
      <c r="BY130" s="54"/>
      <c r="BZ130" s="55"/>
      <c r="CA130" s="56"/>
      <c r="CB130" s="26"/>
      <c r="CC130" s="54"/>
      <c r="CD130" s="26"/>
      <c r="CE130" s="54"/>
      <c r="CF130" s="55"/>
      <c r="CG130" s="56"/>
      <c r="CH130" s="26"/>
      <c r="CI130" s="54"/>
      <c r="CJ130" s="26"/>
      <c r="CK130" s="54"/>
      <c r="CL130" s="55"/>
      <c r="CM130" s="56"/>
      <c r="CN130" s="26"/>
      <c r="CO130" s="54"/>
      <c r="CP130" s="26"/>
      <c r="CQ130" s="54"/>
      <c r="CR130" s="55"/>
      <c r="CS130" s="56"/>
      <c r="CT130" s="26"/>
      <c r="CU130" s="54"/>
      <c r="CV130" s="26"/>
      <c r="CW130" s="54"/>
      <c r="CX130" s="55"/>
      <c r="CY130" s="56"/>
      <c r="CZ130" s="26"/>
      <c r="DA130" s="54"/>
      <c r="DB130" s="26"/>
      <c r="DC130" s="54"/>
      <c r="DD130" s="55"/>
      <c r="DE130" s="56"/>
      <c r="DF130" s="26"/>
      <c r="DG130" s="54"/>
      <c r="DH130" s="26"/>
      <c r="DI130" s="54"/>
      <c r="DJ130" s="55"/>
      <c r="DK130" s="56"/>
      <c r="DL130" s="26"/>
      <c r="DM130" s="54"/>
      <c r="DN130" s="26"/>
      <c r="DO130" s="54"/>
      <c r="DP130" s="26"/>
      <c r="DQ130" s="89"/>
      <c r="DR130" s="26"/>
      <c r="DS130" s="54"/>
      <c r="DT130" s="70"/>
      <c r="DU130" s="26"/>
      <c r="DV130" s="55"/>
      <c r="DW130" s="56"/>
      <c r="DX130" s="26"/>
      <c r="DY130" s="54"/>
      <c r="DZ130" s="26"/>
      <c r="EA130" s="54"/>
      <c r="EB130" s="55"/>
      <c r="EC130" s="56"/>
      <c r="ED130" s="26"/>
      <c r="EE130" s="54"/>
      <c r="EF130" s="26"/>
      <c r="EG130" s="54"/>
      <c r="EH130" s="55"/>
      <c r="EI130" s="56"/>
      <c r="EJ130" s="26"/>
      <c r="EK130" s="54"/>
      <c r="EL130" s="26"/>
      <c r="EM130" s="54"/>
      <c r="EN130" s="55"/>
      <c r="EO130" s="56"/>
      <c r="EP130" s="26"/>
      <c r="EQ130" s="54"/>
      <c r="ER130" s="26"/>
      <c r="ES130" s="54"/>
      <c r="ET130" s="55"/>
    </row>
    <row r="131" spans="1:150" ht="20.100000000000001" hidden="1" customHeight="1" outlineLevel="1" collapsed="1" thickBot="1">
      <c r="A131" s="3034"/>
      <c r="B131" s="3028"/>
      <c r="C131" s="1173"/>
      <c r="D131" s="2726" t="str">
        <f>実績!C1226&amp;"("&amp;SUBSTITUTE(実績!W1226&amp;")","株式会社 ","")</f>
        <v>元気市場たかはし元木(I.N設計室)</v>
      </c>
      <c r="E131" s="2727"/>
      <c r="F131" s="2727"/>
      <c r="G131" s="2727"/>
      <c r="H131" s="2727"/>
      <c r="I131" s="2727"/>
      <c r="J131" s="2727"/>
      <c r="K131" s="2727"/>
      <c r="L131" s="2727"/>
      <c r="M131" s="2727"/>
      <c r="N131" s="2727"/>
      <c r="O131" s="2727"/>
      <c r="P131" s="2727"/>
      <c r="Q131" s="3024"/>
      <c r="R131" s="1111"/>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56"/>
      <c r="AX131" s="26"/>
      <c r="AY131" s="54"/>
      <c r="AZ131" s="26"/>
      <c r="BA131" s="54"/>
      <c r="BB131" s="55"/>
      <c r="BC131" s="26"/>
      <c r="BD131" s="26"/>
      <c r="BE131" s="54"/>
      <c r="BF131" s="70"/>
      <c r="BG131" s="54"/>
      <c r="BH131" s="26"/>
      <c r="BI131" s="89" t="s">
        <v>9472</v>
      </c>
      <c r="BJ131" s="26"/>
      <c r="BK131" s="54"/>
      <c r="BL131" s="26"/>
      <c r="BM131" s="54"/>
      <c r="BN131" s="55"/>
      <c r="BO131" s="56"/>
      <c r="BP131" s="26"/>
      <c r="BQ131" s="54"/>
      <c r="BR131" s="26"/>
      <c r="BS131" s="54"/>
      <c r="BT131" s="55" t="s">
        <v>8145</v>
      </c>
      <c r="BU131" s="56"/>
      <c r="BV131" s="26"/>
      <c r="BW131" s="54"/>
      <c r="BX131" s="26"/>
      <c r="BY131" s="54"/>
      <c r="BZ131" s="55"/>
      <c r="CA131" s="56"/>
      <c r="CB131" s="26"/>
      <c r="CC131" s="54"/>
      <c r="CD131" s="26"/>
      <c r="CE131" s="54"/>
      <c r="CF131" s="55"/>
      <c r="CG131" s="56"/>
      <c r="CH131" s="26"/>
      <c r="CI131" s="54"/>
      <c r="CJ131" s="26"/>
      <c r="CK131" s="54"/>
      <c r="CL131" s="55"/>
      <c r="CM131" s="56"/>
      <c r="CN131" s="26"/>
      <c r="CO131" s="54"/>
      <c r="CP131" s="26"/>
      <c r="CQ131" s="54"/>
      <c r="CR131" s="55"/>
      <c r="CS131" s="56"/>
      <c r="CT131" s="26"/>
      <c r="CU131" s="54"/>
      <c r="CV131" s="26"/>
      <c r="CW131" s="54"/>
      <c r="CX131" s="55"/>
      <c r="CY131" s="56"/>
      <c r="CZ131" s="26"/>
      <c r="DA131" s="54"/>
      <c r="DB131" s="26"/>
      <c r="DC131" s="54"/>
      <c r="DD131" s="55"/>
      <c r="DE131" s="56"/>
      <c r="DF131" s="26"/>
      <c r="DG131" s="54"/>
      <c r="DH131" s="26"/>
      <c r="DI131" s="54"/>
      <c r="DJ131" s="55"/>
      <c r="DK131" s="56"/>
      <c r="DL131" s="26"/>
      <c r="DM131" s="54"/>
      <c r="DN131" s="26"/>
      <c r="DO131" s="54"/>
      <c r="DP131" s="26"/>
      <c r="DQ131" s="89"/>
      <c r="DR131" s="26"/>
      <c r="DS131" s="54"/>
      <c r="DT131" s="70"/>
      <c r="DU131" s="26"/>
      <c r="DV131" s="55"/>
      <c r="DW131" s="56"/>
      <c r="DX131" s="26"/>
      <c r="DY131" s="54"/>
      <c r="DZ131" s="26"/>
      <c r="EA131" s="54"/>
      <c r="EB131" s="55"/>
      <c r="EC131" s="56"/>
      <c r="ED131" s="26"/>
      <c r="EE131" s="54"/>
      <c r="EF131" s="26"/>
      <c r="EG131" s="54"/>
      <c r="EH131" s="55"/>
      <c r="EI131" s="56"/>
      <c r="EJ131" s="26"/>
      <c r="EK131" s="54"/>
      <c r="EL131" s="26"/>
      <c r="EM131" s="54"/>
      <c r="EN131" s="55"/>
      <c r="EO131" s="56"/>
      <c r="EP131" s="26"/>
      <c r="EQ131" s="54"/>
      <c r="ER131" s="26"/>
      <c r="ES131" s="54"/>
      <c r="ET131" s="55"/>
    </row>
    <row r="132" spans="1:150" ht="20.100000000000001" hidden="1" customHeight="1" outlineLevel="1" thickBot="1">
      <c r="A132" s="3034"/>
      <c r="B132" s="3028"/>
      <c r="C132" s="1173"/>
      <c r="D132" s="2726" t="str">
        <f>実績!C1224&amp;"("&amp;SUBSTITUTE(実績!R1224&amp;")","株式会社 ","")</f>
        <v>スギ薬局 八王子別所(三宅建築設計事務所)</v>
      </c>
      <c r="E132" s="2727"/>
      <c r="F132" s="2727"/>
      <c r="G132" s="2727"/>
      <c r="H132" s="2727"/>
      <c r="I132" s="2727"/>
      <c r="J132" s="2727"/>
      <c r="K132" s="2727"/>
      <c r="L132" s="2727"/>
      <c r="M132" s="2727"/>
      <c r="N132" s="2727"/>
      <c r="O132" s="2727"/>
      <c r="P132" s="2727"/>
      <c r="Q132" s="3024"/>
      <c r="R132" s="1111"/>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56"/>
      <c r="AX132" s="26"/>
      <c r="AY132" s="54"/>
      <c r="AZ132" s="26"/>
      <c r="BA132" s="54"/>
      <c r="BB132" s="55"/>
      <c r="BC132" s="26"/>
      <c r="BD132" s="26"/>
      <c r="BE132" s="54"/>
      <c r="BF132" s="70"/>
      <c r="BG132" s="54"/>
      <c r="BH132" s="26"/>
      <c r="BI132" s="89"/>
      <c r="BJ132" s="26" t="s">
        <v>8250</v>
      </c>
      <c r="BK132" s="54"/>
      <c r="BL132" s="26"/>
      <c r="BM132" s="54"/>
      <c r="BN132" s="55"/>
      <c r="BO132" s="56"/>
      <c r="BP132" s="26"/>
      <c r="BQ132" s="54"/>
      <c r="BR132" s="26"/>
      <c r="BS132" s="54"/>
      <c r="BT132" s="55"/>
      <c r="BU132" s="56" t="s">
        <v>8145</v>
      </c>
      <c r="BV132" s="26"/>
      <c r="BW132" s="54"/>
      <c r="BX132" s="26"/>
      <c r="BY132" s="54"/>
      <c r="BZ132" s="55"/>
      <c r="CA132" s="56"/>
      <c r="CB132" s="26"/>
      <c r="CC132" s="54"/>
      <c r="CD132" s="26"/>
      <c r="CE132" s="54"/>
      <c r="CF132" s="55"/>
      <c r="CG132" s="56"/>
      <c r="CH132" s="26"/>
      <c r="CI132" s="54"/>
      <c r="CJ132" s="26"/>
      <c r="CK132" s="54"/>
      <c r="CL132" s="55"/>
      <c r="CM132" s="56"/>
      <c r="CN132" s="26"/>
      <c r="CO132" s="54"/>
      <c r="CP132" s="26"/>
      <c r="CQ132" s="54"/>
      <c r="CR132" s="55"/>
      <c r="CS132" s="56"/>
      <c r="CT132" s="26"/>
      <c r="CU132" s="54"/>
      <c r="CV132" s="26"/>
      <c r="CW132" s="54"/>
      <c r="CX132" s="55"/>
      <c r="CY132" s="56"/>
      <c r="CZ132" s="26"/>
      <c r="DA132" s="54"/>
      <c r="DB132" s="26"/>
      <c r="DC132" s="54"/>
      <c r="DD132" s="55"/>
      <c r="DE132" s="56"/>
      <c r="DF132" s="26"/>
      <c r="DG132" s="54"/>
      <c r="DH132" s="26"/>
      <c r="DI132" s="54"/>
      <c r="DJ132" s="55"/>
      <c r="DK132" s="56"/>
      <c r="DL132" s="26"/>
      <c r="DM132" s="54"/>
      <c r="DN132" s="26"/>
      <c r="DO132" s="54"/>
      <c r="DP132" s="26"/>
      <c r="DQ132" s="89"/>
      <c r="DR132" s="26"/>
      <c r="DS132" s="54"/>
      <c r="DT132" s="70"/>
      <c r="DU132" s="26"/>
      <c r="DV132" s="55"/>
      <c r="DW132" s="56"/>
      <c r="DX132" s="26"/>
      <c r="DY132" s="54"/>
      <c r="DZ132" s="26"/>
      <c r="EA132" s="54"/>
      <c r="EB132" s="55"/>
      <c r="EC132" s="56"/>
      <c r="ED132" s="26"/>
      <c r="EE132" s="54"/>
      <c r="EF132" s="26"/>
      <c r="EG132" s="54"/>
      <c r="EH132" s="55"/>
      <c r="EI132" s="56"/>
      <c r="EJ132" s="26"/>
      <c r="EK132" s="54"/>
      <c r="EL132" s="26"/>
      <c r="EM132" s="54"/>
      <c r="EN132" s="55"/>
      <c r="EO132" s="56"/>
      <c r="EP132" s="26"/>
      <c r="EQ132" s="54"/>
      <c r="ER132" s="26"/>
      <c r="ES132" s="54"/>
      <c r="ET132" s="55"/>
    </row>
    <row r="133" spans="1:150" ht="20.100000000000001" hidden="1" customHeight="1" outlineLevel="1" thickBot="1">
      <c r="A133" s="3034"/>
      <c r="B133" s="3028"/>
      <c r="C133" s="1173"/>
      <c r="D133" s="2726" t="str">
        <f>実績!C1221&amp;"("&amp;SUBSTITUTE(実績!R1221&amp;")","株式会社 ","")</f>
        <v>ネッツトヨタ東都㈱おおたかの森(a.s.t atelier)</v>
      </c>
      <c r="E133" s="2727"/>
      <c r="F133" s="2727"/>
      <c r="G133" s="2727"/>
      <c r="H133" s="2727"/>
      <c r="I133" s="2727"/>
      <c r="J133" s="2727"/>
      <c r="K133" s="2727"/>
      <c r="L133" s="2727"/>
      <c r="M133" s="2727"/>
      <c r="N133" s="2727"/>
      <c r="O133" s="2727"/>
      <c r="P133" s="2727"/>
      <c r="Q133" s="3024"/>
      <c r="R133" s="1111"/>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56"/>
      <c r="AX133" s="26"/>
      <c r="AY133" s="54"/>
      <c r="AZ133" s="26"/>
      <c r="BA133" s="54"/>
      <c r="BB133" s="55"/>
      <c r="BC133" s="26"/>
      <c r="BD133" s="26"/>
      <c r="BE133" s="54"/>
      <c r="BF133" s="70"/>
      <c r="BG133" s="54"/>
      <c r="BH133" s="26"/>
      <c r="BI133" s="89"/>
      <c r="BJ133" s="70" t="s">
        <v>8250</v>
      </c>
      <c r="BK133" s="54"/>
      <c r="BL133" s="26"/>
      <c r="BM133" s="54"/>
      <c r="BN133" s="55"/>
      <c r="BO133" s="56"/>
      <c r="BP133" s="26"/>
      <c r="BQ133" s="54"/>
      <c r="BR133" s="26"/>
      <c r="BS133" s="54"/>
      <c r="BT133" s="55"/>
      <c r="BU133" s="56" t="s">
        <v>8145</v>
      </c>
      <c r="BV133" s="26"/>
      <c r="BW133" s="54"/>
      <c r="BX133" s="26"/>
      <c r="BY133" s="54"/>
      <c r="BZ133" s="55"/>
      <c r="CA133" s="56"/>
      <c r="CB133" s="26"/>
      <c r="CC133" s="54"/>
      <c r="CD133" s="26"/>
      <c r="CE133" s="54"/>
      <c r="CF133" s="55"/>
      <c r="CG133" s="56"/>
      <c r="CH133" s="26"/>
      <c r="CI133" s="54"/>
      <c r="CJ133" s="26"/>
      <c r="CK133" s="54"/>
      <c r="CL133" s="55"/>
      <c r="CM133" s="56"/>
      <c r="CN133" s="26"/>
      <c r="CO133" s="54"/>
      <c r="CP133" s="26"/>
      <c r="CQ133" s="54"/>
      <c r="CR133" s="55"/>
      <c r="CS133" s="56"/>
      <c r="CT133" s="26"/>
      <c r="CU133" s="54"/>
      <c r="CV133" s="26"/>
      <c r="CW133" s="54"/>
      <c r="CX133" s="55"/>
      <c r="CY133" s="56"/>
      <c r="CZ133" s="26"/>
      <c r="DA133" s="54"/>
      <c r="DB133" s="26"/>
      <c r="DC133" s="54"/>
      <c r="DD133" s="55"/>
      <c r="DE133" s="56"/>
      <c r="DF133" s="26"/>
      <c r="DG133" s="54"/>
      <c r="DH133" s="26"/>
      <c r="DI133" s="54"/>
      <c r="DJ133" s="55"/>
      <c r="DK133" s="56"/>
      <c r="DL133" s="26"/>
      <c r="DM133" s="54"/>
      <c r="DN133" s="26"/>
      <c r="DO133" s="54"/>
      <c r="DP133" s="26"/>
      <c r="DQ133" s="89"/>
      <c r="DR133" s="26"/>
      <c r="DS133" s="54"/>
      <c r="DT133" s="70"/>
      <c r="DU133" s="26"/>
      <c r="DV133" s="55"/>
      <c r="DW133" s="56"/>
      <c r="DX133" s="26"/>
      <c r="DY133" s="54"/>
      <c r="DZ133" s="26"/>
      <c r="EA133" s="54"/>
      <c r="EB133" s="55"/>
      <c r="EC133" s="56"/>
      <c r="ED133" s="26"/>
      <c r="EE133" s="54"/>
      <c r="EF133" s="26"/>
      <c r="EG133" s="54"/>
      <c r="EH133" s="55"/>
      <c r="EI133" s="56"/>
      <c r="EJ133" s="26"/>
      <c r="EK133" s="54"/>
      <c r="EL133" s="26"/>
      <c r="EM133" s="54"/>
      <c r="EN133" s="55"/>
      <c r="EO133" s="56"/>
      <c r="EP133" s="26"/>
      <c r="EQ133" s="54"/>
      <c r="ER133" s="26"/>
      <c r="ES133" s="54"/>
      <c r="ET133" s="55"/>
    </row>
    <row r="134" spans="1:150" ht="20.100000000000001" hidden="1" customHeight="1" outlineLevel="1" collapsed="1" thickBot="1">
      <c r="A134" s="3034"/>
      <c r="B134" s="3028"/>
      <c r="C134" s="1173"/>
      <c r="D134" s="2726" t="str">
        <f>実績!C1223&amp;"("&amp;SUBSTITUTE(実績!R1223&amp;")","株式会社 ","")</f>
        <v>大京新工場従業員宿舎(吉光組)</v>
      </c>
      <c r="E134" s="2727"/>
      <c r="F134" s="2727"/>
      <c r="G134" s="2727"/>
      <c r="H134" s="2727"/>
      <c r="I134" s="2727"/>
      <c r="J134" s="2727"/>
      <c r="K134" s="2727"/>
      <c r="L134" s="2727"/>
      <c r="M134" s="2727"/>
      <c r="N134" s="2727"/>
      <c r="O134" s="2727"/>
      <c r="P134" s="2727"/>
      <c r="Q134" s="3024"/>
      <c r="R134" s="1111"/>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56"/>
      <c r="AX134" s="26"/>
      <c r="AY134" s="54"/>
      <c r="AZ134" s="26"/>
      <c r="BA134" s="54"/>
      <c r="BB134" s="55"/>
      <c r="BC134" s="26"/>
      <c r="BD134" s="26"/>
      <c r="BE134" s="54"/>
      <c r="BF134" s="70"/>
      <c r="BG134" s="54"/>
      <c r="BH134" s="26"/>
      <c r="BI134" s="89"/>
      <c r="BJ134" s="26"/>
      <c r="BK134" s="54" t="s">
        <v>8250</v>
      </c>
      <c r="BL134" s="26"/>
      <c r="BM134" s="54"/>
      <c r="BN134" s="55"/>
      <c r="BO134" s="56" t="s">
        <v>8145</v>
      </c>
      <c r="BP134" s="26"/>
      <c r="BQ134" s="54"/>
      <c r="BR134" s="26"/>
      <c r="BS134" s="54"/>
      <c r="BT134" s="55"/>
      <c r="BU134" s="56"/>
      <c r="BV134" s="26"/>
      <c r="BW134" s="54"/>
      <c r="BX134" s="26"/>
      <c r="BY134" s="54"/>
      <c r="BZ134" s="55"/>
      <c r="CA134" s="56"/>
      <c r="CB134" s="26"/>
      <c r="CC134" s="54"/>
      <c r="CD134" s="26"/>
      <c r="CE134" s="54"/>
      <c r="CF134" s="55"/>
      <c r="CG134" s="56"/>
      <c r="CH134" s="26"/>
      <c r="CI134" s="54"/>
      <c r="CJ134" s="26"/>
      <c r="CK134" s="54"/>
      <c r="CL134" s="55"/>
      <c r="CM134" s="56"/>
      <c r="CN134" s="26"/>
      <c r="CO134" s="54"/>
      <c r="CP134" s="26"/>
      <c r="CQ134" s="54"/>
      <c r="CR134" s="55"/>
      <c r="CS134" s="56"/>
      <c r="CT134" s="26"/>
      <c r="CU134" s="54"/>
      <c r="CV134" s="26"/>
      <c r="CW134" s="54"/>
      <c r="CX134" s="55"/>
      <c r="CY134" s="56"/>
      <c r="CZ134" s="26"/>
      <c r="DA134" s="54"/>
      <c r="DB134" s="26"/>
      <c r="DC134" s="54"/>
      <c r="DD134" s="55"/>
      <c r="DE134" s="56"/>
      <c r="DF134" s="26"/>
      <c r="DG134" s="54"/>
      <c r="DH134" s="26"/>
      <c r="DI134" s="54"/>
      <c r="DJ134" s="55"/>
      <c r="DK134" s="56"/>
      <c r="DL134" s="26"/>
      <c r="DM134" s="54"/>
      <c r="DN134" s="26"/>
      <c r="DO134" s="54"/>
      <c r="DP134" s="26"/>
      <c r="DQ134" s="89"/>
      <c r="DR134" s="26"/>
      <c r="DS134" s="54"/>
      <c r="DT134" s="70"/>
      <c r="DU134" s="26"/>
      <c r="DV134" s="55"/>
      <c r="DW134" s="56"/>
      <c r="DX134" s="26"/>
      <c r="DY134" s="54"/>
      <c r="DZ134" s="26"/>
      <c r="EA134" s="54"/>
      <c r="EB134" s="55"/>
      <c r="EC134" s="56"/>
      <c r="ED134" s="26"/>
      <c r="EE134" s="54"/>
      <c r="EF134" s="26"/>
      <c r="EG134" s="54"/>
      <c r="EH134" s="55"/>
      <c r="EI134" s="56"/>
      <c r="EJ134" s="26"/>
      <c r="EK134" s="54"/>
      <c r="EL134" s="26"/>
      <c r="EM134" s="54"/>
      <c r="EN134" s="55"/>
      <c r="EO134" s="56"/>
      <c r="EP134" s="26"/>
      <c r="EQ134" s="54"/>
      <c r="ER134" s="26"/>
      <c r="ES134" s="54"/>
      <c r="ET134" s="55"/>
    </row>
    <row r="135" spans="1:150" ht="20.100000000000001" hidden="1" customHeight="1" outlineLevel="1" thickBot="1">
      <c r="A135" s="3034"/>
      <c r="B135" s="3028"/>
      <c r="C135" s="1173"/>
      <c r="D135" s="2726" t="str">
        <f>実績!C1218&amp;"("&amp;SUBSTITUTE(実績!W1218&amp;")","株式会社 ","")</f>
        <v>日本海冷凍魚 冷蔵庫(平設計)</v>
      </c>
      <c r="E135" s="2727"/>
      <c r="F135" s="2727"/>
      <c r="G135" s="2727"/>
      <c r="H135" s="2727"/>
      <c r="I135" s="2727"/>
      <c r="J135" s="2727"/>
      <c r="K135" s="2727"/>
      <c r="L135" s="2727"/>
      <c r="M135" s="2727"/>
      <c r="N135" s="2727"/>
      <c r="O135" s="2727"/>
      <c r="P135" s="2727"/>
      <c r="Q135" s="3024"/>
      <c r="R135" s="1111"/>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54"/>
      <c r="BF135" s="26"/>
      <c r="BG135" s="54"/>
      <c r="BH135" s="26"/>
      <c r="BI135" s="89"/>
      <c r="BJ135" s="26"/>
      <c r="BK135" s="54" t="s">
        <v>8250</v>
      </c>
      <c r="BL135" s="26"/>
      <c r="BM135" s="54"/>
      <c r="BN135" s="55"/>
      <c r="BO135" s="56"/>
      <c r="BP135" s="26"/>
      <c r="BQ135" s="54"/>
      <c r="BR135" s="26"/>
      <c r="BS135" s="54"/>
      <c r="BT135" s="55"/>
      <c r="BU135" s="56" t="s">
        <v>8145</v>
      </c>
      <c r="BV135" s="26"/>
      <c r="BW135" s="54"/>
      <c r="BX135" s="26"/>
      <c r="BY135" s="54"/>
      <c r="BZ135" s="55"/>
      <c r="CA135" s="56"/>
      <c r="CB135" s="26"/>
      <c r="CC135" s="54"/>
      <c r="CD135" s="26"/>
      <c r="CE135" s="54"/>
      <c r="CF135" s="55"/>
      <c r="CG135" s="56"/>
      <c r="CH135" s="26"/>
      <c r="CI135" s="54"/>
      <c r="CJ135" s="26"/>
      <c r="CK135" s="54"/>
      <c r="CL135" s="55"/>
      <c r="CM135" s="56"/>
      <c r="CN135" s="26"/>
      <c r="CO135" s="54"/>
      <c r="CP135" s="26"/>
      <c r="CQ135" s="54"/>
      <c r="CR135" s="55"/>
      <c r="CS135" s="56"/>
      <c r="CT135" s="26"/>
      <c r="CU135" s="54"/>
      <c r="CV135" s="26"/>
      <c r="CW135" s="54"/>
      <c r="CX135" s="55"/>
      <c r="CY135" s="56"/>
      <c r="CZ135" s="26"/>
      <c r="DA135" s="54"/>
      <c r="DB135" s="26"/>
      <c r="DC135" s="54"/>
      <c r="DD135" s="55"/>
      <c r="DE135" s="56"/>
      <c r="DF135" s="26"/>
      <c r="DG135" s="54"/>
      <c r="DH135" s="26"/>
      <c r="DI135" s="54"/>
      <c r="DJ135" s="55"/>
      <c r="DK135" s="56"/>
      <c r="DL135" s="26"/>
      <c r="DM135" s="54"/>
      <c r="DN135" s="26"/>
      <c r="DO135" s="54"/>
      <c r="DP135" s="26"/>
      <c r="DQ135" s="89"/>
      <c r="DR135" s="26"/>
      <c r="DS135" s="54"/>
      <c r="DT135" s="70"/>
      <c r="DU135" s="26"/>
      <c r="DV135" s="55"/>
      <c r="DW135" s="56"/>
      <c r="DX135" s="26"/>
      <c r="DY135" s="54"/>
      <c r="DZ135" s="26"/>
      <c r="EA135" s="54"/>
      <c r="EB135" s="55"/>
      <c r="EC135" s="56"/>
      <c r="ED135" s="26"/>
      <c r="EE135" s="54"/>
      <c r="EF135" s="26"/>
      <c r="EG135" s="54"/>
      <c r="EH135" s="55"/>
      <c r="EI135" s="56"/>
      <c r="EJ135" s="26"/>
      <c r="EK135" s="54"/>
      <c r="EL135" s="26"/>
      <c r="EM135" s="54"/>
      <c r="EN135" s="55"/>
      <c r="EO135" s="56"/>
      <c r="EP135" s="26"/>
      <c r="EQ135" s="54"/>
      <c r="ER135" s="26"/>
      <c r="ES135" s="54"/>
      <c r="ET135" s="55"/>
    </row>
    <row r="136" spans="1:150" ht="20.100000000000001" hidden="1" customHeight="1" outlineLevel="1" thickBot="1">
      <c r="A136" s="3034"/>
      <c r="B136" s="3028"/>
      <c r="C136" s="1173"/>
      <c r="D136" s="2726" t="str">
        <f>実績!C1229&amp;"("&amp;SUBSTITUTE(実績!W1229&amp;")","株式会社 ","")</f>
        <v>Audi青森ショールーム(一級建築士事務所 Mkozo)</v>
      </c>
      <c r="E136" s="2727"/>
      <c r="F136" s="2727"/>
      <c r="G136" s="2727"/>
      <c r="H136" s="2727"/>
      <c r="I136" s="2727"/>
      <c r="J136" s="2727"/>
      <c r="K136" s="2727"/>
      <c r="L136" s="2727"/>
      <c r="M136" s="2727"/>
      <c r="N136" s="2727"/>
      <c r="O136" s="2727"/>
      <c r="P136" s="2727"/>
      <c r="Q136" s="3024"/>
      <c r="R136" s="1111"/>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56"/>
      <c r="AX136" s="26"/>
      <c r="AY136" s="54"/>
      <c r="AZ136" s="26"/>
      <c r="BA136" s="54"/>
      <c r="BB136" s="55"/>
      <c r="BC136" s="26"/>
      <c r="BD136" s="26"/>
      <c r="BE136" s="54"/>
      <c r="BF136" s="70"/>
      <c r="BG136" s="54"/>
      <c r="BH136" s="26"/>
      <c r="BI136" s="89"/>
      <c r="BJ136" s="26"/>
      <c r="BK136" s="54"/>
      <c r="BL136" s="26" t="s">
        <v>8250</v>
      </c>
      <c r="BM136" s="54"/>
      <c r="BN136" s="55"/>
      <c r="BO136" s="56"/>
      <c r="BP136" s="26"/>
      <c r="BQ136" s="54"/>
      <c r="BR136" s="26"/>
      <c r="BS136" s="54"/>
      <c r="BT136" s="55"/>
      <c r="BU136" s="56" t="s">
        <v>8145</v>
      </c>
      <c r="BV136" s="26"/>
      <c r="BW136" s="54"/>
      <c r="BX136" s="26"/>
      <c r="BY136" s="54"/>
      <c r="BZ136" s="55"/>
      <c r="CA136" s="56"/>
      <c r="CB136" s="26"/>
      <c r="CC136" s="54"/>
      <c r="CD136" s="26"/>
      <c r="CE136" s="54"/>
      <c r="CF136" s="55"/>
      <c r="CG136" s="56"/>
      <c r="CH136" s="26"/>
      <c r="CI136" s="54"/>
      <c r="CJ136" s="26"/>
      <c r="CK136" s="54"/>
      <c r="CL136" s="55"/>
      <c r="CM136" s="56"/>
      <c r="CN136" s="26"/>
      <c r="CO136" s="54"/>
      <c r="CP136" s="26"/>
      <c r="CQ136" s="54"/>
      <c r="CR136" s="55"/>
      <c r="CS136" s="56"/>
      <c r="CT136" s="26"/>
      <c r="CU136" s="54"/>
      <c r="CV136" s="26"/>
      <c r="CW136" s="54"/>
      <c r="CX136" s="55"/>
      <c r="CY136" s="56"/>
      <c r="CZ136" s="26"/>
      <c r="DA136" s="54"/>
      <c r="DB136" s="26"/>
      <c r="DC136" s="54"/>
      <c r="DD136" s="55"/>
      <c r="DE136" s="56"/>
      <c r="DF136" s="26"/>
      <c r="DG136" s="54"/>
      <c r="DH136" s="26"/>
      <c r="DI136" s="54"/>
      <c r="DJ136" s="55"/>
      <c r="DK136" s="56"/>
      <c r="DL136" s="26"/>
      <c r="DM136" s="54"/>
      <c r="DN136" s="26"/>
      <c r="DO136" s="54"/>
      <c r="DP136" s="26"/>
      <c r="DQ136" s="89"/>
      <c r="DR136" s="26"/>
      <c r="DS136" s="54"/>
      <c r="DT136" s="70"/>
      <c r="DU136" s="26"/>
      <c r="DV136" s="55"/>
      <c r="DW136" s="56"/>
      <c r="DX136" s="26"/>
      <c r="DY136" s="54"/>
      <c r="DZ136" s="26"/>
      <c r="EA136" s="54"/>
      <c r="EB136" s="55"/>
      <c r="EC136" s="56"/>
      <c r="ED136" s="26"/>
      <c r="EE136" s="54"/>
      <c r="EF136" s="26"/>
      <c r="EG136" s="54"/>
      <c r="EH136" s="55"/>
      <c r="EI136" s="56"/>
      <c r="EJ136" s="26"/>
      <c r="EK136" s="54"/>
      <c r="EL136" s="26"/>
      <c r="EM136" s="54"/>
      <c r="EN136" s="55"/>
      <c r="EO136" s="56"/>
      <c r="EP136" s="26"/>
      <c r="EQ136" s="54"/>
      <c r="ER136" s="26"/>
      <c r="ES136" s="54"/>
      <c r="ET136" s="55"/>
    </row>
    <row r="137" spans="1:150" ht="20.100000000000001" hidden="1" customHeight="1" outlineLevel="1" thickBot="1">
      <c r="A137" s="3034"/>
      <c r="B137" s="3028"/>
      <c r="C137" s="1173"/>
      <c r="D137" s="2726" t="str">
        <f>実績!C1234&amp;"("&amp;SUBSTITUTE(実績!W1234&amp;")","株式会社 ","")</f>
        <v>朝日ヶ丘産業株式会社本地物流センター(横河システム建築)</v>
      </c>
      <c r="E137" s="2727"/>
      <c r="F137" s="2727"/>
      <c r="G137" s="2727"/>
      <c r="H137" s="2727"/>
      <c r="I137" s="2727"/>
      <c r="J137" s="2727"/>
      <c r="K137" s="2727"/>
      <c r="L137" s="2727"/>
      <c r="M137" s="2727"/>
      <c r="N137" s="2727"/>
      <c r="O137" s="2727"/>
      <c r="P137" s="2727"/>
      <c r="Q137" s="3024"/>
      <c r="R137" s="1111"/>
      <c r="S137" s="26"/>
      <c r="T137" s="26"/>
      <c r="U137" s="54"/>
      <c r="V137" s="26"/>
      <c r="W137" s="54"/>
      <c r="X137" s="55"/>
      <c r="Y137" s="26"/>
      <c r="Z137" s="26"/>
      <c r="AA137" s="54"/>
      <c r="AB137" s="26"/>
      <c r="AC137" s="54"/>
      <c r="AD137" s="26"/>
      <c r="AE137" s="56"/>
      <c r="AF137" s="26"/>
      <c r="AG137" s="54"/>
      <c r="AH137" s="26"/>
      <c r="AI137" s="54"/>
      <c r="AJ137" s="55"/>
      <c r="AK137" s="26"/>
      <c r="AL137" s="26"/>
      <c r="AM137" s="54"/>
      <c r="AN137" s="26"/>
      <c r="AO137" s="54"/>
      <c r="AP137" s="26"/>
      <c r="AQ137" s="53"/>
      <c r="AR137" s="26"/>
      <c r="AS137" s="54"/>
      <c r="AT137" s="26"/>
      <c r="AU137" s="54" t="s">
        <v>8352</v>
      </c>
      <c r="AV137" s="55"/>
      <c r="AW137" s="56"/>
      <c r="AX137" s="26"/>
      <c r="AY137" s="54"/>
      <c r="AZ137" s="26"/>
      <c r="BA137" s="54"/>
      <c r="BB137" s="55"/>
      <c r="BC137" s="26"/>
      <c r="BD137" s="26"/>
      <c r="BE137" s="54"/>
      <c r="BF137" s="26"/>
      <c r="BG137" s="54"/>
      <c r="BH137" s="26"/>
      <c r="BI137" s="56"/>
      <c r="BJ137" s="26"/>
      <c r="BK137" s="54"/>
      <c r="BL137" s="26"/>
      <c r="BM137" s="54" t="s">
        <v>8250</v>
      </c>
      <c r="BN137" s="55"/>
      <c r="BO137" s="56" t="s">
        <v>9516</v>
      </c>
      <c r="BP137" s="26"/>
      <c r="BQ137" s="54"/>
      <c r="BR137" s="26"/>
      <c r="BS137" s="54"/>
      <c r="BT137" s="55"/>
      <c r="BU137" s="56"/>
      <c r="BV137" s="26"/>
      <c r="BW137" s="54"/>
      <c r="BX137" s="26"/>
      <c r="BY137" s="54"/>
      <c r="BZ137" s="55"/>
      <c r="CA137" s="56"/>
      <c r="CB137" s="26"/>
      <c r="CC137" s="54"/>
      <c r="CD137" s="26"/>
      <c r="CE137" s="54"/>
      <c r="CF137" s="55"/>
      <c r="CG137" s="56"/>
      <c r="CH137" s="26"/>
      <c r="CI137" s="54"/>
      <c r="CJ137" s="26"/>
      <c r="CK137" s="54"/>
      <c r="CL137" s="55"/>
      <c r="CM137" s="56"/>
      <c r="CN137" s="26"/>
      <c r="CO137" s="54"/>
      <c r="CP137" s="26"/>
      <c r="CQ137" s="54"/>
      <c r="CR137" s="55"/>
      <c r="CS137" s="56"/>
      <c r="CT137" s="26"/>
      <c r="CU137" s="54"/>
      <c r="CV137" s="26"/>
      <c r="CW137" s="54"/>
      <c r="CX137" s="55"/>
      <c r="CY137" s="56"/>
      <c r="CZ137" s="26"/>
      <c r="DA137" s="54"/>
      <c r="DB137" s="26"/>
      <c r="DC137" s="54"/>
      <c r="DD137" s="55"/>
      <c r="DE137" s="56"/>
      <c r="DF137" s="26"/>
      <c r="DG137" s="54"/>
      <c r="DH137" s="26"/>
      <c r="DI137" s="54"/>
      <c r="DJ137" s="55"/>
      <c r="DK137" s="56"/>
      <c r="DL137" s="26"/>
      <c r="DM137" s="54"/>
      <c r="DN137" s="26"/>
      <c r="DO137" s="54"/>
      <c r="DP137" s="26"/>
      <c r="DQ137" s="89"/>
      <c r="DR137" s="26"/>
      <c r="DS137" s="54"/>
      <c r="DT137" s="70"/>
      <c r="DU137" s="26"/>
      <c r="DV137" s="55"/>
      <c r="DW137" s="56"/>
      <c r="DX137" s="26"/>
      <c r="DY137" s="54"/>
      <c r="DZ137" s="26"/>
      <c r="EA137" s="54"/>
      <c r="EB137" s="55"/>
      <c r="EC137" s="56"/>
      <c r="ED137" s="26"/>
      <c r="EE137" s="54"/>
      <c r="EF137" s="26"/>
      <c r="EG137" s="54"/>
      <c r="EH137" s="55"/>
      <c r="EI137" s="56"/>
      <c r="EJ137" s="26"/>
      <c r="EK137" s="54"/>
      <c r="EL137" s="26"/>
      <c r="EM137" s="54"/>
      <c r="EN137" s="55"/>
      <c r="EO137" s="56"/>
      <c r="EP137" s="26"/>
      <c r="EQ137" s="54"/>
      <c r="ER137" s="26"/>
      <c r="ES137" s="54"/>
      <c r="ET137" s="55"/>
    </row>
    <row r="138" spans="1:150" ht="20.100000000000001" hidden="1" customHeight="1" outlineLevel="1" collapsed="1" thickBot="1">
      <c r="A138" s="3034"/>
      <c r="B138" s="3028"/>
      <c r="C138" s="1173"/>
      <c r="D138" s="2726" t="str">
        <f>実績!C1239&amp;"("&amp;SUBSTITUTE(実績!R1239&amp;")","株式会社 ","")</f>
        <v>ゲンキー羽昨大田(有限会社 オオハタ建築研究所)</v>
      </c>
      <c r="E138" s="2727"/>
      <c r="F138" s="2727"/>
      <c r="G138" s="2727"/>
      <c r="H138" s="2727"/>
      <c r="I138" s="2727"/>
      <c r="J138" s="2727"/>
      <c r="K138" s="2727"/>
      <c r="L138" s="2727"/>
      <c r="M138" s="2727"/>
      <c r="N138" s="2727"/>
      <c r="O138" s="2727"/>
      <c r="P138" s="2727"/>
      <c r="Q138" s="3024"/>
      <c r="R138" s="1111"/>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56"/>
      <c r="AX138" s="26"/>
      <c r="AY138" s="54"/>
      <c r="AZ138" s="26"/>
      <c r="BA138" s="54"/>
      <c r="BB138" s="55"/>
      <c r="BC138" s="26"/>
      <c r="BD138" s="26"/>
      <c r="BE138" s="54"/>
      <c r="BF138" s="26"/>
      <c r="BG138" s="54"/>
      <c r="BH138" s="26"/>
      <c r="BI138" s="26"/>
      <c r="BJ138" s="26"/>
      <c r="BK138" s="54"/>
      <c r="BL138" s="26"/>
      <c r="BM138" s="54"/>
      <c r="BN138" s="55" t="s">
        <v>8250</v>
      </c>
      <c r="BO138" s="56"/>
      <c r="BP138" s="26"/>
      <c r="BQ138" s="54"/>
      <c r="BR138" s="26"/>
      <c r="BS138" s="54"/>
      <c r="BT138" s="55" t="s">
        <v>8145</v>
      </c>
      <c r="BU138" s="56"/>
      <c r="BV138" s="26"/>
      <c r="BW138" s="54"/>
      <c r="BX138" s="26"/>
      <c r="BY138" s="54"/>
      <c r="BZ138" s="55"/>
      <c r="CA138" s="56"/>
      <c r="CB138" s="26"/>
      <c r="CC138" s="54"/>
      <c r="CD138" s="26"/>
      <c r="CE138" s="54"/>
      <c r="CF138" s="55"/>
      <c r="CG138" s="56"/>
      <c r="CH138" s="26"/>
      <c r="CI138" s="54"/>
      <c r="CJ138" s="26"/>
      <c r="CK138" s="54"/>
      <c r="CL138" s="55"/>
      <c r="CM138" s="56"/>
      <c r="CN138" s="26"/>
      <c r="CO138" s="54"/>
      <c r="CP138" s="26"/>
      <c r="CQ138" s="54"/>
      <c r="CR138" s="55"/>
      <c r="CS138" s="56"/>
      <c r="CT138" s="26"/>
      <c r="CU138" s="54"/>
      <c r="CV138" s="26"/>
      <c r="CW138" s="54"/>
      <c r="CX138" s="55"/>
      <c r="CY138" s="56"/>
      <c r="CZ138" s="26"/>
      <c r="DA138" s="54"/>
      <c r="DB138" s="26"/>
      <c r="DC138" s="54"/>
      <c r="DD138" s="55"/>
      <c r="DE138" s="56"/>
      <c r="DF138" s="26"/>
      <c r="DG138" s="54"/>
      <c r="DH138" s="26"/>
      <c r="DI138" s="54"/>
      <c r="DJ138" s="55"/>
      <c r="DK138" s="56"/>
      <c r="DL138" s="26"/>
      <c r="DM138" s="54"/>
      <c r="DN138" s="26"/>
      <c r="DO138" s="54"/>
      <c r="DP138" s="26"/>
      <c r="DQ138" s="89"/>
      <c r="DR138" s="26"/>
      <c r="DS138" s="54"/>
      <c r="DT138" s="70"/>
      <c r="DU138" s="26"/>
      <c r="DV138" s="55"/>
      <c r="DW138" s="56"/>
      <c r="DX138" s="26"/>
      <c r="DY138" s="54"/>
      <c r="DZ138" s="26"/>
      <c r="EA138" s="54"/>
      <c r="EB138" s="55"/>
      <c r="EC138" s="56"/>
      <c r="ED138" s="26"/>
      <c r="EE138" s="54"/>
      <c r="EF138" s="26"/>
      <c r="EG138" s="54"/>
      <c r="EH138" s="55"/>
      <c r="EI138" s="56"/>
      <c r="EJ138" s="26"/>
      <c r="EK138" s="54"/>
      <c r="EL138" s="26"/>
      <c r="EM138" s="54"/>
      <c r="EN138" s="55"/>
      <c r="EO138" s="56"/>
      <c r="EP138" s="26"/>
      <c r="EQ138" s="54"/>
      <c r="ER138" s="26"/>
      <c r="ES138" s="54"/>
      <c r="ET138" s="55"/>
    </row>
    <row r="139" spans="1:150" ht="20.100000000000001" hidden="1" customHeight="1" outlineLevel="1" thickBot="1">
      <c r="A139" s="3034"/>
      <c r="B139" s="3028"/>
      <c r="C139" s="1173"/>
      <c r="D139" s="2726" t="str">
        <f>実績!C1237&amp;"("&amp;SUBSTITUTE(実績!R1237&amp;")","株式会社 ","")</f>
        <v>協栄倉庫㈱F棟 危険物倉庫(蔵建築設計事務所)</v>
      </c>
      <c r="E139" s="2727"/>
      <c r="F139" s="2727"/>
      <c r="G139" s="2727"/>
      <c r="H139" s="2727"/>
      <c r="I139" s="2727"/>
      <c r="J139" s="2727"/>
      <c r="K139" s="2727"/>
      <c r="L139" s="2727"/>
      <c r="M139" s="2727"/>
      <c r="N139" s="2727"/>
      <c r="O139" s="2727"/>
      <c r="P139" s="2727"/>
      <c r="Q139" s="3024"/>
      <c r="R139" s="1111"/>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56"/>
      <c r="AX139" s="26"/>
      <c r="AY139" s="54"/>
      <c r="AZ139" s="26"/>
      <c r="BA139" s="54"/>
      <c r="BB139" s="55"/>
      <c r="BC139" s="26"/>
      <c r="BD139" s="26"/>
      <c r="BE139" s="54"/>
      <c r="BF139" s="26"/>
      <c r="BG139" s="54"/>
      <c r="BH139" s="26"/>
      <c r="BI139" s="26"/>
      <c r="BJ139" s="26"/>
      <c r="BK139" s="54"/>
      <c r="BL139" s="26"/>
      <c r="BM139" s="54"/>
      <c r="BN139" s="55" t="s">
        <v>8250</v>
      </c>
      <c r="BO139" s="56"/>
      <c r="BP139" s="26"/>
      <c r="BQ139" s="54"/>
      <c r="BR139" s="26"/>
      <c r="BS139" s="54"/>
      <c r="BT139" s="55"/>
      <c r="BU139" s="56"/>
      <c r="BV139" s="26"/>
      <c r="BW139" s="54"/>
      <c r="BX139" s="26"/>
      <c r="BY139" s="54"/>
      <c r="BZ139" s="55"/>
      <c r="CA139" s="56"/>
      <c r="CB139" s="26"/>
      <c r="CC139" s="54"/>
      <c r="CD139" s="26"/>
      <c r="CE139" s="54"/>
      <c r="CF139" s="55"/>
      <c r="CG139" s="56"/>
      <c r="CH139" s="26"/>
      <c r="CI139" s="54"/>
      <c r="CJ139" s="26"/>
      <c r="CK139" s="54"/>
      <c r="CL139" s="55"/>
      <c r="CM139" s="56"/>
      <c r="CN139" s="26"/>
      <c r="CO139" s="54"/>
      <c r="CP139" s="26"/>
      <c r="CQ139" s="54"/>
      <c r="CR139" s="55"/>
      <c r="CS139" s="56"/>
      <c r="CT139" s="26"/>
      <c r="CU139" s="54"/>
      <c r="CV139" s="26"/>
      <c r="CW139" s="54"/>
      <c r="CX139" s="55"/>
      <c r="CY139" s="56"/>
      <c r="CZ139" s="26"/>
      <c r="DA139" s="54"/>
      <c r="DB139" s="26"/>
      <c r="DC139" s="54"/>
      <c r="DD139" s="55"/>
      <c r="DE139" s="56"/>
      <c r="DF139" s="26"/>
      <c r="DG139" s="54"/>
      <c r="DH139" s="26"/>
      <c r="DI139" s="54"/>
      <c r="DJ139" s="55"/>
      <c r="DK139" s="56"/>
      <c r="DL139" s="26"/>
      <c r="DM139" s="54"/>
      <c r="DN139" s="26"/>
      <c r="DO139" s="54"/>
      <c r="DP139" s="26"/>
      <c r="DQ139" s="89"/>
      <c r="DR139" s="26"/>
      <c r="DS139" s="54"/>
      <c r="DT139" s="70"/>
      <c r="DU139" s="26"/>
      <c r="DV139" s="55"/>
      <c r="DW139" s="56"/>
      <c r="DX139" s="26"/>
      <c r="DY139" s="54"/>
      <c r="DZ139" s="26"/>
      <c r="EA139" s="54"/>
      <c r="EB139" s="55"/>
      <c r="EC139" s="56"/>
      <c r="ED139" s="26"/>
      <c r="EE139" s="54"/>
      <c r="EF139" s="26"/>
      <c r="EG139" s="54"/>
      <c r="EH139" s="55"/>
      <c r="EI139" s="56"/>
      <c r="EJ139" s="26"/>
      <c r="EK139" s="54"/>
      <c r="EL139" s="26"/>
      <c r="EM139" s="54"/>
      <c r="EN139" s="55"/>
      <c r="EO139" s="56"/>
      <c r="EP139" s="26"/>
      <c r="EQ139" s="54"/>
      <c r="ER139" s="26"/>
      <c r="ES139" s="54"/>
      <c r="ET139" s="55"/>
    </row>
    <row r="140" spans="1:150" ht="20.100000000000001" hidden="1" customHeight="1" outlineLevel="1" thickBot="1">
      <c r="A140" s="3034"/>
      <c r="B140" s="3028"/>
      <c r="C140" s="1173"/>
      <c r="D140" s="2726" t="str">
        <f>実績!C1240&amp;"("&amp;SUBSTITUTE(実績!R1240&amp;")","株式会社 ","")</f>
        <v>神田橋工業 工場(沢建工業 株式会社)</v>
      </c>
      <c r="E140" s="2727"/>
      <c r="F140" s="2727"/>
      <c r="G140" s="2727"/>
      <c r="H140" s="2727"/>
      <c r="I140" s="2727"/>
      <c r="J140" s="2727"/>
      <c r="K140" s="2727"/>
      <c r="L140" s="2727"/>
      <c r="M140" s="2727"/>
      <c r="N140" s="2727"/>
      <c r="O140" s="2727"/>
      <c r="P140" s="2727"/>
      <c r="Q140" s="3024"/>
      <c r="R140" s="1111"/>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56"/>
      <c r="AX140" s="26"/>
      <c r="AY140" s="54"/>
      <c r="AZ140" s="26"/>
      <c r="BA140" s="54"/>
      <c r="BB140" s="55"/>
      <c r="BC140" s="26"/>
      <c r="BD140" s="26"/>
      <c r="BE140" s="54"/>
      <c r="BF140" s="26"/>
      <c r="BG140" s="54"/>
      <c r="BH140" s="26"/>
      <c r="BI140" s="56"/>
      <c r="BJ140" s="26"/>
      <c r="BK140" s="54"/>
      <c r="BL140" s="26"/>
      <c r="BM140" s="54"/>
      <c r="BN140" s="55"/>
      <c r="BO140" s="56" t="s">
        <v>8250</v>
      </c>
      <c r="BP140" s="26"/>
      <c r="BQ140" s="54"/>
      <c r="BR140" s="26"/>
      <c r="BS140" s="54"/>
      <c r="BT140" s="55"/>
      <c r="BU140" s="56"/>
      <c r="BV140" s="26"/>
      <c r="BW140" s="54"/>
      <c r="BX140" s="26"/>
      <c r="BY140" s="54"/>
      <c r="BZ140" s="55"/>
      <c r="CA140" s="56"/>
      <c r="CB140" s="26"/>
      <c r="CC140" s="54"/>
      <c r="CD140" s="26"/>
      <c r="CE140" s="54"/>
      <c r="CF140" s="55"/>
      <c r="CG140" s="56"/>
      <c r="CH140" s="26"/>
      <c r="CI140" s="54"/>
      <c r="CJ140" s="26"/>
      <c r="CK140" s="54"/>
      <c r="CL140" s="55"/>
      <c r="CM140" s="56"/>
      <c r="CN140" s="26"/>
      <c r="CO140" s="54"/>
      <c r="CP140" s="26"/>
      <c r="CQ140" s="54"/>
      <c r="CR140" s="55"/>
      <c r="CS140" s="56"/>
      <c r="CT140" s="26"/>
      <c r="CU140" s="54"/>
      <c r="CV140" s="26"/>
      <c r="CW140" s="54"/>
      <c r="CX140" s="55"/>
      <c r="CY140" s="56"/>
      <c r="CZ140" s="26"/>
      <c r="DA140" s="54"/>
      <c r="DB140" s="26"/>
      <c r="DC140" s="54"/>
      <c r="DD140" s="55"/>
      <c r="DE140" s="56"/>
      <c r="DF140" s="26"/>
      <c r="DG140" s="54"/>
      <c r="DH140" s="26"/>
      <c r="DI140" s="54"/>
      <c r="DJ140" s="55"/>
      <c r="DK140" s="56"/>
      <c r="DL140" s="26"/>
      <c r="DM140" s="54"/>
      <c r="DN140" s="26"/>
      <c r="DO140" s="54"/>
      <c r="DP140" s="26"/>
      <c r="DQ140" s="89"/>
      <c r="DR140" s="26"/>
      <c r="DS140" s="54"/>
      <c r="DT140" s="70"/>
      <c r="DU140" s="26"/>
      <c r="DV140" s="55"/>
      <c r="DW140" s="56"/>
      <c r="DX140" s="26"/>
      <c r="DY140" s="54"/>
      <c r="DZ140" s="26"/>
      <c r="EA140" s="54"/>
      <c r="EB140" s="55"/>
      <c r="EC140" s="56"/>
      <c r="ED140" s="26"/>
      <c r="EE140" s="54"/>
      <c r="EF140" s="26"/>
      <c r="EG140" s="54"/>
      <c r="EH140" s="55"/>
      <c r="EI140" s="56"/>
      <c r="EJ140" s="26"/>
      <c r="EK140" s="54"/>
      <c r="EL140" s="26"/>
      <c r="EM140" s="54"/>
      <c r="EN140" s="55"/>
      <c r="EO140" s="56"/>
      <c r="EP140" s="26"/>
      <c r="EQ140" s="54"/>
      <c r="ER140" s="26"/>
      <c r="ES140" s="54"/>
      <c r="ET140" s="55"/>
    </row>
    <row r="141" spans="1:150" ht="20.100000000000001" hidden="1" customHeight="1" outlineLevel="1" thickBot="1">
      <c r="A141" s="3034"/>
      <c r="B141" s="3028"/>
      <c r="C141" s="1173"/>
      <c r="D141" s="2726" t="str">
        <f>実績!C1241&amp;"("&amp;SUBSTITUTE(実績!R1241&amp;")","株式会社 ","")</f>
        <v>旗艦長門(あい設計)</v>
      </c>
      <c r="E141" s="2727"/>
      <c r="F141" s="2727"/>
      <c r="G141" s="2727"/>
      <c r="H141" s="2727"/>
      <c r="I141" s="2727"/>
      <c r="J141" s="2727"/>
      <c r="K141" s="2727"/>
      <c r="L141" s="2727"/>
      <c r="M141" s="2727"/>
      <c r="N141" s="2727"/>
      <c r="O141" s="2727"/>
      <c r="P141" s="2727"/>
      <c r="Q141" s="3024"/>
      <c r="R141" s="1111"/>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56"/>
      <c r="AX141" s="26"/>
      <c r="AY141" s="54"/>
      <c r="AZ141" s="26"/>
      <c r="BA141" s="54"/>
      <c r="BB141" s="55"/>
      <c r="BC141" s="26"/>
      <c r="BD141" s="26"/>
      <c r="BE141" s="54"/>
      <c r="BF141" s="26"/>
      <c r="BG141" s="54"/>
      <c r="BH141" s="26"/>
      <c r="BI141" s="56"/>
      <c r="BJ141" s="26"/>
      <c r="BK141" s="54"/>
      <c r="BL141" s="26"/>
      <c r="BM141" s="54"/>
      <c r="BN141" s="55"/>
      <c r="BO141" s="56" t="s">
        <v>8250</v>
      </c>
      <c r="BP141" s="26"/>
      <c r="BQ141" s="54"/>
      <c r="BR141" s="26"/>
      <c r="BS141" s="54"/>
      <c r="BT141" s="55"/>
      <c r="BU141" s="56"/>
      <c r="BV141" s="26"/>
      <c r="BW141" s="54"/>
      <c r="BX141" s="26"/>
      <c r="BY141" s="54"/>
      <c r="BZ141" s="55"/>
      <c r="CA141" s="56"/>
      <c r="CB141" s="26"/>
      <c r="CC141" s="54"/>
      <c r="CD141" s="26"/>
      <c r="CE141" s="54"/>
      <c r="CF141" s="55"/>
      <c r="CG141" s="56"/>
      <c r="CH141" s="26"/>
      <c r="CI141" s="54"/>
      <c r="CJ141" s="26"/>
      <c r="CK141" s="54"/>
      <c r="CL141" s="55"/>
      <c r="CM141" s="56"/>
      <c r="CN141" s="26"/>
      <c r="CO141" s="54"/>
      <c r="CP141" s="26"/>
      <c r="CQ141" s="54"/>
      <c r="CR141" s="55"/>
      <c r="CS141" s="56"/>
      <c r="CT141" s="26"/>
      <c r="CU141" s="54"/>
      <c r="CV141" s="26"/>
      <c r="CW141" s="54"/>
      <c r="CX141" s="55"/>
      <c r="CY141" s="56"/>
      <c r="CZ141" s="26"/>
      <c r="DA141" s="54"/>
      <c r="DB141" s="26"/>
      <c r="DC141" s="54"/>
      <c r="DD141" s="55"/>
      <c r="DE141" s="56"/>
      <c r="DF141" s="26"/>
      <c r="DG141" s="54"/>
      <c r="DH141" s="26"/>
      <c r="DI141" s="54"/>
      <c r="DJ141" s="55"/>
      <c r="DK141" s="56"/>
      <c r="DL141" s="26"/>
      <c r="DM141" s="54"/>
      <c r="DN141" s="26"/>
      <c r="DO141" s="54"/>
      <c r="DP141" s="26"/>
      <c r="DQ141" s="89"/>
      <c r="DR141" s="26"/>
      <c r="DS141" s="54"/>
      <c r="DT141" s="70"/>
      <c r="DU141" s="26"/>
      <c r="DV141" s="55"/>
      <c r="DW141" s="56"/>
      <c r="DX141" s="26"/>
      <c r="DY141" s="54"/>
      <c r="DZ141" s="26"/>
      <c r="EA141" s="54"/>
      <c r="EB141" s="55"/>
      <c r="EC141" s="56"/>
      <c r="ED141" s="26"/>
      <c r="EE141" s="54"/>
      <c r="EF141" s="26"/>
      <c r="EG141" s="54"/>
      <c r="EH141" s="55"/>
      <c r="EI141" s="56"/>
      <c r="EJ141" s="26"/>
      <c r="EK141" s="54"/>
      <c r="EL141" s="26"/>
      <c r="EM141" s="54"/>
      <c r="EN141" s="55"/>
      <c r="EO141" s="56"/>
      <c r="EP141" s="26"/>
      <c r="EQ141" s="54"/>
      <c r="ER141" s="26"/>
      <c r="ES141" s="54"/>
      <c r="ET141" s="55"/>
    </row>
    <row r="142" spans="1:150" ht="20.100000000000001" hidden="1" customHeight="1" outlineLevel="1" thickBot="1">
      <c r="A142" s="3034"/>
      <c r="B142" s="3028"/>
      <c r="C142" s="1173"/>
      <c r="D142" s="2726" t="str">
        <f>実績!C1242&amp;"("&amp;SUBSTITUTE(実績!R1242&amp;")","株式会社 ","")</f>
        <v>イーグルアクアパーク稚内(坂井田建築設計事務所)</v>
      </c>
      <c r="E142" s="2727"/>
      <c r="F142" s="2727"/>
      <c r="G142" s="2727"/>
      <c r="H142" s="2727"/>
      <c r="I142" s="2727"/>
      <c r="J142" s="2727"/>
      <c r="K142" s="2727"/>
      <c r="L142" s="2727"/>
      <c r="M142" s="2727"/>
      <c r="N142" s="2727"/>
      <c r="O142" s="2727"/>
      <c r="P142" s="2727"/>
      <c r="Q142" s="3024"/>
      <c r="R142" s="1111"/>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56"/>
      <c r="BJ142" s="26"/>
      <c r="BK142" s="54"/>
      <c r="BL142" s="26"/>
      <c r="BM142" s="54"/>
      <c r="BN142" s="55"/>
      <c r="BO142" s="56" t="s">
        <v>8250</v>
      </c>
      <c r="BP142" s="26"/>
      <c r="BQ142" s="54"/>
      <c r="BR142" s="26"/>
      <c r="BS142" s="54"/>
      <c r="BT142" s="55"/>
      <c r="BU142" s="56"/>
      <c r="BV142" s="26"/>
      <c r="BW142" s="54"/>
      <c r="BX142" s="26"/>
      <c r="BY142" s="54"/>
      <c r="BZ142" s="55"/>
      <c r="CA142" s="56"/>
      <c r="CB142" s="26"/>
      <c r="CC142" s="54"/>
      <c r="CD142" s="26"/>
      <c r="CE142" s="54"/>
      <c r="CF142" s="55"/>
      <c r="CG142" s="56"/>
      <c r="CH142" s="26"/>
      <c r="CI142" s="54"/>
      <c r="CJ142" s="26"/>
      <c r="CK142" s="54"/>
      <c r="CL142" s="55"/>
      <c r="CM142" s="56"/>
      <c r="CN142" s="26"/>
      <c r="CO142" s="54"/>
      <c r="CP142" s="26"/>
      <c r="CQ142" s="54"/>
      <c r="CR142" s="55"/>
      <c r="CS142" s="56"/>
      <c r="CT142" s="26"/>
      <c r="CU142" s="54"/>
      <c r="CV142" s="26"/>
      <c r="CW142" s="54"/>
      <c r="CX142" s="55"/>
      <c r="CY142" s="56"/>
      <c r="CZ142" s="26"/>
      <c r="DA142" s="54"/>
      <c r="DB142" s="26"/>
      <c r="DC142" s="54"/>
      <c r="DD142" s="55"/>
      <c r="DE142" s="56"/>
      <c r="DF142" s="26"/>
      <c r="DG142" s="54"/>
      <c r="DH142" s="26"/>
      <c r="DI142" s="54"/>
      <c r="DJ142" s="55"/>
      <c r="DK142" s="56"/>
      <c r="DL142" s="26"/>
      <c r="DM142" s="54"/>
      <c r="DN142" s="26"/>
      <c r="DO142" s="54"/>
      <c r="DP142" s="26"/>
      <c r="DQ142" s="89"/>
      <c r="DR142" s="26"/>
      <c r="DS142" s="54"/>
      <c r="DT142" s="70"/>
      <c r="DU142" s="26"/>
      <c r="DV142" s="55"/>
      <c r="DW142" s="56"/>
      <c r="DX142" s="26"/>
      <c r="DY142" s="54"/>
      <c r="DZ142" s="26"/>
      <c r="EA142" s="54"/>
      <c r="EB142" s="55"/>
      <c r="EC142" s="56"/>
      <c r="ED142" s="26"/>
      <c r="EE142" s="54"/>
      <c r="EF142" s="26"/>
      <c r="EG142" s="54"/>
      <c r="EH142" s="55"/>
      <c r="EI142" s="56"/>
      <c r="EJ142" s="26"/>
      <c r="EK142" s="54"/>
      <c r="EL142" s="26"/>
      <c r="EM142" s="54"/>
      <c r="EN142" s="55"/>
      <c r="EO142" s="56"/>
      <c r="EP142" s="26"/>
      <c r="EQ142" s="54"/>
      <c r="ER142" s="26"/>
      <c r="ES142" s="54"/>
      <c r="ET142" s="55"/>
    </row>
    <row r="143" spans="1:150" ht="20.100000000000001" hidden="1" customHeight="1" outlineLevel="1" thickBot="1">
      <c r="A143" s="3034"/>
      <c r="B143" s="3028"/>
      <c r="C143" s="1173"/>
      <c r="D143" s="2726" t="str">
        <f>実績!C1230&amp;"("&amp;SUBSTITUTE(実績!R1230&amp;")","株式会社 ","")</f>
        <v>TPかねひで東江市場(金秀建設 株式会社)</v>
      </c>
      <c r="E143" s="2727"/>
      <c r="F143" s="2727"/>
      <c r="G143" s="2727"/>
      <c r="H143" s="2727"/>
      <c r="I143" s="2727"/>
      <c r="J143" s="2727"/>
      <c r="K143" s="2727"/>
      <c r="L143" s="2727"/>
      <c r="M143" s="2727"/>
      <c r="N143" s="2727"/>
      <c r="O143" s="2727"/>
      <c r="P143" s="2727"/>
      <c r="Q143" s="3024"/>
      <c r="R143" s="1111"/>
      <c r="S143" s="26"/>
      <c r="T143" s="26"/>
      <c r="U143" s="54"/>
      <c r="V143" s="26"/>
      <c r="W143" s="54"/>
      <c r="X143" s="55"/>
      <c r="Y143" s="26"/>
      <c r="Z143" s="26"/>
      <c r="AA143" s="54"/>
      <c r="AB143" s="26"/>
      <c r="AC143" s="54"/>
      <c r="AD143" s="26"/>
      <c r="AE143" s="26"/>
      <c r="AF143" s="26"/>
      <c r="AG143" s="54"/>
      <c r="AH143" s="26"/>
      <c r="AI143" s="54"/>
      <c r="AJ143" s="55"/>
      <c r="AK143" s="26"/>
      <c r="AL143" s="26"/>
      <c r="AM143" s="54"/>
      <c r="AN143" s="26"/>
      <c r="AO143" s="54"/>
      <c r="AP143" s="26"/>
      <c r="AQ143" s="53"/>
      <c r="AR143" s="26"/>
      <c r="AS143" s="54"/>
      <c r="AT143" s="26"/>
      <c r="AU143" s="54"/>
      <c r="AV143" s="55"/>
      <c r="AW143" s="56"/>
      <c r="AX143" s="26"/>
      <c r="AY143" s="54"/>
      <c r="AZ143" s="26"/>
      <c r="BA143" s="54"/>
      <c r="BB143" s="55"/>
      <c r="BC143" s="26"/>
      <c r="BD143" s="26"/>
      <c r="BE143" s="54"/>
      <c r="BF143" s="26"/>
      <c r="BG143" s="54"/>
      <c r="BH143" s="26"/>
      <c r="BI143" s="56"/>
      <c r="BJ143" s="26"/>
      <c r="BK143" s="54"/>
      <c r="BL143" s="26"/>
      <c r="BM143" s="54"/>
      <c r="BN143" s="55"/>
      <c r="BO143" s="56" t="s">
        <v>8250</v>
      </c>
      <c r="BP143" s="26"/>
      <c r="BQ143" s="54"/>
      <c r="BR143" s="26"/>
      <c r="BS143" s="54"/>
      <c r="BT143" s="55"/>
      <c r="BU143" s="56"/>
      <c r="BV143" s="26"/>
      <c r="BW143" s="54"/>
      <c r="BX143" s="26"/>
      <c r="BY143" s="54"/>
      <c r="BZ143" s="55"/>
      <c r="CA143" s="56"/>
      <c r="CB143" s="26"/>
      <c r="CC143" s="54"/>
      <c r="CD143" s="26"/>
      <c r="CE143" s="54"/>
      <c r="CF143" s="55"/>
      <c r="CG143" s="56"/>
      <c r="CH143" s="26"/>
      <c r="CI143" s="54"/>
      <c r="CJ143" s="26"/>
      <c r="CK143" s="54"/>
      <c r="CL143" s="55"/>
      <c r="CM143" s="56"/>
      <c r="CN143" s="26"/>
      <c r="CO143" s="54"/>
      <c r="CP143" s="26"/>
      <c r="CQ143" s="54"/>
      <c r="CR143" s="55"/>
      <c r="CS143" s="56"/>
      <c r="CT143" s="26"/>
      <c r="CU143" s="54"/>
      <c r="CV143" s="26"/>
      <c r="CW143" s="54"/>
      <c r="CX143" s="55"/>
      <c r="CY143" s="56"/>
      <c r="CZ143" s="26"/>
      <c r="DA143" s="54"/>
      <c r="DB143" s="26"/>
      <c r="DC143" s="54"/>
      <c r="DD143" s="55"/>
      <c r="DE143" s="56"/>
      <c r="DF143" s="26"/>
      <c r="DG143" s="54"/>
      <c r="DH143" s="26"/>
      <c r="DI143" s="54"/>
      <c r="DJ143" s="55"/>
      <c r="DK143" s="56"/>
      <c r="DL143" s="26"/>
      <c r="DM143" s="54"/>
      <c r="DN143" s="26"/>
      <c r="DO143" s="54"/>
      <c r="DP143" s="26"/>
      <c r="DQ143" s="89"/>
      <c r="DR143" s="26"/>
      <c r="DS143" s="54"/>
      <c r="DT143" s="70"/>
      <c r="DU143" s="26"/>
      <c r="DV143" s="55"/>
      <c r="DW143" s="56"/>
      <c r="DX143" s="26"/>
      <c r="DY143" s="54"/>
      <c r="DZ143" s="26"/>
      <c r="EA143" s="54"/>
      <c r="EB143" s="55"/>
      <c r="EC143" s="56"/>
      <c r="ED143" s="26"/>
      <c r="EE143" s="54"/>
      <c r="EF143" s="26"/>
      <c r="EG143" s="54"/>
      <c r="EH143" s="55"/>
      <c r="EI143" s="56"/>
      <c r="EJ143" s="26"/>
      <c r="EK143" s="54"/>
      <c r="EL143" s="26"/>
      <c r="EM143" s="54"/>
      <c r="EN143" s="55"/>
      <c r="EO143" s="56"/>
      <c r="EP143" s="26"/>
      <c r="EQ143" s="54"/>
      <c r="ER143" s="26"/>
      <c r="ES143" s="54"/>
      <c r="ET143" s="55"/>
    </row>
    <row r="144" spans="1:150" ht="20.100000000000001" hidden="1" customHeight="1" outlineLevel="1" thickBot="1">
      <c r="A144" s="3034"/>
      <c r="B144" s="3028"/>
      <c r="C144" s="1173"/>
      <c r="D144" s="2726" t="str">
        <f>実績!C1235&amp;"("&amp;SUBSTITUTE(実績!R1235&amp;")","株式会社 ","")</f>
        <v>アピア静岡 店舗棟(河野設計東京)</v>
      </c>
      <c r="E144" s="2727"/>
      <c r="F144" s="2727"/>
      <c r="G144" s="2727"/>
      <c r="H144" s="2727"/>
      <c r="I144" s="2727"/>
      <c r="J144" s="2727"/>
      <c r="K144" s="2727"/>
      <c r="L144" s="2727"/>
      <c r="M144" s="2727"/>
      <c r="N144" s="2727"/>
      <c r="O144" s="2727"/>
      <c r="P144" s="2727"/>
      <c r="Q144" s="3024"/>
      <c r="R144" s="1111"/>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56"/>
      <c r="AX144" s="26"/>
      <c r="AY144" s="54"/>
      <c r="AZ144" s="26"/>
      <c r="BA144" s="54"/>
      <c r="BB144" s="55"/>
      <c r="BC144" s="26"/>
      <c r="BD144" s="26"/>
      <c r="BE144" s="54"/>
      <c r="BF144" s="26"/>
      <c r="BG144" s="54"/>
      <c r="BH144" s="26"/>
      <c r="BI144" s="26"/>
      <c r="BJ144" s="26"/>
      <c r="BK144" s="54"/>
      <c r="BL144" s="26"/>
      <c r="BM144" s="54"/>
      <c r="BN144" s="55"/>
      <c r="BO144" s="56"/>
      <c r="BP144" s="26" t="s">
        <v>8250</v>
      </c>
      <c r="BQ144" s="54"/>
      <c r="BR144" s="26"/>
      <c r="BS144" s="54"/>
      <c r="BT144" s="55"/>
      <c r="BU144" s="56"/>
      <c r="BV144" s="26"/>
      <c r="BW144" s="54"/>
      <c r="BX144" s="26"/>
      <c r="BY144" s="54"/>
      <c r="BZ144" s="55"/>
      <c r="CA144" s="56"/>
      <c r="CB144" s="26"/>
      <c r="CC144" s="54"/>
      <c r="CD144" s="26"/>
      <c r="CE144" s="54"/>
      <c r="CF144" s="55"/>
      <c r="CG144" s="56"/>
      <c r="CH144" s="26"/>
      <c r="CI144" s="54"/>
      <c r="CJ144" s="26"/>
      <c r="CK144" s="54"/>
      <c r="CL144" s="55"/>
      <c r="CM144" s="56"/>
      <c r="CN144" s="26"/>
      <c r="CO144" s="54"/>
      <c r="CP144" s="26"/>
      <c r="CQ144" s="54"/>
      <c r="CR144" s="55"/>
      <c r="CS144" s="56"/>
      <c r="CT144" s="26"/>
      <c r="CU144" s="54"/>
      <c r="CV144" s="26"/>
      <c r="CW144" s="54"/>
      <c r="CX144" s="55"/>
      <c r="CY144" s="56"/>
      <c r="CZ144" s="26"/>
      <c r="DA144" s="54"/>
      <c r="DB144" s="26"/>
      <c r="DC144" s="54"/>
      <c r="DD144" s="55"/>
      <c r="DE144" s="56"/>
      <c r="DF144" s="26"/>
      <c r="DG144" s="54"/>
      <c r="DH144" s="26"/>
      <c r="DI144" s="54"/>
      <c r="DJ144" s="55"/>
      <c r="DK144" s="56"/>
      <c r="DL144" s="26"/>
      <c r="DM144" s="54"/>
      <c r="DN144" s="26"/>
      <c r="DO144" s="54"/>
      <c r="DP144" s="26"/>
      <c r="DQ144" s="89"/>
      <c r="DR144" s="26"/>
      <c r="DS144" s="54"/>
      <c r="DT144" s="70"/>
      <c r="DU144" s="26"/>
      <c r="DV144" s="55"/>
      <c r="DW144" s="56"/>
      <c r="DX144" s="26"/>
      <c r="DY144" s="54"/>
      <c r="DZ144" s="26"/>
      <c r="EA144" s="54"/>
      <c r="EB144" s="55"/>
      <c r="EC144" s="56"/>
      <c r="ED144" s="26"/>
      <c r="EE144" s="54"/>
      <c r="EF144" s="26"/>
      <c r="EG144" s="54"/>
      <c r="EH144" s="55"/>
      <c r="EI144" s="56"/>
      <c r="EJ144" s="26"/>
      <c r="EK144" s="54"/>
      <c r="EL144" s="26"/>
      <c r="EM144" s="54"/>
      <c r="EN144" s="55"/>
      <c r="EO144" s="56"/>
      <c r="EP144" s="26"/>
      <c r="EQ144" s="54"/>
      <c r="ER144" s="26"/>
      <c r="ES144" s="54"/>
      <c r="ET144" s="55"/>
    </row>
    <row r="145" spans="1:150" ht="20.100000000000001" hidden="1" customHeight="1" outlineLevel="1" thickBot="1">
      <c r="A145" s="3034"/>
      <c r="B145" s="3028"/>
      <c r="C145" s="1173"/>
      <c r="D145" s="2726" t="str">
        <f>実績!C1225&amp;"("&amp;SUBSTITUTE(実績!W1225&amp;")","株式会社 ","")</f>
        <v>スギ薬局 練馬豊玉(三宅建築設計事務所)</v>
      </c>
      <c r="E145" s="2727"/>
      <c r="F145" s="2727"/>
      <c r="G145" s="2727"/>
      <c r="H145" s="2727"/>
      <c r="I145" s="2727"/>
      <c r="J145" s="2727"/>
      <c r="K145" s="2727"/>
      <c r="L145" s="2727"/>
      <c r="M145" s="2727"/>
      <c r="N145" s="2727"/>
      <c r="O145" s="2727"/>
      <c r="P145" s="2727"/>
      <c r="Q145" s="3024"/>
      <c r="R145" s="1111"/>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56"/>
      <c r="AX145" s="26"/>
      <c r="AY145" s="54"/>
      <c r="AZ145" s="26"/>
      <c r="BA145" s="54"/>
      <c r="BB145" s="55"/>
      <c r="BC145" s="26"/>
      <c r="BD145" s="26"/>
      <c r="BE145" s="54"/>
      <c r="BF145" s="70"/>
      <c r="BG145" s="54"/>
      <c r="BH145" s="26"/>
      <c r="BI145" s="89"/>
      <c r="BJ145" s="26"/>
      <c r="BK145" s="54"/>
      <c r="BL145" s="26"/>
      <c r="BM145" s="54"/>
      <c r="BN145" s="55"/>
      <c r="BO145" s="56"/>
      <c r="BP145" s="26"/>
      <c r="BQ145" s="54"/>
      <c r="BR145" s="26"/>
      <c r="BS145" s="54"/>
      <c r="BT145" s="55"/>
      <c r="BU145" s="56"/>
      <c r="BV145" s="26"/>
      <c r="BW145" s="54"/>
      <c r="BX145" s="26"/>
      <c r="BY145" s="54"/>
      <c r="BZ145" s="55"/>
      <c r="CA145" s="56"/>
      <c r="CB145" s="26"/>
      <c r="CC145" s="54"/>
      <c r="CD145" s="26"/>
      <c r="CE145" s="54"/>
      <c r="CF145" s="55"/>
      <c r="CG145" s="56" t="s">
        <v>8145</v>
      </c>
      <c r="CH145" s="26"/>
      <c r="CI145" s="54"/>
      <c r="CJ145" s="26"/>
      <c r="CK145" s="54"/>
      <c r="CL145" s="55"/>
      <c r="CM145" s="56"/>
      <c r="CN145" s="26"/>
      <c r="CO145" s="54"/>
      <c r="CP145" s="26"/>
      <c r="CQ145" s="54"/>
      <c r="CR145" s="55"/>
      <c r="CS145" s="56"/>
      <c r="CT145" s="26"/>
      <c r="CU145" s="54"/>
      <c r="CV145" s="26"/>
      <c r="CW145" s="54"/>
      <c r="CX145" s="55"/>
      <c r="CY145" s="56"/>
      <c r="CZ145" s="26"/>
      <c r="DA145" s="54"/>
      <c r="DB145" s="26"/>
      <c r="DC145" s="54"/>
      <c r="DD145" s="55"/>
      <c r="DE145" s="56"/>
      <c r="DF145" s="26"/>
      <c r="DG145" s="54"/>
      <c r="DH145" s="26"/>
      <c r="DI145" s="54"/>
      <c r="DJ145" s="55"/>
      <c r="DK145" s="56"/>
      <c r="DL145" s="26"/>
      <c r="DM145" s="54"/>
      <c r="DN145" s="26"/>
      <c r="DO145" s="54"/>
      <c r="DP145" s="26"/>
      <c r="DQ145" s="89"/>
      <c r="DR145" s="26"/>
      <c r="DS145" s="54"/>
      <c r="DT145" s="70"/>
      <c r="DU145" s="26"/>
      <c r="DV145" s="55"/>
      <c r="DW145" s="56"/>
      <c r="DX145" s="26"/>
      <c r="DY145" s="54"/>
      <c r="DZ145" s="26"/>
      <c r="EA145" s="54"/>
      <c r="EB145" s="55"/>
      <c r="EC145" s="56"/>
      <c r="ED145" s="26"/>
      <c r="EE145" s="54"/>
      <c r="EF145" s="26"/>
      <c r="EG145" s="54"/>
      <c r="EH145" s="55"/>
      <c r="EI145" s="56"/>
      <c r="EJ145" s="26"/>
      <c r="EK145" s="54"/>
      <c r="EL145" s="26"/>
      <c r="EM145" s="54"/>
      <c r="EN145" s="55"/>
      <c r="EO145" s="56"/>
      <c r="EP145" s="26"/>
      <c r="EQ145" s="54"/>
      <c r="ER145" s="26"/>
      <c r="ES145" s="54"/>
      <c r="ET145" s="55"/>
    </row>
    <row r="146" spans="1:150" ht="20.100000000000001" hidden="1" customHeight="1" outlineLevel="1" collapsed="1" thickBot="1">
      <c r="A146" s="3034"/>
      <c r="B146" s="3028"/>
      <c r="C146" s="1173"/>
      <c r="D146" s="2726" t="str">
        <f>実績!C1238&amp;"("&amp;SUBSTITUTE(実績!R1238&amp;")","株式会社 ","")</f>
        <v>無添くら寿司 戸田駅前(アトリエA&amp;J)</v>
      </c>
      <c r="E146" s="2727"/>
      <c r="F146" s="2727"/>
      <c r="G146" s="2727"/>
      <c r="H146" s="2727"/>
      <c r="I146" s="2727"/>
      <c r="J146" s="2727"/>
      <c r="K146" s="2727"/>
      <c r="L146" s="2727"/>
      <c r="M146" s="2727"/>
      <c r="N146" s="2727"/>
      <c r="O146" s="2727"/>
      <c r="P146" s="2727"/>
      <c r="Q146" s="3024"/>
      <c r="R146" s="1111"/>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56"/>
      <c r="AX146" s="26"/>
      <c r="AY146" s="54"/>
      <c r="AZ146" s="26"/>
      <c r="BA146" s="54"/>
      <c r="BB146" s="55"/>
      <c r="BC146" s="26"/>
      <c r="BD146" s="26"/>
      <c r="BE146" s="54"/>
      <c r="BF146" s="26"/>
      <c r="BG146" s="54"/>
      <c r="BH146" s="26"/>
      <c r="BI146" s="26"/>
      <c r="BJ146" s="26"/>
      <c r="BK146" s="54"/>
      <c r="BL146" s="26"/>
      <c r="BM146" s="54"/>
      <c r="BN146" s="55"/>
      <c r="BO146" s="56"/>
      <c r="BP146" s="26" t="s">
        <v>9291</v>
      </c>
      <c r="BQ146" s="54"/>
      <c r="BR146" s="26"/>
      <c r="BS146" s="54"/>
      <c r="BT146" s="55"/>
      <c r="BU146" s="56"/>
      <c r="BV146" s="26"/>
      <c r="BW146" s="54"/>
      <c r="BX146" s="26"/>
      <c r="BY146" s="54"/>
      <c r="BZ146" s="55"/>
      <c r="CA146" s="56"/>
      <c r="CB146" s="26"/>
      <c r="CC146" s="54"/>
      <c r="CD146" s="26"/>
      <c r="CE146" s="54"/>
      <c r="CF146" s="55"/>
      <c r="CG146" s="56"/>
      <c r="CH146" s="26"/>
      <c r="CI146" s="54"/>
      <c r="CJ146" s="26"/>
      <c r="CK146" s="54"/>
      <c r="CL146" s="55"/>
      <c r="CM146" s="56"/>
      <c r="CN146" s="26"/>
      <c r="CO146" s="54"/>
      <c r="CP146" s="26"/>
      <c r="CQ146" s="54"/>
      <c r="CR146" s="55"/>
      <c r="CS146" s="56"/>
      <c r="CT146" s="26"/>
      <c r="CU146" s="54"/>
      <c r="CV146" s="26"/>
      <c r="CW146" s="54"/>
      <c r="CX146" s="55"/>
      <c r="CY146" s="56"/>
      <c r="CZ146" s="26"/>
      <c r="DA146" s="54"/>
      <c r="DB146" s="26"/>
      <c r="DC146" s="54"/>
      <c r="DD146" s="55"/>
      <c r="DE146" s="56"/>
      <c r="DF146" s="26"/>
      <c r="DG146" s="54"/>
      <c r="DH146" s="26"/>
      <c r="DI146" s="54"/>
      <c r="DJ146" s="55"/>
      <c r="DK146" s="56"/>
      <c r="DL146" s="26"/>
      <c r="DM146" s="54"/>
      <c r="DN146" s="26"/>
      <c r="DO146" s="54"/>
      <c r="DP146" s="26"/>
      <c r="DQ146" s="89"/>
      <c r="DR146" s="26"/>
      <c r="DS146" s="54"/>
      <c r="DT146" s="70"/>
      <c r="DU146" s="26"/>
      <c r="DV146" s="55"/>
      <c r="DW146" s="56"/>
      <c r="DX146" s="26"/>
      <c r="DY146" s="54"/>
      <c r="DZ146" s="26"/>
      <c r="EA146" s="54"/>
      <c r="EB146" s="55"/>
      <c r="EC146" s="56"/>
      <c r="ED146" s="26"/>
      <c r="EE146" s="54"/>
      <c r="EF146" s="26"/>
      <c r="EG146" s="54"/>
      <c r="EH146" s="55"/>
      <c r="EI146" s="56"/>
      <c r="EJ146" s="26"/>
      <c r="EK146" s="54"/>
      <c r="EL146" s="26"/>
      <c r="EM146" s="54"/>
      <c r="EN146" s="55"/>
      <c r="EO146" s="56"/>
      <c r="EP146" s="26"/>
      <c r="EQ146" s="54"/>
      <c r="ER146" s="26"/>
      <c r="ES146" s="54"/>
      <c r="ET146" s="55"/>
    </row>
    <row r="147" spans="1:150" ht="20.100000000000001" hidden="1" customHeight="1" outlineLevel="1" thickBot="1">
      <c r="A147" s="3034"/>
      <c r="B147" s="3028"/>
      <c r="C147" s="1173"/>
      <c r="D147" s="2726" t="str">
        <f>実績!C1175&amp;"("&amp;SUBSTITUTE(実績!R1175&amp;")","株式会社 ","")</f>
        <v>コープながのｺｰﾌﾟﾃﾞﾘ諏訪ｾﾝﾀｰ(エーシーエ設計)</v>
      </c>
      <c r="E147" s="2878"/>
      <c r="F147" s="2878"/>
      <c r="G147" s="2878"/>
      <c r="H147" s="2878"/>
      <c r="I147" s="2878"/>
      <c r="J147" s="2878"/>
      <c r="K147" s="2878"/>
      <c r="L147" s="2878"/>
      <c r="M147" s="2878"/>
      <c r="N147" s="2878"/>
      <c r="O147" s="2878"/>
      <c r="P147" s="2878"/>
      <c r="Q147" s="3025"/>
      <c r="R147" s="1096"/>
      <c r="S147" s="26"/>
      <c r="T147" s="26"/>
      <c r="U147" s="54"/>
      <c r="V147" s="26"/>
      <c r="W147" s="54"/>
      <c r="X147" s="55"/>
      <c r="Y147" s="26"/>
      <c r="Z147" s="26"/>
      <c r="AA147" s="54"/>
      <c r="AB147" s="26"/>
      <c r="AC147" s="54"/>
      <c r="AD147" s="26"/>
      <c r="AE147" s="56"/>
      <c r="AF147" s="26"/>
      <c r="AG147" s="54"/>
      <c r="AH147" s="26"/>
      <c r="AI147" s="54"/>
      <c r="AJ147" s="55"/>
      <c r="AK147" s="26"/>
      <c r="AL147" s="26"/>
      <c r="AM147" s="54"/>
      <c r="AN147" s="26"/>
      <c r="AO147" s="54"/>
      <c r="AP147" s="26"/>
      <c r="AQ147" s="53" t="s">
        <v>8352</v>
      </c>
      <c r="AR147" s="26"/>
      <c r="AS147" s="54"/>
      <c r="AT147" s="26" t="s">
        <v>8645</v>
      </c>
      <c r="AU147" s="54"/>
      <c r="AV147" s="55"/>
      <c r="AW147" s="56" t="s">
        <v>8646</v>
      </c>
      <c r="AX147" s="26"/>
      <c r="AY147" s="54"/>
      <c r="AZ147" s="26"/>
      <c r="BA147" s="54"/>
      <c r="BB147" s="55"/>
      <c r="BC147" s="26"/>
      <c r="BD147" s="26"/>
      <c r="BE147" s="54"/>
      <c r="BF147" s="70"/>
      <c r="BG147" s="54"/>
      <c r="BH147" s="26"/>
      <c r="BI147" s="1174" t="s">
        <v>9354</v>
      </c>
      <c r="BJ147" s="26"/>
      <c r="BK147" s="54"/>
      <c r="BL147" s="26"/>
      <c r="BM147" s="54"/>
      <c r="BN147" s="55"/>
      <c r="BO147" s="1175" t="s">
        <v>9791</v>
      </c>
      <c r="BP147" s="26"/>
      <c r="BQ147" s="54"/>
      <c r="BR147" s="26"/>
      <c r="BS147" s="54"/>
      <c r="BT147" s="55"/>
      <c r="BU147" s="56"/>
      <c r="BV147" s="26"/>
      <c r="BW147" s="54"/>
      <c r="BX147" s="26"/>
      <c r="BY147" s="54"/>
      <c r="BZ147" s="55"/>
      <c r="CA147" s="56"/>
      <c r="CB147" s="26"/>
      <c r="CC147" s="54"/>
      <c r="CD147" s="26"/>
      <c r="CE147" s="54"/>
      <c r="CF147" s="55"/>
      <c r="CG147" s="56"/>
      <c r="CH147" s="26"/>
      <c r="CI147" s="54"/>
      <c r="CJ147" s="26"/>
      <c r="CK147" s="54"/>
      <c r="CL147" s="55"/>
      <c r="CM147" s="56"/>
      <c r="CN147" s="26"/>
      <c r="CO147" s="54"/>
      <c r="CP147" s="26"/>
      <c r="CQ147" s="54"/>
      <c r="CR147" s="55"/>
      <c r="CS147" s="56"/>
      <c r="CT147" s="26"/>
      <c r="CU147" s="54"/>
      <c r="CV147" s="26"/>
      <c r="CW147" s="54"/>
      <c r="CX147" s="55"/>
      <c r="CY147" s="56"/>
      <c r="CZ147" s="26"/>
      <c r="DA147" s="54"/>
      <c r="DB147" s="26"/>
      <c r="DC147" s="54"/>
      <c r="DD147" s="55"/>
      <c r="DE147" s="56"/>
      <c r="DF147" s="26"/>
      <c r="DG147" s="54"/>
      <c r="DH147" s="26"/>
      <c r="DI147" s="54"/>
      <c r="DJ147" s="55"/>
      <c r="DK147" s="56"/>
      <c r="DL147" s="26"/>
      <c r="DM147" s="54"/>
      <c r="DN147" s="26"/>
      <c r="DO147" s="54"/>
      <c r="DP147" s="26"/>
      <c r="DQ147" s="89"/>
      <c r="DR147" s="26"/>
      <c r="DS147" s="54"/>
      <c r="DT147" s="70"/>
      <c r="DU147" s="26"/>
      <c r="DV147" s="55"/>
      <c r="DW147" s="56"/>
      <c r="DX147" s="26"/>
      <c r="DY147" s="54"/>
      <c r="DZ147" s="26"/>
      <c r="EA147" s="54"/>
      <c r="EB147" s="55"/>
      <c r="EC147" s="56"/>
      <c r="ED147" s="26"/>
      <c r="EE147" s="54"/>
      <c r="EF147" s="26"/>
      <c r="EG147" s="54"/>
      <c r="EH147" s="55"/>
      <c r="EI147" s="56"/>
      <c r="EJ147" s="26"/>
      <c r="EK147" s="54"/>
      <c r="EL147" s="26"/>
      <c r="EM147" s="54"/>
      <c r="EN147" s="55"/>
      <c r="EO147" s="56"/>
      <c r="EP147" s="26"/>
      <c r="EQ147" s="54"/>
      <c r="ER147" s="26"/>
      <c r="ES147" s="54"/>
      <c r="ET147" s="55"/>
    </row>
    <row r="148" spans="1:150" ht="20.100000000000001" hidden="1" customHeight="1" outlineLevel="1" collapsed="1" thickBot="1">
      <c r="A148" s="3034"/>
      <c r="B148" s="3028"/>
      <c r="C148" s="1173"/>
      <c r="D148" s="2726" t="str">
        <f>実績!C1248&amp;"("&amp;SUBSTITUTE(実績!W1248&amp;")","株式会社 ","")</f>
        <v>はやま農場田村若雌農場 事務所棟(日成ビルド工業 株式会社)</v>
      </c>
      <c r="E148" s="2727"/>
      <c r="F148" s="2727"/>
      <c r="G148" s="2727"/>
      <c r="H148" s="2727"/>
      <c r="I148" s="2727"/>
      <c r="J148" s="2727"/>
      <c r="K148" s="2727"/>
      <c r="L148" s="2727"/>
      <c r="M148" s="2727"/>
      <c r="N148" s="2727"/>
      <c r="O148" s="2727"/>
      <c r="P148" s="2727"/>
      <c r="Q148" s="3024"/>
      <c r="R148" s="1111"/>
      <c r="S148" s="26"/>
      <c r="T148" s="26"/>
      <c r="U148" s="54"/>
      <c r="V148" s="26"/>
      <c r="W148" s="54"/>
      <c r="X148" s="55"/>
      <c r="Y148" s="26"/>
      <c r="Z148" s="26"/>
      <c r="AA148" s="54"/>
      <c r="AB148" s="26"/>
      <c r="AC148" s="54"/>
      <c r="AD148" s="26"/>
      <c r="AE148" s="56"/>
      <c r="AF148" s="26"/>
      <c r="AG148" s="54"/>
      <c r="AH148" s="26"/>
      <c r="AI148" s="54"/>
      <c r="AJ148" s="55"/>
      <c r="AK148" s="26"/>
      <c r="AL148" s="26"/>
      <c r="AM148" s="54"/>
      <c r="AN148" s="26"/>
      <c r="AO148" s="54"/>
      <c r="AP148" s="26"/>
      <c r="AQ148" s="53"/>
      <c r="AR148" s="26"/>
      <c r="AS148" s="54"/>
      <c r="AT148" s="26"/>
      <c r="AU148" s="54" t="s">
        <v>8352</v>
      </c>
      <c r="AV148" s="55"/>
      <c r="AW148" s="56"/>
      <c r="AX148" s="26"/>
      <c r="AY148" s="54"/>
      <c r="AZ148" s="26"/>
      <c r="BA148" s="54"/>
      <c r="BB148" s="55"/>
      <c r="BC148" s="26"/>
      <c r="BD148" s="26"/>
      <c r="BE148" s="54"/>
      <c r="BF148" s="26"/>
      <c r="BG148" s="54"/>
      <c r="BH148" s="26"/>
      <c r="BI148" s="56"/>
      <c r="BJ148" s="26"/>
      <c r="BK148" s="54"/>
      <c r="BL148" s="26"/>
      <c r="BM148" s="54"/>
      <c r="BN148" s="55"/>
      <c r="BO148" s="56"/>
      <c r="BP148" s="26"/>
      <c r="BQ148" s="54"/>
      <c r="BR148" s="70" t="s">
        <v>9871</v>
      </c>
      <c r="BS148" s="54"/>
      <c r="BT148" s="55"/>
      <c r="BU148" s="56"/>
      <c r="BV148" s="26"/>
      <c r="BW148" s="54"/>
      <c r="BX148" s="26"/>
      <c r="BY148" s="54"/>
      <c r="BZ148" s="55"/>
      <c r="CA148" s="56"/>
      <c r="CB148" s="26"/>
      <c r="CC148" s="54"/>
      <c r="CD148" s="26"/>
      <c r="CE148" s="54"/>
      <c r="CF148" s="55"/>
      <c r="CG148" s="56"/>
      <c r="CH148" s="26"/>
      <c r="CI148" s="54"/>
      <c r="CJ148" s="26"/>
      <c r="CK148" s="54"/>
      <c r="CL148" s="55"/>
      <c r="CM148" s="56"/>
      <c r="CN148" s="26"/>
      <c r="CO148" s="54"/>
      <c r="CP148" s="26"/>
      <c r="CQ148" s="54"/>
      <c r="CR148" s="55"/>
      <c r="CS148" s="56"/>
      <c r="CT148" s="26"/>
      <c r="CU148" s="54"/>
      <c r="CV148" s="26"/>
      <c r="CW148" s="54"/>
      <c r="CX148" s="55"/>
      <c r="CY148" s="56"/>
      <c r="CZ148" s="26"/>
      <c r="DA148" s="54"/>
      <c r="DB148" s="26"/>
      <c r="DC148" s="54"/>
      <c r="DD148" s="55"/>
      <c r="DE148" s="56"/>
      <c r="DF148" s="26"/>
      <c r="DG148" s="54"/>
      <c r="DH148" s="26"/>
      <c r="DI148" s="54"/>
      <c r="DJ148" s="55"/>
      <c r="DK148" s="56"/>
      <c r="DL148" s="26"/>
      <c r="DM148" s="54"/>
      <c r="DN148" s="26"/>
      <c r="DO148" s="54"/>
      <c r="DP148" s="26"/>
      <c r="DQ148" s="89"/>
      <c r="DR148" s="26"/>
      <c r="DS148" s="54"/>
      <c r="DT148" s="70"/>
      <c r="DU148" s="26"/>
      <c r="DV148" s="55"/>
      <c r="DW148" s="56"/>
      <c r="DX148" s="26"/>
      <c r="DY148" s="54"/>
      <c r="DZ148" s="26"/>
      <c r="EA148" s="54"/>
      <c r="EB148" s="55"/>
      <c r="EC148" s="56"/>
      <c r="ED148" s="26"/>
      <c r="EE148" s="54"/>
      <c r="EF148" s="26"/>
      <c r="EG148" s="54"/>
      <c r="EH148" s="55"/>
      <c r="EI148" s="56"/>
      <c r="EJ148" s="26"/>
      <c r="EK148" s="54"/>
      <c r="EL148" s="26"/>
      <c r="EM148" s="54"/>
      <c r="EN148" s="55"/>
      <c r="EO148" s="56"/>
      <c r="EP148" s="26"/>
      <c r="EQ148" s="54"/>
      <c r="ER148" s="26"/>
      <c r="ES148" s="54"/>
      <c r="ET148" s="55"/>
    </row>
    <row r="149" spans="1:150" ht="20.100000000000001" hidden="1" customHeight="1" outlineLevel="1" collapsed="1" thickBot="1">
      <c r="A149" s="3034"/>
      <c r="B149" s="3028"/>
      <c r="C149" s="1173"/>
      <c r="D149" s="2726" t="str">
        <f>実績!C1247&amp;"("&amp;SUBSTITUTE(実績!W1247&amp;")","株式会社 ","")</f>
        <v>ｼﾞｬﾑﾌﾚﾝﾄﾞｸﾗﾌﾞAむつ十二林(コウダヤ建築設計事務所)</v>
      </c>
      <c r="E149" s="2727"/>
      <c r="F149" s="2727"/>
      <c r="G149" s="2727"/>
      <c r="H149" s="2727"/>
      <c r="I149" s="2727"/>
      <c r="J149" s="2727"/>
      <c r="K149" s="2727"/>
      <c r="L149" s="2727"/>
      <c r="M149" s="2727"/>
      <c r="N149" s="2727"/>
      <c r="O149" s="2727"/>
      <c r="P149" s="2727"/>
      <c r="Q149" s="3024"/>
      <c r="R149" s="1111"/>
      <c r="S149" s="26"/>
      <c r="T149" s="26"/>
      <c r="U149" s="54"/>
      <c r="V149" s="26"/>
      <c r="W149" s="54"/>
      <c r="X149" s="55"/>
      <c r="Y149" s="26"/>
      <c r="Z149" s="26"/>
      <c r="AA149" s="54"/>
      <c r="AB149" s="26"/>
      <c r="AC149" s="54"/>
      <c r="AD149" s="26"/>
      <c r="AE149" s="56"/>
      <c r="AF149" s="26"/>
      <c r="AG149" s="54"/>
      <c r="AH149" s="26"/>
      <c r="AI149" s="54"/>
      <c r="AJ149" s="55"/>
      <c r="AK149" s="26"/>
      <c r="AL149" s="26"/>
      <c r="AM149" s="54"/>
      <c r="AN149" s="26"/>
      <c r="AO149" s="54"/>
      <c r="AP149" s="26"/>
      <c r="AQ149" s="53"/>
      <c r="AR149" s="26"/>
      <c r="AS149" s="54"/>
      <c r="AT149" s="26"/>
      <c r="AU149" s="54" t="s">
        <v>8352</v>
      </c>
      <c r="AV149" s="55"/>
      <c r="AW149" s="56"/>
      <c r="AX149" s="26"/>
      <c r="AY149" s="54"/>
      <c r="AZ149" s="26"/>
      <c r="BA149" s="54"/>
      <c r="BB149" s="55"/>
      <c r="BC149" s="26"/>
      <c r="BD149" s="26"/>
      <c r="BE149" s="54"/>
      <c r="BF149" s="26"/>
      <c r="BG149" s="54"/>
      <c r="BH149" s="26"/>
      <c r="BI149" s="56"/>
      <c r="BJ149" s="26"/>
      <c r="BK149" s="54"/>
      <c r="BL149" s="26"/>
      <c r="BM149" s="54"/>
      <c r="BN149" s="55"/>
      <c r="BO149" s="56"/>
      <c r="BP149" s="108"/>
      <c r="BQ149" s="54"/>
      <c r="BR149" s="70" t="s">
        <v>8626</v>
      </c>
      <c r="BS149" s="54"/>
      <c r="BT149" s="55"/>
      <c r="BU149" s="56"/>
      <c r="BV149" s="26"/>
      <c r="BW149" s="54"/>
      <c r="BX149" s="26"/>
      <c r="BY149" s="54"/>
      <c r="BZ149" s="55"/>
      <c r="CA149" s="56"/>
      <c r="CB149" s="26"/>
      <c r="CC149" s="54"/>
      <c r="CD149" s="26"/>
      <c r="CE149" s="54"/>
      <c r="CF149" s="55"/>
      <c r="CG149" s="56" t="s">
        <v>8145</v>
      </c>
      <c r="CH149" s="26"/>
      <c r="CI149" s="54"/>
      <c r="CJ149" s="26"/>
      <c r="CK149" s="54"/>
      <c r="CL149" s="55"/>
      <c r="CM149" s="56"/>
      <c r="CN149" s="26"/>
      <c r="CO149" s="54"/>
      <c r="CP149" s="26"/>
      <c r="CQ149" s="54"/>
      <c r="CR149" s="55"/>
      <c r="CS149" s="56"/>
      <c r="CT149" s="26"/>
      <c r="CU149" s="54"/>
      <c r="CV149" s="26"/>
      <c r="CW149" s="54"/>
      <c r="CX149" s="55"/>
      <c r="CY149" s="56"/>
      <c r="CZ149" s="26"/>
      <c r="DA149" s="54"/>
      <c r="DB149" s="26"/>
      <c r="DC149" s="54"/>
      <c r="DD149" s="55"/>
      <c r="DE149" s="56"/>
      <c r="DF149" s="26"/>
      <c r="DG149" s="54"/>
      <c r="DH149" s="26"/>
      <c r="DI149" s="54"/>
      <c r="DJ149" s="55"/>
      <c r="DK149" s="56"/>
      <c r="DL149" s="26"/>
      <c r="DM149" s="54"/>
      <c r="DN149" s="26"/>
      <c r="DO149" s="54"/>
      <c r="DP149" s="26"/>
      <c r="DQ149" s="89"/>
      <c r="DR149" s="26"/>
      <c r="DS149" s="54"/>
      <c r="DT149" s="70"/>
      <c r="DU149" s="26"/>
      <c r="DV149" s="55"/>
      <c r="DW149" s="56"/>
      <c r="DX149" s="26"/>
      <c r="DY149" s="54"/>
      <c r="DZ149" s="26"/>
      <c r="EA149" s="54"/>
      <c r="EB149" s="55"/>
      <c r="EC149" s="56"/>
      <c r="ED149" s="26"/>
      <c r="EE149" s="54"/>
      <c r="EF149" s="26"/>
      <c r="EG149" s="54"/>
      <c r="EH149" s="55"/>
      <c r="EI149" s="56"/>
      <c r="EJ149" s="26"/>
      <c r="EK149" s="54"/>
      <c r="EL149" s="26"/>
      <c r="EM149" s="54"/>
      <c r="EN149" s="55"/>
      <c r="EO149" s="56"/>
      <c r="EP149" s="26"/>
      <c r="EQ149" s="54"/>
      <c r="ER149" s="26"/>
      <c r="ES149" s="54"/>
      <c r="ET149" s="55"/>
    </row>
    <row r="150" spans="1:150" ht="20.100000000000001" hidden="1" customHeight="1" outlineLevel="1" thickBot="1">
      <c r="A150" s="3034"/>
      <c r="B150" s="3028"/>
      <c r="C150" s="1173"/>
      <c r="D150" s="2726" t="str">
        <f>実績!C1252&amp;"("&amp;SUBSTITUTE(実績!R1252&amp;")","株式会社 ","")</f>
        <v>伊方町観光交流拠点施設(カイトアーキテクツ)</v>
      </c>
      <c r="E150" s="2727"/>
      <c r="F150" s="2727"/>
      <c r="G150" s="2727"/>
      <c r="H150" s="2727"/>
      <c r="I150" s="2727"/>
      <c r="J150" s="2727"/>
      <c r="K150" s="2727"/>
      <c r="L150" s="2727"/>
      <c r="M150" s="2727"/>
      <c r="N150" s="2727"/>
      <c r="O150" s="2727"/>
      <c r="P150" s="2727"/>
      <c r="Q150" s="3024"/>
      <c r="R150" s="1111"/>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56"/>
      <c r="BJ150" s="26"/>
      <c r="BK150" s="54"/>
      <c r="BL150" s="26"/>
      <c r="BM150" s="54"/>
      <c r="BN150" s="55"/>
      <c r="BO150" s="56"/>
      <c r="BP150" s="26"/>
      <c r="BQ150" s="54"/>
      <c r="BR150" s="70" t="s">
        <v>8626</v>
      </c>
      <c r="BS150" s="54"/>
      <c r="BT150" s="55"/>
      <c r="BU150" s="56"/>
      <c r="BV150" s="26"/>
      <c r="BW150" s="54"/>
      <c r="BX150" s="26"/>
      <c r="BY150" s="54"/>
      <c r="BZ150" s="55"/>
      <c r="CA150" s="56"/>
      <c r="CB150" s="26"/>
      <c r="CC150" s="54"/>
      <c r="CD150" s="26"/>
      <c r="CE150" s="54"/>
      <c r="CF150" s="55"/>
      <c r="CG150" s="56"/>
      <c r="CH150" s="26"/>
      <c r="CI150" s="54"/>
      <c r="CJ150" s="26"/>
      <c r="CK150" s="54" t="s">
        <v>8145</v>
      </c>
      <c r="CL150" s="55"/>
      <c r="CM150" s="56"/>
      <c r="CN150" s="26"/>
      <c r="CO150" s="54"/>
      <c r="CP150" s="26"/>
      <c r="CQ150" s="54"/>
      <c r="CR150" s="55"/>
      <c r="CS150" s="56"/>
      <c r="CT150" s="26"/>
      <c r="CU150" s="54"/>
      <c r="CV150" s="26"/>
      <c r="CW150" s="54"/>
      <c r="CX150" s="55"/>
      <c r="CY150" s="56"/>
      <c r="CZ150" s="26"/>
      <c r="DA150" s="54"/>
      <c r="DB150" s="26"/>
      <c r="DC150" s="54"/>
      <c r="DD150" s="55"/>
      <c r="DE150" s="56"/>
      <c r="DF150" s="26"/>
      <c r="DG150" s="54"/>
      <c r="DH150" s="26"/>
      <c r="DI150" s="54"/>
      <c r="DJ150" s="55"/>
      <c r="DK150" s="56"/>
      <c r="DL150" s="26"/>
      <c r="DM150" s="54"/>
      <c r="DN150" s="26"/>
      <c r="DO150" s="54"/>
      <c r="DP150" s="26"/>
      <c r="DQ150" s="89"/>
      <c r="DR150" s="26"/>
      <c r="DS150" s="54"/>
      <c r="DT150" s="70"/>
      <c r="DU150" s="26"/>
      <c r="DV150" s="55"/>
      <c r="DW150" s="56"/>
      <c r="DX150" s="26"/>
      <c r="DY150" s="54"/>
      <c r="DZ150" s="26"/>
      <c r="EA150" s="54"/>
      <c r="EB150" s="55"/>
      <c r="EC150" s="56"/>
      <c r="ED150" s="26"/>
      <c r="EE150" s="54"/>
      <c r="EF150" s="26"/>
      <c r="EG150" s="54"/>
      <c r="EH150" s="55"/>
      <c r="EI150" s="56"/>
      <c r="EJ150" s="26"/>
      <c r="EK150" s="54"/>
      <c r="EL150" s="26"/>
      <c r="EM150" s="54"/>
      <c r="EN150" s="55"/>
      <c r="EO150" s="56"/>
      <c r="EP150" s="26"/>
      <c r="EQ150" s="54"/>
      <c r="ER150" s="26"/>
      <c r="ES150" s="54"/>
      <c r="ET150" s="55"/>
    </row>
    <row r="151" spans="1:150" ht="20.100000000000001" hidden="1" customHeight="1" outlineLevel="1" collapsed="1" thickBot="1">
      <c r="A151" s="3034"/>
      <c r="B151" s="3028"/>
      <c r="C151" s="1173"/>
      <c r="D151" s="2726" t="str">
        <f>実績!C1245&amp;"("&amp;SUBSTITUTE(実績!R1245&amp;")","株式会社 ","")</f>
        <v>新琴似1条12丁目商業施設 保育所・学童保育所(スカイ・サイト)</v>
      </c>
      <c r="E151" s="2727"/>
      <c r="F151" s="2727"/>
      <c r="G151" s="2727"/>
      <c r="H151" s="2727"/>
      <c r="I151" s="2727"/>
      <c r="J151" s="2727"/>
      <c r="K151" s="2727"/>
      <c r="L151" s="2727"/>
      <c r="M151" s="2727"/>
      <c r="N151" s="2727"/>
      <c r="O151" s="2727"/>
      <c r="P151" s="2727"/>
      <c r="Q151" s="3024"/>
      <c r="R151" s="1111"/>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56"/>
      <c r="BJ151" s="26"/>
      <c r="BK151" s="54"/>
      <c r="BL151" s="26"/>
      <c r="BM151" s="54"/>
      <c r="BN151" s="55"/>
      <c r="BO151" s="56"/>
      <c r="BP151" s="26"/>
      <c r="BQ151" s="54"/>
      <c r="BR151" s="70"/>
      <c r="BS151" s="54" t="s">
        <v>9472</v>
      </c>
      <c r="BT151" s="55"/>
      <c r="BU151" s="56"/>
      <c r="BV151" s="26"/>
      <c r="BW151" s="54"/>
      <c r="BX151" s="26"/>
      <c r="BY151" s="54"/>
      <c r="BZ151" s="55"/>
      <c r="CA151" s="56"/>
      <c r="CB151" s="26"/>
      <c r="CC151" s="54"/>
      <c r="CD151" s="26"/>
      <c r="CE151" s="54"/>
      <c r="CF151" s="55"/>
      <c r="CG151" s="56"/>
      <c r="CH151" s="26"/>
      <c r="CI151" s="54"/>
      <c r="CJ151" s="26"/>
      <c r="CK151" s="54" t="s">
        <v>8145</v>
      </c>
      <c r="CL151" s="55"/>
      <c r="CM151" s="56"/>
      <c r="CN151" s="26"/>
      <c r="CO151" s="54"/>
      <c r="CP151" s="26"/>
      <c r="CQ151" s="54"/>
      <c r="CR151" s="55"/>
      <c r="CS151" s="56"/>
      <c r="CT151" s="26"/>
      <c r="CU151" s="54"/>
      <c r="CV151" s="26"/>
      <c r="CW151" s="54"/>
      <c r="CX151" s="55"/>
      <c r="CY151" s="56"/>
      <c r="CZ151" s="26"/>
      <c r="DA151" s="54"/>
      <c r="DB151" s="26"/>
      <c r="DC151" s="54"/>
      <c r="DD151" s="55"/>
      <c r="DE151" s="56"/>
      <c r="DF151" s="26"/>
      <c r="DG151" s="54"/>
      <c r="DH151" s="26"/>
      <c r="DI151" s="54"/>
      <c r="DJ151" s="55"/>
      <c r="DK151" s="56"/>
      <c r="DL151" s="26"/>
      <c r="DM151" s="54"/>
      <c r="DN151" s="26"/>
      <c r="DO151" s="54"/>
      <c r="DP151" s="26"/>
      <c r="DQ151" s="89"/>
      <c r="DR151" s="26"/>
      <c r="DS151" s="54"/>
      <c r="DT151" s="70"/>
      <c r="DU151" s="26"/>
      <c r="DV151" s="55"/>
      <c r="DW151" s="56"/>
      <c r="DX151" s="26"/>
      <c r="DY151" s="54"/>
      <c r="DZ151" s="26"/>
      <c r="EA151" s="54"/>
      <c r="EB151" s="55"/>
      <c r="EC151" s="56"/>
      <c r="ED151" s="26"/>
      <c r="EE151" s="54"/>
      <c r="EF151" s="26"/>
      <c r="EG151" s="54"/>
      <c r="EH151" s="55"/>
      <c r="EI151" s="56"/>
      <c r="EJ151" s="26"/>
      <c r="EK151" s="54"/>
      <c r="EL151" s="26"/>
      <c r="EM151" s="54"/>
      <c r="EN151" s="55"/>
      <c r="EO151" s="56"/>
      <c r="EP151" s="26"/>
      <c r="EQ151" s="54"/>
      <c r="ER151" s="26"/>
      <c r="ES151" s="54"/>
      <c r="ET151" s="55"/>
    </row>
    <row r="152" spans="1:150" ht="20.100000000000001" hidden="1" customHeight="1" outlineLevel="1" thickBot="1">
      <c r="A152" s="3034"/>
      <c r="B152" s="3028"/>
      <c r="C152" s="1173"/>
      <c r="D152" s="2726" t="str">
        <f>実績!C1249&amp;"("&amp;SUBSTITUTE(実績!W1249&amp;")","株式会社 ","")</f>
        <v>日本ペイント防食コーティングス(株)(向後構造設計事務所)</v>
      </c>
      <c r="E152" s="2727"/>
      <c r="F152" s="2727"/>
      <c r="G152" s="2727"/>
      <c r="H152" s="2727"/>
      <c r="I152" s="2727"/>
      <c r="J152" s="2727"/>
      <c r="K152" s="2727"/>
      <c r="L152" s="2727"/>
      <c r="M152" s="2727"/>
      <c r="N152" s="2727"/>
      <c r="O152" s="2727"/>
      <c r="P152" s="2727"/>
      <c r="Q152" s="3024"/>
      <c r="R152" s="1111"/>
      <c r="S152" s="26"/>
      <c r="T152" s="26"/>
      <c r="U152" s="54"/>
      <c r="V152" s="26"/>
      <c r="W152" s="54"/>
      <c r="X152" s="55"/>
      <c r="Y152" s="26"/>
      <c r="Z152" s="26"/>
      <c r="AA152" s="54"/>
      <c r="AB152" s="26"/>
      <c r="AC152" s="54"/>
      <c r="AD152" s="26"/>
      <c r="AE152" s="56"/>
      <c r="AF152" s="26"/>
      <c r="AG152" s="54"/>
      <c r="AH152" s="26"/>
      <c r="AI152" s="54"/>
      <c r="AJ152" s="55"/>
      <c r="AK152" s="26"/>
      <c r="AL152" s="26"/>
      <c r="AM152" s="54"/>
      <c r="AN152" s="26"/>
      <c r="AO152" s="54"/>
      <c r="AP152" s="26"/>
      <c r="AQ152" s="53"/>
      <c r="AR152" s="26"/>
      <c r="AS152" s="54"/>
      <c r="AT152" s="26"/>
      <c r="AU152" s="54" t="s">
        <v>8352</v>
      </c>
      <c r="AV152" s="55"/>
      <c r="AW152" s="56"/>
      <c r="AX152" s="26"/>
      <c r="AY152" s="54"/>
      <c r="AZ152" s="26"/>
      <c r="BA152" s="54"/>
      <c r="BB152" s="55"/>
      <c r="BC152" s="26"/>
      <c r="BD152" s="26"/>
      <c r="BE152" s="54"/>
      <c r="BF152" s="26"/>
      <c r="BG152" s="54"/>
      <c r="BH152" s="26"/>
      <c r="BI152" s="56"/>
      <c r="BJ152" s="26"/>
      <c r="BK152" s="54"/>
      <c r="BL152" s="26"/>
      <c r="BM152" s="54"/>
      <c r="BN152" s="55"/>
      <c r="BO152" s="56"/>
      <c r="BP152" s="26"/>
      <c r="BQ152" s="54"/>
      <c r="BR152" s="26"/>
      <c r="BS152" s="54" t="s">
        <v>9472</v>
      </c>
      <c r="BT152" s="55"/>
      <c r="BU152" s="56"/>
      <c r="BV152" s="26"/>
      <c r="BW152" s="54"/>
      <c r="BX152" s="26"/>
      <c r="BY152" s="54"/>
      <c r="BZ152" s="55"/>
      <c r="CA152" s="56" t="s">
        <v>8145</v>
      </c>
      <c r="CB152" s="26"/>
      <c r="CC152" s="54"/>
      <c r="CD152" s="26"/>
      <c r="CE152" s="54"/>
      <c r="CF152" s="55"/>
      <c r="CG152" s="56"/>
      <c r="CH152" s="26"/>
      <c r="CI152" s="54"/>
      <c r="CJ152" s="26"/>
      <c r="CK152" s="54"/>
      <c r="CL152" s="55"/>
      <c r="CM152" s="56"/>
      <c r="CN152" s="26"/>
      <c r="CO152" s="54"/>
      <c r="CP152" s="26"/>
      <c r="CQ152" s="54"/>
      <c r="CR152" s="55"/>
      <c r="CS152" s="56"/>
      <c r="CT152" s="26"/>
      <c r="CU152" s="54"/>
      <c r="CV152" s="26"/>
      <c r="CW152" s="54"/>
      <c r="CX152" s="55"/>
      <c r="CY152" s="56"/>
      <c r="CZ152" s="26"/>
      <c r="DA152" s="54"/>
      <c r="DB152" s="26"/>
      <c r="DC152" s="54"/>
      <c r="DD152" s="55"/>
      <c r="DE152" s="56"/>
      <c r="DF152" s="26"/>
      <c r="DG152" s="54"/>
      <c r="DH152" s="26"/>
      <c r="DI152" s="54"/>
      <c r="DJ152" s="55"/>
      <c r="DK152" s="56"/>
      <c r="DL152" s="26"/>
      <c r="DM152" s="54"/>
      <c r="DN152" s="26"/>
      <c r="DO152" s="54"/>
      <c r="DP152" s="26"/>
      <c r="DQ152" s="89"/>
      <c r="DR152" s="26"/>
      <c r="DS152" s="54"/>
      <c r="DT152" s="70"/>
      <c r="DU152" s="26"/>
      <c r="DV152" s="55"/>
      <c r="DW152" s="56"/>
      <c r="DX152" s="26"/>
      <c r="DY152" s="54"/>
      <c r="DZ152" s="26"/>
      <c r="EA152" s="54"/>
      <c r="EB152" s="55"/>
      <c r="EC152" s="56"/>
      <c r="ED152" s="26"/>
      <c r="EE152" s="54"/>
      <c r="EF152" s="26"/>
      <c r="EG152" s="54"/>
      <c r="EH152" s="55"/>
      <c r="EI152" s="56"/>
      <c r="EJ152" s="26"/>
      <c r="EK152" s="54"/>
      <c r="EL152" s="26"/>
      <c r="EM152" s="54"/>
      <c r="EN152" s="55"/>
      <c r="EO152" s="56"/>
      <c r="EP152" s="26"/>
      <c r="EQ152" s="54"/>
      <c r="ER152" s="26"/>
      <c r="ES152" s="54"/>
      <c r="ET152" s="55"/>
    </row>
    <row r="153" spans="1:150" ht="20.100000000000001" hidden="1" customHeight="1" outlineLevel="1" collapsed="1" thickBot="1">
      <c r="A153" s="3034"/>
      <c r="B153" s="3028"/>
      <c r="C153" s="1173"/>
      <c r="D153" s="2726" t="str">
        <f>実績!C1243&amp;"("&amp;SUBSTITUTE(実績!R1243&amp;")"," 株式会社","")</f>
        <v>東方町倉庫(田中土建工業)</v>
      </c>
      <c r="E153" s="2727"/>
      <c r="F153" s="2727"/>
      <c r="G153" s="2727"/>
      <c r="H153" s="2727"/>
      <c r="I153" s="2727"/>
      <c r="J153" s="2727"/>
      <c r="K153" s="2727"/>
      <c r="L153" s="2727"/>
      <c r="M153" s="2727"/>
      <c r="N153" s="2727"/>
      <c r="O153" s="2727"/>
      <c r="P153" s="2727"/>
      <c r="Q153" s="3024"/>
      <c r="R153" s="1111"/>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56"/>
      <c r="BJ153" s="26"/>
      <c r="BK153" s="54"/>
      <c r="BL153" s="26"/>
      <c r="BM153" s="54"/>
      <c r="BN153" s="55"/>
      <c r="BO153" s="56"/>
      <c r="BP153" s="26"/>
      <c r="BQ153" s="54"/>
      <c r="BR153" s="70"/>
      <c r="BS153" s="54"/>
      <c r="BT153" s="55"/>
      <c r="BU153" s="56" t="s">
        <v>8250</v>
      </c>
      <c r="BV153" s="26"/>
      <c r="BW153" s="54"/>
      <c r="BX153" s="26"/>
      <c r="BY153" s="54"/>
      <c r="BZ153" s="55"/>
      <c r="CA153" s="56"/>
      <c r="CB153" s="26"/>
      <c r="CC153" s="54"/>
      <c r="CD153" s="26"/>
      <c r="CE153" s="54"/>
      <c r="CF153" s="55"/>
      <c r="CG153" s="56"/>
      <c r="CH153" s="26"/>
      <c r="CI153" s="54"/>
      <c r="CJ153" s="26"/>
      <c r="CK153" s="54"/>
      <c r="CL153" s="55"/>
      <c r="CM153" s="56"/>
      <c r="CN153" s="26"/>
      <c r="CO153" s="54"/>
      <c r="CP153" s="26"/>
      <c r="CQ153" s="54"/>
      <c r="CR153" s="55"/>
      <c r="CS153" s="56"/>
      <c r="CT153" s="26"/>
      <c r="CU153" s="54"/>
      <c r="CV153" s="26"/>
      <c r="CW153" s="54"/>
      <c r="CX153" s="55"/>
      <c r="CY153" s="56"/>
      <c r="CZ153" s="26"/>
      <c r="DA153" s="54"/>
      <c r="DB153" s="26"/>
      <c r="DC153" s="54"/>
      <c r="DD153" s="55"/>
      <c r="DE153" s="56"/>
      <c r="DF153" s="26"/>
      <c r="DG153" s="54"/>
      <c r="DH153" s="26"/>
      <c r="DI153" s="54"/>
      <c r="DJ153" s="55"/>
      <c r="DK153" s="56"/>
      <c r="DL153" s="26"/>
      <c r="DM153" s="54"/>
      <c r="DN153" s="26"/>
      <c r="DO153" s="54"/>
      <c r="DP153" s="26"/>
      <c r="DQ153" s="89"/>
      <c r="DR153" s="26"/>
      <c r="DS153" s="54"/>
      <c r="DT153" s="70"/>
      <c r="DU153" s="26"/>
      <c r="DV153" s="55"/>
      <c r="DW153" s="56"/>
      <c r="DX153" s="26"/>
      <c r="DY153" s="54"/>
      <c r="DZ153" s="26"/>
      <c r="EA153" s="54"/>
      <c r="EB153" s="55"/>
      <c r="EC153" s="56"/>
      <c r="ED153" s="26"/>
      <c r="EE153" s="54"/>
      <c r="EF153" s="26"/>
      <c r="EG153" s="54"/>
      <c r="EH153" s="55"/>
      <c r="EI153" s="56"/>
      <c r="EJ153" s="26"/>
      <c r="EK153" s="54"/>
      <c r="EL153" s="26"/>
      <c r="EM153" s="54"/>
      <c r="EN153" s="55"/>
      <c r="EO153" s="56"/>
      <c r="EP153" s="26"/>
      <c r="EQ153" s="54"/>
      <c r="ER153" s="26"/>
      <c r="ES153" s="54"/>
      <c r="ET153" s="55"/>
    </row>
    <row r="154" spans="1:150" ht="20.100000000000001" hidden="1" customHeight="1" outlineLevel="1" collapsed="1" thickBot="1">
      <c r="A154" s="3034"/>
      <c r="B154" s="3028"/>
      <c r="C154" s="1176" t="s">
        <v>10067</v>
      </c>
      <c r="D154" s="2726" t="str">
        <f>実績!C1246&amp;"("&amp;SUBSTITUTE(実績!R1246&amp;")","株式会社 ","")</f>
        <v>ハローズ大林 ﾃﾅﾝﾄF棟(山陽設計)</v>
      </c>
      <c r="E154" s="2727"/>
      <c r="F154" s="2727"/>
      <c r="G154" s="2727"/>
      <c r="H154" s="2727"/>
      <c r="I154" s="2727"/>
      <c r="J154" s="2727"/>
      <c r="K154" s="2727"/>
      <c r="L154" s="2727"/>
      <c r="M154" s="2727"/>
      <c r="N154" s="2727"/>
      <c r="O154" s="2727"/>
      <c r="P154" s="2727"/>
      <c r="Q154" s="3024"/>
      <c r="R154" s="1111"/>
      <c r="S154" s="26"/>
      <c r="T154" s="26"/>
      <c r="U154" s="54"/>
      <c r="V154" s="26"/>
      <c r="W154" s="54"/>
      <c r="X154" s="55"/>
      <c r="Y154" s="26"/>
      <c r="Z154" s="26"/>
      <c r="AA154" s="54"/>
      <c r="AB154" s="26"/>
      <c r="AC154" s="54"/>
      <c r="AD154" s="26"/>
      <c r="AE154" s="56"/>
      <c r="AF154" s="26"/>
      <c r="AG154" s="54"/>
      <c r="AH154" s="26"/>
      <c r="AI154" s="54"/>
      <c r="AJ154" s="55"/>
      <c r="AK154" s="26"/>
      <c r="AL154" s="26"/>
      <c r="AM154" s="54"/>
      <c r="AN154" s="26"/>
      <c r="AO154" s="54"/>
      <c r="AP154" s="26"/>
      <c r="AQ154" s="53"/>
      <c r="AR154" s="26"/>
      <c r="AS154" s="54"/>
      <c r="AT154" s="26"/>
      <c r="AU154" s="54" t="s">
        <v>8352</v>
      </c>
      <c r="AV154" s="55"/>
      <c r="AW154" s="56"/>
      <c r="AX154" s="26"/>
      <c r="AY154" s="54"/>
      <c r="AZ154" s="26"/>
      <c r="BA154" s="54"/>
      <c r="BB154" s="55"/>
      <c r="BC154" s="26"/>
      <c r="BD154" s="26"/>
      <c r="BE154" s="54"/>
      <c r="BF154" s="26"/>
      <c r="BG154" s="54"/>
      <c r="BH154" s="26"/>
      <c r="BI154" s="56"/>
      <c r="BJ154" s="26"/>
      <c r="BK154" s="54"/>
      <c r="BL154" s="26"/>
      <c r="BM154" s="54"/>
      <c r="BN154" s="55"/>
      <c r="BO154" s="1175"/>
      <c r="BP154" s="26"/>
      <c r="BQ154" s="54"/>
      <c r="BR154" s="26"/>
      <c r="BS154" s="54"/>
      <c r="BT154" s="55"/>
      <c r="BU154" s="56"/>
      <c r="BV154" s="26"/>
      <c r="BW154" s="54"/>
      <c r="BX154" s="26"/>
      <c r="BY154" s="54"/>
      <c r="BZ154" s="55"/>
      <c r="CA154" s="56"/>
      <c r="CB154" s="26"/>
      <c r="CC154" s="54"/>
      <c r="CD154" s="26"/>
      <c r="CE154" s="54"/>
      <c r="CF154" s="55"/>
      <c r="CG154" s="56"/>
      <c r="CH154" s="26"/>
      <c r="CI154" s="54"/>
      <c r="CJ154" s="26"/>
      <c r="CK154" s="54"/>
      <c r="CL154" s="55"/>
      <c r="CM154" s="56"/>
      <c r="CN154" s="26"/>
      <c r="CO154" s="54"/>
      <c r="CP154" s="26"/>
      <c r="CQ154" s="54"/>
      <c r="CR154" s="55"/>
      <c r="CS154" s="56"/>
      <c r="CT154" s="26"/>
      <c r="CU154" s="54"/>
      <c r="CV154" s="26"/>
      <c r="CW154" s="54"/>
      <c r="CX154" s="55"/>
      <c r="CY154" s="56"/>
      <c r="CZ154" s="26"/>
      <c r="DA154" s="54"/>
      <c r="DB154" s="26"/>
      <c r="DC154" s="54"/>
      <c r="DD154" s="55"/>
      <c r="DE154" s="56"/>
      <c r="DF154" s="26"/>
      <c r="DG154" s="54"/>
      <c r="DH154" s="26"/>
      <c r="DI154" s="54"/>
      <c r="DJ154" s="55"/>
      <c r="DK154" s="56"/>
      <c r="DL154" s="26"/>
      <c r="DM154" s="54"/>
      <c r="DN154" s="26"/>
      <c r="DO154" s="54"/>
      <c r="DP154" s="26"/>
      <c r="DQ154" s="89"/>
      <c r="DR154" s="26"/>
      <c r="DS154" s="54"/>
      <c r="DT154" s="70"/>
      <c r="DU154" s="26"/>
      <c r="DV154" s="55"/>
      <c r="DW154" s="56"/>
      <c r="DX154" s="26"/>
      <c r="DY154" s="54"/>
      <c r="DZ154" s="26"/>
      <c r="EA154" s="54"/>
      <c r="EB154" s="55"/>
      <c r="EC154" s="56"/>
      <c r="ED154" s="26"/>
      <c r="EE154" s="54"/>
      <c r="EF154" s="26"/>
      <c r="EG154" s="54"/>
      <c r="EH154" s="55"/>
      <c r="EI154" s="56"/>
      <c r="EJ154" s="26"/>
      <c r="EK154" s="54"/>
      <c r="EL154" s="26"/>
      <c r="EM154" s="54"/>
      <c r="EN154" s="55"/>
      <c r="EO154" s="56"/>
      <c r="EP154" s="26"/>
      <c r="EQ154" s="54"/>
      <c r="ER154" s="26"/>
      <c r="ES154" s="54"/>
      <c r="ET154" s="55"/>
    </row>
    <row r="155" spans="1:150" ht="20.100000000000001" hidden="1" customHeight="1" outlineLevel="1" thickBot="1">
      <c r="A155" s="3034"/>
      <c r="B155" s="3028"/>
      <c r="C155" s="1173"/>
      <c r="D155" s="2726" t="str">
        <f>実績!C1232&amp;"("&amp;SUBSTITUTE(実績!W1232&amp;")","株式会社 ","")</f>
        <v>中越エコプロダクツ MAPKA製造工場(植木組)</v>
      </c>
      <c r="E155" s="2727"/>
      <c r="F155" s="2727"/>
      <c r="G155" s="2727"/>
      <c r="H155" s="2727"/>
      <c r="I155" s="2727"/>
      <c r="J155" s="2727"/>
      <c r="K155" s="2727"/>
      <c r="L155" s="2727"/>
      <c r="M155" s="2727"/>
      <c r="N155" s="2727"/>
      <c r="O155" s="2727"/>
      <c r="P155" s="2727"/>
      <c r="Q155" s="3024"/>
      <c r="R155" s="1111"/>
      <c r="S155" s="26"/>
      <c r="T155" s="26"/>
      <c r="U155" s="54"/>
      <c r="V155" s="26"/>
      <c r="W155" s="54"/>
      <c r="X155" s="55"/>
      <c r="Y155" s="26"/>
      <c r="Z155" s="26"/>
      <c r="AA155" s="54"/>
      <c r="AB155" s="26"/>
      <c r="AC155" s="54"/>
      <c r="AD155" s="26"/>
      <c r="AE155" s="56"/>
      <c r="AF155" s="26"/>
      <c r="AG155" s="54"/>
      <c r="AH155" s="26"/>
      <c r="AI155" s="54"/>
      <c r="AJ155" s="55"/>
      <c r="AK155" s="26"/>
      <c r="AL155" s="26"/>
      <c r="AM155" s="54"/>
      <c r="AN155" s="26"/>
      <c r="AO155" s="54"/>
      <c r="AP155" s="26"/>
      <c r="AQ155" s="53"/>
      <c r="AR155" s="26"/>
      <c r="AS155" s="54"/>
      <c r="AT155" s="26"/>
      <c r="AU155" s="54" t="s">
        <v>8352</v>
      </c>
      <c r="AV155" s="55"/>
      <c r="AW155" s="56"/>
      <c r="AX155" s="26"/>
      <c r="AY155" s="54"/>
      <c r="AZ155" s="26"/>
      <c r="BA155" s="54"/>
      <c r="BB155" s="55"/>
      <c r="BC155" s="26"/>
      <c r="BD155" s="26"/>
      <c r="BE155" s="54"/>
      <c r="BF155" s="26"/>
      <c r="BG155" s="54"/>
      <c r="BH155" s="26"/>
      <c r="BI155" s="56"/>
      <c r="BJ155" s="26"/>
      <c r="BK155" s="54"/>
      <c r="BL155" s="26" t="s">
        <v>8352</v>
      </c>
      <c r="BM155" s="54"/>
      <c r="BN155" s="55"/>
      <c r="BO155" s="56"/>
      <c r="BP155" s="26"/>
      <c r="BQ155" s="54"/>
      <c r="BR155" s="70"/>
      <c r="BS155" s="54"/>
      <c r="BT155" s="55"/>
      <c r="BU155" s="56"/>
      <c r="BV155" s="26" t="s">
        <v>8586</v>
      </c>
      <c r="BW155" s="54"/>
      <c r="BX155" s="26"/>
      <c r="BY155" s="54"/>
      <c r="BZ155" s="55"/>
      <c r="CA155" s="56"/>
      <c r="CB155" s="26"/>
      <c r="CC155" s="54"/>
      <c r="CD155" s="26"/>
      <c r="CE155" s="54"/>
      <c r="CF155" s="55"/>
      <c r="CG155" s="56"/>
      <c r="CH155" s="26"/>
      <c r="CI155" s="54"/>
      <c r="CJ155" s="26"/>
      <c r="CK155" s="54"/>
      <c r="CL155" s="55"/>
      <c r="CM155" s="56"/>
      <c r="CN155" s="26"/>
      <c r="CO155" s="54"/>
      <c r="CP155" s="26"/>
      <c r="CQ155" s="54"/>
      <c r="CR155" s="55"/>
      <c r="CS155" s="56"/>
      <c r="CT155" s="26"/>
      <c r="CU155" s="54"/>
      <c r="CV155" s="26"/>
      <c r="CW155" s="54"/>
      <c r="CX155" s="55"/>
      <c r="CY155" s="56"/>
      <c r="CZ155" s="26"/>
      <c r="DA155" s="54"/>
      <c r="DB155" s="26"/>
      <c r="DC155" s="54"/>
      <c r="DD155" s="55"/>
      <c r="DE155" s="56"/>
      <c r="DF155" s="26"/>
      <c r="DG155" s="54"/>
      <c r="DH155" s="26"/>
      <c r="DI155" s="54"/>
      <c r="DJ155" s="55"/>
      <c r="DK155" s="56"/>
      <c r="DL155" s="26"/>
      <c r="DM155" s="54"/>
      <c r="DN155" s="26"/>
      <c r="DO155" s="54"/>
      <c r="DP155" s="26"/>
      <c r="DQ155" s="89"/>
      <c r="DR155" s="26"/>
      <c r="DS155" s="54"/>
      <c r="DT155" s="70"/>
      <c r="DU155" s="26"/>
      <c r="DV155" s="55"/>
      <c r="DW155" s="56"/>
      <c r="DX155" s="26"/>
      <c r="DY155" s="54"/>
      <c r="DZ155" s="26"/>
      <c r="EA155" s="54"/>
      <c r="EB155" s="55"/>
      <c r="EC155" s="56"/>
      <c r="ED155" s="26"/>
      <c r="EE155" s="54"/>
      <c r="EF155" s="26"/>
      <c r="EG155" s="54"/>
      <c r="EH155" s="55"/>
      <c r="EI155" s="56"/>
      <c r="EJ155" s="26"/>
      <c r="EK155" s="54"/>
      <c r="EL155" s="26"/>
      <c r="EM155" s="54"/>
      <c r="EN155" s="55"/>
      <c r="EO155" s="56"/>
      <c r="EP155" s="26"/>
      <c r="EQ155" s="54"/>
      <c r="ER155" s="26"/>
      <c r="ES155" s="54"/>
      <c r="ET155" s="55"/>
    </row>
    <row r="156" spans="1:150" ht="20.100000000000001" hidden="1" customHeight="1" outlineLevel="1" thickBot="1">
      <c r="A156" s="3034"/>
      <c r="B156" s="3028"/>
      <c r="C156" s="1173"/>
      <c r="D156" s="2726" t="str">
        <f>実績!C1254&amp;"("&amp;SUBSTITUTE(実績!W1254&amp;")","株式会社 ","")</f>
        <v>岩田醸造株式会社 千歳工場(横河システム建築)</v>
      </c>
      <c r="E156" s="2727"/>
      <c r="F156" s="2727"/>
      <c r="G156" s="2727"/>
      <c r="H156" s="2727"/>
      <c r="I156" s="2727"/>
      <c r="J156" s="2727"/>
      <c r="K156" s="2727"/>
      <c r="L156" s="2727"/>
      <c r="M156" s="2727"/>
      <c r="N156" s="2727"/>
      <c r="O156" s="2727"/>
      <c r="P156" s="2727"/>
      <c r="Q156" s="3024"/>
      <c r="R156" s="1111"/>
      <c r="S156" s="26"/>
      <c r="T156" s="26"/>
      <c r="U156" s="54"/>
      <c r="V156" s="26"/>
      <c r="W156" s="54"/>
      <c r="X156" s="55"/>
      <c r="Y156" s="26"/>
      <c r="Z156" s="26"/>
      <c r="AA156" s="54"/>
      <c r="AB156" s="26"/>
      <c r="AC156" s="54"/>
      <c r="AD156" s="26"/>
      <c r="AE156" s="56"/>
      <c r="AF156" s="26"/>
      <c r="AG156" s="54"/>
      <c r="AH156" s="26"/>
      <c r="AI156" s="54"/>
      <c r="AJ156" s="55"/>
      <c r="AK156" s="26"/>
      <c r="AL156" s="26"/>
      <c r="AM156" s="54"/>
      <c r="AN156" s="26"/>
      <c r="AO156" s="54"/>
      <c r="AP156" s="26"/>
      <c r="AQ156" s="53"/>
      <c r="AR156" s="26"/>
      <c r="AS156" s="54"/>
      <c r="AT156" s="26"/>
      <c r="AU156" s="54"/>
      <c r="AV156" s="55"/>
      <c r="AW156" s="56"/>
      <c r="AX156" s="26"/>
      <c r="AY156" s="54"/>
      <c r="AZ156" s="26"/>
      <c r="BA156" s="54"/>
      <c r="BB156" s="55"/>
      <c r="BC156" s="26"/>
      <c r="BD156" s="26"/>
      <c r="BE156" s="54"/>
      <c r="BF156" s="26"/>
      <c r="BG156" s="54"/>
      <c r="BH156" s="26"/>
      <c r="BI156" s="56"/>
      <c r="BJ156" s="26"/>
      <c r="BK156" s="54"/>
      <c r="BL156" s="26"/>
      <c r="BM156" s="54"/>
      <c r="BN156" s="55"/>
      <c r="BO156" s="56"/>
      <c r="BP156" s="26"/>
      <c r="BQ156" s="54"/>
      <c r="BR156" s="70"/>
      <c r="BS156" s="54"/>
      <c r="BT156" s="55"/>
      <c r="BU156" s="56"/>
      <c r="BV156" s="26" t="s">
        <v>8586</v>
      </c>
      <c r="BW156" s="54"/>
      <c r="BX156" s="26"/>
      <c r="BY156" s="54"/>
      <c r="BZ156" s="55"/>
      <c r="CA156" s="56"/>
      <c r="CB156" s="26"/>
      <c r="CC156" s="54"/>
      <c r="CD156" s="26"/>
      <c r="CE156" s="54"/>
      <c r="CF156" s="55"/>
      <c r="CG156" s="56"/>
      <c r="CH156" s="26"/>
      <c r="CI156" s="54"/>
      <c r="CJ156" s="26"/>
      <c r="CK156" s="54"/>
      <c r="CL156" s="55"/>
      <c r="CM156" s="56"/>
      <c r="CN156" s="26"/>
      <c r="CO156" s="54"/>
      <c r="CP156" s="26"/>
      <c r="CQ156" s="54"/>
      <c r="CR156" s="55"/>
      <c r="CS156" s="56"/>
      <c r="CT156" s="26"/>
      <c r="CU156" s="54"/>
      <c r="CV156" s="26"/>
      <c r="CW156" s="54"/>
      <c r="CX156" s="55"/>
      <c r="CY156" s="56"/>
      <c r="CZ156" s="26"/>
      <c r="DA156" s="54"/>
      <c r="DB156" s="26"/>
      <c r="DC156" s="54"/>
      <c r="DD156" s="55"/>
      <c r="DE156" s="56"/>
      <c r="DF156" s="26"/>
      <c r="DG156" s="54"/>
      <c r="DH156" s="26"/>
      <c r="DI156" s="54"/>
      <c r="DJ156" s="55"/>
      <c r="DK156" s="56"/>
      <c r="DL156" s="26"/>
      <c r="DM156" s="54"/>
      <c r="DN156" s="26"/>
      <c r="DO156" s="54"/>
      <c r="DP156" s="26"/>
      <c r="DQ156" s="89"/>
      <c r="DR156" s="26"/>
      <c r="DS156" s="54"/>
      <c r="DT156" s="70"/>
      <c r="DU156" s="26"/>
      <c r="DV156" s="55"/>
      <c r="DW156" s="56"/>
      <c r="DX156" s="26"/>
      <c r="DY156" s="54"/>
      <c r="DZ156" s="26"/>
      <c r="EA156" s="54"/>
      <c r="EB156" s="55"/>
      <c r="EC156" s="56"/>
      <c r="ED156" s="26"/>
      <c r="EE156" s="54"/>
      <c r="EF156" s="26"/>
      <c r="EG156" s="54"/>
      <c r="EH156" s="55"/>
      <c r="EI156" s="56"/>
      <c r="EJ156" s="26"/>
      <c r="EK156" s="54"/>
      <c r="EL156" s="26"/>
      <c r="EM156" s="54"/>
      <c r="EN156" s="55"/>
      <c r="EO156" s="56"/>
      <c r="EP156" s="26"/>
      <c r="EQ156" s="54"/>
      <c r="ER156" s="26"/>
      <c r="ES156" s="54"/>
      <c r="ET156" s="55"/>
    </row>
    <row r="157" spans="1:150" ht="20.100000000000001" hidden="1" customHeight="1" outlineLevel="1" thickBot="1">
      <c r="A157" s="3034"/>
      <c r="B157" s="3028"/>
      <c r="C157" s="1173"/>
      <c r="D157" s="2726" t="str">
        <f>実績!C1233&amp;"("&amp;SUBSTITUTE(実績!W1233&amp;")","株式会社 ","")</f>
        <v>高橋ふとん大松(ティ・ティ・アール設計)</v>
      </c>
      <c r="E157" s="2727"/>
      <c r="F157" s="2727"/>
      <c r="G157" s="2727"/>
      <c r="H157" s="2727"/>
      <c r="I157" s="2727"/>
      <c r="J157" s="2727"/>
      <c r="K157" s="2727"/>
      <c r="L157" s="2727"/>
      <c r="M157" s="2727"/>
      <c r="N157" s="2727"/>
      <c r="O157" s="2727"/>
      <c r="P157" s="2727"/>
      <c r="Q157" s="3024"/>
      <c r="R157" s="1111"/>
      <c r="S157" s="26"/>
      <c r="T157" s="26"/>
      <c r="U157" s="54"/>
      <c r="V157" s="26"/>
      <c r="W157" s="54"/>
      <c r="X157" s="55"/>
      <c r="Y157" s="26"/>
      <c r="Z157" s="26"/>
      <c r="AA157" s="54"/>
      <c r="AB157" s="26"/>
      <c r="AC157" s="54"/>
      <c r="AD157" s="26"/>
      <c r="AE157" s="56"/>
      <c r="AF157" s="26"/>
      <c r="AG157" s="54"/>
      <c r="AH157" s="26"/>
      <c r="AI157" s="54"/>
      <c r="AJ157" s="55"/>
      <c r="AK157" s="26"/>
      <c r="AL157" s="26"/>
      <c r="AM157" s="54"/>
      <c r="AN157" s="26"/>
      <c r="AO157" s="54"/>
      <c r="AP157" s="26"/>
      <c r="AQ157" s="53"/>
      <c r="AR157" s="26"/>
      <c r="AS157" s="54"/>
      <c r="AT157" s="26"/>
      <c r="AU157" s="54" t="s">
        <v>8352</v>
      </c>
      <c r="AV157" s="55"/>
      <c r="AW157" s="56"/>
      <c r="AX157" s="26"/>
      <c r="AY157" s="54"/>
      <c r="AZ157" s="26"/>
      <c r="BA157" s="54"/>
      <c r="BB157" s="55"/>
      <c r="BC157" s="26"/>
      <c r="BD157" s="26"/>
      <c r="BE157" s="54"/>
      <c r="BF157" s="26"/>
      <c r="BG157" s="54"/>
      <c r="BH157" s="26"/>
      <c r="BI157" s="56"/>
      <c r="BJ157" s="26"/>
      <c r="BK157" s="54"/>
      <c r="BL157" s="26"/>
      <c r="BM157" s="54"/>
      <c r="BN157" s="55"/>
      <c r="BO157" s="56"/>
      <c r="BP157" s="26"/>
      <c r="BQ157" s="54"/>
      <c r="BR157" s="70"/>
      <c r="BS157" s="54"/>
      <c r="BT157" s="55"/>
      <c r="BU157" s="56"/>
      <c r="BV157" s="26" t="s">
        <v>8586</v>
      </c>
      <c r="BW157" s="54"/>
      <c r="BX157" s="26"/>
      <c r="BY157" s="54"/>
      <c r="BZ157" s="55"/>
      <c r="CA157" s="56" t="s">
        <v>8283</v>
      </c>
      <c r="CB157" s="26"/>
      <c r="CC157" s="54"/>
      <c r="CD157" s="26"/>
      <c r="CE157" s="54"/>
      <c r="CF157" s="55"/>
      <c r="CG157" s="56"/>
      <c r="CH157" s="26"/>
      <c r="CI157" s="54"/>
      <c r="CJ157" s="26"/>
      <c r="CK157" s="54"/>
      <c r="CL157" s="55"/>
      <c r="CM157" s="56"/>
      <c r="CN157" s="26"/>
      <c r="CO157" s="54"/>
      <c r="CP157" s="26"/>
      <c r="CQ157" s="54"/>
      <c r="CR157" s="55"/>
      <c r="CS157" s="56"/>
      <c r="CT157" s="26"/>
      <c r="CU157" s="54"/>
      <c r="CV157" s="26"/>
      <c r="CW157" s="54"/>
      <c r="CX157" s="55"/>
      <c r="CY157" s="56"/>
      <c r="CZ157" s="26"/>
      <c r="DA157" s="54"/>
      <c r="DB157" s="26"/>
      <c r="DC157" s="54"/>
      <c r="DD157" s="55"/>
      <c r="DE157" s="56"/>
      <c r="DF157" s="26"/>
      <c r="DG157" s="54"/>
      <c r="DH157" s="26"/>
      <c r="DI157" s="54"/>
      <c r="DJ157" s="55"/>
      <c r="DK157" s="56"/>
      <c r="DL157" s="26"/>
      <c r="DM157" s="54"/>
      <c r="DN157" s="26"/>
      <c r="DO157" s="54"/>
      <c r="DP157" s="26"/>
      <c r="DQ157" s="89"/>
      <c r="DR157" s="26"/>
      <c r="DS157" s="54"/>
      <c r="DT157" s="70"/>
      <c r="DU157" s="26"/>
      <c r="DV157" s="55"/>
      <c r="DW157" s="56"/>
      <c r="DX157" s="26"/>
      <c r="DY157" s="54"/>
      <c r="DZ157" s="26"/>
      <c r="EA157" s="54"/>
      <c r="EB157" s="55"/>
      <c r="EC157" s="56"/>
      <c r="ED157" s="26"/>
      <c r="EE157" s="54"/>
      <c r="EF157" s="26"/>
      <c r="EG157" s="54"/>
      <c r="EH157" s="55"/>
      <c r="EI157" s="56"/>
      <c r="EJ157" s="26"/>
      <c r="EK157" s="54"/>
      <c r="EL157" s="26"/>
      <c r="EM157" s="54"/>
      <c r="EN157" s="55"/>
      <c r="EO157" s="56"/>
      <c r="EP157" s="26"/>
      <c r="EQ157" s="54"/>
      <c r="ER157" s="26"/>
      <c r="ES157" s="54"/>
      <c r="ET157" s="55"/>
    </row>
    <row r="158" spans="1:150" ht="20.100000000000001" hidden="1" customHeight="1" outlineLevel="1" collapsed="1" thickBot="1">
      <c r="A158" s="3034"/>
      <c r="B158" s="3028"/>
      <c r="C158" s="1173"/>
      <c r="D158" s="2726" t="str">
        <f>実績!C1256&amp;"("&amp;SUBSTITUTE(実績!R1256&amp;")","株式会社 ","")</f>
        <v>ｱｲｱｲﾃｰ石狩第2物流ｾﾝﾀｰA棟(総合プランニングセンター)</v>
      </c>
      <c r="E158" s="2727"/>
      <c r="F158" s="2727"/>
      <c r="G158" s="2727"/>
      <c r="H158" s="2727"/>
      <c r="I158" s="2727"/>
      <c r="J158" s="2727"/>
      <c r="K158" s="2727"/>
      <c r="L158" s="2727"/>
      <c r="M158" s="2727"/>
      <c r="N158" s="2727"/>
      <c r="O158" s="2727"/>
      <c r="P158" s="2727"/>
      <c r="Q158" s="3024"/>
      <c r="R158" s="1111"/>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56"/>
      <c r="BJ158" s="26"/>
      <c r="BK158" s="54"/>
      <c r="BL158" s="26"/>
      <c r="BM158" s="54"/>
      <c r="BN158" s="55"/>
      <c r="BO158" s="56"/>
      <c r="BP158" s="26"/>
      <c r="BQ158" s="54"/>
      <c r="BR158" s="26"/>
      <c r="BS158" s="54"/>
      <c r="BT158" s="55"/>
      <c r="BU158" s="56"/>
      <c r="BV158" s="26"/>
      <c r="BW158" s="54"/>
      <c r="BX158" s="26"/>
      <c r="BY158" s="54" t="s">
        <v>8626</v>
      </c>
      <c r="BZ158" s="55"/>
      <c r="CA158" s="56"/>
      <c r="CB158" s="26"/>
      <c r="CC158" s="54"/>
      <c r="CD158" s="26"/>
      <c r="CE158" s="54"/>
      <c r="CF158" s="55"/>
      <c r="CG158" s="56"/>
      <c r="CH158" s="26"/>
      <c r="CI158" s="54"/>
      <c r="CJ158" s="26" t="s">
        <v>8145</v>
      </c>
      <c r="CK158" s="54"/>
      <c r="CL158" s="55"/>
      <c r="CM158" s="56"/>
      <c r="CN158" s="26"/>
      <c r="CO158" s="54"/>
      <c r="CP158" s="26"/>
      <c r="CQ158" s="54"/>
      <c r="CR158" s="55"/>
      <c r="CS158" s="56"/>
      <c r="CT158" s="26"/>
      <c r="CU158" s="54"/>
      <c r="CV158" s="26"/>
      <c r="CW158" s="54"/>
      <c r="CX158" s="55"/>
      <c r="CY158" s="56"/>
      <c r="CZ158" s="26"/>
      <c r="DA158" s="54"/>
      <c r="DB158" s="26"/>
      <c r="DC158" s="54"/>
      <c r="DD158" s="55"/>
      <c r="DE158" s="56"/>
      <c r="DF158" s="26"/>
      <c r="DG158" s="54"/>
      <c r="DH158" s="26"/>
      <c r="DI158" s="54"/>
      <c r="DJ158" s="55"/>
      <c r="DK158" s="56"/>
      <c r="DL158" s="26"/>
      <c r="DM158" s="54"/>
      <c r="DN158" s="26"/>
      <c r="DO158" s="54"/>
      <c r="DP158" s="26"/>
      <c r="DQ158" s="89"/>
      <c r="DR158" s="26"/>
      <c r="DS158" s="54"/>
      <c r="DT158" s="70"/>
      <c r="DU158" s="26"/>
      <c r="DV158" s="55"/>
      <c r="DW158" s="56"/>
      <c r="DX158" s="26"/>
      <c r="DY158" s="54"/>
      <c r="DZ158" s="26"/>
      <c r="EA158" s="54"/>
      <c r="EB158" s="55"/>
      <c r="EC158" s="56"/>
      <c r="ED158" s="26"/>
      <c r="EE158" s="54"/>
      <c r="EF158" s="26"/>
      <c r="EG158" s="54"/>
      <c r="EH158" s="55"/>
      <c r="EI158" s="56"/>
      <c r="EJ158" s="26"/>
      <c r="EK158" s="54"/>
      <c r="EL158" s="26"/>
      <c r="EM158" s="54"/>
      <c r="EN158" s="55"/>
      <c r="EO158" s="56"/>
      <c r="EP158" s="26"/>
      <c r="EQ158" s="54"/>
      <c r="ER158" s="26"/>
      <c r="ES158" s="54"/>
      <c r="ET158" s="55"/>
    </row>
    <row r="159" spans="1:150" ht="20.100000000000001" hidden="1" customHeight="1" outlineLevel="1" collapsed="1" thickBot="1">
      <c r="A159" s="3034"/>
      <c r="B159" s="3028"/>
      <c r="C159" s="1173"/>
      <c r="D159" s="2726" t="str">
        <f>実績!C1267&amp;"("&amp;SUBSTITUTE(実績!W1267&amp;")","株式会社 ","")</f>
        <v>エフピコホーム(ティ・ティ・アール設計)</v>
      </c>
      <c r="E159" s="2727"/>
      <c r="F159" s="2727"/>
      <c r="G159" s="2727"/>
      <c r="H159" s="2727"/>
      <c r="I159" s="2727"/>
      <c r="J159" s="2727"/>
      <c r="K159" s="2878"/>
      <c r="L159" s="2878"/>
      <c r="M159" s="1177"/>
      <c r="N159" s="1177"/>
      <c r="O159" s="1177"/>
      <c r="P159" s="1177"/>
      <c r="Q159" s="1178"/>
      <c r="R159" s="1179"/>
      <c r="S159" s="26"/>
      <c r="T159" s="26"/>
      <c r="U159" s="54"/>
      <c r="V159" s="26"/>
      <c r="W159" s="54"/>
      <c r="X159" s="55"/>
      <c r="Y159" s="26"/>
      <c r="Z159" s="26"/>
      <c r="AA159" s="54"/>
      <c r="AB159" s="26"/>
      <c r="AC159" s="54"/>
      <c r="AD159" s="26"/>
      <c r="AE159" s="56"/>
      <c r="AF159" s="26"/>
      <c r="AG159" s="54"/>
      <c r="AH159" s="26"/>
      <c r="AI159" s="54"/>
      <c r="AJ159" s="55"/>
      <c r="AK159" s="26"/>
      <c r="AL159" s="26"/>
      <c r="AM159" s="54"/>
      <c r="AN159" s="26"/>
      <c r="AO159" s="54"/>
      <c r="AP159" s="26"/>
      <c r="AQ159" s="53"/>
      <c r="AR159" s="26"/>
      <c r="AS159" s="54"/>
      <c r="AT159" s="26"/>
      <c r="AU159" s="54" t="s">
        <v>8352</v>
      </c>
      <c r="AV159" s="55"/>
      <c r="AW159" s="56"/>
      <c r="AX159" s="26"/>
      <c r="AY159" s="54"/>
      <c r="AZ159" s="26"/>
      <c r="BA159" s="54"/>
      <c r="BB159" s="55"/>
      <c r="BC159" s="26"/>
      <c r="BD159" s="26"/>
      <c r="BE159" s="54"/>
      <c r="BF159" s="26"/>
      <c r="BG159" s="54"/>
      <c r="BH159" s="26"/>
      <c r="BI159" s="56"/>
      <c r="BJ159" s="26"/>
      <c r="BK159" s="54"/>
      <c r="BL159" s="26"/>
      <c r="BM159" s="54"/>
      <c r="BN159" s="55"/>
      <c r="BO159" s="56"/>
      <c r="BP159" s="26"/>
      <c r="BQ159" s="54"/>
      <c r="BR159" s="26"/>
      <c r="BS159" s="54"/>
      <c r="BT159" s="55"/>
      <c r="BU159" s="56"/>
      <c r="BV159" s="26"/>
      <c r="BW159" s="54"/>
      <c r="BX159" s="26"/>
      <c r="BY159" s="54"/>
      <c r="BZ159" s="1180"/>
      <c r="CA159" s="56" t="s">
        <v>8250</v>
      </c>
      <c r="CB159" s="26"/>
      <c r="CC159" s="54"/>
      <c r="CD159" s="26"/>
      <c r="CE159" s="54"/>
      <c r="CF159" s="55"/>
      <c r="CG159" s="56"/>
      <c r="CH159" s="26"/>
      <c r="CI159" s="54"/>
      <c r="CJ159" s="26"/>
      <c r="CK159" s="54"/>
      <c r="CL159" s="55"/>
      <c r="CM159" s="56"/>
      <c r="CN159" s="26"/>
      <c r="CO159" s="54"/>
      <c r="CP159" s="26"/>
      <c r="CQ159" s="54"/>
      <c r="CR159" s="55"/>
      <c r="CS159" s="56"/>
      <c r="CT159" s="26"/>
      <c r="CU159" s="54"/>
      <c r="CV159" s="26"/>
      <c r="CW159" s="54"/>
      <c r="CX159" s="55"/>
      <c r="CY159" s="56"/>
      <c r="CZ159" s="26"/>
      <c r="DA159" s="54"/>
      <c r="DB159" s="26"/>
      <c r="DC159" s="54"/>
      <c r="DD159" s="55"/>
      <c r="DE159" s="56"/>
      <c r="DF159" s="26"/>
      <c r="DG159" s="54"/>
      <c r="DH159" s="26"/>
      <c r="DI159" s="54"/>
      <c r="DJ159" s="55"/>
      <c r="DK159" s="56"/>
      <c r="DL159" s="26"/>
      <c r="DM159" s="54"/>
      <c r="DN159" s="26"/>
      <c r="DO159" s="54"/>
      <c r="DP159" s="26"/>
      <c r="DQ159" s="89"/>
      <c r="DR159" s="26"/>
      <c r="DS159" s="54"/>
      <c r="DT159" s="70"/>
      <c r="DU159" s="26"/>
      <c r="DV159" s="55"/>
      <c r="DW159" s="56"/>
      <c r="DX159" s="26"/>
      <c r="DY159" s="54"/>
      <c r="DZ159" s="26"/>
      <c r="EA159" s="54"/>
      <c r="EB159" s="55"/>
      <c r="EC159" s="56"/>
      <c r="ED159" s="26"/>
      <c r="EE159" s="54"/>
      <c r="EF159" s="26"/>
      <c r="EG159" s="54"/>
      <c r="EH159" s="55"/>
      <c r="EI159" s="56"/>
      <c r="EJ159" s="26"/>
      <c r="EK159" s="54"/>
      <c r="EL159" s="26"/>
      <c r="EM159" s="54"/>
      <c r="EN159" s="55"/>
      <c r="EO159" s="56"/>
      <c r="EP159" s="26"/>
      <c r="EQ159" s="54"/>
      <c r="ER159" s="26"/>
      <c r="ES159" s="54"/>
      <c r="ET159" s="55"/>
    </row>
    <row r="160" spans="1:150" ht="20.100000000000001" hidden="1" customHeight="1" outlineLevel="1" thickBot="1">
      <c r="A160" s="3034"/>
      <c r="B160" s="3028"/>
      <c r="C160" s="1173"/>
      <c r="D160" s="2726" t="str">
        <f>実績!C1262&amp;"("&amp;SUBSTITUTE(実績!W1262&amp;")"," 株式会社","")</f>
        <v>階上保育園(秋田グルーラム)</v>
      </c>
      <c r="E160" s="2727"/>
      <c r="F160" s="2727"/>
      <c r="G160" s="2727"/>
      <c r="H160" s="2727"/>
      <c r="I160" s="2727"/>
      <c r="J160" s="2727"/>
      <c r="K160" s="2727"/>
      <c r="L160" s="2727"/>
      <c r="M160" s="2727"/>
      <c r="N160" s="2727"/>
      <c r="O160" s="2727"/>
      <c r="P160" s="2727"/>
      <c r="Q160" s="3024"/>
      <c r="R160" s="1111"/>
      <c r="S160" s="26"/>
      <c r="T160" s="26"/>
      <c r="U160" s="54"/>
      <c r="V160" s="26"/>
      <c r="W160" s="54"/>
      <c r="X160" s="55"/>
      <c r="Y160" s="26"/>
      <c r="Z160" s="26"/>
      <c r="AA160" s="54"/>
      <c r="AB160" s="26"/>
      <c r="AC160" s="54"/>
      <c r="AD160" s="26"/>
      <c r="AE160" s="56"/>
      <c r="AF160" s="26"/>
      <c r="AG160" s="54"/>
      <c r="AH160" s="26"/>
      <c r="AI160" s="54"/>
      <c r="AJ160" s="55"/>
      <c r="AK160" s="26"/>
      <c r="AL160" s="26"/>
      <c r="AM160" s="54"/>
      <c r="AN160" s="26"/>
      <c r="AO160" s="54"/>
      <c r="AP160" s="26"/>
      <c r="AQ160" s="53"/>
      <c r="AR160" s="26"/>
      <c r="AS160" s="54"/>
      <c r="AT160" s="26"/>
      <c r="AU160" s="54" t="s">
        <v>8352</v>
      </c>
      <c r="AV160" s="55"/>
      <c r="AW160" s="56"/>
      <c r="AX160" s="26"/>
      <c r="AY160" s="54"/>
      <c r="AZ160" s="26"/>
      <c r="BA160" s="54"/>
      <c r="BB160" s="55"/>
      <c r="BC160" s="26"/>
      <c r="BD160" s="26"/>
      <c r="BE160" s="54"/>
      <c r="BF160" s="26"/>
      <c r="BG160" s="54"/>
      <c r="BH160" s="26"/>
      <c r="BI160" s="56"/>
      <c r="BJ160" s="26"/>
      <c r="BK160" s="54"/>
      <c r="BL160" s="26"/>
      <c r="BM160" s="54"/>
      <c r="BN160" s="55"/>
      <c r="BO160" s="56"/>
      <c r="BP160" s="26"/>
      <c r="BQ160" s="54"/>
      <c r="BR160" s="26"/>
      <c r="BS160" s="54"/>
      <c r="BT160" s="55"/>
      <c r="BU160" s="56"/>
      <c r="BV160" s="26"/>
      <c r="BW160" s="54"/>
      <c r="BX160" s="26"/>
      <c r="BY160" s="54"/>
      <c r="BZ160" s="1180"/>
      <c r="CA160" s="56" t="s">
        <v>8250</v>
      </c>
      <c r="CB160" s="26"/>
      <c r="CC160" s="54"/>
      <c r="CD160" s="26"/>
      <c r="CE160" s="54"/>
      <c r="CF160" s="55"/>
      <c r="CG160" s="56" t="s">
        <v>8145</v>
      </c>
      <c r="CH160" s="26"/>
      <c r="CI160" s="54"/>
      <c r="CJ160" s="26"/>
      <c r="CK160" s="54"/>
      <c r="CL160" s="55"/>
      <c r="CM160" s="56"/>
      <c r="CN160" s="26"/>
      <c r="CO160" s="54"/>
      <c r="CP160" s="26"/>
      <c r="CQ160" s="54"/>
      <c r="CR160" s="55"/>
      <c r="CS160" s="56"/>
      <c r="CT160" s="26"/>
      <c r="CU160" s="54"/>
      <c r="CV160" s="26"/>
      <c r="CW160" s="54"/>
      <c r="CX160" s="55"/>
      <c r="CY160" s="56"/>
      <c r="CZ160" s="26"/>
      <c r="DA160" s="54"/>
      <c r="DB160" s="26"/>
      <c r="DC160" s="54"/>
      <c r="DD160" s="55"/>
      <c r="DE160" s="56"/>
      <c r="DF160" s="26"/>
      <c r="DG160" s="54"/>
      <c r="DH160" s="26"/>
      <c r="DI160" s="54"/>
      <c r="DJ160" s="55"/>
      <c r="DK160" s="56"/>
      <c r="DL160" s="26"/>
      <c r="DM160" s="54"/>
      <c r="DN160" s="26"/>
      <c r="DO160" s="54"/>
      <c r="DP160" s="26"/>
      <c r="DQ160" s="89"/>
      <c r="DR160" s="26"/>
      <c r="DS160" s="54"/>
      <c r="DT160" s="70"/>
      <c r="DU160" s="26"/>
      <c r="DV160" s="55"/>
      <c r="DW160" s="56"/>
      <c r="DX160" s="26"/>
      <c r="DY160" s="54"/>
      <c r="DZ160" s="26"/>
      <c r="EA160" s="54"/>
      <c r="EB160" s="55"/>
      <c r="EC160" s="56"/>
      <c r="ED160" s="26"/>
      <c r="EE160" s="54"/>
      <c r="EF160" s="26"/>
      <c r="EG160" s="54"/>
      <c r="EH160" s="55"/>
      <c r="EI160" s="56"/>
      <c r="EJ160" s="26"/>
      <c r="EK160" s="54"/>
      <c r="EL160" s="26"/>
      <c r="EM160" s="54"/>
      <c r="EN160" s="55"/>
      <c r="EO160" s="56"/>
      <c r="EP160" s="26"/>
      <c r="EQ160" s="54"/>
      <c r="ER160" s="26"/>
      <c r="ES160" s="54"/>
      <c r="ET160" s="55"/>
    </row>
    <row r="161" spans="1:150" ht="20.100000000000001" hidden="1" customHeight="1" outlineLevel="1" thickBot="1">
      <c r="A161" s="3034"/>
      <c r="B161" s="3028"/>
      <c r="C161" s="1173"/>
      <c r="D161" s="2726" t="str">
        <f>実績!C1259&amp;"("&amp;SUBSTITUTE(実績!R1259&amp;")","有限会社 ","")</f>
        <v>ヤマザワ鶴岡茅原 食料品棟(平田建築設計)</v>
      </c>
      <c r="E161" s="2727"/>
      <c r="F161" s="2727"/>
      <c r="G161" s="2727"/>
      <c r="H161" s="2727"/>
      <c r="I161" s="2727"/>
      <c r="J161" s="2727"/>
      <c r="K161" s="2727"/>
      <c r="L161" s="2727"/>
      <c r="M161" s="2727"/>
      <c r="N161" s="2727"/>
      <c r="O161" s="2727"/>
      <c r="P161" s="2727"/>
      <c r="Q161" s="3024"/>
      <c r="R161" s="1111"/>
      <c r="S161" s="26"/>
      <c r="T161" s="26"/>
      <c r="U161" s="54"/>
      <c r="V161" s="26"/>
      <c r="W161" s="54"/>
      <c r="X161" s="55"/>
      <c r="Y161" s="26"/>
      <c r="Z161" s="26"/>
      <c r="AA161" s="54"/>
      <c r="AB161" s="26"/>
      <c r="AC161" s="54"/>
      <c r="AD161" s="26"/>
      <c r="AE161" s="56"/>
      <c r="AF161" s="26"/>
      <c r="AG161" s="54"/>
      <c r="AH161" s="26"/>
      <c r="AI161" s="54"/>
      <c r="AJ161" s="55"/>
      <c r="AK161" s="26"/>
      <c r="AL161" s="26"/>
      <c r="AM161" s="54"/>
      <c r="AN161" s="26"/>
      <c r="AO161" s="54"/>
      <c r="AP161" s="26"/>
      <c r="AQ161" s="53"/>
      <c r="AR161" s="26"/>
      <c r="AS161" s="54"/>
      <c r="AT161" s="26"/>
      <c r="AU161" s="54"/>
      <c r="AV161" s="55"/>
      <c r="AW161" s="56"/>
      <c r="AX161" s="26"/>
      <c r="AY161" s="54"/>
      <c r="AZ161" s="26"/>
      <c r="BA161" s="54"/>
      <c r="BB161" s="55"/>
      <c r="BC161" s="26"/>
      <c r="BD161" s="26"/>
      <c r="BE161" s="54"/>
      <c r="BF161" s="26"/>
      <c r="BG161" s="54"/>
      <c r="BH161" s="26"/>
      <c r="BI161" s="56"/>
      <c r="BJ161" s="26"/>
      <c r="BK161" s="54"/>
      <c r="BL161" s="26"/>
      <c r="BM161" s="54"/>
      <c r="BN161" s="55"/>
      <c r="BO161" s="56"/>
      <c r="BP161" s="26"/>
      <c r="BQ161" s="54"/>
      <c r="BR161" s="26"/>
      <c r="BS161" s="54"/>
      <c r="BT161" s="55"/>
      <c r="BU161" s="56"/>
      <c r="BV161" s="26"/>
      <c r="BW161" s="54"/>
      <c r="BX161" s="26"/>
      <c r="BY161" s="54"/>
      <c r="BZ161" s="55"/>
      <c r="CA161" s="56" t="s">
        <v>8250</v>
      </c>
      <c r="CB161" s="26"/>
      <c r="CC161" s="54"/>
      <c r="CD161" s="26"/>
      <c r="CE161" s="54"/>
      <c r="CF161" s="55"/>
      <c r="CG161" s="56"/>
      <c r="CH161" s="26"/>
      <c r="CI161" s="54"/>
      <c r="CJ161" s="26"/>
      <c r="CK161" s="54"/>
      <c r="CL161" s="55"/>
      <c r="CM161" s="56"/>
      <c r="CN161" s="26"/>
      <c r="CO161" s="54"/>
      <c r="CP161" s="26"/>
      <c r="CQ161" s="54"/>
      <c r="CR161" s="55"/>
      <c r="CS161" s="56"/>
      <c r="CT161" s="26"/>
      <c r="CU161" s="54"/>
      <c r="CV161" s="26"/>
      <c r="CW161" s="54"/>
      <c r="CX161" s="55"/>
      <c r="CY161" s="56"/>
      <c r="CZ161" s="26"/>
      <c r="DA161" s="54"/>
      <c r="DB161" s="26"/>
      <c r="DC161" s="54"/>
      <c r="DD161" s="55"/>
      <c r="DE161" s="56"/>
      <c r="DF161" s="26"/>
      <c r="DG161" s="54"/>
      <c r="DH161" s="26"/>
      <c r="DI161" s="54"/>
      <c r="DJ161" s="55"/>
      <c r="DK161" s="56"/>
      <c r="DL161" s="26"/>
      <c r="DM161" s="54"/>
      <c r="DN161" s="26"/>
      <c r="DO161" s="54"/>
      <c r="DP161" s="26"/>
      <c r="DQ161" s="89"/>
      <c r="DR161" s="26"/>
      <c r="DS161" s="54"/>
      <c r="DT161" s="70"/>
      <c r="DU161" s="26"/>
      <c r="DV161" s="55"/>
      <c r="DW161" s="56"/>
      <c r="DX161" s="26"/>
      <c r="DY161" s="54"/>
      <c r="DZ161" s="26"/>
      <c r="EA161" s="54"/>
      <c r="EB161" s="55"/>
      <c r="EC161" s="56"/>
      <c r="ED161" s="26"/>
      <c r="EE161" s="54"/>
      <c r="EF161" s="26"/>
      <c r="EG161" s="54"/>
      <c r="EH161" s="55"/>
      <c r="EI161" s="56"/>
      <c r="EJ161" s="26"/>
      <c r="EK161" s="54"/>
      <c r="EL161" s="26"/>
      <c r="EM161" s="54"/>
      <c r="EN161" s="55"/>
      <c r="EO161" s="56"/>
      <c r="EP161" s="26"/>
      <c r="EQ161" s="54"/>
      <c r="ER161" s="26"/>
      <c r="ES161" s="54"/>
      <c r="ET161" s="55"/>
    </row>
    <row r="162" spans="1:150" ht="20.100000000000001" hidden="1" customHeight="1" outlineLevel="1" thickBot="1">
      <c r="A162" s="3034"/>
      <c r="B162" s="3028"/>
      <c r="C162" s="1173"/>
      <c r="D162" s="2726" t="str">
        <f>実績!C1258&amp;"("&amp;SUBSTITUTE(実績!R1258&amp;")","株式会社 ","")</f>
        <v>ゆきのこ保育園(創設計)</v>
      </c>
      <c r="E162" s="2727"/>
      <c r="F162" s="2727"/>
      <c r="G162" s="2727"/>
      <c r="H162" s="2727"/>
      <c r="I162" s="2727"/>
      <c r="J162" s="2727"/>
      <c r="K162" s="2727"/>
      <c r="L162" s="2727"/>
      <c r="M162" s="2727"/>
      <c r="N162" s="2727"/>
      <c r="O162" s="2727"/>
      <c r="P162" s="2727"/>
      <c r="Q162" s="3024"/>
      <c r="R162" s="1111"/>
      <c r="S162" s="26"/>
      <c r="T162" s="26"/>
      <c r="U162" s="54"/>
      <c r="V162" s="26"/>
      <c r="W162" s="54"/>
      <c r="X162" s="55"/>
      <c r="Y162" s="26"/>
      <c r="Z162" s="26"/>
      <c r="AA162" s="54"/>
      <c r="AB162" s="26"/>
      <c r="AC162" s="54"/>
      <c r="AD162" s="26"/>
      <c r="AE162" s="56"/>
      <c r="AF162" s="26"/>
      <c r="AG162" s="54"/>
      <c r="AH162" s="26"/>
      <c r="AI162" s="54"/>
      <c r="AJ162" s="55"/>
      <c r="AK162" s="26"/>
      <c r="AL162" s="26"/>
      <c r="AM162" s="54"/>
      <c r="AN162" s="26"/>
      <c r="AO162" s="54"/>
      <c r="AP162" s="26"/>
      <c r="AQ162" s="53"/>
      <c r="AR162" s="26"/>
      <c r="AS162" s="54"/>
      <c r="AT162" s="26"/>
      <c r="AU162" s="54"/>
      <c r="AV162" s="55"/>
      <c r="AW162" s="56"/>
      <c r="AX162" s="26"/>
      <c r="AY162" s="54"/>
      <c r="AZ162" s="26"/>
      <c r="BA162" s="54"/>
      <c r="BB162" s="55"/>
      <c r="BC162" s="26"/>
      <c r="BD162" s="26"/>
      <c r="BE162" s="54"/>
      <c r="BF162" s="26"/>
      <c r="BG162" s="54"/>
      <c r="BH162" s="26"/>
      <c r="BI162" s="56"/>
      <c r="BJ162" s="26"/>
      <c r="BK162" s="54"/>
      <c r="BL162" s="26"/>
      <c r="BM162" s="54"/>
      <c r="BN162" s="55"/>
      <c r="BO162" s="56"/>
      <c r="BP162" s="26"/>
      <c r="BQ162" s="54"/>
      <c r="BR162" s="26"/>
      <c r="BS162" s="54"/>
      <c r="BT162" s="55"/>
      <c r="BU162" s="56"/>
      <c r="BV162" s="26"/>
      <c r="BW162" s="54"/>
      <c r="BX162" s="26"/>
      <c r="BY162" s="54"/>
      <c r="BZ162" s="55"/>
      <c r="CA162" s="56" t="s">
        <v>8250</v>
      </c>
      <c r="CB162" s="26"/>
      <c r="CC162" s="54"/>
      <c r="CD162" s="26"/>
      <c r="CE162" s="54"/>
      <c r="CF162" s="55"/>
      <c r="CG162" s="56" t="s">
        <v>8145</v>
      </c>
      <c r="CH162" s="26"/>
      <c r="CI162" s="54"/>
      <c r="CJ162" s="26"/>
      <c r="CK162" s="54"/>
      <c r="CL162" s="55"/>
      <c r="CM162" s="56"/>
      <c r="CN162" s="26"/>
      <c r="CO162" s="54"/>
      <c r="CP162" s="26"/>
      <c r="CQ162" s="54"/>
      <c r="CR162" s="55"/>
      <c r="CS162" s="56"/>
      <c r="CT162" s="26"/>
      <c r="CU162" s="54"/>
      <c r="CV162" s="26"/>
      <c r="CW162" s="54"/>
      <c r="CX162" s="55"/>
      <c r="CY162" s="56"/>
      <c r="CZ162" s="26"/>
      <c r="DA162" s="54"/>
      <c r="DB162" s="26"/>
      <c r="DC162" s="54"/>
      <c r="DD162" s="55"/>
      <c r="DE162" s="56"/>
      <c r="DF162" s="26"/>
      <c r="DG162" s="54"/>
      <c r="DH162" s="26"/>
      <c r="DI162" s="54"/>
      <c r="DJ162" s="55"/>
      <c r="DK162" s="56"/>
      <c r="DL162" s="26"/>
      <c r="DM162" s="54"/>
      <c r="DN162" s="26"/>
      <c r="DO162" s="54"/>
      <c r="DP162" s="26"/>
      <c r="DQ162" s="89"/>
      <c r="DR162" s="26"/>
      <c r="DS162" s="54"/>
      <c r="DT162" s="70"/>
      <c r="DU162" s="26"/>
      <c r="DV162" s="55"/>
      <c r="DW162" s="56"/>
      <c r="DX162" s="26"/>
      <c r="DY162" s="54"/>
      <c r="DZ162" s="26"/>
      <c r="EA162" s="54"/>
      <c r="EB162" s="55"/>
      <c r="EC162" s="56"/>
      <c r="ED162" s="26"/>
      <c r="EE162" s="54"/>
      <c r="EF162" s="26"/>
      <c r="EG162" s="54"/>
      <c r="EH162" s="55"/>
      <c r="EI162" s="56"/>
      <c r="EJ162" s="26"/>
      <c r="EK162" s="54"/>
      <c r="EL162" s="26"/>
      <c r="EM162" s="54"/>
      <c r="EN162" s="55"/>
      <c r="EO162" s="56"/>
      <c r="EP162" s="26"/>
      <c r="EQ162" s="54"/>
      <c r="ER162" s="26"/>
      <c r="ES162" s="54"/>
      <c r="ET162" s="55"/>
    </row>
    <row r="163" spans="1:150" ht="20.100000000000001" hidden="1" customHeight="1" outlineLevel="1" thickBot="1">
      <c r="A163" s="3034"/>
      <c r="B163" s="3028"/>
      <c r="C163" s="1173"/>
      <c r="D163" s="2726" t="str">
        <f>実績!C1250&amp;"("&amp;SUBSTITUTE(実績!R1250&amp;")"," 株式会社","")</f>
        <v>高萩自動車工業 大型塗装工場(常磐開発)</v>
      </c>
      <c r="E163" s="2727"/>
      <c r="F163" s="2727"/>
      <c r="G163" s="2727"/>
      <c r="H163" s="2727"/>
      <c r="I163" s="2727"/>
      <c r="J163" s="2727"/>
      <c r="K163" s="2727"/>
      <c r="L163" s="2727"/>
      <c r="M163" s="2727"/>
      <c r="N163" s="2727"/>
      <c r="O163" s="2727"/>
      <c r="P163" s="2727"/>
      <c r="Q163" s="3024"/>
      <c r="R163" s="1111"/>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56"/>
      <c r="BJ163" s="26"/>
      <c r="BK163" s="54"/>
      <c r="BL163" s="26"/>
      <c r="BM163" s="54"/>
      <c r="BN163" s="55"/>
      <c r="BO163" s="56"/>
      <c r="BP163" s="70"/>
      <c r="BQ163" s="54"/>
      <c r="BR163" s="26"/>
      <c r="BS163" s="54"/>
      <c r="BT163" s="55"/>
      <c r="BU163" s="56"/>
      <c r="BV163" s="26"/>
      <c r="BW163" s="54"/>
      <c r="BX163" s="26"/>
      <c r="BY163" s="54"/>
      <c r="BZ163" s="55"/>
      <c r="CA163" s="56" t="s">
        <v>8250</v>
      </c>
      <c r="CB163" s="26"/>
      <c r="CC163" s="54"/>
      <c r="CD163" s="26"/>
      <c r="CE163" s="54"/>
      <c r="CF163" s="55"/>
      <c r="CG163" s="56"/>
      <c r="CH163" s="26"/>
      <c r="CI163" s="54"/>
      <c r="CJ163" s="26"/>
      <c r="CK163" s="54"/>
      <c r="CL163" s="55"/>
      <c r="CM163" s="56" t="s">
        <v>8145</v>
      </c>
      <c r="CN163" s="26"/>
      <c r="CO163" s="54"/>
      <c r="CP163" s="26"/>
      <c r="CQ163" s="54"/>
      <c r="CR163" s="55"/>
      <c r="CS163" s="56"/>
      <c r="CT163" s="26"/>
      <c r="CU163" s="54"/>
      <c r="CV163" s="26"/>
      <c r="CW163" s="54"/>
      <c r="CX163" s="55"/>
      <c r="CY163" s="56"/>
      <c r="CZ163" s="26"/>
      <c r="DA163" s="54"/>
      <c r="DB163" s="26"/>
      <c r="DC163" s="54"/>
      <c r="DD163" s="55"/>
      <c r="DE163" s="56"/>
      <c r="DF163" s="26"/>
      <c r="DG163" s="54"/>
      <c r="DH163" s="26"/>
      <c r="DI163" s="54"/>
      <c r="DJ163" s="55"/>
      <c r="DK163" s="56"/>
      <c r="DL163" s="26"/>
      <c r="DM163" s="54"/>
      <c r="DN163" s="26"/>
      <c r="DO163" s="54"/>
      <c r="DP163" s="26"/>
      <c r="DQ163" s="89"/>
      <c r="DR163" s="26"/>
      <c r="DS163" s="54"/>
      <c r="DT163" s="70"/>
      <c r="DU163" s="26"/>
      <c r="DV163" s="55"/>
      <c r="DW163" s="56"/>
      <c r="DX163" s="26"/>
      <c r="DY163" s="54"/>
      <c r="DZ163" s="26"/>
      <c r="EA163" s="54"/>
      <c r="EB163" s="55"/>
      <c r="EC163" s="56"/>
      <c r="ED163" s="26"/>
      <c r="EE163" s="54"/>
      <c r="EF163" s="26"/>
      <c r="EG163" s="54"/>
      <c r="EH163" s="55"/>
      <c r="EI163" s="56"/>
      <c r="EJ163" s="26"/>
      <c r="EK163" s="54"/>
      <c r="EL163" s="26"/>
      <c r="EM163" s="54"/>
      <c r="EN163" s="55"/>
      <c r="EO163" s="56"/>
      <c r="EP163" s="26"/>
      <c r="EQ163" s="54"/>
      <c r="ER163" s="26"/>
      <c r="ES163" s="54"/>
      <c r="ET163" s="55"/>
    </row>
    <row r="164" spans="1:150" ht="20.100000000000001" hidden="1" customHeight="1" outlineLevel="1" collapsed="1" thickBot="1">
      <c r="A164" s="3034"/>
      <c r="B164" s="3028"/>
      <c r="C164" s="1173"/>
      <c r="D164" s="2726" t="str">
        <f>実績!C1266&amp;"("&amp;SUBSTITUTE(実績!W1266&amp;")","株式会社 ","")</f>
        <v>弘前倉庫㈱五所川原倉庫増築３期(アスコ建築構造室)</v>
      </c>
      <c r="E164" s="2727"/>
      <c r="F164" s="2727"/>
      <c r="G164" s="2727"/>
      <c r="H164" s="2727"/>
      <c r="I164" s="2727"/>
      <c r="J164" s="2727"/>
      <c r="K164" s="2727"/>
      <c r="L164" s="2727"/>
      <c r="M164" s="2727"/>
      <c r="N164" s="2727"/>
      <c r="O164" s="2727"/>
      <c r="P164" s="2727"/>
      <c r="Q164" s="3024"/>
      <c r="R164" s="1111"/>
      <c r="S164" s="26"/>
      <c r="T164" s="26"/>
      <c r="U164" s="54"/>
      <c r="V164" s="26"/>
      <c r="W164" s="54"/>
      <c r="X164" s="55"/>
      <c r="Y164" s="26"/>
      <c r="Z164" s="26"/>
      <c r="AA164" s="54"/>
      <c r="AB164" s="26"/>
      <c r="AC164" s="54"/>
      <c r="AD164" s="26"/>
      <c r="AE164" s="56"/>
      <c r="AF164" s="26"/>
      <c r="AG164" s="54"/>
      <c r="AH164" s="26"/>
      <c r="AI164" s="54"/>
      <c r="AJ164" s="55"/>
      <c r="AK164" s="26"/>
      <c r="AL164" s="26"/>
      <c r="AM164" s="54"/>
      <c r="AN164" s="26"/>
      <c r="AO164" s="54"/>
      <c r="AP164" s="26"/>
      <c r="AQ164" s="53"/>
      <c r="AR164" s="26"/>
      <c r="AS164" s="54"/>
      <c r="AT164" s="26"/>
      <c r="AU164" s="54"/>
      <c r="AV164" s="55"/>
      <c r="AW164" s="56"/>
      <c r="AX164" s="26"/>
      <c r="AY164" s="54"/>
      <c r="AZ164" s="26"/>
      <c r="BA164" s="54"/>
      <c r="BB164" s="55"/>
      <c r="BC164" s="26"/>
      <c r="BD164" s="26"/>
      <c r="BE164" s="54"/>
      <c r="BF164" s="26"/>
      <c r="BG164" s="54"/>
      <c r="BH164" s="26"/>
      <c r="BI164" s="56"/>
      <c r="BJ164" s="26"/>
      <c r="BK164" s="54"/>
      <c r="BL164" s="26"/>
      <c r="BM164" s="54"/>
      <c r="BN164" s="55"/>
      <c r="BO164" s="56"/>
      <c r="BP164" s="26"/>
      <c r="BQ164" s="54"/>
      <c r="BR164" s="26"/>
      <c r="BS164" s="54"/>
      <c r="BT164" s="55"/>
      <c r="BU164" s="56"/>
      <c r="BV164" s="26"/>
      <c r="BW164" s="54"/>
      <c r="BX164" s="26"/>
      <c r="BY164" s="54"/>
      <c r="BZ164" s="55"/>
      <c r="CA164" s="56"/>
      <c r="CB164" s="26" t="s">
        <v>8250</v>
      </c>
      <c r="CC164" s="54"/>
      <c r="CD164" s="26"/>
      <c r="CE164" s="54"/>
      <c r="CF164" s="55"/>
      <c r="CG164" s="56"/>
      <c r="CH164" s="26"/>
      <c r="CI164" s="54"/>
      <c r="CJ164" s="26"/>
      <c r="CK164" s="54"/>
      <c r="CL164" s="55"/>
      <c r="CM164" s="56"/>
      <c r="CN164" s="26"/>
      <c r="CO164" s="54"/>
      <c r="CP164" s="26"/>
      <c r="CQ164" s="54"/>
      <c r="CR164" s="55"/>
      <c r="CS164" s="56"/>
      <c r="CT164" s="26"/>
      <c r="CU164" s="54"/>
      <c r="CV164" s="26"/>
      <c r="CW164" s="54"/>
      <c r="CX164" s="55"/>
      <c r="CY164" s="56"/>
      <c r="CZ164" s="26"/>
      <c r="DA164" s="54"/>
      <c r="DB164" s="26"/>
      <c r="DC164" s="54"/>
      <c r="DD164" s="55"/>
      <c r="DE164" s="56"/>
      <c r="DF164" s="26"/>
      <c r="DG164" s="54"/>
      <c r="DH164" s="26"/>
      <c r="DI164" s="54"/>
      <c r="DJ164" s="55"/>
      <c r="DK164" s="56"/>
      <c r="DL164" s="26"/>
      <c r="DM164" s="54"/>
      <c r="DN164" s="26"/>
      <c r="DO164" s="54"/>
      <c r="DP164" s="26"/>
      <c r="DQ164" s="89"/>
      <c r="DR164" s="26"/>
      <c r="DS164" s="54"/>
      <c r="DT164" s="70"/>
      <c r="DU164" s="26"/>
      <c r="DV164" s="55"/>
      <c r="DW164" s="56"/>
      <c r="DX164" s="26"/>
      <c r="DY164" s="54"/>
      <c r="DZ164" s="26"/>
      <c r="EA164" s="54"/>
      <c r="EB164" s="55"/>
      <c r="EC164" s="56"/>
      <c r="ED164" s="26"/>
      <c r="EE164" s="54"/>
      <c r="EF164" s="26"/>
      <c r="EG164" s="54"/>
      <c r="EH164" s="55"/>
      <c r="EI164" s="56"/>
      <c r="EJ164" s="26"/>
      <c r="EK164" s="54"/>
      <c r="EL164" s="26"/>
      <c r="EM164" s="54"/>
      <c r="EN164" s="55"/>
      <c r="EO164" s="56"/>
      <c r="EP164" s="26"/>
      <c r="EQ164" s="54"/>
      <c r="ER164" s="26"/>
      <c r="ES164" s="54"/>
      <c r="ET164" s="55"/>
    </row>
    <row r="165" spans="1:150" ht="20.100000000000001" hidden="1" customHeight="1" outlineLevel="1" thickBot="1">
      <c r="A165" s="3034"/>
      <c r="B165" s="3028"/>
      <c r="C165" s="1173"/>
      <c r="D165" s="2726" t="str">
        <f>実績!C1265&amp;"("&amp;SUBSTITUTE(実績!W1265&amp;")","株式会社 ","")</f>
        <v>北茨城精密加工関本第６工場(横河システム建築)</v>
      </c>
      <c r="E165" s="2727"/>
      <c r="F165" s="2727"/>
      <c r="G165" s="2727"/>
      <c r="H165" s="2727"/>
      <c r="I165" s="2727"/>
      <c r="J165" s="2727"/>
      <c r="K165" s="2727"/>
      <c r="L165" s="2727"/>
      <c r="M165" s="2727"/>
      <c r="N165" s="2727"/>
      <c r="O165" s="2727"/>
      <c r="P165" s="2727"/>
      <c r="Q165" s="3024"/>
      <c r="R165" s="1111"/>
      <c r="S165" s="26"/>
      <c r="T165" s="26"/>
      <c r="U165" s="54"/>
      <c r="V165" s="26"/>
      <c r="W165" s="54"/>
      <c r="X165" s="55"/>
      <c r="Y165" s="26"/>
      <c r="Z165" s="26"/>
      <c r="AA165" s="54"/>
      <c r="AB165" s="26"/>
      <c r="AC165" s="54"/>
      <c r="AD165" s="26"/>
      <c r="AE165" s="56"/>
      <c r="AF165" s="26"/>
      <c r="AG165" s="54"/>
      <c r="AH165" s="26"/>
      <c r="AI165" s="54"/>
      <c r="AJ165" s="55"/>
      <c r="AK165" s="26"/>
      <c r="AL165" s="26"/>
      <c r="AM165" s="54"/>
      <c r="AN165" s="26"/>
      <c r="AO165" s="54"/>
      <c r="AP165" s="26"/>
      <c r="AQ165" s="53"/>
      <c r="AR165" s="26"/>
      <c r="AS165" s="54"/>
      <c r="AT165" s="26"/>
      <c r="AU165" s="54" t="s">
        <v>8352</v>
      </c>
      <c r="AV165" s="55"/>
      <c r="AW165" s="56"/>
      <c r="AX165" s="26"/>
      <c r="AY165" s="54"/>
      <c r="AZ165" s="26"/>
      <c r="BA165" s="54"/>
      <c r="BB165" s="55"/>
      <c r="BC165" s="26"/>
      <c r="BD165" s="26"/>
      <c r="BE165" s="54"/>
      <c r="BF165" s="26"/>
      <c r="BG165" s="54"/>
      <c r="BH165" s="26"/>
      <c r="BI165" s="56"/>
      <c r="BJ165" s="26"/>
      <c r="BK165" s="54"/>
      <c r="BL165" s="26"/>
      <c r="BM165" s="54"/>
      <c r="BN165" s="55"/>
      <c r="BO165" s="56"/>
      <c r="BP165" s="26"/>
      <c r="BQ165" s="54"/>
      <c r="BR165" s="26"/>
      <c r="BS165" s="54"/>
      <c r="BT165" s="55"/>
      <c r="BU165" s="56"/>
      <c r="BV165" s="26"/>
      <c r="BW165" s="54"/>
      <c r="BX165" s="26"/>
      <c r="BY165" s="54"/>
      <c r="BZ165" s="55"/>
      <c r="CA165" s="56"/>
      <c r="CB165" s="26" t="s">
        <v>8586</v>
      </c>
      <c r="CC165" s="54"/>
      <c r="CD165" s="26"/>
      <c r="CE165" s="54"/>
      <c r="CF165" s="55"/>
      <c r="CG165" s="56" t="s">
        <v>8145</v>
      </c>
      <c r="CH165" s="26"/>
      <c r="CI165" s="54"/>
      <c r="CJ165" s="26"/>
      <c r="CK165" s="54"/>
      <c r="CL165" s="55"/>
      <c r="CM165" s="56"/>
      <c r="CN165" s="26"/>
      <c r="CO165" s="54"/>
      <c r="CP165" s="26"/>
      <c r="CQ165" s="54" t="s">
        <v>10027</v>
      </c>
      <c r="CR165" s="55"/>
      <c r="CS165" s="56"/>
      <c r="CT165" s="26"/>
      <c r="CU165" s="54"/>
      <c r="CV165" s="26"/>
      <c r="CW165" s="54"/>
      <c r="CX165" s="55"/>
      <c r="CY165" s="56"/>
      <c r="CZ165" s="26"/>
      <c r="DA165" s="54"/>
      <c r="DB165" s="26"/>
      <c r="DC165" s="54"/>
      <c r="DD165" s="55"/>
      <c r="DE165" s="56"/>
      <c r="DF165" s="26"/>
      <c r="DG165" s="54"/>
      <c r="DH165" s="26"/>
      <c r="DI165" s="54"/>
      <c r="DJ165" s="55"/>
      <c r="DK165" s="56"/>
      <c r="DL165" s="26"/>
      <c r="DM165" s="54"/>
      <c r="DN165" s="26"/>
      <c r="DO165" s="54"/>
      <c r="DP165" s="26"/>
      <c r="DQ165" s="89"/>
      <c r="DR165" s="26"/>
      <c r="DS165" s="54"/>
      <c r="DT165" s="70"/>
      <c r="DU165" s="26"/>
      <c r="DV165" s="55"/>
      <c r="DW165" s="56"/>
      <c r="DX165" s="26"/>
      <c r="DY165" s="54"/>
      <c r="DZ165" s="26"/>
      <c r="EA165" s="54"/>
      <c r="EB165" s="55"/>
      <c r="EC165" s="56"/>
      <c r="ED165" s="26"/>
      <c r="EE165" s="54"/>
      <c r="EF165" s="26"/>
      <c r="EG165" s="54"/>
      <c r="EH165" s="55"/>
      <c r="EI165" s="56"/>
      <c r="EJ165" s="26"/>
      <c r="EK165" s="54"/>
      <c r="EL165" s="26"/>
      <c r="EM165" s="54"/>
      <c r="EN165" s="55"/>
      <c r="EO165" s="56"/>
      <c r="EP165" s="26"/>
      <c r="EQ165" s="54"/>
      <c r="ER165" s="26"/>
      <c r="ES165" s="54"/>
      <c r="ET165" s="55"/>
    </row>
    <row r="166" spans="1:150" ht="20.100000000000001" hidden="1" customHeight="1" outlineLevel="1" thickBot="1">
      <c r="A166" s="3034"/>
      <c r="B166" s="3028"/>
      <c r="C166" s="1176" t="s">
        <v>10067</v>
      </c>
      <c r="D166" s="2726" t="str">
        <f>実績!C1263&amp;"("&amp;SUBSTITUTE(実績!W1263&amp;")","株式会社 ","")</f>
        <v>寺西化学工業(株)出雲工場(中林建築設計事務所)</v>
      </c>
      <c r="E166" s="2727"/>
      <c r="F166" s="2727"/>
      <c r="G166" s="2727"/>
      <c r="H166" s="2727"/>
      <c r="I166" s="2727"/>
      <c r="J166" s="2727"/>
      <c r="K166" s="2727"/>
      <c r="L166" s="2727"/>
      <c r="M166" s="2727"/>
      <c r="N166" s="2727"/>
      <c r="O166" s="2727"/>
      <c r="P166" s="2727"/>
      <c r="Q166" s="1178" t="s">
        <v>10261</v>
      </c>
      <c r="R166" s="1179"/>
      <c r="S166" s="26"/>
      <c r="T166" s="26"/>
      <c r="U166" s="54"/>
      <c r="V166" s="26"/>
      <c r="W166" s="54"/>
      <c r="X166" s="55"/>
      <c r="Y166" s="26"/>
      <c r="Z166" s="26"/>
      <c r="AA166" s="54"/>
      <c r="AB166" s="26"/>
      <c r="AC166" s="54"/>
      <c r="AD166" s="26"/>
      <c r="AE166" s="56"/>
      <c r="AF166" s="26"/>
      <c r="AG166" s="54"/>
      <c r="AH166" s="26"/>
      <c r="AI166" s="54"/>
      <c r="AJ166" s="55"/>
      <c r="AK166" s="26"/>
      <c r="AL166" s="26"/>
      <c r="AM166" s="54"/>
      <c r="AN166" s="26"/>
      <c r="AO166" s="54"/>
      <c r="AP166" s="26"/>
      <c r="AQ166" s="53"/>
      <c r="AR166" s="26"/>
      <c r="AS166" s="54"/>
      <c r="AT166" s="26"/>
      <c r="AU166" s="54" t="s">
        <v>8352</v>
      </c>
      <c r="AV166" s="55"/>
      <c r="AW166" s="56"/>
      <c r="AX166" s="26"/>
      <c r="AY166" s="54"/>
      <c r="AZ166" s="26"/>
      <c r="BA166" s="54"/>
      <c r="BB166" s="55"/>
      <c r="BC166" s="26"/>
      <c r="BD166" s="26"/>
      <c r="BE166" s="54"/>
      <c r="BF166" s="26"/>
      <c r="BG166" s="54"/>
      <c r="BH166" s="26"/>
      <c r="BI166" s="56"/>
      <c r="BJ166" s="26"/>
      <c r="BK166" s="54"/>
      <c r="BL166" s="26"/>
      <c r="BM166" s="54"/>
      <c r="BN166" s="55"/>
      <c r="BO166" s="56"/>
      <c r="BP166" s="26"/>
      <c r="BQ166" s="54"/>
      <c r="BR166" s="70"/>
      <c r="BS166" s="54"/>
      <c r="BT166" s="55"/>
      <c r="BU166" s="56"/>
      <c r="BV166" s="26"/>
      <c r="BW166" s="54"/>
      <c r="BX166" s="26"/>
      <c r="BY166" s="54"/>
      <c r="BZ166" s="55"/>
      <c r="CA166" s="56"/>
      <c r="CB166" s="26"/>
      <c r="CC166" s="54" t="s">
        <v>9291</v>
      </c>
      <c r="CD166" s="26"/>
      <c r="CE166" s="54"/>
      <c r="CF166" s="55"/>
      <c r="CG166" s="56" t="s">
        <v>8145</v>
      </c>
      <c r="CH166" s="26"/>
      <c r="CI166" s="54"/>
      <c r="CJ166" s="26"/>
      <c r="CK166" s="54"/>
      <c r="CL166" s="55"/>
      <c r="CM166" s="56"/>
      <c r="CN166" s="26"/>
      <c r="CO166" s="54"/>
      <c r="CP166" s="26"/>
      <c r="CQ166" s="54"/>
      <c r="CR166" s="55"/>
      <c r="CS166" s="56"/>
      <c r="CT166" s="26"/>
      <c r="CU166" s="54"/>
      <c r="CV166" s="26"/>
      <c r="CW166" s="54"/>
      <c r="CX166" s="55"/>
      <c r="CY166" s="56"/>
      <c r="CZ166" s="26"/>
      <c r="DA166" s="54"/>
      <c r="DB166" s="26"/>
      <c r="DC166" s="54"/>
      <c r="DD166" s="55"/>
      <c r="DE166" s="56"/>
      <c r="DF166" s="26"/>
      <c r="DG166" s="54"/>
      <c r="DH166" s="26"/>
      <c r="DI166" s="54"/>
      <c r="DJ166" s="55"/>
      <c r="DK166" s="56"/>
      <c r="DL166" s="26"/>
      <c r="DM166" s="54"/>
      <c r="DN166" s="26"/>
      <c r="DO166" s="54"/>
      <c r="DP166" s="26"/>
      <c r="DQ166" s="89"/>
      <c r="DR166" s="26"/>
      <c r="DS166" s="54"/>
      <c r="DT166" s="70"/>
      <c r="DU166" s="26"/>
      <c r="DV166" s="55"/>
      <c r="DW166" s="56"/>
      <c r="DX166" s="26"/>
      <c r="DY166" s="54"/>
      <c r="DZ166" s="26"/>
      <c r="EA166" s="54"/>
      <c r="EB166" s="55"/>
      <c r="EC166" s="56"/>
      <c r="ED166" s="26"/>
      <c r="EE166" s="54"/>
      <c r="EF166" s="26"/>
      <c r="EG166" s="54"/>
      <c r="EH166" s="55"/>
      <c r="EI166" s="56"/>
      <c r="EJ166" s="26"/>
      <c r="EK166" s="54"/>
      <c r="EL166" s="26"/>
      <c r="EM166" s="54"/>
      <c r="EN166" s="55"/>
      <c r="EO166" s="56"/>
      <c r="EP166" s="26"/>
      <c r="EQ166" s="54"/>
      <c r="ER166" s="26"/>
      <c r="ES166" s="54"/>
      <c r="ET166" s="55"/>
    </row>
    <row r="167" spans="1:150" ht="20.100000000000001" hidden="1" customHeight="1" outlineLevel="1" collapsed="1" thickBot="1">
      <c r="A167" s="3034"/>
      <c r="B167" s="3028"/>
      <c r="C167" s="179" t="s">
        <v>10067</v>
      </c>
      <c r="D167" s="2726" t="str">
        <f>実績!C1272&amp;"("&amp;SUBSTITUTE(実績!W1272&amp;")","株式会社 ","")</f>
        <v>ありあけ幼稚園(あい設計)</v>
      </c>
      <c r="E167" s="2727"/>
      <c r="F167" s="2727"/>
      <c r="G167" s="2727"/>
      <c r="H167" s="2727"/>
      <c r="I167" s="2727"/>
      <c r="J167" s="2727"/>
      <c r="K167" s="2727" t="s">
        <v>10300</v>
      </c>
      <c r="L167" s="2727"/>
      <c r="M167" s="2727"/>
      <c r="N167" s="2727"/>
      <c r="O167" s="2727"/>
      <c r="P167" s="2727"/>
      <c r="Q167" s="3024"/>
      <c r="R167" s="1111"/>
      <c r="S167" s="26"/>
      <c r="T167" s="26"/>
      <c r="U167" s="54"/>
      <c r="V167" s="26"/>
      <c r="W167" s="54"/>
      <c r="X167" s="55"/>
      <c r="Y167" s="26"/>
      <c r="Z167" s="26"/>
      <c r="AA167" s="54"/>
      <c r="AB167" s="26"/>
      <c r="AC167" s="54"/>
      <c r="AD167" s="26"/>
      <c r="AE167" s="56"/>
      <c r="AF167" s="26"/>
      <c r="AG167" s="54"/>
      <c r="AH167" s="26"/>
      <c r="AI167" s="54"/>
      <c r="AJ167" s="55"/>
      <c r="AK167" s="26"/>
      <c r="AL167" s="26"/>
      <c r="AM167" s="54"/>
      <c r="AN167" s="26"/>
      <c r="AO167" s="54"/>
      <c r="AP167" s="26"/>
      <c r="AQ167" s="53"/>
      <c r="AR167" s="26"/>
      <c r="AS167" s="54"/>
      <c r="AT167" s="26"/>
      <c r="AU167" s="54" t="s">
        <v>8352</v>
      </c>
      <c r="AV167" s="55"/>
      <c r="AW167" s="56"/>
      <c r="AX167" s="26"/>
      <c r="AY167" s="54"/>
      <c r="AZ167" s="26"/>
      <c r="BA167" s="54"/>
      <c r="BB167" s="55"/>
      <c r="BC167" s="26"/>
      <c r="BD167" s="26"/>
      <c r="BE167" s="54"/>
      <c r="BF167" s="26"/>
      <c r="BG167" s="54"/>
      <c r="BH167" s="26"/>
      <c r="BI167" s="56"/>
      <c r="BJ167" s="26"/>
      <c r="BK167" s="54"/>
      <c r="BL167" s="26"/>
      <c r="BM167" s="54"/>
      <c r="BN167" s="55"/>
      <c r="BO167" s="56"/>
      <c r="BP167" s="26"/>
      <c r="BQ167" s="54"/>
      <c r="BR167" s="26"/>
      <c r="BS167" s="54"/>
      <c r="BT167" s="55"/>
      <c r="BU167" s="56"/>
      <c r="BV167" s="26"/>
      <c r="BW167" s="54"/>
      <c r="BX167" s="26"/>
      <c r="BY167" s="54"/>
      <c r="BZ167" s="55"/>
      <c r="CA167" s="56"/>
      <c r="CB167" s="26"/>
      <c r="CC167" s="54"/>
      <c r="CD167" s="26"/>
      <c r="CE167" s="54"/>
      <c r="CF167" s="55"/>
      <c r="CG167" s="56"/>
      <c r="CH167" s="26"/>
      <c r="CI167" s="54"/>
      <c r="CJ167" s="26"/>
      <c r="CK167" s="54"/>
      <c r="CL167" s="55"/>
      <c r="CM167" s="56"/>
      <c r="CN167" s="26"/>
      <c r="CO167" s="54"/>
      <c r="CP167" s="26"/>
      <c r="CQ167" s="54"/>
      <c r="CR167" s="55"/>
      <c r="CS167" s="56"/>
      <c r="CT167" s="26"/>
      <c r="CU167" s="54"/>
      <c r="CV167" s="26"/>
      <c r="CW167" s="54"/>
      <c r="CX167" s="55"/>
      <c r="CY167" s="56"/>
      <c r="CZ167" s="26"/>
      <c r="DA167" s="54"/>
      <c r="DB167" s="26"/>
      <c r="DC167" s="54"/>
      <c r="DD167" s="55"/>
      <c r="DE167" s="56"/>
      <c r="DF167" s="26"/>
      <c r="DG167" s="54"/>
      <c r="DH167" s="26"/>
      <c r="DI167" s="54"/>
      <c r="DJ167" s="55"/>
      <c r="DK167" s="56"/>
      <c r="DL167" s="26"/>
      <c r="DM167" s="54"/>
      <c r="DN167" s="26"/>
      <c r="DO167" s="54"/>
      <c r="DP167" s="26"/>
      <c r="DQ167" s="89"/>
      <c r="DR167" s="26"/>
      <c r="DS167" s="54"/>
      <c r="DT167" s="70"/>
      <c r="DU167" s="26"/>
      <c r="DV167" s="55"/>
      <c r="DW167" s="56"/>
      <c r="DX167" s="26"/>
      <c r="DY167" s="54"/>
      <c r="DZ167" s="26"/>
      <c r="EA167" s="54"/>
      <c r="EB167" s="55"/>
      <c r="EC167" s="56"/>
      <c r="ED167" s="26"/>
      <c r="EE167" s="54"/>
      <c r="EF167" s="26"/>
      <c r="EG167" s="54"/>
      <c r="EH167" s="55"/>
      <c r="EI167" s="56"/>
      <c r="EJ167" s="26"/>
      <c r="EK167" s="54"/>
      <c r="EL167" s="26"/>
      <c r="EM167" s="54"/>
      <c r="EN167" s="55"/>
      <c r="EO167" s="56"/>
      <c r="EP167" s="26"/>
      <c r="EQ167" s="54"/>
      <c r="ER167" s="26"/>
      <c r="ES167" s="54"/>
      <c r="ET167" s="55"/>
    </row>
    <row r="168" spans="1:150" ht="20.100000000000001" hidden="1" customHeight="1" outlineLevel="1" collapsed="1" thickBot="1">
      <c r="A168" s="3034"/>
      <c r="B168" s="3028"/>
      <c r="C168" s="1173"/>
      <c r="D168" s="2726" t="str">
        <f>実績!C1257&amp;"("&amp;SUBSTITUTE(実績!W1257&amp;")","株式会社 ","")</f>
        <v>JAごしょつがる米穀低温倉庫(アスコ建築構造室)</v>
      </c>
      <c r="E168" s="2727"/>
      <c r="F168" s="2727"/>
      <c r="G168" s="2727"/>
      <c r="H168" s="2727"/>
      <c r="I168" s="2727"/>
      <c r="J168" s="2727"/>
      <c r="K168" s="2727"/>
      <c r="L168" s="2727"/>
      <c r="M168" s="2727"/>
      <c r="N168" s="2727"/>
      <c r="O168" s="2727"/>
      <c r="P168" s="2727"/>
      <c r="Q168" s="3024"/>
      <c r="R168" s="1111"/>
      <c r="S168" s="26"/>
      <c r="T168" s="26"/>
      <c r="U168" s="54"/>
      <c r="V168" s="26"/>
      <c r="W168" s="54"/>
      <c r="X168" s="55"/>
      <c r="Y168" s="26"/>
      <c r="Z168" s="26"/>
      <c r="AA168" s="54"/>
      <c r="AB168" s="26"/>
      <c r="AC168" s="54"/>
      <c r="AD168" s="26"/>
      <c r="AE168" s="56"/>
      <c r="AF168" s="26"/>
      <c r="AG168" s="54"/>
      <c r="AH168" s="26"/>
      <c r="AI168" s="54"/>
      <c r="AJ168" s="55"/>
      <c r="AK168" s="26"/>
      <c r="AL168" s="26"/>
      <c r="AM168" s="54"/>
      <c r="AN168" s="26"/>
      <c r="AO168" s="54"/>
      <c r="AP168" s="26"/>
      <c r="AQ168" s="53"/>
      <c r="AR168" s="26"/>
      <c r="AS168" s="54"/>
      <c r="AT168" s="26"/>
      <c r="AU168" s="54"/>
      <c r="AV168" s="55"/>
      <c r="AW168" s="56"/>
      <c r="AX168" s="26"/>
      <c r="AY168" s="54"/>
      <c r="AZ168" s="26"/>
      <c r="BA168" s="54"/>
      <c r="BB168" s="55"/>
      <c r="BC168" s="26"/>
      <c r="BD168" s="26"/>
      <c r="BE168" s="54"/>
      <c r="BF168" s="26"/>
      <c r="BG168" s="54"/>
      <c r="BH168" s="26"/>
      <c r="BI168" s="56"/>
      <c r="BJ168" s="26"/>
      <c r="BK168" s="54"/>
      <c r="BL168" s="26"/>
      <c r="BM168" s="54"/>
      <c r="BN168" s="55"/>
      <c r="BO168" s="56"/>
      <c r="BP168" s="26"/>
      <c r="BQ168" s="54"/>
      <c r="BR168" s="26"/>
      <c r="BS168" s="54"/>
      <c r="BT168" s="55"/>
      <c r="BU168" s="56"/>
      <c r="BV168" s="26"/>
      <c r="BW168" s="54"/>
      <c r="BX168" s="26"/>
      <c r="BY168" s="54"/>
      <c r="BZ168" s="55"/>
      <c r="CA168" s="56"/>
      <c r="CB168" s="26"/>
      <c r="CC168" s="54" t="s">
        <v>8250</v>
      </c>
      <c r="CD168" s="26"/>
      <c r="CE168" s="54"/>
      <c r="CF168" s="55"/>
      <c r="CG168" s="56"/>
      <c r="CH168" s="26"/>
      <c r="CI168" s="54"/>
      <c r="CJ168" s="26"/>
      <c r="CK168" s="54"/>
      <c r="CL168" s="55"/>
      <c r="CM168" s="56"/>
      <c r="CN168" s="26"/>
      <c r="CO168" s="54"/>
      <c r="CP168" s="26"/>
      <c r="CQ168" s="54"/>
      <c r="CR168" s="55"/>
      <c r="CS168" s="56"/>
      <c r="CT168" s="26"/>
      <c r="CU168" s="54"/>
      <c r="CV168" s="26"/>
      <c r="CW168" s="54"/>
      <c r="CX168" s="55"/>
      <c r="CY168" s="56"/>
      <c r="CZ168" s="26"/>
      <c r="DA168" s="54"/>
      <c r="DB168" s="26"/>
      <c r="DC168" s="54"/>
      <c r="DD168" s="55"/>
      <c r="DE168" s="56"/>
      <c r="DF168" s="26"/>
      <c r="DG168" s="54"/>
      <c r="DH168" s="26"/>
      <c r="DI168" s="54"/>
      <c r="DJ168" s="55"/>
      <c r="DK168" s="56"/>
      <c r="DL168" s="26"/>
      <c r="DM168" s="54"/>
      <c r="DN168" s="26"/>
      <c r="DO168" s="54"/>
      <c r="DP168" s="26"/>
      <c r="DQ168" s="89"/>
      <c r="DR168" s="26"/>
      <c r="DS168" s="54"/>
      <c r="DT168" s="70"/>
      <c r="DU168" s="26"/>
      <c r="DV168" s="55"/>
      <c r="DW168" s="56"/>
      <c r="DX168" s="26"/>
      <c r="DY168" s="54"/>
      <c r="DZ168" s="26"/>
      <c r="EA168" s="54"/>
      <c r="EB168" s="55"/>
      <c r="EC168" s="56"/>
      <c r="ED168" s="26"/>
      <c r="EE168" s="54"/>
      <c r="EF168" s="26"/>
      <c r="EG168" s="54"/>
      <c r="EH168" s="55"/>
      <c r="EI168" s="56"/>
      <c r="EJ168" s="26"/>
      <c r="EK168" s="54"/>
      <c r="EL168" s="26"/>
      <c r="EM168" s="54"/>
      <c r="EN168" s="55"/>
      <c r="EO168" s="56"/>
      <c r="EP168" s="26"/>
      <c r="EQ168" s="54"/>
      <c r="ER168" s="26"/>
      <c r="ES168" s="54"/>
      <c r="ET168" s="55"/>
    </row>
    <row r="169" spans="1:150" ht="20.100000000000001" hidden="1" customHeight="1" outlineLevel="1" thickBot="1">
      <c r="A169" s="3034"/>
      <c r="B169" s="3028"/>
      <c r="C169" s="1173"/>
      <c r="D169" s="2726" t="str">
        <f>実績!C1268&amp;"("&amp;SUBSTITUTE(実績!R1268&amp;")","株式会社 ","")</f>
        <v>正木眼科(有限会社 重原建築設計事務所)</v>
      </c>
      <c r="E169" s="2727"/>
      <c r="F169" s="2727"/>
      <c r="G169" s="2727"/>
      <c r="H169" s="2727"/>
      <c r="I169" s="2727"/>
      <c r="J169" s="2727"/>
      <c r="K169" s="2727"/>
      <c r="L169" s="2727"/>
      <c r="M169" s="2727"/>
      <c r="N169" s="2727"/>
      <c r="O169" s="2727"/>
      <c r="P169" s="2727"/>
      <c r="Q169" s="3024"/>
      <c r="R169" s="1111"/>
      <c r="S169" s="26"/>
      <c r="T169" s="26"/>
      <c r="U169" s="54"/>
      <c r="V169" s="26"/>
      <c r="W169" s="54"/>
      <c r="X169" s="55"/>
      <c r="Y169" s="26"/>
      <c r="Z169" s="26"/>
      <c r="AA169" s="54"/>
      <c r="AB169" s="26"/>
      <c r="AC169" s="54"/>
      <c r="AD169" s="26"/>
      <c r="AE169" s="56"/>
      <c r="AF169" s="26"/>
      <c r="AG169" s="54"/>
      <c r="AH169" s="26"/>
      <c r="AI169" s="54"/>
      <c r="AJ169" s="55"/>
      <c r="AK169" s="26"/>
      <c r="AL169" s="26"/>
      <c r="AM169" s="54"/>
      <c r="AN169" s="26"/>
      <c r="AO169" s="54"/>
      <c r="AP169" s="26"/>
      <c r="AQ169" s="53"/>
      <c r="AR169" s="26"/>
      <c r="AS169" s="54"/>
      <c r="AT169" s="26"/>
      <c r="AU169" s="54"/>
      <c r="AV169" s="55"/>
      <c r="AW169" s="56"/>
      <c r="AX169" s="26"/>
      <c r="AY169" s="54"/>
      <c r="AZ169" s="26"/>
      <c r="BA169" s="54"/>
      <c r="BB169" s="55"/>
      <c r="BC169" s="26"/>
      <c r="BD169" s="26"/>
      <c r="BE169" s="54"/>
      <c r="BF169" s="26"/>
      <c r="BG169" s="54"/>
      <c r="BH169" s="26"/>
      <c r="BI169" s="56"/>
      <c r="BJ169" s="26"/>
      <c r="BK169" s="54"/>
      <c r="BL169" s="26"/>
      <c r="BM169" s="54"/>
      <c r="BN169" s="55"/>
      <c r="BO169" s="56"/>
      <c r="BP169" s="26"/>
      <c r="BQ169" s="54"/>
      <c r="BR169" s="26"/>
      <c r="BS169" s="54"/>
      <c r="BT169" s="55"/>
      <c r="BU169" s="56"/>
      <c r="BV169" s="26"/>
      <c r="BW169" s="54"/>
      <c r="BX169" s="26"/>
      <c r="BY169" s="54"/>
      <c r="BZ169" s="55"/>
      <c r="CA169" s="56"/>
      <c r="CB169" s="26"/>
      <c r="CC169" s="54" t="s">
        <v>8250</v>
      </c>
      <c r="CD169" s="26"/>
      <c r="CE169" s="54"/>
      <c r="CF169" s="55"/>
      <c r="CG169" s="56"/>
      <c r="CH169" s="26"/>
      <c r="CI169" s="54"/>
      <c r="CJ169" s="26"/>
      <c r="CK169" s="54"/>
      <c r="CL169" s="55"/>
      <c r="CM169" s="56"/>
      <c r="CN169" s="26"/>
      <c r="CO169" s="54"/>
      <c r="CP169" s="26"/>
      <c r="CQ169" s="54"/>
      <c r="CR169" s="55"/>
      <c r="CS169" s="56"/>
      <c r="CT169" s="26"/>
      <c r="CU169" s="54"/>
      <c r="CV169" s="26"/>
      <c r="CW169" s="54"/>
      <c r="CX169" s="55"/>
      <c r="CY169" s="56"/>
      <c r="CZ169" s="26"/>
      <c r="DA169" s="54"/>
      <c r="DB169" s="26"/>
      <c r="DC169" s="54"/>
      <c r="DD169" s="55"/>
      <c r="DE169" s="56"/>
      <c r="DF169" s="26"/>
      <c r="DG169" s="54"/>
      <c r="DH169" s="26"/>
      <c r="DI169" s="54"/>
      <c r="DJ169" s="55"/>
      <c r="DK169" s="56"/>
      <c r="DL169" s="26"/>
      <c r="DM169" s="54"/>
      <c r="DN169" s="26"/>
      <c r="DO169" s="54"/>
      <c r="DP169" s="26"/>
      <c r="DQ169" s="89"/>
      <c r="DR169" s="26"/>
      <c r="DS169" s="54"/>
      <c r="DT169" s="70"/>
      <c r="DU169" s="26"/>
      <c r="DV169" s="55"/>
      <c r="DW169" s="56"/>
      <c r="DX169" s="26"/>
      <c r="DY169" s="54"/>
      <c r="DZ169" s="26"/>
      <c r="EA169" s="54"/>
      <c r="EB169" s="55"/>
      <c r="EC169" s="56"/>
      <c r="ED169" s="26"/>
      <c r="EE169" s="54"/>
      <c r="EF169" s="26"/>
      <c r="EG169" s="54"/>
      <c r="EH169" s="55"/>
      <c r="EI169" s="56"/>
      <c r="EJ169" s="26"/>
      <c r="EK169" s="54"/>
      <c r="EL169" s="26"/>
      <c r="EM169" s="54"/>
      <c r="EN169" s="55"/>
      <c r="EO169" s="56"/>
      <c r="EP169" s="26"/>
      <c r="EQ169" s="54"/>
      <c r="ER169" s="26"/>
      <c r="ES169" s="54"/>
      <c r="ET169" s="55"/>
    </row>
    <row r="170" spans="1:150" ht="20.100000000000001" hidden="1" customHeight="1" outlineLevel="1" thickBot="1">
      <c r="A170" s="3034"/>
      <c r="B170" s="3028"/>
      <c r="C170" s="1173"/>
      <c r="D170" s="2726" t="str">
        <f>実績!C1253&amp;"("&amp;SUBSTITUTE(実績!W1253&amp;")","株式会社 ","")</f>
        <v>㈱堀内機械工場(横河システム建築)</v>
      </c>
      <c r="E170" s="2727"/>
      <c r="F170" s="2727"/>
      <c r="G170" s="2727"/>
      <c r="H170" s="2727"/>
      <c r="I170" s="2727"/>
      <c r="J170" s="2727"/>
      <c r="K170" s="2727"/>
      <c r="L170" s="2727"/>
      <c r="M170" s="2727"/>
      <c r="N170" s="2727"/>
      <c r="O170" s="2727"/>
      <c r="P170" s="2727"/>
      <c r="Q170" s="3024"/>
      <c r="R170" s="1111"/>
      <c r="S170" s="26"/>
      <c r="T170" s="26"/>
      <c r="U170" s="54"/>
      <c r="V170" s="26"/>
      <c r="W170" s="54"/>
      <c r="X170" s="55"/>
      <c r="Y170" s="26"/>
      <c r="Z170" s="26"/>
      <c r="AA170" s="54"/>
      <c r="AB170" s="26"/>
      <c r="AC170" s="54"/>
      <c r="AD170" s="26"/>
      <c r="AE170" s="56"/>
      <c r="AF170" s="26"/>
      <c r="AG170" s="54"/>
      <c r="AH170" s="26"/>
      <c r="AI170" s="54"/>
      <c r="AJ170" s="55"/>
      <c r="AK170" s="26"/>
      <c r="AL170" s="26"/>
      <c r="AM170" s="54"/>
      <c r="AN170" s="26"/>
      <c r="AO170" s="54"/>
      <c r="AP170" s="26"/>
      <c r="AQ170" s="53"/>
      <c r="AR170" s="26"/>
      <c r="AS170" s="54"/>
      <c r="AT170" s="26"/>
      <c r="AU170" s="54" t="s">
        <v>8352</v>
      </c>
      <c r="AV170" s="55"/>
      <c r="AW170" s="56"/>
      <c r="AX170" s="26"/>
      <c r="AY170" s="54"/>
      <c r="AZ170" s="26"/>
      <c r="BA170" s="54"/>
      <c r="BB170" s="55"/>
      <c r="BC170" s="26"/>
      <c r="BD170" s="26"/>
      <c r="BE170" s="54"/>
      <c r="BF170" s="26"/>
      <c r="BG170" s="54"/>
      <c r="BH170" s="26"/>
      <c r="BI170" s="56"/>
      <c r="BJ170" s="26"/>
      <c r="BK170" s="54"/>
      <c r="BL170" s="26"/>
      <c r="BM170" s="54"/>
      <c r="BN170" s="55"/>
      <c r="BO170" s="56"/>
      <c r="BP170" s="26"/>
      <c r="BQ170" s="54"/>
      <c r="BR170" s="70"/>
      <c r="BS170" s="54"/>
      <c r="BT170" s="55"/>
      <c r="BU170" s="56"/>
      <c r="BV170" s="26"/>
      <c r="BW170" s="54"/>
      <c r="BX170" s="26"/>
      <c r="BY170" s="54"/>
      <c r="BZ170" s="55"/>
      <c r="CA170" s="56"/>
      <c r="CB170" s="26"/>
      <c r="CC170" s="54" t="s">
        <v>8586</v>
      </c>
      <c r="CD170" s="26"/>
      <c r="CE170" s="54"/>
      <c r="CF170" s="55"/>
      <c r="CG170" s="56"/>
      <c r="CH170" s="26"/>
      <c r="CI170" s="54"/>
      <c r="CJ170" s="26"/>
      <c r="CK170" s="54"/>
      <c r="CL170" s="55"/>
      <c r="CM170" s="56"/>
      <c r="CN170" s="26"/>
      <c r="CO170" s="54"/>
      <c r="CP170" s="26"/>
      <c r="CQ170" s="54"/>
      <c r="CR170" s="55"/>
      <c r="CS170" s="56" t="s">
        <v>8145</v>
      </c>
      <c r="CT170" s="26"/>
      <c r="CU170" s="54"/>
      <c r="CV170" s="26"/>
      <c r="CW170" s="54"/>
      <c r="CX170" s="55"/>
      <c r="CY170" s="56"/>
      <c r="CZ170" s="26"/>
      <c r="DA170" s="54"/>
      <c r="DB170" s="26"/>
      <c r="DC170" s="54"/>
      <c r="DD170" s="55"/>
      <c r="DE170" s="56"/>
      <c r="DF170" s="26"/>
      <c r="DG170" s="54"/>
      <c r="DH170" s="26"/>
      <c r="DI170" s="54"/>
      <c r="DJ170" s="55"/>
      <c r="DK170" s="56"/>
      <c r="DL170" s="26"/>
      <c r="DM170" s="54"/>
      <c r="DN170" s="26"/>
      <c r="DO170" s="54"/>
      <c r="DP170" s="26"/>
      <c r="DQ170" s="89"/>
      <c r="DR170" s="26"/>
      <c r="DS170" s="54"/>
      <c r="DT170" s="70"/>
      <c r="DU170" s="26"/>
      <c r="DV170" s="55"/>
      <c r="DW170" s="56"/>
      <c r="DX170" s="26"/>
      <c r="DY170" s="54"/>
      <c r="DZ170" s="26"/>
      <c r="EA170" s="54"/>
      <c r="EB170" s="55"/>
      <c r="EC170" s="56"/>
      <c r="ED170" s="26"/>
      <c r="EE170" s="54"/>
      <c r="EF170" s="26"/>
      <c r="EG170" s="54"/>
      <c r="EH170" s="55"/>
      <c r="EI170" s="56"/>
      <c r="EJ170" s="26"/>
      <c r="EK170" s="54"/>
      <c r="EL170" s="26"/>
      <c r="EM170" s="54"/>
      <c r="EN170" s="55"/>
      <c r="EO170" s="56"/>
      <c r="EP170" s="26"/>
      <c r="EQ170" s="54"/>
      <c r="ER170" s="26"/>
      <c r="ES170" s="54"/>
      <c r="ET170" s="55"/>
    </row>
    <row r="171" spans="1:150" ht="20.100000000000001" hidden="1" customHeight="1" outlineLevel="1" collapsed="1" thickBot="1">
      <c r="A171" s="3034"/>
      <c r="B171" s="3028"/>
      <c r="C171" s="1176" t="s">
        <v>10067</v>
      </c>
      <c r="D171" s="2726" t="str">
        <f>実績!C1269&amp;"("&amp;SUBSTITUTE(実績!R1269&amp;")"," 株式会社","")</f>
        <v>オートバックス三原(新設計コンサルタンツ)</v>
      </c>
      <c r="E171" s="2727"/>
      <c r="F171" s="2727"/>
      <c r="G171" s="2727"/>
      <c r="H171" s="2727"/>
      <c r="I171" s="2727"/>
      <c r="J171" s="2727"/>
      <c r="K171" s="2727"/>
      <c r="L171" s="2727"/>
      <c r="M171" s="2727"/>
      <c r="N171" s="2727"/>
      <c r="O171" s="2727"/>
      <c r="P171" s="2727"/>
      <c r="Q171" s="3024"/>
      <c r="R171" s="1111"/>
      <c r="S171" s="26"/>
      <c r="T171" s="26"/>
      <c r="U171" s="54"/>
      <c r="V171" s="26"/>
      <c r="W171" s="54"/>
      <c r="X171" s="55"/>
      <c r="Y171" s="26"/>
      <c r="Z171" s="26"/>
      <c r="AA171" s="54"/>
      <c r="AB171" s="26"/>
      <c r="AC171" s="54"/>
      <c r="AD171" s="26"/>
      <c r="AE171" s="56"/>
      <c r="AF171" s="26"/>
      <c r="AG171" s="54"/>
      <c r="AH171" s="26"/>
      <c r="AI171" s="54"/>
      <c r="AJ171" s="55"/>
      <c r="AK171" s="26"/>
      <c r="AL171" s="26"/>
      <c r="AM171" s="54"/>
      <c r="AN171" s="26"/>
      <c r="AO171" s="54"/>
      <c r="AP171" s="26"/>
      <c r="AQ171" s="53"/>
      <c r="AR171" s="26"/>
      <c r="AS171" s="54"/>
      <c r="AT171" s="26"/>
      <c r="AU171" s="54"/>
      <c r="AV171" s="55"/>
      <c r="AW171" s="56"/>
      <c r="AX171" s="26"/>
      <c r="AY171" s="54"/>
      <c r="AZ171" s="26"/>
      <c r="BA171" s="54"/>
      <c r="BB171" s="55"/>
      <c r="BC171" s="26"/>
      <c r="BD171" s="26"/>
      <c r="BE171" s="54"/>
      <c r="BF171" s="26"/>
      <c r="BG171" s="54"/>
      <c r="BH171" s="26"/>
      <c r="BI171" s="56"/>
      <c r="BJ171" s="26"/>
      <c r="BK171" s="54"/>
      <c r="BL171" s="26"/>
      <c r="BM171" s="54"/>
      <c r="BN171" s="55"/>
      <c r="BO171" s="56"/>
      <c r="BP171" s="26"/>
      <c r="BQ171" s="54"/>
      <c r="BR171" s="26"/>
      <c r="BS171" s="54"/>
      <c r="BT171" s="55"/>
      <c r="BU171" s="56"/>
      <c r="BV171" s="26"/>
      <c r="BW171" s="54"/>
      <c r="BX171" s="26"/>
      <c r="BY171" s="54"/>
      <c r="BZ171" s="55"/>
      <c r="CA171" s="56"/>
      <c r="CB171" s="26"/>
      <c r="CC171" s="54" t="s">
        <v>10318</v>
      </c>
      <c r="CD171" s="26"/>
      <c r="CE171" s="54"/>
      <c r="CF171" s="55"/>
      <c r="CG171" s="56"/>
      <c r="CH171" s="26"/>
      <c r="CI171" s="54"/>
      <c r="CJ171" s="26"/>
      <c r="CK171" s="54"/>
      <c r="CL171" s="55"/>
      <c r="CM171" s="56"/>
      <c r="CN171" s="26"/>
      <c r="CO171" s="54"/>
      <c r="CP171" s="26"/>
      <c r="CQ171" s="54"/>
      <c r="CR171" s="55"/>
      <c r="CS171" s="56"/>
      <c r="CT171" s="26"/>
      <c r="CU171" s="54"/>
      <c r="CV171" s="26"/>
      <c r="CW171" s="54"/>
      <c r="CX171" s="55"/>
      <c r="CY171" s="56"/>
      <c r="CZ171" s="26"/>
      <c r="DA171" s="54"/>
      <c r="DB171" s="26"/>
      <c r="DC171" s="54"/>
      <c r="DD171" s="55"/>
      <c r="DE171" s="56"/>
      <c r="DF171" s="26"/>
      <c r="DG171" s="54"/>
      <c r="DH171" s="26"/>
      <c r="DI171" s="54"/>
      <c r="DJ171" s="55"/>
      <c r="DK171" s="56"/>
      <c r="DL171" s="26"/>
      <c r="DM171" s="54"/>
      <c r="DN171" s="26"/>
      <c r="DO171" s="54"/>
      <c r="DP171" s="26"/>
      <c r="DQ171" s="89"/>
      <c r="DR171" s="26"/>
      <c r="DS171" s="54"/>
      <c r="DT171" s="70"/>
      <c r="DU171" s="26"/>
      <c r="DV171" s="55"/>
      <c r="DW171" s="56"/>
      <c r="DX171" s="26"/>
      <c r="DY171" s="54"/>
      <c r="DZ171" s="26"/>
      <c r="EA171" s="54"/>
      <c r="EB171" s="55"/>
      <c r="EC171" s="56"/>
      <c r="ED171" s="26"/>
      <c r="EE171" s="54"/>
      <c r="EF171" s="26"/>
      <c r="EG171" s="54"/>
      <c r="EH171" s="55"/>
      <c r="EI171" s="56"/>
      <c r="EJ171" s="26"/>
      <c r="EK171" s="54"/>
      <c r="EL171" s="26"/>
      <c r="EM171" s="54"/>
      <c r="EN171" s="55"/>
      <c r="EO171" s="56"/>
      <c r="EP171" s="26"/>
      <c r="EQ171" s="54"/>
      <c r="ER171" s="26"/>
      <c r="ES171" s="54"/>
      <c r="ET171" s="55"/>
    </row>
    <row r="172" spans="1:150" ht="20.100000000000001" hidden="1" customHeight="1" outlineLevel="1" thickBot="1">
      <c r="A172" s="3034"/>
      <c r="B172" s="3028"/>
      <c r="C172" s="1173"/>
      <c r="D172" s="2726" t="str">
        <f>実績!C1244&amp;"("&amp;SUBSTITUTE(実績!R1244&amp;")","株式会社 ","")</f>
        <v>カインズ羽生(伊藤建築設計事務所)</v>
      </c>
      <c r="E172" s="2727"/>
      <c r="F172" s="2727"/>
      <c r="G172" s="2727"/>
      <c r="H172" s="2727"/>
      <c r="I172" s="2727"/>
      <c r="J172" s="2727"/>
      <c r="K172" s="2727"/>
      <c r="L172" s="2727"/>
      <c r="M172" s="2727"/>
      <c r="N172" s="2727"/>
      <c r="O172" s="2727"/>
      <c r="P172" s="2727"/>
      <c r="Q172" s="3024"/>
      <c r="R172" s="1111"/>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56"/>
      <c r="BJ172" s="26"/>
      <c r="BK172" s="54"/>
      <c r="BL172" s="26"/>
      <c r="BM172" s="54"/>
      <c r="BN172" s="55"/>
      <c r="BO172" s="56"/>
      <c r="BP172" s="26"/>
      <c r="BQ172" s="54"/>
      <c r="BR172" s="108"/>
      <c r="BS172" s="54"/>
      <c r="BT172" s="55"/>
      <c r="BU172" s="56"/>
      <c r="BV172" s="26" t="s">
        <v>8644</v>
      </c>
      <c r="BW172" s="54"/>
      <c r="BX172" s="26"/>
      <c r="BY172" s="54"/>
      <c r="BZ172" s="55"/>
      <c r="CA172" s="56"/>
      <c r="CB172" s="26"/>
      <c r="CC172" s="54"/>
      <c r="CD172" s="26"/>
      <c r="CE172" s="54"/>
      <c r="CF172" s="55" t="s">
        <v>9815</v>
      </c>
      <c r="CG172" s="56"/>
      <c r="CH172" s="26"/>
      <c r="CI172" s="54"/>
      <c r="CJ172" s="26"/>
      <c r="CK172" s="54"/>
      <c r="CL172" s="55"/>
      <c r="CM172" s="56"/>
      <c r="CN172" s="26"/>
      <c r="CO172" s="54"/>
      <c r="CP172" s="26"/>
      <c r="CQ172" s="54"/>
      <c r="CR172" s="55"/>
      <c r="CS172" s="56"/>
      <c r="CT172" s="26"/>
      <c r="CU172" s="54"/>
      <c r="CV172" s="26"/>
      <c r="CW172" s="54"/>
      <c r="CX172" s="55"/>
      <c r="CY172" s="56"/>
      <c r="CZ172" s="26"/>
      <c r="DA172" s="54"/>
      <c r="DB172" s="26"/>
      <c r="DC172" s="54"/>
      <c r="DD172" s="55"/>
      <c r="DE172" s="56"/>
      <c r="DF172" s="26"/>
      <c r="DG172" s="54"/>
      <c r="DH172" s="26"/>
      <c r="DI172" s="54"/>
      <c r="DJ172" s="55"/>
      <c r="DK172" s="56"/>
      <c r="DL172" s="26"/>
      <c r="DM172" s="54"/>
      <c r="DN172" s="26"/>
      <c r="DO172" s="54"/>
      <c r="DP172" s="26"/>
      <c r="DQ172" s="89"/>
      <c r="DR172" s="26"/>
      <c r="DS172" s="54"/>
      <c r="DT172" s="70"/>
      <c r="DU172" s="26"/>
      <c r="DV172" s="55"/>
      <c r="DW172" s="56"/>
      <c r="DX172" s="26"/>
      <c r="DY172" s="54"/>
      <c r="DZ172" s="26"/>
      <c r="EA172" s="54"/>
      <c r="EB172" s="55"/>
      <c r="EC172" s="56"/>
      <c r="ED172" s="26"/>
      <c r="EE172" s="54"/>
      <c r="EF172" s="26"/>
      <c r="EG172" s="54"/>
      <c r="EH172" s="55"/>
      <c r="EI172" s="56"/>
      <c r="EJ172" s="26"/>
      <c r="EK172" s="54"/>
      <c r="EL172" s="26"/>
      <c r="EM172" s="54"/>
      <c r="EN172" s="55"/>
      <c r="EO172" s="56"/>
      <c r="EP172" s="26"/>
      <c r="EQ172" s="54"/>
      <c r="ER172" s="26"/>
      <c r="ES172" s="54"/>
      <c r="ET172" s="55"/>
    </row>
    <row r="173" spans="1:150" ht="20.100000000000001" hidden="1" customHeight="1" outlineLevel="1" collapsed="1" thickBot="1">
      <c r="A173" s="3034"/>
      <c r="B173" s="3028"/>
      <c r="C173" s="1173"/>
      <c r="D173" s="2726" t="str">
        <f>実績!C1264&amp;"("&amp;SUBSTITUTE(実績!W1264&amp;")","株式会社 ","")</f>
        <v>中央物産株式会社 伊勢原LC危険物倉庫(横河システム建築)</v>
      </c>
      <c r="E173" s="2727"/>
      <c r="F173" s="2727"/>
      <c r="G173" s="2727"/>
      <c r="H173" s="2727"/>
      <c r="I173" s="2727"/>
      <c r="J173" s="2727"/>
      <c r="K173" s="2727"/>
      <c r="L173" s="2727"/>
      <c r="M173" s="2727"/>
      <c r="N173" s="2727"/>
      <c r="O173" s="2727"/>
      <c r="P173" s="2727"/>
      <c r="Q173" s="3024"/>
      <c r="R173" s="1111"/>
      <c r="S173" s="26"/>
      <c r="T173" s="26"/>
      <c r="U173" s="54"/>
      <c r="V173" s="26"/>
      <c r="W173" s="54"/>
      <c r="X173" s="55"/>
      <c r="Y173" s="26"/>
      <c r="Z173" s="26"/>
      <c r="AA173" s="54"/>
      <c r="AB173" s="26"/>
      <c r="AC173" s="54"/>
      <c r="AD173" s="26"/>
      <c r="AE173" s="56"/>
      <c r="AF173" s="26"/>
      <c r="AG173" s="54"/>
      <c r="AH173" s="26"/>
      <c r="AI173" s="54"/>
      <c r="AJ173" s="55"/>
      <c r="AK173" s="26"/>
      <c r="AL173" s="26"/>
      <c r="AM173" s="54"/>
      <c r="AN173" s="26"/>
      <c r="AO173" s="54"/>
      <c r="AP173" s="26"/>
      <c r="AQ173" s="53"/>
      <c r="AR173" s="26"/>
      <c r="AS173" s="54"/>
      <c r="AT173" s="26"/>
      <c r="AU173" s="54"/>
      <c r="AV173" s="55"/>
      <c r="AW173" s="56"/>
      <c r="AX173" s="26"/>
      <c r="AY173" s="54"/>
      <c r="AZ173" s="26"/>
      <c r="BA173" s="54"/>
      <c r="BB173" s="55"/>
      <c r="BC173" s="26"/>
      <c r="BD173" s="26"/>
      <c r="BE173" s="54"/>
      <c r="BF173" s="26"/>
      <c r="BG173" s="54"/>
      <c r="BH173" s="26"/>
      <c r="BI173" s="56"/>
      <c r="BJ173" s="26"/>
      <c r="BK173" s="54"/>
      <c r="BL173" s="26"/>
      <c r="BM173" s="54"/>
      <c r="BN173" s="55"/>
      <c r="BO173" s="56"/>
      <c r="BP173" s="26"/>
      <c r="BQ173" s="54"/>
      <c r="BR173" s="26"/>
      <c r="BS173" s="54"/>
      <c r="BT173" s="55"/>
      <c r="BU173" s="56"/>
      <c r="BV173" s="26"/>
      <c r="BW173" s="54"/>
      <c r="BX173" s="26"/>
      <c r="BY173" s="54"/>
      <c r="BZ173" s="55"/>
      <c r="CA173" s="56"/>
      <c r="CB173" s="26"/>
      <c r="CC173" s="54"/>
      <c r="CD173" s="26"/>
      <c r="CE173" s="54"/>
      <c r="CF173" s="55"/>
      <c r="CG173" s="56"/>
      <c r="CH173" s="26"/>
      <c r="CI173" s="54" t="s">
        <v>8145</v>
      </c>
      <c r="CJ173" s="26"/>
      <c r="CK173" s="54"/>
      <c r="CL173" s="55"/>
      <c r="CM173" s="56"/>
      <c r="CN173" s="26"/>
      <c r="CO173" s="54"/>
      <c r="CP173" s="26"/>
      <c r="CQ173" s="54"/>
      <c r="CR173" s="55"/>
      <c r="CS173" s="56"/>
      <c r="CT173" s="26"/>
      <c r="CU173" s="54"/>
      <c r="CV173" s="26"/>
      <c r="CW173" s="54"/>
      <c r="CX173" s="55"/>
      <c r="CY173" s="56"/>
      <c r="CZ173" s="26"/>
      <c r="DA173" s="54"/>
      <c r="DB173" s="26"/>
      <c r="DC173" s="54"/>
      <c r="DD173" s="55"/>
      <c r="DE173" s="56"/>
      <c r="DF173" s="26"/>
      <c r="DG173" s="54"/>
      <c r="DH173" s="26"/>
      <c r="DI173" s="54"/>
      <c r="DJ173" s="55"/>
      <c r="DK173" s="56"/>
      <c r="DL173" s="26"/>
      <c r="DM173" s="54"/>
      <c r="DN173" s="26"/>
      <c r="DO173" s="54"/>
      <c r="DP173" s="26"/>
      <c r="DQ173" s="89"/>
      <c r="DR173" s="26"/>
      <c r="DS173" s="54"/>
      <c r="DT173" s="70"/>
      <c r="DU173" s="26"/>
      <c r="DV173" s="55"/>
      <c r="DW173" s="56"/>
      <c r="DX173" s="26"/>
      <c r="DY173" s="54"/>
      <c r="DZ173" s="26"/>
      <c r="EA173" s="54"/>
      <c r="EB173" s="55"/>
      <c r="EC173" s="56"/>
      <c r="ED173" s="26"/>
      <c r="EE173" s="54"/>
      <c r="EF173" s="26"/>
      <c r="EG173" s="54"/>
      <c r="EH173" s="55"/>
      <c r="EI173" s="56"/>
      <c r="EJ173" s="26"/>
      <c r="EK173" s="54"/>
      <c r="EL173" s="26"/>
      <c r="EM173" s="54"/>
      <c r="EN173" s="55"/>
      <c r="EO173" s="56"/>
      <c r="EP173" s="26"/>
      <c r="EQ173" s="54"/>
      <c r="ER173" s="26"/>
      <c r="ES173" s="54"/>
      <c r="ET173" s="55"/>
    </row>
    <row r="174" spans="1:150" ht="20.100000000000001" hidden="1" customHeight="1" outlineLevel="1" thickBot="1">
      <c r="A174" s="3034"/>
      <c r="B174" s="3028"/>
      <c r="C174" s="1173"/>
      <c r="D174" s="2726" t="str">
        <f>実績!C1270&amp;"("&amp;SUBSTITUTE(実績!R1270&amp;")","株式会社 ","")</f>
        <v>ユニクロ羽生(環アソシエイツ)</v>
      </c>
      <c r="E174" s="2727"/>
      <c r="F174" s="2727"/>
      <c r="G174" s="2727"/>
      <c r="H174" s="2727"/>
      <c r="I174" s="2727"/>
      <c r="J174" s="2727"/>
      <c r="K174" s="2727"/>
      <c r="L174" s="2727"/>
      <c r="M174" s="2727"/>
      <c r="N174" s="2727"/>
      <c r="O174" s="2727"/>
      <c r="P174" s="2727"/>
      <c r="Q174" s="3024"/>
      <c r="R174" s="1111"/>
      <c r="S174" s="26"/>
      <c r="T174" s="26"/>
      <c r="U174" s="54"/>
      <c r="V174" s="26"/>
      <c r="W174" s="54"/>
      <c r="X174" s="55"/>
      <c r="Y174" s="26"/>
      <c r="Z174" s="26"/>
      <c r="AA174" s="54"/>
      <c r="AB174" s="26"/>
      <c r="AC174" s="54"/>
      <c r="AD174" s="26"/>
      <c r="AE174" s="56"/>
      <c r="AF174" s="26"/>
      <c r="AG174" s="54"/>
      <c r="AH174" s="26"/>
      <c r="AI174" s="54"/>
      <c r="AJ174" s="55"/>
      <c r="AK174" s="26"/>
      <c r="AL174" s="26"/>
      <c r="AM174" s="54"/>
      <c r="AN174" s="26"/>
      <c r="AO174" s="54"/>
      <c r="AP174" s="26"/>
      <c r="AQ174" s="53"/>
      <c r="AR174" s="26"/>
      <c r="AS174" s="54"/>
      <c r="AT174" s="26"/>
      <c r="AU174" s="54"/>
      <c r="AV174" s="55"/>
      <c r="AW174" s="56"/>
      <c r="AX174" s="26"/>
      <c r="AY174" s="54"/>
      <c r="AZ174" s="26"/>
      <c r="BA174" s="54"/>
      <c r="BB174" s="55"/>
      <c r="BC174" s="26"/>
      <c r="BD174" s="26"/>
      <c r="BE174" s="54"/>
      <c r="BF174" s="26"/>
      <c r="BG174" s="54"/>
      <c r="BH174" s="26"/>
      <c r="BI174" s="56"/>
      <c r="BJ174" s="26"/>
      <c r="BK174" s="54"/>
      <c r="BL174" s="26"/>
      <c r="BM174" s="54"/>
      <c r="BN174" s="55"/>
      <c r="BO174" s="56"/>
      <c r="BP174" s="26"/>
      <c r="BQ174" s="54"/>
      <c r="BR174" s="26"/>
      <c r="BS174" s="54"/>
      <c r="BT174" s="55"/>
      <c r="BU174" s="56"/>
      <c r="BV174" s="26"/>
      <c r="BW174" s="54"/>
      <c r="BX174" s="26"/>
      <c r="BY174" s="54"/>
      <c r="BZ174" s="55"/>
      <c r="CA174" s="56"/>
      <c r="CB174" s="26"/>
      <c r="CC174" s="54"/>
      <c r="CD174" s="26"/>
      <c r="CE174" s="54"/>
      <c r="CF174" s="55"/>
      <c r="CG174" s="56" t="s">
        <v>8424</v>
      </c>
      <c r="CH174" s="26"/>
      <c r="CI174" s="54"/>
      <c r="CJ174" s="26"/>
      <c r="CK174" s="54"/>
      <c r="CL174" s="55"/>
      <c r="CM174" s="56" t="s">
        <v>10284</v>
      </c>
      <c r="CN174" s="26"/>
      <c r="CO174" s="54"/>
      <c r="CP174" s="26"/>
      <c r="CQ174" s="54"/>
      <c r="CR174" s="55"/>
      <c r="CS174" s="56"/>
      <c r="CT174" s="26"/>
      <c r="CU174" s="54"/>
      <c r="CV174" s="26"/>
      <c r="CW174" s="54"/>
      <c r="CX174" s="55"/>
      <c r="CY174" s="56"/>
      <c r="CZ174" s="26"/>
      <c r="DA174" s="54"/>
      <c r="DB174" s="70"/>
      <c r="DC174" s="54"/>
      <c r="DD174" s="55"/>
      <c r="DE174" s="56"/>
      <c r="DF174" s="26"/>
      <c r="DG174" s="54"/>
      <c r="DH174" s="26"/>
      <c r="DI174" s="54"/>
      <c r="DJ174" s="116" t="s">
        <v>10285</v>
      </c>
      <c r="DK174" s="56"/>
      <c r="DL174" s="26"/>
      <c r="DM174" s="54"/>
      <c r="DN174" s="70"/>
      <c r="DO174" s="54"/>
      <c r="DP174" s="26"/>
      <c r="DQ174" s="89"/>
      <c r="DR174" s="26"/>
      <c r="DS174" s="54"/>
      <c r="DT174" s="70"/>
      <c r="DU174" s="26"/>
      <c r="DV174" s="55"/>
      <c r="DW174" s="56"/>
      <c r="DX174" s="26"/>
      <c r="DY174" s="54"/>
      <c r="DZ174" s="70"/>
      <c r="EA174" s="54"/>
      <c r="EB174" s="55"/>
      <c r="EC174" s="56"/>
      <c r="ED174" s="26"/>
      <c r="EE174" s="54"/>
      <c r="EF174" s="70"/>
      <c r="EG174" s="54"/>
      <c r="EH174" s="55"/>
      <c r="EI174" s="56"/>
      <c r="EJ174" s="26"/>
      <c r="EK174" s="54"/>
      <c r="EL174" s="70"/>
      <c r="EM174" s="54"/>
      <c r="EN174" s="55"/>
      <c r="EO174" s="56"/>
      <c r="EP174" s="26"/>
      <c r="EQ174" s="54"/>
      <c r="ER174" s="70"/>
      <c r="ES174" s="54"/>
      <c r="ET174" s="55"/>
    </row>
    <row r="175" spans="1:150" ht="20.100000000000001" hidden="1" customHeight="1" outlineLevel="1" collapsed="1" thickBot="1">
      <c r="A175" s="3034"/>
      <c r="B175" s="3028"/>
      <c r="C175" s="10"/>
    </row>
    <row r="176" spans="1:150" ht="20.100000000000001" hidden="1" customHeight="1" outlineLevel="1" thickBot="1">
      <c r="A176" s="3034"/>
      <c r="B176" s="3028"/>
      <c r="C176" s="179"/>
      <c r="D176" s="2726" t="str">
        <f>実績!C1063&amp;"("&amp;SUBSTITUTE(実績!W1063&amp;")","株式会社 ","")</f>
        <v>G-steps(荒川区PJ)(ASD共同主宰)</v>
      </c>
      <c r="E176" s="2878"/>
      <c r="F176" s="2878"/>
      <c r="G176" s="2878"/>
      <c r="H176" s="2878"/>
      <c r="I176" s="2878"/>
      <c r="J176" s="2878"/>
      <c r="K176" s="2878"/>
      <c r="L176" s="2878"/>
      <c r="M176" s="2878"/>
      <c r="N176" s="2878"/>
      <c r="O176" s="2878"/>
      <c r="P176" s="2878"/>
      <c r="Q176" s="2878"/>
      <c r="R176" s="2728"/>
      <c r="S176" s="26" t="s">
        <v>8230</v>
      </c>
      <c r="T176" s="26"/>
      <c r="U176" s="54"/>
      <c r="V176" s="26"/>
      <c r="W176" s="54"/>
      <c r="X176" s="55"/>
      <c r="Y176" s="26"/>
      <c r="Z176" s="26"/>
      <c r="AA176" s="54"/>
      <c r="AB176" s="26"/>
      <c r="AC176" s="54"/>
      <c r="AD176" s="26"/>
      <c r="AE176" s="56"/>
      <c r="AF176" s="26"/>
      <c r="AG176" s="54"/>
      <c r="AH176" s="26"/>
      <c r="AI176" s="54"/>
      <c r="AJ176" s="55"/>
      <c r="AK176" s="26"/>
      <c r="AL176" s="26"/>
      <c r="AM176" s="54"/>
      <c r="AN176" s="26"/>
      <c r="AO176" s="54"/>
      <c r="AP176" s="26"/>
      <c r="AQ176" s="53"/>
      <c r="AR176" s="70"/>
      <c r="AS176" s="54"/>
      <c r="AT176" s="26"/>
      <c r="AU176" s="54"/>
      <c r="AV176" s="55"/>
      <c r="AW176" s="56"/>
      <c r="AX176" s="26"/>
      <c r="AY176" s="54"/>
      <c r="AZ176" s="26"/>
      <c r="BA176" s="54"/>
      <c r="BB176" s="55"/>
      <c r="BC176" s="26"/>
      <c r="BD176" s="26"/>
      <c r="BE176" s="54"/>
      <c r="BF176" s="26"/>
      <c r="BG176" s="54"/>
      <c r="BH176" s="26"/>
      <c r="BI176" s="56"/>
      <c r="BJ176" s="26"/>
      <c r="BK176" s="54"/>
      <c r="BL176" s="26"/>
      <c r="BM176" s="54"/>
      <c r="BN176" s="55"/>
      <c r="BO176" s="56"/>
      <c r="BP176" s="26"/>
      <c r="BQ176" s="54"/>
      <c r="BR176" s="26"/>
      <c r="BS176" s="54"/>
      <c r="BT176" s="55"/>
      <c r="BU176" s="56"/>
      <c r="BV176" s="26"/>
      <c r="BW176" s="54"/>
      <c r="BX176" s="26"/>
      <c r="BY176" s="54"/>
      <c r="BZ176" s="55"/>
      <c r="CA176" s="56"/>
      <c r="CB176" s="26"/>
      <c r="CC176" s="54"/>
      <c r="CD176" s="70"/>
      <c r="CE176" s="54"/>
      <c r="CF176" s="55"/>
      <c r="CG176" s="56"/>
      <c r="CH176" s="26"/>
      <c r="CI176" s="54"/>
      <c r="CJ176" s="26"/>
      <c r="CK176" s="54"/>
      <c r="CL176" s="55"/>
      <c r="CM176" s="56"/>
      <c r="CN176" s="26"/>
      <c r="CO176" s="54"/>
      <c r="CP176" s="26"/>
      <c r="CQ176" s="54"/>
      <c r="CR176" s="55"/>
      <c r="CS176" s="56"/>
      <c r="CT176" s="26"/>
      <c r="CU176" s="54"/>
      <c r="CV176" s="26"/>
      <c r="CW176" s="54"/>
      <c r="CX176" s="55" t="s">
        <v>9291</v>
      </c>
      <c r="CY176" s="56"/>
      <c r="CZ176" s="26"/>
      <c r="DA176" s="54"/>
      <c r="DB176" s="26"/>
      <c r="DC176" s="54"/>
      <c r="DD176" s="55"/>
      <c r="DE176" s="56"/>
      <c r="DF176" s="26"/>
      <c r="DG176" s="54" t="s">
        <v>8145</v>
      </c>
      <c r="DH176" s="26"/>
      <c r="DI176" s="54"/>
      <c r="DJ176" s="55"/>
      <c r="DK176" s="56"/>
      <c r="DL176" s="26"/>
      <c r="DM176" s="54"/>
      <c r="DN176" s="26"/>
      <c r="DO176" s="54"/>
      <c r="DP176" s="55"/>
      <c r="DQ176" s="56"/>
      <c r="DR176" s="26"/>
      <c r="DS176" s="54"/>
      <c r="DT176" s="26"/>
      <c r="DU176" s="54"/>
      <c r="DV176" s="55"/>
      <c r="DW176" s="56"/>
      <c r="DX176" s="26"/>
      <c r="DY176" s="54"/>
      <c r="DZ176" s="26"/>
      <c r="EA176" s="54"/>
      <c r="EB176" s="55"/>
      <c r="EC176" s="56"/>
      <c r="ED176" s="26"/>
      <c r="EE176" s="54"/>
      <c r="EF176" s="26"/>
      <c r="EG176" s="54"/>
      <c r="EH176" s="55"/>
      <c r="EI176" s="56"/>
      <c r="EJ176" s="26"/>
      <c r="EK176" s="54"/>
      <c r="EL176" s="26"/>
      <c r="EM176" s="54"/>
      <c r="EN176" s="55"/>
      <c r="EO176" s="56"/>
      <c r="EP176" s="26"/>
      <c r="EQ176" s="54"/>
      <c r="ER176" s="26"/>
      <c r="ES176" s="54"/>
      <c r="ET176" s="55"/>
    </row>
    <row r="177" spans="1:150" ht="20.100000000000001" hidden="1" customHeight="1" outlineLevel="1" thickBot="1">
      <c r="A177" s="3034"/>
      <c r="B177" s="3028"/>
      <c r="C177" s="179"/>
      <c r="D177" s="2726" t="str">
        <f>実績!C1303&amp;"("&amp;SUBSTITUTE(実績!R1303&amp;")","株式会社 ","")</f>
        <v>クリエイトエス・ディ－厚木旭町(タカノ建築設計事務所)</v>
      </c>
      <c r="E177" s="2727"/>
      <c r="F177" s="2727"/>
      <c r="G177" s="2727"/>
      <c r="H177" s="2727"/>
      <c r="I177" s="2727"/>
      <c r="J177" s="2727"/>
      <c r="K177" s="2727"/>
      <c r="L177" s="2727"/>
      <c r="M177" s="2727"/>
      <c r="N177" s="2727"/>
      <c r="O177" s="2727"/>
      <c r="P177" s="2727"/>
      <c r="Q177" s="2727"/>
      <c r="R177" s="2989"/>
      <c r="S177" s="26"/>
      <c r="T177" s="26"/>
      <c r="U177" s="54"/>
      <c r="V177" s="26"/>
      <c r="W177" s="54"/>
      <c r="X177" s="55"/>
      <c r="Y177" s="26"/>
      <c r="Z177" s="26"/>
      <c r="AA177" s="54"/>
      <c r="AB177" s="26"/>
      <c r="AC177" s="54"/>
      <c r="AD177" s="26"/>
      <c r="AE177" s="56"/>
      <c r="AF177" s="26"/>
      <c r="AG177" s="54"/>
      <c r="AH177" s="26"/>
      <c r="AI177" s="54"/>
      <c r="AJ177" s="55"/>
      <c r="AK177" s="26"/>
      <c r="AL177" s="26"/>
      <c r="AM177" s="54"/>
      <c r="AN177" s="26"/>
      <c r="AO177" s="54"/>
      <c r="AP177" s="26"/>
      <c r="AQ177" s="53"/>
      <c r="AR177" s="26"/>
      <c r="AS177" s="54"/>
      <c r="AT177" s="26"/>
      <c r="AU177" s="54"/>
      <c r="AV177" s="55"/>
      <c r="AW177" s="56"/>
      <c r="AX177" s="26"/>
      <c r="AY177" s="54"/>
      <c r="AZ177" s="26"/>
      <c r="BA177" s="54"/>
      <c r="BB177" s="55"/>
      <c r="BC177" s="26"/>
      <c r="BD177" s="26"/>
      <c r="BE177" s="54"/>
      <c r="BF177" s="26"/>
      <c r="BG177" s="54"/>
      <c r="BH177" s="26"/>
      <c r="BI177" s="56"/>
      <c r="BJ177" s="26"/>
      <c r="BK177" s="54"/>
      <c r="BL177" s="26"/>
      <c r="BM177" s="54"/>
      <c r="BN177" s="55"/>
      <c r="BO177" s="56"/>
      <c r="BP177" s="26"/>
      <c r="BQ177" s="54"/>
      <c r="BR177" s="70"/>
      <c r="BS177" s="54"/>
      <c r="BT177" s="55"/>
      <c r="BU177" s="56"/>
      <c r="BV177" s="26"/>
      <c r="BW177" s="54"/>
      <c r="BX177" s="26"/>
      <c r="BY177" s="54"/>
      <c r="BZ177" s="55"/>
      <c r="CA177" s="56"/>
      <c r="CB177" s="26"/>
      <c r="CC177" s="54"/>
      <c r="CD177" s="26"/>
      <c r="CE177" s="54"/>
      <c r="CF177" s="55"/>
      <c r="CG177" s="56"/>
      <c r="CH177" s="26"/>
      <c r="CI177" s="54"/>
      <c r="CJ177" s="26"/>
      <c r="CK177" s="54"/>
      <c r="CL177" s="55"/>
      <c r="CM177" s="56"/>
      <c r="CN177" s="26"/>
      <c r="CO177" s="54"/>
      <c r="CP177" s="118"/>
      <c r="CQ177" s="54"/>
      <c r="CR177" s="55"/>
      <c r="CS177" s="56"/>
      <c r="CT177" s="26"/>
      <c r="CU177" s="54"/>
      <c r="CV177" s="26"/>
      <c r="CW177" s="54"/>
      <c r="CX177" s="55"/>
      <c r="CY177" s="56"/>
      <c r="CZ177" s="26" t="s">
        <v>8250</v>
      </c>
      <c r="DA177" s="54"/>
      <c r="DB177" s="26"/>
      <c r="DC177" s="54"/>
      <c r="DD177" s="55"/>
      <c r="DE177" s="56"/>
      <c r="DF177" s="26"/>
      <c r="DG177" s="54"/>
      <c r="DH177" s="26"/>
      <c r="DI177" s="54"/>
      <c r="DJ177" s="55"/>
      <c r="DK177" s="56"/>
      <c r="DL177" s="26"/>
      <c r="DM177" s="54"/>
      <c r="DN177" s="26"/>
      <c r="DO177" s="54"/>
      <c r="DP177" s="26"/>
      <c r="DQ177" s="89"/>
      <c r="DR177" s="26"/>
      <c r="DS177" s="54"/>
      <c r="DT177" s="70"/>
      <c r="DU177" s="26"/>
      <c r="DV177" s="55"/>
      <c r="DW177" s="56" t="s">
        <v>8145</v>
      </c>
      <c r="DX177" s="26"/>
      <c r="DY177" s="54"/>
      <c r="DZ177" s="26"/>
      <c r="EA177" s="54"/>
      <c r="EB177" s="55"/>
      <c r="EC177" s="56"/>
      <c r="ED177" s="26"/>
      <c r="EE177" s="54"/>
      <c r="EF177" s="26"/>
      <c r="EG177" s="54"/>
      <c r="EH177" s="55"/>
      <c r="EI177" s="56"/>
      <c r="EJ177" s="26"/>
      <c r="EK177" s="54"/>
      <c r="EL177" s="26"/>
      <c r="EM177" s="54"/>
      <c r="EN177" s="55"/>
      <c r="EO177" s="56"/>
      <c r="EP177" s="26"/>
      <c r="EQ177" s="54"/>
      <c r="ER177" s="26"/>
      <c r="ES177" s="54"/>
      <c r="ET177" s="55"/>
    </row>
    <row r="178" spans="1:150" ht="20.100000000000001" hidden="1" customHeight="1" outlineLevel="1" collapsed="1" thickBot="1">
      <c r="A178" s="3034"/>
      <c r="B178" s="3028"/>
      <c r="C178" s="179" t="s">
        <v>10067</v>
      </c>
      <c r="D178" s="2726" t="str">
        <f>実績!C1308&amp;"("&amp;SUBSTITUTE(実績!R1308&amp;")","株式会社 ","")</f>
        <v>ヤマト運輸株式会社 秋田広面センター(コア設計事務所)</v>
      </c>
      <c r="E178" s="2727"/>
      <c r="F178" s="2727"/>
      <c r="G178" s="2727"/>
      <c r="H178" s="2727"/>
      <c r="I178" s="2727"/>
      <c r="J178" s="2727"/>
      <c r="K178" s="2727"/>
      <c r="L178" s="2727"/>
      <c r="M178" s="2727"/>
      <c r="N178" s="2727"/>
      <c r="O178" s="2727"/>
      <c r="P178" s="2727"/>
      <c r="Q178" s="2727"/>
      <c r="R178" s="2728"/>
      <c r="S178" s="26"/>
      <c r="T178" s="26"/>
      <c r="U178" s="54"/>
      <c r="V178" s="26"/>
      <c r="W178" s="54"/>
      <c r="X178" s="55"/>
      <c r="Y178" s="26"/>
      <c r="Z178" s="26"/>
      <c r="AA178" s="54"/>
      <c r="AB178" s="26"/>
      <c r="AC178" s="54"/>
      <c r="AD178" s="26"/>
      <c r="AE178" s="56"/>
      <c r="AF178" s="26"/>
      <c r="AG178" s="54"/>
      <c r="AH178" s="26"/>
      <c r="AI178" s="54"/>
      <c r="AJ178" s="55"/>
      <c r="AK178" s="26"/>
      <c r="AL178" s="26"/>
      <c r="AM178" s="54"/>
      <c r="AN178" s="26"/>
      <c r="AO178" s="54"/>
      <c r="AP178" s="26"/>
      <c r="AQ178" s="53"/>
      <c r="AR178" s="26"/>
      <c r="AS178" s="54"/>
      <c r="AT178" s="26"/>
      <c r="AU178" s="54"/>
      <c r="AV178" s="55"/>
      <c r="AW178" s="56"/>
      <c r="AX178" s="26"/>
      <c r="AY178" s="54"/>
      <c r="AZ178" s="26"/>
      <c r="BA178" s="54"/>
      <c r="BB178" s="55"/>
      <c r="BC178" s="26"/>
      <c r="BD178" s="26"/>
      <c r="BE178" s="54"/>
      <c r="BF178" s="26"/>
      <c r="BG178" s="54"/>
      <c r="BH178" s="26"/>
      <c r="BI178" s="56"/>
      <c r="BJ178" s="26"/>
      <c r="BK178" s="54"/>
      <c r="BL178" s="26"/>
      <c r="BM178" s="54"/>
      <c r="BN178" s="55"/>
      <c r="BO178" s="56"/>
      <c r="BP178" s="26"/>
      <c r="BQ178" s="54"/>
      <c r="BR178" s="70"/>
      <c r="BS178" s="54"/>
      <c r="BT178" s="55"/>
      <c r="BU178" s="56"/>
      <c r="BV178" s="26"/>
      <c r="BW178" s="54"/>
      <c r="BX178" s="26"/>
      <c r="BY178" s="54"/>
      <c r="BZ178" s="55"/>
      <c r="CA178" s="56"/>
      <c r="CB178" s="26"/>
      <c r="CC178" s="54"/>
      <c r="CD178" s="26"/>
      <c r="CE178" s="54"/>
      <c r="CF178" s="55"/>
      <c r="CG178" s="56"/>
      <c r="CH178" s="26"/>
      <c r="CI178" s="54"/>
      <c r="CJ178" s="26"/>
      <c r="CK178" s="54"/>
      <c r="CL178" s="55"/>
      <c r="CM178" s="56"/>
      <c r="CN178" s="26"/>
      <c r="CO178" s="54"/>
      <c r="CP178" s="118"/>
      <c r="CQ178" s="54"/>
      <c r="CR178" s="55"/>
      <c r="CS178" s="56"/>
      <c r="CT178" s="26"/>
      <c r="CU178" s="54"/>
      <c r="CV178" s="26"/>
      <c r="CW178" s="54"/>
      <c r="CX178" s="55"/>
      <c r="CY178" s="56"/>
      <c r="CZ178" s="26"/>
      <c r="DA178" s="54"/>
      <c r="DB178" s="26"/>
      <c r="DC178" s="54" t="s">
        <v>8250</v>
      </c>
      <c r="DD178" s="55"/>
      <c r="DE178" s="56"/>
      <c r="DF178" s="26"/>
      <c r="DG178" s="54"/>
      <c r="DH178" s="26"/>
      <c r="DI178" s="54" t="s">
        <v>10399</v>
      </c>
      <c r="DJ178" s="55"/>
      <c r="DK178" s="56" t="s">
        <v>8145</v>
      </c>
      <c r="DL178" s="26"/>
      <c r="DM178" s="54"/>
      <c r="DN178" s="26"/>
      <c r="DO178" s="54"/>
      <c r="DP178" s="55"/>
      <c r="DQ178" s="56"/>
      <c r="DR178" s="26"/>
      <c r="DS178" s="54"/>
      <c r="DT178" s="26"/>
      <c r="DU178" s="54"/>
      <c r="DV178" s="116"/>
      <c r="DW178" s="56"/>
      <c r="DX178" s="26"/>
      <c r="DY178" s="54"/>
      <c r="DZ178" s="26"/>
      <c r="EA178" s="54"/>
      <c r="EB178" s="116" t="s">
        <v>10926</v>
      </c>
      <c r="EC178" s="56"/>
      <c r="ED178" s="26"/>
      <c r="EE178" s="54"/>
      <c r="EF178" s="26"/>
      <c r="EG178" s="54"/>
      <c r="EH178" s="116"/>
      <c r="EI178" s="56"/>
      <c r="EJ178" s="26"/>
      <c r="EK178" s="54"/>
      <c r="EL178" s="26"/>
      <c r="EM178" s="54"/>
      <c r="EN178" s="116"/>
      <c r="EO178" s="56"/>
      <c r="EP178" s="26"/>
      <c r="EQ178" s="54"/>
      <c r="ER178" s="26"/>
      <c r="ES178" s="54"/>
      <c r="ET178" s="116"/>
    </row>
    <row r="179" spans="1:150" ht="20.100000000000001" hidden="1" customHeight="1" outlineLevel="1" collapsed="1" thickBot="1">
      <c r="A179" s="3034"/>
      <c r="B179" s="3028"/>
      <c r="C179" s="179"/>
      <c r="D179" s="2726" t="str">
        <f>実績!C1305&amp;"("&amp;SUBSTITUTE(実績!R1305&amp;")","株式会社 ","")</f>
        <v>日立建機(株)土浦工場事務所管理棟(日立建設設計)</v>
      </c>
      <c r="E179" s="2727"/>
      <c r="F179" s="2727"/>
      <c r="G179" s="2727"/>
      <c r="H179" s="2727"/>
      <c r="I179" s="2727"/>
      <c r="J179" s="2727"/>
      <c r="K179" s="2727"/>
      <c r="L179" s="2727"/>
      <c r="M179" s="2727"/>
      <c r="N179" s="2727"/>
      <c r="O179" s="2727"/>
      <c r="P179" s="2727"/>
      <c r="Q179" s="2727"/>
      <c r="R179" s="2989"/>
      <c r="S179" s="26"/>
      <c r="T179" s="26"/>
      <c r="U179" s="54"/>
      <c r="V179" s="26"/>
      <c r="W179" s="54"/>
      <c r="X179" s="55"/>
      <c r="Y179" s="26"/>
      <c r="Z179" s="26"/>
      <c r="AA179" s="54"/>
      <c r="AB179" s="26"/>
      <c r="AC179" s="54"/>
      <c r="AD179" s="26"/>
      <c r="AE179" s="56"/>
      <c r="AF179" s="26"/>
      <c r="AG179" s="54"/>
      <c r="AH179" s="26"/>
      <c r="AI179" s="54"/>
      <c r="AJ179" s="55"/>
      <c r="AK179" s="26"/>
      <c r="AL179" s="26"/>
      <c r="AM179" s="54"/>
      <c r="AN179" s="26"/>
      <c r="AO179" s="54"/>
      <c r="AP179" s="26"/>
      <c r="AQ179" s="53"/>
      <c r="AR179" s="26"/>
      <c r="AS179" s="54"/>
      <c r="AT179" s="26"/>
      <c r="AU179" s="54"/>
      <c r="AV179" s="55"/>
      <c r="AW179" s="56"/>
      <c r="AX179" s="26"/>
      <c r="AY179" s="54"/>
      <c r="AZ179" s="26"/>
      <c r="BA179" s="54"/>
      <c r="BB179" s="55"/>
      <c r="BC179" s="26"/>
      <c r="BD179" s="26"/>
      <c r="BE179" s="54"/>
      <c r="BF179" s="26"/>
      <c r="BG179" s="54"/>
      <c r="BH179" s="26"/>
      <c r="BI179" s="56"/>
      <c r="BJ179" s="26"/>
      <c r="BK179" s="54"/>
      <c r="BL179" s="26"/>
      <c r="BM179" s="54"/>
      <c r="BN179" s="55"/>
      <c r="BO179" s="56"/>
      <c r="BP179" s="26"/>
      <c r="BQ179" s="54"/>
      <c r="BR179" s="70"/>
      <c r="BS179" s="54"/>
      <c r="BT179" s="55"/>
      <c r="BU179" s="56"/>
      <c r="BV179" s="26"/>
      <c r="BW179" s="54"/>
      <c r="BX179" s="26"/>
      <c r="BY179" s="54"/>
      <c r="BZ179" s="55"/>
      <c r="CA179" s="56"/>
      <c r="CB179" s="26"/>
      <c r="CC179" s="54"/>
      <c r="CD179" s="26"/>
      <c r="CE179" s="54"/>
      <c r="CF179" s="55"/>
      <c r="CG179" s="56"/>
      <c r="CH179" s="26"/>
      <c r="CI179" s="54"/>
      <c r="CJ179" s="26"/>
      <c r="CK179" s="54"/>
      <c r="CL179" s="55"/>
      <c r="CM179" s="56"/>
      <c r="CN179" s="26"/>
      <c r="CO179" s="54"/>
      <c r="CP179" s="118"/>
      <c r="CQ179" s="54"/>
      <c r="CR179" s="55"/>
      <c r="CS179" s="56"/>
      <c r="CT179" s="26"/>
      <c r="CU179" s="54"/>
      <c r="CV179" s="26"/>
      <c r="CW179" s="54"/>
      <c r="CX179" s="55"/>
      <c r="CY179" s="56"/>
      <c r="CZ179" s="26"/>
      <c r="DA179" s="54"/>
      <c r="DB179" s="26"/>
      <c r="DC179" s="54"/>
      <c r="DD179" s="55"/>
      <c r="DE179" s="56"/>
      <c r="DF179" s="26"/>
      <c r="DG179" s="54"/>
      <c r="DH179" s="26"/>
      <c r="DI179" s="54"/>
      <c r="DJ179" s="55"/>
      <c r="DK179" s="56"/>
      <c r="DL179" s="26"/>
      <c r="DM179" s="54"/>
      <c r="DN179" s="26" t="s">
        <v>8145</v>
      </c>
      <c r="DO179" s="54"/>
      <c r="DP179" s="55"/>
      <c r="DQ179" s="56"/>
      <c r="DR179" s="26"/>
      <c r="DS179" s="54"/>
      <c r="DT179" s="26"/>
      <c r="DU179" s="54"/>
      <c r="DV179" s="55"/>
      <c r="DW179" s="56"/>
      <c r="DX179" s="26"/>
      <c r="DY179" s="54"/>
      <c r="DZ179" s="26"/>
      <c r="EA179" s="54"/>
      <c r="EB179" s="55"/>
      <c r="EC179" s="56"/>
      <c r="ED179" s="26"/>
      <c r="EE179" s="54"/>
      <c r="EF179" s="26"/>
      <c r="EG179" s="54"/>
      <c r="EH179" s="55"/>
      <c r="EI179" s="56"/>
      <c r="EJ179" s="26"/>
      <c r="EK179" s="54"/>
      <c r="EL179" s="26"/>
      <c r="EM179" s="54"/>
      <c r="EN179" s="55"/>
      <c r="EO179" s="56"/>
      <c r="EP179" s="26"/>
      <c r="EQ179" s="54"/>
      <c r="ER179" s="26"/>
      <c r="ES179" s="54"/>
      <c r="ET179" s="55"/>
    </row>
    <row r="180" spans="1:150" ht="20.100000000000001" hidden="1" customHeight="1" outlineLevel="1" thickBot="1">
      <c r="A180" s="3034"/>
      <c r="B180" s="3028"/>
      <c r="C180" s="179"/>
      <c r="D180" s="2726" t="str">
        <f>実績!C1310&amp;"("&amp;SUBSTITUTE(実績!R1310&amp;")","株式会社 ","")</f>
        <v>山陽海運株式会社 倉庫棟(大之木建設 株式会社)</v>
      </c>
      <c r="E180" s="2727"/>
      <c r="F180" s="2727"/>
      <c r="G180" s="2727"/>
      <c r="H180" s="2727"/>
      <c r="I180" s="2727"/>
      <c r="J180" s="2727"/>
      <c r="K180" s="2727"/>
      <c r="L180" s="2727"/>
      <c r="M180" s="2727"/>
      <c r="N180" s="2727"/>
      <c r="O180" s="2727"/>
      <c r="P180" s="2727"/>
      <c r="Q180" s="2727"/>
      <c r="R180" s="2728"/>
      <c r="S180" s="26"/>
      <c r="T180" s="26"/>
      <c r="U180" s="54"/>
      <c r="V180" s="26"/>
      <c r="W180" s="54"/>
      <c r="X180" s="55"/>
      <c r="Y180" s="26"/>
      <c r="Z180" s="26"/>
      <c r="AA180" s="54"/>
      <c r="AB180" s="26"/>
      <c r="AC180" s="54"/>
      <c r="AD180" s="26"/>
      <c r="AE180" s="56"/>
      <c r="AF180" s="26"/>
      <c r="AG180" s="54"/>
      <c r="AH180" s="26"/>
      <c r="AI180" s="54"/>
      <c r="AJ180" s="55"/>
      <c r="AK180" s="26"/>
      <c r="AL180" s="26"/>
      <c r="AM180" s="54"/>
      <c r="AN180" s="26"/>
      <c r="AO180" s="54"/>
      <c r="AP180" s="26"/>
      <c r="AQ180" s="53"/>
      <c r="AR180" s="26"/>
      <c r="AS180" s="54"/>
      <c r="AT180" s="26"/>
      <c r="AU180" s="54"/>
      <c r="AV180" s="55"/>
      <c r="AW180" s="56"/>
      <c r="AX180" s="26"/>
      <c r="AY180" s="54"/>
      <c r="AZ180" s="26"/>
      <c r="BA180" s="54"/>
      <c r="BB180" s="55"/>
      <c r="BC180" s="26"/>
      <c r="BD180" s="26"/>
      <c r="BE180" s="54"/>
      <c r="BF180" s="26"/>
      <c r="BG180" s="54"/>
      <c r="BH180" s="26"/>
      <c r="BI180" s="56"/>
      <c r="BJ180" s="26"/>
      <c r="BK180" s="54"/>
      <c r="BL180" s="26"/>
      <c r="BM180" s="54"/>
      <c r="BN180" s="55"/>
      <c r="BO180" s="56"/>
      <c r="BP180" s="26"/>
      <c r="BQ180" s="54"/>
      <c r="BR180" s="70"/>
      <c r="BS180" s="54"/>
      <c r="BT180" s="55"/>
      <c r="BU180" s="56"/>
      <c r="BV180" s="26"/>
      <c r="BW180" s="54"/>
      <c r="BX180" s="26"/>
      <c r="BY180" s="54"/>
      <c r="BZ180" s="55"/>
      <c r="CA180" s="56"/>
      <c r="CB180" s="26"/>
      <c r="CC180" s="54"/>
      <c r="CD180" s="26"/>
      <c r="CE180" s="54"/>
      <c r="CF180" s="55"/>
      <c r="CG180" s="56"/>
      <c r="CH180" s="26"/>
      <c r="CI180" s="54"/>
      <c r="CJ180" s="26"/>
      <c r="CK180" s="54"/>
      <c r="CL180" s="55"/>
      <c r="CM180" s="56"/>
      <c r="CN180" s="26"/>
      <c r="CO180" s="54"/>
      <c r="CP180" s="118"/>
      <c r="CQ180" s="54"/>
      <c r="CR180" s="55"/>
      <c r="CS180" s="56"/>
      <c r="CT180" s="26"/>
      <c r="CU180" s="54"/>
      <c r="CV180" s="26"/>
      <c r="CW180" s="54"/>
      <c r="CX180" s="55"/>
      <c r="CY180" s="56"/>
      <c r="CZ180" s="26"/>
      <c r="DA180" s="54" t="s">
        <v>8250</v>
      </c>
      <c r="DB180" s="26"/>
      <c r="DC180" s="54"/>
      <c r="DD180" s="55"/>
      <c r="DE180" s="56"/>
      <c r="DF180" s="26"/>
      <c r="DG180" s="54"/>
      <c r="DH180" s="26"/>
      <c r="DI180" s="54"/>
      <c r="DJ180" s="55"/>
      <c r="DK180" s="56" t="s">
        <v>8145</v>
      </c>
      <c r="DL180" s="26"/>
      <c r="DM180" s="54"/>
      <c r="DN180" s="26"/>
      <c r="DO180" s="54"/>
      <c r="DP180" s="55"/>
      <c r="DQ180" s="56"/>
      <c r="DR180" s="26"/>
      <c r="DS180" s="54"/>
      <c r="DT180" s="26"/>
      <c r="DU180" s="54"/>
      <c r="DV180" s="55"/>
      <c r="DW180" s="56"/>
      <c r="DX180" s="26"/>
      <c r="DY180" s="54"/>
      <c r="DZ180" s="26"/>
      <c r="EA180" s="54"/>
      <c r="EB180" s="55"/>
      <c r="EC180" s="56"/>
      <c r="ED180" s="26"/>
      <c r="EE180" s="54"/>
      <c r="EF180" s="26"/>
      <c r="EG180" s="54"/>
      <c r="EH180" s="55"/>
      <c r="EI180" s="26"/>
      <c r="EJ180" s="26"/>
      <c r="EK180" s="54"/>
      <c r="EL180" s="26"/>
      <c r="EM180" s="54"/>
      <c r="EN180" s="116"/>
      <c r="EO180" s="26"/>
      <c r="EP180" s="26"/>
      <c r="EQ180" s="54"/>
      <c r="ER180" s="26"/>
      <c r="ES180" s="54"/>
      <c r="ET180" s="116"/>
    </row>
    <row r="181" spans="1:150" ht="20.100000000000001" hidden="1" customHeight="1" outlineLevel="1" thickBot="1">
      <c r="A181" s="3034"/>
      <c r="B181" s="3028"/>
      <c r="C181" s="179"/>
      <c r="D181" s="2726" t="str">
        <f>実績!C1306&amp;"("&amp;SUBSTITUTE(実績!R1306&amp;")"," 株式会社","")</f>
        <v>小名浜港東港地区石炭ターミナル(常磐開発)</v>
      </c>
      <c r="E181" s="2727"/>
      <c r="F181" s="2727"/>
      <c r="G181" s="2727"/>
      <c r="H181" s="2727"/>
      <c r="I181" s="2727"/>
      <c r="J181" s="2727"/>
      <c r="K181" s="2727"/>
      <c r="L181" s="2727"/>
      <c r="M181" s="2727"/>
      <c r="N181" s="2727"/>
      <c r="O181" s="2727"/>
      <c r="P181" s="2727"/>
      <c r="Q181" s="2727"/>
      <c r="R181" s="2989"/>
      <c r="S181" s="26"/>
      <c r="T181" s="26"/>
      <c r="U181" s="54"/>
      <c r="V181" s="26"/>
      <c r="W181" s="54"/>
      <c r="X181" s="55"/>
      <c r="Y181" s="26"/>
      <c r="Z181" s="26"/>
      <c r="AA181" s="54"/>
      <c r="AB181" s="26"/>
      <c r="AC181" s="54"/>
      <c r="AD181" s="26"/>
      <c r="AE181" s="56"/>
      <c r="AF181" s="26"/>
      <c r="AG181" s="54"/>
      <c r="AH181" s="26"/>
      <c r="AI181" s="54"/>
      <c r="AJ181" s="55"/>
      <c r="AK181" s="26"/>
      <c r="AL181" s="26"/>
      <c r="AM181" s="54"/>
      <c r="AN181" s="26"/>
      <c r="AO181" s="54"/>
      <c r="AP181" s="26"/>
      <c r="AQ181" s="53"/>
      <c r="AR181" s="26"/>
      <c r="AS181" s="54"/>
      <c r="AT181" s="26"/>
      <c r="AU181" s="54"/>
      <c r="AV181" s="55"/>
      <c r="AW181" s="56"/>
      <c r="AX181" s="26"/>
      <c r="AY181" s="54"/>
      <c r="AZ181" s="26"/>
      <c r="BA181" s="54"/>
      <c r="BB181" s="55"/>
      <c r="BC181" s="26"/>
      <c r="BD181" s="26"/>
      <c r="BE181" s="54"/>
      <c r="BF181" s="26"/>
      <c r="BG181" s="54"/>
      <c r="BH181" s="26"/>
      <c r="BI181" s="56"/>
      <c r="BJ181" s="26"/>
      <c r="BK181" s="54"/>
      <c r="BL181" s="26"/>
      <c r="BM181" s="54"/>
      <c r="BN181" s="55"/>
      <c r="BO181" s="56"/>
      <c r="BP181" s="26"/>
      <c r="BQ181" s="54"/>
      <c r="BR181" s="70"/>
      <c r="BS181" s="54"/>
      <c r="BT181" s="55"/>
      <c r="BU181" s="56"/>
      <c r="BV181" s="26"/>
      <c r="BW181" s="54"/>
      <c r="BX181" s="26"/>
      <c r="BY181" s="54"/>
      <c r="BZ181" s="55"/>
      <c r="CA181" s="56"/>
      <c r="CB181" s="26"/>
      <c r="CC181" s="54"/>
      <c r="CD181" s="26"/>
      <c r="CE181" s="54"/>
      <c r="CF181" s="55"/>
      <c r="CG181" s="56"/>
      <c r="CH181" s="26"/>
      <c r="CI181" s="54"/>
      <c r="CJ181" s="26"/>
      <c r="CK181" s="54"/>
      <c r="CL181" s="55"/>
      <c r="CM181" s="56"/>
      <c r="CN181" s="26"/>
      <c r="CO181" s="54"/>
      <c r="CP181" s="118"/>
      <c r="CQ181" s="54"/>
      <c r="CR181" s="55"/>
      <c r="CS181" s="56"/>
      <c r="CT181" s="26"/>
      <c r="CU181" s="54"/>
      <c r="CV181" s="26"/>
      <c r="CW181" s="54"/>
      <c r="CX181" s="55"/>
      <c r="CY181" s="56"/>
      <c r="CZ181" s="26"/>
      <c r="DA181" s="54"/>
      <c r="DB181" s="26" t="s">
        <v>8250</v>
      </c>
      <c r="DC181" s="54"/>
      <c r="DD181" s="116"/>
      <c r="DE181" s="56"/>
      <c r="DF181" s="26"/>
      <c r="DG181" s="54"/>
      <c r="DH181" s="26"/>
      <c r="DI181" s="54"/>
      <c r="DJ181" s="55"/>
      <c r="DK181" s="56"/>
      <c r="DL181" s="26"/>
      <c r="DM181" s="54"/>
      <c r="DN181" s="26"/>
      <c r="DO181" s="54"/>
      <c r="DP181" s="55"/>
      <c r="DQ181" s="56"/>
      <c r="DR181" s="26"/>
      <c r="DS181" s="54"/>
      <c r="DT181" s="26"/>
      <c r="DU181" s="54"/>
      <c r="DV181" s="55"/>
      <c r="DW181" s="56"/>
      <c r="DX181" s="26"/>
      <c r="DY181" s="54"/>
      <c r="DZ181" s="26"/>
      <c r="EA181" s="54"/>
      <c r="EB181" s="55"/>
      <c r="EC181" s="56"/>
      <c r="ED181" s="26"/>
      <c r="EE181" s="54"/>
      <c r="EF181" s="26"/>
      <c r="EG181" s="54"/>
      <c r="EH181" s="55"/>
      <c r="EI181" s="56"/>
      <c r="EJ181" s="26"/>
      <c r="EK181" s="54"/>
      <c r="EL181" s="26"/>
      <c r="EM181" s="54"/>
      <c r="EN181" s="116"/>
      <c r="EO181" s="56" t="s">
        <v>11036</v>
      </c>
      <c r="EP181" s="26"/>
      <c r="EQ181" s="54"/>
      <c r="ER181" s="26"/>
      <c r="ES181" s="54"/>
      <c r="ET181" s="116"/>
    </row>
    <row r="182" spans="1:150" ht="20.100000000000001" hidden="1" customHeight="1" outlineLevel="1" collapsed="1" thickBot="1">
      <c r="A182" s="3034"/>
      <c r="B182" s="3028"/>
      <c r="C182" s="10"/>
    </row>
    <row r="183" spans="1:150" ht="20.100000000000001" hidden="1" customHeight="1" outlineLevel="1" thickBot="1">
      <c r="A183" s="3034"/>
      <c r="B183" s="3028"/>
      <c r="C183" s="179"/>
      <c r="D183" s="2726" t="str">
        <f>実績!C1312&amp;"("&amp;SUBSTITUTE(実績!R1312&amp;")"," 株式会社","")</f>
        <v>ホリコーポレーション倉庫増築(赤谷建築設計事務所)</v>
      </c>
      <c r="E183" s="2727"/>
      <c r="F183" s="2727"/>
      <c r="G183" s="2727"/>
      <c r="H183" s="2727"/>
      <c r="I183" s="2727"/>
      <c r="J183" s="2727"/>
      <c r="K183" s="2727"/>
      <c r="L183" s="2727"/>
      <c r="M183" s="2727"/>
      <c r="N183" s="2727"/>
      <c r="O183" s="2727"/>
      <c r="P183" s="2727"/>
      <c r="Q183" s="2727"/>
      <c r="R183" s="2728"/>
      <c r="S183" s="26"/>
      <c r="T183" s="26"/>
      <c r="U183" s="54"/>
      <c r="V183" s="26"/>
      <c r="W183" s="54"/>
      <c r="X183" s="55"/>
      <c r="Y183" s="26"/>
      <c r="Z183" s="26"/>
      <c r="AA183" s="54"/>
      <c r="AB183" s="26"/>
      <c r="AC183" s="54"/>
      <c r="AD183" s="26"/>
      <c r="AE183" s="56"/>
      <c r="AF183" s="26"/>
      <c r="AG183" s="54"/>
      <c r="AH183" s="26"/>
      <c r="AI183" s="54"/>
      <c r="AJ183" s="55"/>
      <c r="AK183" s="26"/>
      <c r="AL183" s="26"/>
      <c r="AM183" s="54"/>
      <c r="AN183" s="26"/>
      <c r="AO183" s="54"/>
      <c r="AP183" s="26"/>
      <c r="AQ183" s="53"/>
      <c r="AR183" s="26"/>
      <c r="AS183" s="54"/>
      <c r="AT183" s="26"/>
      <c r="AU183" s="54"/>
      <c r="AV183" s="55"/>
      <c r="AW183" s="56"/>
      <c r="AX183" s="26"/>
      <c r="AY183" s="54"/>
      <c r="AZ183" s="26"/>
      <c r="BA183" s="54"/>
      <c r="BB183" s="55"/>
      <c r="BC183" s="26"/>
      <c r="BD183" s="26"/>
      <c r="BE183" s="54"/>
      <c r="BF183" s="26"/>
      <c r="BG183" s="54"/>
      <c r="BH183" s="26"/>
      <c r="BI183" s="56"/>
      <c r="BJ183" s="26"/>
      <c r="BK183" s="54"/>
      <c r="BL183" s="26"/>
      <c r="BM183" s="54"/>
      <c r="BN183" s="55"/>
      <c r="BO183" s="56"/>
      <c r="BP183" s="26"/>
      <c r="BQ183" s="54"/>
      <c r="BR183" s="70"/>
      <c r="BS183" s="54"/>
      <c r="BT183" s="55"/>
      <c r="BU183" s="56"/>
      <c r="BV183" s="26"/>
      <c r="BW183" s="54"/>
      <c r="BX183" s="26"/>
      <c r="BY183" s="54"/>
      <c r="BZ183" s="55"/>
      <c r="CA183" s="56"/>
      <c r="CB183" s="26"/>
      <c r="CC183" s="54"/>
      <c r="CD183" s="26"/>
      <c r="CE183" s="54"/>
      <c r="CF183" s="55"/>
      <c r="CG183" s="56"/>
      <c r="CH183" s="26"/>
      <c r="CI183" s="54"/>
      <c r="CJ183" s="26"/>
      <c r="CK183" s="54"/>
      <c r="CL183" s="55"/>
      <c r="CM183" s="56"/>
      <c r="CN183" s="26"/>
      <c r="CO183" s="54"/>
      <c r="CP183" s="118"/>
      <c r="CQ183" s="54"/>
      <c r="CR183" s="55"/>
      <c r="CS183" s="56"/>
      <c r="CT183" s="26"/>
      <c r="CU183" s="54"/>
      <c r="CV183" s="26"/>
      <c r="CW183" s="54"/>
      <c r="CX183" s="55"/>
      <c r="CY183" s="56"/>
      <c r="CZ183" s="26"/>
      <c r="DA183" s="54"/>
      <c r="DB183" s="26"/>
      <c r="DC183" s="54" t="s">
        <v>8250</v>
      </c>
      <c r="DD183" s="55"/>
      <c r="DE183" s="56"/>
      <c r="DF183" s="26"/>
      <c r="DG183" s="54"/>
      <c r="DH183" s="26"/>
      <c r="DI183" s="54"/>
      <c r="DJ183" s="55"/>
      <c r="DK183" s="56"/>
      <c r="DL183" s="26"/>
      <c r="DM183" s="54"/>
      <c r="DN183" s="26" t="s">
        <v>8145</v>
      </c>
      <c r="DO183" s="54"/>
      <c r="DP183" s="55"/>
      <c r="DQ183" s="56"/>
      <c r="DR183" s="26"/>
      <c r="DS183" s="54"/>
      <c r="DT183" s="26"/>
      <c r="DU183" s="54"/>
      <c r="DV183" s="116"/>
      <c r="DW183" s="56"/>
      <c r="DX183" s="26"/>
      <c r="DY183" s="54"/>
      <c r="DZ183" s="26"/>
      <c r="EA183" s="54"/>
      <c r="EB183" s="116"/>
      <c r="EC183" s="56"/>
      <c r="ED183" s="26"/>
      <c r="EE183" s="54"/>
      <c r="EF183" s="26"/>
      <c r="EG183" s="54"/>
      <c r="EH183" s="116"/>
      <c r="EI183" s="56"/>
      <c r="EJ183" s="26"/>
      <c r="EK183" s="54"/>
      <c r="EL183" s="26"/>
      <c r="EM183" s="54"/>
      <c r="EN183" s="116" t="s">
        <v>10653</v>
      </c>
      <c r="EO183" s="56"/>
      <c r="EP183" s="26"/>
      <c r="EQ183" s="54"/>
      <c r="ER183" s="26"/>
      <c r="ES183" s="54"/>
      <c r="ET183" s="116"/>
    </row>
    <row r="184" spans="1:150" ht="20.100000000000001" hidden="1" customHeight="1" outlineLevel="1" collapsed="1" thickBot="1">
      <c r="A184" s="3034"/>
      <c r="B184" s="3028"/>
      <c r="C184" s="10"/>
    </row>
    <row r="185" spans="1:150" ht="20.100000000000001" hidden="1" customHeight="1" outlineLevel="1" thickBot="1">
      <c r="A185" s="3034"/>
      <c r="B185" s="3028"/>
      <c r="C185" s="179"/>
      <c r="D185" s="2726" t="str">
        <f>実績!C1316&amp;"("&amp;SUBSTITUTE(実績!R1316&amp;")"," 株式会社","")</f>
        <v>山陽自動車運送(日成ビルド工業)</v>
      </c>
      <c r="E185" s="2727"/>
      <c r="F185" s="2727"/>
      <c r="G185" s="2727"/>
      <c r="H185" s="2727"/>
      <c r="I185" s="2727"/>
      <c r="J185" s="2727"/>
      <c r="K185" s="2727"/>
      <c r="L185" s="2727"/>
      <c r="M185" s="2727"/>
      <c r="N185" s="2727"/>
      <c r="O185" s="2727"/>
      <c r="P185" s="2727"/>
      <c r="Q185" s="2727"/>
      <c r="R185" s="2728"/>
      <c r="S185" s="26"/>
      <c r="T185" s="26"/>
      <c r="U185" s="54"/>
      <c r="V185" s="26"/>
      <c r="W185" s="54"/>
      <c r="X185" s="55"/>
      <c r="Y185" s="26"/>
      <c r="Z185" s="26"/>
      <c r="AA185" s="54"/>
      <c r="AB185" s="26"/>
      <c r="AC185" s="54"/>
      <c r="AD185" s="26"/>
      <c r="AE185" s="56"/>
      <c r="AF185" s="26"/>
      <c r="AG185" s="54"/>
      <c r="AH185" s="26"/>
      <c r="AI185" s="54"/>
      <c r="AJ185" s="55"/>
      <c r="AK185" s="26"/>
      <c r="AL185" s="26"/>
      <c r="AM185" s="54"/>
      <c r="AN185" s="26"/>
      <c r="AO185" s="54"/>
      <c r="AP185" s="26"/>
      <c r="AQ185" s="53"/>
      <c r="AR185" s="26"/>
      <c r="AS185" s="54"/>
      <c r="AT185" s="26"/>
      <c r="AU185" s="54"/>
      <c r="AV185" s="55"/>
      <c r="AW185" s="56"/>
      <c r="AX185" s="26"/>
      <c r="AY185" s="54"/>
      <c r="AZ185" s="26"/>
      <c r="BA185" s="54"/>
      <c r="BB185" s="55"/>
      <c r="BC185" s="26"/>
      <c r="BD185" s="26"/>
      <c r="BE185" s="54"/>
      <c r="BF185" s="26"/>
      <c r="BG185" s="54"/>
      <c r="BH185" s="26"/>
      <c r="BI185" s="56"/>
      <c r="BJ185" s="26"/>
      <c r="BK185" s="54"/>
      <c r="BL185" s="26"/>
      <c r="BM185" s="54"/>
      <c r="BN185" s="55"/>
      <c r="BO185" s="56"/>
      <c r="BP185" s="26"/>
      <c r="BQ185" s="54"/>
      <c r="BR185" s="70"/>
      <c r="BS185" s="54"/>
      <c r="BT185" s="55"/>
      <c r="BU185" s="56"/>
      <c r="BV185" s="26"/>
      <c r="BW185" s="54"/>
      <c r="BX185" s="26"/>
      <c r="BY185" s="54"/>
      <c r="BZ185" s="55"/>
      <c r="CA185" s="56"/>
      <c r="CB185" s="26"/>
      <c r="CC185" s="54"/>
      <c r="CD185" s="26"/>
      <c r="CE185" s="54"/>
      <c r="CF185" s="55"/>
      <c r="CG185" s="56"/>
      <c r="CH185" s="26"/>
      <c r="CI185" s="54"/>
      <c r="CJ185" s="26"/>
      <c r="CK185" s="54"/>
      <c r="CL185" s="55"/>
      <c r="CM185" s="56"/>
      <c r="CN185" s="26"/>
      <c r="CO185" s="54"/>
      <c r="CP185" s="118"/>
      <c r="CQ185" s="54"/>
      <c r="CR185" s="55"/>
      <c r="CS185" s="56"/>
      <c r="CT185" s="26"/>
      <c r="CU185" s="54"/>
      <c r="CV185" s="26"/>
      <c r="CW185" s="54"/>
      <c r="CX185" s="55"/>
      <c r="CY185" s="56"/>
      <c r="CZ185" s="26"/>
      <c r="DA185" s="54"/>
      <c r="DB185" s="26"/>
      <c r="DC185" s="54"/>
      <c r="DD185" s="116"/>
      <c r="DE185" s="56" t="s">
        <v>8250</v>
      </c>
      <c r="DF185" s="26"/>
      <c r="DG185" s="54"/>
      <c r="DH185" s="26"/>
      <c r="DI185" s="54"/>
      <c r="DJ185" s="55"/>
      <c r="DK185" s="56"/>
      <c r="DL185" s="26"/>
      <c r="DM185" s="54"/>
      <c r="DN185" s="26"/>
      <c r="DO185" s="54"/>
      <c r="DP185" s="55"/>
      <c r="DQ185" s="56"/>
      <c r="DR185" s="26"/>
      <c r="DS185" s="54"/>
      <c r="DT185" s="26"/>
      <c r="DU185" s="54"/>
      <c r="DV185" s="55"/>
      <c r="DW185" s="56" t="s">
        <v>8145</v>
      </c>
      <c r="DX185" s="26"/>
      <c r="DY185" s="54"/>
      <c r="DZ185" s="26"/>
      <c r="EA185" s="54"/>
      <c r="EB185" s="55"/>
      <c r="EC185" s="56"/>
      <c r="ED185" s="26"/>
      <c r="EE185" s="54"/>
      <c r="EF185" s="26"/>
      <c r="EG185" s="54"/>
      <c r="EH185" s="55"/>
      <c r="EI185" s="56"/>
      <c r="EJ185" s="26"/>
      <c r="EK185" s="54"/>
      <c r="EL185" s="26"/>
      <c r="EM185" s="54"/>
      <c r="EN185" s="55"/>
      <c r="EO185" s="56"/>
      <c r="EP185" s="26"/>
      <c r="EQ185" s="54"/>
      <c r="ER185" s="26"/>
      <c r="ES185" s="54"/>
      <c r="ET185" s="55"/>
    </row>
    <row r="186" spans="1:150" ht="20.100000000000001" hidden="1" customHeight="1" outlineLevel="1" collapsed="1" thickBot="1">
      <c r="A186" s="3034"/>
      <c r="B186" s="3028"/>
      <c r="C186" s="179"/>
      <c r="D186" s="2726" t="str">
        <f>実績!C1323&amp;"("&amp;SUBSTITUTE(実績!R1323&amp;")"," 株式会社","")</f>
        <v>ヤマウ鳥谷部倉庫(日東工営)</v>
      </c>
      <c r="E186" s="2727"/>
      <c r="F186" s="2727"/>
      <c r="G186" s="2727"/>
      <c r="H186" s="2727"/>
      <c r="I186" s="2727"/>
      <c r="J186" s="2727"/>
      <c r="K186" s="2727"/>
      <c r="L186" s="2727"/>
      <c r="M186" s="2727"/>
      <c r="N186" s="2727"/>
      <c r="O186" s="2727"/>
      <c r="P186" s="2727"/>
      <c r="Q186" s="2727"/>
      <c r="R186" s="2728"/>
      <c r="S186" s="26"/>
      <c r="T186" s="26"/>
      <c r="U186" s="54"/>
      <c r="V186" s="26"/>
      <c r="W186" s="54"/>
      <c r="X186" s="55"/>
      <c r="Y186" s="26"/>
      <c r="Z186" s="26"/>
      <c r="AA186" s="54"/>
      <c r="AB186" s="26"/>
      <c r="AC186" s="54"/>
      <c r="AD186" s="26"/>
      <c r="AE186" s="56"/>
      <c r="AF186" s="26"/>
      <c r="AG186" s="54"/>
      <c r="AH186" s="26"/>
      <c r="AI186" s="54"/>
      <c r="AJ186" s="55"/>
      <c r="AK186" s="26"/>
      <c r="AL186" s="26"/>
      <c r="AM186" s="54"/>
      <c r="AN186" s="26"/>
      <c r="AO186" s="54"/>
      <c r="AP186" s="26"/>
      <c r="AQ186" s="53"/>
      <c r="AR186" s="26"/>
      <c r="AS186" s="54"/>
      <c r="AT186" s="26"/>
      <c r="AU186" s="54"/>
      <c r="AV186" s="55"/>
      <c r="AW186" s="56"/>
      <c r="AX186" s="26"/>
      <c r="AY186" s="54"/>
      <c r="AZ186" s="26"/>
      <c r="BA186" s="54"/>
      <c r="BB186" s="55"/>
      <c r="BC186" s="26"/>
      <c r="BD186" s="26"/>
      <c r="BE186" s="54"/>
      <c r="BF186" s="26"/>
      <c r="BG186" s="54"/>
      <c r="BH186" s="26"/>
      <c r="BI186" s="56"/>
      <c r="BJ186" s="26"/>
      <c r="BK186" s="54"/>
      <c r="BL186" s="26"/>
      <c r="BM186" s="54"/>
      <c r="BN186" s="55"/>
      <c r="BO186" s="56"/>
      <c r="BP186" s="26"/>
      <c r="BQ186" s="54"/>
      <c r="BR186" s="70"/>
      <c r="BS186" s="54"/>
      <c r="BT186" s="55"/>
      <c r="BU186" s="56"/>
      <c r="BV186" s="26"/>
      <c r="BW186" s="54"/>
      <c r="BX186" s="26"/>
      <c r="BY186" s="54"/>
      <c r="BZ186" s="55"/>
      <c r="CA186" s="56"/>
      <c r="CB186" s="26"/>
      <c r="CC186" s="54"/>
      <c r="CD186" s="26"/>
      <c r="CE186" s="54"/>
      <c r="CF186" s="55"/>
      <c r="CG186" s="56"/>
      <c r="CH186" s="26"/>
      <c r="CI186" s="54"/>
      <c r="CJ186" s="26"/>
      <c r="CK186" s="54"/>
      <c r="CL186" s="55"/>
      <c r="CM186" s="56"/>
      <c r="CN186" s="26"/>
      <c r="CO186" s="54"/>
      <c r="CP186" s="118"/>
      <c r="CQ186" s="54"/>
      <c r="CR186" s="55"/>
      <c r="CS186" s="56"/>
      <c r="CT186" s="26"/>
      <c r="CU186" s="54"/>
      <c r="CV186" s="26"/>
      <c r="CW186" s="54"/>
      <c r="CX186" s="55"/>
      <c r="CY186" s="56"/>
      <c r="CZ186" s="26"/>
      <c r="DA186" s="54"/>
      <c r="DB186" s="26"/>
      <c r="DC186" s="54"/>
      <c r="DD186" s="55"/>
      <c r="DE186" s="56"/>
      <c r="DF186" s="26" t="s">
        <v>9291</v>
      </c>
      <c r="DG186" s="54"/>
      <c r="DH186" s="26"/>
      <c r="DI186" s="54"/>
      <c r="DJ186" s="55"/>
      <c r="DK186" s="56"/>
      <c r="DL186" s="26"/>
      <c r="DM186" s="54"/>
      <c r="DN186" s="26"/>
      <c r="DO186" s="54" t="s">
        <v>8145</v>
      </c>
      <c r="DP186" s="55"/>
      <c r="DQ186" s="56"/>
      <c r="DR186" s="26"/>
      <c r="DS186" s="54"/>
      <c r="DT186" s="26"/>
      <c r="DU186" s="54"/>
      <c r="DV186" s="116"/>
      <c r="DW186" s="56"/>
      <c r="DX186" s="26"/>
      <c r="DY186" s="54"/>
      <c r="DZ186" s="26"/>
      <c r="EA186" s="54"/>
      <c r="EB186" s="116"/>
      <c r="EC186" s="56"/>
      <c r="ED186" s="26"/>
      <c r="EE186" s="54"/>
      <c r="EF186" s="26"/>
      <c r="EG186" s="54"/>
      <c r="EH186" s="116"/>
      <c r="EI186" s="56"/>
      <c r="EJ186" s="26"/>
      <c r="EK186" s="54"/>
      <c r="EL186" s="26"/>
      <c r="EM186" s="54"/>
      <c r="EN186" s="116"/>
      <c r="EO186" s="56"/>
      <c r="EP186" s="26"/>
      <c r="EQ186" s="54"/>
      <c r="ER186" s="26"/>
      <c r="ES186" s="54"/>
      <c r="ET186" s="116" t="s">
        <v>13739</v>
      </c>
    </row>
    <row r="187" spans="1:150" ht="20.100000000000001" hidden="1" customHeight="1" outlineLevel="1" thickBot="1">
      <c r="A187" s="3034"/>
      <c r="B187" s="3028"/>
      <c r="C187" s="10"/>
    </row>
    <row r="188" spans="1:150" ht="20.100000000000001" hidden="1" customHeight="1" outlineLevel="1" thickBot="1">
      <c r="A188" s="3034"/>
      <c r="B188" s="3028"/>
      <c r="C188" s="179"/>
      <c r="D188" s="2726" t="str">
        <f>実績!C1321&amp;"("&amp;SUBSTITUTE(実績!R1321&amp;")","株式会社 ","")</f>
        <v>ツルハ長沼下(プロ1)</v>
      </c>
      <c r="E188" s="2727"/>
      <c r="F188" s="2727"/>
      <c r="G188" s="2727"/>
      <c r="H188" s="2727"/>
      <c r="I188" s="2727"/>
      <c r="J188" s="2727"/>
      <c r="K188" s="2727"/>
      <c r="L188" s="2727"/>
      <c r="M188" s="2727"/>
      <c r="N188" s="2727"/>
      <c r="O188" s="2727"/>
      <c r="P188" s="2727"/>
      <c r="Q188" s="2727"/>
      <c r="R188" s="2728"/>
      <c r="S188" s="26"/>
      <c r="T188" s="26"/>
      <c r="U188" s="54"/>
      <c r="V188" s="26"/>
      <c r="W188" s="54"/>
      <c r="X188" s="55"/>
      <c r="Y188" s="26"/>
      <c r="Z188" s="26"/>
      <c r="AA188" s="54"/>
      <c r="AB188" s="26"/>
      <c r="AC188" s="54"/>
      <c r="AD188" s="26"/>
      <c r="AE188" s="56"/>
      <c r="AF188" s="26"/>
      <c r="AG188" s="54"/>
      <c r="AH188" s="26"/>
      <c r="AI188" s="54"/>
      <c r="AJ188" s="55"/>
      <c r="AK188" s="26"/>
      <c r="AL188" s="26"/>
      <c r="AM188" s="54"/>
      <c r="AN188" s="26"/>
      <c r="AO188" s="54"/>
      <c r="AP188" s="26"/>
      <c r="AQ188" s="53"/>
      <c r="AR188" s="26"/>
      <c r="AS188" s="54"/>
      <c r="AT188" s="26"/>
      <c r="AU188" s="54"/>
      <c r="AV188" s="55"/>
      <c r="AW188" s="56"/>
      <c r="AX188" s="26"/>
      <c r="AY188" s="54"/>
      <c r="AZ188" s="26"/>
      <c r="BA188" s="54"/>
      <c r="BB188" s="55"/>
      <c r="BC188" s="26"/>
      <c r="BD188" s="26"/>
      <c r="BE188" s="54"/>
      <c r="BF188" s="26"/>
      <c r="BG188" s="54"/>
      <c r="BH188" s="26"/>
      <c r="BI188" s="56"/>
      <c r="BJ188" s="26"/>
      <c r="BK188" s="54"/>
      <c r="BL188" s="26"/>
      <c r="BM188" s="54"/>
      <c r="BN188" s="55"/>
      <c r="BO188" s="56"/>
      <c r="BP188" s="26"/>
      <c r="BQ188" s="54"/>
      <c r="BR188" s="70"/>
      <c r="BS188" s="54"/>
      <c r="BT188" s="55"/>
      <c r="BU188" s="56"/>
      <c r="BV188" s="26"/>
      <c r="BW188" s="54"/>
      <c r="BX188" s="26"/>
      <c r="BY188" s="54"/>
      <c r="BZ188" s="55"/>
      <c r="CA188" s="56"/>
      <c r="CB188" s="26"/>
      <c r="CC188" s="54"/>
      <c r="CD188" s="26"/>
      <c r="CE188" s="54"/>
      <c r="CF188" s="55"/>
      <c r="CG188" s="56"/>
      <c r="CH188" s="26"/>
      <c r="CI188" s="54"/>
      <c r="CJ188" s="26"/>
      <c r="CK188" s="54"/>
      <c r="CL188" s="55"/>
      <c r="CM188" s="56"/>
      <c r="CN188" s="26"/>
      <c r="CO188" s="54"/>
      <c r="CP188" s="118"/>
      <c r="CQ188" s="54"/>
      <c r="CR188" s="55"/>
      <c r="CS188" s="56"/>
      <c r="CT188" s="26"/>
      <c r="CU188" s="54"/>
      <c r="CV188" s="26"/>
      <c r="CW188" s="54"/>
      <c r="CX188" s="55"/>
      <c r="CY188" s="56"/>
      <c r="CZ188" s="26"/>
      <c r="DA188" s="54"/>
      <c r="DB188" s="26"/>
      <c r="DC188" s="54"/>
      <c r="DD188" s="55"/>
      <c r="DE188" s="56"/>
      <c r="DF188" s="26" t="s">
        <v>13928</v>
      </c>
      <c r="DG188" s="54"/>
      <c r="DH188" s="26"/>
      <c r="DI188" s="54"/>
      <c r="DJ188" s="55"/>
      <c r="DK188" s="56"/>
      <c r="DL188" s="26"/>
      <c r="DM188" s="54"/>
      <c r="DN188" s="26"/>
      <c r="DO188" s="54"/>
      <c r="DP188" s="55"/>
      <c r="DQ188" s="56" t="s">
        <v>8145</v>
      </c>
      <c r="DR188" s="26"/>
      <c r="DS188" s="54"/>
      <c r="DT188" s="26"/>
      <c r="DU188" s="54"/>
      <c r="DV188" s="116"/>
      <c r="DW188" s="56"/>
      <c r="DX188" s="26"/>
      <c r="DY188" s="54"/>
      <c r="DZ188" s="26"/>
      <c r="EA188" s="54"/>
      <c r="EB188" s="116"/>
      <c r="EC188" s="56"/>
      <c r="ED188" s="26"/>
      <c r="EE188" s="54"/>
      <c r="EF188" s="26"/>
      <c r="EG188" s="54"/>
      <c r="EH188" s="116"/>
      <c r="EI188" s="56"/>
      <c r="EJ188" s="26"/>
      <c r="EK188" s="54"/>
      <c r="EL188" s="26"/>
      <c r="EM188" s="54"/>
      <c r="EN188" s="116"/>
      <c r="EO188" s="56"/>
      <c r="EP188" s="26"/>
      <c r="EQ188" s="54"/>
      <c r="ER188" s="26"/>
      <c r="ES188" s="54"/>
      <c r="ET188" s="116"/>
    </row>
    <row r="189" spans="1:150" ht="20.100000000000001" hidden="1" customHeight="1" outlineLevel="1" collapsed="1" thickBot="1">
      <c r="A189" s="3034"/>
      <c r="B189" s="3028"/>
      <c r="C189" s="179"/>
      <c r="D189" s="2726" t="str">
        <f>実績!C1322&amp;"("&amp;SUBSTITUTE(実績!R1322&amp;")"," 株式会社","")</f>
        <v>サンデーペットショップ城下(おおた設計事務所)</v>
      </c>
      <c r="E189" s="2727"/>
      <c r="F189" s="2727"/>
      <c r="G189" s="2727"/>
      <c r="H189" s="2727"/>
      <c r="I189" s="2727"/>
      <c r="J189" s="2727"/>
      <c r="K189" s="2727"/>
      <c r="L189" s="2727"/>
      <c r="M189" s="2727"/>
      <c r="N189" s="2727"/>
      <c r="O189" s="2727"/>
      <c r="P189" s="2727"/>
      <c r="Q189" s="2727"/>
      <c r="R189" s="2728"/>
      <c r="S189" s="26"/>
      <c r="T189" s="26"/>
      <c r="U189" s="54"/>
      <c r="V189" s="26"/>
      <c r="W189" s="54"/>
      <c r="X189" s="55"/>
      <c r="Y189" s="26"/>
      <c r="Z189" s="26"/>
      <c r="AA189" s="54"/>
      <c r="AB189" s="26"/>
      <c r="AC189" s="54"/>
      <c r="AD189" s="26"/>
      <c r="AE189" s="56"/>
      <c r="AF189" s="26"/>
      <c r="AG189" s="54"/>
      <c r="AH189" s="26"/>
      <c r="AI189" s="54"/>
      <c r="AJ189" s="55"/>
      <c r="AK189" s="26"/>
      <c r="AL189" s="26"/>
      <c r="AM189" s="54"/>
      <c r="AN189" s="26"/>
      <c r="AO189" s="54"/>
      <c r="AP189" s="26"/>
      <c r="AQ189" s="53"/>
      <c r="AR189" s="26"/>
      <c r="AS189" s="54"/>
      <c r="AT189" s="26"/>
      <c r="AU189" s="54"/>
      <c r="AV189" s="55"/>
      <c r="AW189" s="56"/>
      <c r="AX189" s="26"/>
      <c r="AY189" s="54"/>
      <c r="AZ189" s="26"/>
      <c r="BA189" s="54"/>
      <c r="BB189" s="55"/>
      <c r="BC189" s="26"/>
      <c r="BD189" s="26"/>
      <c r="BE189" s="54"/>
      <c r="BF189" s="26"/>
      <c r="BG189" s="54"/>
      <c r="BH189" s="26"/>
      <c r="BI189" s="56"/>
      <c r="BJ189" s="26"/>
      <c r="BK189" s="54"/>
      <c r="BL189" s="26"/>
      <c r="BM189" s="54"/>
      <c r="BN189" s="55"/>
      <c r="BO189" s="56"/>
      <c r="BP189" s="26"/>
      <c r="BQ189" s="54"/>
      <c r="BR189" s="70"/>
      <c r="BS189" s="54"/>
      <c r="BT189" s="55"/>
      <c r="BU189" s="56"/>
      <c r="BV189" s="26"/>
      <c r="BW189" s="54"/>
      <c r="BX189" s="26"/>
      <c r="BY189" s="54"/>
      <c r="BZ189" s="55"/>
      <c r="CA189" s="56"/>
      <c r="CB189" s="26"/>
      <c r="CC189" s="54"/>
      <c r="CD189" s="26"/>
      <c r="CE189" s="54"/>
      <c r="CF189" s="55"/>
      <c r="CG189" s="56"/>
      <c r="CH189" s="26"/>
      <c r="CI189" s="54"/>
      <c r="CJ189" s="26"/>
      <c r="CK189" s="54"/>
      <c r="CL189" s="55"/>
      <c r="CM189" s="56"/>
      <c r="CN189" s="26"/>
      <c r="CO189" s="54"/>
      <c r="CP189" s="118"/>
      <c r="CQ189" s="54"/>
      <c r="CR189" s="55"/>
      <c r="CS189" s="56"/>
      <c r="CT189" s="26"/>
      <c r="CU189" s="54"/>
      <c r="CV189" s="26"/>
      <c r="CW189" s="54"/>
      <c r="CX189" s="55"/>
      <c r="CY189" s="56"/>
      <c r="CZ189" s="26"/>
      <c r="DA189" s="54"/>
      <c r="DB189" s="26"/>
      <c r="DC189" s="54"/>
      <c r="DD189" s="55"/>
      <c r="DE189" s="56"/>
      <c r="DF189" s="26"/>
      <c r="DG189" s="54" t="s">
        <v>8250</v>
      </c>
      <c r="DH189" s="26"/>
      <c r="DI189" s="54"/>
      <c r="DJ189" s="55"/>
      <c r="DK189" s="56"/>
      <c r="DL189" s="26"/>
      <c r="DM189" s="54"/>
      <c r="DN189" s="26"/>
      <c r="DO189" s="54"/>
      <c r="DP189" s="55" t="s">
        <v>8145</v>
      </c>
      <c r="DQ189" s="56"/>
      <c r="DR189" s="26"/>
      <c r="DS189" s="54"/>
      <c r="DT189" s="26"/>
      <c r="DU189" s="54"/>
      <c r="DV189" s="116"/>
      <c r="DW189" s="56"/>
      <c r="DX189" s="26"/>
      <c r="DY189" s="54"/>
      <c r="DZ189" s="26"/>
      <c r="EA189" s="54"/>
      <c r="EB189" s="116"/>
      <c r="EC189" s="56"/>
      <c r="ED189" s="26"/>
      <c r="EE189" s="54"/>
      <c r="EF189" s="26"/>
      <c r="EG189" s="54"/>
      <c r="EH189" s="116"/>
      <c r="EI189" s="56"/>
      <c r="EJ189" s="26"/>
      <c r="EK189" s="54"/>
      <c r="EL189" s="26"/>
      <c r="EM189" s="54"/>
      <c r="EN189" s="116"/>
      <c r="EO189" s="56"/>
      <c r="EP189" s="26"/>
      <c r="EQ189" s="54"/>
      <c r="ER189" s="26"/>
      <c r="ES189" s="54"/>
      <c r="ET189" s="116"/>
    </row>
    <row r="190" spans="1:150" ht="20.100000000000001" hidden="1" customHeight="1" outlineLevel="1" thickBot="1">
      <c r="A190" s="3034"/>
      <c r="B190" s="3028"/>
      <c r="C190" s="179"/>
      <c r="D190" s="2726" t="str">
        <f>実績!C1319&amp;"("&amp;SUBSTITUTE(実績!W1319&amp;")","株式会社 ","")</f>
        <v>フードD365見山(TA structure design)</v>
      </c>
      <c r="E190" s="2727"/>
      <c r="F190" s="2727"/>
      <c r="G190" s="2727"/>
      <c r="H190" s="2727"/>
      <c r="I190" s="2727"/>
      <c r="J190" s="2727"/>
      <c r="K190" s="2727"/>
      <c r="L190" s="2727"/>
      <c r="M190" s="2727"/>
      <c r="N190" s="2727"/>
      <c r="O190" s="2727"/>
      <c r="P190" s="2727"/>
      <c r="Q190" s="2727"/>
      <c r="R190" s="2728"/>
      <c r="S190" s="26"/>
      <c r="T190" s="26"/>
      <c r="U190" s="54"/>
      <c r="V190" s="26"/>
      <c r="W190" s="54"/>
      <c r="X190" s="55"/>
      <c r="Y190" s="26"/>
      <c r="Z190" s="26"/>
      <c r="AA190" s="54"/>
      <c r="AB190" s="26"/>
      <c r="AC190" s="54"/>
      <c r="AD190" s="26"/>
      <c r="AE190" s="56"/>
      <c r="AF190" s="26"/>
      <c r="AG190" s="54"/>
      <c r="AH190" s="26"/>
      <c r="AI190" s="54"/>
      <c r="AJ190" s="55"/>
      <c r="AK190" s="26"/>
      <c r="AL190" s="26"/>
      <c r="AM190" s="54"/>
      <c r="AN190" s="26"/>
      <c r="AO190" s="54"/>
      <c r="AP190" s="26"/>
      <c r="AQ190" s="53"/>
      <c r="AR190" s="26"/>
      <c r="AS190" s="54"/>
      <c r="AT190" s="26"/>
      <c r="AU190" s="54"/>
      <c r="AV190" s="55"/>
      <c r="AW190" s="56"/>
      <c r="AX190" s="26"/>
      <c r="AY190" s="54"/>
      <c r="AZ190" s="26"/>
      <c r="BA190" s="54"/>
      <c r="BB190" s="55"/>
      <c r="BC190" s="26"/>
      <c r="BD190" s="26"/>
      <c r="BE190" s="54"/>
      <c r="BF190" s="26"/>
      <c r="BG190" s="54"/>
      <c r="BH190" s="26"/>
      <c r="BI190" s="56"/>
      <c r="BJ190" s="26"/>
      <c r="BK190" s="54"/>
      <c r="BL190" s="26"/>
      <c r="BM190" s="54"/>
      <c r="BN190" s="55"/>
      <c r="BO190" s="56"/>
      <c r="BP190" s="26"/>
      <c r="BQ190" s="54"/>
      <c r="BR190" s="70"/>
      <c r="BS190" s="54"/>
      <c r="BT190" s="55"/>
      <c r="BU190" s="56"/>
      <c r="BV190" s="26"/>
      <c r="BW190" s="54"/>
      <c r="BX190" s="26"/>
      <c r="BY190" s="54"/>
      <c r="BZ190" s="55"/>
      <c r="CA190" s="56"/>
      <c r="CB190" s="26"/>
      <c r="CC190" s="54"/>
      <c r="CD190" s="26"/>
      <c r="CE190" s="54"/>
      <c r="CF190" s="55"/>
      <c r="CG190" s="56"/>
      <c r="CH190" s="26"/>
      <c r="CI190" s="54"/>
      <c r="CJ190" s="26"/>
      <c r="CK190" s="54"/>
      <c r="CL190" s="55"/>
      <c r="CM190" s="56"/>
      <c r="CN190" s="26"/>
      <c r="CO190" s="54"/>
      <c r="CP190" s="118"/>
      <c r="CQ190" s="54"/>
      <c r="CR190" s="55"/>
      <c r="CS190" s="56"/>
      <c r="CT190" s="26"/>
      <c r="CU190" s="54"/>
      <c r="CV190" s="26"/>
      <c r="CW190" s="54"/>
      <c r="CX190" s="55"/>
      <c r="CY190" s="56"/>
      <c r="CZ190" s="26"/>
      <c r="DA190" s="54"/>
      <c r="DB190" s="26"/>
      <c r="DC190" s="54"/>
      <c r="DD190" s="55"/>
      <c r="DE190" s="56"/>
      <c r="DF190" s="26"/>
      <c r="DG190" s="54" t="s">
        <v>8250</v>
      </c>
      <c r="DH190" s="26"/>
      <c r="DI190" s="54"/>
      <c r="DJ190" s="55"/>
      <c r="DK190" s="56"/>
      <c r="DL190" s="26"/>
      <c r="DM190" s="54"/>
      <c r="DN190" s="26"/>
      <c r="DO190" s="54"/>
      <c r="DP190" s="55"/>
      <c r="DQ190" s="56"/>
      <c r="DR190" s="26"/>
      <c r="DS190" s="54"/>
      <c r="DT190" s="26"/>
      <c r="DU190" s="54"/>
      <c r="DV190" s="116"/>
      <c r="DW190" s="56"/>
      <c r="DX190" s="26"/>
      <c r="DY190" s="54"/>
      <c r="DZ190" s="26" t="s">
        <v>8944</v>
      </c>
      <c r="EA190" s="54"/>
      <c r="EB190" s="116"/>
      <c r="EC190" s="56"/>
      <c r="ED190" s="26"/>
      <c r="EE190" s="54"/>
      <c r="EF190" s="26"/>
      <c r="EG190" s="54"/>
      <c r="EH190" s="116"/>
      <c r="EI190" s="56"/>
      <c r="EJ190" s="26"/>
      <c r="EK190" s="54"/>
      <c r="EL190" s="26"/>
      <c r="EM190" s="54"/>
      <c r="EN190" s="116"/>
      <c r="EO190" s="56"/>
      <c r="EP190" s="26"/>
      <c r="EQ190" s="54"/>
      <c r="ER190" s="26"/>
      <c r="ES190" s="54"/>
      <c r="ET190" s="116"/>
    </row>
    <row r="191" spans="1:150" ht="20.100000000000001" hidden="1" customHeight="1" outlineLevel="1" collapsed="1" thickBot="1">
      <c r="A191" s="3034"/>
      <c r="B191" s="3028"/>
      <c r="C191" s="179"/>
      <c r="D191" s="2726" t="str">
        <f>実績!C1327&amp;"("&amp;SUBSTITUTE(実績!R1327&amp;")","株式会社 ","")</f>
        <v>薬王堂 三種森岳(樹設計工房)</v>
      </c>
      <c r="E191" s="2727"/>
      <c r="F191" s="2727"/>
      <c r="G191" s="2727"/>
      <c r="H191" s="2727"/>
      <c r="I191" s="2727"/>
      <c r="J191" s="2727"/>
      <c r="K191" s="2727"/>
      <c r="L191" s="2727"/>
      <c r="M191" s="2727"/>
      <c r="N191" s="2727"/>
      <c r="O191" s="2727"/>
      <c r="P191" s="2727"/>
      <c r="Q191" s="2727"/>
      <c r="R191" s="2728"/>
      <c r="S191" s="26"/>
      <c r="T191" s="26"/>
      <c r="U191" s="54"/>
      <c r="V191" s="26"/>
      <c r="W191" s="54"/>
      <c r="X191" s="55"/>
      <c r="Y191" s="26"/>
      <c r="Z191" s="26"/>
      <c r="AA191" s="54"/>
      <c r="AB191" s="26"/>
      <c r="AC191" s="54"/>
      <c r="AD191" s="26"/>
      <c r="AE191" s="56"/>
      <c r="AF191" s="26"/>
      <c r="AG191" s="54"/>
      <c r="AH191" s="26"/>
      <c r="AI191" s="54"/>
      <c r="AJ191" s="55"/>
      <c r="AK191" s="26"/>
      <c r="AL191" s="26"/>
      <c r="AM191" s="54"/>
      <c r="AN191" s="26"/>
      <c r="AO191" s="54"/>
      <c r="AP191" s="26"/>
      <c r="AQ191" s="53"/>
      <c r="AR191" s="26"/>
      <c r="AS191" s="54"/>
      <c r="AT191" s="26"/>
      <c r="AU191" s="54"/>
      <c r="AV191" s="55"/>
      <c r="AW191" s="56"/>
      <c r="AX191" s="26"/>
      <c r="AY191" s="54"/>
      <c r="AZ191" s="26"/>
      <c r="BA191" s="54"/>
      <c r="BB191" s="55"/>
      <c r="BC191" s="26"/>
      <c r="BD191" s="26"/>
      <c r="BE191" s="54"/>
      <c r="BF191" s="26"/>
      <c r="BG191" s="54"/>
      <c r="BH191" s="26"/>
      <c r="BI191" s="56"/>
      <c r="BJ191" s="26"/>
      <c r="BK191" s="54"/>
      <c r="BL191" s="26"/>
      <c r="BM191" s="54"/>
      <c r="BN191" s="55"/>
      <c r="BO191" s="56"/>
      <c r="BP191" s="26"/>
      <c r="BQ191" s="54"/>
      <c r="BR191" s="70"/>
      <c r="BS191" s="54"/>
      <c r="BT191" s="55"/>
      <c r="BU191" s="56"/>
      <c r="BV191" s="26"/>
      <c r="BW191" s="54"/>
      <c r="BX191" s="26"/>
      <c r="BY191" s="54"/>
      <c r="BZ191" s="55"/>
      <c r="CA191" s="56"/>
      <c r="CB191" s="26"/>
      <c r="CC191" s="54"/>
      <c r="CD191" s="26"/>
      <c r="CE191" s="54"/>
      <c r="CF191" s="55"/>
      <c r="CG191" s="56"/>
      <c r="CH191" s="26"/>
      <c r="CI191" s="54"/>
      <c r="CJ191" s="26"/>
      <c r="CK191" s="54"/>
      <c r="CL191" s="55"/>
      <c r="CM191" s="56"/>
      <c r="CN191" s="26"/>
      <c r="CO191" s="54"/>
      <c r="CP191" s="118"/>
      <c r="CQ191" s="54"/>
      <c r="CR191" s="55"/>
      <c r="CS191" s="56"/>
      <c r="CT191" s="26"/>
      <c r="CU191" s="54"/>
      <c r="CV191" s="26"/>
      <c r="CW191" s="54"/>
      <c r="CX191" s="55"/>
      <c r="CY191" s="56"/>
      <c r="CZ191" s="26"/>
      <c r="DA191" s="54"/>
      <c r="DB191" s="26"/>
      <c r="DC191" s="54"/>
      <c r="DD191" s="55"/>
      <c r="DE191" s="56"/>
      <c r="DF191" s="26"/>
      <c r="DG191" s="54"/>
      <c r="DH191" s="26"/>
      <c r="DI191" s="54" t="s">
        <v>8250</v>
      </c>
      <c r="DJ191" s="55"/>
      <c r="DK191" s="56"/>
      <c r="DL191" s="26"/>
      <c r="DM191" s="54"/>
      <c r="DN191" s="26"/>
      <c r="DO191" s="54" t="s">
        <v>8145</v>
      </c>
      <c r="DP191" s="55"/>
      <c r="DQ191" s="56"/>
      <c r="DR191" s="26"/>
      <c r="DS191" s="54"/>
      <c r="DT191" s="26"/>
      <c r="DU191" s="54"/>
      <c r="DV191" s="116"/>
      <c r="DW191" s="56"/>
      <c r="DX191" s="26"/>
      <c r="DY191" s="54"/>
      <c r="DZ191" s="26"/>
      <c r="EA191" s="54"/>
      <c r="EB191" s="116"/>
      <c r="EC191" s="56"/>
      <c r="ED191" s="26"/>
      <c r="EE191" s="54"/>
      <c r="EF191" s="26"/>
      <c r="EG191" s="54"/>
      <c r="EH191" s="116"/>
      <c r="EI191" s="56"/>
      <c r="EJ191" s="26"/>
      <c r="EK191" s="54"/>
      <c r="EL191" s="26"/>
      <c r="EM191" s="54"/>
      <c r="EN191" s="116"/>
      <c r="EO191" s="56"/>
      <c r="EP191" s="26"/>
      <c r="EQ191" s="54"/>
      <c r="ER191" s="26"/>
      <c r="ES191" s="54"/>
      <c r="ET191" s="116"/>
    </row>
    <row r="192" spans="1:150" ht="20.100000000000001" hidden="1" customHeight="1" outlineLevel="1" thickBot="1">
      <c r="A192" s="3034"/>
      <c r="B192" s="3028"/>
      <c r="C192" s="10"/>
    </row>
    <row r="193" spans="1:150" ht="20.100000000000001" hidden="1" customHeight="1" outlineLevel="1" thickBot="1">
      <c r="A193" s="3034"/>
      <c r="B193" s="3028"/>
      <c r="C193" s="179"/>
      <c r="D193" s="2726" t="str">
        <f>実績!C1325&amp;"("&amp;SUBSTITUTE(実績!R1325&amp;")","株式会社 ","")</f>
        <v>弘前倉庫五所川原４期(テクム)</v>
      </c>
      <c r="E193" s="2727"/>
      <c r="F193" s="2727"/>
      <c r="G193" s="2727"/>
      <c r="H193" s="2727"/>
      <c r="I193" s="2727"/>
      <c r="J193" s="2727"/>
      <c r="K193" s="2727"/>
      <c r="L193" s="2727"/>
      <c r="M193" s="2727"/>
      <c r="N193" s="2727"/>
      <c r="O193" s="2727"/>
      <c r="P193" s="2727"/>
      <c r="Q193" s="2727"/>
      <c r="R193" s="2728"/>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118"/>
      <c r="CQ193" s="26"/>
      <c r="CR193" s="26"/>
      <c r="CS193" s="26"/>
      <c r="CT193" s="26"/>
      <c r="CU193" s="26"/>
      <c r="CV193" s="26"/>
      <c r="CW193" s="26"/>
      <c r="CX193" s="26"/>
      <c r="CY193" s="56"/>
      <c r="CZ193" s="26"/>
      <c r="DA193" s="54"/>
      <c r="DB193" s="26"/>
      <c r="DC193" s="54"/>
      <c r="DD193" s="55"/>
      <c r="DE193" s="56"/>
      <c r="DF193" s="26"/>
      <c r="DG193" s="54"/>
      <c r="DH193" s="26"/>
      <c r="DI193" s="54" t="s">
        <v>9291</v>
      </c>
      <c r="DJ193" s="55"/>
      <c r="DK193" s="56"/>
      <c r="DL193" s="26"/>
      <c r="DM193" s="54"/>
      <c r="DN193" s="26"/>
      <c r="DO193" s="54"/>
      <c r="DP193" s="55"/>
      <c r="DQ193" s="56"/>
      <c r="DR193" s="26"/>
      <c r="DS193" s="54"/>
      <c r="DT193" s="26"/>
      <c r="DU193" s="54"/>
      <c r="DV193" s="116"/>
      <c r="DW193" s="56"/>
      <c r="DX193" s="26"/>
      <c r="DY193" s="54"/>
      <c r="DZ193" s="26"/>
      <c r="EA193" s="54"/>
      <c r="EB193" s="116"/>
      <c r="EC193" s="56"/>
      <c r="ED193" s="26"/>
      <c r="EE193" s="54"/>
      <c r="EF193" s="26"/>
      <c r="EG193" s="54"/>
      <c r="EH193" s="116"/>
      <c r="EI193" s="56"/>
      <c r="EJ193" s="26"/>
      <c r="EK193" s="54"/>
      <c r="EL193" s="26"/>
      <c r="EM193" s="54"/>
      <c r="EN193" s="116"/>
      <c r="EO193" s="56"/>
      <c r="EP193" s="26"/>
      <c r="EQ193" s="54"/>
      <c r="ER193" s="26"/>
      <c r="ES193" s="54"/>
      <c r="ET193" s="116"/>
    </row>
    <row r="194" spans="1:150" ht="20.100000000000001" hidden="1" customHeight="1" outlineLevel="1" collapsed="1" thickBot="1">
      <c r="A194" s="3034"/>
      <c r="B194" s="3028"/>
      <c r="C194" s="1168" t="s">
        <v>10514</v>
      </c>
      <c r="D194" s="2726" t="str">
        <f>実績!C1331&amp;"("&amp;SUBSTITUTE(実績!R1331&amp;")","株式会社 ","")</f>
        <v>薬王堂 角館下菅沢(樹設計工房)</v>
      </c>
      <c r="E194" s="2727"/>
      <c r="F194" s="2727"/>
      <c r="G194" s="2727"/>
      <c r="H194" s="2727"/>
      <c r="I194" s="2727"/>
      <c r="J194" s="2727"/>
      <c r="K194" s="2727"/>
      <c r="L194" s="2727"/>
      <c r="M194" s="2727"/>
      <c r="N194" s="2727"/>
      <c r="O194" s="2727"/>
      <c r="P194" s="2727"/>
      <c r="Q194" s="2727"/>
      <c r="R194" s="2728"/>
      <c r="S194" s="26"/>
      <c r="T194" s="26"/>
      <c r="U194" s="54"/>
      <c r="V194" s="26"/>
      <c r="W194" s="54"/>
      <c r="X194" s="55"/>
      <c r="Y194" s="26"/>
      <c r="Z194" s="26"/>
      <c r="AA194" s="54"/>
      <c r="AB194" s="26"/>
      <c r="AC194" s="54"/>
      <c r="AD194" s="26"/>
      <c r="AE194" s="56"/>
      <c r="AF194" s="26"/>
      <c r="AG194" s="54"/>
      <c r="AH194" s="26"/>
      <c r="AI194" s="54"/>
      <c r="AJ194" s="55"/>
      <c r="AK194" s="26"/>
      <c r="AL194" s="26"/>
      <c r="AM194" s="54"/>
      <c r="AN194" s="26"/>
      <c r="AO194" s="54"/>
      <c r="AP194" s="26"/>
      <c r="AQ194" s="53"/>
      <c r="AR194" s="26"/>
      <c r="AS194" s="54"/>
      <c r="AT194" s="26"/>
      <c r="AU194" s="54"/>
      <c r="AV194" s="55"/>
      <c r="AW194" s="56"/>
      <c r="AX194" s="26"/>
      <c r="AY194" s="54"/>
      <c r="AZ194" s="26"/>
      <c r="BA194" s="54"/>
      <c r="BB194" s="55"/>
      <c r="BC194" s="26"/>
      <c r="BD194" s="26"/>
      <c r="BE194" s="54"/>
      <c r="BF194" s="26"/>
      <c r="BG194" s="54"/>
      <c r="BH194" s="26"/>
      <c r="BI194" s="56"/>
      <c r="BJ194" s="26"/>
      <c r="BK194" s="54"/>
      <c r="BL194" s="26"/>
      <c r="BM194" s="54"/>
      <c r="BN194" s="55"/>
      <c r="BO194" s="56"/>
      <c r="BP194" s="26"/>
      <c r="BQ194" s="54"/>
      <c r="BR194" s="70"/>
      <c r="BS194" s="54"/>
      <c r="BT194" s="55"/>
      <c r="BU194" s="56"/>
      <c r="BV194" s="26"/>
      <c r="BW194" s="54"/>
      <c r="BX194" s="26"/>
      <c r="BY194" s="54"/>
      <c r="BZ194" s="55"/>
      <c r="CA194" s="56"/>
      <c r="CB194" s="26"/>
      <c r="CC194" s="54"/>
      <c r="CD194" s="26"/>
      <c r="CE194" s="54"/>
      <c r="CF194" s="55"/>
      <c r="CG194" s="56"/>
      <c r="CH194" s="26"/>
      <c r="CI194" s="54"/>
      <c r="CJ194" s="26"/>
      <c r="CK194" s="54"/>
      <c r="CL194" s="55"/>
      <c r="CM194" s="56"/>
      <c r="CN194" s="26"/>
      <c r="CO194" s="54"/>
      <c r="CP194" s="118"/>
      <c r="CQ194" s="54"/>
      <c r="CR194" s="55"/>
      <c r="CS194" s="56"/>
      <c r="CT194" s="26"/>
      <c r="CU194" s="54"/>
      <c r="CV194" s="26"/>
      <c r="CW194" s="54"/>
      <c r="CX194" s="55"/>
      <c r="CY194" s="56"/>
      <c r="CZ194" s="26"/>
      <c r="DA194" s="54"/>
      <c r="DB194" s="26"/>
      <c r="DC194" s="54"/>
      <c r="DD194" s="55"/>
      <c r="DE194" s="56"/>
      <c r="DF194" s="26"/>
      <c r="DG194" s="54"/>
      <c r="DH194" s="26"/>
      <c r="DI194" s="54"/>
      <c r="DJ194" s="55"/>
      <c r="DK194" s="56"/>
      <c r="DL194" s="26"/>
      <c r="DM194" s="54"/>
      <c r="DN194" s="26"/>
      <c r="DO194" s="54"/>
      <c r="DP194" s="55"/>
      <c r="DQ194" s="56"/>
      <c r="DR194" s="26"/>
      <c r="DS194" s="54"/>
      <c r="DT194" s="26"/>
      <c r="DU194" s="54"/>
      <c r="DV194" s="116"/>
      <c r="DW194" s="56"/>
      <c r="DX194" s="26"/>
      <c r="DY194" s="54"/>
      <c r="DZ194" s="26"/>
      <c r="EA194" s="54"/>
      <c r="EB194" s="116"/>
      <c r="EC194" s="56"/>
      <c r="ED194" s="26"/>
      <c r="EE194" s="54"/>
      <c r="EF194" s="26"/>
      <c r="EG194" s="54"/>
      <c r="EH194" s="116"/>
      <c r="EI194" s="56"/>
      <c r="EJ194" s="26"/>
      <c r="EK194" s="54"/>
      <c r="EL194" s="26"/>
      <c r="EM194" s="54"/>
      <c r="EN194" s="116"/>
      <c r="EO194" s="56"/>
      <c r="EP194" s="26"/>
      <c r="EQ194" s="54"/>
      <c r="ER194" s="26"/>
      <c r="ES194" s="54"/>
      <c r="ET194" s="116"/>
    </row>
    <row r="195" spans="1:150" ht="20.100000000000001" hidden="1" customHeight="1" outlineLevel="1" thickBot="1">
      <c r="A195" s="3034"/>
      <c r="B195" s="3028"/>
      <c r="C195" s="10"/>
    </row>
    <row r="196" spans="1:150" ht="20.100000000000001" hidden="1" customHeight="1" outlineLevel="1" thickBot="1">
      <c r="A196" s="3034"/>
      <c r="B196" s="3028"/>
      <c r="C196" s="10"/>
    </row>
    <row r="197" spans="1:150" ht="20.100000000000001" hidden="1" customHeight="1" outlineLevel="1" thickBot="1">
      <c r="A197" s="3034"/>
      <c r="B197" s="3028"/>
      <c r="C197" s="179"/>
      <c r="D197" s="2726" t="str">
        <f>実績!C1330&amp;"("&amp;SUBSTITUTE(実績!R1330&amp;")","株式会社 ","")</f>
        <v>バースデイ洲本(エムティプラン)</v>
      </c>
      <c r="E197" s="2727"/>
      <c r="F197" s="2727"/>
      <c r="G197" s="2727"/>
      <c r="H197" s="2727"/>
      <c r="I197" s="2727"/>
      <c r="J197" s="2727"/>
      <c r="K197" s="2727"/>
      <c r="L197" s="2727"/>
      <c r="M197" s="2727"/>
      <c r="N197" s="2727"/>
      <c r="O197" s="2727"/>
      <c r="P197" s="2727"/>
      <c r="Q197" s="2727"/>
      <c r="R197" s="2728"/>
      <c r="S197" s="26"/>
      <c r="T197" s="26"/>
      <c r="U197" s="54"/>
      <c r="V197" s="26"/>
      <c r="W197" s="54"/>
      <c r="X197" s="55"/>
      <c r="Y197" s="26"/>
      <c r="Z197" s="26"/>
      <c r="AA197" s="54"/>
      <c r="AB197" s="26"/>
      <c r="AC197" s="54"/>
      <c r="AD197" s="26"/>
      <c r="AE197" s="56"/>
      <c r="AF197" s="26"/>
      <c r="AG197" s="54"/>
      <c r="AH197" s="26"/>
      <c r="AI197" s="54"/>
      <c r="AJ197" s="55"/>
      <c r="AK197" s="26"/>
      <c r="AL197" s="26"/>
      <c r="AM197" s="54"/>
      <c r="AN197" s="26"/>
      <c r="AO197" s="54"/>
      <c r="AP197" s="26"/>
      <c r="AQ197" s="53"/>
      <c r="AR197" s="26"/>
      <c r="AS197" s="54"/>
      <c r="AT197" s="26"/>
      <c r="AU197" s="54"/>
      <c r="AV197" s="55"/>
      <c r="AW197" s="56"/>
      <c r="AX197" s="26"/>
      <c r="AY197" s="54"/>
      <c r="AZ197" s="26"/>
      <c r="BA197" s="54"/>
      <c r="BB197" s="55"/>
      <c r="BC197" s="26"/>
      <c r="BD197" s="26"/>
      <c r="BE197" s="54"/>
      <c r="BF197" s="26"/>
      <c r="BG197" s="54"/>
      <c r="BH197" s="26"/>
      <c r="BI197" s="56"/>
      <c r="BJ197" s="26"/>
      <c r="BK197" s="54"/>
      <c r="BL197" s="26"/>
      <c r="BM197" s="54"/>
      <c r="BN197" s="55"/>
      <c r="BO197" s="56"/>
      <c r="BP197" s="26"/>
      <c r="BQ197" s="54"/>
      <c r="BR197" s="70"/>
      <c r="BS197" s="54"/>
      <c r="BT197" s="55"/>
      <c r="BU197" s="56"/>
      <c r="BV197" s="26"/>
      <c r="BW197" s="54"/>
      <c r="BX197" s="26"/>
      <c r="BY197" s="54"/>
      <c r="BZ197" s="55"/>
      <c r="CA197" s="56"/>
      <c r="CB197" s="26"/>
      <c r="CC197" s="54"/>
      <c r="CD197" s="26"/>
      <c r="CE197" s="54"/>
      <c r="CF197" s="55"/>
      <c r="CG197" s="56"/>
      <c r="CH197" s="26"/>
      <c r="CI197" s="54"/>
      <c r="CJ197" s="26"/>
      <c r="CK197" s="54"/>
      <c r="CL197" s="55"/>
      <c r="CM197" s="56"/>
      <c r="CN197" s="26"/>
      <c r="CO197" s="54"/>
      <c r="CP197" s="118"/>
      <c r="CQ197" s="54"/>
      <c r="CR197" s="55"/>
      <c r="CS197" s="56"/>
      <c r="CT197" s="26"/>
      <c r="CU197" s="54"/>
      <c r="CV197" s="26"/>
      <c r="CW197" s="54"/>
      <c r="CX197" s="55"/>
      <c r="CY197" s="56"/>
      <c r="CZ197" s="26"/>
      <c r="DA197" s="54"/>
      <c r="DB197" s="26"/>
      <c r="DC197" s="54"/>
      <c r="DD197" s="55"/>
      <c r="DE197" s="56"/>
      <c r="DF197" s="26"/>
      <c r="DG197" s="54"/>
      <c r="DH197" s="26"/>
      <c r="DI197" s="54"/>
      <c r="DJ197" s="55"/>
      <c r="DK197" s="56" t="s">
        <v>9815</v>
      </c>
      <c r="DL197" s="26"/>
      <c r="DM197" s="54"/>
      <c r="DN197" s="26"/>
      <c r="DO197" s="54"/>
      <c r="DP197" s="55"/>
      <c r="DQ197" s="56"/>
      <c r="DR197" s="26"/>
      <c r="DS197" s="54"/>
      <c r="DT197" s="26"/>
      <c r="DU197" s="54"/>
      <c r="DV197" s="55"/>
      <c r="DW197" s="56"/>
      <c r="DX197" s="26"/>
      <c r="DY197" s="54"/>
      <c r="DZ197" s="26"/>
      <c r="EA197" s="54"/>
      <c r="EB197" s="55"/>
      <c r="EC197" s="56"/>
      <c r="ED197" s="26"/>
      <c r="EE197" s="54"/>
      <c r="EF197" s="26" t="s">
        <v>9816</v>
      </c>
      <c r="EG197" s="54"/>
      <c r="EH197" s="55"/>
      <c r="EI197" s="56"/>
      <c r="EJ197" s="26"/>
      <c r="EK197" s="54"/>
      <c r="EL197" s="26" t="s">
        <v>8145</v>
      </c>
      <c r="EM197" s="54"/>
      <c r="EN197" s="55"/>
      <c r="EO197" s="56"/>
      <c r="EP197" s="26"/>
      <c r="EQ197" s="54"/>
      <c r="ER197" s="26"/>
      <c r="ES197" s="54"/>
      <c r="ET197" s="55"/>
    </row>
    <row r="198" spans="1:150" ht="20.100000000000001" hidden="1" customHeight="1" outlineLevel="1" thickBot="1">
      <c r="A198" s="3034"/>
      <c r="B198" s="3028"/>
      <c r="C198" s="10"/>
    </row>
    <row r="199" spans="1:150" ht="20.100000000000001" hidden="1" customHeight="1" outlineLevel="1" thickBot="1">
      <c r="A199" s="3034"/>
      <c r="B199" s="3028"/>
      <c r="C199" s="10"/>
    </row>
    <row r="200" spans="1:150" ht="20.100000000000001" hidden="1" customHeight="1" outlineLevel="1" thickBot="1">
      <c r="A200" s="3034"/>
      <c r="B200" s="3028"/>
      <c r="C200" s="179"/>
      <c r="D200" s="2726" t="str">
        <f>実績!C1318&amp;"("&amp;SUBSTITUTE(実績!W1318&amp;")","株式会社 ","")</f>
        <v>堅展実業株式会社厚岸蒸留所製麦棟(横河システム建築)</v>
      </c>
      <c r="E200" s="2727"/>
      <c r="F200" s="2727"/>
      <c r="G200" s="2727"/>
      <c r="H200" s="2727"/>
      <c r="I200" s="2727"/>
      <c r="J200" s="2727"/>
      <c r="K200" s="2727"/>
      <c r="L200" s="2727"/>
      <c r="M200" s="2727"/>
      <c r="N200" s="2727"/>
      <c r="O200" s="2727"/>
      <c r="P200" s="2727"/>
      <c r="Q200" s="2727"/>
      <c r="R200" s="2728"/>
      <c r="S200" s="26"/>
      <c r="T200" s="26"/>
      <c r="U200" s="54"/>
      <c r="V200" s="26"/>
      <c r="W200" s="54"/>
      <c r="X200" s="55"/>
      <c r="Y200" s="26"/>
      <c r="Z200" s="26"/>
      <c r="AA200" s="54"/>
      <c r="AB200" s="26"/>
      <c r="AC200" s="54"/>
      <c r="AD200" s="26"/>
      <c r="AE200" s="56"/>
      <c r="AF200" s="26"/>
      <c r="AG200" s="54"/>
      <c r="AH200" s="26"/>
      <c r="AI200" s="54"/>
      <c r="AJ200" s="55"/>
      <c r="AK200" s="26"/>
      <c r="AL200" s="26"/>
      <c r="AM200" s="54"/>
      <c r="AN200" s="26"/>
      <c r="AO200" s="54"/>
      <c r="AP200" s="26"/>
      <c r="AQ200" s="53"/>
      <c r="AR200" s="26"/>
      <c r="AS200" s="54"/>
      <c r="AT200" s="26"/>
      <c r="AU200" s="54"/>
      <c r="AV200" s="55"/>
      <c r="AW200" s="56"/>
      <c r="AX200" s="26"/>
      <c r="AY200" s="54"/>
      <c r="AZ200" s="26"/>
      <c r="BA200" s="54"/>
      <c r="BB200" s="55"/>
      <c r="BC200" s="26"/>
      <c r="BD200" s="26"/>
      <c r="BE200" s="54"/>
      <c r="BF200" s="26"/>
      <c r="BG200" s="54"/>
      <c r="BH200" s="26"/>
      <c r="BI200" s="56"/>
      <c r="BJ200" s="26"/>
      <c r="BK200" s="54"/>
      <c r="BL200" s="26"/>
      <c r="BM200" s="54"/>
      <c r="BN200" s="55"/>
      <c r="BO200" s="56"/>
      <c r="BP200" s="26"/>
      <c r="BQ200" s="54"/>
      <c r="BR200" s="70"/>
      <c r="BS200" s="54"/>
      <c r="BT200" s="55"/>
      <c r="BU200" s="56"/>
      <c r="BV200" s="26"/>
      <c r="BW200" s="54"/>
      <c r="BX200" s="26"/>
      <c r="BY200" s="54"/>
      <c r="BZ200" s="55"/>
      <c r="CA200" s="56"/>
      <c r="CB200" s="26"/>
      <c r="CC200" s="54"/>
      <c r="CD200" s="26"/>
      <c r="CE200" s="54"/>
      <c r="CF200" s="55"/>
      <c r="CG200" s="56"/>
      <c r="CH200" s="26"/>
      <c r="CI200" s="54"/>
      <c r="CJ200" s="26"/>
      <c r="CK200" s="54"/>
      <c r="CL200" s="55"/>
      <c r="CM200" s="56"/>
      <c r="CN200" s="26"/>
      <c r="CO200" s="54"/>
      <c r="CP200" s="118"/>
      <c r="CQ200" s="54"/>
      <c r="CR200" s="55"/>
      <c r="CS200" s="56"/>
      <c r="CT200" s="26"/>
      <c r="CU200" s="54"/>
      <c r="CV200" s="26"/>
      <c r="CW200" s="54"/>
      <c r="CX200" s="55"/>
      <c r="CY200" s="56"/>
      <c r="CZ200" s="26"/>
      <c r="DA200" s="54"/>
      <c r="DB200" s="26"/>
      <c r="DC200" s="54"/>
      <c r="DD200" s="55"/>
      <c r="DE200" s="56"/>
      <c r="DF200" s="26"/>
      <c r="DG200" s="54" t="s">
        <v>8644</v>
      </c>
      <c r="DH200" s="26"/>
      <c r="DI200" s="54"/>
      <c r="DJ200" s="55"/>
      <c r="DK200" s="56" t="s">
        <v>8586</v>
      </c>
      <c r="DL200" s="26"/>
      <c r="DM200" s="54"/>
      <c r="DN200" s="26"/>
      <c r="DO200" s="54"/>
      <c r="DP200" s="116"/>
      <c r="DQ200" s="56"/>
      <c r="DR200" s="26"/>
      <c r="DS200" s="54"/>
      <c r="DT200" s="26"/>
      <c r="DU200" s="54"/>
      <c r="DV200" s="116"/>
      <c r="DW200" s="56"/>
      <c r="DX200" s="26"/>
      <c r="DY200" s="54"/>
      <c r="DZ200" s="26"/>
      <c r="EA200" s="54"/>
      <c r="EB200" s="116"/>
      <c r="EC200" s="56" t="s">
        <v>8145</v>
      </c>
      <c r="ED200" s="26"/>
      <c r="EE200" s="54"/>
      <c r="EF200" s="26"/>
      <c r="EG200" s="54"/>
      <c r="EH200" s="116"/>
      <c r="EI200" s="56"/>
      <c r="EJ200" s="26"/>
      <c r="EK200" s="54"/>
      <c r="EL200" s="26"/>
      <c r="EM200" s="54"/>
      <c r="EN200" s="116"/>
      <c r="EO200" s="56"/>
      <c r="EP200" s="26"/>
      <c r="EQ200" s="54"/>
      <c r="ER200" s="26"/>
      <c r="ES200" s="54"/>
      <c r="ET200" s="116"/>
    </row>
    <row r="201" spans="1:150" ht="20.100000000000001" hidden="1" customHeight="1" outlineLevel="1" collapsed="1" thickBot="1">
      <c r="A201" s="3034"/>
      <c r="B201" s="3028"/>
      <c r="C201" s="179"/>
      <c r="D201" s="2726" t="str">
        <f>実績!C1335&amp;"("&amp;SUBSTITUTE(実績!R1335&amp;")"," 株式会社","")</f>
        <v>キョーユー(株)新工場棟(藤井産業)</v>
      </c>
      <c r="E201" s="2727"/>
      <c r="F201" s="2727"/>
      <c r="G201" s="2727"/>
      <c r="H201" s="2727"/>
      <c r="I201" s="2727"/>
      <c r="J201" s="2727"/>
      <c r="K201" s="2727"/>
      <c r="L201" s="2727"/>
      <c r="M201" s="2727"/>
      <c r="N201" s="2727"/>
      <c r="O201" s="2727"/>
      <c r="P201" s="2727"/>
      <c r="Q201" s="2727"/>
      <c r="R201" s="2728"/>
      <c r="S201" s="26"/>
      <c r="T201" s="26"/>
      <c r="U201" s="54"/>
      <c r="V201" s="26"/>
      <c r="W201" s="54"/>
      <c r="X201" s="55"/>
      <c r="Y201" s="26"/>
      <c r="Z201" s="26"/>
      <c r="AA201" s="54"/>
      <c r="AB201" s="26"/>
      <c r="AC201" s="54"/>
      <c r="AD201" s="26"/>
      <c r="AE201" s="56"/>
      <c r="AF201" s="26"/>
      <c r="AG201" s="54"/>
      <c r="AH201" s="26"/>
      <c r="AI201" s="54"/>
      <c r="AJ201" s="55"/>
      <c r="AK201" s="26"/>
      <c r="AL201" s="26"/>
      <c r="AM201" s="54"/>
      <c r="AN201" s="26"/>
      <c r="AO201" s="54"/>
      <c r="AP201" s="26"/>
      <c r="AQ201" s="53"/>
      <c r="AR201" s="26"/>
      <c r="AS201" s="54"/>
      <c r="AT201" s="26"/>
      <c r="AU201" s="54"/>
      <c r="AV201" s="55"/>
      <c r="AW201" s="56"/>
      <c r="AX201" s="26"/>
      <c r="AY201" s="54"/>
      <c r="AZ201" s="26"/>
      <c r="BA201" s="54"/>
      <c r="BB201" s="55"/>
      <c r="BC201" s="26"/>
      <c r="BD201" s="26"/>
      <c r="BE201" s="54"/>
      <c r="BF201" s="26"/>
      <c r="BG201" s="54"/>
      <c r="BH201" s="26"/>
      <c r="BI201" s="56"/>
      <c r="BJ201" s="26"/>
      <c r="BK201" s="54"/>
      <c r="BL201" s="26"/>
      <c r="BM201" s="54"/>
      <c r="BN201" s="55"/>
      <c r="BO201" s="56"/>
      <c r="BP201" s="26"/>
      <c r="BQ201" s="54"/>
      <c r="BR201" s="70"/>
      <c r="BS201" s="54"/>
      <c r="BT201" s="55"/>
      <c r="BU201" s="56"/>
      <c r="BV201" s="26"/>
      <c r="BW201" s="54"/>
      <c r="BX201" s="26"/>
      <c r="BY201" s="54"/>
      <c r="BZ201" s="55"/>
      <c r="CA201" s="56"/>
      <c r="CB201" s="26"/>
      <c r="CC201" s="54"/>
      <c r="CD201" s="26"/>
      <c r="CE201" s="54"/>
      <c r="CF201" s="55"/>
      <c r="CG201" s="56"/>
      <c r="CH201" s="26"/>
      <c r="CI201" s="54"/>
      <c r="CJ201" s="26"/>
      <c r="CK201" s="54"/>
      <c r="CL201" s="55"/>
      <c r="CM201" s="56"/>
      <c r="CN201" s="26"/>
      <c r="CO201" s="54"/>
      <c r="CP201" s="118"/>
      <c r="CQ201" s="54"/>
      <c r="CR201" s="55"/>
      <c r="CS201" s="56"/>
      <c r="CT201" s="26"/>
      <c r="CU201" s="54"/>
      <c r="CV201" s="26"/>
      <c r="CW201" s="54"/>
      <c r="CX201" s="55"/>
      <c r="CY201" s="56"/>
      <c r="CZ201" s="26"/>
      <c r="DA201" s="54"/>
      <c r="DB201" s="26"/>
      <c r="DC201" s="54"/>
      <c r="DD201" s="55"/>
      <c r="DE201" s="56"/>
      <c r="DF201" s="26"/>
      <c r="DG201" s="54"/>
      <c r="DH201" s="26"/>
      <c r="DI201" s="54"/>
      <c r="DJ201" s="55"/>
      <c r="DK201" s="56"/>
      <c r="DL201" s="26" t="s">
        <v>8250</v>
      </c>
      <c r="DM201" s="54"/>
      <c r="DN201" s="26"/>
      <c r="DO201" s="54"/>
      <c r="DP201" s="55"/>
      <c r="DQ201" s="56"/>
      <c r="DR201" s="26"/>
      <c r="DS201" s="54"/>
      <c r="DT201" s="26"/>
      <c r="DU201" s="54"/>
      <c r="DV201" s="116"/>
      <c r="DW201" s="56" t="s">
        <v>8145</v>
      </c>
      <c r="DX201" s="26"/>
      <c r="DY201" s="54"/>
      <c r="DZ201" s="26"/>
      <c r="EA201" s="54"/>
      <c r="EB201" s="116"/>
      <c r="EC201" s="56"/>
      <c r="ED201" s="26"/>
      <c r="EE201" s="54"/>
      <c r="EF201" s="26"/>
      <c r="EG201" s="54"/>
      <c r="EH201" s="116"/>
      <c r="EI201" s="56"/>
      <c r="EJ201" s="26"/>
      <c r="EK201" s="54"/>
      <c r="EL201" s="26"/>
      <c r="EM201" s="54"/>
      <c r="EN201" s="116"/>
      <c r="EO201" s="56"/>
      <c r="EP201" s="26"/>
      <c r="EQ201" s="54"/>
      <c r="ER201" s="26"/>
      <c r="ES201" s="54"/>
      <c r="ET201" s="116"/>
    </row>
    <row r="202" spans="1:150" ht="20.100000000000001" hidden="1" customHeight="1" outlineLevel="1" thickBot="1">
      <c r="A202" s="3034"/>
      <c r="B202" s="3028"/>
      <c r="C202" s="10"/>
    </row>
    <row r="203" spans="1:150" ht="20.100000000000001" hidden="1" customHeight="1" outlineLevel="1" collapsed="1" thickBot="1">
      <c r="A203" s="3034"/>
      <c r="B203" s="3028"/>
      <c r="C203" s="10"/>
    </row>
    <row r="204" spans="1:150" ht="20.100000000000001" hidden="1" customHeight="1" outlineLevel="1" thickBot="1">
      <c r="A204" s="3034"/>
      <c r="B204" s="3028"/>
      <c r="C204" s="179"/>
      <c r="D204" s="2726" t="str">
        <f>実績!C1282&amp;"("&amp;SUBSTITUTE(実績!R1282&amp;")","株式会社 ","")</f>
        <v>大野ピッチング練習場(さくら建築設計 株式会社)</v>
      </c>
      <c r="E204" s="2727"/>
      <c r="F204" s="2727"/>
      <c r="G204" s="2727"/>
      <c r="H204" s="2727"/>
      <c r="I204" s="2727"/>
      <c r="J204" s="2727"/>
      <c r="K204" s="2727"/>
      <c r="L204" s="2727"/>
      <c r="M204" s="2727"/>
      <c r="N204" s="2727"/>
      <c r="O204" s="2727"/>
      <c r="P204" s="2727"/>
      <c r="Q204" s="2727"/>
      <c r="R204" s="2728"/>
      <c r="S204" s="26"/>
      <c r="T204" s="26"/>
      <c r="U204" s="54"/>
      <c r="V204" s="26"/>
      <c r="W204" s="54"/>
      <c r="X204" s="55"/>
      <c r="Y204" s="26"/>
      <c r="Z204" s="26"/>
      <c r="AA204" s="54"/>
      <c r="AB204" s="26"/>
      <c r="AC204" s="54"/>
      <c r="AD204" s="26"/>
      <c r="AE204" s="56"/>
      <c r="AF204" s="26"/>
      <c r="AG204" s="54"/>
      <c r="AH204" s="26"/>
      <c r="AI204" s="54"/>
      <c r="AJ204" s="55"/>
      <c r="AK204" s="26"/>
      <c r="AL204" s="26"/>
      <c r="AM204" s="54"/>
      <c r="AN204" s="26"/>
      <c r="AO204" s="54"/>
      <c r="AP204" s="26"/>
      <c r="AQ204" s="53"/>
      <c r="AR204" s="26"/>
      <c r="AS204" s="54"/>
      <c r="AT204" s="26"/>
      <c r="AU204" s="54"/>
      <c r="AV204" s="55"/>
      <c r="AW204" s="56"/>
      <c r="AX204" s="26"/>
      <c r="AY204" s="54"/>
      <c r="AZ204" s="26"/>
      <c r="BA204" s="54"/>
      <c r="BB204" s="55"/>
      <c r="BC204" s="26"/>
      <c r="BD204" s="26"/>
      <c r="BE204" s="54"/>
      <c r="BF204" s="26"/>
      <c r="BG204" s="54"/>
      <c r="BH204" s="26"/>
      <c r="BI204" s="56"/>
      <c r="BJ204" s="26"/>
      <c r="BK204" s="54"/>
      <c r="BL204" s="26"/>
      <c r="BM204" s="54"/>
      <c r="BN204" s="55"/>
      <c r="BO204" s="56"/>
      <c r="BP204" s="26"/>
      <c r="BQ204" s="54"/>
      <c r="BR204" s="70"/>
      <c r="BS204" s="54"/>
      <c r="BT204" s="55"/>
      <c r="BU204" s="56"/>
      <c r="BV204" s="26"/>
      <c r="BW204" s="54"/>
      <c r="BX204" s="26"/>
      <c r="BY204" s="54"/>
      <c r="BZ204" s="55"/>
      <c r="CA204" s="56"/>
      <c r="CB204" s="26"/>
      <c r="CC204" s="54"/>
      <c r="CD204" s="26"/>
      <c r="CE204" s="54"/>
      <c r="CF204" s="55"/>
      <c r="CG204" s="56"/>
      <c r="CH204" s="26"/>
      <c r="CI204" s="54"/>
      <c r="CJ204" s="26"/>
      <c r="CK204" s="54"/>
      <c r="CL204" s="55"/>
      <c r="CM204" s="56"/>
      <c r="CN204" s="26"/>
      <c r="CO204" s="54"/>
      <c r="CP204" s="118"/>
      <c r="CQ204" s="54"/>
      <c r="CR204" s="55"/>
      <c r="CS204" s="56"/>
      <c r="CT204" s="26"/>
      <c r="CU204" s="54"/>
      <c r="CV204" s="26"/>
      <c r="CW204" s="54"/>
      <c r="CX204" s="55"/>
      <c r="CY204" s="56"/>
      <c r="CZ204" s="26"/>
      <c r="DA204" s="54"/>
      <c r="DB204" s="26"/>
      <c r="DC204" s="54"/>
      <c r="DD204" s="55"/>
      <c r="DE204" s="56"/>
      <c r="DF204" s="26"/>
      <c r="DG204" s="54"/>
      <c r="DH204" s="26"/>
      <c r="DI204" s="54"/>
      <c r="DJ204" s="55"/>
      <c r="DK204" s="56"/>
      <c r="DL204" s="26"/>
      <c r="DM204" s="54"/>
      <c r="DN204" s="26"/>
      <c r="DO204" s="54"/>
      <c r="DP204" s="55"/>
      <c r="DQ204" s="56"/>
      <c r="DR204" s="26"/>
      <c r="DS204" s="54"/>
      <c r="DT204" s="26"/>
      <c r="DU204" s="54"/>
      <c r="DV204" s="55"/>
      <c r="DW204" s="56"/>
      <c r="DX204" s="26"/>
      <c r="DY204" s="54"/>
      <c r="DZ204" s="26"/>
      <c r="EA204" s="54"/>
      <c r="EB204" s="55"/>
      <c r="EC204" s="56"/>
      <c r="ED204" s="26"/>
      <c r="EE204" s="54"/>
      <c r="EF204" s="26"/>
      <c r="EG204" s="54"/>
      <c r="EH204" s="55"/>
      <c r="EI204" s="56"/>
      <c r="EJ204" s="26"/>
      <c r="EK204" s="54"/>
      <c r="EL204" s="26"/>
      <c r="EM204" s="54"/>
      <c r="EN204" s="55"/>
      <c r="EO204" s="56"/>
      <c r="EP204" s="26"/>
      <c r="EQ204" s="54"/>
      <c r="ER204" s="26"/>
      <c r="ES204" s="54"/>
      <c r="ET204" s="55"/>
    </row>
    <row r="205" spans="1:150" ht="20.100000000000001" hidden="1" customHeight="1" outlineLevel="1" collapsed="1" thickBot="1">
      <c r="A205" s="3034"/>
      <c r="B205" s="3028"/>
      <c r="C205" s="179"/>
      <c r="D205" s="2726" t="str">
        <f>実績!C1351&amp;"("&amp;SUBSTITUTE(実績!C1351&amp;")"," 一級建築士事務所","")</f>
        <v>芹澤様共同住宅(芹澤様共同住宅)</v>
      </c>
      <c r="E205" s="2727"/>
      <c r="F205" s="2727"/>
      <c r="G205" s="2727"/>
      <c r="H205" s="2727"/>
      <c r="I205" s="2727"/>
      <c r="J205" s="2727"/>
      <c r="K205" s="2727"/>
      <c r="L205" s="2727"/>
      <c r="M205" s="2727"/>
      <c r="N205" s="2727"/>
      <c r="O205" s="2727"/>
      <c r="P205" s="2727"/>
      <c r="Q205" s="2727"/>
      <c r="R205" s="2728"/>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118"/>
      <c r="CQ205" s="26"/>
      <c r="CR205" s="26"/>
      <c r="CS205" s="26"/>
      <c r="CT205" s="26"/>
      <c r="CU205" s="26"/>
      <c r="CV205" s="26"/>
      <c r="CW205" s="26"/>
      <c r="CX205" s="26"/>
      <c r="CY205" s="56"/>
      <c r="CZ205" s="26"/>
      <c r="DA205" s="54"/>
      <c r="DB205" s="26"/>
      <c r="DC205" s="54"/>
      <c r="DD205" s="55"/>
      <c r="DE205" s="56"/>
      <c r="DF205" s="26"/>
      <c r="DG205" s="54"/>
      <c r="DH205" s="26"/>
      <c r="DI205" s="54"/>
      <c r="DJ205" s="116"/>
      <c r="DK205" s="56"/>
      <c r="DL205" s="26"/>
      <c r="DM205" s="54"/>
      <c r="DN205" s="26"/>
      <c r="DO205" s="54"/>
      <c r="DP205" s="55"/>
      <c r="DQ205" s="56"/>
      <c r="DR205" s="26"/>
      <c r="DS205" s="54"/>
      <c r="DT205" s="26" t="s">
        <v>8145</v>
      </c>
      <c r="DU205" s="54"/>
      <c r="DV205" s="116"/>
      <c r="DW205" s="56"/>
      <c r="DX205" s="26"/>
      <c r="DY205" s="54"/>
      <c r="DZ205" s="26"/>
      <c r="EA205" s="54"/>
      <c r="EB205" s="116"/>
      <c r="EC205" s="56"/>
      <c r="ED205" s="26"/>
      <c r="EE205" s="54"/>
      <c r="EF205" s="26"/>
      <c r="EG205" s="54"/>
      <c r="EH205" s="116"/>
      <c r="EI205" s="56"/>
      <c r="EJ205" s="26"/>
      <c r="EK205" s="54"/>
      <c r="EL205" s="26"/>
      <c r="EM205" s="54"/>
      <c r="EN205" s="116"/>
      <c r="EO205" s="56"/>
      <c r="EP205" s="26"/>
      <c r="EQ205" s="54"/>
      <c r="ER205" s="26"/>
      <c r="ES205" s="54"/>
      <c r="ET205" s="116"/>
    </row>
    <row r="206" spans="1:150" ht="20.100000000000001" hidden="1" customHeight="1" outlineLevel="1" thickBot="1">
      <c r="A206" s="3034"/>
      <c r="B206" s="3028"/>
      <c r="C206" s="10"/>
    </row>
    <row r="207" spans="1:150" ht="20.100000000000001" hidden="1" customHeight="1" outlineLevel="1" thickBot="1">
      <c r="A207" s="3034"/>
      <c r="B207" s="3028"/>
      <c r="C207" s="10"/>
    </row>
    <row r="208" spans="1:150" ht="20.100000000000001" hidden="1" customHeight="1" outlineLevel="1" thickBot="1">
      <c r="A208" s="3034"/>
      <c r="B208" s="3028"/>
      <c r="C208" s="10"/>
    </row>
    <row r="209" spans="1:150" ht="20.100000000000001" hidden="1" customHeight="1" outlineLevel="1" thickBot="1">
      <c r="A209" s="3034"/>
      <c r="B209" s="3028"/>
      <c r="C209" s="10"/>
    </row>
    <row r="210" spans="1:150" ht="20.100000000000001" hidden="1" customHeight="1" outlineLevel="1" collapsed="1" thickBot="1">
      <c r="A210" s="3034"/>
      <c r="B210" s="3028"/>
      <c r="C210" s="10"/>
    </row>
    <row r="211" spans="1:150" ht="20.100000000000001" hidden="1" customHeight="1" outlineLevel="1" thickBot="1">
      <c r="A211" s="3034"/>
      <c r="B211" s="3028"/>
      <c r="C211" s="10"/>
    </row>
    <row r="212" spans="1:150" ht="20.100000000000001" hidden="1" customHeight="1" outlineLevel="1" thickBot="1">
      <c r="A212" s="3034"/>
      <c r="B212" s="3028"/>
      <c r="C212" s="10"/>
    </row>
    <row r="213" spans="1:150" ht="20.100000000000001" hidden="1" customHeight="1" outlineLevel="1" thickBot="1">
      <c r="A213" s="3034"/>
      <c r="B213" s="3028"/>
      <c r="C213" s="10"/>
    </row>
    <row r="214" spans="1:150" ht="20.100000000000001" hidden="1" customHeight="1" outlineLevel="1" thickBot="1">
      <c r="A214" s="3034"/>
      <c r="B214" s="3028"/>
      <c r="C214" s="10"/>
    </row>
    <row r="215" spans="1:150" ht="20.100000000000001" hidden="1" customHeight="1" outlineLevel="1" collapsed="1" thickBot="1">
      <c r="A215" s="3034"/>
      <c r="B215" s="3028"/>
      <c r="C215" s="10"/>
    </row>
    <row r="216" spans="1:150" ht="20.100000000000001" hidden="1" customHeight="1" outlineLevel="1" thickBot="1">
      <c r="A216" s="3034"/>
      <c r="B216" s="3028"/>
      <c r="C216" s="179"/>
      <c r="D216" s="2726" t="str">
        <f>実績!C1345&amp;"("&amp;SUBSTITUTE(実績!R1345&amp;")","株式会社 ","")</f>
        <v>ダイハツ北海道販売㈱岩見沢(ア・ド建築工房)</v>
      </c>
      <c r="E216" s="2727"/>
      <c r="F216" s="2727"/>
      <c r="G216" s="2727"/>
      <c r="H216" s="2727"/>
      <c r="I216" s="2727"/>
      <c r="J216" s="2727"/>
      <c r="K216" s="2727"/>
      <c r="L216" s="2727"/>
      <c r="M216" s="2727"/>
      <c r="N216" s="2727"/>
      <c r="O216" s="2727"/>
      <c r="P216" s="2727"/>
      <c r="Q216" s="2727"/>
      <c r="R216" s="2728"/>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118"/>
      <c r="CQ216" s="26"/>
      <c r="CR216" s="26"/>
      <c r="CS216" s="26"/>
      <c r="CT216" s="26"/>
      <c r="CU216" s="26"/>
      <c r="CV216" s="26"/>
      <c r="CW216" s="26"/>
      <c r="CX216" s="26"/>
      <c r="CY216" s="56"/>
      <c r="CZ216" s="26"/>
      <c r="DA216" s="54"/>
      <c r="DB216" s="26"/>
      <c r="DC216" s="54"/>
      <c r="DD216" s="55"/>
      <c r="DE216" s="56"/>
      <c r="DF216" s="26"/>
      <c r="DG216" s="54"/>
      <c r="DH216" s="26"/>
      <c r="DI216" s="54"/>
      <c r="DJ216" s="116"/>
      <c r="DK216" s="56"/>
      <c r="DL216" s="26"/>
      <c r="DM216" s="54"/>
      <c r="DN216" s="26"/>
      <c r="DO216" s="54"/>
      <c r="DP216" s="55"/>
      <c r="DQ216" s="56" t="s">
        <v>8250</v>
      </c>
      <c r="DR216" s="26"/>
      <c r="DS216" s="54"/>
      <c r="DT216" s="26"/>
      <c r="DU216" s="54" t="s">
        <v>8145</v>
      </c>
      <c r="DV216" s="116"/>
      <c r="DW216" s="56"/>
      <c r="DX216" s="26"/>
      <c r="DY216" s="54"/>
      <c r="DZ216" s="26"/>
      <c r="EA216" s="54"/>
      <c r="EB216" s="116"/>
      <c r="EC216" s="56"/>
      <c r="ED216" s="26"/>
      <c r="EE216" s="54"/>
      <c r="EF216" s="26"/>
      <c r="EG216" s="54"/>
      <c r="EH216" s="116"/>
      <c r="EI216" s="56"/>
      <c r="EJ216" s="26"/>
      <c r="EK216" s="54"/>
      <c r="EL216" s="26"/>
      <c r="EM216" s="54"/>
      <c r="EN216" s="116"/>
      <c r="EO216" s="56"/>
      <c r="EP216" s="26"/>
      <c r="EQ216" s="54"/>
      <c r="ER216" s="26"/>
      <c r="ES216" s="54"/>
      <c r="ET216" s="116"/>
    </row>
    <row r="217" spans="1:150" ht="20.100000000000001" hidden="1" customHeight="1" outlineLevel="1" thickBot="1">
      <c r="A217" s="3034"/>
      <c r="B217" s="3028"/>
      <c r="C217" s="10"/>
    </row>
    <row r="218" spans="1:150" ht="20.100000000000001" hidden="1" customHeight="1" outlineLevel="1" thickBot="1">
      <c r="A218" s="3034"/>
      <c r="B218" s="3028"/>
      <c r="C218" s="10"/>
    </row>
    <row r="219" spans="1:150" ht="20.100000000000001" hidden="1" customHeight="1" outlineLevel="1" collapsed="1" thickBot="1">
      <c r="A219" s="3034"/>
      <c r="B219" s="3028"/>
      <c r="C219" s="10"/>
    </row>
    <row r="220" spans="1:150" ht="20.100000000000001" customHeight="1" collapsed="1" thickBot="1">
      <c r="A220" s="3034"/>
      <c r="B220" s="2976" t="s">
        <v>15612</v>
      </c>
      <c r="C220" s="1252"/>
      <c r="D220" s="3012" t="str">
        <f>実績!C1328&amp;"("&amp;SUBSTITUTE(実績!W1328&amp;")","株式会社 ","")</f>
        <v>JA新潟みらい亀田･横越地区店舗 倉庫棟＋横越支店棟(伊藤設計)</v>
      </c>
      <c r="E220" s="3013"/>
      <c r="F220" s="3013"/>
      <c r="G220" s="3013"/>
      <c r="H220" s="3013"/>
      <c r="I220" s="3013"/>
      <c r="J220" s="3013"/>
      <c r="K220" s="3013"/>
      <c r="L220" s="3013"/>
      <c r="M220" s="3013"/>
      <c r="N220" s="3013"/>
      <c r="O220" s="3013"/>
      <c r="P220" s="3013"/>
      <c r="Q220" s="3013"/>
      <c r="R220" s="3014"/>
      <c r="S220" s="1253"/>
      <c r="T220" s="1253"/>
      <c r="U220" s="1253"/>
      <c r="V220" s="1253"/>
      <c r="W220" s="1253"/>
      <c r="X220" s="1253"/>
      <c r="Y220" s="1253"/>
      <c r="Z220" s="1253"/>
      <c r="AA220" s="1253"/>
      <c r="AB220" s="1253"/>
      <c r="AC220" s="1253"/>
      <c r="AD220" s="1253"/>
      <c r="AE220" s="1253"/>
      <c r="AF220" s="1253"/>
      <c r="AG220" s="1253"/>
      <c r="AH220" s="1253"/>
      <c r="AI220" s="1253"/>
      <c r="AJ220" s="1253"/>
      <c r="AK220" s="1253"/>
      <c r="AL220" s="1253"/>
      <c r="AM220" s="1253"/>
      <c r="AN220" s="1253"/>
      <c r="AO220" s="1253"/>
      <c r="AP220" s="1253"/>
      <c r="AQ220" s="1253"/>
      <c r="AR220" s="1253"/>
      <c r="AS220" s="1253"/>
      <c r="AT220" s="1253"/>
      <c r="AU220" s="1253"/>
      <c r="AV220" s="1253"/>
      <c r="AW220" s="1253"/>
      <c r="AX220" s="1253"/>
      <c r="AY220" s="1253"/>
      <c r="AZ220" s="1253"/>
      <c r="BA220" s="1253"/>
      <c r="BB220" s="1253"/>
      <c r="BC220" s="1253"/>
      <c r="BD220" s="1253"/>
      <c r="BE220" s="1253"/>
      <c r="BF220" s="1253"/>
      <c r="BG220" s="1253"/>
      <c r="BH220" s="1253"/>
      <c r="BI220" s="1253"/>
      <c r="BJ220" s="1253"/>
      <c r="BK220" s="1253"/>
      <c r="BL220" s="1253"/>
      <c r="BM220" s="1253"/>
      <c r="BN220" s="1253"/>
      <c r="BO220" s="1253"/>
      <c r="BP220" s="1253"/>
      <c r="BQ220" s="1253"/>
      <c r="BR220" s="1253"/>
      <c r="BS220" s="1253"/>
      <c r="BT220" s="1253"/>
      <c r="BU220" s="1253"/>
      <c r="BV220" s="1253"/>
      <c r="BW220" s="1253"/>
      <c r="BX220" s="1253"/>
      <c r="BY220" s="1253"/>
      <c r="BZ220" s="1253"/>
      <c r="CA220" s="1253"/>
      <c r="CB220" s="1253"/>
      <c r="CC220" s="1253"/>
      <c r="CD220" s="1253"/>
      <c r="CE220" s="1253"/>
      <c r="CF220" s="1253"/>
      <c r="CG220" s="1253"/>
      <c r="CH220" s="1253"/>
      <c r="CI220" s="1253"/>
      <c r="CJ220" s="1253"/>
      <c r="CK220" s="1253"/>
      <c r="CL220" s="1253"/>
      <c r="CM220" s="1253"/>
      <c r="CN220" s="1253"/>
      <c r="CO220" s="1253"/>
      <c r="CP220" s="1254"/>
      <c r="CQ220" s="1253"/>
      <c r="CR220" s="1253"/>
      <c r="CS220" s="1253"/>
      <c r="CT220" s="1253"/>
      <c r="CU220" s="1253"/>
      <c r="CV220" s="1253"/>
      <c r="CW220" s="1253"/>
      <c r="CX220" s="1253"/>
      <c r="CY220" s="1255"/>
      <c r="CZ220" s="1253"/>
      <c r="DA220" s="1256"/>
      <c r="DB220" s="1253"/>
      <c r="DC220" s="1256"/>
      <c r="DD220" s="1257"/>
      <c r="DE220" s="1255"/>
      <c r="DF220" s="1253"/>
      <c r="DG220" s="1256"/>
      <c r="DH220" s="1253"/>
      <c r="DI220" s="1256"/>
      <c r="DJ220" s="1258"/>
      <c r="DK220" s="1255" t="s">
        <v>8250</v>
      </c>
      <c r="DL220" s="1253"/>
      <c r="DM220" s="1256"/>
      <c r="DN220" s="1253"/>
      <c r="DO220" s="1256"/>
      <c r="DP220" s="1257"/>
      <c r="DQ220" s="1255"/>
      <c r="DR220" s="1253"/>
      <c r="DS220" s="1256"/>
      <c r="DT220" s="1253"/>
      <c r="DU220" s="1256"/>
      <c r="DV220" s="1258"/>
      <c r="DW220" s="1197" t="s">
        <v>15630</v>
      </c>
      <c r="DX220" s="1253"/>
      <c r="DY220" s="1256"/>
      <c r="DZ220" s="1253"/>
      <c r="EA220" s="1256"/>
      <c r="EB220" s="1258"/>
      <c r="EC220" s="1255"/>
      <c r="ED220" s="1253"/>
      <c r="EE220" s="1256"/>
      <c r="EF220" s="1253"/>
      <c r="EG220" s="1256"/>
      <c r="EH220" s="1258"/>
      <c r="EI220" s="1255"/>
      <c r="EJ220" s="1253"/>
      <c r="EK220" s="1256"/>
      <c r="EL220" s="1253"/>
      <c r="EM220" s="1256"/>
      <c r="EN220" s="1258"/>
      <c r="EO220" s="1255"/>
      <c r="EP220" s="1253"/>
      <c r="EQ220" s="1256"/>
      <c r="ER220" s="1253"/>
      <c r="ES220" s="1256"/>
      <c r="ET220" s="1258"/>
    </row>
    <row r="221" spans="1:150" ht="20.100000000000001" customHeight="1" thickBot="1">
      <c r="A221" s="3034"/>
      <c r="B221" s="2977"/>
      <c r="C221" s="1185"/>
      <c r="D221" s="3003" t="str">
        <f>実績!C1314&amp;"("&amp;SUBSTITUTE(実績!R1314&amp;")","株式会社 ","")</f>
        <v>バロー岡崎駅南 SM棟(上野山都市設計)</v>
      </c>
      <c r="E221" s="3004"/>
      <c r="F221" s="3004"/>
      <c r="G221" s="3004"/>
      <c r="H221" s="3004"/>
      <c r="I221" s="3004"/>
      <c r="J221" s="3004"/>
      <c r="K221" s="3004"/>
      <c r="L221" s="3004"/>
      <c r="M221" s="3004"/>
      <c r="N221" s="3004"/>
      <c r="O221" s="3004"/>
      <c r="P221" s="3004"/>
      <c r="Q221" s="3004"/>
      <c r="R221" s="3005"/>
      <c r="S221" s="1189"/>
      <c r="T221" s="1189"/>
      <c r="U221" s="1190"/>
      <c r="V221" s="1189"/>
      <c r="W221" s="1190"/>
      <c r="X221" s="1191"/>
      <c r="Y221" s="1189"/>
      <c r="Z221" s="1189"/>
      <c r="AA221" s="1190"/>
      <c r="AB221" s="1189"/>
      <c r="AC221" s="1190"/>
      <c r="AD221" s="1189"/>
      <c r="AE221" s="1192"/>
      <c r="AF221" s="1189"/>
      <c r="AG221" s="1190"/>
      <c r="AH221" s="1189"/>
      <c r="AI221" s="1190"/>
      <c r="AJ221" s="1191"/>
      <c r="AK221" s="1189"/>
      <c r="AL221" s="1189"/>
      <c r="AM221" s="1190"/>
      <c r="AN221" s="1189"/>
      <c r="AO221" s="1190"/>
      <c r="AP221" s="1189"/>
      <c r="AQ221" s="1193"/>
      <c r="AR221" s="1189"/>
      <c r="AS221" s="1190"/>
      <c r="AT221" s="1189"/>
      <c r="AU221" s="1190"/>
      <c r="AV221" s="1191"/>
      <c r="AW221" s="1192"/>
      <c r="AX221" s="1189"/>
      <c r="AY221" s="1190"/>
      <c r="AZ221" s="1189"/>
      <c r="BA221" s="1190"/>
      <c r="BB221" s="1191"/>
      <c r="BC221" s="1189"/>
      <c r="BD221" s="1189"/>
      <c r="BE221" s="1190"/>
      <c r="BF221" s="1189"/>
      <c r="BG221" s="1190"/>
      <c r="BH221" s="1189"/>
      <c r="BI221" s="1192"/>
      <c r="BJ221" s="1189"/>
      <c r="BK221" s="1190"/>
      <c r="BL221" s="1189"/>
      <c r="BM221" s="1190"/>
      <c r="BN221" s="1191"/>
      <c r="BO221" s="1192"/>
      <c r="BP221" s="1189"/>
      <c r="BQ221" s="1190"/>
      <c r="BR221" s="1194"/>
      <c r="BS221" s="1190"/>
      <c r="BT221" s="1191"/>
      <c r="BU221" s="1192"/>
      <c r="BV221" s="1189"/>
      <c r="BW221" s="1190"/>
      <c r="BX221" s="1189"/>
      <c r="BY221" s="1190"/>
      <c r="BZ221" s="1191"/>
      <c r="CA221" s="1192"/>
      <c r="CB221" s="1189"/>
      <c r="CC221" s="1190"/>
      <c r="CD221" s="1189"/>
      <c r="CE221" s="1190"/>
      <c r="CF221" s="1191"/>
      <c r="CG221" s="1192"/>
      <c r="CH221" s="1189"/>
      <c r="CI221" s="1190"/>
      <c r="CJ221" s="1189"/>
      <c r="CK221" s="1190"/>
      <c r="CL221" s="1191"/>
      <c r="CM221" s="1192"/>
      <c r="CN221" s="1189"/>
      <c r="CO221" s="1190"/>
      <c r="CP221" s="1195"/>
      <c r="CQ221" s="1190"/>
      <c r="CR221" s="1191"/>
      <c r="CS221" s="1192"/>
      <c r="CT221" s="1189"/>
      <c r="CU221" s="1190"/>
      <c r="CV221" s="1189"/>
      <c r="CW221" s="1190"/>
      <c r="CX221" s="1191"/>
      <c r="CY221" s="1192"/>
      <c r="CZ221" s="1189"/>
      <c r="DA221" s="1190"/>
      <c r="DB221" s="1189"/>
      <c r="DC221" s="1190"/>
      <c r="DD221" s="1191"/>
      <c r="DE221" s="1192"/>
      <c r="DF221" s="1189"/>
      <c r="DG221" s="1190"/>
      <c r="DH221" s="1189" t="s">
        <v>8250</v>
      </c>
      <c r="DI221" s="1190"/>
      <c r="DJ221" s="1191"/>
      <c r="DK221" s="1192"/>
      <c r="DL221" s="1189"/>
      <c r="DM221" s="1190"/>
      <c r="DN221" s="1189"/>
      <c r="DO221" s="1190"/>
      <c r="DP221" s="1191"/>
      <c r="DQ221" s="1192"/>
      <c r="DR221" s="1189"/>
      <c r="DS221" s="1190"/>
      <c r="DT221" s="1189"/>
      <c r="DU221" s="1190"/>
      <c r="DV221" s="1191"/>
      <c r="DW221" s="1192"/>
      <c r="DX221" s="1197" t="s">
        <v>15630</v>
      </c>
      <c r="DY221" s="1190"/>
      <c r="DZ221" s="1189"/>
      <c r="EA221" s="1190"/>
      <c r="EB221" s="1191"/>
      <c r="EC221" s="1192"/>
      <c r="ED221" s="1189"/>
      <c r="EE221" s="1190"/>
      <c r="EF221" s="1189"/>
      <c r="EG221" s="1190"/>
      <c r="EH221" s="1190"/>
      <c r="EI221" s="1192"/>
      <c r="EJ221" s="1189"/>
      <c r="EK221" s="1190"/>
      <c r="EL221" s="1189"/>
      <c r="EM221" s="1190"/>
      <c r="EN221" s="1191"/>
      <c r="EO221" s="1192"/>
      <c r="EP221" s="1189"/>
      <c r="EQ221" s="1190"/>
      <c r="ER221" s="1189"/>
      <c r="ES221" s="1190"/>
      <c r="ET221" s="1191"/>
    </row>
    <row r="222" spans="1:150" ht="20.100000000000001" customHeight="1" thickBot="1">
      <c r="A222" s="3034"/>
      <c r="B222" s="2977"/>
      <c r="C222" s="179"/>
      <c r="D222" s="2726" t="str">
        <f>実績!C1300&amp;"("&amp;SUBSTITUTE(実績!R1300&amp;")","株式会社 ","")</f>
        <v>沖縄トヨペット豊見城(旧 サザン)(エー・アール・ジー)</v>
      </c>
      <c r="E222" s="2727"/>
      <c r="F222" s="2727"/>
      <c r="G222" s="2727"/>
      <c r="H222" s="2727"/>
      <c r="I222" s="2727"/>
      <c r="J222" s="2727"/>
      <c r="K222" s="2727"/>
      <c r="L222" s="2727"/>
      <c r="M222" s="2727"/>
      <c r="N222" s="2727"/>
      <c r="O222" s="2727"/>
      <c r="P222" s="2727"/>
      <c r="Q222" s="2727"/>
      <c r="R222" s="2728"/>
      <c r="S222" s="26"/>
      <c r="T222" s="26"/>
      <c r="U222" s="54"/>
      <c r="V222" s="26"/>
      <c r="W222" s="54"/>
      <c r="X222" s="55"/>
      <c r="Y222" s="26"/>
      <c r="Z222" s="26"/>
      <c r="AA222" s="54"/>
      <c r="AB222" s="26"/>
      <c r="AC222" s="54"/>
      <c r="AD222" s="26"/>
      <c r="AE222" s="56"/>
      <c r="AF222" s="26"/>
      <c r="AG222" s="54"/>
      <c r="AH222" s="26"/>
      <c r="AI222" s="54"/>
      <c r="AJ222" s="55"/>
      <c r="AK222" s="26"/>
      <c r="AL222" s="26"/>
      <c r="AM222" s="54"/>
      <c r="AN222" s="26"/>
      <c r="AO222" s="54"/>
      <c r="AP222" s="26"/>
      <c r="AQ222" s="53"/>
      <c r="AR222" s="26"/>
      <c r="AS222" s="54"/>
      <c r="AT222" s="26"/>
      <c r="AU222" s="54"/>
      <c r="AV222" s="55"/>
      <c r="AW222" s="56"/>
      <c r="AX222" s="26"/>
      <c r="AY222" s="54"/>
      <c r="AZ222" s="26"/>
      <c r="BA222" s="54"/>
      <c r="BB222" s="55"/>
      <c r="BC222" s="26"/>
      <c r="BD222" s="26"/>
      <c r="BE222" s="54"/>
      <c r="BF222" s="26"/>
      <c r="BG222" s="54"/>
      <c r="BH222" s="26"/>
      <c r="BI222" s="56"/>
      <c r="BJ222" s="26"/>
      <c r="BK222" s="54"/>
      <c r="BL222" s="26"/>
      <c r="BM222" s="54"/>
      <c r="BN222" s="55"/>
      <c r="BO222" s="56"/>
      <c r="BP222" s="26"/>
      <c r="BQ222" s="54"/>
      <c r="BR222" s="70"/>
      <c r="BS222" s="54"/>
      <c r="BT222" s="55"/>
      <c r="BU222" s="56"/>
      <c r="BV222" s="26"/>
      <c r="BW222" s="54"/>
      <c r="BX222" s="26"/>
      <c r="BY222" s="54"/>
      <c r="BZ222" s="55"/>
      <c r="CA222" s="56"/>
      <c r="CB222" s="26"/>
      <c r="CC222" s="54"/>
      <c r="CD222" s="26"/>
      <c r="CE222" s="54"/>
      <c r="CF222" s="55"/>
      <c r="CG222" s="56"/>
      <c r="CH222" s="26"/>
      <c r="CI222" s="54"/>
      <c r="CJ222" s="26"/>
      <c r="CK222" s="54"/>
      <c r="CL222" s="55"/>
      <c r="CM222" s="56"/>
      <c r="CN222" s="26"/>
      <c r="CO222" s="54"/>
      <c r="CP222" s="118"/>
      <c r="CQ222" s="54"/>
      <c r="CR222" s="55"/>
      <c r="CS222" s="56"/>
      <c r="CT222" s="26"/>
      <c r="CU222" s="54"/>
      <c r="CV222" s="26"/>
      <c r="CW222" s="54"/>
      <c r="CX222" s="55"/>
      <c r="CY222" s="56"/>
      <c r="CZ222" s="26"/>
      <c r="DA222" s="54"/>
      <c r="DB222" s="26"/>
      <c r="DC222" s="54"/>
      <c r="DD222" s="55"/>
      <c r="DE222" s="56"/>
      <c r="DF222" s="26"/>
      <c r="DG222" s="54"/>
      <c r="DH222" s="26"/>
      <c r="DI222" s="54"/>
      <c r="DJ222" s="55" t="s">
        <v>8250</v>
      </c>
      <c r="DK222" s="56"/>
      <c r="DL222" s="26"/>
      <c r="DM222" s="54"/>
      <c r="DN222" s="26"/>
      <c r="DO222" s="54"/>
      <c r="DP222" s="26"/>
      <c r="DQ222" s="89"/>
      <c r="DR222" s="26"/>
      <c r="DS222" s="54"/>
      <c r="DT222" s="70"/>
      <c r="DU222" s="26"/>
      <c r="DV222" s="55"/>
      <c r="DW222" s="56"/>
      <c r="DX222" s="26"/>
      <c r="DY222" s="1238" t="s">
        <v>8145</v>
      </c>
      <c r="DZ222" s="26"/>
      <c r="EA222" s="54"/>
      <c r="EB222" s="55"/>
      <c r="EC222" s="56"/>
      <c r="ED222" s="26"/>
      <c r="EE222" s="54"/>
      <c r="EF222" s="26"/>
      <c r="EG222" s="54"/>
      <c r="EH222" s="55"/>
      <c r="EI222" s="56"/>
      <c r="EJ222" s="26"/>
      <c r="EK222" s="54"/>
      <c r="EL222" s="26"/>
      <c r="EM222" s="54"/>
      <c r="EN222" s="55"/>
      <c r="EO222" s="56"/>
      <c r="EP222" s="26"/>
      <c r="EQ222" s="54"/>
      <c r="ER222" s="26"/>
      <c r="ES222" s="54"/>
      <c r="ET222" s="55"/>
    </row>
    <row r="223" spans="1:150" ht="20.100000000000001" customHeight="1" thickBot="1">
      <c r="A223" s="3034"/>
      <c r="B223" s="2977"/>
      <c r="C223" s="167"/>
      <c r="D223" s="2619" t="str">
        <f>実績!C1350&amp;"("&amp;SUBSTITUTE(実績!W1350&amp;")","株式会社 ","")</f>
        <v>オート化学工業株式会社 北茨城工場 倉庫(横河システム建築)</v>
      </c>
      <c r="E223" s="2620"/>
      <c r="F223" s="2620"/>
      <c r="G223" s="2620"/>
      <c r="H223" s="2620"/>
      <c r="I223" s="2620"/>
      <c r="J223" s="2620"/>
      <c r="K223" s="2620"/>
      <c r="L223" s="2620"/>
      <c r="M223" s="2620"/>
      <c r="N223" s="2620"/>
      <c r="O223" s="2620"/>
      <c r="P223" s="2620"/>
      <c r="Q223" s="2620"/>
      <c r="R223" s="2621"/>
      <c r="S223" s="154"/>
      <c r="T223" s="154"/>
      <c r="U223" s="154"/>
      <c r="V223" s="154"/>
      <c r="W223" s="154"/>
      <c r="X223" s="154"/>
      <c r="Y223" s="154"/>
      <c r="Z223" s="154"/>
      <c r="AA223" s="154"/>
      <c r="AB223" s="154"/>
      <c r="AC223" s="154"/>
      <c r="AD223" s="154"/>
      <c r="AE223" s="154"/>
      <c r="AF223" s="154"/>
      <c r="AG223" s="154"/>
      <c r="AH223" s="154"/>
      <c r="AI223" s="154"/>
      <c r="AJ223" s="154"/>
      <c r="AK223" s="154"/>
      <c r="AL223" s="154"/>
      <c r="AM223" s="154"/>
      <c r="AN223" s="154"/>
      <c r="AO223" s="154"/>
      <c r="AP223" s="154"/>
      <c r="AQ223" s="154"/>
      <c r="AR223" s="154"/>
      <c r="AS223" s="154"/>
      <c r="AT223" s="154"/>
      <c r="AU223" s="154"/>
      <c r="AV223" s="154"/>
      <c r="AW223" s="154"/>
      <c r="AX223" s="154"/>
      <c r="AY223" s="154"/>
      <c r="AZ223" s="154"/>
      <c r="BA223" s="154"/>
      <c r="BB223" s="154"/>
      <c r="BC223" s="154"/>
      <c r="BD223" s="154"/>
      <c r="BE223" s="154"/>
      <c r="BF223" s="154"/>
      <c r="BG223" s="154"/>
      <c r="BH223" s="154"/>
      <c r="BI223" s="154"/>
      <c r="BJ223" s="154"/>
      <c r="BK223" s="154"/>
      <c r="BL223" s="154"/>
      <c r="BM223" s="154"/>
      <c r="BN223" s="154"/>
      <c r="BO223" s="154"/>
      <c r="BP223" s="154"/>
      <c r="BQ223" s="154"/>
      <c r="BR223" s="154"/>
      <c r="BS223" s="154"/>
      <c r="BT223" s="154"/>
      <c r="BU223" s="154"/>
      <c r="BV223" s="154"/>
      <c r="BW223" s="154"/>
      <c r="BX223" s="154"/>
      <c r="BY223" s="154"/>
      <c r="BZ223" s="154"/>
      <c r="CA223" s="154"/>
      <c r="CB223" s="154"/>
      <c r="CC223" s="154"/>
      <c r="CD223" s="154"/>
      <c r="CE223" s="154"/>
      <c r="CF223" s="154"/>
      <c r="CG223" s="154"/>
      <c r="CH223" s="154"/>
      <c r="CI223" s="154"/>
      <c r="CJ223" s="154"/>
      <c r="CK223" s="154"/>
      <c r="CL223" s="154"/>
      <c r="CM223" s="154"/>
      <c r="CN223" s="154"/>
      <c r="CO223" s="154"/>
      <c r="CP223" s="1217"/>
      <c r="CQ223" s="154"/>
      <c r="CR223" s="154"/>
      <c r="CS223" s="154"/>
      <c r="CT223" s="154"/>
      <c r="CU223" s="154"/>
      <c r="CV223" s="154"/>
      <c r="CW223" s="154"/>
      <c r="CX223" s="154"/>
      <c r="CY223" s="153"/>
      <c r="CZ223" s="154"/>
      <c r="DA223" s="155"/>
      <c r="DB223" s="154"/>
      <c r="DC223" s="155"/>
      <c r="DD223" s="156"/>
      <c r="DE223" s="153"/>
      <c r="DF223" s="154"/>
      <c r="DG223" s="155"/>
      <c r="DH223" s="154"/>
      <c r="DI223" s="155"/>
      <c r="DJ223" s="157"/>
      <c r="DK223" s="153"/>
      <c r="DL223" s="154"/>
      <c r="DM223" s="155"/>
      <c r="DN223" s="154"/>
      <c r="DO223" s="155"/>
      <c r="DP223" s="156"/>
      <c r="DQ223" s="153" t="s">
        <v>8250</v>
      </c>
      <c r="DR223" s="154"/>
      <c r="DS223" s="155"/>
      <c r="DT223" s="154"/>
      <c r="DU223" s="155"/>
      <c r="DV223" s="157"/>
      <c r="DW223" s="153"/>
      <c r="DX223" s="154"/>
      <c r="DY223" s="1237" t="s">
        <v>15640</v>
      </c>
      <c r="DZ223" s="154"/>
      <c r="EA223" s="155"/>
      <c r="EB223" s="157"/>
      <c r="EC223" s="153"/>
      <c r="ED223" s="154"/>
      <c r="EE223" s="155"/>
      <c r="EF223" s="154"/>
      <c r="EG223" s="155"/>
      <c r="EH223" s="157"/>
      <c r="EI223" s="153"/>
      <c r="EJ223" s="154"/>
      <c r="EK223" s="155"/>
      <c r="EL223" s="154"/>
      <c r="EM223" s="155"/>
      <c r="EN223" s="157"/>
      <c r="EO223" s="153"/>
      <c r="EP223" s="154"/>
      <c r="EQ223" s="155"/>
      <c r="ER223" s="154"/>
      <c r="ES223" s="155"/>
      <c r="ET223" s="157"/>
    </row>
    <row r="224" spans="1:150" ht="20.100000000000001" customHeight="1" thickBot="1">
      <c r="A224" s="3034"/>
      <c r="B224" s="2977"/>
      <c r="C224" s="1235"/>
      <c r="D224" s="2620" t="str">
        <f>実績!C1307&amp;"("&amp;SUBSTITUTE(実績!AB1307&amp;")","株式会社 ","")</f>
        <v>jeep岡山(カーダクレッセ)</v>
      </c>
      <c r="E224" s="2620"/>
      <c r="F224" s="2620"/>
      <c r="G224" s="2620"/>
      <c r="H224" s="2620"/>
      <c r="I224" s="2620"/>
      <c r="J224" s="2620"/>
      <c r="K224" s="2620"/>
      <c r="L224" s="2620"/>
      <c r="M224" s="2620"/>
      <c r="N224" s="2620"/>
      <c r="O224" s="2620"/>
      <c r="P224" s="2620"/>
      <c r="Q224" s="2620"/>
      <c r="R224" s="2621"/>
      <c r="S224" s="154"/>
      <c r="T224" s="154"/>
      <c r="U224" s="155"/>
      <c r="V224" s="154"/>
      <c r="W224" s="155"/>
      <c r="X224" s="156"/>
      <c r="Y224" s="154"/>
      <c r="Z224" s="154"/>
      <c r="AA224" s="155"/>
      <c r="AB224" s="154"/>
      <c r="AC224" s="155"/>
      <c r="AD224" s="154"/>
      <c r="AE224" s="153"/>
      <c r="AF224" s="154"/>
      <c r="AG224" s="155"/>
      <c r="AH224" s="154"/>
      <c r="AI224" s="155"/>
      <c r="AJ224" s="156"/>
      <c r="AK224" s="154"/>
      <c r="AL224" s="154"/>
      <c r="AM224" s="155"/>
      <c r="AN224" s="154"/>
      <c r="AO224" s="155"/>
      <c r="AP224" s="154"/>
      <c r="AQ224" s="1215"/>
      <c r="AR224" s="154"/>
      <c r="AS224" s="155"/>
      <c r="AT224" s="154"/>
      <c r="AU224" s="155"/>
      <c r="AV224" s="156"/>
      <c r="AW224" s="153"/>
      <c r="AX224" s="154"/>
      <c r="AY224" s="155"/>
      <c r="AZ224" s="154"/>
      <c r="BA224" s="155"/>
      <c r="BB224" s="156"/>
      <c r="BC224" s="154"/>
      <c r="BD224" s="154"/>
      <c r="BE224" s="155"/>
      <c r="BF224" s="154"/>
      <c r="BG224" s="155"/>
      <c r="BH224" s="154"/>
      <c r="BI224" s="153"/>
      <c r="BJ224" s="154"/>
      <c r="BK224" s="155"/>
      <c r="BL224" s="154"/>
      <c r="BM224" s="155"/>
      <c r="BN224" s="156"/>
      <c r="BO224" s="153"/>
      <c r="BP224" s="154"/>
      <c r="BQ224" s="155"/>
      <c r="BR224" s="1216"/>
      <c r="BS224" s="155"/>
      <c r="BT224" s="156"/>
      <c r="BU224" s="153"/>
      <c r="BV224" s="154"/>
      <c r="BW224" s="155"/>
      <c r="BX224" s="154"/>
      <c r="BY224" s="155"/>
      <c r="BZ224" s="156"/>
      <c r="CA224" s="153"/>
      <c r="CB224" s="154"/>
      <c r="CC224" s="155"/>
      <c r="CD224" s="154"/>
      <c r="CE224" s="155"/>
      <c r="CF224" s="156"/>
      <c r="CG224" s="153"/>
      <c r="CH224" s="154"/>
      <c r="CI224" s="155"/>
      <c r="CJ224" s="154"/>
      <c r="CK224" s="155"/>
      <c r="CL224" s="156"/>
      <c r="CM224" s="153"/>
      <c r="CN224" s="154"/>
      <c r="CO224" s="155"/>
      <c r="CP224" s="1217"/>
      <c r="CQ224" s="155"/>
      <c r="CR224" s="156"/>
      <c r="CS224" s="153"/>
      <c r="CT224" s="154"/>
      <c r="CU224" s="155"/>
      <c r="CV224" s="154"/>
      <c r="CW224" s="155"/>
      <c r="CX224" s="156"/>
      <c r="CY224" s="153"/>
      <c r="CZ224" s="154"/>
      <c r="DA224" s="155"/>
      <c r="DB224" s="154"/>
      <c r="DC224" s="155"/>
      <c r="DD224" s="156"/>
      <c r="DE224" s="153"/>
      <c r="DF224" s="154"/>
      <c r="DG224" s="155"/>
      <c r="DH224" s="154"/>
      <c r="DI224" s="155"/>
      <c r="DJ224" s="157"/>
      <c r="DK224" s="153"/>
      <c r="DL224" s="154"/>
      <c r="DM224" s="155"/>
      <c r="DN224" s="154"/>
      <c r="DO224" s="155"/>
      <c r="DP224" s="154"/>
      <c r="DQ224" s="153"/>
      <c r="DR224" s="154"/>
      <c r="DS224" s="155" t="s">
        <v>8250</v>
      </c>
      <c r="DT224" s="154"/>
      <c r="DU224" s="155"/>
      <c r="DV224" s="156"/>
      <c r="DW224" s="153"/>
      <c r="DX224" s="154"/>
      <c r="DY224" s="155"/>
      <c r="DZ224" s="1236" t="s">
        <v>15641</v>
      </c>
      <c r="EA224" s="155"/>
      <c r="EB224" s="156"/>
      <c r="EC224" s="153"/>
      <c r="ED224" s="154"/>
      <c r="EE224" s="155"/>
      <c r="EF224" s="154"/>
      <c r="EG224" s="155"/>
      <c r="EH224" s="156"/>
      <c r="EI224" s="153"/>
      <c r="EJ224" s="154"/>
      <c r="EK224" s="155"/>
      <c r="EL224" s="154"/>
      <c r="EM224" s="155"/>
      <c r="EN224" s="156"/>
      <c r="EO224" s="153"/>
      <c r="EP224" s="154"/>
      <c r="EQ224" s="155"/>
      <c r="ER224" s="154"/>
      <c r="ES224" s="155"/>
      <c r="ET224" s="156"/>
    </row>
    <row r="225" spans="1:150" ht="20.100000000000001" customHeight="1" thickBot="1">
      <c r="A225" s="3034"/>
      <c r="B225" s="2977"/>
      <c r="C225" s="179"/>
      <c r="D225" s="2726" t="str">
        <f>実績!C1324&amp;"("&amp;SUBSTITUTE(実績!R1324&amp;")","有限会社 ","")</f>
        <v>バロー穂積(中部設計)</v>
      </c>
      <c r="E225" s="2727"/>
      <c r="F225" s="2727"/>
      <c r="G225" s="2727"/>
      <c r="H225" s="2727"/>
      <c r="I225" s="2727"/>
      <c r="J225" s="2727"/>
      <c r="K225" s="2727"/>
      <c r="L225" s="2727"/>
      <c r="M225" s="2727"/>
      <c r="N225" s="2727"/>
      <c r="O225" s="2727"/>
      <c r="P225" s="2727"/>
      <c r="Q225" s="2727"/>
      <c r="R225" s="2728"/>
      <c r="S225" s="26"/>
      <c r="T225" s="26"/>
      <c r="U225" s="54"/>
      <c r="V225" s="26"/>
      <c r="W225" s="54"/>
      <c r="X225" s="55"/>
      <c r="Y225" s="26"/>
      <c r="Z225" s="26"/>
      <c r="AA225" s="54"/>
      <c r="AB225" s="26"/>
      <c r="AC225" s="54"/>
      <c r="AD225" s="26"/>
      <c r="AE225" s="56"/>
      <c r="AF225" s="26"/>
      <c r="AG225" s="54"/>
      <c r="AH225" s="26"/>
      <c r="AI225" s="54"/>
      <c r="AJ225" s="55"/>
      <c r="AK225" s="26"/>
      <c r="AL225" s="26"/>
      <c r="AM225" s="54"/>
      <c r="AN225" s="26"/>
      <c r="AO225" s="54"/>
      <c r="AP225" s="26"/>
      <c r="AQ225" s="53"/>
      <c r="AR225" s="26"/>
      <c r="AS225" s="54"/>
      <c r="AT225" s="26"/>
      <c r="AU225" s="54"/>
      <c r="AV225" s="55"/>
      <c r="AW225" s="56"/>
      <c r="AX225" s="26"/>
      <c r="AY225" s="54"/>
      <c r="AZ225" s="26"/>
      <c r="BA225" s="54"/>
      <c r="BB225" s="55"/>
      <c r="BC225" s="26"/>
      <c r="BD225" s="26"/>
      <c r="BE225" s="54"/>
      <c r="BF225" s="26"/>
      <c r="BG225" s="54"/>
      <c r="BH225" s="26"/>
      <c r="BI225" s="56"/>
      <c r="BJ225" s="26"/>
      <c r="BK225" s="54"/>
      <c r="BL225" s="26"/>
      <c r="BM225" s="54"/>
      <c r="BN225" s="55"/>
      <c r="BO225" s="56"/>
      <c r="BP225" s="26"/>
      <c r="BQ225" s="54"/>
      <c r="BR225" s="70"/>
      <c r="BS225" s="54"/>
      <c r="BT225" s="55"/>
      <c r="BU225" s="56"/>
      <c r="BV225" s="26"/>
      <c r="BW225" s="54"/>
      <c r="BX225" s="26"/>
      <c r="BY225" s="54"/>
      <c r="BZ225" s="55"/>
      <c r="CA225" s="56"/>
      <c r="CB225" s="26"/>
      <c r="CC225" s="54"/>
      <c r="CD225" s="26"/>
      <c r="CE225" s="54"/>
      <c r="CF225" s="55"/>
      <c r="CG225" s="56"/>
      <c r="CH225" s="26"/>
      <c r="CI225" s="54"/>
      <c r="CJ225" s="26"/>
      <c r="CK225" s="54"/>
      <c r="CL225" s="55"/>
      <c r="CM225" s="56"/>
      <c r="CN225" s="26"/>
      <c r="CO225" s="54"/>
      <c r="CP225" s="118"/>
      <c r="CQ225" s="54"/>
      <c r="CR225" s="55"/>
      <c r="CS225" s="56"/>
      <c r="CT225" s="26"/>
      <c r="CU225" s="54"/>
      <c r="CV225" s="26"/>
      <c r="CW225" s="54"/>
      <c r="CX225" s="55"/>
      <c r="CY225" s="56"/>
      <c r="CZ225" s="26"/>
      <c r="DA225" s="1165"/>
      <c r="DB225" s="26"/>
      <c r="DC225" s="54"/>
      <c r="DD225" s="55"/>
      <c r="DE225" s="56"/>
      <c r="DF225" s="26"/>
      <c r="DG225" s="54"/>
      <c r="DH225" s="26"/>
      <c r="DI225" s="54"/>
      <c r="DJ225" s="55"/>
      <c r="DK225" s="56" t="s">
        <v>12888</v>
      </c>
      <c r="DL225" s="26"/>
      <c r="DM225" s="54"/>
      <c r="DN225" s="26"/>
      <c r="DO225" s="54"/>
      <c r="DP225" s="26" t="s">
        <v>8250</v>
      </c>
      <c r="DQ225" s="56"/>
      <c r="DR225" s="26"/>
      <c r="DS225" s="54"/>
      <c r="DT225" s="26"/>
      <c r="DU225" s="54"/>
      <c r="DV225" s="55"/>
      <c r="DW225" s="56"/>
      <c r="DX225" s="26"/>
      <c r="DY225" s="54"/>
      <c r="DZ225" s="26"/>
      <c r="EA225" s="1238" t="s">
        <v>8145</v>
      </c>
      <c r="EB225" s="55"/>
      <c r="EC225" s="56"/>
      <c r="ED225" s="26"/>
      <c r="EE225" s="54"/>
      <c r="EF225" s="26"/>
      <c r="EG225" s="54"/>
      <c r="EH225" s="55"/>
      <c r="EI225" s="56"/>
      <c r="EJ225" s="26"/>
      <c r="EK225" s="54"/>
      <c r="EL225" s="26"/>
      <c r="EM225" s="54"/>
      <c r="EN225" s="55"/>
      <c r="EO225" s="56"/>
      <c r="EP225" s="26"/>
      <c r="EQ225" s="54"/>
      <c r="ER225" s="26"/>
      <c r="ES225" s="54"/>
      <c r="ET225" s="116" t="s">
        <v>12890</v>
      </c>
    </row>
    <row r="226" spans="1:150" ht="20.100000000000001" customHeight="1" thickBot="1">
      <c r="A226" s="3034"/>
      <c r="B226" s="2977"/>
      <c r="C226" s="167"/>
      <c r="D226" s="2619" t="str">
        <f>実績!C1332&amp;"("&amp;SUBSTITUTE(実績!R1332&amp;")","株式会社 ","")</f>
        <v>ハローズ西条大町(山陽設計)</v>
      </c>
      <c r="E226" s="2620"/>
      <c r="F226" s="2620"/>
      <c r="G226" s="2620"/>
      <c r="H226" s="2620"/>
      <c r="I226" s="2620"/>
      <c r="J226" s="2620"/>
      <c r="K226" s="2620"/>
      <c r="L226" s="2620"/>
      <c r="M226" s="2620"/>
      <c r="N226" s="2620"/>
      <c r="O226" s="2620"/>
      <c r="P226" s="2620"/>
      <c r="Q226" s="2620"/>
      <c r="R226" s="2621"/>
      <c r="S226" s="154"/>
      <c r="T226" s="154"/>
      <c r="U226" s="155"/>
      <c r="V226" s="154"/>
      <c r="W226" s="155"/>
      <c r="X226" s="156"/>
      <c r="Y226" s="154"/>
      <c r="Z226" s="154"/>
      <c r="AA226" s="155"/>
      <c r="AB226" s="154"/>
      <c r="AC226" s="155"/>
      <c r="AD226" s="154"/>
      <c r="AE226" s="153"/>
      <c r="AF226" s="154"/>
      <c r="AG226" s="155"/>
      <c r="AH226" s="154"/>
      <c r="AI226" s="155"/>
      <c r="AJ226" s="156"/>
      <c r="AK226" s="154"/>
      <c r="AL226" s="154"/>
      <c r="AM226" s="155"/>
      <c r="AN226" s="154"/>
      <c r="AO226" s="155"/>
      <c r="AP226" s="154"/>
      <c r="AQ226" s="1215"/>
      <c r="AR226" s="154"/>
      <c r="AS226" s="155"/>
      <c r="AT226" s="154"/>
      <c r="AU226" s="155"/>
      <c r="AV226" s="156"/>
      <c r="AW226" s="153"/>
      <c r="AX226" s="154"/>
      <c r="AY226" s="155"/>
      <c r="AZ226" s="154"/>
      <c r="BA226" s="155"/>
      <c r="BB226" s="156"/>
      <c r="BC226" s="154"/>
      <c r="BD226" s="154"/>
      <c r="BE226" s="155"/>
      <c r="BF226" s="154"/>
      <c r="BG226" s="155"/>
      <c r="BH226" s="154"/>
      <c r="BI226" s="153"/>
      <c r="BJ226" s="154"/>
      <c r="BK226" s="155"/>
      <c r="BL226" s="154"/>
      <c r="BM226" s="155"/>
      <c r="BN226" s="156"/>
      <c r="BO226" s="153"/>
      <c r="BP226" s="154"/>
      <c r="BQ226" s="155"/>
      <c r="BR226" s="1216"/>
      <c r="BS226" s="155"/>
      <c r="BT226" s="156"/>
      <c r="BU226" s="153"/>
      <c r="BV226" s="154"/>
      <c r="BW226" s="155"/>
      <c r="BX226" s="154"/>
      <c r="BY226" s="155"/>
      <c r="BZ226" s="156"/>
      <c r="CA226" s="153"/>
      <c r="CB226" s="154"/>
      <c r="CC226" s="155"/>
      <c r="CD226" s="154"/>
      <c r="CE226" s="155"/>
      <c r="CF226" s="156"/>
      <c r="CG226" s="153"/>
      <c r="CH226" s="154"/>
      <c r="CI226" s="155"/>
      <c r="CJ226" s="154"/>
      <c r="CK226" s="155"/>
      <c r="CL226" s="156"/>
      <c r="CM226" s="153"/>
      <c r="CN226" s="154"/>
      <c r="CO226" s="155"/>
      <c r="CP226" s="1217"/>
      <c r="CQ226" s="155"/>
      <c r="CR226" s="156"/>
      <c r="CS226" s="153"/>
      <c r="CT226" s="154"/>
      <c r="CU226" s="155"/>
      <c r="CV226" s="154"/>
      <c r="CW226" s="155"/>
      <c r="CX226" s="156"/>
      <c r="CY226" s="153"/>
      <c r="CZ226" s="154"/>
      <c r="DA226" s="155"/>
      <c r="DB226" s="154"/>
      <c r="DC226" s="155"/>
      <c r="DD226" s="156"/>
      <c r="DE226" s="153"/>
      <c r="DF226" s="154"/>
      <c r="DG226" s="155"/>
      <c r="DH226" s="154"/>
      <c r="DI226" s="155"/>
      <c r="DJ226" s="156"/>
      <c r="DK226" s="153"/>
      <c r="DL226" s="154"/>
      <c r="DM226" s="155"/>
      <c r="DN226" s="154" t="s">
        <v>9291</v>
      </c>
      <c r="DO226" s="155"/>
      <c r="DP226" s="156"/>
      <c r="DQ226" s="153"/>
      <c r="DR226" s="154"/>
      <c r="DS226" s="155"/>
      <c r="DT226" s="154"/>
      <c r="DU226" s="155"/>
      <c r="DV226" s="156"/>
      <c r="DW226" s="153"/>
      <c r="DX226" s="154"/>
      <c r="DY226" s="155"/>
      <c r="DZ226" s="154"/>
      <c r="EA226" s="155"/>
      <c r="EB226" s="156"/>
      <c r="EC226" s="1218" t="s">
        <v>15628</v>
      </c>
      <c r="ED226" s="154"/>
      <c r="EE226" s="155"/>
      <c r="EF226" s="154"/>
      <c r="EG226" s="155"/>
      <c r="EH226" s="156"/>
      <c r="EI226" s="153"/>
      <c r="EJ226" s="154"/>
      <c r="EK226" s="155"/>
      <c r="EL226" s="154"/>
      <c r="EM226" s="155"/>
      <c r="EN226" s="156"/>
      <c r="EO226" s="153"/>
      <c r="EP226" s="154"/>
      <c r="EQ226" s="155"/>
      <c r="ER226" s="154"/>
      <c r="ES226" s="155"/>
      <c r="ET226" s="156"/>
    </row>
    <row r="227" spans="1:150" ht="20.100000000000001" customHeight="1" thickBot="1">
      <c r="A227" s="3034"/>
      <c r="B227" s="2977"/>
      <c r="C227" s="167"/>
      <c r="D227" s="2619" t="str">
        <f>実績!C1337&amp;"("&amp;SUBSTITUTE(実績!R1337&amp;")"," 一級建築士事務所","")</f>
        <v>丸善運輸関西 株式会社 深江浜倉庫(生川建設)</v>
      </c>
      <c r="E227" s="2620"/>
      <c r="F227" s="2620"/>
      <c r="G227" s="2620"/>
      <c r="H227" s="2620"/>
      <c r="I227" s="2620"/>
      <c r="J227" s="2620"/>
      <c r="K227" s="2620"/>
      <c r="L227" s="2620"/>
      <c r="M227" s="2620"/>
      <c r="N227" s="2620"/>
      <c r="O227" s="2620"/>
      <c r="P227" s="2620"/>
      <c r="Q227" s="2620"/>
      <c r="R227" s="2621"/>
      <c r="S227" s="154"/>
      <c r="T227" s="154"/>
      <c r="U227" s="155"/>
      <c r="V227" s="154"/>
      <c r="W227" s="155"/>
      <c r="X227" s="156"/>
      <c r="Y227" s="154"/>
      <c r="Z227" s="154"/>
      <c r="AA227" s="155"/>
      <c r="AB227" s="154"/>
      <c r="AC227" s="155"/>
      <c r="AD227" s="154"/>
      <c r="AE227" s="153"/>
      <c r="AF227" s="154"/>
      <c r="AG227" s="155"/>
      <c r="AH227" s="154"/>
      <c r="AI227" s="155"/>
      <c r="AJ227" s="156"/>
      <c r="AK227" s="154"/>
      <c r="AL227" s="154"/>
      <c r="AM227" s="155"/>
      <c r="AN227" s="154"/>
      <c r="AO227" s="155"/>
      <c r="AP227" s="154"/>
      <c r="AQ227" s="1215"/>
      <c r="AR227" s="154"/>
      <c r="AS227" s="155"/>
      <c r="AT227" s="154"/>
      <c r="AU227" s="155"/>
      <c r="AV227" s="156"/>
      <c r="AW227" s="153"/>
      <c r="AX227" s="154"/>
      <c r="AY227" s="155"/>
      <c r="AZ227" s="154"/>
      <c r="BA227" s="155"/>
      <c r="BB227" s="156"/>
      <c r="BC227" s="154"/>
      <c r="BD227" s="154"/>
      <c r="BE227" s="155"/>
      <c r="BF227" s="154"/>
      <c r="BG227" s="155"/>
      <c r="BH227" s="154"/>
      <c r="BI227" s="153"/>
      <c r="BJ227" s="154"/>
      <c r="BK227" s="155"/>
      <c r="BL227" s="154"/>
      <c r="BM227" s="155"/>
      <c r="BN227" s="156"/>
      <c r="BO227" s="153"/>
      <c r="BP227" s="154"/>
      <c r="BQ227" s="155"/>
      <c r="BR227" s="1216"/>
      <c r="BS227" s="155"/>
      <c r="BT227" s="156"/>
      <c r="BU227" s="153"/>
      <c r="BV227" s="154"/>
      <c r="BW227" s="155"/>
      <c r="BX227" s="154"/>
      <c r="BY227" s="155"/>
      <c r="BZ227" s="156"/>
      <c r="CA227" s="153"/>
      <c r="CB227" s="154"/>
      <c r="CC227" s="155"/>
      <c r="CD227" s="154"/>
      <c r="CE227" s="155"/>
      <c r="CF227" s="156"/>
      <c r="CG227" s="153"/>
      <c r="CH227" s="154"/>
      <c r="CI227" s="155"/>
      <c r="CJ227" s="154"/>
      <c r="CK227" s="155"/>
      <c r="CL227" s="156"/>
      <c r="CM227" s="153"/>
      <c r="CN227" s="154"/>
      <c r="CO227" s="155"/>
      <c r="CP227" s="1217"/>
      <c r="CQ227" s="155"/>
      <c r="CR227" s="156"/>
      <c r="CS227" s="153"/>
      <c r="CT227" s="154"/>
      <c r="CU227" s="155"/>
      <c r="CV227" s="154"/>
      <c r="CW227" s="155"/>
      <c r="CX227" s="156"/>
      <c r="CY227" s="153"/>
      <c r="CZ227" s="154"/>
      <c r="DA227" s="155"/>
      <c r="DB227" s="154"/>
      <c r="DC227" s="155"/>
      <c r="DD227" s="156"/>
      <c r="DE227" s="153"/>
      <c r="DF227" s="154"/>
      <c r="DG227" s="155"/>
      <c r="DH227" s="154"/>
      <c r="DI227" s="155"/>
      <c r="DJ227" s="156"/>
      <c r="DK227" s="153"/>
      <c r="DL227" s="154" t="s">
        <v>8250</v>
      </c>
      <c r="DM227" s="155"/>
      <c r="DN227" s="154"/>
      <c r="DO227" s="155"/>
      <c r="DP227" s="156"/>
      <c r="DQ227" s="153"/>
      <c r="DR227" s="154"/>
      <c r="DS227" s="155"/>
      <c r="DT227" s="154"/>
      <c r="DU227" s="155"/>
      <c r="DV227" s="157"/>
      <c r="DW227" s="153"/>
      <c r="DX227" s="154"/>
      <c r="DY227" s="155"/>
      <c r="DZ227" s="154"/>
      <c r="EA227" s="155"/>
      <c r="EB227" s="157"/>
      <c r="EC227" s="1218" t="s">
        <v>15633</v>
      </c>
      <c r="ED227" s="154"/>
      <c r="EE227" s="155"/>
      <c r="EF227" s="154"/>
      <c r="EG227" s="155"/>
      <c r="EH227" s="157"/>
      <c r="EI227" s="153"/>
      <c r="EJ227" s="154"/>
      <c r="EK227" s="155"/>
      <c r="EL227" s="154"/>
      <c r="EM227" s="155"/>
      <c r="EN227" s="157"/>
      <c r="EO227" s="153"/>
      <c r="EP227" s="154"/>
      <c r="EQ227" s="155"/>
      <c r="ER227" s="154"/>
      <c r="ES227" s="155"/>
      <c r="ET227" s="157"/>
    </row>
    <row r="228" spans="1:150" ht="20.100000000000001" customHeight="1" thickBot="1">
      <c r="A228" s="3034"/>
      <c r="B228" s="2977"/>
      <c r="C228" s="1185"/>
      <c r="D228" s="3003" t="str">
        <f>実績!C1348&amp;"("&amp;SUBSTITUTE(実績!W1348&amp;")","株式会社 ","")</f>
        <v>横河システム建築 茂原工場 厚生棟(横河システム建築)</v>
      </c>
      <c r="E228" s="3004"/>
      <c r="F228" s="3004"/>
      <c r="G228" s="3004"/>
      <c r="H228" s="3004"/>
      <c r="I228" s="3004"/>
      <c r="J228" s="3004"/>
      <c r="K228" s="3004"/>
      <c r="L228" s="3004"/>
      <c r="M228" s="3004"/>
      <c r="N228" s="3004"/>
      <c r="O228" s="3004"/>
      <c r="P228" s="3004"/>
      <c r="Q228" s="3004"/>
      <c r="R228" s="3005"/>
      <c r="S228" s="1189"/>
      <c r="T228" s="1189"/>
      <c r="U228" s="1190"/>
      <c r="V228" s="1189"/>
      <c r="W228" s="1190"/>
      <c r="X228" s="1191"/>
      <c r="Y228" s="1189"/>
      <c r="Z228" s="1189"/>
      <c r="AA228" s="1190"/>
      <c r="AB228" s="1189"/>
      <c r="AC228" s="1190"/>
      <c r="AD228" s="1189"/>
      <c r="AE228" s="1192"/>
      <c r="AF228" s="1189"/>
      <c r="AG228" s="1190"/>
      <c r="AH228" s="1189"/>
      <c r="AI228" s="1190"/>
      <c r="AJ228" s="1191"/>
      <c r="AK228" s="1189"/>
      <c r="AL228" s="1189"/>
      <c r="AM228" s="1190"/>
      <c r="AN228" s="1189"/>
      <c r="AO228" s="1190"/>
      <c r="AP228" s="1189"/>
      <c r="AQ228" s="1193"/>
      <c r="AR228" s="1189"/>
      <c r="AS228" s="1190"/>
      <c r="AT228" s="1189"/>
      <c r="AU228" s="1190"/>
      <c r="AV228" s="1191"/>
      <c r="AW228" s="1192"/>
      <c r="AX228" s="1189"/>
      <c r="AY228" s="1190"/>
      <c r="AZ228" s="1189"/>
      <c r="BA228" s="1190"/>
      <c r="BB228" s="1191"/>
      <c r="BC228" s="1189"/>
      <c r="BD228" s="1189"/>
      <c r="BE228" s="1190"/>
      <c r="BF228" s="1189"/>
      <c r="BG228" s="1190"/>
      <c r="BH228" s="1189"/>
      <c r="BI228" s="1192"/>
      <c r="BJ228" s="1189"/>
      <c r="BK228" s="1190"/>
      <c r="BL228" s="1189"/>
      <c r="BM228" s="1190"/>
      <c r="BN228" s="1191"/>
      <c r="BO228" s="1192"/>
      <c r="BP228" s="1189"/>
      <c r="BQ228" s="1190"/>
      <c r="BR228" s="1194"/>
      <c r="BS228" s="1190"/>
      <c r="BT228" s="1191"/>
      <c r="BU228" s="1192"/>
      <c r="BV228" s="1189"/>
      <c r="BW228" s="1190"/>
      <c r="BX228" s="1189"/>
      <c r="BY228" s="1190"/>
      <c r="BZ228" s="1191"/>
      <c r="CA228" s="1192"/>
      <c r="CB228" s="1189"/>
      <c r="CC228" s="1190"/>
      <c r="CD228" s="1189"/>
      <c r="CE228" s="1190"/>
      <c r="CF228" s="1191"/>
      <c r="CG228" s="1192"/>
      <c r="CH228" s="1189"/>
      <c r="CI228" s="1190"/>
      <c r="CJ228" s="1189"/>
      <c r="CK228" s="1190"/>
      <c r="CL228" s="1191"/>
      <c r="CM228" s="1192"/>
      <c r="CN228" s="1189"/>
      <c r="CO228" s="1190"/>
      <c r="CP228" s="1195"/>
      <c r="CQ228" s="1190"/>
      <c r="CR228" s="1191"/>
      <c r="CS228" s="1192"/>
      <c r="CT228" s="1189"/>
      <c r="CU228" s="1190"/>
      <c r="CV228" s="1189"/>
      <c r="CW228" s="1190"/>
      <c r="CX228" s="1191"/>
      <c r="CY228" s="1192"/>
      <c r="CZ228" s="1189"/>
      <c r="DA228" s="1190"/>
      <c r="DB228" s="1189"/>
      <c r="DC228" s="1190"/>
      <c r="DD228" s="1191"/>
      <c r="DE228" s="1192"/>
      <c r="DF228" s="1189"/>
      <c r="DG228" s="1190"/>
      <c r="DH228" s="1189"/>
      <c r="DI228" s="1190"/>
      <c r="DJ228" s="1191"/>
      <c r="DK228" s="1192"/>
      <c r="DL228" s="1189"/>
      <c r="DM228" s="1190"/>
      <c r="DN228" s="1189"/>
      <c r="DO228" s="1190"/>
      <c r="DP228" s="1191" t="s">
        <v>8250</v>
      </c>
      <c r="DQ228" s="1192"/>
      <c r="DR228" s="1189"/>
      <c r="DS228" s="1190"/>
      <c r="DT228" s="1189"/>
      <c r="DU228" s="1190"/>
      <c r="DV228" s="1191"/>
      <c r="DW228" s="1192"/>
      <c r="DX228" s="1189"/>
      <c r="DY228" s="1190"/>
      <c r="DZ228" s="1189"/>
      <c r="EA228" s="1190"/>
      <c r="EB228" s="1191"/>
      <c r="EC228" s="1196" t="s">
        <v>15630</v>
      </c>
      <c r="ED228" s="1189"/>
      <c r="EE228" s="1190"/>
      <c r="EF228" s="1189"/>
      <c r="EG228" s="1190"/>
      <c r="EH228" s="1191"/>
      <c r="EI228" s="1192"/>
      <c r="EJ228" s="1189"/>
      <c r="EK228" s="1190"/>
      <c r="EL228" s="1189"/>
      <c r="EM228" s="1190"/>
      <c r="EN228" s="1191"/>
      <c r="EO228" s="1192"/>
      <c r="EP228" s="1189"/>
      <c r="EQ228" s="1190"/>
      <c r="ER228" s="1189"/>
      <c r="ES228" s="1190"/>
      <c r="ET228" s="1191"/>
    </row>
    <row r="229" spans="1:150" ht="20.100000000000001" customHeight="1" thickBot="1">
      <c r="A229" s="3034"/>
      <c r="B229" s="2977"/>
      <c r="C229" s="1203"/>
      <c r="D229" s="3006" t="str">
        <f>実績!C1302&amp;"("&amp;SUBSTITUTE(実績!R1302&amp;")","株式会社 ","")</f>
        <v>エディオン岸和田(入江設計室)</v>
      </c>
      <c r="E229" s="3007"/>
      <c r="F229" s="3007"/>
      <c r="G229" s="3007"/>
      <c r="H229" s="3007"/>
      <c r="I229" s="3007"/>
      <c r="J229" s="3007"/>
      <c r="K229" s="3007"/>
      <c r="L229" s="3007"/>
      <c r="M229" s="3007"/>
      <c r="N229" s="3007"/>
      <c r="O229" s="3007"/>
      <c r="P229" s="3007"/>
      <c r="Q229" s="3007"/>
      <c r="R229" s="3023"/>
      <c r="S229" s="1204"/>
      <c r="T229" s="1204"/>
      <c r="U229" s="1205"/>
      <c r="V229" s="1204"/>
      <c r="W229" s="1205"/>
      <c r="X229" s="1206"/>
      <c r="Y229" s="1204"/>
      <c r="Z229" s="1204"/>
      <c r="AA229" s="1205"/>
      <c r="AB229" s="1204"/>
      <c r="AC229" s="1205"/>
      <c r="AD229" s="1204"/>
      <c r="AE229" s="1207"/>
      <c r="AF229" s="1204"/>
      <c r="AG229" s="1205"/>
      <c r="AH229" s="1204"/>
      <c r="AI229" s="1205"/>
      <c r="AJ229" s="1206"/>
      <c r="AK229" s="1204"/>
      <c r="AL229" s="1204"/>
      <c r="AM229" s="1205"/>
      <c r="AN229" s="1204"/>
      <c r="AO229" s="1205"/>
      <c r="AP229" s="1204"/>
      <c r="AQ229" s="1208"/>
      <c r="AR229" s="1204"/>
      <c r="AS229" s="1205"/>
      <c r="AT229" s="1204"/>
      <c r="AU229" s="1205"/>
      <c r="AV229" s="1206"/>
      <c r="AW229" s="1207"/>
      <c r="AX229" s="1204"/>
      <c r="AY229" s="1205"/>
      <c r="AZ229" s="1204"/>
      <c r="BA229" s="1205"/>
      <c r="BB229" s="1206"/>
      <c r="BC229" s="1204"/>
      <c r="BD229" s="1204"/>
      <c r="BE229" s="1205"/>
      <c r="BF229" s="1204"/>
      <c r="BG229" s="1205"/>
      <c r="BH229" s="1204"/>
      <c r="BI229" s="1207"/>
      <c r="BJ229" s="1204"/>
      <c r="BK229" s="1205"/>
      <c r="BL229" s="1204"/>
      <c r="BM229" s="1205"/>
      <c r="BN229" s="1206"/>
      <c r="BO229" s="1207"/>
      <c r="BP229" s="1204"/>
      <c r="BQ229" s="1205"/>
      <c r="BR229" s="1209"/>
      <c r="BS229" s="1205"/>
      <c r="BT229" s="1206"/>
      <c r="BU229" s="1207"/>
      <c r="BV229" s="1204"/>
      <c r="BW229" s="1205"/>
      <c r="BX229" s="1204"/>
      <c r="BY229" s="1205"/>
      <c r="BZ229" s="1206"/>
      <c r="CA229" s="1207"/>
      <c r="CB229" s="1204"/>
      <c r="CC229" s="1205"/>
      <c r="CD229" s="1204"/>
      <c r="CE229" s="1205"/>
      <c r="CF229" s="1206"/>
      <c r="CG229" s="1207"/>
      <c r="CH229" s="1204"/>
      <c r="CI229" s="1205"/>
      <c r="CJ229" s="1204"/>
      <c r="CK229" s="1205"/>
      <c r="CL229" s="1206"/>
      <c r="CM229" s="1207"/>
      <c r="CN229" s="1204"/>
      <c r="CO229" s="1205"/>
      <c r="CP229" s="1210"/>
      <c r="CQ229" s="1205"/>
      <c r="CR229" s="1206"/>
      <c r="CS229" s="1207"/>
      <c r="CT229" s="1204"/>
      <c r="CU229" s="1205"/>
      <c r="CV229" s="1204"/>
      <c r="CW229" s="1205"/>
      <c r="CX229" s="1206"/>
      <c r="CY229" s="1207"/>
      <c r="CZ229" s="1204"/>
      <c r="DA229" s="1205" t="s">
        <v>8644</v>
      </c>
      <c r="DB229" s="1204"/>
      <c r="DC229" s="1205" t="s">
        <v>10941</v>
      </c>
      <c r="DD229" s="1206"/>
      <c r="DE229" s="1207"/>
      <c r="DF229" s="1204" t="s">
        <v>9291</v>
      </c>
      <c r="DG229" s="1205"/>
      <c r="DH229" s="1204"/>
      <c r="DI229" s="1205"/>
      <c r="DJ229" s="1206"/>
      <c r="DK229" s="1207"/>
      <c r="DL229" s="1204"/>
      <c r="DM229" s="1205"/>
      <c r="DN229" s="1204"/>
      <c r="DO229" s="1205"/>
      <c r="DP229" s="1206"/>
      <c r="DQ229" s="1207"/>
      <c r="DR229" s="1204"/>
      <c r="DS229" s="1205"/>
      <c r="DT229" s="1204"/>
      <c r="DU229" s="1205"/>
      <c r="DV229" s="1206"/>
      <c r="DW229" s="1207"/>
      <c r="DX229" s="1204"/>
      <c r="DY229" s="1205"/>
      <c r="DZ229" s="1204"/>
      <c r="EA229" s="1205"/>
      <c r="EB229" s="1206"/>
      <c r="EC229" s="1212" t="s">
        <v>15611</v>
      </c>
      <c r="ED229" s="1204"/>
      <c r="EE229" s="1205"/>
      <c r="EF229" s="1204"/>
      <c r="EG229" s="1205"/>
      <c r="EH229" s="1206"/>
      <c r="EI229" s="1207"/>
      <c r="EJ229" s="1204"/>
      <c r="EK229" s="1205"/>
      <c r="EL229" s="1204"/>
      <c r="EM229" s="1205"/>
      <c r="EN229" s="1206"/>
      <c r="EO229" s="1207"/>
      <c r="EP229" s="1204"/>
      <c r="EQ229" s="1205"/>
      <c r="ER229" s="1204"/>
      <c r="ES229" s="1205"/>
      <c r="ET229" s="1206"/>
    </row>
    <row r="230" spans="1:150" ht="20.100000000000001" customHeight="1" thickBot="1">
      <c r="A230" s="3034"/>
      <c r="B230" s="2977"/>
      <c r="C230" s="179"/>
      <c r="D230" s="2726" t="str">
        <f>実績!C1352&amp;"("&amp;SUBSTITUTE(実績!R1352&amp;")"," 株式会社","")</f>
        <v>松岡 大阪南港第二物流センター(雄健工業)</v>
      </c>
      <c r="E230" s="2727"/>
      <c r="F230" s="2727"/>
      <c r="G230" s="2727"/>
      <c r="H230" s="2727"/>
      <c r="I230" s="2727"/>
      <c r="J230" s="2727"/>
      <c r="K230" s="2727"/>
      <c r="L230" s="2727"/>
      <c r="M230" s="2727"/>
      <c r="N230" s="2727"/>
      <c r="O230" s="2727"/>
      <c r="P230" s="2727"/>
      <c r="Q230" s="2727"/>
      <c r="R230" s="2728"/>
      <c r="S230" s="26"/>
      <c r="T230" s="26"/>
      <c r="U230" s="54"/>
      <c r="V230" s="26"/>
      <c r="W230" s="54"/>
      <c r="X230" s="55"/>
      <c r="Y230" s="26"/>
      <c r="Z230" s="26"/>
      <c r="AA230" s="54"/>
      <c r="AB230" s="26"/>
      <c r="AC230" s="54"/>
      <c r="AD230" s="26"/>
      <c r="AE230" s="56"/>
      <c r="AF230" s="26"/>
      <c r="AG230" s="54"/>
      <c r="AH230" s="26"/>
      <c r="AI230" s="54"/>
      <c r="AJ230" s="55"/>
      <c r="AK230" s="26"/>
      <c r="AL230" s="26"/>
      <c r="AM230" s="54"/>
      <c r="AN230" s="26"/>
      <c r="AO230" s="54"/>
      <c r="AP230" s="26"/>
      <c r="AQ230" s="53"/>
      <c r="AR230" s="26"/>
      <c r="AS230" s="54"/>
      <c r="AT230" s="26"/>
      <c r="AU230" s="54"/>
      <c r="AV230" s="55"/>
      <c r="AW230" s="56"/>
      <c r="AX230" s="26"/>
      <c r="AY230" s="54"/>
      <c r="AZ230" s="26"/>
      <c r="BA230" s="54"/>
      <c r="BB230" s="55"/>
      <c r="BC230" s="26"/>
      <c r="BD230" s="26"/>
      <c r="BE230" s="54"/>
      <c r="BF230" s="26"/>
      <c r="BG230" s="54"/>
      <c r="BH230" s="26"/>
      <c r="BI230" s="56"/>
      <c r="BJ230" s="26"/>
      <c r="BK230" s="54"/>
      <c r="BL230" s="26"/>
      <c r="BM230" s="54"/>
      <c r="BN230" s="55"/>
      <c r="BO230" s="56"/>
      <c r="BP230" s="26"/>
      <c r="BQ230" s="54"/>
      <c r="BR230" s="70"/>
      <c r="BS230" s="54"/>
      <c r="BT230" s="55"/>
      <c r="BU230" s="56"/>
      <c r="BV230" s="26"/>
      <c r="BW230" s="54"/>
      <c r="BX230" s="26"/>
      <c r="BY230" s="54"/>
      <c r="BZ230" s="55"/>
      <c r="CA230" s="56"/>
      <c r="CB230" s="26"/>
      <c r="CC230" s="54"/>
      <c r="CD230" s="26"/>
      <c r="CE230" s="54"/>
      <c r="CF230" s="55"/>
      <c r="CG230" s="56"/>
      <c r="CH230" s="26"/>
      <c r="CI230" s="54"/>
      <c r="CJ230" s="26"/>
      <c r="CK230" s="54"/>
      <c r="CL230" s="55"/>
      <c r="CM230" s="56"/>
      <c r="CN230" s="26"/>
      <c r="CO230" s="54"/>
      <c r="CP230" s="118"/>
      <c r="CQ230" s="54"/>
      <c r="CR230" s="55"/>
      <c r="CS230" s="56"/>
      <c r="CT230" s="26"/>
      <c r="CU230" s="54"/>
      <c r="CV230" s="26"/>
      <c r="CW230" s="54"/>
      <c r="CX230" s="55"/>
      <c r="CY230" s="56"/>
      <c r="CZ230" s="26"/>
      <c r="DA230" s="54"/>
      <c r="DB230" s="26"/>
      <c r="DC230" s="54"/>
      <c r="DD230" s="55"/>
      <c r="DE230" s="56"/>
      <c r="DF230" s="26"/>
      <c r="DG230" s="54"/>
      <c r="DH230" s="26"/>
      <c r="DI230" s="54"/>
      <c r="DJ230" s="55"/>
      <c r="DK230" s="56"/>
      <c r="DL230" s="26"/>
      <c r="DM230" s="54"/>
      <c r="DN230" s="26"/>
      <c r="DO230" s="54"/>
      <c r="DP230" s="55"/>
      <c r="DQ230" s="56" t="s">
        <v>9815</v>
      </c>
      <c r="DR230" s="26"/>
      <c r="DS230" s="54"/>
      <c r="DT230" s="26"/>
      <c r="DU230" s="54"/>
      <c r="DV230" s="55"/>
      <c r="DW230" s="56"/>
      <c r="DX230" s="26"/>
      <c r="DY230" s="54"/>
      <c r="DZ230" s="26"/>
      <c r="EA230" s="54"/>
      <c r="EB230" s="55"/>
      <c r="EC230" s="56"/>
      <c r="ED230" s="26"/>
      <c r="EE230" s="54"/>
      <c r="EF230" s="26"/>
      <c r="EG230" s="54"/>
      <c r="EH230" s="55"/>
      <c r="EI230" s="56"/>
      <c r="EJ230" s="26"/>
      <c r="EK230" s="54"/>
      <c r="EL230" s="26"/>
      <c r="EM230" s="54"/>
      <c r="EN230" s="55"/>
      <c r="EO230" s="56" t="s">
        <v>8145</v>
      </c>
      <c r="EP230" s="26"/>
      <c r="EQ230" s="54"/>
      <c r="ER230" s="26"/>
      <c r="ES230" s="54"/>
      <c r="ET230" s="55"/>
    </row>
    <row r="231" spans="1:150" ht="20.100000000000001" customHeight="1" thickBot="1">
      <c r="A231" s="3034"/>
      <c r="B231" s="2977"/>
      <c r="C231" s="179"/>
      <c r="D231" s="2726" t="str">
        <f>実績!C1349&amp;"("&amp;SUBSTITUTE(実績!W1349&amp;")","有限会社 ","")</f>
        <v>ＪＡみちのく村山 大石田低温倉庫(安島建築構造設計事務所)</v>
      </c>
      <c r="E231" s="2727"/>
      <c r="F231" s="2727"/>
      <c r="G231" s="2727"/>
      <c r="H231" s="2727"/>
      <c r="I231" s="2727"/>
      <c r="J231" s="2727"/>
      <c r="K231" s="2727"/>
      <c r="L231" s="2727"/>
      <c r="M231" s="2727"/>
      <c r="N231" s="2727"/>
      <c r="O231" s="2727"/>
      <c r="P231" s="2727"/>
      <c r="Q231" s="2727"/>
      <c r="R231" s="2728"/>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118"/>
      <c r="CQ231" s="26"/>
      <c r="CR231" s="26"/>
      <c r="CS231" s="26"/>
      <c r="CT231" s="26"/>
      <c r="CU231" s="26"/>
      <c r="CV231" s="26"/>
      <c r="CW231" s="26"/>
      <c r="CX231" s="26"/>
      <c r="CY231" s="56"/>
      <c r="CZ231" s="26"/>
      <c r="DA231" s="54"/>
      <c r="DB231" s="26"/>
      <c r="DC231" s="54"/>
      <c r="DD231" s="55"/>
      <c r="DE231" s="56"/>
      <c r="DF231" s="26"/>
      <c r="DG231" s="54"/>
      <c r="DH231" s="26"/>
      <c r="DI231" s="54"/>
      <c r="DJ231" s="116"/>
      <c r="DK231" s="56"/>
      <c r="DL231" s="26"/>
      <c r="DM231" s="54"/>
      <c r="DN231" s="26"/>
      <c r="DO231" s="54"/>
      <c r="DP231" s="55"/>
      <c r="DQ231" s="56" t="s">
        <v>15610</v>
      </c>
      <c r="DR231" s="26"/>
      <c r="DS231" s="54"/>
      <c r="DT231" s="26"/>
      <c r="DU231" s="54"/>
      <c r="DV231" s="116"/>
      <c r="DW231" s="56"/>
      <c r="DX231" s="26"/>
      <c r="DY231" s="54"/>
      <c r="DZ231" s="26"/>
      <c r="EA231" s="54"/>
      <c r="EB231" s="116"/>
      <c r="EC231" s="56"/>
      <c r="ED231" s="26"/>
      <c r="EE231" s="54"/>
      <c r="EF231" s="26"/>
      <c r="EG231" s="54"/>
      <c r="EH231" s="116"/>
      <c r="EI231" s="56"/>
      <c r="EJ231" s="26"/>
      <c r="EK231" s="54"/>
      <c r="EL231" s="26"/>
      <c r="EM231" s="54"/>
      <c r="EN231" s="116"/>
      <c r="EO231" s="56"/>
      <c r="EP231" s="26"/>
      <c r="EQ231" s="54"/>
      <c r="ER231" s="26"/>
      <c r="ES231" s="54"/>
      <c r="ET231" s="116"/>
    </row>
    <row r="232" spans="1:150" ht="20.100000000000001" customHeight="1" thickBot="1">
      <c r="A232" s="3034"/>
      <c r="B232" s="2978"/>
      <c r="C232" s="1226"/>
      <c r="D232" s="3019" t="str">
        <f>実績!C1311&amp;"("&amp;SUBSTITUTE(実績!R1311&amp;")"," 株式会社","")</f>
        <v>Honda Cars 埼玉中 白岡(都市建築デザイン)</v>
      </c>
      <c r="E232" s="3020"/>
      <c r="F232" s="3020"/>
      <c r="G232" s="3020"/>
      <c r="H232" s="3020"/>
      <c r="I232" s="3020"/>
      <c r="J232" s="3020"/>
      <c r="K232" s="3020"/>
      <c r="L232" s="3020"/>
      <c r="M232" s="3020"/>
      <c r="N232" s="3020"/>
      <c r="O232" s="3020"/>
      <c r="P232" s="3020"/>
      <c r="Q232" s="3020"/>
      <c r="R232" s="3021"/>
      <c r="S232" s="1227"/>
      <c r="T232" s="1227"/>
      <c r="U232" s="1228"/>
      <c r="V232" s="1227"/>
      <c r="W232" s="1228"/>
      <c r="X232" s="1229"/>
      <c r="Y232" s="1227"/>
      <c r="Z232" s="1227"/>
      <c r="AA232" s="1228"/>
      <c r="AB232" s="1227"/>
      <c r="AC232" s="1228"/>
      <c r="AD232" s="1227"/>
      <c r="AE232" s="1230"/>
      <c r="AF232" s="1227"/>
      <c r="AG232" s="1228"/>
      <c r="AH232" s="1227"/>
      <c r="AI232" s="1228"/>
      <c r="AJ232" s="1229"/>
      <c r="AK232" s="1227"/>
      <c r="AL232" s="1227"/>
      <c r="AM232" s="1228"/>
      <c r="AN232" s="1227"/>
      <c r="AO232" s="1228"/>
      <c r="AP232" s="1227"/>
      <c r="AQ232" s="1231"/>
      <c r="AR232" s="1227"/>
      <c r="AS232" s="1228"/>
      <c r="AT232" s="1227"/>
      <c r="AU232" s="1228"/>
      <c r="AV232" s="1229"/>
      <c r="AW232" s="1230"/>
      <c r="AX232" s="1227"/>
      <c r="AY232" s="1228"/>
      <c r="AZ232" s="1227"/>
      <c r="BA232" s="1228"/>
      <c r="BB232" s="1229"/>
      <c r="BC232" s="1227"/>
      <c r="BD232" s="1227"/>
      <c r="BE232" s="1228"/>
      <c r="BF232" s="1227"/>
      <c r="BG232" s="1228"/>
      <c r="BH232" s="1227"/>
      <c r="BI232" s="1230"/>
      <c r="BJ232" s="1227"/>
      <c r="BK232" s="1228"/>
      <c r="BL232" s="1227"/>
      <c r="BM232" s="1228"/>
      <c r="BN232" s="1229"/>
      <c r="BO232" s="1230"/>
      <c r="BP232" s="1227"/>
      <c r="BQ232" s="1228"/>
      <c r="BR232" s="1232"/>
      <c r="BS232" s="1228"/>
      <c r="BT232" s="1229"/>
      <c r="BU232" s="1230"/>
      <c r="BV232" s="1227"/>
      <c r="BW232" s="1228"/>
      <c r="BX232" s="1227"/>
      <c r="BY232" s="1228"/>
      <c r="BZ232" s="1229"/>
      <c r="CA232" s="1230"/>
      <c r="CB232" s="1227"/>
      <c r="CC232" s="1228"/>
      <c r="CD232" s="1227"/>
      <c r="CE232" s="1228"/>
      <c r="CF232" s="1229"/>
      <c r="CG232" s="1230"/>
      <c r="CH232" s="1227"/>
      <c r="CI232" s="1228"/>
      <c r="CJ232" s="1227"/>
      <c r="CK232" s="1228"/>
      <c r="CL232" s="1229"/>
      <c r="CM232" s="1230"/>
      <c r="CN232" s="1227"/>
      <c r="CO232" s="1228"/>
      <c r="CP232" s="1233"/>
      <c r="CQ232" s="1228"/>
      <c r="CR232" s="1229"/>
      <c r="CS232" s="1230"/>
      <c r="CT232" s="1227"/>
      <c r="CU232" s="1228"/>
      <c r="CV232" s="1227"/>
      <c r="CW232" s="1228"/>
      <c r="CX232" s="1229"/>
      <c r="CY232" s="1230"/>
      <c r="CZ232" s="1227"/>
      <c r="DA232" s="1228"/>
      <c r="DB232" s="1227"/>
      <c r="DC232" s="1228" t="s">
        <v>8653</v>
      </c>
      <c r="DD232" s="1229"/>
      <c r="DE232" s="1230"/>
      <c r="DF232" s="1227"/>
      <c r="DG232" s="1228"/>
      <c r="DH232" s="1227"/>
      <c r="DI232" s="1228"/>
      <c r="DJ232" s="1229"/>
      <c r="DK232" s="1230"/>
      <c r="DL232" s="1227"/>
      <c r="DM232" s="1228"/>
      <c r="DN232" s="1227"/>
      <c r="DO232" s="1228"/>
      <c r="DP232" s="1229"/>
      <c r="DQ232" s="1234"/>
      <c r="DR232" s="1227"/>
      <c r="DS232" s="1228"/>
      <c r="DT232" s="1227"/>
      <c r="DU232" s="1228"/>
      <c r="DV232" s="1229"/>
      <c r="DW232" s="1230"/>
      <c r="DX232" s="1227"/>
      <c r="DY232" s="1228"/>
      <c r="DZ232" s="1227"/>
      <c r="EA232" s="1228"/>
      <c r="EB232" s="1229"/>
      <c r="EC232" s="1234" t="s">
        <v>15629</v>
      </c>
      <c r="ED232" s="1227"/>
      <c r="EE232" s="1228"/>
      <c r="EF232" s="1227"/>
      <c r="EG232" s="1228"/>
      <c r="EH232" s="1229"/>
      <c r="EI232" s="1230"/>
      <c r="EJ232" s="1227"/>
      <c r="EK232" s="1228"/>
      <c r="EL232" s="1227"/>
      <c r="EM232" s="1228"/>
      <c r="EN232" s="1229"/>
      <c r="EO232" s="1230"/>
      <c r="EP232" s="1227"/>
      <c r="EQ232" s="1228"/>
      <c r="ER232" s="1227"/>
      <c r="ES232" s="1228"/>
      <c r="ET232" s="1229"/>
    </row>
    <row r="233" spans="1:150" ht="20.100000000000001" customHeight="1" thickBot="1">
      <c r="A233" s="3034"/>
      <c r="B233" s="2979" t="s">
        <v>10921</v>
      </c>
      <c r="C233" s="1159"/>
      <c r="D233" s="3009" t="str">
        <f>実績!C1304&amp;"("&amp;SUBSTITUTE(実績!R1304&amp;")","株式会社 ","")</f>
        <v>大阪屋ショップ豊田(エムティプラン)</v>
      </c>
      <c r="E233" s="3010"/>
      <c r="F233" s="3010"/>
      <c r="G233" s="3010"/>
      <c r="H233" s="3010"/>
      <c r="I233" s="3010"/>
      <c r="J233" s="3010"/>
      <c r="K233" s="3010"/>
      <c r="L233" s="3010"/>
      <c r="M233" s="3010"/>
      <c r="N233" s="3010"/>
      <c r="O233" s="3010"/>
      <c r="P233" s="3010"/>
      <c r="Q233" s="3010"/>
      <c r="R233" s="3022"/>
      <c r="S233" s="1101"/>
      <c r="T233" s="1101"/>
      <c r="U233" s="1102"/>
      <c r="V233" s="1101"/>
      <c r="W233" s="1102"/>
      <c r="X233" s="1103"/>
      <c r="Y233" s="1101"/>
      <c r="Z233" s="1101"/>
      <c r="AA233" s="1102"/>
      <c r="AB233" s="1101"/>
      <c r="AC233" s="1102"/>
      <c r="AD233" s="1101"/>
      <c r="AE233" s="1104"/>
      <c r="AF233" s="1101"/>
      <c r="AG233" s="1102"/>
      <c r="AH233" s="1101"/>
      <c r="AI233" s="1102"/>
      <c r="AJ233" s="1103"/>
      <c r="AK233" s="1101"/>
      <c r="AL233" s="1101"/>
      <c r="AM233" s="1102"/>
      <c r="AN233" s="1101"/>
      <c r="AO233" s="1102"/>
      <c r="AP233" s="1101"/>
      <c r="AQ233" s="1105"/>
      <c r="AR233" s="1101"/>
      <c r="AS233" s="1102"/>
      <c r="AT233" s="1101"/>
      <c r="AU233" s="1102"/>
      <c r="AV233" s="1103"/>
      <c r="AW233" s="1104"/>
      <c r="AX233" s="1101"/>
      <c r="AY233" s="1102"/>
      <c r="AZ233" s="1101"/>
      <c r="BA233" s="1102"/>
      <c r="BB233" s="1103"/>
      <c r="BC233" s="1101"/>
      <c r="BD233" s="1101"/>
      <c r="BE233" s="1102"/>
      <c r="BF233" s="1101"/>
      <c r="BG233" s="1102"/>
      <c r="BH233" s="1101"/>
      <c r="BI233" s="1104"/>
      <c r="BJ233" s="1101"/>
      <c r="BK233" s="1102"/>
      <c r="BL233" s="1101"/>
      <c r="BM233" s="1102"/>
      <c r="BN233" s="1103"/>
      <c r="BO233" s="1104"/>
      <c r="BP233" s="1101"/>
      <c r="BQ233" s="1102"/>
      <c r="BR233" s="1106"/>
      <c r="BS233" s="1102"/>
      <c r="BT233" s="1103"/>
      <c r="BU233" s="1104"/>
      <c r="BV233" s="1101"/>
      <c r="BW233" s="1102"/>
      <c r="BX233" s="1101"/>
      <c r="BY233" s="1102"/>
      <c r="BZ233" s="1103"/>
      <c r="CA233" s="1104"/>
      <c r="CB233" s="1101"/>
      <c r="CC233" s="1102"/>
      <c r="CD233" s="1101"/>
      <c r="CE233" s="1102"/>
      <c r="CF233" s="1103"/>
      <c r="CG233" s="1104"/>
      <c r="CH233" s="1101"/>
      <c r="CI233" s="1102"/>
      <c r="CJ233" s="1101"/>
      <c r="CK233" s="1102"/>
      <c r="CL233" s="1103"/>
      <c r="CM233" s="1104"/>
      <c r="CN233" s="1101"/>
      <c r="CO233" s="1102"/>
      <c r="CP233" s="1107"/>
      <c r="CQ233" s="1102"/>
      <c r="CR233" s="1103"/>
      <c r="CS233" s="1104"/>
      <c r="CT233" s="1101"/>
      <c r="CU233" s="1102"/>
      <c r="CV233" s="1101"/>
      <c r="CW233" s="1102"/>
      <c r="CX233" s="1103" t="s">
        <v>8250</v>
      </c>
      <c r="CY233" s="1104"/>
      <c r="CZ233" s="1101"/>
      <c r="DA233" s="1102"/>
      <c r="DB233" s="1101"/>
      <c r="DC233" s="1102"/>
      <c r="DD233" s="1103"/>
      <c r="DE233" s="1104"/>
      <c r="DF233" s="1101"/>
      <c r="DG233" s="1102"/>
      <c r="DH233" s="1101"/>
      <c r="DI233" s="1102"/>
      <c r="DJ233" s="1103"/>
      <c r="DK233" s="1104"/>
      <c r="DL233" s="1101"/>
      <c r="DM233" s="1102"/>
      <c r="DN233" s="1101"/>
      <c r="DO233" s="1102"/>
      <c r="DP233" s="1103"/>
      <c r="DQ233" s="1104"/>
      <c r="DR233" s="1101"/>
      <c r="DS233" s="1102"/>
      <c r="DT233" s="1101"/>
      <c r="DU233" s="1102"/>
      <c r="DV233" s="1103"/>
      <c r="DW233" s="1104"/>
      <c r="DX233" s="1259" t="s">
        <v>8145</v>
      </c>
      <c r="DY233" s="1102"/>
      <c r="DZ233" s="1101"/>
      <c r="EA233" s="1102"/>
      <c r="EB233" s="1103"/>
      <c r="EC233" s="1104"/>
      <c r="ED233" s="1101"/>
      <c r="EE233" s="1102"/>
      <c r="EF233" s="1101"/>
      <c r="EG233" s="1102"/>
      <c r="EH233" s="1103"/>
      <c r="EI233" s="1104"/>
      <c r="EJ233" s="1101"/>
      <c r="EK233" s="1102"/>
      <c r="EL233" s="1101"/>
      <c r="EM233" s="1102"/>
      <c r="EN233" s="1103"/>
      <c r="EO233" s="1104"/>
      <c r="EP233" s="1101"/>
      <c r="EQ233" s="1102"/>
      <c r="ER233" s="1101"/>
      <c r="ES233" s="1102"/>
      <c r="ET233" s="1103"/>
    </row>
    <row r="234" spans="1:150" ht="20.100000000000001" customHeight="1" thickBot="1">
      <c r="A234" s="3034"/>
      <c r="B234" s="2980"/>
      <c r="C234" s="1198"/>
      <c r="D234" s="3015" t="str">
        <f>実績!C1331&amp;"("&amp;SUBSTITUTE(実績!R1331&amp;")","株式会社 ","")</f>
        <v>薬王堂 角館下菅沢(樹設計工房)</v>
      </c>
      <c r="E234" s="3016"/>
      <c r="F234" s="3016"/>
      <c r="G234" s="3016"/>
      <c r="H234" s="3016"/>
      <c r="I234" s="3016"/>
      <c r="J234" s="3016"/>
      <c r="K234" s="3016"/>
      <c r="L234" s="3016"/>
      <c r="M234" s="3016"/>
      <c r="N234" s="3016"/>
      <c r="O234" s="3016"/>
      <c r="P234" s="3016"/>
      <c r="Q234" s="3016"/>
      <c r="R234" s="3017"/>
      <c r="S234" s="234"/>
      <c r="T234" s="234"/>
      <c r="U234" s="235"/>
      <c r="V234" s="234"/>
      <c r="W234" s="235"/>
      <c r="X234" s="237"/>
      <c r="Y234" s="234"/>
      <c r="Z234" s="234"/>
      <c r="AA234" s="235"/>
      <c r="AB234" s="234"/>
      <c r="AC234" s="235"/>
      <c r="AD234" s="234"/>
      <c r="AE234" s="1199"/>
      <c r="AF234" s="234"/>
      <c r="AG234" s="235"/>
      <c r="AH234" s="234"/>
      <c r="AI234" s="235"/>
      <c r="AJ234" s="237"/>
      <c r="AK234" s="234"/>
      <c r="AL234" s="234"/>
      <c r="AM234" s="235"/>
      <c r="AN234" s="234"/>
      <c r="AO234" s="235"/>
      <c r="AP234" s="234"/>
      <c r="AQ234" s="1200"/>
      <c r="AR234" s="234"/>
      <c r="AS234" s="235"/>
      <c r="AT234" s="234"/>
      <c r="AU234" s="235"/>
      <c r="AV234" s="237"/>
      <c r="AW234" s="1199"/>
      <c r="AX234" s="234"/>
      <c r="AY234" s="235"/>
      <c r="AZ234" s="234"/>
      <c r="BA234" s="235"/>
      <c r="BB234" s="237"/>
      <c r="BC234" s="234"/>
      <c r="BD234" s="234"/>
      <c r="BE234" s="235"/>
      <c r="BF234" s="234"/>
      <c r="BG234" s="235"/>
      <c r="BH234" s="234"/>
      <c r="BI234" s="1199"/>
      <c r="BJ234" s="234"/>
      <c r="BK234" s="235"/>
      <c r="BL234" s="234"/>
      <c r="BM234" s="235"/>
      <c r="BN234" s="237"/>
      <c r="BO234" s="1199"/>
      <c r="BP234" s="234"/>
      <c r="BQ234" s="235"/>
      <c r="BR234" s="236"/>
      <c r="BS234" s="235"/>
      <c r="BT234" s="237"/>
      <c r="BU234" s="1199"/>
      <c r="BV234" s="234"/>
      <c r="BW234" s="235"/>
      <c r="BX234" s="234"/>
      <c r="BY234" s="235"/>
      <c r="BZ234" s="237"/>
      <c r="CA234" s="1199"/>
      <c r="CB234" s="234"/>
      <c r="CC234" s="235"/>
      <c r="CD234" s="234"/>
      <c r="CE234" s="235"/>
      <c r="CF234" s="237"/>
      <c r="CG234" s="1199"/>
      <c r="CH234" s="234"/>
      <c r="CI234" s="235"/>
      <c r="CJ234" s="234"/>
      <c r="CK234" s="235"/>
      <c r="CL234" s="237"/>
      <c r="CM234" s="1199"/>
      <c r="CN234" s="234"/>
      <c r="CO234" s="235"/>
      <c r="CP234" s="1201"/>
      <c r="CQ234" s="235"/>
      <c r="CR234" s="237"/>
      <c r="CS234" s="1199"/>
      <c r="CT234" s="234"/>
      <c r="CU234" s="235"/>
      <c r="CV234" s="234"/>
      <c r="CW234" s="235"/>
      <c r="CX234" s="237"/>
      <c r="CY234" s="1199"/>
      <c r="CZ234" s="234"/>
      <c r="DA234" s="235"/>
      <c r="DB234" s="234"/>
      <c r="DC234" s="235"/>
      <c r="DD234" s="237"/>
      <c r="DE234" s="1199"/>
      <c r="DF234" s="234"/>
      <c r="DG234" s="235"/>
      <c r="DH234" s="234"/>
      <c r="DI234" s="235"/>
      <c r="DJ234" s="237"/>
      <c r="DK234" s="1199"/>
      <c r="DL234" s="234"/>
      <c r="DM234" s="235"/>
      <c r="DN234" s="234"/>
      <c r="DO234" s="235"/>
      <c r="DP234" s="237"/>
      <c r="DQ234" s="1199" t="s">
        <v>8250</v>
      </c>
      <c r="DR234" s="234"/>
      <c r="DS234" s="235"/>
      <c r="DT234" s="234"/>
      <c r="DU234" s="235"/>
      <c r="DV234" s="237"/>
      <c r="DW234" s="1199"/>
      <c r="DX234" s="234"/>
      <c r="DY234" s="235"/>
      <c r="DZ234" s="1202" t="s">
        <v>15631</v>
      </c>
      <c r="EA234" s="235"/>
      <c r="EB234" s="237"/>
      <c r="EC234" s="1199"/>
      <c r="ED234" s="234"/>
      <c r="EE234" s="235"/>
      <c r="EF234" s="234"/>
      <c r="EG234" s="235"/>
      <c r="EH234" s="237"/>
      <c r="EI234" s="1199"/>
      <c r="EJ234" s="234"/>
      <c r="EK234" s="235"/>
      <c r="EL234" s="234"/>
      <c r="EM234" s="235"/>
      <c r="EN234" s="237"/>
      <c r="EO234" s="1199"/>
      <c r="EP234" s="234"/>
      <c r="EQ234" s="235"/>
      <c r="ER234" s="234"/>
      <c r="ES234" s="235"/>
      <c r="ET234" s="237"/>
    </row>
    <row r="235" spans="1:150" ht="20.100000000000001" customHeight="1" thickBot="1">
      <c r="A235" s="3034"/>
      <c r="B235" s="2981"/>
      <c r="C235" s="179"/>
      <c r="D235" s="2726" t="str">
        <f>実績!C1340&amp;"("&amp;SUBSTITUTE(実績!W1340&amp;")"," 株式会社","")</f>
        <v>石巻物流センター(日鉄物産システム建築)</v>
      </c>
      <c r="E235" s="2727"/>
      <c r="F235" s="2727"/>
      <c r="G235" s="2727"/>
      <c r="H235" s="2727"/>
      <c r="I235" s="2727"/>
      <c r="J235" s="2727"/>
      <c r="K235" s="2727"/>
      <c r="L235" s="2727"/>
      <c r="M235" s="2727"/>
      <c r="N235" s="2727"/>
      <c r="O235" s="2727"/>
      <c r="P235" s="2727"/>
      <c r="Q235" s="2727"/>
      <c r="R235" s="2728"/>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118"/>
      <c r="CQ235" s="26"/>
      <c r="CR235" s="26"/>
      <c r="CS235" s="26"/>
      <c r="CT235" s="26"/>
      <c r="CU235" s="26"/>
      <c r="CV235" s="26"/>
      <c r="CW235" s="26"/>
      <c r="CX235" s="26"/>
      <c r="CY235" s="56"/>
      <c r="CZ235" s="26"/>
      <c r="DA235" s="54"/>
      <c r="DB235" s="26"/>
      <c r="DC235" s="54"/>
      <c r="DD235" s="55"/>
      <c r="DE235" s="56"/>
      <c r="DF235" s="26"/>
      <c r="DG235" s="54"/>
      <c r="DH235" s="26"/>
      <c r="DI235" s="54"/>
      <c r="DJ235" s="116"/>
      <c r="DK235" s="56"/>
      <c r="DL235" s="26" t="s">
        <v>15214</v>
      </c>
      <c r="DM235" s="54"/>
      <c r="DN235" s="26"/>
      <c r="DO235" s="54"/>
      <c r="DP235" s="55"/>
      <c r="DQ235" s="56"/>
      <c r="DR235" s="26"/>
      <c r="DS235" s="54"/>
      <c r="DT235" s="26"/>
      <c r="DU235" s="54"/>
      <c r="DV235" s="116"/>
      <c r="DW235" s="56"/>
      <c r="DX235" s="26"/>
      <c r="DY235" s="54"/>
      <c r="DZ235" s="1261" t="s">
        <v>8944</v>
      </c>
      <c r="EA235" s="54"/>
      <c r="EB235" s="116"/>
      <c r="EC235" s="56"/>
      <c r="ED235" s="26"/>
      <c r="EE235" s="54"/>
      <c r="EF235" s="26"/>
      <c r="EG235" s="54"/>
      <c r="EH235" s="116"/>
      <c r="EI235" s="56"/>
      <c r="EJ235" s="26"/>
      <c r="EK235" s="54"/>
      <c r="EL235" s="26"/>
      <c r="EM235" s="54"/>
      <c r="EN235" s="116"/>
      <c r="EO235" s="56"/>
      <c r="EP235" s="26"/>
      <c r="EQ235" s="54"/>
      <c r="ER235" s="26"/>
      <c r="ES235" s="54"/>
      <c r="ET235" s="116"/>
    </row>
    <row r="236" spans="1:150" ht="20.100000000000001" customHeight="1" thickBot="1">
      <c r="A236" s="3034"/>
      <c r="B236" s="2981"/>
      <c r="C236" s="179"/>
      <c r="D236" s="2726" t="str">
        <f>実績!C1301&amp;"("&amp;SUBSTITUTE(実績!R1301&amp;")","株式会社 ","")</f>
        <v>カインズ羽生 テナント棟(タイト設計)</v>
      </c>
      <c r="E236" s="2727"/>
      <c r="F236" s="2727"/>
      <c r="G236" s="2727"/>
      <c r="H236" s="2727"/>
      <c r="I236" s="2727"/>
      <c r="J236" s="2727"/>
      <c r="K236" s="2727"/>
      <c r="L236" s="2727"/>
      <c r="M236" s="2727"/>
      <c r="N236" s="2727"/>
      <c r="O236" s="2727"/>
      <c r="P236" s="2727"/>
      <c r="Q236" s="2727"/>
      <c r="R236" s="2878"/>
      <c r="S236" s="26"/>
      <c r="T236" s="26"/>
      <c r="U236" s="54"/>
      <c r="V236" s="26"/>
      <c r="W236" s="54"/>
      <c r="X236" s="55"/>
      <c r="Y236" s="26"/>
      <c r="Z236" s="26"/>
      <c r="AA236" s="54"/>
      <c r="AB236" s="26"/>
      <c r="AC236" s="54"/>
      <c r="AD236" s="26"/>
      <c r="AE236" s="56"/>
      <c r="AF236" s="26"/>
      <c r="AG236" s="54"/>
      <c r="AH236" s="26"/>
      <c r="AI236" s="54"/>
      <c r="AJ236" s="55"/>
      <c r="AK236" s="26"/>
      <c r="AL236" s="26"/>
      <c r="AM236" s="54"/>
      <c r="AN236" s="26"/>
      <c r="AO236" s="54"/>
      <c r="AP236" s="26"/>
      <c r="AQ236" s="53"/>
      <c r="AR236" s="26"/>
      <c r="AS236" s="54"/>
      <c r="AT236" s="26"/>
      <c r="AU236" s="54"/>
      <c r="AV236" s="55"/>
      <c r="AW236" s="56"/>
      <c r="AX236" s="26"/>
      <c r="AY236" s="54"/>
      <c r="AZ236" s="26"/>
      <c r="BA236" s="54"/>
      <c r="BB236" s="55"/>
      <c r="BC236" s="26"/>
      <c r="BD236" s="26"/>
      <c r="BE236" s="54"/>
      <c r="BF236" s="26"/>
      <c r="BG236" s="54"/>
      <c r="BH236" s="26"/>
      <c r="BI236" s="56"/>
      <c r="BJ236" s="26"/>
      <c r="BK236" s="54"/>
      <c r="BL236" s="26"/>
      <c r="BM236" s="54"/>
      <c r="BN236" s="55"/>
      <c r="BO236" s="56"/>
      <c r="BP236" s="26"/>
      <c r="BQ236" s="54"/>
      <c r="BR236" s="70"/>
      <c r="BS236" s="54"/>
      <c r="BT236" s="55"/>
      <c r="BU236" s="56"/>
      <c r="BV236" s="26"/>
      <c r="BW236" s="54"/>
      <c r="BX236" s="26"/>
      <c r="BY236" s="54"/>
      <c r="BZ236" s="55"/>
      <c r="CA236" s="56"/>
      <c r="CB236" s="26"/>
      <c r="CC236" s="54"/>
      <c r="CD236" s="26"/>
      <c r="CE236" s="54"/>
      <c r="CF236" s="55"/>
      <c r="CG236" s="56"/>
      <c r="CH236" s="26"/>
      <c r="CI236" s="54"/>
      <c r="CJ236" s="26"/>
      <c r="CK236" s="54"/>
      <c r="CL236" s="55"/>
      <c r="CM236" s="56"/>
      <c r="CN236" s="26"/>
      <c r="CO236" s="54"/>
      <c r="CP236" s="118"/>
      <c r="CQ236" s="54"/>
      <c r="CR236" s="55"/>
      <c r="CS236" s="56"/>
      <c r="CT236" s="26"/>
      <c r="CU236" s="54"/>
      <c r="CV236" s="26"/>
      <c r="CW236" s="54"/>
      <c r="CX236" s="116"/>
      <c r="CY236" s="56"/>
      <c r="CZ236" s="26"/>
      <c r="DA236" s="54"/>
      <c r="DB236" s="26"/>
      <c r="DC236" s="54"/>
      <c r="DD236" s="55"/>
      <c r="DE236" s="56"/>
      <c r="DF236" s="26"/>
      <c r="DG236" s="54"/>
      <c r="DH236" s="26"/>
      <c r="DI236" s="54"/>
      <c r="DJ236" s="55"/>
      <c r="DK236" s="56"/>
      <c r="DL236" s="26" t="s">
        <v>8250</v>
      </c>
      <c r="DM236" s="54"/>
      <c r="DN236" s="26"/>
      <c r="DO236" s="54"/>
      <c r="DP236" s="26"/>
      <c r="DQ236" s="89"/>
      <c r="DR236" s="26"/>
      <c r="DS236" s="54"/>
      <c r="DT236" s="26"/>
      <c r="DU236" s="54"/>
      <c r="DV236" s="55"/>
      <c r="DW236" s="56"/>
      <c r="DX236" s="26"/>
      <c r="DY236" s="54"/>
      <c r="DZ236" s="26"/>
      <c r="EA236" s="1238" t="s">
        <v>8145</v>
      </c>
      <c r="EB236" s="55"/>
      <c r="EC236" s="56"/>
      <c r="ED236" s="26"/>
      <c r="EE236" s="54"/>
      <c r="EF236" s="26"/>
      <c r="EG236" s="54"/>
      <c r="EH236" s="55"/>
      <c r="EI236" s="56"/>
      <c r="EJ236" s="26"/>
      <c r="EK236" s="54"/>
      <c r="EL236" s="26"/>
      <c r="EM236" s="54"/>
      <c r="EN236" s="55"/>
      <c r="EO236" s="56"/>
      <c r="EP236" s="26"/>
      <c r="EQ236" s="54"/>
      <c r="ER236" s="26"/>
      <c r="ES236" s="54"/>
      <c r="ET236" s="55"/>
    </row>
    <row r="237" spans="1:150" ht="20.100000000000001" customHeight="1" thickBot="1">
      <c r="A237" s="3034"/>
      <c r="B237" s="2981"/>
      <c r="C237" s="179"/>
      <c r="D237" s="2726" t="str">
        <f>実績!C1353&amp;"("&amp;SUBSTITUTE(実績!R1353&amp;")","株式会社 ","")</f>
        <v>カインズ宇都宮テクノポリス(タイト設計)</v>
      </c>
      <c r="E237" s="2727"/>
      <c r="F237" s="2727"/>
      <c r="G237" s="2727"/>
      <c r="H237" s="2727"/>
      <c r="I237" s="2727"/>
      <c r="J237" s="2727"/>
      <c r="K237" s="2727"/>
      <c r="L237" s="2727"/>
      <c r="M237" s="2727"/>
      <c r="N237" s="2727"/>
      <c r="O237" s="2727"/>
      <c r="P237" s="2727"/>
      <c r="Q237" s="2727"/>
      <c r="R237" s="2728"/>
      <c r="S237" s="26"/>
      <c r="T237" s="26"/>
      <c r="U237" s="54"/>
      <c r="V237" s="26"/>
      <c r="W237" s="54"/>
      <c r="X237" s="55"/>
      <c r="Y237" s="26"/>
      <c r="Z237" s="26"/>
      <c r="AA237" s="54"/>
      <c r="AB237" s="26"/>
      <c r="AC237" s="54"/>
      <c r="AD237" s="26"/>
      <c r="AE237" s="56"/>
      <c r="AF237" s="26"/>
      <c r="AG237" s="54"/>
      <c r="AH237" s="26"/>
      <c r="AI237" s="54"/>
      <c r="AJ237" s="55"/>
      <c r="AK237" s="26"/>
      <c r="AL237" s="26"/>
      <c r="AM237" s="54"/>
      <c r="AN237" s="26"/>
      <c r="AO237" s="54"/>
      <c r="AP237" s="26"/>
      <c r="AQ237" s="53"/>
      <c r="AR237" s="26"/>
      <c r="AS237" s="54"/>
      <c r="AT237" s="26"/>
      <c r="AU237" s="54"/>
      <c r="AV237" s="55"/>
      <c r="AW237" s="56"/>
      <c r="AX237" s="26"/>
      <c r="AY237" s="54"/>
      <c r="AZ237" s="26"/>
      <c r="BA237" s="54"/>
      <c r="BB237" s="55"/>
      <c r="BC237" s="26"/>
      <c r="BD237" s="26"/>
      <c r="BE237" s="54"/>
      <c r="BF237" s="26"/>
      <c r="BG237" s="54"/>
      <c r="BH237" s="26"/>
      <c r="BI237" s="56"/>
      <c r="BJ237" s="26"/>
      <c r="BK237" s="54"/>
      <c r="BL237" s="26"/>
      <c r="BM237" s="54"/>
      <c r="BN237" s="55"/>
      <c r="BO237" s="56"/>
      <c r="BP237" s="26"/>
      <c r="BQ237" s="54"/>
      <c r="BR237" s="70"/>
      <c r="BS237" s="54"/>
      <c r="BT237" s="55"/>
      <c r="BU237" s="56"/>
      <c r="BV237" s="26"/>
      <c r="BW237" s="54"/>
      <c r="BX237" s="26"/>
      <c r="BY237" s="54"/>
      <c r="BZ237" s="55"/>
      <c r="CA237" s="56"/>
      <c r="CB237" s="26"/>
      <c r="CC237" s="54"/>
      <c r="CD237" s="26"/>
      <c r="CE237" s="54"/>
      <c r="CF237" s="55"/>
      <c r="CG237" s="56"/>
      <c r="CH237" s="26"/>
      <c r="CI237" s="54"/>
      <c r="CJ237" s="26"/>
      <c r="CK237" s="54"/>
      <c r="CL237" s="55"/>
      <c r="CM237" s="56"/>
      <c r="CN237" s="26"/>
      <c r="CO237" s="54"/>
      <c r="CP237" s="118"/>
      <c r="CQ237" s="54"/>
      <c r="CR237" s="55"/>
      <c r="CS237" s="56"/>
      <c r="CT237" s="26"/>
      <c r="CU237" s="54"/>
      <c r="CV237" s="26"/>
      <c r="CW237" s="54"/>
      <c r="CX237" s="55"/>
      <c r="CY237" s="56"/>
      <c r="CZ237" s="26"/>
      <c r="DA237" s="54"/>
      <c r="DB237" s="26"/>
      <c r="DC237" s="54"/>
      <c r="DD237" s="55"/>
      <c r="DE237" s="56"/>
      <c r="DF237" s="26"/>
      <c r="DG237" s="54"/>
      <c r="DH237" s="26"/>
      <c r="DI237" s="54"/>
      <c r="DJ237" s="55"/>
      <c r="DK237" s="56"/>
      <c r="DL237" s="26"/>
      <c r="DM237" s="54"/>
      <c r="DN237" s="26"/>
      <c r="DO237" s="54"/>
      <c r="DP237" s="55"/>
      <c r="DQ237" s="56"/>
      <c r="DR237" s="26"/>
      <c r="DS237" s="54"/>
      <c r="DT237" s="26"/>
      <c r="DU237" s="54"/>
      <c r="DV237" s="55"/>
      <c r="DW237" s="56"/>
      <c r="DX237" s="26"/>
      <c r="DY237" s="54"/>
      <c r="DZ237" s="26"/>
      <c r="EA237" s="1238" t="s">
        <v>15429</v>
      </c>
      <c r="EB237" s="55"/>
      <c r="EC237" s="56"/>
      <c r="ED237" s="26"/>
      <c r="EE237" s="54"/>
      <c r="EF237" s="70"/>
      <c r="EG237" s="54"/>
      <c r="EH237" s="55"/>
      <c r="EI237" s="56"/>
      <c r="EJ237" s="26"/>
      <c r="EK237" s="54"/>
      <c r="EL237" s="26"/>
      <c r="EM237" s="54"/>
      <c r="EN237" s="55"/>
      <c r="EO237" s="56"/>
      <c r="EP237" s="26"/>
      <c r="EQ237" s="54"/>
      <c r="ER237" s="26"/>
      <c r="ES237" s="54"/>
      <c r="ET237" s="116"/>
    </row>
    <row r="238" spans="1:150" ht="20.100000000000001" customHeight="1" thickBot="1">
      <c r="A238" s="3034"/>
      <c r="B238" s="2981"/>
      <c r="C238" s="1185"/>
      <c r="D238" s="3003" t="str">
        <f>実績!C1309&amp;"("&amp;SUBSTITUTE(実績!R1309&amp;")","株式会社 ","")</f>
        <v>池伝㈱名古屋支店新事務所()</v>
      </c>
      <c r="E238" s="3004"/>
      <c r="F238" s="3004"/>
      <c r="G238" s="3004"/>
      <c r="H238" s="3004"/>
      <c r="I238" s="3004"/>
      <c r="J238" s="3004"/>
      <c r="K238" s="3004"/>
      <c r="L238" s="3004"/>
      <c r="M238" s="3004"/>
      <c r="N238" s="3004"/>
      <c r="O238" s="3004"/>
      <c r="P238" s="3004"/>
      <c r="Q238" s="3004"/>
      <c r="R238" s="3005"/>
      <c r="S238" s="1189"/>
      <c r="T238" s="1189"/>
      <c r="U238" s="1190"/>
      <c r="V238" s="1189"/>
      <c r="W238" s="1190"/>
      <c r="X238" s="1191"/>
      <c r="Y238" s="1189"/>
      <c r="Z238" s="1189"/>
      <c r="AA238" s="1190"/>
      <c r="AB238" s="1189"/>
      <c r="AC238" s="1190"/>
      <c r="AD238" s="1189"/>
      <c r="AE238" s="1192"/>
      <c r="AF238" s="1189"/>
      <c r="AG238" s="1190"/>
      <c r="AH238" s="1189"/>
      <c r="AI238" s="1190"/>
      <c r="AJ238" s="1191"/>
      <c r="AK238" s="1189"/>
      <c r="AL238" s="1189"/>
      <c r="AM238" s="1190"/>
      <c r="AN238" s="1189"/>
      <c r="AO238" s="1190"/>
      <c r="AP238" s="1189"/>
      <c r="AQ238" s="1193"/>
      <c r="AR238" s="1189"/>
      <c r="AS238" s="1190"/>
      <c r="AT238" s="1189"/>
      <c r="AU238" s="1190"/>
      <c r="AV238" s="1191"/>
      <c r="AW238" s="1192"/>
      <c r="AX238" s="1189"/>
      <c r="AY238" s="1190"/>
      <c r="AZ238" s="1189"/>
      <c r="BA238" s="1190"/>
      <c r="BB238" s="1191"/>
      <c r="BC238" s="1189"/>
      <c r="BD238" s="1189"/>
      <c r="BE238" s="1190"/>
      <c r="BF238" s="1189"/>
      <c r="BG238" s="1190"/>
      <c r="BH238" s="1189"/>
      <c r="BI238" s="1192"/>
      <c r="BJ238" s="1189"/>
      <c r="BK238" s="1190"/>
      <c r="BL238" s="1189"/>
      <c r="BM238" s="1190"/>
      <c r="BN238" s="1191"/>
      <c r="BO238" s="1192"/>
      <c r="BP238" s="1189"/>
      <c r="BQ238" s="1190"/>
      <c r="BR238" s="1194"/>
      <c r="BS238" s="1190"/>
      <c r="BT238" s="1191"/>
      <c r="BU238" s="1192"/>
      <c r="BV238" s="1189"/>
      <c r="BW238" s="1190"/>
      <c r="BX238" s="1189"/>
      <c r="BY238" s="1190"/>
      <c r="BZ238" s="1191"/>
      <c r="CA238" s="1192"/>
      <c r="CB238" s="1189"/>
      <c r="CC238" s="1190"/>
      <c r="CD238" s="1189"/>
      <c r="CE238" s="1190"/>
      <c r="CF238" s="1191"/>
      <c r="CG238" s="1192"/>
      <c r="CH238" s="1189"/>
      <c r="CI238" s="1190"/>
      <c r="CJ238" s="1189"/>
      <c r="CK238" s="1190"/>
      <c r="CL238" s="1191"/>
      <c r="CM238" s="1192"/>
      <c r="CN238" s="1189"/>
      <c r="CO238" s="1190"/>
      <c r="CP238" s="1195"/>
      <c r="CQ238" s="1190"/>
      <c r="CR238" s="1191"/>
      <c r="CS238" s="1192"/>
      <c r="CT238" s="1189"/>
      <c r="CU238" s="1190"/>
      <c r="CV238" s="1189"/>
      <c r="CW238" s="1190"/>
      <c r="CX238" s="1213" t="s">
        <v>8644</v>
      </c>
      <c r="CY238" s="1192"/>
      <c r="CZ238" s="1189"/>
      <c r="DA238" s="1190"/>
      <c r="DB238" s="1189"/>
      <c r="DC238" s="1190"/>
      <c r="DD238" s="1191"/>
      <c r="DE238" s="1192"/>
      <c r="DF238" s="1189"/>
      <c r="DG238" s="1190"/>
      <c r="DH238" s="1189"/>
      <c r="DI238" s="1190"/>
      <c r="DJ238" s="1213"/>
      <c r="DK238" s="1192" t="s">
        <v>8250</v>
      </c>
      <c r="DL238" s="1189"/>
      <c r="DM238" s="1190"/>
      <c r="DN238" s="1189"/>
      <c r="DO238" s="1190"/>
      <c r="DP238" s="1191"/>
      <c r="DQ238" s="1192"/>
      <c r="DR238" s="1189"/>
      <c r="DS238" s="1190"/>
      <c r="DT238" s="1189"/>
      <c r="DU238" s="1190"/>
      <c r="DV238" s="1214"/>
      <c r="DW238" s="1192"/>
      <c r="DX238" s="1189"/>
      <c r="DY238" s="1190"/>
      <c r="DZ238" s="1189"/>
      <c r="EA238" s="1190"/>
      <c r="EB238" s="1214"/>
      <c r="EC238" s="1196" t="s">
        <v>15630</v>
      </c>
      <c r="ED238" s="1189"/>
      <c r="EE238" s="1190"/>
      <c r="EF238" s="1189"/>
      <c r="EG238" s="1190"/>
      <c r="EH238" s="1214"/>
      <c r="EI238" s="1192"/>
      <c r="EJ238" s="1189"/>
      <c r="EK238" s="1190"/>
      <c r="EL238" s="1189"/>
      <c r="EM238" s="1190"/>
      <c r="EN238" s="1214"/>
      <c r="EO238" s="1192"/>
      <c r="EP238" s="1189"/>
      <c r="EQ238" s="1190"/>
      <c r="ER238" s="1189"/>
      <c r="ES238" s="1190"/>
      <c r="ET238" s="1214"/>
    </row>
    <row r="239" spans="1:150" ht="20.100000000000001" customHeight="1" thickBot="1">
      <c r="A239" s="3034"/>
      <c r="B239" s="2981"/>
      <c r="C239" s="179"/>
      <c r="D239" s="2726" t="str">
        <f>実績!C1313&amp;"("&amp;SUBSTITUTE(実績!R1313&amp;")"," 株式会社","")</f>
        <v>㈱白馬物流菊陽物流ｾﾝﾀｰ営業所(IMA建築事務所)</v>
      </c>
      <c r="E239" s="2727"/>
      <c r="F239" s="2727"/>
      <c r="G239" s="2727"/>
      <c r="H239" s="2727"/>
      <c r="I239" s="2727"/>
      <c r="J239" s="2727"/>
      <c r="K239" s="2727"/>
      <c r="L239" s="2727"/>
      <c r="M239" s="2727"/>
      <c r="N239" s="2727"/>
      <c r="O239" s="2727"/>
      <c r="P239" s="2727"/>
      <c r="Q239" s="2727"/>
      <c r="R239" s="2728"/>
      <c r="S239" s="26"/>
      <c r="T239" s="26"/>
      <c r="U239" s="54"/>
      <c r="V239" s="26"/>
      <c r="W239" s="54"/>
      <c r="X239" s="55"/>
      <c r="Y239" s="26"/>
      <c r="Z239" s="26"/>
      <c r="AA239" s="54"/>
      <c r="AB239" s="26"/>
      <c r="AC239" s="54"/>
      <c r="AD239" s="26"/>
      <c r="AE239" s="56"/>
      <c r="AF239" s="26"/>
      <c r="AG239" s="54"/>
      <c r="AH239" s="26"/>
      <c r="AI239" s="54"/>
      <c r="AJ239" s="55"/>
      <c r="AK239" s="26"/>
      <c r="AL239" s="26"/>
      <c r="AM239" s="54"/>
      <c r="AN239" s="26"/>
      <c r="AO239" s="54"/>
      <c r="AP239" s="26"/>
      <c r="AQ239" s="53"/>
      <c r="AR239" s="26"/>
      <c r="AS239" s="54"/>
      <c r="AT239" s="26"/>
      <c r="AU239" s="54"/>
      <c r="AV239" s="55"/>
      <c r="AW239" s="56"/>
      <c r="AX239" s="26"/>
      <c r="AY239" s="54"/>
      <c r="AZ239" s="26"/>
      <c r="BA239" s="54"/>
      <c r="BB239" s="55"/>
      <c r="BC239" s="26"/>
      <c r="BD239" s="26"/>
      <c r="BE239" s="54"/>
      <c r="BF239" s="26"/>
      <c r="BG239" s="54"/>
      <c r="BH239" s="26"/>
      <c r="BI239" s="56"/>
      <c r="BJ239" s="26"/>
      <c r="BK239" s="54"/>
      <c r="BL239" s="26"/>
      <c r="BM239" s="54"/>
      <c r="BN239" s="55"/>
      <c r="BO239" s="56"/>
      <c r="BP239" s="26"/>
      <c r="BQ239" s="54"/>
      <c r="BR239" s="70"/>
      <c r="BS239" s="54"/>
      <c r="BT239" s="55"/>
      <c r="BU239" s="56"/>
      <c r="BV239" s="26"/>
      <c r="BW239" s="54"/>
      <c r="BX239" s="26"/>
      <c r="BY239" s="54"/>
      <c r="BZ239" s="55"/>
      <c r="CA239" s="56"/>
      <c r="CB239" s="26"/>
      <c r="CC239" s="54"/>
      <c r="CD239" s="26"/>
      <c r="CE239" s="54"/>
      <c r="CF239" s="55"/>
      <c r="CG239" s="56"/>
      <c r="CH239" s="26"/>
      <c r="CI239" s="54"/>
      <c r="CJ239" s="26"/>
      <c r="CK239" s="54"/>
      <c r="CL239" s="55"/>
      <c r="CM239" s="56"/>
      <c r="CN239" s="26"/>
      <c r="CO239" s="54"/>
      <c r="CP239" s="118"/>
      <c r="CQ239" s="54"/>
      <c r="CR239" s="55"/>
      <c r="CS239" s="56"/>
      <c r="CT239" s="26"/>
      <c r="CU239" s="54"/>
      <c r="CV239" s="26"/>
      <c r="CW239" s="54"/>
      <c r="CX239" s="55"/>
      <c r="CY239" s="56"/>
      <c r="CZ239" s="26"/>
      <c r="DA239" s="54"/>
      <c r="DB239" s="26"/>
      <c r="DC239" s="54"/>
      <c r="DD239" s="55"/>
      <c r="DE239" s="56" t="s">
        <v>8250</v>
      </c>
      <c r="DF239" s="26"/>
      <c r="DG239" s="54"/>
      <c r="DH239" s="26"/>
      <c r="DI239" s="54"/>
      <c r="DJ239" s="55"/>
      <c r="DK239" s="56"/>
      <c r="DL239" s="26"/>
      <c r="DM239" s="54"/>
      <c r="DN239" s="26"/>
      <c r="DO239" s="54"/>
      <c r="DP239" s="116" t="s">
        <v>10399</v>
      </c>
      <c r="DQ239" s="56"/>
      <c r="DR239" s="26"/>
      <c r="DS239" s="54"/>
      <c r="DT239" s="26"/>
      <c r="DU239" s="54"/>
      <c r="DV239" s="55"/>
      <c r="DW239" s="56"/>
      <c r="DX239" s="26"/>
      <c r="DY239" s="54"/>
      <c r="DZ239" s="26"/>
      <c r="EA239" s="54"/>
      <c r="EB239" s="55"/>
      <c r="EC239" s="1239" t="s">
        <v>8145</v>
      </c>
      <c r="ED239" s="26"/>
      <c r="EE239" s="54"/>
      <c r="EF239" s="26"/>
      <c r="EG239" s="54"/>
      <c r="EH239" s="55"/>
      <c r="EI239" s="56"/>
      <c r="EJ239" s="26"/>
      <c r="EK239" s="54"/>
      <c r="EL239" s="26"/>
      <c r="EM239" s="54"/>
      <c r="EN239" s="55"/>
      <c r="EO239" s="56"/>
      <c r="EP239" s="26"/>
      <c r="EQ239" s="54"/>
      <c r="ER239" s="26"/>
      <c r="ES239" s="54"/>
      <c r="ET239" s="116"/>
    </row>
    <row r="240" spans="1:150" ht="20.100000000000001" customHeight="1" thickBot="1">
      <c r="A240" s="3034"/>
      <c r="B240" s="2981"/>
      <c r="C240" s="1203"/>
      <c r="D240" s="3006" t="str">
        <f>実績!C1278&amp;"("&amp;SUBSTITUTE(実績!R1278&amp;")","株式会社 ","")</f>
        <v>大麻元町 Ａ工区(特養・看護小多機・老健)(旧:江別)(スカイ・サイト)</v>
      </c>
      <c r="E240" s="3007"/>
      <c r="F240" s="3007"/>
      <c r="G240" s="3007"/>
      <c r="H240" s="3007"/>
      <c r="I240" s="3007"/>
      <c r="J240" s="3007"/>
      <c r="K240" s="3007"/>
      <c r="L240" s="3007"/>
      <c r="M240" s="3007"/>
      <c r="N240" s="3007"/>
      <c r="O240" s="3007"/>
      <c r="P240" s="3007"/>
      <c r="Q240" s="3007"/>
      <c r="R240" s="3018"/>
      <c r="S240" s="1204"/>
      <c r="T240" s="1204"/>
      <c r="U240" s="1205"/>
      <c r="V240" s="1204"/>
      <c r="W240" s="1205"/>
      <c r="X240" s="1206"/>
      <c r="Y240" s="1204"/>
      <c r="Z240" s="1204"/>
      <c r="AA240" s="1205"/>
      <c r="AB240" s="1204"/>
      <c r="AC240" s="1205"/>
      <c r="AD240" s="1204"/>
      <c r="AE240" s="1207"/>
      <c r="AF240" s="1204"/>
      <c r="AG240" s="1205"/>
      <c r="AH240" s="1204"/>
      <c r="AI240" s="1205"/>
      <c r="AJ240" s="1206"/>
      <c r="AK240" s="1204"/>
      <c r="AL240" s="1204"/>
      <c r="AM240" s="1205"/>
      <c r="AN240" s="1209"/>
      <c r="AO240" s="1205"/>
      <c r="AP240" s="1204"/>
      <c r="AQ240" s="1208" t="s">
        <v>8403</v>
      </c>
      <c r="AR240" s="1204"/>
      <c r="AS240" s="1205"/>
      <c r="AT240" s="1204"/>
      <c r="AU240" s="1205"/>
      <c r="AV240" s="1206"/>
      <c r="AW240" s="1207"/>
      <c r="AX240" s="1204"/>
      <c r="AY240" s="1205"/>
      <c r="AZ240" s="1204"/>
      <c r="BA240" s="1205"/>
      <c r="BB240" s="1206"/>
      <c r="BC240" s="1204"/>
      <c r="BD240" s="1204"/>
      <c r="BE240" s="1205"/>
      <c r="BF240" s="1204"/>
      <c r="BG240" s="1205"/>
      <c r="BH240" s="1204"/>
      <c r="BI240" s="1207"/>
      <c r="BJ240" s="1204"/>
      <c r="BK240" s="1205"/>
      <c r="BL240" s="1204"/>
      <c r="BM240" s="1205"/>
      <c r="BN240" s="1206"/>
      <c r="BO240" s="1207"/>
      <c r="BP240" s="1204"/>
      <c r="BQ240" s="1205"/>
      <c r="BR240" s="1204"/>
      <c r="BS240" s="1205"/>
      <c r="BT240" s="1206"/>
      <c r="BU240" s="1207"/>
      <c r="BV240" s="1204"/>
      <c r="BW240" s="1205"/>
      <c r="BX240" s="1204"/>
      <c r="BY240" s="1205"/>
      <c r="BZ240" s="1206"/>
      <c r="CA240" s="1207"/>
      <c r="CB240" s="1204"/>
      <c r="CC240" s="1205"/>
      <c r="CD240" s="1209"/>
      <c r="CE240" s="1205"/>
      <c r="CF240" s="1206"/>
      <c r="CG240" s="1207"/>
      <c r="CH240" s="1204"/>
      <c r="CI240" s="1205"/>
      <c r="CJ240" s="1204"/>
      <c r="CK240" s="1205"/>
      <c r="CL240" s="1211"/>
      <c r="CM240" s="1207"/>
      <c r="CN240" s="1204"/>
      <c r="CO240" s="1205"/>
      <c r="CP240" s="1204"/>
      <c r="CQ240" s="1205"/>
      <c r="CR240" s="1206"/>
      <c r="CS240" s="1207"/>
      <c r="CT240" s="1204"/>
      <c r="CU240" s="1205"/>
      <c r="CV240" s="1204"/>
      <c r="CW240" s="1205"/>
      <c r="CX240" s="1206"/>
      <c r="CY240" s="1207"/>
      <c r="CZ240" s="1204"/>
      <c r="DA240" s="1205"/>
      <c r="DB240" s="1204"/>
      <c r="DC240" s="1205"/>
      <c r="DD240" s="1206"/>
      <c r="DE240" s="1207"/>
      <c r="DF240" s="1204"/>
      <c r="DG240" s="1205"/>
      <c r="DH240" s="1204"/>
      <c r="DI240" s="1205"/>
      <c r="DJ240" s="1206"/>
      <c r="DK240" s="1207"/>
      <c r="DL240" s="1204"/>
      <c r="DM240" s="1205"/>
      <c r="DN240" s="1204"/>
      <c r="DO240" s="1205"/>
      <c r="DP240" s="1206"/>
      <c r="DQ240" s="1207"/>
      <c r="DR240" s="1204"/>
      <c r="DS240" s="1205"/>
      <c r="DT240" s="1204"/>
      <c r="DU240" s="1205"/>
      <c r="DV240" s="1206"/>
      <c r="DW240" s="1207"/>
      <c r="DX240" s="1204"/>
      <c r="DY240" s="1205"/>
      <c r="DZ240" s="1204"/>
      <c r="EA240" s="1205"/>
      <c r="EB240" s="1206"/>
      <c r="EC240" s="1212" t="s">
        <v>15642</v>
      </c>
      <c r="ED240" s="1204"/>
      <c r="EE240" s="1205"/>
      <c r="EF240" s="1204"/>
      <c r="EG240" s="1205"/>
      <c r="EH240" s="1206"/>
      <c r="EI240" s="1207"/>
      <c r="EJ240" s="1204"/>
      <c r="EK240" s="1205"/>
      <c r="EL240" s="1204"/>
      <c r="EM240" s="1205"/>
      <c r="EN240" s="1206"/>
      <c r="EO240" s="1207"/>
      <c r="EP240" s="1204"/>
      <c r="EQ240" s="1205"/>
      <c r="ER240" s="1204"/>
      <c r="ES240" s="1205"/>
      <c r="ET240" s="1206"/>
    </row>
    <row r="241" spans="1:150" ht="20.100000000000001" customHeight="1" thickBot="1">
      <c r="A241" s="3034"/>
      <c r="B241" s="2981"/>
      <c r="C241" s="1203"/>
      <c r="D241" s="3006" t="str">
        <f>実績!C1289&amp;"("&amp;SUBSTITUTE(実績!R1289&amp;")","株式会社 ","")</f>
        <v>TCN安来(坂本建築設計事務所)</v>
      </c>
      <c r="E241" s="3007"/>
      <c r="F241" s="3007"/>
      <c r="G241" s="3007"/>
      <c r="H241" s="3007"/>
      <c r="I241" s="3007"/>
      <c r="J241" s="3007"/>
      <c r="K241" s="3007"/>
      <c r="L241" s="3007"/>
      <c r="M241" s="3007"/>
      <c r="N241" s="3007"/>
      <c r="O241" s="3007"/>
      <c r="P241" s="3007"/>
      <c r="Q241" s="3007"/>
      <c r="R241" s="3008"/>
      <c r="S241" s="1204"/>
      <c r="T241" s="1204"/>
      <c r="U241" s="1204"/>
      <c r="V241" s="1204"/>
      <c r="W241" s="1204"/>
      <c r="X241" s="1204"/>
      <c r="Y241" s="1204"/>
      <c r="Z241" s="1204"/>
      <c r="AA241" s="1204"/>
      <c r="AB241" s="1204"/>
      <c r="AC241" s="1204"/>
      <c r="AD241" s="1204"/>
      <c r="AE241" s="1204"/>
      <c r="AF241" s="1204"/>
      <c r="AG241" s="1204"/>
      <c r="AH241" s="1204"/>
      <c r="AI241" s="1204"/>
      <c r="AJ241" s="1204"/>
      <c r="AK241" s="1204"/>
      <c r="AL241" s="1204"/>
      <c r="AM241" s="1204"/>
      <c r="AN241" s="1204"/>
      <c r="AO241" s="1204"/>
      <c r="AP241" s="1204"/>
      <c r="AQ241" s="1204"/>
      <c r="AR241" s="1204"/>
      <c r="AS241" s="1204"/>
      <c r="AT241" s="1204"/>
      <c r="AU241" s="1204"/>
      <c r="AV241" s="1204"/>
      <c r="AW241" s="1204"/>
      <c r="AX241" s="1204"/>
      <c r="AY241" s="1204"/>
      <c r="AZ241" s="1204"/>
      <c r="BA241" s="1204"/>
      <c r="BB241" s="1204"/>
      <c r="BC241" s="1204"/>
      <c r="BD241" s="1204"/>
      <c r="BE241" s="1204"/>
      <c r="BF241" s="1204"/>
      <c r="BG241" s="1204"/>
      <c r="BH241" s="1204"/>
      <c r="BI241" s="1204"/>
      <c r="BJ241" s="1204"/>
      <c r="BK241" s="1204"/>
      <c r="BL241" s="1204"/>
      <c r="BM241" s="1204"/>
      <c r="BN241" s="1204"/>
      <c r="BO241" s="1204"/>
      <c r="BP241" s="1204"/>
      <c r="BQ241" s="1204"/>
      <c r="BR241" s="1204"/>
      <c r="BS241" s="1204"/>
      <c r="BT241" s="1204"/>
      <c r="BU241" s="1204"/>
      <c r="BV241" s="1204"/>
      <c r="BW241" s="1204"/>
      <c r="BX241" s="1204"/>
      <c r="BY241" s="1204"/>
      <c r="BZ241" s="1204"/>
      <c r="CA241" s="1204"/>
      <c r="CB241" s="1204"/>
      <c r="CC241" s="1204"/>
      <c r="CD241" s="1204"/>
      <c r="CE241" s="1204"/>
      <c r="CF241" s="1204"/>
      <c r="CG241" s="1207"/>
      <c r="CH241" s="1204"/>
      <c r="CI241" s="1205"/>
      <c r="CJ241" s="1204"/>
      <c r="CK241" s="1205"/>
      <c r="CL241" s="1211"/>
      <c r="CM241" s="1207"/>
      <c r="CN241" s="1204"/>
      <c r="CO241" s="1205"/>
      <c r="CP241" s="1204"/>
      <c r="CQ241" s="1205"/>
      <c r="CR241" s="1206"/>
      <c r="CS241" s="1207"/>
      <c r="CT241" s="1204"/>
      <c r="CU241" s="1205"/>
      <c r="CV241" s="1204"/>
      <c r="CW241" s="1205"/>
      <c r="CX241" s="1206"/>
      <c r="CY241" s="1207"/>
      <c r="CZ241" s="1204"/>
      <c r="DA241" s="1205" t="s">
        <v>8250</v>
      </c>
      <c r="DB241" s="1204"/>
      <c r="DC241" s="1205"/>
      <c r="DD241" s="1206"/>
      <c r="DE241" s="1207"/>
      <c r="DF241" s="1204"/>
      <c r="DG241" s="1205"/>
      <c r="DH241" s="1204"/>
      <c r="DI241" s="1205"/>
      <c r="DJ241" s="1206"/>
      <c r="DK241" s="1207"/>
      <c r="DL241" s="1204"/>
      <c r="DM241" s="1205"/>
      <c r="DN241" s="1204"/>
      <c r="DO241" s="1205"/>
      <c r="DP241" s="1206"/>
      <c r="DQ241" s="1207"/>
      <c r="DR241" s="1204"/>
      <c r="DS241" s="1205"/>
      <c r="DT241" s="1204"/>
      <c r="DU241" s="1205"/>
      <c r="DV241" s="1206"/>
      <c r="DW241" s="1207" t="s">
        <v>8250</v>
      </c>
      <c r="DX241" s="1204"/>
      <c r="DY241" s="1205"/>
      <c r="DZ241" s="1204"/>
      <c r="EA241" s="1205"/>
      <c r="EB241" s="1206"/>
      <c r="EC241" s="1212" t="s">
        <v>15639</v>
      </c>
      <c r="ED241" s="1204"/>
      <c r="EE241" s="1205"/>
      <c r="EF241" s="1204"/>
      <c r="EG241" s="1205"/>
      <c r="EH241" s="1206"/>
      <c r="EI241" s="1207"/>
      <c r="EJ241" s="1204"/>
      <c r="EK241" s="1205"/>
      <c r="EL241" s="1204"/>
      <c r="EM241" s="1205"/>
      <c r="EN241" s="1206"/>
      <c r="EO241" s="1207"/>
      <c r="EP241" s="1204"/>
      <c r="EQ241" s="1205"/>
      <c r="ER241" s="1204"/>
      <c r="ES241" s="1205"/>
      <c r="ET241" s="1206"/>
    </row>
    <row r="242" spans="1:150" ht="20.100000000000001" customHeight="1" thickBot="1">
      <c r="A242" s="3034"/>
      <c r="B242" s="2981"/>
      <c r="C242" s="1185"/>
      <c r="D242" s="3003" t="str">
        <f>実績!C1333&amp;"("&amp;SUBSTITUTE(実績!W1333&amp;")","株式会社 ","")</f>
        <v>東北マツダ名取(アーキブレン山形)</v>
      </c>
      <c r="E242" s="3004"/>
      <c r="F242" s="3004"/>
      <c r="G242" s="3004"/>
      <c r="H242" s="3004"/>
      <c r="I242" s="3004"/>
      <c r="J242" s="3004"/>
      <c r="K242" s="3004"/>
      <c r="L242" s="3004"/>
      <c r="M242" s="3004"/>
      <c r="N242" s="3004"/>
      <c r="O242" s="3004"/>
      <c r="P242" s="3004"/>
      <c r="Q242" s="3004"/>
      <c r="R242" s="3005"/>
      <c r="S242" s="1189"/>
      <c r="T242" s="1189"/>
      <c r="U242" s="1190"/>
      <c r="V242" s="1189"/>
      <c r="W242" s="1190"/>
      <c r="X242" s="1191"/>
      <c r="Y242" s="1189"/>
      <c r="Z242" s="1189"/>
      <c r="AA242" s="1190"/>
      <c r="AB242" s="1189"/>
      <c r="AC242" s="1190"/>
      <c r="AD242" s="1189"/>
      <c r="AE242" s="1192"/>
      <c r="AF242" s="1189"/>
      <c r="AG242" s="1190"/>
      <c r="AH242" s="1189"/>
      <c r="AI242" s="1190"/>
      <c r="AJ242" s="1191"/>
      <c r="AK242" s="1189"/>
      <c r="AL242" s="1189"/>
      <c r="AM242" s="1190"/>
      <c r="AN242" s="1189"/>
      <c r="AO242" s="1190"/>
      <c r="AP242" s="1189"/>
      <c r="AQ242" s="1193"/>
      <c r="AR242" s="1189"/>
      <c r="AS242" s="1190"/>
      <c r="AT242" s="1189"/>
      <c r="AU242" s="1190"/>
      <c r="AV242" s="1191"/>
      <c r="AW242" s="1192"/>
      <c r="AX242" s="1189"/>
      <c r="AY242" s="1190"/>
      <c r="AZ242" s="1189"/>
      <c r="BA242" s="1190"/>
      <c r="BB242" s="1191"/>
      <c r="BC242" s="1189"/>
      <c r="BD242" s="1189"/>
      <c r="BE242" s="1190"/>
      <c r="BF242" s="1189"/>
      <c r="BG242" s="1190"/>
      <c r="BH242" s="1189"/>
      <c r="BI242" s="1192"/>
      <c r="BJ242" s="1189"/>
      <c r="BK242" s="1190"/>
      <c r="BL242" s="1189"/>
      <c r="BM242" s="1190"/>
      <c r="BN242" s="1191"/>
      <c r="BO242" s="1192"/>
      <c r="BP242" s="1189"/>
      <c r="BQ242" s="1190"/>
      <c r="BR242" s="1194"/>
      <c r="BS242" s="1190"/>
      <c r="BT242" s="1191"/>
      <c r="BU242" s="1192"/>
      <c r="BV242" s="1189"/>
      <c r="BW242" s="1190"/>
      <c r="BX242" s="1189"/>
      <c r="BY242" s="1190"/>
      <c r="BZ242" s="1191"/>
      <c r="CA242" s="1192"/>
      <c r="CB242" s="1189"/>
      <c r="CC242" s="1190"/>
      <c r="CD242" s="1189"/>
      <c r="CE242" s="1190"/>
      <c r="CF242" s="1191"/>
      <c r="CG242" s="1192"/>
      <c r="CH242" s="1189"/>
      <c r="CI242" s="1190"/>
      <c r="CJ242" s="1189"/>
      <c r="CK242" s="1190"/>
      <c r="CL242" s="1191"/>
      <c r="CM242" s="1192"/>
      <c r="CN242" s="1189"/>
      <c r="CO242" s="1190"/>
      <c r="CP242" s="1195"/>
      <c r="CQ242" s="1190"/>
      <c r="CR242" s="1191"/>
      <c r="CS242" s="1192"/>
      <c r="CT242" s="1189"/>
      <c r="CU242" s="1190"/>
      <c r="CV242" s="1189"/>
      <c r="CW242" s="1190"/>
      <c r="CX242" s="1191"/>
      <c r="CY242" s="1192"/>
      <c r="CZ242" s="1189"/>
      <c r="DA242" s="1190"/>
      <c r="DB242" s="1189"/>
      <c r="DC242" s="1190"/>
      <c r="DD242" s="1191"/>
      <c r="DE242" s="1192"/>
      <c r="DF242" s="1189"/>
      <c r="DG242" s="1190"/>
      <c r="DH242" s="1189"/>
      <c r="DI242" s="1190"/>
      <c r="DJ242" s="1214"/>
      <c r="DK242" s="1192" t="s">
        <v>8250</v>
      </c>
      <c r="DL242" s="1189"/>
      <c r="DM242" s="1190"/>
      <c r="DN242" s="1189"/>
      <c r="DO242" s="1190"/>
      <c r="DP242" s="1191"/>
      <c r="DQ242" s="1192"/>
      <c r="DR242" s="1189"/>
      <c r="DS242" s="1190"/>
      <c r="DT242" s="1189"/>
      <c r="DU242" s="1190"/>
      <c r="DV242" s="1214"/>
      <c r="DW242" s="1192"/>
      <c r="DX242" s="1189"/>
      <c r="DY242" s="1190"/>
      <c r="DZ242" s="1189"/>
      <c r="EA242" s="1190"/>
      <c r="EB242" s="1214"/>
      <c r="EC242" s="1196" t="s">
        <v>15630</v>
      </c>
      <c r="ED242" s="1189"/>
      <c r="EE242" s="1190"/>
      <c r="EF242" s="1189"/>
      <c r="EG242" s="1190"/>
      <c r="EH242" s="1214"/>
      <c r="EI242" s="1192"/>
      <c r="EJ242" s="1189"/>
      <c r="EK242" s="1190"/>
      <c r="EL242" s="1189"/>
      <c r="EM242" s="1190"/>
      <c r="EN242" s="1214"/>
      <c r="EO242" s="1192"/>
      <c r="EP242" s="1189"/>
      <c r="EQ242" s="1190"/>
      <c r="ER242" s="1189"/>
      <c r="ES242" s="1190"/>
      <c r="ET242" s="1214"/>
    </row>
    <row r="243" spans="1:150" ht="20.100000000000001" customHeight="1" thickBot="1">
      <c r="A243" s="3034"/>
      <c r="B243" s="2981"/>
      <c r="C243" s="1185"/>
      <c r="D243" s="3003" t="str">
        <f>実績!C1347&amp;"("&amp;SUBSTITUTE(実績!R1347&amp;")"," 株式会社","")</f>
        <v>ホテルグランビュー高崎 駐車場計画(ＩＨＩ運搬機械)</v>
      </c>
      <c r="E243" s="3004"/>
      <c r="F243" s="3004"/>
      <c r="G243" s="3004"/>
      <c r="H243" s="3004"/>
      <c r="I243" s="3004"/>
      <c r="J243" s="3004"/>
      <c r="K243" s="3004"/>
      <c r="L243" s="3004"/>
      <c r="M243" s="3004"/>
      <c r="N243" s="3004"/>
      <c r="O243" s="3004"/>
      <c r="P243" s="3004"/>
      <c r="Q243" s="3004"/>
      <c r="R243" s="3005"/>
      <c r="S243" s="1189"/>
      <c r="T243" s="1189"/>
      <c r="U243" s="1190"/>
      <c r="V243" s="1189"/>
      <c r="W243" s="1190"/>
      <c r="X243" s="1191"/>
      <c r="Y243" s="1189"/>
      <c r="Z243" s="1189"/>
      <c r="AA243" s="1190"/>
      <c r="AB243" s="1189"/>
      <c r="AC243" s="1190"/>
      <c r="AD243" s="1189"/>
      <c r="AE243" s="1192"/>
      <c r="AF243" s="1189"/>
      <c r="AG243" s="1190"/>
      <c r="AH243" s="1189"/>
      <c r="AI243" s="1190"/>
      <c r="AJ243" s="1191"/>
      <c r="AK243" s="1189"/>
      <c r="AL243" s="1189"/>
      <c r="AM243" s="1190"/>
      <c r="AN243" s="1189"/>
      <c r="AO243" s="1190"/>
      <c r="AP243" s="1189"/>
      <c r="AQ243" s="1193"/>
      <c r="AR243" s="1189"/>
      <c r="AS243" s="1190"/>
      <c r="AT243" s="1189"/>
      <c r="AU243" s="1190"/>
      <c r="AV243" s="1191"/>
      <c r="AW243" s="1192"/>
      <c r="AX243" s="1189"/>
      <c r="AY243" s="1190"/>
      <c r="AZ243" s="1189"/>
      <c r="BA243" s="1190"/>
      <c r="BB243" s="1191"/>
      <c r="BC243" s="1189"/>
      <c r="BD243" s="1189"/>
      <c r="BE243" s="1190"/>
      <c r="BF243" s="1189"/>
      <c r="BG243" s="1190"/>
      <c r="BH243" s="1189"/>
      <c r="BI243" s="1192"/>
      <c r="BJ243" s="1189"/>
      <c r="BK243" s="1190"/>
      <c r="BL243" s="1189"/>
      <c r="BM243" s="1190"/>
      <c r="BN243" s="1191"/>
      <c r="BO243" s="1192"/>
      <c r="BP243" s="1189"/>
      <c r="BQ243" s="1190"/>
      <c r="BR243" s="1194"/>
      <c r="BS243" s="1190"/>
      <c r="BT243" s="1191"/>
      <c r="BU243" s="1192"/>
      <c r="BV243" s="1189"/>
      <c r="BW243" s="1190"/>
      <c r="BX243" s="1189"/>
      <c r="BY243" s="1190"/>
      <c r="BZ243" s="1191"/>
      <c r="CA243" s="1192"/>
      <c r="CB243" s="1189"/>
      <c r="CC243" s="1190"/>
      <c r="CD243" s="1189"/>
      <c r="CE243" s="1190"/>
      <c r="CF243" s="1191"/>
      <c r="CG243" s="1192"/>
      <c r="CH243" s="1189"/>
      <c r="CI243" s="1190"/>
      <c r="CJ243" s="1189"/>
      <c r="CK243" s="1190"/>
      <c r="CL243" s="1191"/>
      <c r="CM243" s="1192"/>
      <c r="CN243" s="1189"/>
      <c r="CO243" s="1190"/>
      <c r="CP243" s="1195"/>
      <c r="CQ243" s="1190"/>
      <c r="CR243" s="1191"/>
      <c r="CS243" s="1192"/>
      <c r="CT243" s="1189"/>
      <c r="CU243" s="1190"/>
      <c r="CV243" s="1189"/>
      <c r="CW243" s="1190"/>
      <c r="CX243" s="1191"/>
      <c r="CY243" s="1192"/>
      <c r="CZ243" s="1189"/>
      <c r="DA243" s="1190"/>
      <c r="DB243" s="1189"/>
      <c r="DC243" s="1190"/>
      <c r="DD243" s="1191"/>
      <c r="DE243" s="1192"/>
      <c r="DF243" s="1189"/>
      <c r="DG243" s="1190"/>
      <c r="DH243" s="1189"/>
      <c r="DI243" s="1190"/>
      <c r="DJ243" s="1191"/>
      <c r="DK243" s="1192"/>
      <c r="DL243" s="1189"/>
      <c r="DM243" s="1190"/>
      <c r="DN243" s="1189"/>
      <c r="DO243" s="1190"/>
      <c r="DP243" s="1191" t="s">
        <v>13928</v>
      </c>
      <c r="DQ243" s="1192"/>
      <c r="DR243" s="1189"/>
      <c r="DS243" s="1190"/>
      <c r="DT243" s="1189"/>
      <c r="DU243" s="1190"/>
      <c r="DV243" s="1191"/>
      <c r="DW243" s="1192"/>
      <c r="DX243" s="1189"/>
      <c r="DY243" s="1190"/>
      <c r="DZ243" s="1189"/>
      <c r="EA243" s="1190"/>
      <c r="EB243" s="1191"/>
      <c r="EC243" s="1192"/>
      <c r="ED243" s="1189"/>
      <c r="EE243" s="1190"/>
      <c r="EF243" s="1260" t="s">
        <v>15630</v>
      </c>
      <c r="EG243" s="1190"/>
      <c r="EH243" s="1191"/>
      <c r="EI243" s="1192"/>
      <c r="EJ243" s="1189"/>
      <c r="EK243" s="1190"/>
      <c r="EL243" s="1189"/>
      <c r="EM243" s="1190"/>
      <c r="EN243" s="1191"/>
      <c r="EO243" s="1192"/>
      <c r="EP243" s="1189"/>
      <c r="EQ243" s="1190"/>
      <c r="ER243" s="1189"/>
      <c r="ES243" s="1190"/>
      <c r="ET243" s="1191"/>
    </row>
    <row r="244" spans="1:150" ht="20.100000000000001" customHeight="1" thickBot="1">
      <c r="A244" s="3034"/>
      <c r="B244" s="2981"/>
      <c r="C244" s="1203"/>
      <c r="D244" s="3006" t="str">
        <f>実績!C1354&amp;"("&amp;SUBSTITUTE(実績!R1354&amp;")","株式会社 ","")</f>
        <v>大麻元町 D工区(特養・看護小多機・老健)(旧:江別)(スカイ・サイト)</v>
      </c>
      <c r="E244" s="3007"/>
      <c r="F244" s="3007"/>
      <c r="G244" s="3007"/>
      <c r="H244" s="3007"/>
      <c r="I244" s="3007"/>
      <c r="J244" s="3007"/>
      <c r="K244" s="3007"/>
      <c r="L244" s="3007"/>
      <c r="M244" s="3007"/>
      <c r="N244" s="3007"/>
      <c r="O244" s="3007"/>
      <c r="P244" s="3007"/>
      <c r="Q244" s="3007"/>
      <c r="R244" s="3008"/>
      <c r="S244" s="1204"/>
      <c r="T244" s="1204"/>
      <c r="U244" s="1205"/>
      <c r="V244" s="1204"/>
      <c r="W244" s="1205"/>
      <c r="X244" s="1206"/>
      <c r="Y244" s="1204"/>
      <c r="Z244" s="1204"/>
      <c r="AA244" s="1205"/>
      <c r="AB244" s="1204"/>
      <c r="AC244" s="1205"/>
      <c r="AD244" s="1204"/>
      <c r="AE244" s="1207"/>
      <c r="AF244" s="1204"/>
      <c r="AG244" s="1205"/>
      <c r="AH244" s="1204"/>
      <c r="AI244" s="1205"/>
      <c r="AJ244" s="1206"/>
      <c r="AK244" s="1204"/>
      <c r="AL244" s="1204"/>
      <c r="AM244" s="1205"/>
      <c r="AN244" s="1204"/>
      <c r="AO244" s="1205"/>
      <c r="AP244" s="1204"/>
      <c r="AQ244" s="1208"/>
      <c r="AR244" s="1204"/>
      <c r="AS244" s="1205"/>
      <c r="AT244" s="1204"/>
      <c r="AU244" s="1205"/>
      <c r="AV244" s="1206"/>
      <c r="AW244" s="1207"/>
      <c r="AX244" s="1204"/>
      <c r="AY244" s="1205"/>
      <c r="AZ244" s="1204"/>
      <c r="BA244" s="1205"/>
      <c r="BB244" s="1206"/>
      <c r="BC244" s="1204"/>
      <c r="BD244" s="1204"/>
      <c r="BE244" s="1205"/>
      <c r="BF244" s="1204"/>
      <c r="BG244" s="1205"/>
      <c r="BH244" s="1204"/>
      <c r="BI244" s="1207"/>
      <c r="BJ244" s="1204"/>
      <c r="BK244" s="1205"/>
      <c r="BL244" s="1204"/>
      <c r="BM244" s="1205"/>
      <c r="BN244" s="1206"/>
      <c r="BO244" s="1207"/>
      <c r="BP244" s="1204"/>
      <c r="BQ244" s="1205"/>
      <c r="BR244" s="1209"/>
      <c r="BS244" s="1205"/>
      <c r="BT244" s="1206"/>
      <c r="BU244" s="1207"/>
      <c r="BV244" s="1204"/>
      <c r="BW244" s="1205"/>
      <c r="BX244" s="1204"/>
      <c r="BY244" s="1205"/>
      <c r="BZ244" s="1206"/>
      <c r="CA244" s="1207"/>
      <c r="CB244" s="1204"/>
      <c r="CC244" s="1205"/>
      <c r="CD244" s="1204"/>
      <c r="CE244" s="1205"/>
      <c r="CF244" s="1206"/>
      <c r="CG244" s="1207"/>
      <c r="CH244" s="1204"/>
      <c r="CI244" s="1205"/>
      <c r="CJ244" s="1204"/>
      <c r="CK244" s="1205"/>
      <c r="CL244" s="1206"/>
      <c r="CM244" s="1207"/>
      <c r="CN244" s="1204"/>
      <c r="CO244" s="1205"/>
      <c r="CP244" s="1210"/>
      <c r="CQ244" s="1205"/>
      <c r="CR244" s="1206"/>
      <c r="CS244" s="1207"/>
      <c r="CT244" s="1204"/>
      <c r="CU244" s="1205"/>
      <c r="CV244" s="1204"/>
      <c r="CW244" s="1205"/>
      <c r="CX244" s="1206"/>
      <c r="CY244" s="1207"/>
      <c r="CZ244" s="1204"/>
      <c r="DA244" s="1205"/>
      <c r="DB244" s="1204"/>
      <c r="DC244" s="1205"/>
      <c r="DD244" s="1206"/>
      <c r="DE244" s="1207"/>
      <c r="DF244" s="1204"/>
      <c r="DG244" s="1205"/>
      <c r="DH244" s="1204"/>
      <c r="DI244" s="1205"/>
      <c r="DJ244" s="1206"/>
      <c r="DK244" s="1207"/>
      <c r="DL244" s="1204"/>
      <c r="DM244" s="1205"/>
      <c r="DN244" s="1204"/>
      <c r="DO244" s="1205"/>
      <c r="DP244" s="1206"/>
      <c r="DQ244" s="1207"/>
      <c r="DR244" s="1204"/>
      <c r="DS244" s="1205"/>
      <c r="DT244" s="1204"/>
      <c r="DU244" s="1205"/>
      <c r="DV244" s="1206"/>
      <c r="DW244" s="1207"/>
      <c r="DX244" s="1204"/>
      <c r="DY244" s="1205" t="s">
        <v>8250</v>
      </c>
      <c r="DZ244" s="1204"/>
      <c r="EA244" s="1205"/>
      <c r="EB244" s="1206"/>
      <c r="EC244" s="1207"/>
      <c r="ED244" s="1204"/>
      <c r="EE244" s="1205"/>
      <c r="EF244" s="1204"/>
      <c r="EG244" s="1205"/>
      <c r="EH244" s="1206"/>
      <c r="EI244" s="1207"/>
      <c r="EJ244" s="1204"/>
      <c r="EK244" s="1205"/>
      <c r="EL244" s="1204"/>
      <c r="EM244" s="1241" t="s">
        <v>15643</v>
      </c>
      <c r="EN244" s="1206"/>
      <c r="EO244" s="1207"/>
      <c r="EP244" s="1204"/>
      <c r="EQ244" s="1205"/>
      <c r="ER244" s="1204"/>
      <c r="ES244" s="1205"/>
      <c r="ET244" s="1211"/>
    </row>
    <row r="245" spans="1:150" ht="20.100000000000001" customHeight="1" thickBot="1">
      <c r="A245" s="3034"/>
      <c r="B245" s="2981"/>
      <c r="C245" s="179"/>
      <c r="D245" s="2726" t="str">
        <f>実績!C1338&amp;"("&amp;SUBSTITUTE(実績!R1338&amp;")","株式会社 ","")</f>
        <v>農事組合法人和久楽MRC(全農山形一級建築士事務所)</v>
      </c>
      <c r="E245" s="2727"/>
      <c r="F245" s="2727"/>
      <c r="G245" s="2727"/>
      <c r="H245" s="2727"/>
      <c r="I245" s="2727"/>
      <c r="J245" s="2727"/>
      <c r="K245" s="2727"/>
      <c r="L245" s="2727"/>
      <c r="M245" s="2727"/>
      <c r="N245" s="2727"/>
      <c r="O245" s="2727"/>
      <c r="P245" s="2727"/>
      <c r="Q245" s="2727"/>
      <c r="R245" s="2728"/>
      <c r="S245" s="26"/>
      <c r="T245" s="26"/>
      <c r="U245" s="54"/>
      <c r="V245" s="26"/>
      <c r="W245" s="54"/>
      <c r="X245" s="55"/>
      <c r="Y245" s="26"/>
      <c r="Z245" s="26"/>
      <c r="AA245" s="54"/>
      <c r="AB245" s="26"/>
      <c r="AC245" s="54"/>
      <c r="AD245" s="26"/>
      <c r="AE245" s="56"/>
      <c r="AF245" s="26"/>
      <c r="AG245" s="54"/>
      <c r="AH245" s="26"/>
      <c r="AI245" s="54"/>
      <c r="AJ245" s="55"/>
      <c r="AK245" s="26"/>
      <c r="AL245" s="26"/>
      <c r="AM245" s="54"/>
      <c r="AN245" s="26"/>
      <c r="AO245" s="54"/>
      <c r="AP245" s="26"/>
      <c r="AQ245" s="53"/>
      <c r="AR245" s="26"/>
      <c r="AS245" s="54"/>
      <c r="AT245" s="26"/>
      <c r="AU245" s="54"/>
      <c r="AV245" s="55"/>
      <c r="AW245" s="56"/>
      <c r="AX245" s="26"/>
      <c r="AY245" s="54"/>
      <c r="AZ245" s="26"/>
      <c r="BA245" s="54"/>
      <c r="BB245" s="55"/>
      <c r="BC245" s="26"/>
      <c r="BD245" s="26"/>
      <c r="BE245" s="54"/>
      <c r="BF245" s="26"/>
      <c r="BG245" s="54"/>
      <c r="BH245" s="26"/>
      <c r="BI245" s="56"/>
      <c r="BJ245" s="26"/>
      <c r="BK245" s="54"/>
      <c r="BL245" s="26"/>
      <c r="BM245" s="54"/>
      <c r="BN245" s="55"/>
      <c r="BO245" s="56"/>
      <c r="BP245" s="26"/>
      <c r="BQ245" s="54"/>
      <c r="BR245" s="70"/>
      <c r="BS245" s="54"/>
      <c r="BT245" s="55"/>
      <c r="BU245" s="56"/>
      <c r="BV245" s="26"/>
      <c r="BW245" s="54"/>
      <c r="BX245" s="26"/>
      <c r="BY245" s="54"/>
      <c r="BZ245" s="55"/>
      <c r="CA245" s="56"/>
      <c r="CB245" s="26"/>
      <c r="CC245" s="54"/>
      <c r="CD245" s="26"/>
      <c r="CE245" s="54"/>
      <c r="CF245" s="55"/>
      <c r="CG245" s="56"/>
      <c r="CH245" s="26"/>
      <c r="CI245" s="54"/>
      <c r="CJ245" s="26"/>
      <c r="CK245" s="54"/>
      <c r="CL245" s="55"/>
      <c r="CM245" s="56"/>
      <c r="CN245" s="26"/>
      <c r="CO245" s="54"/>
      <c r="CP245" s="118"/>
      <c r="CQ245" s="54"/>
      <c r="CR245" s="55"/>
      <c r="CS245" s="56"/>
      <c r="CT245" s="26"/>
      <c r="CU245" s="54"/>
      <c r="CV245" s="26"/>
      <c r="CW245" s="54"/>
      <c r="CX245" s="55"/>
      <c r="CY245" s="56"/>
      <c r="CZ245" s="26"/>
      <c r="DA245" s="54"/>
      <c r="DB245" s="26"/>
      <c r="DC245" s="54"/>
      <c r="DD245" s="55"/>
      <c r="DE245" s="56"/>
      <c r="DF245" s="26"/>
      <c r="DG245" s="54"/>
      <c r="DH245" s="26"/>
      <c r="DI245" s="54"/>
      <c r="DJ245" s="55"/>
      <c r="DK245" s="56"/>
      <c r="DL245" s="26"/>
      <c r="DM245" s="54"/>
      <c r="DN245" s="26"/>
      <c r="DO245" s="54"/>
      <c r="DP245" s="55"/>
      <c r="DQ245" s="56"/>
      <c r="DR245" s="26"/>
      <c r="DS245" s="54"/>
      <c r="DT245" s="26"/>
      <c r="DU245" s="54"/>
      <c r="DV245" s="116"/>
      <c r="DW245" s="56"/>
      <c r="DX245" s="26"/>
      <c r="DY245" s="54"/>
      <c r="DZ245" s="26"/>
      <c r="EA245" s="54"/>
      <c r="EB245" s="116"/>
      <c r="EC245" s="56"/>
      <c r="ED245" s="26"/>
      <c r="EE245" s="54"/>
      <c r="EF245" s="26"/>
      <c r="EG245" s="54"/>
      <c r="EH245" s="116"/>
      <c r="EI245" s="56"/>
      <c r="EJ245" s="26"/>
      <c r="EK245" s="54"/>
      <c r="EL245" s="26"/>
      <c r="EM245" s="54"/>
      <c r="EN245" s="116"/>
      <c r="EO245" s="56" t="s">
        <v>8145</v>
      </c>
      <c r="EP245" s="26"/>
      <c r="EQ245" s="54"/>
      <c r="ER245" s="26"/>
      <c r="ES245" s="54"/>
      <c r="ET245" s="116"/>
    </row>
    <row r="246" spans="1:150" ht="20.100000000000001" customHeight="1" thickBot="1">
      <c r="A246" s="3034"/>
      <c r="B246" s="2981"/>
      <c r="C246" s="179"/>
      <c r="D246" s="2726" t="str">
        <f>実績!C1344&amp;"("&amp;SUBSTITUTE(実績!AB1344&amp;")"," 株式会社","")</f>
        <v>熊本スバル自動車 本社(九州建設)</v>
      </c>
      <c r="E246" s="2727"/>
      <c r="F246" s="2727"/>
      <c r="G246" s="2727"/>
      <c r="H246" s="2727"/>
      <c r="I246" s="2727"/>
      <c r="J246" s="2727"/>
      <c r="K246" s="2727"/>
      <c r="L246" s="2727"/>
      <c r="M246" s="2727"/>
      <c r="N246" s="2727"/>
      <c r="O246" s="2727"/>
      <c r="P246" s="2727"/>
      <c r="Q246" s="2727"/>
      <c r="R246" s="2728"/>
      <c r="S246" s="26"/>
      <c r="T246" s="26"/>
      <c r="U246" s="54"/>
      <c r="V246" s="26"/>
      <c r="W246" s="54"/>
      <c r="X246" s="55"/>
      <c r="Y246" s="26"/>
      <c r="Z246" s="26"/>
      <c r="AA246" s="54"/>
      <c r="AB246" s="26"/>
      <c r="AC246" s="54"/>
      <c r="AD246" s="26"/>
      <c r="AE246" s="56"/>
      <c r="AF246" s="26"/>
      <c r="AG246" s="54"/>
      <c r="AH246" s="26"/>
      <c r="AI246" s="54"/>
      <c r="AJ246" s="55"/>
      <c r="AK246" s="26"/>
      <c r="AL246" s="26"/>
      <c r="AM246" s="54"/>
      <c r="AN246" s="26"/>
      <c r="AO246" s="54"/>
      <c r="AP246" s="26"/>
      <c r="AQ246" s="53"/>
      <c r="AR246" s="26"/>
      <c r="AS246" s="54"/>
      <c r="AT246" s="26"/>
      <c r="AU246" s="54"/>
      <c r="AV246" s="55"/>
      <c r="AW246" s="56"/>
      <c r="AX246" s="26"/>
      <c r="AY246" s="54"/>
      <c r="AZ246" s="26"/>
      <c r="BA246" s="54"/>
      <c r="BB246" s="55"/>
      <c r="BC246" s="26"/>
      <c r="BD246" s="26"/>
      <c r="BE246" s="54"/>
      <c r="BF246" s="26"/>
      <c r="BG246" s="54"/>
      <c r="BH246" s="26"/>
      <c r="BI246" s="56"/>
      <c r="BJ246" s="26"/>
      <c r="BK246" s="54"/>
      <c r="BL246" s="26"/>
      <c r="BM246" s="54"/>
      <c r="BN246" s="55"/>
      <c r="BO246" s="56"/>
      <c r="BP246" s="26"/>
      <c r="BQ246" s="54"/>
      <c r="BR246" s="70"/>
      <c r="BS246" s="54"/>
      <c r="BT246" s="55"/>
      <c r="BU246" s="56"/>
      <c r="BV246" s="26"/>
      <c r="BW246" s="54"/>
      <c r="BX246" s="26"/>
      <c r="BY246" s="54"/>
      <c r="BZ246" s="55"/>
      <c r="CA246" s="56"/>
      <c r="CB246" s="26"/>
      <c r="CC246" s="54"/>
      <c r="CD246" s="26"/>
      <c r="CE246" s="54"/>
      <c r="CF246" s="55"/>
      <c r="CG246" s="56"/>
      <c r="CH246" s="26"/>
      <c r="CI246" s="54"/>
      <c r="CJ246" s="26"/>
      <c r="CK246" s="54"/>
      <c r="CL246" s="55"/>
      <c r="CM246" s="56"/>
      <c r="CN246" s="26"/>
      <c r="CO246" s="54"/>
      <c r="CP246" s="118"/>
      <c r="CQ246" s="54"/>
      <c r="CR246" s="55"/>
      <c r="CS246" s="56"/>
      <c r="CT246" s="26"/>
      <c r="CU246" s="54"/>
      <c r="CV246" s="26"/>
      <c r="CW246" s="54"/>
      <c r="CX246" s="55"/>
      <c r="CY246" s="56"/>
      <c r="CZ246" s="26"/>
      <c r="DA246" s="54"/>
      <c r="DB246" s="26"/>
      <c r="DC246" s="54"/>
      <c r="DD246" s="55"/>
      <c r="DE246" s="56"/>
      <c r="DF246" s="26"/>
      <c r="DG246" s="54"/>
      <c r="DH246" s="26"/>
      <c r="DI246" s="54"/>
      <c r="DJ246" s="55"/>
      <c r="DK246" s="56"/>
      <c r="DL246" s="26"/>
      <c r="DM246" s="54"/>
      <c r="DN246" s="26"/>
      <c r="DO246" s="54"/>
      <c r="DP246" s="55"/>
      <c r="DQ246" s="56" t="s">
        <v>8250</v>
      </c>
      <c r="DR246" s="26"/>
      <c r="DS246" s="54"/>
      <c r="DT246" s="26"/>
      <c r="DU246" s="54"/>
      <c r="DV246" s="116"/>
      <c r="DW246" s="56"/>
      <c r="DX246" s="26"/>
      <c r="DY246" s="54"/>
      <c r="DZ246" s="26"/>
      <c r="EA246" s="54"/>
      <c r="EB246" s="116"/>
      <c r="EC246" s="56"/>
      <c r="ED246" s="26"/>
      <c r="EE246" s="54"/>
      <c r="EF246" s="26"/>
      <c r="EG246" s="54"/>
      <c r="EH246" s="116"/>
      <c r="EI246" s="56"/>
      <c r="EJ246" s="26"/>
      <c r="EK246" s="54"/>
      <c r="EL246" s="26"/>
      <c r="EM246" s="54"/>
      <c r="EN246" s="116"/>
      <c r="EO246" s="56"/>
      <c r="EP246" s="26"/>
      <c r="EQ246" s="54"/>
      <c r="ER246" s="26"/>
      <c r="ES246" s="54"/>
      <c r="ET246" s="116" t="s">
        <v>15228</v>
      </c>
    </row>
    <row r="247" spans="1:150" ht="20.100000000000001" customHeight="1" thickBot="1">
      <c r="A247" s="3034"/>
      <c r="B247" s="2981"/>
      <c r="C247" s="179"/>
      <c r="D247" s="2726" t="str">
        <f>実績!C1317&amp;"("&amp;SUBSTITUTE(実績!W1317&amp;")","株式会社 ","")</f>
        <v>若柳地区こども園(弾構造設計)</v>
      </c>
      <c r="E247" s="2727"/>
      <c r="F247" s="2727"/>
      <c r="G247" s="2727"/>
      <c r="H247" s="2727"/>
      <c r="I247" s="2727"/>
      <c r="J247" s="2727"/>
      <c r="K247" s="2727"/>
      <c r="L247" s="2727"/>
      <c r="M247" s="2727"/>
      <c r="N247" s="2727"/>
      <c r="O247" s="2727"/>
      <c r="P247" s="2727"/>
      <c r="Q247" s="2727"/>
      <c r="R247" s="2728"/>
      <c r="S247" s="26"/>
      <c r="T247" s="26"/>
      <c r="U247" s="54"/>
      <c r="V247" s="26"/>
      <c r="W247" s="54"/>
      <c r="X247" s="55"/>
      <c r="Y247" s="26"/>
      <c r="Z247" s="26"/>
      <c r="AA247" s="54"/>
      <c r="AB247" s="26"/>
      <c r="AC247" s="54"/>
      <c r="AD247" s="26"/>
      <c r="AE247" s="56"/>
      <c r="AF247" s="26"/>
      <c r="AG247" s="54"/>
      <c r="AH247" s="26"/>
      <c r="AI247" s="54"/>
      <c r="AJ247" s="55"/>
      <c r="AK247" s="26"/>
      <c r="AL247" s="26"/>
      <c r="AM247" s="54"/>
      <c r="AN247" s="26"/>
      <c r="AO247" s="54"/>
      <c r="AP247" s="26"/>
      <c r="AQ247" s="53"/>
      <c r="AR247" s="26"/>
      <c r="AS247" s="54"/>
      <c r="AT247" s="26"/>
      <c r="AU247" s="54"/>
      <c r="AV247" s="55"/>
      <c r="AW247" s="56"/>
      <c r="AX247" s="26"/>
      <c r="AY247" s="54"/>
      <c r="AZ247" s="26"/>
      <c r="BA247" s="54"/>
      <c r="BB247" s="55"/>
      <c r="BC247" s="26"/>
      <c r="BD247" s="26"/>
      <c r="BE247" s="54"/>
      <c r="BF247" s="26"/>
      <c r="BG247" s="54"/>
      <c r="BH247" s="26"/>
      <c r="BI247" s="56"/>
      <c r="BJ247" s="26"/>
      <c r="BK247" s="54"/>
      <c r="BL247" s="26"/>
      <c r="BM247" s="54"/>
      <c r="BN247" s="55"/>
      <c r="BO247" s="56"/>
      <c r="BP247" s="26"/>
      <c r="BQ247" s="54"/>
      <c r="BR247" s="70"/>
      <c r="BS247" s="54"/>
      <c r="BT247" s="55"/>
      <c r="BU247" s="56"/>
      <c r="BV247" s="26"/>
      <c r="BW247" s="54"/>
      <c r="BX247" s="26"/>
      <c r="BY247" s="54"/>
      <c r="BZ247" s="55"/>
      <c r="CA247" s="56"/>
      <c r="CB247" s="26"/>
      <c r="CC247" s="54"/>
      <c r="CD247" s="26"/>
      <c r="CE247" s="54"/>
      <c r="CF247" s="55"/>
      <c r="CG247" s="56"/>
      <c r="CH247" s="26"/>
      <c r="CI247" s="54"/>
      <c r="CJ247" s="26"/>
      <c r="CK247" s="54"/>
      <c r="CL247" s="55"/>
      <c r="CM247" s="56"/>
      <c r="CN247" s="26"/>
      <c r="CO247" s="54"/>
      <c r="CP247" s="118"/>
      <c r="CQ247" s="54"/>
      <c r="CR247" s="55"/>
      <c r="CS247" s="56"/>
      <c r="CT247" s="26"/>
      <c r="CU247" s="54"/>
      <c r="CV247" s="26"/>
      <c r="CW247" s="54"/>
      <c r="CX247" s="55"/>
      <c r="CY247" s="56"/>
      <c r="CZ247" s="26"/>
      <c r="DA247" s="54"/>
      <c r="DB247" s="26"/>
      <c r="DC247" s="54"/>
      <c r="DD247" s="116"/>
      <c r="DE247" s="56"/>
      <c r="DF247" s="26"/>
      <c r="DG247" s="54"/>
      <c r="DH247" s="26"/>
      <c r="DI247" s="54" t="s">
        <v>8250</v>
      </c>
      <c r="DJ247" s="55"/>
      <c r="DK247" s="56"/>
      <c r="DL247" s="26"/>
      <c r="DM247" s="54"/>
      <c r="DN247" s="26"/>
      <c r="DO247" s="54"/>
      <c r="DP247" s="55"/>
      <c r="DQ247" s="56"/>
      <c r="DR247" s="26"/>
      <c r="DS247" s="54"/>
      <c r="DT247" s="26"/>
      <c r="DU247" s="54"/>
      <c r="DV247" s="55"/>
      <c r="DW247" s="56"/>
      <c r="DX247" s="26"/>
      <c r="DY247" s="54"/>
      <c r="DZ247" s="26"/>
      <c r="EA247" s="54"/>
      <c r="EB247" s="55"/>
      <c r="EC247" s="56"/>
      <c r="ED247" s="26"/>
      <c r="EE247" s="54"/>
      <c r="EF247" s="26"/>
      <c r="EG247" s="54"/>
      <c r="EH247" s="116"/>
      <c r="EI247" s="56"/>
      <c r="EJ247" s="26"/>
      <c r="EK247" s="54"/>
      <c r="EL247" s="26"/>
      <c r="EM247" s="54"/>
      <c r="EN247" s="116"/>
      <c r="EO247" s="56"/>
      <c r="EP247" s="26"/>
      <c r="EQ247" s="54"/>
      <c r="ER247" s="26"/>
      <c r="ES247" s="54"/>
      <c r="ET247" s="116" t="s">
        <v>15228</v>
      </c>
    </row>
    <row r="248" spans="1:150" ht="20.100000000000001" customHeight="1" thickBot="1">
      <c r="A248" s="3034"/>
      <c r="B248" s="2981"/>
      <c r="C248" s="179"/>
      <c r="D248" s="2726" t="str">
        <f>実績!C1356&amp;"("&amp;SUBSTITUTE(実績!R1356&amp;")"," 一級建築士事務所","")</f>
        <v>JA全農岐阜青果物貯蔵施設(全農岐阜)</v>
      </c>
      <c r="E248" s="2727"/>
      <c r="F248" s="2727"/>
      <c r="G248" s="2727"/>
      <c r="H248" s="2727"/>
      <c r="I248" s="2727"/>
      <c r="J248" s="2727"/>
      <c r="K248" s="2727"/>
      <c r="L248" s="2727"/>
      <c r="M248" s="2727"/>
      <c r="N248" s="2727"/>
      <c r="O248" s="2727"/>
      <c r="P248" s="2727"/>
      <c r="Q248" s="2727"/>
      <c r="R248" s="2728"/>
      <c r="S248" s="26"/>
      <c r="T248" s="26"/>
      <c r="U248" s="54"/>
      <c r="V248" s="26"/>
      <c r="W248" s="54"/>
      <c r="X248" s="55"/>
      <c r="Y248" s="26"/>
      <c r="Z248" s="26"/>
      <c r="AA248" s="54"/>
      <c r="AB248" s="26"/>
      <c r="AC248" s="54"/>
      <c r="AD248" s="26"/>
      <c r="AE248" s="56"/>
      <c r="AF248" s="26"/>
      <c r="AG248" s="54"/>
      <c r="AH248" s="26"/>
      <c r="AI248" s="54"/>
      <c r="AJ248" s="55"/>
      <c r="AK248" s="26"/>
      <c r="AL248" s="26"/>
      <c r="AM248" s="54"/>
      <c r="AN248" s="26"/>
      <c r="AO248" s="54"/>
      <c r="AP248" s="26"/>
      <c r="AQ248" s="53"/>
      <c r="AR248" s="26"/>
      <c r="AS248" s="54"/>
      <c r="AT248" s="26"/>
      <c r="AU248" s="54"/>
      <c r="AV248" s="55"/>
      <c r="AW248" s="56"/>
      <c r="AX248" s="26"/>
      <c r="AY248" s="54"/>
      <c r="AZ248" s="26"/>
      <c r="BA248" s="54"/>
      <c r="BB248" s="55"/>
      <c r="BC248" s="26"/>
      <c r="BD248" s="26"/>
      <c r="BE248" s="54"/>
      <c r="BF248" s="26"/>
      <c r="BG248" s="54"/>
      <c r="BH248" s="26"/>
      <c r="BI248" s="56"/>
      <c r="BJ248" s="26"/>
      <c r="BK248" s="54"/>
      <c r="BL248" s="26"/>
      <c r="BM248" s="54"/>
      <c r="BN248" s="55"/>
      <c r="BO248" s="56"/>
      <c r="BP248" s="26"/>
      <c r="BQ248" s="54"/>
      <c r="BR248" s="70"/>
      <c r="BS248" s="54"/>
      <c r="BT248" s="55"/>
      <c r="BU248" s="56"/>
      <c r="BV248" s="26"/>
      <c r="BW248" s="54"/>
      <c r="BX248" s="26"/>
      <c r="BY248" s="54"/>
      <c r="BZ248" s="55"/>
      <c r="CA248" s="56"/>
      <c r="CB248" s="26"/>
      <c r="CC248" s="54"/>
      <c r="CD248" s="26"/>
      <c r="CE248" s="54"/>
      <c r="CF248" s="55"/>
      <c r="CG248" s="56"/>
      <c r="CH248" s="26"/>
      <c r="CI248" s="54"/>
      <c r="CJ248" s="26"/>
      <c r="CK248" s="54"/>
      <c r="CL248" s="55"/>
      <c r="CM248" s="56"/>
      <c r="CN248" s="26"/>
      <c r="CO248" s="54"/>
      <c r="CP248" s="118"/>
      <c r="CQ248" s="54"/>
      <c r="CR248" s="55"/>
      <c r="CS248" s="56"/>
      <c r="CT248" s="26"/>
      <c r="CU248" s="54"/>
      <c r="CV248" s="26"/>
      <c r="CW248" s="54"/>
      <c r="CX248" s="55"/>
      <c r="CY248" s="56"/>
      <c r="CZ248" s="26"/>
      <c r="DA248" s="54"/>
      <c r="DB248" s="26"/>
      <c r="DC248" s="54"/>
      <c r="DD248" s="55"/>
      <c r="DE248" s="56"/>
      <c r="DF248" s="26"/>
      <c r="DG248" s="54"/>
      <c r="DH248" s="26"/>
      <c r="DI248" s="54"/>
      <c r="DJ248" s="55"/>
      <c r="DK248" s="56"/>
      <c r="DL248" s="26"/>
      <c r="DM248" s="54"/>
      <c r="DN248" s="26"/>
      <c r="DO248" s="54"/>
      <c r="DP248" s="55"/>
      <c r="DQ248" s="56"/>
      <c r="DR248" s="26"/>
      <c r="DS248" s="54"/>
      <c r="DT248" s="26"/>
      <c r="DU248" s="54"/>
      <c r="DV248" s="55"/>
      <c r="DW248" s="56"/>
      <c r="DX248" s="26"/>
      <c r="DY248" s="54"/>
      <c r="DZ248" s="26"/>
      <c r="EA248" s="54"/>
      <c r="EB248" s="55"/>
      <c r="EC248" s="1239" t="s">
        <v>15610</v>
      </c>
      <c r="ED248" s="26"/>
      <c r="EE248" s="54"/>
      <c r="EF248" s="26"/>
      <c r="EG248" s="54"/>
      <c r="EH248" s="55"/>
      <c r="EI248" s="56"/>
      <c r="EJ248" s="26"/>
      <c r="EK248" s="54"/>
      <c r="EL248" s="26"/>
      <c r="EM248" s="54"/>
      <c r="EN248" s="55"/>
      <c r="EO248" s="56"/>
      <c r="EP248" s="26"/>
      <c r="EQ248" s="54"/>
      <c r="ER248" s="26"/>
      <c r="ES248" s="54"/>
      <c r="ET248" s="55"/>
    </row>
    <row r="249" spans="1:150" ht="20.100000000000001" customHeight="1" thickBot="1">
      <c r="A249" s="3034"/>
      <c r="B249" s="2981"/>
      <c r="C249" s="179"/>
      <c r="D249" s="2726" t="str">
        <f>実績!C1336&amp;"("&amp;SUBSTITUTE(実績!R1336&amp;")","株式会社 ","")</f>
        <v>JA全農福島 福島パッケージステーション(全農福島一級建築士事務所)</v>
      </c>
      <c r="E249" s="2727"/>
      <c r="F249" s="2727"/>
      <c r="G249" s="2727"/>
      <c r="H249" s="2727"/>
      <c r="I249" s="2727"/>
      <c r="J249" s="2727"/>
      <c r="K249" s="2727"/>
      <c r="L249" s="2727"/>
      <c r="M249" s="2727"/>
      <c r="N249" s="2727"/>
      <c r="O249" s="2727"/>
      <c r="P249" s="2727"/>
      <c r="Q249" s="2727"/>
      <c r="R249" s="2728"/>
      <c r="S249" s="26"/>
      <c r="T249" s="26"/>
      <c r="U249" s="54"/>
      <c r="V249" s="26"/>
      <c r="W249" s="54"/>
      <c r="X249" s="55"/>
      <c r="Y249" s="26"/>
      <c r="Z249" s="26"/>
      <c r="AA249" s="54"/>
      <c r="AB249" s="26"/>
      <c r="AC249" s="54"/>
      <c r="AD249" s="26"/>
      <c r="AE249" s="56"/>
      <c r="AF249" s="26"/>
      <c r="AG249" s="54"/>
      <c r="AH249" s="26"/>
      <c r="AI249" s="54"/>
      <c r="AJ249" s="55"/>
      <c r="AK249" s="26"/>
      <c r="AL249" s="26"/>
      <c r="AM249" s="54"/>
      <c r="AN249" s="26"/>
      <c r="AO249" s="54"/>
      <c r="AP249" s="26"/>
      <c r="AQ249" s="53"/>
      <c r="AR249" s="26"/>
      <c r="AS249" s="54"/>
      <c r="AT249" s="26"/>
      <c r="AU249" s="54"/>
      <c r="AV249" s="55"/>
      <c r="AW249" s="56"/>
      <c r="AX249" s="26"/>
      <c r="AY249" s="54"/>
      <c r="AZ249" s="26"/>
      <c r="BA249" s="54"/>
      <c r="BB249" s="55"/>
      <c r="BC249" s="26"/>
      <c r="BD249" s="26"/>
      <c r="BE249" s="54"/>
      <c r="BF249" s="26"/>
      <c r="BG249" s="54"/>
      <c r="BH249" s="26"/>
      <c r="BI249" s="56"/>
      <c r="BJ249" s="26"/>
      <c r="BK249" s="54"/>
      <c r="BL249" s="26"/>
      <c r="BM249" s="54"/>
      <c r="BN249" s="55"/>
      <c r="BO249" s="56"/>
      <c r="BP249" s="26"/>
      <c r="BQ249" s="54"/>
      <c r="BR249" s="70"/>
      <c r="BS249" s="54"/>
      <c r="BT249" s="55"/>
      <c r="BU249" s="56"/>
      <c r="BV249" s="26"/>
      <c r="BW249" s="54"/>
      <c r="BX249" s="26"/>
      <c r="BY249" s="54"/>
      <c r="BZ249" s="55"/>
      <c r="CA249" s="56"/>
      <c r="CB249" s="26"/>
      <c r="CC249" s="54"/>
      <c r="CD249" s="26"/>
      <c r="CE249" s="54"/>
      <c r="CF249" s="55"/>
      <c r="CG249" s="56"/>
      <c r="CH249" s="26"/>
      <c r="CI249" s="54"/>
      <c r="CJ249" s="26"/>
      <c r="CK249" s="54"/>
      <c r="CL249" s="55"/>
      <c r="CM249" s="56"/>
      <c r="CN249" s="26"/>
      <c r="CO249" s="54"/>
      <c r="CP249" s="118"/>
      <c r="CQ249" s="54"/>
      <c r="CR249" s="55"/>
      <c r="CS249" s="56"/>
      <c r="CT249" s="26"/>
      <c r="CU249" s="54"/>
      <c r="CV249" s="26"/>
      <c r="CW249" s="54"/>
      <c r="CX249" s="55"/>
      <c r="CY249" s="56"/>
      <c r="CZ249" s="26"/>
      <c r="DA249" s="54"/>
      <c r="DB249" s="26"/>
      <c r="DC249" s="54"/>
      <c r="DD249" s="55"/>
      <c r="DE249" s="56"/>
      <c r="DF249" s="26"/>
      <c r="DG249" s="54"/>
      <c r="DH249" s="26"/>
      <c r="DI249" s="54"/>
      <c r="DJ249" s="55"/>
      <c r="DK249" s="56"/>
      <c r="DL249" s="26"/>
      <c r="DM249" s="54"/>
      <c r="DN249" s="26"/>
      <c r="DO249" s="54"/>
      <c r="DP249" s="55"/>
      <c r="DQ249" s="56"/>
      <c r="DR249" s="26"/>
      <c r="DS249" s="54"/>
      <c r="DT249" s="26"/>
      <c r="DU249" s="54"/>
      <c r="DV249" s="116"/>
      <c r="DW249" s="56"/>
      <c r="DX249" s="26"/>
      <c r="DY249" s="54"/>
      <c r="DZ249" s="26"/>
      <c r="EA249" s="54"/>
      <c r="EB249" s="116"/>
      <c r="EC249" s="56"/>
      <c r="ED249" s="26"/>
      <c r="EE249" s="54"/>
      <c r="EF249" s="26"/>
      <c r="EG249" s="54"/>
      <c r="EH249" s="116"/>
      <c r="EI249" s="56"/>
      <c r="EJ249" s="26"/>
      <c r="EK249" s="54"/>
      <c r="EL249" s="26"/>
      <c r="EM249" s="54"/>
      <c r="EN249" s="116"/>
      <c r="EO249" s="56"/>
      <c r="EP249" s="26"/>
      <c r="EQ249" s="54"/>
      <c r="ER249" s="26"/>
      <c r="ES249" s="54"/>
      <c r="ET249" s="116"/>
    </row>
    <row r="250" spans="1:150" ht="20.100000000000001" customHeight="1" thickBot="1">
      <c r="A250" s="3034"/>
      <c r="B250" s="2981"/>
      <c r="C250" s="179"/>
      <c r="D250" s="2726" t="str">
        <f>実績!C1343&amp;"("&amp;SUBSTITUTE(実績!W1343&amp;")","株式会社 ","")</f>
        <v>ツルハドラッグ大槌(一級建築士事務所 Mkozo)</v>
      </c>
      <c r="E250" s="2727"/>
      <c r="F250" s="2727"/>
      <c r="G250" s="2727"/>
      <c r="H250" s="2727"/>
      <c r="I250" s="2727"/>
      <c r="J250" s="2727"/>
      <c r="K250" s="2727"/>
      <c r="L250" s="2727"/>
      <c r="M250" s="2727"/>
      <c r="N250" s="2727"/>
      <c r="O250" s="2727"/>
      <c r="P250" s="2727"/>
      <c r="Q250" s="2727"/>
      <c r="R250" s="2728"/>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118"/>
      <c r="CQ250" s="26"/>
      <c r="CR250" s="26"/>
      <c r="CS250" s="26"/>
      <c r="CT250" s="26"/>
      <c r="CU250" s="26"/>
      <c r="CV250" s="26"/>
      <c r="CW250" s="26"/>
      <c r="CX250" s="26"/>
      <c r="CY250" s="56"/>
      <c r="CZ250" s="26"/>
      <c r="DA250" s="54"/>
      <c r="DB250" s="26"/>
      <c r="DC250" s="54"/>
      <c r="DD250" s="55"/>
      <c r="DE250" s="56"/>
      <c r="DF250" s="26"/>
      <c r="DG250" s="54"/>
      <c r="DH250" s="26"/>
      <c r="DI250" s="54"/>
      <c r="DJ250" s="116"/>
      <c r="DK250" s="56"/>
      <c r="DL250" s="26"/>
      <c r="DM250" s="54"/>
      <c r="DN250" s="26"/>
      <c r="DO250" s="54" t="s">
        <v>9291</v>
      </c>
      <c r="DP250" s="55"/>
      <c r="DQ250" s="56"/>
      <c r="DR250" s="26"/>
      <c r="DS250" s="54"/>
      <c r="DT250" s="26"/>
      <c r="DU250" s="54"/>
      <c r="DV250" s="116"/>
      <c r="DW250" s="56"/>
      <c r="DX250" s="26"/>
      <c r="DY250" s="54"/>
      <c r="DZ250" s="26"/>
      <c r="EA250" s="54"/>
      <c r="EB250" s="116"/>
      <c r="EC250" s="1186" t="s">
        <v>15632</v>
      </c>
      <c r="ED250" s="26"/>
      <c r="EE250" s="54"/>
      <c r="EF250" s="26"/>
      <c r="EG250" s="54"/>
      <c r="EH250" s="116"/>
      <c r="EI250" s="56"/>
      <c r="EJ250" s="26"/>
      <c r="EK250" s="54"/>
      <c r="EL250" s="26"/>
      <c r="EM250" s="54"/>
      <c r="EN250" s="116"/>
      <c r="EO250" s="56"/>
      <c r="EP250" s="26"/>
      <c r="EQ250" s="54"/>
      <c r="ER250" s="26"/>
      <c r="ES250" s="54"/>
      <c r="ET250" s="116"/>
    </row>
    <row r="251" spans="1:150" ht="20.100000000000001" customHeight="1" thickBot="1">
      <c r="A251" s="3034"/>
      <c r="B251" s="2981"/>
      <c r="C251" s="179"/>
      <c r="D251" s="2726" t="str">
        <f>実績!C1295&amp;"("&amp;SUBSTITUTE(実績!AB1295&amp;")"," 株式会社","")</f>
        <v>マクドナルド与那原(金秀建設)</v>
      </c>
      <c r="E251" s="2727"/>
      <c r="F251" s="2727"/>
      <c r="G251" s="2727"/>
      <c r="H251" s="2727"/>
      <c r="I251" s="2727"/>
      <c r="J251" s="2727"/>
      <c r="K251" s="2727"/>
      <c r="L251" s="2727"/>
      <c r="M251" s="2727"/>
      <c r="N251" s="2727"/>
      <c r="O251" s="2727"/>
      <c r="P251" s="2727"/>
      <c r="Q251" s="2727"/>
      <c r="R251" s="2728"/>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118"/>
      <c r="CQ251" s="26"/>
      <c r="CR251" s="26"/>
      <c r="CS251" s="26"/>
      <c r="CT251" s="26"/>
      <c r="CU251" s="26"/>
      <c r="CV251" s="26"/>
      <c r="CW251" s="26"/>
      <c r="CX251" s="26"/>
      <c r="CY251" s="56"/>
      <c r="CZ251" s="26"/>
      <c r="DA251" s="54"/>
      <c r="DB251" s="26"/>
      <c r="DC251" s="54"/>
      <c r="DD251" s="55"/>
      <c r="DE251" s="56"/>
      <c r="DF251" s="26"/>
      <c r="DG251" s="54"/>
      <c r="DH251" s="26"/>
      <c r="DI251" s="54"/>
      <c r="DJ251" s="116"/>
      <c r="DK251" s="56"/>
      <c r="DL251" s="26"/>
      <c r="DM251" s="54"/>
      <c r="DN251" s="26"/>
      <c r="DO251" s="54"/>
      <c r="DP251" s="26"/>
      <c r="DQ251" s="1187"/>
      <c r="DR251" s="26"/>
      <c r="DS251" s="54"/>
      <c r="DT251" s="26"/>
      <c r="DU251" s="26"/>
      <c r="DV251" s="116"/>
      <c r="DW251" s="56"/>
      <c r="DX251" s="26"/>
      <c r="DY251" s="54"/>
      <c r="DZ251" s="26"/>
      <c r="EA251" s="54"/>
      <c r="EB251" s="116"/>
      <c r="EC251" s="1187" t="s">
        <v>15613</v>
      </c>
      <c r="ED251" s="26"/>
      <c r="EE251" s="54"/>
      <c r="EF251" s="26"/>
      <c r="EG251" s="54"/>
      <c r="EH251" s="116"/>
      <c r="EI251" s="56"/>
      <c r="EJ251" s="26"/>
      <c r="EK251" s="54"/>
      <c r="EL251" s="26"/>
      <c r="EM251" s="54"/>
      <c r="EN251" s="116"/>
      <c r="EO251" s="56"/>
      <c r="EP251" s="26"/>
      <c r="EQ251" s="54"/>
      <c r="ER251" s="26"/>
      <c r="ES251" s="54"/>
      <c r="ET251" s="116"/>
    </row>
    <row r="252" spans="1:150" ht="20.100000000000001" customHeight="1" thickBot="1">
      <c r="A252" s="3034"/>
      <c r="B252" s="2982"/>
      <c r="C252" s="1098"/>
      <c r="D252" s="2983" t="str">
        <f>実績!C1299&amp;"("&amp;SUBSTITUTE(実績!AB1299&amp;")"," 株式会社","")</f>
        <v>カジレーネ新工場(日鉄物産システム建築)</v>
      </c>
      <c r="E252" s="2984"/>
      <c r="F252" s="2984"/>
      <c r="G252" s="2984"/>
      <c r="H252" s="2984"/>
      <c r="I252" s="2984"/>
      <c r="J252" s="2984"/>
      <c r="K252" s="2984"/>
      <c r="L252" s="2984"/>
      <c r="M252" s="2984"/>
      <c r="N252" s="2984"/>
      <c r="O252" s="2984"/>
      <c r="P252" s="2984"/>
      <c r="Q252" s="2984"/>
      <c r="R252" s="2985"/>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119"/>
      <c r="CQ252" s="58"/>
      <c r="CR252" s="58"/>
      <c r="CS252" s="58"/>
      <c r="CT252" s="58"/>
      <c r="CU252" s="58"/>
      <c r="CV252" s="58"/>
      <c r="CW252" s="58"/>
      <c r="CX252" s="58"/>
      <c r="CY252" s="61"/>
      <c r="CZ252" s="58"/>
      <c r="DA252" s="59"/>
      <c r="DB252" s="58"/>
      <c r="DC252" s="59"/>
      <c r="DD252" s="60"/>
      <c r="DE252" s="61"/>
      <c r="DF252" s="58"/>
      <c r="DG252" s="59"/>
      <c r="DH252" s="58"/>
      <c r="DI252" s="59"/>
      <c r="DJ252" s="286"/>
      <c r="DK252" s="61"/>
      <c r="DL252" s="58"/>
      <c r="DM252" s="59"/>
      <c r="DN252" s="58"/>
      <c r="DO252" s="59"/>
      <c r="DP252" s="58"/>
      <c r="DQ252" s="1188"/>
      <c r="DR252" s="58"/>
      <c r="DS252" s="59"/>
      <c r="DT252" s="58"/>
      <c r="DU252" s="58"/>
      <c r="DV252" s="286"/>
      <c r="DW252" s="61"/>
      <c r="DX252" s="58"/>
      <c r="DY252" s="59"/>
      <c r="DZ252" s="58"/>
      <c r="EA252" s="59"/>
      <c r="EB252" s="286"/>
      <c r="EC252" s="1188" t="s">
        <v>15613</v>
      </c>
      <c r="ED252" s="58"/>
      <c r="EE252" s="59"/>
      <c r="EF252" s="58"/>
      <c r="EG252" s="59"/>
      <c r="EH252" s="286"/>
      <c r="EI252" s="61"/>
      <c r="EJ252" s="58"/>
      <c r="EK252" s="59"/>
      <c r="EL252" s="58"/>
      <c r="EM252" s="59"/>
      <c r="EN252" s="286"/>
      <c r="EO252" s="61"/>
      <c r="EP252" s="58"/>
      <c r="EQ252" s="59"/>
      <c r="ER252" s="58"/>
      <c r="ES252" s="59"/>
      <c r="ET252" s="286"/>
    </row>
    <row r="253" spans="1:150" ht="20.100000000000001" customHeight="1" thickBot="1">
      <c r="A253" s="3034"/>
      <c r="B253" s="2979" t="s">
        <v>4855</v>
      </c>
      <c r="C253" s="1159"/>
      <c r="D253" s="3009" t="str">
        <f>実績!C1355&amp;"("&amp;SUBSTITUTE(実績!W1355&amp;")","株式会社 ","")</f>
        <v>扶桑商会倉庫(あい設計)</v>
      </c>
      <c r="E253" s="3010"/>
      <c r="F253" s="3010"/>
      <c r="G253" s="3010"/>
      <c r="H253" s="3010"/>
      <c r="I253" s="3010"/>
      <c r="J253" s="3010"/>
      <c r="K253" s="3010"/>
      <c r="L253" s="3010"/>
      <c r="M253" s="3010"/>
      <c r="N253" s="3010"/>
      <c r="O253" s="3010"/>
      <c r="P253" s="3010"/>
      <c r="Q253" s="3010"/>
      <c r="R253" s="3011"/>
      <c r="S253" s="1101"/>
      <c r="T253" s="1101"/>
      <c r="U253" s="1102"/>
      <c r="V253" s="1101"/>
      <c r="W253" s="1102"/>
      <c r="X253" s="1103"/>
      <c r="Y253" s="1101"/>
      <c r="Z253" s="1101"/>
      <c r="AA253" s="1102"/>
      <c r="AB253" s="1101"/>
      <c r="AC253" s="1102"/>
      <c r="AD253" s="1101"/>
      <c r="AE253" s="1104"/>
      <c r="AF253" s="1101"/>
      <c r="AG253" s="1102"/>
      <c r="AH253" s="1101"/>
      <c r="AI253" s="1102"/>
      <c r="AJ253" s="1103"/>
      <c r="AK253" s="1101"/>
      <c r="AL253" s="1101"/>
      <c r="AM253" s="1102"/>
      <c r="AN253" s="1101"/>
      <c r="AO253" s="1102"/>
      <c r="AP253" s="1101"/>
      <c r="AQ253" s="1105"/>
      <c r="AR253" s="1101"/>
      <c r="AS253" s="1102"/>
      <c r="AT253" s="1101"/>
      <c r="AU253" s="1102"/>
      <c r="AV253" s="1103"/>
      <c r="AW253" s="1104"/>
      <c r="AX253" s="1101"/>
      <c r="AY253" s="1102"/>
      <c r="AZ253" s="1101"/>
      <c r="BA253" s="1102"/>
      <c r="BB253" s="1103"/>
      <c r="BC253" s="1101"/>
      <c r="BD253" s="1101"/>
      <c r="BE253" s="1102"/>
      <c r="BF253" s="1101"/>
      <c r="BG253" s="1102"/>
      <c r="BH253" s="1101"/>
      <c r="BI253" s="1104"/>
      <c r="BJ253" s="1101"/>
      <c r="BK253" s="1102"/>
      <c r="BL253" s="1101"/>
      <c r="BM253" s="1102"/>
      <c r="BN253" s="1103"/>
      <c r="BO253" s="1104"/>
      <c r="BP253" s="1101"/>
      <c r="BQ253" s="1102"/>
      <c r="BR253" s="1106"/>
      <c r="BS253" s="1102"/>
      <c r="BT253" s="1103"/>
      <c r="BU253" s="1104"/>
      <c r="BV253" s="1101"/>
      <c r="BW253" s="1102"/>
      <c r="BX253" s="1101"/>
      <c r="BY253" s="1102"/>
      <c r="BZ253" s="1103"/>
      <c r="CA253" s="1104"/>
      <c r="CB253" s="1101"/>
      <c r="CC253" s="1102"/>
      <c r="CD253" s="1101"/>
      <c r="CE253" s="1102"/>
      <c r="CF253" s="1103"/>
      <c r="CG253" s="1104"/>
      <c r="CH253" s="1101"/>
      <c r="CI253" s="1102"/>
      <c r="CJ253" s="1101"/>
      <c r="CK253" s="1102"/>
      <c r="CL253" s="1103"/>
      <c r="CM253" s="1104"/>
      <c r="CN253" s="1101"/>
      <c r="CO253" s="1102"/>
      <c r="CP253" s="1107"/>
      <c r="CQ253" s="1102"/>
      <c r="CR253" s="1103"/>
      <c r="CS253" s="1104"/>
      <c r="CT253" s="1101"/>
      <c r="CU253" s="1102"/>
      <c r="CV253" s="1101"/>
      <c r="CW253" s="1102"/>
      <c r="CX253" s="1103"/>
      <c r="CY253" s="1104"/>
      <c r="CZ253" s="1101"/>
      <c r="DA253" s="1102"/>
      <c r="DB253" s="1101"/>
      <c r="DC253" s="1102"/>
      <c r="DD253" s="1103"/>
      <c r="DE253" s="1104"/>
      <c r="DF253" s="1101"/>
      <c r="DG253" s="1102"/>
      <c r="DH253" s="1101"/>
      <c r="DI253" s="1102"/>
      <c r="DJ253" s="1103"/>
      <c r="DK253" s="1104"/>
      <c r="DL253" s="1101"/>
      <c r="DM253" s="1102"/>
      <c r="DN253" s="1101"/>
      <c r="DO253" s="1102"/>
      <c r="DP253" s="1103"/>
      <c r="DQ253" s="1104"/>
      <c r="DR253" s="1101"/>
      <c r="DS253" s="1102"/>
      <c r="DT253" s="1101"/>
      <c r="DU253" s="1102"/>
      <c r="DV253" s="1103"/>
      <c r="DW253" s="1104"/>
      <c r="DX253" s="1101"/>
      <c r="DY253" s="1102"/>
      <c r="DZ253" s="1101"/>
      <c r="EA253" s="1240" t="s">
        <v>15614</v>
      </c>
      <c r="EB253" s="1103"/>
      <c r="EC253" s="1104"/>
      <c r="ED253" s="1101"/>
      <c r="EE253" s="1102"/>
      <c r="EF253" s="1101"/>
      <c r="EG253" s="1102"/>
      <c r="EH253" s="1103"/>
      <c r="EI253" s="1104"/>
      <c r="EJ253" s="1101"/>
      <c r="EK253" s="1102"/>
      <c r="EL253" s="1101"/>
      <c r="EM253" s="1102"/>
      <c r="EN253" s="1103"/>
      <c r="EO253" s="1104"/>
      <c r="EP253" s="1101"/>
      <c r="EQ253" s="1102"/>
      <c r="ER253" s="1101"/>
      <c r="ES253" s="1102"/>
      <c r="ET253" s="1181"/>
    </row>
    <row r="254" spans="1:150" ht="20.100000000000001" customHeight="1" thickBot="1">
      <c r="A254" s="3034"/>
      <c r="B254" s="2981"/>
      <c r="C254" s="1185"/>
      <c r="D254" s="3003" t="str">
        <f>実績!C1359&amp;"("&amp;SUBSTITUTE(実績!AB1359&amp;")","株式会社 ","")</f>
        <v>スーパーマルハチ新大阪(UCM)</v>
      </c>
      <c r="E254" s="3004"/>
      <c r="F254" s="3004"/>
      <c r="G254" s="3004"/>
      <c r="H254" s="3004"/>
      <c r="I254" s="3004"/>
      <c r="J254" s="3004"/>
      <c r="K254" s="3004"/>
      <c r="L254" s="3004"/>
      <c r="M254" s="3004"/>
      <c r="N254" s="3004"/>
      <c r="O254" s="3004"/>
      <c r="P254" s="3004"/>
      <c r="Q254" s="3004"/>
      <c r="R254" s="3005"/>
      <c r="S254" s="1189"/>
      <c r="T254" s="1189"/>
      <c r="U254" s="1189"/>
      <c r="V254" s="1189"/>
      <c r="W254" s="1189"/>
      <c r="X254" s="1189"/>
      <c r="Y254" s="1189"/>
      <c r="Z254" s="1189"/>
      <c r="AA254" s="1189"/>
      <c r="AB254" s="1189"/>
      <c r="AC254" s="1189"/>
      <c r="AD254" s="1189"/>
      <c r="AE254" s="1189"/>
      <c r="AF254" s="1189"/>
      <c r="AG254" s="1189"/>
      <c r="AH254" s="1189"/>
      <c r="AI254" s="1189"/>
      <c r="AJ254" s="1189"/>
      <c r="AK254" s="1189"/>
      <c r="AL254" s="1189"/>
      <c r="AM254" s="1189"/>
      <c r="AN254" s="1189"/>
      <c r="AO254" s="1189"/>
      <c r="AP254" s="1189"/>
      <c r="AQ254" s="1189"/>
      <c r="AR254" s="1189"/>
      <c r="AS254" s="1189"/>
      <c r="AT254" s="1189"/>
      <c r="AU254" s="1189"/>
      <c r="AV254" s="1189"/>
      <c r="AW254" s="1189"/>
      <c r="AX254" s="1189"/>
      <c r="AY254" s="1189"/>
      <c r="AZ254" s="1189"/>
      <c r="BA254" s="1189"/>
      <c r="BB254" s="1189"/>
      <c r="BC254" s="1189"/>
      <c r="BD254" s="1189"/>
      <c r="BE254" s="1189"/>
      <c r="BF254" s="1189"/>
      <c r="BG254" s="1189"/>
      <c r="BH254" s="1189"/>
      <c r="BI254" s="1189"/>
      <c r="BJ254" s="1189"/>
      <c r="BK254" s="1189"/>
      <c r="BL254" s="1189"/>
      <c r="BM254" s="1189"/>
      <c r="BN254" s="1189"/>
      <c r="BO254" s="1189"/>
      <c r="BP254" s="1189"/>
      <c r="BQ254" s="1189"/>
      <c r="BR254" s="1189"/>
      <c r="BS254" s="1189"/>
      <c r="BT254" s="1189"/>
      <c r="BU254" s="1189"/>
      <c r="BV254" s="1189"/>
      <c r="BW254" s="1189"/>
      <c r="BX254" s="1189"/>
      <c r="BY254" s="1189"/>
      <c r="BZ254" s="1189"/>
      <c r="CA254" s="1189"/>
      <c r="CB254" s="1189"/>
      <c r="CC254" s="1189"/>
      <c r="CD254" s="1189"/>
      <c r="CE254" s="1189"/>
      <c r="CF254" s="1189"/>
      <c r="CG254" s="1189"/>
      <c r="CH254" s="1189"/>
      <c r="CI254" s="1189"/>
      <c r="CJ254" s="1189"/>
      <c r="CK254" s="1189"/>
      <c r="CL254" s="1189"/>
      <c r="CM254" s="1189"/>
      <c r="CN254" s="1189"/>
      <c r="CO254" s="1189"/>
      <c r="CP254" s="1195"/>
      <c r="CQ254" s="1189"/>
      <c r="CR254" s="1189"/>
      <c r="CS254" s="1189"/>
      <c r="CT254" s="1189"/>
      <c r="CU254" s="1189"/>
      <c r="CV254" s="1189"/>
      <c r="CW254" s="1189"/>
      <c r="CX254" s="1189"/>
      <c r="CY254" s="1192"/>
      <c r="CZ254" s="1189"/>
      <c r="DA254" s="1190"/>
      <c r="DB254" s="1189"/>
      <c r="DC254" s="1190"/>
      <c r="DD254" s="1191"/>
      <c r="DE254" s="1192"/>
      <c r="DF254" s="1189"/>
      <c r="DG254" s="1190"/>
      <c r="DH254" s="1189"/>
      <c r="DI254" s="1190"/>
      <c r="DJ254" s="1214"/>
      <c r="DK254" s="1192"/>
      <c r="DL254" s="1189"/>
      <c r="DM254" s="1190"/>
      <c r="DN254" s="1189"/>
      <c r="DO254" s="1190"/>
      <c r="DP254" s="1191"/>
      <c r="DQ254" s="1192"/>
      <c r="DR254" s="1189"/>
      <c r="DS254" s="1190"/>
      <c r="DT254" s="1189"/>
      <c r="DU254" s="1190"/>
      <c r="DV254" s="1214"/>
      <c r="DW254" s="1192"/>
      <c r="DX254" s="1189"/>
      <c r="DY254" s="1190" t="s">
        <v>13928</v>
      </c>
      <c r="DZ254" s="1189"/>
      <c r="EA254" s="1190"/>
      <c r="EB254" s="1214"/>
      <c r="EC254" s="1196" t="s">
        <v>15630</v>
      </c>
      <c r="ED254" s="1189"/>
      <c r="EE254" s="1190"/>
      <c r="EF254" s="1189"/>
      <c r="EG254" s="1190"/>
      <c r="EH254" s="1214"/>
      <c r="EI254" s="1192"/>
      <c r="EJ254" s="1189"/>
      <c r="EK254" s="1190"/>
      <c r="EL254" s="1189"/>
      <c r="EM254" s="1190"/>
      <c r="EN254" s="1214"/>
      <c r="EO254" s="1192"/>
      <c r="EP254" s="1189"/>
      <c r="EQ254" s="1190"/>
      <c r="ER254" s="1189"/>
      <c r="ES254" s="1190"/>
      <c r="ET254" s="1191"/>
    </row>
    <row r="255" spans="1:150" ht="20.100000000000001" customHeight="1" thickBot="1">
      <c r="A255" s="3034"/>
      <c r="B255" s="2981"/>
      <c r="C255" s="1185"/>
      <c r="D255" s="3003" t="str">
        <f>実績!C1329&amp;"("&amp;SUBSTITUTE(実績!R1329&amp;")","株式会社","")</f>
        <v>斐川サンホーム(塩野建築設計事務所)</v>
      </c>
      <c r="E255" s="3004"/>
      <c r="F255" s="3004"/>
      <c r="G255" s="3004"/>
      <c r="H255" s="3004"/>
      <c r="I255" s="3004"/>
      <c r="J255" s="3004"/>
      <c r="K255" s="3004"/>
      <c r="L255" s="3004"/>
      <c r="M255" s="3004"/>
      <c r="N255" s="3004"/>
      <c r="O255" s="3004"/>
      <c r="P255" s="3004"/>
      <c r="Q255" s="3004"/>
      <c r="R255" s="3005"/>
      <c r="S255" s="1189"/>
      <c r="T255" s="1189"/>
      <c r="U255" s="1190"/>
      <c r="V255" s="1189"/>
      <c r="W255" s="1190"/>
      <c r="X255" s="1191"/>
      <c r="Y255" s="1189"/>
      <c r="Z255" s="1189"/>
      <c r="AA255" s="1190"/>
      <c r="AB255" s="1189"/>
      <c r="AC255" s="1190"/>
      <c r="AD255" s="1189"/>
      <c r="AE255" s="1192"/>
      <c r="AF255" s="1189"/>
      <c r="AG255" s="1190"/>
      <c r="AH255" s="1189"/>
      <c r="AI255" s="1190"/>
      <c r="AJ255" s="1191"/>
      <c r="AK255" s="1189"/>
      <c r="AL255" s="1189"/>
      <c r="AM255" s="1190"/>
      <c r="AN255" s="1189"/>
      <c r="AO255" s="1190"/>
      <c r="AP255" s="1189"/>
      <c r="AQ255" s="1193"/>
      <c r="AR255" s="1189"/>
      <c r="AS255" s="1190"/>
      <c r="AT255" s="1189"/>
      <c r="AU255" s="1190"/>
      <c r="AV255" s="1191"/>
      <c r="AW255" s="1192"/>
      <c r="AX255" s="1189"/>
      <c r="AY255" s="1190"/>
      <c r="AZ255" s="1189"/>
      <c r="BA255" s="1190"/>
      <c r="BB255" s="1191"/>
      <c r="BC255" s="1189"/>
      <c r="BD255" s="1189"/>
      <c r="BE255" s="1190"/>
      <c r="BF255" s="1189"/>
      <c r="BG255" s="1190"/>
      <c r="BH255" s="1189"/>
      <c r="BI255" s="1192"/>
      <c r="BJ255" s="1189"/>
      <c r="BK255" s="1190"/>
      <c r="BL255" s="1189"/>
      <c r="BM255" s="1190"/>
      <c r="BN255" s="1191"/>
      <c r="BO255" s="1192"/>
      <c r="BP255" s="1189"/>
      <c r="BQ255" s="1190"/>
      <c r="BR255" s="1194"/>
      <c r="BS255" s="1190"/>
      <c r="BT255" s="1191"/>
      <c r="BU255" s="1192"/>
      <c r="BV255" s="1189"/>
      <c r="BW255" s="1190"/>
      <c r="BX255" s="1189"/>
      <c r="BY255" s="1190"/>
      <c r="BZ255" s="1191"/>
      <c r="CA255" s="1192"/>
      <c r="CB255" s="1189"/>
      <c r="CC255" s="1190"/>
      <c r="CD255" s="1189"/>
      <c r="CE255" s="1190"/>
      <c r="CF255" s="1191"/>
      <c r="CG255" s="1192"/>
      <c r="CH255" s="1189"/>
      <c r="CI255" s="1190"/>
      <c r="CJ255" s="1189"/>
      <c r="CK255" s="1190"/>
      <c r="CL255" s="1191"/>
      <c r="CM255" s="1192"/>
      <c r="CN255" s="1189"/>
      <c r="CO255" s="1190"/>
      <c r="CP255" s="1195"/>
      <c r="CQ255" s="1190"/>
      <c r="CR255" s="1191"/>
      <c r="CS255" s="1192" t="s">
        <v>10546</v>
      </c>
      <c r="CT255" s="1189"/>
      <c r="CU255" s="1190"/>
      <c r="CV255" s="1189"/>
      <c r="CW255" s="1190"/>
      <c r="CX255" s="1191"/>
      <c r="CY255" s="1192"/>
      <c r="CZ255" s="1189"/>
      <c r="DA255" s="1190"/>
      <c r="DB255" s="1189"/>
      <c r="DC255" s="1190"/>
      <c r="DD255" s="1191"/>
      <c r="DE255" s="1192"/>
      <c r="DF255" s="1189"/>
      <c r="DG255" s="1190"/>
      <c r="DH255" s="1189"/>
      <c r="DI255" s="1190"/>
      <c r="DJ255" s="1191"/>
      <c r="DK255" s="1192"/>
      <c r="DL255" s="1189"/>
      <c r="DM255" s="1190"/>
      <c r="DN255" s="1189"/>
      <c r="DO255" s="1190"/>
      <c r="DP255" s="1191"/>
      <c r="DQ255" s="1192" t="s">
        <v>8644</v>
      </c>
      <c r="DR255" s="1189"/>
      <c r="DS255" s="1190"/>
      <c r="DT255" s="1189"/>
      <c r="DU255" s="1190"/>
      <c r="DV255" s="1214"/>
      <c r="DW255" s="1192" t="s">
        <v>8250</v>
      </c>
      <c r="DX255" s="1189"/>
      <c r="DY255" s="1190"/>
      <c r="DZ255" s="1189"/>
      <c r="EA255" s="1190"/>
      <c r="EB255" s="1214"/>
      <c r="EC255" s="1192"/>
      <c r="ED255" s="1189"/>
      <c r="EE255" s="1190"/>
      <c r="EF255" s="1189"/>
      <c r="EG255" s="1190"/>
      <c r="EH255" s="1214"/>
      <c r="EI255" s="1196" t="s">
        <v>15630</v>
      </c>
      <c r="EJ255" s="1189"/>
      <c r="EK255" s="1190"/>
      <c r="EL255" s="1189"/>
      <c r="EM255" s="1190"/>
      <c r="EN255" s="1214"/>
      <c r="EO255" s="1192"/>
      <c r="EP255" s="1189"/>
      <c r="EQ255" s="1190"/>
      <c r="ER255" s="1189"/>
      <c r="ES255" s="1190"/>
      <c r="ET255" s="1214"/>
    </row>
    <row r="256" spans="1:150" ht="20.100000000000001" customHeight="1" thickBot="1">
      <c r="A256" s="3034"/>
      <c r="B256" s="2981"/>
      <c r="C256" s="1185"/>
      <c r="D256" s="3003" t="str">
        <f>実績!C1358&amp;"("&amp;SUBSTITUTE(実績!R1358&amp;")","株式会社 ","")</f>
        <v>ホンダカーズ市川東金東(カムイ建築設計事務所)</v>
      </c>
      <c r="E256" s="3004"/>
      <c r="F256" s="3004"/>
      <c r="G256" s="3004"/>
      <c r="H256" s="3004"/>
      <c r="I256" s="3004"/>
      <c r="J256" s="3004"/>
      <c r="K256" s="3004"/>
      <c r="L256" s="3004"/>
      <c r="M256" s="3004"/>
      <c r="N256" s="3004"/>
      <c r="O256" s="3004"/>
      <c r="P256" s="3004"/>
      <c r="Q256" s="3004"/>
      <c r="R256" s="3005"/>
      <c r="S256" s="1189"/>
      <c r="T256" s="1189"/>
      <c r="U256" s="1190"/>
      <c r="V256" s="1189"/>
      <c r="W256" s="1190"/>
      <c r="X256" s="1191"/>
      <c r="Y256" s="1189"/>
      <c r="Z256" s="1189"/>
      <c r="AA256" s="1190"/>
      <c r="AB256" s="1189"/>
      <c r="AC256" s="1190"/>
      <c r="AD256" s="1189"/>
      <c r="AE256" s="1192"/>
      <c r="AF256" s="1189"/>
      <c r="AG256" s="1190"/>
      <c r="AH256" s="1189"/>
      <c r="AI256" s="1190"/>
      <c r="AJ256" s="1191"/>
      <c r="AK256" s="1189"/>
      <c r="AL256" s="1189"/>
      <c r="AM256" s="1190"/>
      <c r="AN256" s="1189"/>
      <c r="AO256" s="1190"/>
      <c r="AP256" s="1189"/>
      <c r="AQ256" s="1193"/>
      <c r="AR256" s="1189"/>
      <c r="AS256" s="1190"/>
      <c r="AT256" s="1189"/>
      <c r="AU256" s="1190"/>
      <c r="AV256" s="1191"/>
      <c r="AW256" s="1192"/>
      <c r="AX256" s="1189"/>
      <c r="AY256" s="1190"/>
      <c r="AZ256" s="1189"/>
      <c r="BA256" s="1190"/>
      <c r="BB256" s="1191"/>
      <c r="BC256" s="1189"/>
      <c r="BD256" s="1189"/>
      <c r="BE256" s="1190"/>
      <c r="BF256" s="1189"/>
      <c r="BG256" s="1190"/>
      <c r="BH256" s="1189"/>
      <c r="BI256" s="1192"/>
      <c r="BJ256" s="1189"/>
      <c r="BK256" s="1190"/>
      <c r="BL256" s="1189"/>
      <c r="BM256" s="1190"/>
      <c r="BN256" s="1191"/>
      <c r="BO256" s="1192"/>
      <c r="BP256" s="1189"/>
      <c r="BQ256" s="1190"/>
      <c r="BR256" s="1194"/>
      <c r="BS256" s="1190"/>
      <c r="BT256" s="1191"/>
      <c r="BU256" s="1192"/>
      <c r="BV256" s="1189"/>
      <c r="BW256" s="1190"/>
      <c r="BX256" s="1189"/>
      <c r="BY256" s="1190"/>
      <c r="BZ256" s="1191"/>
      <c r="CA256" s="1192"/>
      <c r="CB256" s="1189"/>
      <c r="CC256" s="1190"/>
      <c r="CD256" s="1189"/>
      <c r="CE256" s="1190"/>
      <c r="CF256" s="1191"/>
      <c r="CG256" s="1192"/>
      <c r="CH256" s="1189"/>
      <c r="CI256" s="1190"/>
      <c r="CJ256" s="1189"/>
      <c r="CK256" s="1190"/>
      <c r="CL256" s="1191"/>
      <c r="CM256" s="1192"/>
      <c r="CN256" s="1189"/>
      <c r="CO256" s="1190"/>
      <c r="CP256" s="1195"/>
      <c r="CQ256" s="1190"/>
      <c r="CR256" s="1191"/>
      <c r="CS256" s="1192"/>
      <c r="CT256" s="1189"/>
      <c r="CU256" s="1190"/>
      <c r="CV256" s="1189"/>
      <c r="CW256" s="1190"/>
      <c r="CX256" s="1191"/>
      <c r="CY256" s="1192"/>
      <c r="CZ256" s="1189"/>
      <c r="DA256" s="1190"/>
      <c r="DB256" s="1189"/>
      <c r="DC256" s="1190"/>
      <c r="DD256" s="1191"/>
      <c r="DE256" s="1192"/>
      <c r="DF256" s="1189"/>
      <c r="DG256" s="1190"/>
      <c r="DH256" s="1189"/>
      <c r="DI256" s="1190"/>
      <c r="DJ256" s="1191"/>
      <c r="DK256" s="1192"/>
      <c r="DL256" s="1189"/>
      <c r="DM256" s="1190"/>
      <c r="DN256" s="1189"/>
      <c r="DO256" s="1190"/>
      <c r="DP256" s="1191"/>
      <c r="DQ256" s="1192"/>
      <c r="DR256" s="1189"/>
      <c r="DS256" s="1190"/>
      <c r="DT256" s="1189"/>
      <c r="DU256" s="1190" t="s">
        <v>15530</v>
      </c>
      <c r="DV256" s="1191"/>
      <c r="DW256" s="1192"/>
      <c r="DX256" s="1189"/>
      <c r="DY256" s="1190"/>
      <c r="DZ256" s="1189"/>
      <c r="EA256" s="1190"/>
      <c r="EB256" s="1191"/>
      <c r="EC256" s="1192"/>
      <c r="ED256" s="1189"/>
      <c r="EE256" s="1190"/>
      <c r="EF256" s="1189"/>
      <c r="EG256" s="1190"/>
      <c r="EH256" s="1191"/>
      <c r="EI256" s="1196" t="s">
        <v>15630</v>
      </c>
      <c r="EJ256" s="1189"/>
      <c r="EK256" s="1190"/>
      <c r="EL256" s="1189"/>
      <c r="EM256" s="1190"/>
      <c r="EN256" s="1191"/>
      <c r="EO256" s="1192"/>
      <c r="EP256" s="1189"/>
      <c r="EQ256" s="1190"/>
      <c r="ER256" s="1189"/>
      <c r="ES256" s="1190"/>
      <c r="ET256" s="1214"/>
    </row>
    <row r="257" spans="1:150" ht="20.100000000000001" customHeight="1" thickBot="1">
      <c r="A257" s="3034"/>
      <c r="B257" s="2981"/>
      <c r="C257" s="1185"/>
      <c r="D257" s="3003" t="str">
        <f>実績!C1357&amp;"("&amp;SUBSTITUTE(実績!W1357&amp;")","有限会社 ","")</f>
        <v>ヤマザワ新・谷地(石山建築研究所)</v>
      </c>
      <c r="E257" s="3004"/>
      <c r="F257" s="3004"/>
      <c r="G257" s="3004"/>
      <c r="H257" s="3004"/>
      <c r="I257" s="3004"/>
      <c r="J257" s="3004"/>
      <c r="K257" s="3004"/>
      <c r="L257" s="3004"/>
      <c r="M257" s="3004"/>
      <c r="N257" s="3004"/>
      <c r="O257" s="3004"/>
      <c r="P257" s="3004"/>
      <c r="Q257" s="3004"/>
      <c r="R257" s="3005"/>
      <c r="S257" s="1189"/>
      <c r="T257" s="1189"/>
      <c r="U257" s="1190"/>
      <c r="V257" s="1189"/>
      <c r="W257" s="1190"/>
      <c r="X257" s="1191"/>
      <c r="Y257" s="1189"/>
      <c r="Z257" s="1189"/>
      <c r="AA257" s="1190"/>
      <c r="AB257" s="1189"/>
      <c r="AC257" s="1190"/>
      <c r="AD257" s="1189"/>
      <c r="AE257" s="1192"/>
      <c r="AF257" s="1189"/>
      <c r="AG257" s="1190"/>
      <c r="AH257" s="1189"/>
      <c r="AI257" s="1190"/>
      <c r="AJ257" s="1191"/>
      <c r="AK257" s="1189"/>
      <c r="AL257" s="1189"/>
      <c r="AM257" s="1190"/>
      <c r="AN257" s="1189"/>
      <c r="AO257" s="1190"/>
      <c r="AP257" s="1189"/>
      <c r="AQ257" s="1193"/>
      <c r="AR257" s="1189"/>
      <c r="AS257" s="1190"/>
      <c r="AT257" s="1189"/>
      <c r="AU257" s="1190"/>
      <c r="AV257" s="1191"/>
      <c r="AW257" s="1192"/>
      <c r="AX257" s="1189"/>
      <c r="AY257" s="1190"/>
      <c r="AZ257" s="1189"/>
      <c r="BA257" s="1190"/>
      <c r="BB257" s="1191"/>
      <c r="BC257" s="1189"/>
      <c r="BD257" s="1189"/>
      <c r="BE257" s="1190"/>
      <c r="BF257" s="1189"/>
      <c r="BG257" s="1190"/>
      <c r="BH257" s="1189"/>
      <c r="BI257" s="1192"/>
      <c r="BJ257" s="1189"/>
      <c r="BK257" s="1190"/>
      <c r="BL257" s="1189"/>
      <c r="BM257" s="1190"/>
      <c r="BN257" s="1191"/>
      <c r="BO257" s="1192"/>
      <c r="BP257" s="1189"/>
      <c r="BQ257" s="1190"/>
      <c r="BR257" s="1194"/>
      <c r="BS257" s="1190"/>
      <c r="BT257" s="1191"/>
      <c r="BU257" s="1192"/>
      <c r="BV257" s="1189"/>
      <c r="BW257" s="1190"/>
      <c r="BX257" s="1189"/>
      <c r="BY257" s="1190"/>
      <c r="BZ257" s="1191"/>
      <c r="CA257" s="1192"/>
      <c r="CB257" s="1189"/>
      <c r="CC257" s="1190"/>
      <c r="CD257" s="1189"/>
      <c r="CE257" s="1190"/>
      <c r="CF257" s="1191"/>
      <c r="CG257" s="1192"/>
      <c r="CH257" s="1189"/>
      <c r="CI257" s="1190"/>
      <c r="CJ257" s="1189"/>
      <c r="CK257" s="1190"/>
      <c r="CL257" s="1191"/>
      <c r="CM257" s="1192"/>
      <c r="CN257" s="1189"/>
      <c r="CO257" s="1190"/>
      <c r="CP257" s="1195"/>
      <c r="CQ257" s="1190"/>
      <c r="CR257" s="1191"/>
      <c r="CS257" s="1192"/>
      <c r="CT257" s="1189"/>
      <c r="CU257" s="1190"/>
      <c r="CV257" s="1189"/>
      <c r="CW257" s="1190"/>
      <c r="CX257" s="1191"/>
      <c r="CY257" s="1192"/>
      <c r="CZ257" s="1189"/>
      <c r="DA257" s="1190"/>
      <c r="DB257" s="1189"/>
      <c r="DC257" s="1190"/>
      <c r="DD257" s="1191"/>
      <c r="DE257" s="1192"/>
      <c r="DF257" s="1189"/>
      <c r="DG257" s="1190"/>
      <c r="DH257" s="1189"/>
      <c r="DI257" s="1190"/>
      <c r="DJ257" s="1191"/>
      <c r="DK257" s="1192"/>
      <c r="DL257" s="1189"/>
      <c r="DM257" s="1190"/>
      <c r="DN257" s="1189"/>
      <c r="DO257" s="1190"/>
      <c r="DP257" s="1191"/>
      <c r="DQ257" s="1192"/>
      <c r="DR257" s="1189"/>
      <c r="DS257" s="1190"/>
      <c r="DT257" s="1189"/>
      <c r="DU257" s="1190"/>
      <c r="DV257" s="1191" t="s">
        <v>12888</v>
      </c>
      <c r="DW257" s="1192"/>
      <c r="DX257" s="1189"/>
      <c r="DY257" s="1190" t="s">
        <v>8250</v>
      </c>
      <c r="DZ257" s="1189"/>
      <c r="EA257" s="1190"/>
      <c r="EB257" s="1191"/>
      <c r="EC257" s="1192"/>
      <c r="ED257" s="1189"/>
      <c r="EE257" s="1190"/>
      <c r="EF257" s="1189"/>
      <c r="EG257" s="1190"/>
      <c r="EH257" s="1191"/>
      <c r="EI257" s="1196" t="s">
        <v>15630</v>
      </c>
      <c r="EJ257" s="1189"/>
      <c r="EK257" s="1190"/>
      <c r="EL257" s="1189"/>
      <c r="EM257" s="1190"/>
      <c r="EN257" s="1191"/>
      <c r="EO257" s="1192"/>
      <c r="EP257" s="1189"/>
      <c r="EQ257" s="1190"/>
      <c r="ER257" s="1189"/>
      <c r="ES257" s="1190"/>
      <c r="ET257" s="1214"/>
    </row>
    <row r="258" spans="1:150" ht="20.100000000000001" customHeight="1" thickBot="1">
      <c r="A258" s="3034"/>
      <c r="B258" s="2981"/>
      <c r="C258" s="1185"/>
      <c r="D258" s="3003" t="str">
        <f>実績!C1360&amp;"("&amp;SUBSTITUTE(実績!R1360&amp;")","株式会社 ","")</f>
        <v>エンドレステック 港町倉庫(総合プランニングセンター)</v>
      </c>
      <c r="E258" s="3004"/>
      <c r="F258" s="3004"/>
      <c r="G258" s="3004"/>
      <c r="H258" s="3004"/>
      <c r="I258" s="3004"/>
      <c r="J258" s="3004"/>
      <c r="K258" s="3004"/>
      <c r="L258" s="3004"/>
      <c r="M258" s="3004"/>
      <c r="N258" s="3004"/>
      <c r="O258" s="3004"/>
      <c r="P258" s="3004"/>
      <c r="Q258" s="3004"/>
      <c r="R258" s="3005"/>
      <c r="S258" s="1189"/>
      <c r="T258" s="1189"/>
      <c r="U258" s="1190"/>
      <c r="V258" s="1189"/>
      <c r="W258" s="1190"/>
      <c r="X258" s="1191"/>
      <c r="Y258" s="1189"/>
      <c r="Z258" s="1189"/>
      <c r="AA258" s="1190"/>
      <c r="AB258" s="1189"/>
      <c r="AC258" s="1190"/>
      <c r="AD258" s="1189"/>
      <c r="AE258" s="1192"/>
      <c r="AF258" s="1189"/>
      <c r="AG258" s="1190"/>
      <c r="AH258" s="1189"/>
      <c r="AI258" s="1190"/>
      <c r="AJ258" s="1191"/>
      <c r="AK258" s="1189"/>
      <c r="AL258" s="1189"/>
      <c r="AM258" s="1190"/>
      <c r="AN258" s="1189"/>
      <c r="AO258" s="1190"/>
      <c r="AP258" s="1189"/>
      <c r="AQ258" s="1193"/>
      <c r="AR258" s="1189"/>
      <c r="AS258" s="1190"/>
      <c r="AT258" s="1189"/>
      <c r="AU258" s="1190"/>
      <c r="AV258" s="1191"/>
      <c r="AW258" s="1192"/>
      <c r="AX258" s="1189"/>
      <c r="AY258" s="1190"/>
      <c r="AZ258" s="1189"/>
      <c r="BA258" s="1190"/>
      <c r="BB258" s="1191"/>
      <c r="BC258" s="1189"/>
      <c r="BD258" s="1189"/>
      <c r="BE258" s="1190"/>
      <c r="BF258" s="1189"/>
      <c r="BG258" s="1190"/>
      <c r="BH258" s="1189"/>
      <c r="BI258" s="1192"/>
      <c r="BJ258" s="1189"/>
      <c r="BK258" s="1190"/>
      <c r="BL258" s="1189"/>
      <c r="BM258" s="1190"/>
      <c r="BN258" s="1191"/>
      <c r="BO258" s="1192"/>
      <c r="BP258" s="1189"/>
      <c r="BQ258" s="1190"/>
      <c r="BR258" s="1194"/>
      <c r="BS258" s="1190"/>
      <c r="BT258" s="1191"/>
      <c r="BU258" s="1192"/>
      <c r="BV258" s="1189"/>
      <c r="BW258" s="1190"/>
      <c r="BX258" s="1189"/>
      <c r="BY258" s="1190"/>
      <c r="BZ258" s="1191"/>
      <c r="CA258" s="1192"/>
      <c r="CB258" s="1189"/>
      <c r="CC258" s="1190"/>
      <c r="CD258" s="1189"/>
      <c r="CE258" s="1190"/>
      <c r="CF258" s="1191"/>
      <c r="CG258" s="1192"/>
      <c r="CH258" s="1189"/>
      <c r="CI258" s="1190"/>
      <c r="CJ258" s="1189"/>
      <c r="CK258" s="1190"/>
      <c r="CL258" s="1191"/>
      <c r="CM258" s="1192"/>
      <c r="CN258" s="1189"/>
      <c r="CO258" s="1190"/>
      <c r="CP258" s="1195"/>
      <c r="CQ258" s="1190"/>
      <c r="CR258" s="1191"/>
      <c r="CS258" s="1192"/>
      <c r="CT258" s="1189"/>
      <c r="CU258" s="1190"/>
      <c r="CV258" s="1189"/>
      <c r="CW258" s="1190"/>
      <c r="CX258" s="1191"/>
      <c r="CY258" s="1192"/>
      <c r="CZ258" s="1189"/>
      <c r="DA258" s="1190"/>
      <c r="DB258" s="1189"/>
      <c r="DC258" s="1190"/>
      <c r="DD258" s="1191"/>
      <c r="DE258" s="1192"/>
      <c r="DF258" s="1189"/>
      <c r="DG258" s="1190"/>
      <c r="DH258" s="1189"/>
      <c r="DI258" s="1190"/>
      <c r="DJ258" s="1191"/>
      <c r="DK258" s="1192"/>
      <c r="DL258" s="1189"/>
      <c r="DM258" s="1190"/>
      <c r="DN258" s="1189"/>
      <c r="DO258" s="1190"/>
      <c r="DP258" s="1191"/>
      <c r="DQ258" s="1192"/>
      <c r="DR258" s="1189"/>
      <c r="DS258" s="1190"/>
      <c r="DT258" s="1189"/>
      <c r="DU258" s="1190"/>
      <c r="DV258" s="1191"/>
      <c r="DW258" s="1192"/>
      <c r="DX258" s="1189"/>
      <c r="DY258" s="1190"/>
      <c r="DZ258" s="1189"/>
      <c r="EA258" s="1190"/>
      <c r="EB258" s="1191"/>
      <c r="EC258" s="1192"/>
      <c r="ED258" s="1189"/>
      <c r="EE258" s="1190"/>
      <c r="EF258" s="1189"/>
      <c r="EG258" s="1190"/>
      <c r="EH258" s="1191"/>
      <c r="EI258" s="1196" t="s">
        <v>15630</v>
      </c>
      <c r="EJ258" s="1189"/>
      <c r="EK258" s="1190"/>
      <c r="EL258" s="1189"/>
      <c r="EM258" s="1190"/>
      <c r="EN258" s="1191"/>
      <c r="EO258" s="1192"/>
      <c r="EP258" s="1189"/>
      <c r="EQ258" s="1190"/>
      <c r="ER258" s="1189"/>
      <c r="ES258" s="1190"/>
      <c r="ET258" s="1191"/>
    </row>
    <row r="259" spans="1:150" ht="20.100000000000001" customHeight="1" thickBot="1">
      <c r="A259" s="3034"/>
      <c r="B259" s="2981"/>
      <c r="C259" s="1185"/>
      <c r="D259" s="3003" t="str">
        <f>実績!C1320&amp;"("&amp;SUBSTITUTE(実績!AC1320&amp;")"," 株式会社","")</f>
        <v>新英エコライフ(東海インプル建設)</v>
      </c>
      <c r="E259" s="3004"/>
      <c r="F259" s="3004"/>
      <c r="G259" s="3004"/>
      <c r="H259" s="3004"/>
      <c r="I259" s="3004"/>
      <c r="J259" s="3004"/>
      <c r="K259" s="3004"/>
      <c r="L259" s="3004"/>
      <c r="M259" s="3004"/>
      <c r="N259" s="3004"/>
      <c r="O259" s="3004"/>
      <c r="P259" s="3004"/>
      <c r="Q259" s="3004"/>
      <c r="R259" s="3005"/>
      <c r="S259" s="1189"/>
      <c r="T259" s="1189"/>
      <c r="U259" s="1190"/>
      <c r="V259" s="1189"/>
      <c r="W259" s="1190"/>
      <c r="X259" s="1191"/>
      <c r="Y259" s="1189"/>
      <c r="Z259" s="1189"/>
      <c r="AA259" s="1190"/>
      <c r="AB259" s="1189"/>
      <c r="AC259" s="1190"/>
      <c r="AD259" s="1189"/>
      <c r="AE259" s="1192"/>
      <c r="AF259" s="1189"/>
      <c r="AG259" s="1190"/>
      <c r="AH259" s="1189"/>
      <c r="AI259" s="1190"/>
      <c r="AJ259" s="1191"/>
      <c r="AK259" s="1189"/>
      <c r="AL259" s="1189"/>
      <c r="AM259" s="1190"/>
      <c r="AN259" s="1189"/>
      <c r="AO259" s="1190"/>
      <c r="AP259" s="1189"/>
      <c r="AQ259" s="1193"/>
      <c r="AR259" s="1189"/>
      <c r="AS259" s="1190"/>
      <c r="AT259" s="1189"/>
      <c r="AU259" s="1190"/>
      <c r="AV259" s="1191"/>
      <c r="AW259" s="1192"/>
      <c r="AX259" s="1189"/>
      <c r="AY259" s="1190"/>
      <c r="AZ259" s="1189"/>
      <c r="BA259" s="1190"/>
      <c r="BB259" s="1191"/>
      <c r="BC259" s="1189"/>
      <c r="BD259" s="1189"/>
      <c r="BE259" s="1190"/>
      <c r="BF259" s="1189"/>
      <c r="BG259" s="1190"/>
      <c r="BH259" s="1189"/>
      <c r="BI259" s="1192"/>
      <c r="BJ259" s="1189"/>
      <c r="BK259" s="1190"/>
      <c r="BL259" s="1189"/>
      <c r="BM259" s="1190"/>
      <c r="BN259" s="1191"/>
      <c r="BO259" s="1192"/>
      <c r="BP259" s="1189"/>
      <c r="BQ259" s="1190"/>
      <c r="BR259" s="1194"/>
      <c r="BS259" s="1190"/>
      <c r="BT259" s="1191"/>
      <c r="BU259" s="1192"/>
      <c r="BV259" s="1189"/>
      <c r="BW259" s="1190"/>
      <c r="BX259" s="1189"/>
      <c r="BY259" s="1190"/>
      <c r="BZ259" s="1191"/>
      <c r="CA259" s="1192"/>
      <c r="CB259" s="1189"/>
      <c r="CC259" s="1190"/>
      <c r="CD259" s="1189"/>
      <c r="CE259" s="1190"/>
      <c r="CF259" s="1191"/>
      <c r="CG259" s="1192"/>
      <c r="CH259" s="1189"/>
      <c r="CI259" s="1190"/>
      <c r="CJ259" s="1189"/>
      <c r="CK259" s="1190"/>
      <c r="CL259" s="1191"/>
      <c r="CM259" s="1192"/>
      <c r="CN259" s="1189"/>
      <c r="CO259" s="1190"/>
      <c r="CP259" s="1195"/>
      <c r="CQ259" s="1190"/>
      <c r="CR259" s="1191"/>
      <c r="CS259" s="1192"/>
      <c r="CT259" s="1189"/>
      <c r="CU259" s="1190"/>
      <c r="CV259" s="1189"/>
      <c r="CW259" s="1190"/>
      <c r="CX259" s="1191"/>
      <c r="CY259" s="1192"/>
      <c r="CZ259" s="1189"/>
      <c r="DA259" s="1190"/>
      <c r="DB259" s="1189"/>
      <c r="DC259" s="1190"/>
      <c r="DD259" s="1191"/>
      <c r="DE259" s="1192"/>
      <c r="DF259" s="1189"/>
      <c r="DG259" s="1190"/>
      <c r="DH259" s="1189"/>
      <c r="DI259" s="1190"/>
      <c r="DJ259" s="1191"/>
      <c r="DK259" s="1192"/>
      <c r="DL259" s="1189"/>
      <c r="DM259" s="1190"/>
      <c r="DN259" s="1189"/>
      <c r="DO259" s="1190"/>
      <c r="DP259" s="1214"/>
      <c r="DQ259" s="1192"/>
      <c r="DR259" s="1189"/>
      <c r="DS259" s="1190"/>
      <c r="DT259" s="1189"/>
      <c r="DU259" s="1190"/>
      <c r="DV259" s="1214"/>
      <c r="DW259" s="1192" t="s">
        <v>8250</v>
      </c>
      <c r="DX259" s="1189"/>
      <c r="DY259" s="1190"/>
      <c r="DZ259" s="1189"/>
      <c r="EA259" s="1190"/>
      <c r="EB259" s="1214"/>
      <c r="EC259" s="1192"/>
      <c r="ED259" s="1189"/>
      <c r="EE259" s="1190"/>
      <c r="EF259" s="1189"/>
      <c r="EG259" s="1190"/>
      <c r="EH259" s="1214"/>
      <c r="EI259" s="1192"/>
      <c r="EJ259" s="1189"/>
      <c r="EK259" s="1190"/>
      <c r="EL259" s="1189"/>
      <c r="EM259" s="1190"/>
      <c r="EN259" s="1214"/>
      <c r="EO259" s="1196" t="s">
        <v>15630</v>
      </c>
      <c r="EP259" s="1189"/>
      <c r="EQ259" s="1190"/>
      <c r="ER259" s="1189"/>
      <c r="ES259" s="1190"/>
      <c r="ET259" s="1214"/>
    </row>
    <row r="260" spans="1:150" ht="20.100000000000001" customHeight="1" thickBot="1">
      <c r="A260" s="3034"/>
      <c r="B260" s="2981"/>
      <c r="C260" s="179"/>
      <c r="D260" s="2726" t="str">
        <f>実績!C1334&amp;"("&amp;SUBSTITUTE(実績!R1334&amp;")"," 株式会社","")</f>
        <v>VM美原南インター(日本建設)</v>
      </c>
      <c r="E260" s="2727"/>
      <c r="F260" s="2727"/>
      <c r="G260" s="2727"/>
      <c r="H260" s="2727"/>
      <c r="I260" s="2727"/>
      <c r="J260" s="2727"/>
      <c r="K260" s="2727"/>
      <c r="L260" s="2727"/>
      <c r="M260" s="2727"/>
      <c r="N260" s="2727"/>
      <c r="O260" s="2727"/>
      <c r="P260" s="2727"/>
      <c r="Q260" s="2727"/>
      <c r="R260" s="2989"/>
      <c r="S260" s="26"/>
      <c r="T260" s="26"/>
      <c r="U260" s="54"/>
      <c r="V260" s="26"/>
      <c r="W260" s="54"/>
      <c r="X260" s="55"/>
      <c r="Y260" s="26"/>
      <c r="Z260" s="26"/>
      <c r="AA260" s="54"/>
      <c r="AB260" s="26"/>
      <c r="AC260" s="54"/>
      <c r="AD260" s="26"/>
      <c r="AE260" s="56"/>
      <c r="AF260" s="26"/>
      <c r="AG260" s="54"/>
      <c r="AH260" s="26"/>
      <c r="AI260" s="54"/>
      <c r="AJ260" s="55"/>
      <c r="AK260" s="26"/>
      <c r="AL260" s="26"/>
      <c r="AM260" s="54"/>
      <c r="AN260" s="26"/>
      <c r="AO260" s="54"/>
      <c r="AP260" s="26"/>
      <c r="AQ260" s="53"/>
      <c r="AR260" s="26"/>
      <c r="AS260" s="54"/>
      <c r="AT260" s="26"/>
      <c r="AU260" s="54"/>
      <c r="AV260" s="55"/>
      <c r="AW260" s="56"/>
      <c r="AX260" s="26"/>
      <c r="AY260" s="54"/>
      <c r="AZ260" s="26"/>
      <c r="BA260" s="54"/>
      <c r="BB260" s="55"/>
      <c r="BC260" s="26"/>
      <c r="BD260" s="26"/>
      <c r="BE260" s="54"/>
      <c r="BF260" s="26"/>
      <c r="BG260" s="54"/>
      <c r="BH260" s="26"/>
      <c r="BI260" s="56"/>
      <c r="BJ260" s="26"/>
      <c r="BK260" s="54"/>
      <c r="BL260" s="26"/>
      <c r="BM260" s="54"/>
      <c r="BN260" s="55"/>
      <c r="BO260" s="56"/>
      <c r="BP260" s="26"/>
      <c r="BQ260" s="54"/>
      <c r="BR260" s="70"/>
      <c r="BS260" s="54"/>
      <c r="BT260" s="55"/>
      <c r="BU260" s="56"/>
      <c r="BV260" s="26"/>
      <c r="BW260" s="54"/>
      <c r="BX260" s="26"/>
      <c r="BY260" s="54"/>
      <c r="BZ260" s="55"/>
      <c r="CA260" s="56"/>
      <c r="CB260" s="26"/>
      <c r="CC260" s="54"/>
      <c r="CD260" s="26"/>
      <c r="CE260" s="54"/>
      <c r="CF260" s="55"/>
      <c r="CG260" s="56"/>
      <c r="CH260" s="26"/>
      <c r="CI260" s="54"/>
      <c r="CJ260" s="26"/>
      <c r="CK260" s="54"/>
      <c r="CL260" s="55"/>
      <c r="CM260" s="56"/>
      <c r="CN260" s="26"/>
      <c r="CO260" s="54"/>
      <c r="CP260" s="118"/>
      <c r="CQ260" s="54"/>
      <c r="CR260" s="55"/>
      <c r="CS260" s="56"/>
      <c r="CT260" s="26"/>
      <c r="CU260" s="54"/>
      <c r="CV260" s="26"/>
      <c r="CW260" s="54"/>
      <c r="CX260" s="55"/>
      <c r="CY260" s="56"/>
      <c r="CZ260" s="26"/>
      <c r="DA260" s="54"/>
      <c r="DB260" s="26"/>
      <c r="DC260" s="54"/>
      <c r="DD260" s="55"/>
      <c r="DE260" s="56"/>
      <c r="DF260" s="26"/>
      <c r="DG260" s="54"/>
      <c r="DH260" s="26"/>
      <c r="DI260" s="54"/>
      <c r="DJ260" s="55"/>
      <c r="DK260" s="56"/>
      <c r="DL260" s="26"/>
      <c r="DM260" s="54" t="s">
        <v>14875</v>
      </c>
      <c r="DN260" s="26"/>
      <c r="DO260" s="54"/>
      <c r="DP260" s="55"/>
      <c r="DQ260" s="56" t="s">
        <v>15147</v>
      </c>
      <c r="DR260" s="26"/>
      <c r="DS260" s="54"/>
      <c r="DT260" s="26"/>
      <c r="DU260" s="54"/>
      <c r="DV260" s="55"/>
      <c r="DW260" s="56"/>
      <c r="DX260" s="26"/>
      <c r="DY260" s="54"/>
      <c r="DZ260" s="26" t="s">
        <v>8250</v>
      </c>
      <c r="EA260" s="54"/>
      <c r="EB260" s="55"/>
      <c r="EC260" s="56"/>
      <c r="ED260" s="26"/>
      <c r="EE260" s="54"/>
      <c r="EF260" s="26"/>
      <c r="EG260" s="54"/>
      <c r="EH260" s="55"/>
      <c r="EI260" s="56"/>
      <c r="EJ260" s="26"/>
      <c r="EK260" s="54"/>
      <c r="EL260" s="26" t="s">
        <v>8145</v>
      </c>
      <c r="EM260" s="54"/>
      <c r="EN260" s="55"/>
      <c r="EO260" s="56"/>
      <c r="EP260" s="26"/>
      <c r="EQ260" s="54"/>
      <c r="ER260" s="26"/>
      <c r="ES260" s="54"/>
      <c r="ET260" s="55"/>
    </row>
    <row r="261" spans="1:150" ht="20.100000000000001" customHeight="1" thickBot="1">
      <c r="A261" s="3034"/>
      <c r="B261" s="2981"/>
      <c r="C261" s="179"/>
      <c r="D261" s="2726" t="str">
        <f>実績!C1361&amp;"("&amp;SUBSTITUTE(実績!R1361&amp;")"," 株式会社","")</f>
        <v>宮城ダイハツ販売㈱石巻店(日本建設)</v>
      </c>
      <c r="E261" s="2727"/>
      <c r="F261" s="2727"/>
      <c r="G261" s="2727"/>
      <c r="H261" s="2727"/>
      <c r="I261" s="2727"/>
      <c r="J261" s="2727"/>
      <c r="K261" s="2727"/>
      <c r="L261" s="2727"/>
      <c r="M261" s="2727"/>
      <c r="N261" s="2727"/>
      <c r="O261" s="2727"/>
      <c r="P261" s="2727"/>
      <c r="Q261" s="2727"/>
      <c r="R261" s="2728"/>
      <c r="S261" s="26"/>
      <c r="T261" s="26"/>
      <c r="U261" s="54"/>
      <c r="V261" s="26"/>
      <c r="W261" s="54"/>
      <c r="X261" s="55"/>
      <c r="Y261" s="26"/>
      <c r="Z261" s="26"/>
      <c r="AA261" s="54"/>
      <c r="AB261" s="26"/>
      <c r="AC261" s="54"/>
      <c r="AD261" s="26"/>
      <c r="AE261" s="56"/>
      <c r="AF261" s="26"/>
      <c r="AG261" s="54"/>
      <c r="AH261" s="26"/>
      <c r="AI261" s="54"/>
      <c r="AJ261" s="55"/>
      <c r="AK261" s="26"/>
      <c r="AL261" s="26"/>
      <c r="AM261" s="54"/>
      <c r="AN261" s="26"/>
      <c r="AO261" s="54"/>
      <c r="AP261" s="26"/>
      <c r="AQ261" s="53"/>
      <c r="AR261" s="26"/>
      <c r="AS261" s="54"/>
      <c r="AT261" s="26"/>
      <c r="AU261" s="54"/>
      <c r="AV261" s="55"/>
      <c r="AW261" s="56"/>
      <c r="AX261" s="26"/>
      <c r="AY261" s="54"/>
      <c r="AZ261" s="26"/>
      <c r="BA261" s="54"/>
      <c r="BB261" s="55"/>
      <c r="BC261" s="26"/>
      <c r="BD261" s="26"/>
      <c r="BE261" s="54"/>
      <c r="BF261" s="26"/>
      <c r="BG261" s="54"/>
      <c r="BH261" s="26"/>
      <c r="BI261" s="56"/>
      <c r="BJ261" s="26"/>
      <c r="BK261" s="54"/>
      <c r="BL261" s="26"/>
      <c r="BM261" s="54"/>
      <c r="BN261" s="55"/>
      <c r="BO261" s="56"/>
      <c r="BP261" s="26"/>
      <c r="BQ261" s="54"/>
      <c r="BR261" s="70"/>
      <c r="BS261" s="54"/>
      <c r="BT261" s="55"/>
      <c r="BU261" s="56"/>
      <c r="BV261" s="26"/>
      <c r="BW261" s="54"/>
      <c r="BX261" s="26"/>
      <c r="BY261" s="54"/>
      <c r="BZ261" s="55"/>
      <c r="CA261" s="56"/>
      <c r="CB261" s="26"/>
      <c r="CC261" s="54"/>
      <c r="CD261" s="26"/>
      <c r="CE261" s="54"/>
      <c r="CF261" s="55"/>
      <c r="CG261" s="56"/>
      <c r="CH261" s="26"/>
      <c r="CI261" s="54"/>
      <c r="CJ261" s="26"/>
      <c r="CK261" s="54"/>
      <c r="CL261" s="55"/>
      <c r="CM261" s="56"/>
      <c r="CN261" s="26"/>
      <c r="CO261" s="54"/>
      <c r="CP261" s="118"/>
      <c r="CQ261" s="54"/>
      <c r="CR261" s="55"/>
      <c r="CS261" s="56"/>
      <c r="CT261" s="26"/>
      <c r="CU261" s="54"/>
      <c r="CV261" s="26"/>
      <c r="CW261" s="54"/>
      <c r="CX261" s="55"/>
      <c r="CY261" s="56"/>
      <c r="CZ261" s="26"/>
      <c r="DA261" s="54"/>
      <c r="DB261" s="26"/>
      <c r="DC261" s="54"/>
      <c r="DD261" s="55"/>
      <c r="DE261" s="56"/>
      <c r="DF261" s="26"/>
      <c r="DG261" s="54"/>
      <c r="DH261" s="26"/>
      <c r="DI261" s="54"/>
      <c r="DJ261" s="55"/>
      <c r="DK261" s="56"/>
      <c r="DL261" s="26"/>
      <c r="DM261" s="54"/>
      <c r="DN261" s="26"/>
      <c r="DO261" s="54"/>
      <c r="DP261" s="55"/>
      <c r="DQ261" s="56"/>
      <c r="DR261" s="26"/>
      <c r="DS261" s="54"/>
      <c r="DT261" s="26"/>
      <c r="DU261" s="54"/>
      <c r="DV261" s="55" t="s">
        <v>8586</v>
      </c>
      <c r="DW261" s="56"/>
      <c r="DX261" s="26"/>
      <c r="DY261" s="54"/>
      <c r="DZ261" s="26"/>
      <c r="EA261" s="54"/>
      <c r="EB261" s="55"/>
      <c r="EC261" s="1239" t="s">
        <v>15610</v>
      </c>
      <c r="ED261" s="26"/>
      <c r="EE261" s="54"/>
      <c r="EF261" s="26"/>
      <c r="EG261" s="54"/>
      <c r="EH261" s="55"/>
      <c r="EI261" s="56"/>
      <c r="EJ261" s="26"/>
      <c r="EK261" s="54"/>
      <c r="EL261" s="26"/>
      <c r="EM261" s="54"/>
      <c r="EN261" s="55"/>
      <c r="EO261" s="56"/>
      <c r="EP261" s="26"/>
      <c r="EQ261" s="54"/>
      <c r="ER261" s="26"/>
      <c r="ES261" s="54"/>
      <c r="ET261" s="55"/>
    </row>
    <row r="262" spans="1:150" ht="20.100000000000001" customHeight="1" thickBot="1">
      <c r="A262" s="3034"/>
      <c r="B262" s="2982"/>
      <c r="C262" s="1098"/>
      <c r="D262" s="2983" t="str">
        <f>実績!C1362&amp;"("&amp;SUBSTITUTE(実績!R1362&amp;")","株式会社 ","")</f>
        <v>ネクステージ春日部(NAG設計同人)</v>
      </c>
      <c r="E262" s="2984"/>
      <c r="F262" s="2984"/>
      <c r="G262" s="2984"/>
      <c r="H262" s="2984"/>
      <c r="I262" s="2984"/>
      <c r="J262" s="2984"/>
      <c r="K262" s="2984"/>
      <c r="L262" s="2984"/>
      <c r="M262" s="2984"/>
      <c r="N262" s="2984"/>
      <c r="O262" s="2984"/>
      <c r="P262" s="2984"/>
      <c r="Q262" s="2984"/>
      <c r="R262" s="2985"/>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119"/>
      <c r="CQ262" s="58"/>
      <c r="CR262" s="58"/>
      <c r="CS262" s="58"/>
      <c r="CT262" s="58"/>
      <c r="CU262" s="58"/>
      <c r="CV262" s="58"/>
      <c r="CW262" s="58"/>
      <c r="CX262" s="58"/>
      <c r="CY262" s="61"/>
      <c r="CZ262" s="58"/>
      <c r="DA262" s="59"/>
      <c r="DB262" s="58"/>
      <c r="DC262" s="59"/>
      <c r="DD262" s="60"/>
      <c r="DE262" s="61"/>
      <c r="DF262" s="58"/>
      <c r="DG262" s="59"/>
      <c r="DH262" s="58"/>
      <c r="DI262" s="59"/>
      <c r="DJ262" s="286"/>
      <c r="DK262" s="61"/>
      <c r="DL262" s="58"/>
      <c r="DM262" s="59"/>
      <c r="DN262" s="58"/>
      <c r="DO262" s="59"/>
      <c r="DP262" s="60"/>
      <c r="DQ262" s="61"/>
      <c r="DR262" s="58"/>
      <c r="DS262" s="59"/>
      <c r="DT262" s="58"/>
      <c r="DU262" s="59"/>
      <c r="DV262" s="286"/>
      <c r="DW262" s="61"/>
      <c r="DX262" s="58"/>
      <c r="DY262" s="59"/>
      <c r="DZ262" s="58"/>
      <c r="EA262" s="59"/>
      <c r="EB262" s="286"/>
      <c r="EC262" s="1239" t="s">
        <v>15610</v>
      </c>
      <c r="ED262" s="58"/>
      <c r="EE262" s="59"/>
      <c r="EF262" s="58"/>
      <c r="EG262" s="59"/>
      <c r="EH262" s="286"/>
      <c r="EI262" s="61"/>
      <c r="EJ262" s="58"/>
      <c r="EK262" s="59"/>
      <c r="EL262" s="58"/>
      <c r="EM262" s="59"/>
      <c r="EN262" s="286"/>
      <c r="EO262" s="61"/>
      <c r="EP262" s="58"/>
      <c r="EQ262" s="59"/>
      <c r="ER262" s="58"/>
      <c r="ES262" s="59"/>
      <c r="ET262" s="60"/>
    </row>
    <row r="263" spans="1:150" ht="20.100000000000001" customHeight="1" thickBot="1">
      <c r="A263" s="3034"/>
      <c r="B263" s="2976" t="s">
        <v>14520</v>
      </c>
      <c r="C263" s="1219"/>
      <c r="D263" s="2990" t="str">
        <f>実績!C1341&amp;"("&amp;SUBSTITUTE(実績!R1341&amp;")"," 株式会社","")</f>
        <v>気仙沼営業所低温配送センター(旧:東北陸運)(日東工営)</v>
      </c>
      <c r="E263" s="2991"/>
      <c r="F263" s="2991"/>
      <c r="G263" s="2991"/>
      <c r="H263" s="2991"/>
      <c r="I263" s="2991"/>
      <c r="J263" s="2991"/>
      <c r="K263" s="2991"/>
      <c r="L263" s="2991"/>
      <c r="M263" s="2991"/>
      <c r="N263" s="2991"/>
      <c r="O263" s="2991"/>
      <c r="P263" s="2991"/>
      <c r="Q263" s="2991"/>
      <c r="R263" s="2992"/>
      <c r="S263" s="1220"/>
      <c r="T263" s="1220"/>
      <c r="U263" s="1223"/>
      <c r="V263" s="1220"/>
      <c r="W263" s="1223"/>
      <c r="X263" s="1224"/>
      <c r="Y263" s="1220"/>
      <c r="Z263" s="1220"/>
      <c r="AA263" s="1223"/>
      <c r="AB263" s="1220"/>
      <c r="AC263" s="1223"/>
      <c r="AD263" s="1220"/>
      <c r="AE263" s="1222"/>
      <c r="AF263" s="1220"/>
      <c r="AG263" s="1223"/>
      <c r="AH263" s="1220"/>
      <c r="AI263" s="1223"/>
      <c r="AJ263" s="1224"/>
      <c r="AK263" s="1220"/>
      <c r="AL263" s="1220"/>
      <c r="AM263" s="1223"/>
      <c r="AN263" s="1220"/>
      <c r="AO263" s="1223"/>
      <c r="AP263" s="1220"/>
      <c r="AQ263" s="1250"/>
      <c r="AR263" s="1220"/>
      <c r="AS263" s="1223"/>
      <c r="AT263" s="1220"/>
      <c r="AU263" s="1223"/>
      <c r="AV263" s="1224"/>
      <c r="AW263" s="1222"/>
      <c r="AX263" s="1220"/>
      <c r="AY263" s="1223"/>
      <c r="AZ263" s="1220"/>
      <c r="BA263" s="1223"/>
      <c r="BB263" s="1224"/>
      <c r="BC263" s="1220"/>
      <c r="BD263" s="1220"/>
      <c r="BE263" s="1223"/>
      <c r="BF263" s="1220"/>
      <c r="BG263" s="1223"/>
      <c r="BH263" s="1220"/>
      <c r="BI263" s="1222"/>
      <c r="BJ263" s="1220"/>
      <c r="BK263" s="1223"/>
      <c r="BL263" s="1220"/>
      <c r="BM263" s="1223"/>
      <c r="BN263" s="1224"/>
      <c r="BO263" s="1222"/>
      <c r="BP263" s="1220"/>
      <c r="BQ263" s="1223"/>
      <c r="BR263" s="1251"/>
      <c r="BS263" s="1223"/>
      <c r="BT263" s="1224"/>
      <c r="BU263" s="1222"/>
      <c r="BV263" s="1220"/>
      <c r="BW263" s="1223"/>
      <c r="BX263" s="1220"/>
      <c r="BY263" s="1223"/>
      <c r="BZ263" s="1224"/>
      <c r="CA263" s="1222"/>
      <c r="CB263" s="1220"/>
      <c r="CC263" s="1223"/>
      <c r="CD263" s="1220"/>
      <c r="CE263" s="1223"/>
      <c r="CF263" s="1224"/>
      <c r="CG263" s="1222"/>
      <c r="CH263" s="1220"/>
      <c r="CI263" s="1223"/>
      <c r="CJ263" s="1220"/>
      <c r="CK263" s="1223"/>
      <c r="CL263" s="1224"/>
      <c r="CM263" s="1222"/>
      <c r="CN263" s="1220"/>
      <c r="CO263" s="1223"/>
      <c r="CP263" s="1221"/>
      <c r="CQ263" s="1223"/>
      <c r="CR263" s="1224"/>
      <c r="CS263" s="1222"/>
      <c r="CT263" s="1220"/>
      <c r="CU263" s="1223"/>
      <c r="CV263" s="1220"/>
      <c r="CW263" s="1223"/>
      <c r="CX263" s="1224"/>
      <c r="CY263" s="1222"/>
      <c r="CZ263" s="1220"/>
      <c r="DA263" s="1223"/>
      <c r="DB263" s="1220"/>
      <c r="DC263" s="1223"/>
      <c r="DD263" s="1224"/>
      <c r="DE263" s="1222"/>
      <c r="DF263" s="1220"/>
      <c r="DG263" s="1223"/>
      <c r="DH263" s="1220"/>
      <c r="DI263" s="1223"/>
      <c r="DJ263" s="1224"/>
      <c r="DK263" s="1222"/>
      <c r="DL263" s="1220" t="s">
        <v>15072</v>
      </c>
      <c r="DM263" s="1223"/>
      <c r="DN263" s="1220"/>
      <c r="DO263" s="1223"/>
      <c r="DP263" s="1224"/>
      <c r="DQ263" s="1222"/>
      <c r="DR263" s="1220"/>
      <c r="DS263" s="1223"/>
      <c r="DT263" s="1220"/>
      <c r="DU263" s="1223"/>
      <c r="DV263" s="1225"/>
      <c r="DW263" s="1222"/>
      <c r="DX263" s="1220"/>
      <c r="DY263" s="1223"/>
      <c r="DZ263" s="1220" t="s">
        <v>8250</v>
      </c>
      <c r="EA263" s="1223"/>
      <c r="EB263" s="1225"/>
      <c r="EC263" s="1222"/>
      <c r="ED263" s="1220"/>
      <c r="EE263" s="1223"/>
      <c r="EF263" s="1220"/>
      <c r="EG263" s="1223"/>
      <c r="EH263" s="1225"/>
      <c r="EI263" s="1222" t="s">
        <v>15644</v>
      </c>
      <c r="EJ263" s="1220"/>
      <c r="EK263" s="1223"/>
      <c r="EL263" s="1220"/>
      <c r="EM263" s="1223"/>
      <c r="EN263" s="1225"/>
      <c r="EO263" s="1222"/>
      <c r="EP263" s="1220"/>
      <c r="EQ263" s="1223"/>
      <c r="ER263" s="1220"/>
      <c r="ES263" s="1223"/>
      <c r="ET263" s="1225"/>
    </row>
    <row r="264" spans="1:150" ht="20.100000000000001" customHeight="1" thickBot="1">
      <c r="A264" s="3034"/>
      <c r="B264" s="2978"/>
      <c r="C264" s="1098"/>
      <c r="D264" s="2983" t="str">
        <f>実績!C1168&amp;"("&amp;SUBSTITUTE(実績!R1168&amp;")","株式会社 ","")</f>
        <v>コメリPW札幌発寒(T&amp;N北海道設計事務所)</v>
      </c>
      <c r="E264" s="2993"/>
      <c r="F264" s="2993"/>
      <c r="G264" s="2993"/>
      <c r="H264" s="2993"/>
      <c r="I264" s="2993"/>
      <c r="J264" s="2993"/>
      <c r="K264" s="2993"/>
      <c r="L264" s="2993"/>
      <c r="M264" s="2993"/>
      <c r="N264" s="2993"/>
      <c r="O264" s="2993"/>
      <c r="P264" s="2993"/>
      <c r="Q264" s="2993"/>
      <c r="R264" s="2985"/>
      <c r="S264" s="58"/>
      <c r="T264" s="58"/>
      <c r="U264" s="59"/>
      <c r="V264" s="58"/>
      <c r="W264" s="59"/>
      <c r="X264" s="60"/>
      <c r="Y264" s="58"/>
      <c r="Z264" s="58"/>
      <c r="AA264" s="59"/>
      <c r="AB264" s="58"/>
      <c r="AC264" s="59"/>
      <c r="AD264" s="58"/>
      <c r="AE264" s="61"/>
      <c r="AF264" s="58"/>
      <c r="AG264" s="59"/>
      <c r="AH264" s="58"/>
      <c r="AI264" s="59"/>
      <c r="AJ264" s="60"/>
      <c r="AK264" s="58"/>
      <c r="AL264" s="58"/>
      <c r="AM264" s="59"/>
      <c r="AN264" s="107"/>
      <c r="AO264" s="59"/>
      <c r="AP264" s="58"/>
      <c r="AQ264" s="57" t="s">
        <v>8403</v>
      </c>
      <c r="AR264" s="58"/>
      <c r="AS264" s="59"/>
      <c r="AT264" s="58"/>
      <c r="AU264" s="59"/>
      <c r="AV264" s="60"/>
      <c r="AW264" s="61"/>
      <c r="AX264" s="58"/>
      <c r="AY264" s="59"/>
      <c r="AZ264" s="58"/>
      <c r="BA264" s="59"/>
      <c r="BB264" s="60"/>
      <c r="BC264" s="58"/>
      <c r="BD264" s="58"/>
      <c r="BE264" s="59"/>
      <c r="BF264" s="58"/>
      <c r="BG264" s="59"/>
      <c r="BH264" s="58"/>
      <c r="BI264" s="61"/>
      <c r="BJ264" s="58"/>
      <c r="BK264" s="59"/>
      <c r="BL264" s="58"/>
      <c r="BM264" s="59"/>
      <c r="BN264" s="60"/>
      <c r="BO264" s="61"/>
      <c r="BP264" s="58"/>
      <c r="BQ264" s="59"/>
      <c r="BR264" s="58"/>
      <c r="BS264" s="59"/>
      <c r="BT264" s="60"/>
      <c r="BU264" s="61"/>
      <c r="BV264" s="58"/>
      <c r="BW264" s="59"/>
      <c r="BX264" s="58"/>
      <c r="BY264" s="59"/>
      <c r="BZ264" s="60"/>
      <c r="CA264" s="61"/>
      <c r="CB264" s="58"/>
      <c r="CC264" s="59"/>
      <c r="CD264" s="107"/>
      <c r="CE264" s="59"/>
      <c r="CF264" s="60"/>
      <c r="CG264" s="61"/>
      <c r="CH264" s="58"/>
      <c r="CI264" s="59"/>
      <c r="CJ264" s="58"/>
      <c r="CK264" s="59"/>
      <c r="CL264" s="60"/>
      <c r="CM264" s="61"/>
      <c r="CN264" s="58"/>
      <c r="CO264" s="59"/>
      <c r="CP264" s="58"/>
      <c r="CQ264" s="59"/>
      <c r="CR264" s="60"/>
      <c r="CS264" s="61"/>
      <c r="CT264" s="58"/>
      <c r="CU264" s="59"/>
      <c r="CV264" s="58"/>
      <c r="CW264" s="59"/>
      <c r="CX264" s="60"/>
      <c r="CY264" s="61"/>
      <c r="CZ264" s="58"/>
      <c r="DA264" s="59"/>
      <c r="DB264" s="58"/>
      <c r="DC264" s="59"/>
      <c r="DD264" s="60"/>
      <c r="DE264" s="61"/>
      <c r="DF264" s="58"/>
      <c r="DG264" s="59"/>
      <c r="DH264" s="58"/>
      <c r="DI264" s="59"/>
      <c r="DJ264" s="60"/>
      <c r="DK264" s="61"/>
      <c r="DL264" s="58"/>
      <c r="DM264" s="59"/>
      <c r="DN264" s="58"/>
      <c r="DO264" s="59"/>
      <c r="DP264" s="60"/>
      <c r="DQ264" s="61"/>
      <c r="DR264" s="58"/>
      <c r="DS264" s="59"/>
      <c r="DT264" s="58"/>
      <c r="DU264" s="59"/>
      <c r="DV264" s="60"/>
      <c r="DW264" s="61"/>
      <c r="DX264" s="58"/>
      <c r="DY264" s="59"/>
      <c r="DZ264" s="58"/>
      <c r="EA264" s="59"/>
      <c r="EB264" s="60"/>
      <c r="EC264" s="61"/>
      <c r="ED264" s="58"/>
      <c r="EE264" s="59"/>
      <c r="EF264" s="58"/>
      <c r="EG264" s="59"/>
      <c r="EH264" s="60"/>
      <c r="EI264" s="61" t="s">
        <v>8145</v>
      </c>
      <c r="EJ264" s="58"/>
      <c r="EK264" s="59"/>
      <c r="EL264" s="58"/>
      <c r="EM264" s="59"/>
      <c r="EN264" s="60"/>
      <c r="EO264" s="61"/>
      <c r="EP264" s="58"/>
      <c r="EQ264" s="59"/>
      <c r="ER264" s="58"/>
      <c r="ES264" s="59"/>
      <c r="ET264" s="60"/>
    </row>
    <row r="265" spans="1:150" ht="20.100000000000001" customHeight="1" thickBot="1">
      <c r="A265" s="2994" t="s">
        <v>10544</v>
      </c>
      <c r="B265" s="1182" t="s">
        <v>15424</v>
      </c>
      <c r="C265" s="1183"/>
      <c r="D265" s="2997" t="str">
        <f>実績!C1461&amp;"("&amp;SUBSTITUTE(実績!R1461&amp;")","株式会社 ","")</f>
        <v>関西マツダ寝屋川(コホーネス)</v>
      </c>
      <c r="E265" s="2998"/>
      <c r="F265" s="2998"/>
      <c r="G265" s="2998"/>
      <c r="H265" s="2998"/>
      <c r="I265" s="2998"/>
      <c r="J265" s="2998"/>
      <c r="K265" s="2998"/>
      <c r="L265" s="2998"/>
      <c r="M265" s="2998"/>
      <c r="N265" s="2998"/>
      <c r="O265" s="2998"/>
      <c r="P265" s="2998"/>
      <c r="Q265" s="2998"/>
      <c r="R265" s="2999"/>
      <c r="S265" s="255"/>
      <c r="T265" s="255"/>
      <c r="U265" s="262"/>
      <c r="V265" s="255"/>
      <c r="W265" s="262"/>
      <c r="X265" s="263"/>
      <c r="Y265" s="255"/>
      <c r="Z265" s="255"/>
      <c r="AA265" s="262"/>
      <c r="AB265" s="255"/>
      <c r="AC265" s="262"/>
      <c r="AD265" s="255"/>
      <c r="AE265" s="260"/>
      <c r="AF265" s="255"/>
      <c r="AG265" s="262"/>
      <c r="AH265" s="255"/>
      <c r="AI265" s="262"/>
      <c r="AJ265" s="263"/>
      <c r="AK265" s="255"/>
      <c r="AL265" s="255"/>
      <c r="AM265" s="262"/>
      <c r="AN265" s="255"/>
      <c r="AO265" s="262"/>
      <c r="AP265" s="255"/>
      <c r="AQ265" s="1184"/>
      <c r="AR265" s="255"/>
      <c r="AS265" s="262"/>
      <c r="AT265" s="255"/>
      <c r="AU265" s="262"/>
      <c r="AV265" s="263"/>
      <c r="AW265" s="260"/>
      <c r="AX265" s="255"/>
      <c r="AY265" s="262"/>
      <c r="AZ265" s="255"/>
      <c r="BA265" s="262"/>
      <c r="BB265" s="263"/>
      <c r="BC265" s="255"/>
      <c r="BD265" s="255"/>
      <c r="BE265" s="262"/>
      <c r="BF265" s="255"/>
      <c r="BG265" s="262"/>
      <c r="BH265" s="255"/>
      <c r="BI265" s="260"/>
      <c r="BJ265" s="255"/>
      <c r="BK265" s="262"/>
      <c r="BL265" s="255"/>
      <c r="BM265" s="262"/>
      <c r="BN265" s="263"/>
      <c r="BO265" s="260"/>
      <c r="BP265" s="255"/>
      <c r="BQ265" s="262"/>
      <c r="BR265" s="267"/>
      <c r="BS265" s="262"/>
      <c r="BT265" s="263"/>
      <c r="BU265" s="260"/>
      <c r="BV265" s="255"/>
      <c r="BW265" s="262"/>
      <c r="BX265" s="255"/>
      <c r="BY265" s="262"/>
      <c r="BZ265" s="263"/>
      <c r="CA265" s="260"/>
      <c r="CB265" s="255"/>
      <c r="CC265" s="262"/>
      <c r="CD265" s="255"/>
      <c r="CE265" s="262"/>
      <c r="CF265" s="263"/>
      <c r="CG265" s="260"/>
      <c r="CH265" s="255"/>
      <c r="CI265" s="262"/>
      <c r="CJ265" s="255"/>
      <c r="CK265" s="262"/>
      <c r="CL265" s="263"/>
      <c r="CM265" s="260"/>
      <c r="CN265" s="255"/>
      <c r="CO265" s="262"/>
      <c r="CP265" s="264"/>
      <c r="CQ265" s="262"/>
      <c r="CR265" s="263"/>
      <c r="CS265" s="260"/>
      <c r="CT265" s="255"/>
      <c r="CU265" s="262"/>
      <c r="CV265" s="255"/>
      <c r="CW265" s="262"/>
      <c r="CX265" s="263"/>
      <c r="CY265" s="260"/>
      <c r="CZ265" s="255"/>
      <c r="DA265" s="262"/>
      <c r="DB265" s="255"/>
      <c r="DC265" s="262"/>
      <c r="DD265" s="263"/>
      <c r="DE265" s="260"/>
      <c r="DF265" s="255"/>
      <c r="DG265" s="262"/>
      <c r="DH265" s="255"/>
      <c r="DI265" s="262"/>
      <c r="DJ265" s="263"/>
      <c r="DK265" s="260"/>
      <c r="DL265" s="255"/>
      <c r="DM265" s="262"/>
      <c r="DN265" s="255"/>
      <c r="DO265" s="262"/>
      <c r="DP265" s="263"/>
      <c r="DQ265" s="260"/>
      <c r="DR265" s="255"/>
      <c r="DS265" s="262"/>
      <c r="DT265" s="255"/>
      <c r="DU265" s="262"/>
      <c r="DV265" s="263"/>
      <c r="DW265" s="260"/>
      <c r="DX265" s="255"/>
      <c r="DY265" s="262"/>
      <c r="DZ265" s="255"/>
      <c r="EA265" s="262"/>
      <c r="EB265" s="263"/>
      <c r="EC265" s="260"/>
      <c r="ED265" s="255"/>
      <c r="EE265" s="262"/>
      <c r="EF265" s="255"/>
      <c r="EG265" s="262"/>
      <c r="EH265" s="263"/>
      <c r="EI265" s="260"/>
      <c r="EJ265" s="255"/>
      <c r="EK265" s="262"/>
      <c r="EL265" s="255"/>
      <c r="EM265" s="262"/>
      <c r="EN265" s="263"/>
      <c r="EO265" s="260"/>
      <c r="EP265" s="255"/>
      <c r="EQ265" s="262"/>
      <c r="ER265" s="255"/>
      <c r="ES265" s="262"/>
      <c r="ET265" s="263"/>
    </row>
    <row r="266" spans="1:150" ht="20.100000000000001" customHeight="1">
      <c r="A266" s="2995"/>
      <c r="B266" s="3000" t="s">
        <v>4846</v>
      </c>
      <c r="C266" s="1219"/>
      <c r="D266" s="2990" t="str">
        <f>実績!C1364&amp;"("&amp;SUBSTITUTE(実績!R1364&amp;")","株式会社 ","")</f>
        <v>特別養護老人ホーム 美野里陽だまり館(ケイ・アーキテクツ)</v>
      </c>
      <c r="E266" s="2991"/>
      <c r="F266" s="2991"/>
      <c r="G266" s="2991"/>
      <c r="H266" s="2991"/>
      <c r="I266" s="2991"/>
      <c r="J266" s="2991"/>
      <c r="K266" s="2991"/>
      <c r="L266" s="2991"/>
      <c r="M266" s="2991"/>
      <c r="N266" s="2991"/>
      <c r="O266" s="2991"/>
      <c r="P266" s="2991"/>
      <c r="Q266" s="2991"/>
      <c r="R266" s="2992"/>
      <c r="S266" s="1220"/>
      <c r="T266" s="1220"/>
      <c r="U266" s="1220"/>
      <c r="V266" s="1220"/>
      <c r="W266" s="1220"/>
      <c r="X266" s="1220"/>
      <c r="Y266" s="1220"/>
      <c r="Z266" s="1220"/>
      <c r="AA266" s="1220"/>
      <c r="AB266" s="1220"/>
      <c r="AC266" s="1220"/>
      <c r="AD266" s="1220"/>
      <c r="AE266" s="1220"/>
      <c r="AF266" s="1220"/>
      <c r="AG266" s="1220"/>
      <c r="AH266" s="1220"/>
      <c r="AI266" s="1220"/>
      <c r="AJ266" s="1220"/>
      <c r="AK266" s="1220"/>
      <c r="AL266" s="1220"/>
      <c r="AM266" s="1220"/>
      <c r="AN266" s="1220"/>
      <c r="AO266" s="1220"/>
      <c r="AP266" s="1220"/>
      <c r="AQ266" s="1220"/>
      <c r="AR266" s="1220"/>
      <c r="AS266" s="1220"/>
      <c r="AT266" s="1220"/>
      <c r="AU266" s="1220"/>
      <c r="AV266" s="1220"/>
      <c r="AW266" s="1220"/>
      <c r="AX266" s="1220"/>
      <c r="AY266" s="1220"/>
      <c r="AZ266" s="1220"/>
      <c r="BA266" s="1220"/>
      <c r="BB266" s="1220"/>
      <c r="BC266" s="1220"/>
      <c r="BD266" s="1220"/>
      <c r="BE266" s="1220"/>
      <c r="BF266" s="1220"/>
      <c r="BG266" s="1220"/>
      <c r="BH266" s="1220"/>
      <c r="BI266" s="1220"/>
      <c r="BJ266" s="1220"/>
      <c r="BK266" s="1220"/>
      <c r="BL266" s="1220"/>
      <c r="BM266" s="1220"/>
      <c r="BN266" s="1220"/>
      <c r="BO266" s="1220"/>
      <c r="BP266" s="1220"/>
      <c r="BQ266" s="1220"/>
      <c r="BR266" s="1220"/>
      <c r="BS266" s="1220"/>
      <c r="BT266" s="1220"/>
      <c r="BU266" s="1220"/>
      <c r="BV266" s="1220"/>
      <c r="BW266" s="1220"/>
      <c r="BX266" s="1220"/>
      <c r="BY266" s="1220"/>
      <c r="BZ266" s="1220"/>
      <c r="CA266" s="1220"/>
      <c r="CB266" s="1220"/>
      <c r="CC266" s="1220"/>
      <c r="CD266" s="1220"/>
      <c r="CE266" s="1220"/>
      <c r="CF266" s="1220"/>
      <c r="CG266" s="1220"/>
      <c r="CH266" s="1220"/>
      <c r="CI266" s="1220"/>
      <c r="CJ266" s="1220"/>
      <c r="CK266" s="1220"/>
      <c r="CL266" s="1220"/>
      <c r="CM266" s="1220"/>
      <c r="CN266" s="1220"/>
      <c r="CO266" s="1220"/>
      <c r="CP266" s="1221"/>
      <c r="CQ266" s="1220"/>
      <c r="CR266" s="1220"/>
      <c r="CS266" s="1220"/>
      <c r="CT266" s="1220"/>
      <c r="CU266" s="1220"/>
      <c r="CV266" s="1220"/>
      <c r="CW266" s="1220"/>
      <c r="CX266" s="1220"/>
      <c r="CY266" s="1222"/>
      <c r="CZ266" s="1220"/>
      <c r="DA266" s="1223"/>
      <c r="DB266" s="1220"/>
      <c r="DC266" s="1223"/>
      <c r="DD266" s="1224"/>
      <c r="DE266" s="1222"/>
      <c r="DF266" s="1220"/>
      <c r="DG266" s="1223"/>
      <c r="DH266" s="1220"/>
      <c r="DI266" s="1223"/>
      <c r="DJ266" s="1225"/>
      <c r="DK266" s="1222"/>
      <c r="DL266" s="1220"/>
      <c r="DM266" s="1223"/>
      <c r="DN266" s="1220"/>
      <c r="DO266" s="1223"/>
      <c r="DP266" s="1224"/>
      <c r="DQ266" s="1222"/>
      <c r="DR266" s="1220"/>
      <c r="DS266" s="1223"/>
      <c r="DT266" s="1220"/>
      <c r="DU266" s="1223"/>
      <c r="DV266" s="1225"/>
      <c r="DW266" s="1222"/>
      <c r="DX266" s="1220"/>
      <c r="DY266" s="1223"/>
      <c r="DZ266" s="1220"/>
      <c r="EA266" s="1223"/>
      <c r="EB266" s="1225"/>
      <c r="EC266" s="1212" t="s">
        <v>15634</v>
      </c>
      <c r="ED266" s="1220"/>
      <c r="EE266" s="1223"/>
      <c r="EF266" s="1220"/>
      <c r="EG266" s="1223"/>
      <c r="EH266" s="1225"/>
      <c r="EI266" s="1222"/>
      <c r="EJ266" s="1220"/>
      <c r="EK266" s="1223"/>
      <c r="EL266" s="1220"/>
      <c r="EM266" s="1223"/>
      <c r="EN266" s="1225"/>
      <c r="EO266" s="1222"/>
      <c r="EP266" s="1220"/>
      <c r="EQ266" s="1223"/>
      <c r="ER266" s="1220"/>
      <c r="ES266" s="1223"/>
      <c r="ET266" s="1224"/>
    </row>
    <row r="267" spans="1:150" ht="20.100000000000001" customHeight="1">
      <c r="A267" s="2995"/>
      <c r="B267" s="3001"/>
      <c r="C267" s="1185"/>
      <c r="D267" s="3003" t="str">
        <f>実績!C1367&amp;"("&amp;SUBSTITUTE(実績!R1367&amp;")","株式会社 ","")</f>
        <v>ケーズデンキ北上(建築企画)</v>
      </c>
      <c r="E267" s="3004"/>
      <c r="F267" s="3004"/>
      <c r="G267" s="3004"/>
      <c r="H267" s="3004"/>
      <c r="I267" s="3004"/>
      <c r="J267" s="3004"/>
      <c r="K267" s="3004"/>
      <c r="L267" s="3004"/>
      <c r="M267" s="3004"/>
      <c r="N267" s="3004"/>
      <c r="O267" s="3004"/>
      <c r="P267" s="3004"/>
      <c r="Q267" s="3004"/>
      <c r="R267" s="3005"/>
      <c r="S267" s="1189"/>
      <c r="T267" s="1189"/>
      <c r="U267" s="1189"/>
      <c r="V267" s="1189"/>
      <c r="W267" s="1189"/>
      <c r="X267" s="1189"/>
      <c r="Y267" s="1189"/>
      <c r="Z267" s="1189"/>
      <c r="AA267" s="1189"/>
      <c r="AB267" s="1189"/>
      <c r="AC267" s="1189"/>
      <c r="AD267" s="1189"/>
      <c r="AE267" s="1189"/>
      <c r="AF267" s="1189"/>
      <c r="AG267" s="1189"/>
      <c r="AH267" s="1189"/>
      <c r="AI267" s="1189"/>
      <c r="AJ267" s="1189"/>
      <c r="AK267" s="1189"/>
      <c r="AL267" s="1189"/>
      <c r="AM267" s="1189"/>
      <c r="AN267" s="1189"/>
      <c r="AO267" s="1189"/>
      <c r="AP267" s="1189"/>
      <c r="AQ267" s="1189"/>
      <c r="AR267" s="1189"/>
      <c r="AS267" s="1189"/>
      <c r="AT267" s="1189"/>
      <c r="AU267" s="1189"/>
      <c r="AV267" s="1189"/>
      <c r="AW267" s="1189"/>
      <c r="AX267" s="1189"/>
      <c r="AY267" s="1189"/>
      <c r="AZ267" s="1189"/>
      <c r="BA267" s="1189"/>
      <c r="BB267" s="1189"/>
      <c r="BC267" s="1189"/>
      <c r="BD267" s="1189"/>
      <c r="BE267" s="1189"/>
      <c r="BF267" s="1189"/>
      <c r="BG267" s="1189"/>
      <c r="BH267" s="1189"/>
      <c r="BI267" s="1189"/>
      <c r="BJ267" s="1189"/>
      <c r="BK267" s="1189"/>
      <c r="BL267" s="1189"/>
      <c r="BM267" s="1189"/>
      <c r="BN267" s="1189"/>
      <c r="BO267" s="1189"/>
      <c r="BP267" s="1189"/>
      <c r="BQ267" s="1189"/>
      <c r="BR267" s="1189"/>
      <c r="BS267" s="1189"/>
      <c r="BT267" s="1189"/>
      <c r="BU267" s="1189"/>
      <c r="BV267" s="1189"/>
      <c r="BW267" s="1189"/>
      <c r="BX267" s="1189"/>
      <c r="BY267" s="1189"/>
      <c r="BZ267" s="1189"/>
      <c r="CA267" s="1189"/>
      <c r="CB267" s="1189"/>
      <c r="CC267" s="1189"/>
      <c r="CD267" s="1189"/>
      <c r="CE267" s="1189"/>
      <c r="CF267" s="1189"/>
      <c r="CG267" s="1189"/>
      <c r="CH267" s="1189"/>
      <c r="CI267" s="1189"/>
      <c r="CJ267" s="1189"/>
      <c r="CK267" s="1189"/>
      <c r="CL267" s="1189"/>
      <c r="CM267" s="1189"/>
      <c r="CN267" s="1189"/>
      <c r="CO267" s="1189"/>
      <c r="CP267" s="1195"/>
      <c r="CQ267" s="1189"/>
      <c r="CR267" s="1189"/>
      <c r="CS267" s="1189"/>
      <c r="CT267" s="1189"/>
      <c r="CU267" s="1189"/>
      <c r="CV267" s="1189"/>
      <c r="CW267" s="1189"/>
      <c r="CX267" s="1189"/>
      <c r="CY267" s="1192"/>
      <c r="CZ267" s="1189"/>
      <c r="DA267" s="1190"/>
      <c r="DB267" s="1189"/>
      <c r="DC267" s="1190"/>
      <c r="DD267" s="1191"/>
      <c r="DE267" s="1192"/>
      <c r="DF267" s="1189"/>
      <c r="DG267" s="1190"/>
      <c r="DH267" s="1189"/>
      <c r="DI267" s="1190"/>
      <c r="DJ267" s="1214"/>
      <c r="DK267" s="1192"/>
      <c r="DL267" s="1189"/>
      <c r="DM267" s="1190"/>
      <c r="DN267" s="1189"/>
      <c r="DO267" s="1190"/>
      <c r="DP267" s="1191"/>
      <c r="DQ267" s="1192"/>
      <c r="DR267" s="1189"/>
      <c r="DS267" s="1190"/>
      <c r="DT267" s="1189"/>
      <c r="DU267" s="1190"/>
      <c r="DV267" s="1214"/>
      <c r="DW267" s="1192"/>
      <c r="DX267" s="1189"/>
      <c r="DY267" s="1190" t="s">
        <v>15554</v>
      </c>
      <c r="DZ267" s="1189"/>
      <c r="EA267" s="1190"/>
      <c r="EB267" s="1214"/>
      <c r="EC267" s="1196" t="s">
        <v>15630</v>
      </c>
      <c r="ED267" s="1189"/>
      <c r="EE267" s="1190"/>
      <c r="EF267" s="1189"/>
      <c r="EG267" s="1190"/>
      <c r="EH267" s="1214"/>
      <c r="EI267" s="1192"/>
      <c r="EJ267" s="1189"/>
      <c r="EK267" s="1190"/>
      <c r="EL267" s="1189"/>
      <c r="EM267" s="1190"/>
      <c r="EN267" s="1214"/>
      <c r="EO267" s="1192"/>
      <c r="EP267" s="1189"/>
      <c r="EQ267" s="1190"/>
      <c r="ER267" s="1189"/>
      <c r="ES267" s="1190"/>
      <c r="ET267" s="1191"/>
    </row>
    <row r="268" spans="1:150" ht="20.100000000000001" customHeight="1" thickBot="1">
      <c r="A268" s="2996"/>
      <c r="B268" s="3002"/>
      <c r="C268" s="1242"/>
      <c r="D268" s="2986" t="str">
        <f>実績!C1363&amp;"("&amp;SUBSTITUTE(実績!R1363&amp;")","株式会社 ","")</f>
        <v>カナモト小浜営業所(吉光組)</v>
      </c>
      <c r="E268" s="2987"/>
      <c r="F268" s="2987"/>
      <c r="G268" s="2987"/>
      <c r="H268" s="2987"/>
      <c r="I268" s="2987"/>
      <c r="J268" s="2987"/>
      <c r="K268" s="2987"/>
      <c r="L268" s="2987"/>
      <c r="M268" s="2987"/>
      <c r="N268" s="2987"/>
      <c r="O268" s="2987"/>
      <c r="P268" s="2987"/>
      <c r="Q268" s="2987"/>
      <c r="R268" s="2988"/>
      <c r="S268" s="1243"/>
      <c r="T268" s="1243"/>
      <c r="U268" s="1243"/>
      <c r="V268" s="1243"/>
      <c r="W268" s="1243"/>
      <c r="X268" s="1243"/>
      <c r="Y268" s="1243"/>
      <c r="Z268" s="1243"/>
      <c r="AA268" s="1243"/>
      <c r="AB268" s="1243"/>
      <c r="AC268" s="1243"/>
      <c r="AD268" s="1243"/>
      <c r="AE268" s="1243"/>
      <c r="AF268" s="1243"/>
      <c r="AG268" s="1243"/>
      <c r="AH268" s="1243"/>
      <c r="AI268" s="1243"/>
      <c r="AJ268" s="1243"/>
      <c r="AK268" s="1243"/>
      <c r="AL268" s="1243"/>
      <c r="AM268" s="1243"/>
      <c r="AN268" s="1243"/>
      <c r="AO268" s="1243"/>
      <c r="AP268" s="1243"/>
      <c r="AQ268" s="1243"/>
      <c r="AR268" s="1243"/>
      <c r="AS268" s="1243"/>
      <c r="AT268" s="1243"/>
      <c r="AU268" s="1243"/>
      <c r="AV268" s="1243"/>
      <c r="AW268" s="1243"/>
      <c r="AX268" s="1243"/>
      <c r="AY268" s="1243"/>
      <c r="AZ268" s="1243"/>
      <c r="BA268" s="1243"/>
      <c r="BB268" s="1243"/>
      <c r="BC268" s="1243"/>
      <c r="BD268" s="1243"/>
      <c r="BE268" s="1243"/>
      <c r="BF268" s="1243"/>
      <c r="BG268" s="1243"/>
      <c r="BH268" s="1243"/>
      <c r="BI268" s="1243"/>
      <c r="BJ268" s="1243"/>
      <c r="BK268" s="1243"/>
      <c r="BL268" s="1243"/>
      <c r="BM268" s="1243"/>
      <c r="BN268" s="1243"/>
      <c r="BO268" s="1243"/>
      <c r="BP268" s="1243"/>
      <c r="BQ268" s="1243"/>
      <c r="BR268" s="1243"/>
      <c r="BS268" s="1243"/>
      <c r="BT268" s="1243"/>
      <c r="BU268" s="1243"/>
      <c r="BV268" s="1243"/>
      <c r="BW268" s="1243"/>
      <c r="BX268" s="1243"/>
      <c r="BY268" s="1243"/>
      <c r="BZ268" s="1243"/>
      <c r="CA268" s="1243"/>
      <c r="CB268" s="1243"/>
      <c r="CC268" s="1243"/>
      <c r="CD268" s="1243"/>
      <c r="CE268" s="1243"/>
      <c r="CF268" s="1243"/>
      <c r="CG268" s="1243"/>
      <c r="CH268" s="1243"/>
      <c r="CI268" s="1243"/>
      <c r="CJ268" s="1243"/>
      <c r="CK268" s="1243"/>
      <c r="CL268" s="1243"/>
      <c r="CM268" s="1243"/>
      <c r="CN268" s="1243"/>
      <c r="CO268" s="1243"/>
      <c r="CP268" s="1244"/>
      <c r="CQ268" s="1243"/>
      <c r="CR268" s="1243"/>
      <c r="CS268" s="1243"/>
      <c r="CT268" s="1243"/>
      <c r="CU268" s="1243"/>
      <c r="CV268" s="1243"/>
      <c r="CW268" s="1243"/>
      <c r="CX268" s="1243"/>
      <c r="CY268" s="1245"/>
      <c r="CZ268" s="1243"/>
      <c r="DA268" s="1246"/>
      <c r="DB268" s="1243"/>
      <c r="DC268" s="1246"/>
      <c r="DD268" s="1247"/>
      <c r="DE268" s="1245"/>
      <c r="DF268" s="1243"/>
      <c r="DG268" s="1246"/>
      <c r="DH268" s="1243"/>
      <c r="DI268" s="1246"/>
      <c r="DJ268" s="1248"/>
      <c r="DK268" s="1245"/>
      <c r="DL268" s="1243"/>
      <c r="DM268" s="1246"/>
      <c r="DN268" s="1243"/>
      <c r="DO268" s="1246"/>
      <c r="DP268" s="1247"/>
      <c r="DQ268" s="1245"/>
      <c r="DR268" s="1243"/>
      <c r="DS268" s="1246"/>
      <c r="DT268" s="1243"/>
      <c r="DU268" s="1246"/>
      <c r="DV268" s="1248"/>
      <c r="DW268" s="1245"/>
      <c r="DX268" s="1243"/>
      <c r="DY268" s="1246"/>
      <c r="DZ268" s="1243"/>
      <c r="EA268" s="1246"/>
      <c r="EB268" s="1248"/>
      <c r="EC268" s="1249" t="s">
        <v>15630</v>
      </c>
      <c r="ED268" s="1243"/>
      <c r="EE268" s="1246"/>
      <c r="EF268" s="1243"/>
      <c r="EG268" s="1246"/>
      <c r="EH268" s="1248"/>
      <c r="EI268" s="1245"/>
      <c r="EJ268" s="1243"/>
      <c r="EK268" s="1246"/>
      <c r="EL268" s="1243"/>
      <c r="EM268" s="1246"/>
      <c r="EN268" s="1248"/>
      <c r="EO268" s="1245"/>
      <c r="EP268" s="1243"/>
      <c r="EQ268" s="1246"/>
      <c r="ER268" s="1243"/>
      <c r="ES268" s="1246"/>
      <c r="ET268" s="1247"/>
    </row>
    <row r="269" spans="1:150" ht="20.100000000000001" customHeight="1">
      <c r="O269" s="67"/>
    </row>
    <row r="270" spans="1:150" s="4" customFormat="1" ht="14.25" thickBot="1">
      <c r="J270" s="10"/>
      <c r="K270" s="10"/>
      <c r="O270" s="132"/>
      <c r="P270" s="10"/>
    </row>
    <row r="271" spans="1:150" s="4" customFormat="1" ht="6" customHeight="1">
      <c r="E271" s="127"/>
      <c r="F271" s="67"/>
      <c r="G271" s="128"/>
      <c r="H271" s="128"/>
      <c r="I271" s="128"/>
      <c r="J271" s="67"/>
      <c r="K271" s="67"/>
      <c r="L271" s="128"/>
      <c r="M271" s="128"/>
      <c r="N271" s="128"/>
      <c r="O271" s="128"/>
      <c r="P271" s="67"/>
      <c r="Q271" s="129"/>
    </row>
    <row r="272" spans="1:150" s="4" customFormat="1">
      <c r="E272" s="130"/>
      <c r="F272" s="131" t="s">
        <v>9976</v>
      </c>
      <c r="G272" s="74"/>
      <c r="H272" s="132"/>
      <c r="I272" s="132"/>
      <c r="J272" s="74"/>
      <c r="K272" s="74"/>
      <c r="L272" s="132"/>
      <c r="M272" s="132"/>
      <c r="N272" s="74"/>
      <c r="O272" s="132"/>
      <c r="P272" s="74"/>
      <c r="Q272" s="133"/>
    </row>
    <row r="273" spans="5:17" s="4" customFormat="1" ht="15.95" customHeight="1">
      <c r="E273" s="130"/>
      <c r="F273" s="3061"/>
      <c r="G273" s="3061"/>
      <c r="H273" s="131" t="s">
        <v>15635</v>
      </c>
      <c r="I273" s="131"/>
      <c r="J273" s="74"/>
      <c r="K273" s="74"/>
      <c r="L273" s="132"/>
      <c r="M273" s="132"/>
      <c r="N273" s="132"/>
      <c r="O273" s="132"/>
      <c r="P273" s="74"/>
      <c r="Q273" s="133"/>
    </row>
    <row r="274" spans="5:17" s="4" customFormat="1" ht="3" customHeight="1">
      <c r="E274" s="130"/>
      <c r="F274" s="74"/>
      <c r="G274" s="132"/>
      <c r="H274" s="131"/>
      <c r="I274" s="131"/>
      <c r="J274" s="74"/>
      <c r="K274" s="74"/>
      <c r="L274" s="132"/>
      <c r="M274" s="132"/>
      <c r="N274" s="132"/>
      <c r="O274" s="132"/>
      <c r="P274" s="74"/>
      <c r="Q274" s="133"/>
    </row>
    <row r="275" spans="5:17" s="4" customFormat="1" ht="15.95" customHeight="1">
      <c r="E275" s="130"/>
      <c r="F275" s="3062"/>
      <c r="G275" s="3062"/>
      <c r="H275" s="131" t="s">
        <v>15636</v>
      </c>
      <c r="I275" s="131"/>
      <c r="J275" s="74"/>
      <c r="K275" s="74"/>
      <c r="L275" s="132"/>
      <c r="M275" s="132"/>
      <c r="N275" s="132"/>
      <c r="O275" s="132"/>
      <c r="P275" s="74"/>
      <c r="Q275" s="133"/>
    </row>
    <row r="276" spans="5:17" s="4" customFormat="1" ht="3" customHeight="1">
      <c r="E276" s="130"/>
      <c r="F276" s="74"/>
      <c r="G276" s="132"/>
      <c r="H276" s="131"/>
      <c r="I276" s="131"/>
      <c r="J276" s="74"/>
      <c r="K276" s="74"/>
      <c r="L276" s="132"/>
      <c r="M276" s="132"/>
      <c r="N276" s="132"/>
      <c r="O276" s="132"/>
      <c r="P276" s="74"/>
      <c r="Q276" s="133"/>
    </row>
    <row r="277" spans="5:17" s="4" customFormat="1" ht="15.95" customHeight="1">
      <c r="E277" s="130"/>
      <c r="F277" s="3063"/>
      <c r="G277" s="3063"/>
      <c r="H277" s="131" t="s">
        <v>15637</v>
      </c>
      <c r="I277" s="131"/>
      <c r="J277" s="74"/>
      <c r="K277" s="74"/>
      <c r="L277" s="132"/>
      <c r="M277" s="132"/>
      <c r="N277" s="132"/>
      <c r="O277" s="132"/>
      <c r="P277" s="74"/>
      <c r="Q277" s="133"/>
    </row>
    <row r="278" spans="5:17" s="4" customFormat="1" ht="3" customHeight="1">
      <c r="E278" s="130"/>
      <c r="F278" s="74"/>
      <c r="G278" s="132"/>
      <c r="H278" s="131"/>
      <c r="I278" s="131"/>
      <c r="J278" s="74"/>
      <c r="K278" s="74"/>
      <c r="L278" s="132"/>
      <c r="M278" s="132"/>
      <c r="N278" s="132"/>
      <c r="O278" s="132"/>
      <c r="P278" s="74"/>
      <c r="Q278" s="133"/>
    </row>
    <row r="279" spans="5:17" s="4" customFormat="1" ht="15.95" customHeight="1">
      <c r="E279" s="130"/>
      <c r="F279" s="3059"/>
      <c r="G279" s="3059"/>
      <c r="H279" s="131" t="s">
        <v>15638</v>
      </c>
      <c r="I279" s="131"/>
      <c r="J279" s="74"/>
      <c r="K279" s="74"/>
      <c r="L279" s="132"/>
      <c r="M279" s="132"/>
      <c r="N279" s="132"/>
      <c r="O279" s="132"/>
      <c r="P279" s="74"/>
      <c r="Q279" s="133"/>
    </row>
    <row r="280" spans="5:17" s="4" customFormat="1" ht="3" customHeight="1">
      <c r="E280" s="130"/>
      <c r="F280" s="74"/>
      <c r="G280" s="132"/>
      <c r="H280" s="131"/>
      <c r="I280" s="131"/>
      <c r="J280" s="74"/>
      <c r="K280" s="74"/>
      <c r="L280" s="132"/>
      <c r="M280" s="132"/>
      <c r="N280" s="132"/>
      <c r="O280" s="132"/>
      <c r="P280" s="74"/>
      <c r="Q280" s="133"/>
    </row>
    <row r="281" spans="5:17" s="4" customFormat="1" ht="15.95" customHeight="1">
      <c r="E281" s="1262"/>
      <c r="F281" s="3060" t="s">
        <v>15663</v>
      </c>
      <c r="G281" s="3060"/>
      <c r="H281" s="131" t="s">
        <v>15662</v>
      </c>
      <c r="I281" s="131"/>
      <c r="J281" s="74"/>
      <c r="K281" s="74"/>
      <c r="L281" s="132"/>
      <c r="M281" s="132"/>
      <c r="N281" s="132"/>
      <c r="O281" s="132"/>
      <c r="P281" s="74"/>
      <c r="Q281" s="133"/>
    </row>
    <row r="282" spans="5:17" s="4" customFormat="1" ht="6" customHeight="1" thickBot="1">
      <c r="E282" s="1263"/>
      <c r="F282" s="105"/>
      <c r="G282" s="105"/>
      <c r="H282" s="134"/>
      <c r="I282" s="134"/>
      <c r="J282" s="105"/>
      <c r="K282" s="105"/>
      <c r="L282" s="134"/>
      <c r="M282" s="134"/>
      <c r="N282" s="134"/>
      <c r="O282" s="134"/>
      <c r="P282" s="105"/>
      <c r="Q282" s="135"/>
    </row>
    <row r="283" spans="5:17" s="4" customFormat="1">
      <c r="J283" s="10"/>
      <c r="K283" s="10"/>
      <c r="O283" s="132"/>
      <c r="P283" s="10"/>
    </row>
  </sheetData>
  <mergeCells count="325">
    <mergeCell ref="F279:G279"/>
    <mergeCell ref="F281:G281"/>
    <mergeCell ref="F273:G273"/>
    <mergeCell ref="F275:G275"/>
    <mergeCell ref="F277:G277"/>
    <mergeCell ref="EP1:ET2"/>
    <mergeCell ref="EP3:ET3"/>
    <mergeCell ref="A4:R5"/>
    <mergeCell ref="S4:X4"/>
    <mergeCell ref="Y4:AD4"/>
    <mergeCell ref="AE4:AJ4"/>
    <mergeCell ref="AK4:AP4"/>
    <mergeCell ref="AQ4:AV4"/>
    <mergeCell ref="AW4:BB4"/>
    <mergeCell ref="BC4:BH4"/>
    <mergeCell ref="T5:U5"/>
    <mergeCell ref="V5:W5"/>
    <mergeCell ref="Z5:AA5"/>
    <mergeCell ref="AB5:AC5"/>
    <mergeCell ref="AF5:AG5"/>
    <mergeCell ref="AH5:AI5"/>
    <mergeCell ref="AL5:AM5"/>
    <mergeCell ref="CS4:CX4"/>
    <mergeCell ref="CY4:DD4"/>
    <mergeCell ref="BI4:BN4"/>
    <mergeCell ref="BO4:BT4"/>
    <mergeCell ref="BU4:BZ4"/>
    <mergeCell ref="CA4:CF4"/>
    <mergeCell ref="CG4:CL4"/>
    <mergeCell ref="CM4:CR4"/>
    <mergeCell ref="AN5:AO5"/>
    <mergeCell ref="AR5:AS5"/>
    <mergeCell ref="AT5:AU5"/>
    <mergeCell ref="AX5:AY5"/>
    <mergeCell ref="AZ5:BA5"/>
    <mergeCell ref="BD5:BE5"/>
    <mergeCell ref="BF5:BG5"/>
    <mergeCell ref="BJ5:BK5"/>
    <mergeCell ref="BL5:BM5"/>
    <mergeCell ref="BP5:BQ5"/>
    <mergeCell ref="BR5:BS5"/>
    <mergeCell ref="BV5:BW5"/>
    <mergeCell ref="EC4:EH4"/>
    <mergeCell ref="EI4:EN4"/>
    <mergeCell ref="EO4:ET4"/>
    <mergeCell ref="DE4:DJ4"/>
    <mergeCell ref="DK4:DP4"/>
    <mergeCell ref="DQ4:DV4"/>
    <mergeCell ref="DW4:EB4"/>
    <mergeCell ref="BX5:BY5"/>
    <mergeCell ref="CB5:CC5"/>
    <mergeCell ref="CD5:CE5"/>
    <mergeCell ref="CH5:CI5"/>
    <mergeCell ref="CJ5:CK5"/>
    <mergeCell ref="CN5:CO5"/>
    <mergeCell ref="DL5:DM5"/>
    <mergeCell ref="DN5:DO5"/>
    <mergeCell ref="DR5:DS5"/>
    <mergeCell ref="DT5:DU5"/>
    <mergeCell ref="DX5:DY5"/>
    <mergeCell ref="CP5:CQ5"/>
    <mergeCell ref="CT5:CU5"/>
    <mergeCell ref="CV5:CW5"/>
    <mergeCell ref="CZ5:DA5"/>
    <mergeCell ref="DB5:DC5"/>
    <mergeCell ref="DF5:DG5"/>
    <mergeCell ref="D12:Q12"/>
    <mergeCell ref="D13:Q13"/>
    <mergeCell ref="D14:Q14"/>
    <mergeCell ref="D15:R15"/>
    <mergeCell ref="D16:R16"/>
    <mergeCell ref="C17:C18"/>
    <mergeCell ref="D17:Q18"/>
    <mergeCell ref="ER5:ES5"/>
    <mergeCell ref="A6:A18"/>
    <mergeCell ref="B6:B8"/>
    <mergeCell ref="D6:R6"/>
    <mergeCell ref="D7:R7"/>
    <mergeCell ref="D8:R8"/>
    <mergeCell ref="B9:B21"/>
    <mergeCell ref="D9:Q9"/>
    <mergeCell ref="D10:Q10"/>
    <mergeCell ref="D11:Q11"/>
    <mergeCell ref="DZ5:EA5"/>
    <mergeCell ref="ED5:EE5"/>
    <mergeCell ref="EF5:EG5"/>
    <mergeCell ref="EJ5:EK5"/>
    <mergeCell ref="EL5:EM5"/>
    <mergeCell ref="EP5:EQ5"/>
    <mergeCell ref="DH5:DI5"/>
    <mergeCell ref="C19:C20"/>
    <mergeCell ref="D19:Q20"/>
    <mergeCell ref="A21:A24"/>
    <mergeCell ref="D21:R21"/>
    <mergeCell ref="B22:B25"/>
    <mergeCell ref="C22:C23"/>
    <mergeCell ref="D22:Q23"/>
    <mergeCell ref="C24:C25"/>
    <mergeCell ref="D24:Q25"/>
    <mergeCell ref="A26:A54"/>
    <mergeCell ref="D26:Q26"/>
    <mergeCell ref="D27:Q27"/>
    <mergeCell ref="D28:Q28"/>
    <mergeCell ref="D29:Q29"/>
    <mergeCell ref="D30:Q30"/>
    <mergeCell ref="D31:Q31"/>
    <mergeCell ref="D32:Q32"/>
    <mergeCell ref="D33:Q33"/>
    <mergeCell ref="D34:Q34"/>
    <mergeCell ref="D41:Q41"/>
    <mergeCell ref="D42:Q42"/>
    <mergeCell ref="D43:Q43"/>
    <mergeCell ref="D44:Q44"/>
    <mergeCell ref="D45:Q45"/>
    <mergeCell ref="D46:R46"/>
    <mergeCell ref="D35:Q35"/>
    <mergeCell ref="D36:Q36"/>
    <mergeCell ref="D37:Q37"/>
    <mergeCell ref="D38:Q38"/>
    <mergeCell ref="D39:Q39"/>
    <mergeCell ref="D40:Q40"/>
    <mergeCell ref="D53:Q53"/>
    <mergeCell ref="D55:P55"/>
    <mergeCell ref="Q55:R55"/>
    <mergeCell ref="D225:R225"/>
    <mergeCell ref="D57:R57"/>
    <mergeCell ref="D47:R47"/>
    <mergeCell ref="D221:R221"/>
    <mergeCell ref="D49:Q49"/>
    <mergeCell ref="D50:Q50"/>
    <mergeCell ref="D51:Q51"/>
    <mergeCell ref="D52:Q52"/>
    <mergeCell ref="D87:Q87"/>
    <mergeCell ref="D88:Q88"/>
    <mergeCell ref="D89:Q89"/>
    <mergeCell ref="D78:Q78"/>
    <mergeCell ref="D79:Q79"/>
    <mergeCell ref="D80:Q80"/>
    <mergeCell ref="D81:Q81"/>
    <mergeCell ref="D82:Q82"/>
    <mergeCell ref="D83:Q83"/>
    <mergeCell ref="D99:Q99"/>
    <mergeCell ref="D100:Q100"/>
    <mergeCell ref="D101:Q101"/>
    <mergeCell ref="D102:Q102"/>
    <mergeCell ref="D103:Q103"/>
    <mergeCell ref="A59:A60"/>
    <mergeCell ref="B59:B60"/>
    <mergeCell ref="D255:R255"/>
    <mergeCell ref="D60:R60"/>
    <mergeCell ref="A61:A264"/>
    <mergeCell ref="D61:Q61"/>
    <mergeCell ref="D62:Q62"/>
    <mergeCell ref="D63:Q63"/>
    <mergeCell ref="D64:Q64"/>
    <mergeCell ref="D72:Q72"/>
    <mergeCell ref="D73:Q73"/>
    <mergeCell ref="D74:Q74"/>
    <mergeCell ref="D75:Q75"/>
    <mergeCell ref="D76:Q76"/>
    <mergeCell ref="D77:Q77"/>
    <mergeCell ref="D65:Q65"/>
    <mergeCell ref="D67:Q67"/>
    <mergeCell ref="D68:Q68"/>
    <mergeCell ref="D69:Q69"/>
    <mergeCell ref="D70:Q70"/>
    <mergeCell ref="D71:Q71"/>
    <mergeCell ref="D84:Q84"/>
    <mergeCell ref="D85:Q85"/>
    <mergeCell ref="D86:Q86"/>
    <mergeCell ref="D104:Q104"/>
    <mergeCell ref="D90:Q90"/>
    <mergeCell ref="B91:B219"/>
    <mergeCell ref="D91:Q91"/>
    <mergeCell ref="D92:Q92"/>
    <mergeCell ref="D93:Q93"/>
    <mergeCell ref="D94:Q94"/>
    <mergeCell ref="D95:Q95"/>
    <mergeCell ref="D96:Q96"/>
    <mergeCell ref="D97:Q97"/>
    <mergeCell ref="D98:Q98"/>
    <mergeCell ref="D111:Q111"/>
    <mergeCell ref="D112:Q112"/>
    <mergeCell ref="D113:Q113"/>
    <mergeCell ref="D114:Q114"/>
    <mergeCell ref="D115:Q115"/>
    <mergeCell ref="D116:Q116"/>
    <mergeCell ref="D105:Q105"/>
    <mergeCell ref="D106:Q106"/>
    <mergeCell ref="D107:Q107"/>
    <mergeCell ref="D108:Q108"/>
    <mergeCell ref="D109:Q109"/>
    <mergeCell ref="D110:Q110"/>
    <mergeCell ref="D123:Q123"/>
    <mergeCell ref="D124:Q124"/>
    <mergeCell ref="D125:Q125"/>
    <mergeCell ref="D126:Q126"/>
    <mergeCell ref="D127:Q127"/>
    <mergeCell ref="D128:Q128"/>
    <mergeCell ref="D117:Q117"/>
    <mergeCell ref="D118:Q118"/>
    <mergeCell ref="D119:Q119"/>
    <mergeCell ref="D120:Q120"/>
    <mergeCell ref="D121:Q121"/>
    <mergeCell ref="D122:Q122"/>
    <mergeCell ref="D135:Q135"/>
    <mergeCell ref="D136:Q136"/>
    <mergeCell ref="D137:Q137"/>
    <mergeCell ref="D138:Q138"/>
    <mergeCell ref="D139:Q139"/>
    <mergeCell ref="D140:Q140"/>
    <mergeCell ref="D129:Q129"/>
    <mergeCell ref="D130:Q130"/>
    <mergeCell ref="D131:Q131"/>
    <mergeCell ref="D132:Q132"/>
    <mergeCell ref="D133:Q133"/>
    <mergeCell ref="D134:Q134"/>
    <mergeCell ref="D147:Q147"/>
    <mergeCell ref="D148:Q148"/>
    <mergeCell ref="D149:Q149"/>
    <mergeCell ref="D150:Q150"/>
    <mergeCell ref="D151:Q151"/>
    <mergeCell ref="D152:Q152"/>
    <mergeCell ref="D141:Q141"/>
    <mergeCell ref="D142:Q142"/>
    <mergeCell ref="D143:Q143"/>
    <mergeCell ref="D144:Q144"/>
    <mergeCell ref="D145:Q145"/>
    <mergeCell ref="D146:Q146"/>
    <mergeCell ref="D159:L159"/>
    <mergeCell ref="D160:Q160"/>
    <mergeCell ref="D161:Q161"/>
    <mergeCell ref="D162:Q162"/>
    <mergeCell ref="D163:Q163"/>
    <mergeCell ref="D164:Q164"/>
    <mergeCell ref="D153:Q153"/>
    <mergeCell ref="D154:Q154"/>
    <mergeCell ref="D155:Q155"/>
    <mergeCell ref="D156:Q156"/>
    <mergeCell ref="D157:Q157"/>
    <mergeCell ref="D158:Q158"/>
    <mergeCell ref="D170:Q170"/>
    <mergeCell ref="D171:Q171"/>
    <mergeCell ref="D172:Q172"/>
    <mergeCell ref="D173:Q173"/>
    <mergeCell ref="D174:Q174"/>
    <mergeCell ref="D165:Q165"/>
    <mergeCell ref="D166:P166"/>
    <mergeCell ref="D167:J167"/>
    <mergeCell ref="K167:Q167"/>
    <mergeCell ref="D168:Q168"/>
    <mergeCell ref="D169:Q169"/>
    <mergeCell ref="D179:R179"/>
    <mergeCell ref="D180:R180"/>
    <mergeCell ref="D181:R181"/>
    <mergeCell ref="D232:R232"/>
    <mergeCell ref="D183:R183"/>
    <mergeCell ref="D239:R239"/>
    <mergeCell ref="D233:R233"/>
    <mergeCell ref="D176:R176"/>
    <mergeCell ref="D177:R177"/>
    <mergeCell ref="D178:R178"/>
    <mergeCell ref="D224:R224"/>
    <mergeCell ref="D191:R191"/>
    <mergeCell ref="D222:R222"/>
    <mergeCell ref="D193:R193"/>
    <mergeCell ref="D194:R194"/>
    <mergeCell ref="D236:R236"/>
    <mergeCell ref="D238:R238"/>
    <mergeCell ref="D185:R185"/>
    <mergeCell ref="D186:R186"/>
    <mergeCell ref="D229:R229"/>
    <mergeCell ref="D188:R188"/>
    <mergeCell ref="D189:R189"/>
    <mergeCell ref="D190:R190"/>
    <mergeCell ref="D204:R204"/>
    <mergeCell ref="D205:R205"/>
    <mergeCell ref="D197:R197"/>
    <mergeCell ref="D242:R242"/>
    <mergeCell ref="D220:R220"/>
    <mergeCell ref="D200:R200"/>
    <mergeCell ref="D201:R201"/>
    <mergeCell ref="D227:R227"/>
    <mergeCell ref="D216:R216"/>
    <mergeCell ref="D234:R234"/>
    <mergeCell ref="D230:R230"/>
    <mergeCell ref="D231:R231"/>
    <mergeCell ref="D235:R235"/>
    <mergeCell ref="D228:R228"/>
    <mergeCell ref="D240:R240"/>
    <mergeCell ref="A265:A268"/>
    <mergeCell ref="D265:R265"/>
    <mergeCell ref="B266:B268"/>
    <mergeCell ref="D266:R266"/>
    <mergeCell ref="D267:R267"/>
    <mergeCell ref="D237:R237"/>
    <mergeCell ref="D241:R241"/>
    <mergeCell ref="B253:B262"/>
    <mergeCell ref="D253:R253"/>
    <mergeCell ref="D256:R256"/>
    <mergeCell ref="D261:R261"/>
    <mergeCell ref="D257:R257"/>
    <mergeCell ref="D259:R259"/>
    <mergeCell ref="D258:R258"/>
    <mergeCell ref="D254:R254"/>
    <mergeCell ref="D249:R249"/>
    <mergeCell ref="D250:R250"/>
    <mergeCell ref="D244:R244"/>
    <mergeCell ref="D248:R248"/>
    <mergeCell ref="D246:R246"/>
    <mergeCell ref="D245:R245"/>
    <mergeCell ref="D247:R247"/>
    <mergeCell ref="D243:R243"/>
    <mergeCell ref="B220:B232"/>
    <mergeCell ref="B233:B252"/>
    <mergeCell ref="D252:R252"/>
    <mergeCell ref="D251:R251"/>
    <mergeCell ref="D268:R268"/>
    <mergeCell ref="D262:R262"/>
    <mergeCell ref="D260:R260"/>
    <mergeCell ref="B263:B264"/>
    <mergeCell ref="D263:R263"/>
    <mergeCell ref="D264:R264"/>
    <mergeCell ref="D223:R223"/>
    <mergeCell ref="D226:R226"/>
  </mergeCells>
  <phoneticPr fontId="4"/>
  <pageMargins left="0.23622047244094491" right="0.23622047244094491" top="0.15748031496062992" bottom="0.15748031496062992" header="0.31496062992125984" footer="0.31496062992125984"/>
  <pageSetup paperSize="9" scale="55" orientation="landscape" cellComments="asDisplayed"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7</vt:i4>
      </vt:variant>
    </vt:vector>
  </HeadingPairs>
  <TitlesOfParts>
    <vt:vector size="16" baseType="lpstr">
      <vt:lpstr>実績</vt:lpstr>
      <vt:lpstr>設計案件状況</vt:lpstr>
      <vt:lpstr>設計ｽｹｼﾞｭｰﾙ(営業会議用)</vt:lpstr>
      <vt:lpstr>設計ｽｹｼﾞｭｰﾙ(営業会議用) (2)</vt:lpstr>
      <vt:lpstr>←入力  集計→</vt:lpstr>
      <vt:lpstr>土間厚200超</vt:lpstr>
      <vt:lpstr>審査機関</vt:lpstr>
      <vt:lpstr>設計事務所</vt:lpstr>
      <vt:lpstr>2020.04.17着工時期確認</vt:lpstr>
      <vt:lpstr>'2020.04.17着工時期確認'!Print_Area</vt:lpstr>
      <vt:lpstr>実績!Print_Area</vt:lpstr>
      <vt:lpstr>審査機関!Print_Area</vt:lpstr>
      <vt:lpstr>'設計ｽｹｼﾞｭｰﾙ(営業会議用)'!Print_Area</vt:lpstr>
      <vt:lpstr>'設計ｽｹｼﾞｭｰﾙ(営業会議用) (2)'!Print_Area</vt:lpstr>
      <vt:lpstr>設計案件状況!Print_Area</vt:lpstr>
      <vt:lpstr>実績!Print_Titles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kondou</dc:creator>
  <cp:lastModifiedBy>LinhVT</cp:lastModifiedBy>
  <cp:lastPrinted>2020-10-27T09:51:08Z</cp:lastPrinted>
  <dcterms:created xsi:type="dcterms:W3CDTF">2014-05-28T23:08:14Z</dcterms:created>
  <dcterms:modified xsi:type="dcterms:W3CDTF">2020-10-28T06:16:19Z</dcterms:modified>
</cp:coreProperties>
</file>